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defaultThemeVersion="124226"/>
  <mc:AlternateContent xmlns:mc="http://schemas.openxmlformats.org/markup-compatibility/2006">
    <mc:Choice Requires="x15">
      <x15ac:absPath xmlns:x15ac="http://schemas.microsoft.com/office/spreadsheetml/2010/11/ac" url="C:\Users\jlumbreras\Documents\Dirección de Planeación\DP-2020\PDI\"/>
    </mc:Choice>
  </mc:AlternateContent>
  <xr:revisionPtr revIDLastSave="0" documentId="13_ncr:1_{243CE787-79BE-4F54-870D-2CD41A87A019}" xr6:coauthVersionLast="36" xr6:coauthVersionMax="36" xr10:uidLastSave="{00000000-0000-0000-0000-000000000000}"/>
  <bookViews>
    <workbookView xWindow="-120" yWindow="-120" windowWidth="11508" windowHeight="7740" tabRatio="749" xr2:uid="{00000000-000D-0000-FFFF-FFFF00000000}"/>
  </bookViews>
  <sheets>
    <sheet name="PDI" sheetId="275" r:id="rId1"/>
    <sheet name="Indicadores" sheetId="228" r:id="rId2"/>
    <sheet name="Formulas" sheetId="248" state="hidden" r:id="rId3"/>
    <sheet name="D.1." sheetId="244" r:id="rId4"/>
    <sheet name="Desglose ET D.2" sheetId="262" state="hidden" r:id="rId5"/>
    <sheet name="D.2." sheetId="245" r:id="rId6"/>
    <sheet name="D.3." sheetId="249" r:id="rId7"/>
    <sheet name="D.3 Trim exc._Lic" sheetId="274" state="hidden" r:id="rId8"/>
    <sheet name="Desglose ET_Esp" sheetId="250" state="hidden" r:id="rId9"/>
    <sheet name="D.4." sheetId="256" r:id="rId10"/>
    <sheet name="D.5." sheetId="257" r:id="rId11"/>
    <sheet name="Desglose ET_Mtria" sheetId="251" state="hidden" r:id="rId12"/>
    <sheet name="D.6." sheetId="258" r:id="rId13"/>
    <sheet name="Desglose ET_Doc" sheetId="252" state="hidden" r:id="rId14"/>
    <sheet name="D.7." sheetId="204" r:id="rId15"/>
    <sheet name="Desglose de trim_esp" sheetId="253" state="hidden" r:id="rId16"/>
    <sheet name="D.8." sheetId="259" r:id="rId17"/>
    <sheet name="Desglose de tri_Mtria" sheetId="254" state="hidden" r:id="rId18"/>
    <sheet name="D.9." sheetId="260" r:id="rId19"/>
    <sheet name="Desglose Trim Doc" sheetId="255" state="hidden" r:id="rId20"/>
    <sheet name="D.10." sheetId="212" r:id="rId21"/>
    <sheet name="D.11." sheetId="213" r:id="rId22"/>
    <sheet name="D.12." sheetId="184" r:id="rId23"/>
    <sheet name="D.13." sheetId="186" r:id="rId24"/>
    <sheet name="D.14." sheetId="267" r:id="rId25"/>
    <sheet name="D.15." sheetId="268" r:id="rId26"/>
    <sheet name="D.16. y 17" sheetId="269" r:id="rId27"/>
    <sheet name="D.18 y 19" sheetId="270" r:id="rId28"/>
    <sheet name="D.20." sheetId="271" r:id="rId29"/>
    <sheet name="I.21." sheetId="214" r:id="rId30"/>
    <sheet name="I.22." sheetId="215" r:id="rId31"/>
    <sheet name="I.23." sheetId="216" r:id="rId32"/>
    <sheet name="I.24." sheetId="217" r:id="rId33"/>
    <sheet name="I.25" sheetId="272" r:id="rId34"/>
    <sheet name="I.26." sheetId="261" r:id="rId35"/>
    <sheet name="I.27." sheetId="220" r:id="rId36"/>
    <sheet name="I.28." sheetId="221" r:id="rId37"/>
    <sheet name="I.29." sheetId="222" r:id="rId38"/>
    <sheet name="I.30." sheetId="223" r:id="rId39"/>
    <sheet name="C.31." sheetId="224" state="hidden" r:id="rId40"/>
    <sheet name="C.32." sheetId="273" r:id="rId41"/>
    <sheet name="C.33." sheetId="227" r:id="rId42"/>
    <sheet name="A.34." sheetId="229" r:id="rId43"/>
    <sheet name="A.35." sheetId="230" r:id="rId44"/>
    <sheet name="A.36." sheetId="231" r:id="rId45"/>
    <sheet name="A.37." sheetId="232" r:id="rId46"/>
    <sheet name="A.38." sheetId="233" r:id="rId47"/>
    <sheet name="A.39." sheetId="234" r:id="rId48"/>
    <sheet name="A.40.-42." sheetId="235" r:id="rId49"/>
    <sheet name="A.43." sheetId="236" r:id="rId50"/>
    <sheet name="A.44." sheetId="237" r:id="rId51"/>
    <sheet name="A.45." sheetId="238" r:id="rId52"/>
    <sheet name="A.46.1" sheetId="239" r:id="rId53"/>
    <sheet name="A.46.2" sheetId="240" r:id="rId54"/>
    <sheet name="A.46.3" sheetId="241" r:id="rId55"/>
    <sheet name="A.47.1" sheetId="242" state="hidden" r:id="rId56"/>
    <sheet name="A.47.2" sheetId="243" state="hidden"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 localSheetId="7">#REF!</definedName>
    <definedName name="\B" localSheetId="7">#REF!</definedName>
    <definedName name="\C" localSheetId="7">#REF!</definedName>
    <definedName name="____bcs1" localSheetId="7">#REF!</definedName>
    <definedName name="____dgo1" localSheetId="7">#REF!</definedName>
    <definedName name="____dgo2" localSheetId="7">#REF!</definedName>
    <definedName name="__123Graph_A" localSheetId="26" hidden="1">'[1]TAB DCENTE CETI 2001'!#REF!</definedName>
    <definedName name="__123Graph_A" localSheetId="27" hidden="1">'[1]TAB DCENTE CETI 2001'!#REF!</definedName>
    <definedName name="__123Graph_A" localSheetId="28" hidden="1">'[1]TAB DCENTE CETI 2001'!#REF!</definedName>
    <definedName name="__123Graph_A" localSheetId="7" hidden="1">'[1]TAB DCENTE CETI 2001'!#REF!</definedName>
    <definedName name="__123Graph_A" localSheetId="33" hidden="1">'[1]TAB DCENTE CETI 2001'!#REF!</definedName>
    <definedName name="__123Graph_A" localSheetId="34" hidden="1">'[2]TAB DCENTE CETI 2001'!#REF!</definedName>
    <definedName name="__123Graph_A" localSheetId="0" hidden="1">'[2]TAB DCENTE CETI 2001'!#REF!</definedName>
    <definedName name="__123Graph_A" hidden="1">'[2]TAB DCENTE CETI 2001'!#REF!</definedName>
    <definedName name="__123Graph_C" localSheetId="34" hidden="1">[3]PLAZASXI!#REF!</definedName>
    <definedName name="__123Graph_C" localSheetId="0" hidden="1">[3]PLAZASXI!#REF!</definedName>
    <definedName name="__123Graph_C" hidden="1">[3]PLAZASXI!#REF!</definedName>
    <definedName name="__123Graph_D" localSheetId="34" hidden="1">[3]PLAZASXI!#REF!</definedName>
    <definedName name="__123Graph_D" localSheetId="0" hidden="1">[3]PLAZASXI!#REF!</definedName>
    <definedName name="__123Graph_D" hidden="1">[3]PLAZASXI!#REF!</definedName>
    <definedName name="__123Graph_E" localSheetId="34" hidden="1">[3]PLAZASXI!#REF!</definedName>
    <definedName name="__123Graph_E" localSheetId="0" hidden="1">[3]PLAZASXI!#REF!</definedName>
    <definedName name="__123Graph_E" hidden="1">[3]PLAZASXI!#REF!</definedName>
    <definedName name="__123Graph_F" localSheetId="34" hidden="1">[3]PLAZASXI!#REF!</definedName>
    <definedName name="__123Graph_F" localSheetId="0" hidden="1">[3]PLAZASXI!#REF!</definedName>
    <definedName name="__123Graph_F" hidden="1">[3]PLAZASXI!#REF!</definedName>
    <definedName name="__123Graph_X" localSheetId="26" hidden="1">'[1]TAB DCENTE CETI 2001'!#REF!</definedName>
    <definedName name="__123Graph_X" localSheetId="27" hidden="1">'[1]TAB DCENTE CETI 2001'!#REF!</definedName>
    <definedName name="__123Graph_X" localSheetId="28" hidden="1">'[1]TAB DCENTE CETI 2001'!#REF!</definedName>
    <definedName name="__123Graph_X" localSheetId="7" hidden="1">'[1]TAB DCENTE CETI 2001'!#REF!</definedName>
    <definedName name="__123Graph_X" localSheetId="33" hidden="1">'[1]TAB DCENTE CETI 2001'!#REF!</definedName>
    <definedName name="__123Graph_X" localSheetId="34" hidden="1">'[2]TAB DCENTE CETI 2001'!#REF!</definedName>
    <definedName name="__123Graph_X" localSheetId="0" hidden="1">'[2]TAB DCENTE CETI 2001'!#REF!</definedName>
    <definedName name="__123Graph_X" hidden="1">'[2]TAB DCENTE CETI 2001'!#REF!</definedName>
    <definedName name="__ags1" localSheetId="7">#REF!</definedName>
    <definedName name="__ags2" localSheetId="7">#REF!</definedName>
    <definedName name="__bcn1" localSheetId="7">#REF!</definedName>
    <definedName name="_Fill" localSheetId="34" hidden="1">#REF!</definedName>
    <definedName name="_Fill" localSheetId="0" hidden="1">#REF!</definedName>
    <definedName name="_Fill" hidden="1">#REF!</definedName>
    <definedName name="_xlnm._FilterDatabase" localSheetId="53" hidden="1">'A.46.2'!#REF!</definedName>
    <definedName name="_xlnm._FilterDatabase" localSheetId="54" hidden="1">'A.46.3'!#REF!</definedName>
    <definedName name="_xlnm._FilterDatabase" localSheetId="40" hidden="1">'C.32.'!$P$212:$T$254</definedName>
    <definedName name="_xlnm._FilterDatabase" localSheetId="20" hidden="1">'D.10.'!$A$136:$M$136</definedName>
    <definedName name="_xlnm._FilterDatabase" localSheetId="21" hidden="1">'D.11.'!$A$779:$M$779</definedName>
    <definedName name="_xlnm._FilterDatabase" localSheetId="14" hidden="1">'D.7.'!$A$4:$G$4</definedName>
    <definedName name="_gro1" localSheetId="7">#REF!</definedName>
    <definedName name="_gro2" localSheetId="7">#REF!</definedName>
    <definedName name="_gto1" localSheetId="7">#REF!</definedName>
    <definedName name="_Key1" localSheetId="26" hidden="1">[4]DIRECTIVO!#REF!</definedName>
    <definedName name="_Key1" localSheetId="27" hidden="1">[4]DIRECTIVO!#REF!</definedName>
    <definedName name="_Key1" localSheetId="28" hidden="1">[4]DIRECTIVO!#REF!</definedName>
    <definedName name="_Key1" localSheetId="33" hidden="1">[4]DIRECTIVO!#REF!</definedName>
    <definedName name="_Key1" localSheetId="34" hidden="1">[4]DIRECTIVO!#REF!</definedName>
    <definedName name="_Key1" localSheetId="0" hidden="1">[4]DIRECTIVO!#REF!</definedName>
    <definedName name="_Key1" hidden="1">[4]DIRECTIVO!#REF!</definedName>
    <definedName name="_mex1" localSheetId="7">#REF!</definedName>
    <definedName name="_mex2" localSheetId="7">#REF!</definedName>
    <definedName name="_mor1" localSheetId="7">#REF!</definedName>
    <definedName name="_Order1" hidden="1">0</definedName>
    <definedName name="_rmc1" localSheetId="7">#REF!</definedName>
    <definedName name="_sin1" localSheetId="7">#REF!</definedName>
    <definedName name="_sin2" localSheetId="7">#REF!</definedName>
    <definedName name="_Sort" localSheetId="34" hidden="1">#REF!</definedName>
    <definedName name="_Sort" localSheetId="0" hidden="1">#REF!</definedName>
    <definedName name="_Sort" hidden="1">#REF!</definedName>
    <definedName name="_ver1" localSheetId="7">#REF!</definedName>
    <definedName name="_ver2" localSheetId="7">#REF!</definedName>
    <definedName name="A_impresion_IM" localSheetId="7">#REF!</definedName>
    <definedName name="aa" localSheetId="7">#REF!</definedName>
    <definedName name="admvo.plantilla" localSheetId="7">#REF!</definedName>
    <definedName name="ADMVO_A" localSheetId="7">#REF!</definedName>
    <definedName name="_xlnm.Print_Area" localSheetId="1">Indicadores!$A$1:$T$79</definedName>
    <definedName name="_xlnm.Print_Area" localSheetId="0">PDI!$A$1:$K$36</definedName>
    <definedName name="AS_MON1" localSheetId="7">#REF!</definedName>
    <definedName name="AS_MON2" localSheetId="7">#REF!</definedName>
    <definedName name="AS_PAR1" localSheetId="7">#REF!</definedName>
    <definedName name="BASE_ACTUAL" localSheetId="7">#REF!</definedName>
    <definedName name="BASE_INCREMENTO" localSheetId="7">#REF!</definedName>
    <definedName name="_xlnm.Database" localSheetId="7">#REF!</definedName>
    <definedName name="camp1" localSheetId="7">#REF!</definedName>
    <definedName name="camp2" localSheetId="7">#REF!</definedName>
    <definedName name="categoria" localSheetId="7">'[5]DOCENTES '!#REF!</definedName>
    <definedName name="cc" localSheetId="26" hidden="1">#REF!</definedName>
    <definedName name="cc" localSheetId="27" hidden="1">#REF!</definedName>
    <definedName name="cc" localSheetId="28" hidden="1">#REF!</definedName>
    <definedName name="cc" localSheetId="7" hidden="1">#REF!</definedName>
    <definedName name="cc" localSheetId="33" hidden="1">#REF!</definedName>
    <definedName name="cc" localSheetId="34" hidden="1">#REF!</definedName>
    <definedName name="cc" localSheetId="0" hidden="1">#REF!</definedName>
    <definedName name="cc" hidden="1">#REF!</definedName>
    <definedName name="CG" localSheetId="7">#REF!</definedName>
    <definedName name="chih1" localSheetId="7">#REF!</definedName>
    <definedName name="chih2" localSheetId="7">#REF!</definedName>
    <definedName name="coah1" localSheetId="7">#REF!</definedName>
    <definedName name="coah2" localSheetId="7">#REF!</definedName>
    <definedName name="cuadro" localSheetId="7">[6]Ac02acV2!$A$1:$AY$1139</definedName>
    <definedName name="d" localSheetId="7">#REF!</definedName>
    <definedName name="d_f1" localSheetId="7">#REF!</definedName>
    <definedName name="d_f2" localSheetId="7">#REF!</definedName>
    <definedName name="despadmvo" localSheetId="7">#REF!</definedName>
    <definedName name="despdoc" localSheetId="7">#REF!</definedName>
    <definedName name="didactico" localSheetId="7">#REF!</definedName>
    <definedName name="e" localSheetId="7">#REF!</definedName>
    <definedName name="ET" localSheetId="7">#REF!</definedName>
    <definedName name="ETZII" localSheetId="7">#REF!</definedName>
    <definedName name="ETZIII" localSheetId="7">#REF!</definedName>
    <definedName name="g" localSheetId="7">#REF!</definedName>
    <definedName name="GG" localSheetId="26" hidden="1">#REF!</definedName>
    <definedName name="GG" localSheetId="27" hidden="1">#REF!</definedName>
    <definedName name="GG" localSheetId="28" hidden="1">#REF!</definedName>
    <definedName name="GG" localSheetId="7" hidden="1">#REF!</definedName>
    <definedName name="GG" localSheetId="33" hidden="1">#REF!</definedName>
    <definedName name="GG" localSheetId="34" hidden="1">#REF!</definedName>
    <definedName name="GG" localSheetId="0" hidden="1">#REF!</definedName>
    <definedName name="GG" hidden="1">#REF!</definedName>
    <definedName name="GMM_MON1" localSheetId="7">#REF!</definedName>
    <definedName name="i" localSheetId="7">'[7]PLANTILLA 99'!$F$2:$J$481</definedName>
    <definedName name="INC" localSheetId="7">#REF!</definedName>
    <definedName name="INCREMENTO" localSheetId="7">#REF!</definedName>
    <definedName name="july" localSheetId="7">#REF!</definedName>
    <definedName name="JVS" localSheetId="26" hidden="1">#REF!</definedName>
    <definedName name="JVS" localSheetId="27" hidden="1">#REF!</definedName>
    <definedName name="JVS" localSheetId="28" hidden="1">#REF!</definedName>
    <definedName name="JVS" localSheetId="7" hidden="1">#REF!</definedName>
    <definedName name="JVS" localSheetId="33" hidden="1">#REF!</definedName>
    <definedName name="JVS" localSheetId="34" hidden="1">#REF!</definedName>
    <definedName name="JVS" localSheetId="0" hidden="1">#REF!</definedName>
    <definedName name="JVS" hidden="1">#REF!</definedName>
    <definedName name="PR_M10" localSheetId="7">#REF!</definedName>
    <definedName name="PR_M15" localSheetId="7">#REF!</definedName>
    <definedName name="PR_M20" localSheetId="7">#REF!</definedName>
    <definedName name="rez" localSheetId="26" hidden="1">#REF!</definedName>
    <definedName name="rez" localSheetId="27" hidden="1">#REF!</definedName>
    <definedName name="rez" localSheetId="28" hidden="1">#REF!</definedName>
    <definedName name="rez" localSheetId="7" hidden="1">#REF!</definedName>
    <definedName name="rez" localSheetId="33" hidden="1">#REF!</definedName>
    <definedName name="rez" localSheetId="34" hidden="1">#REF!</definedName>
    <definedName name="rez" localSheetId="0" hidden="1">#REF!</definedName>
    <definedName name="rez" hidden="1">#REF!</definedName>
    <definedName name="sc" localSheetId="34" hidden="1">#REF!</definedName>
    <definedName name="sc" localSheetId="0" hidden="1">#REF!</definedName>
    <definedName name="sc" hidden="1">#REF!</definedName>
    <definedName name="ser" localSheetId="7">#REF!</definedName>
    <definedName name="sic" localSheetId="26" hidden="1">#REF!</definedName>
    <definedName name="sic" localSheetId="27" hidden="1">#REF!</definedName>
    <definedName name="sic" localSheetId="28" hidden="1">#REF!</definedName>
    <definedName name="sic" localSheetId="7" hidden="1">#REF!</definedName>
    <definedName name="sic" localSheetId="33" hidden="1">#REF!</definedName>
    <definedName name="sic" localSheetId="34" hidden="1">#REF!</definedName>
    <definedName name="sic" localSheetId="0" hidden="1">#REF!</definedName>
    <definedName name="sic" hidden="1">#REF!</definedName>
    <definedName name="SIDESI" localSheetId="26" hidden="1">[8]TABCETDO298!#REF!</definedName>
    <definedName name="SIDESI" localSheetId="27" hidden="1">[8]TABCETDO298!#REF!</definedName>
    <definedName name="SIDESI" localSheetId="28" hidden="1">[8]TABCETDO298!#REF!</definedName>
    <definedName name="SIDESI" localSheetId="7" hidden="1">[8]TABCETDO298!#REF!</definedName>
    <definedName name="SIDESI" localSheetId="33" hidden="1">[8]TABCETDO298!#REF!</definedName>
    <definedName name="SIDESI" localSheetId="34" hidden="1">[8]TABCETDO298!#REF!</definedName>
    <definedName name="SIDESI" localSheetId="0" hidden="1">[8]TABCETDO298!#REF!</definedName>
    <definedName name="SIDESI" hidden="1">[8]TABCETDO298!#REF!</definedName>
    <definedName name="ss" localSheetId="7">#REF!</definedName>
    <definedName name="sssasa" localSheetId="7">#REF!</definedName>
    <definedName name="SUELDO_MENSUAL" localSheetId="7">#REF!</definedName>
    <definedName name="Títulos_a_imprimir_IM" localSheetId="7">[9]IPNATM01!$A$2:$IV$18</definedName>
    <definedName name="tlax1" localSheetId="7">#REF!</definedName>
    <definedName name="tlax2" localSheetId="7">#REF!</definedName>
    <definedName name="Total" localSheetId="7">#REF!</definedName>
    <definedName name="USESE" localSheetId="7">[10]planew99!$A$10:$J$130</definedName>
    <definedName name="v" localSheetId="7">#REF!</definedName>
    <definedName name="x" localSheetId="7">#REF!</definedName>
    <definedName name="XXXXXX" localSheetId="26" hidden="1">'[11]TAB DCENTE CETI 2002'!#REF!</definedName>
    <definedName name="XXXXXX" localSheetId="27" hidden="1">'[11]TAB DCENTE CETI 2002'!#REF!</definedName>
    <definedName name="XXXXXX" localSheetId="28" hidden="1">'[11]TAB DCENTE CETI 2002'!#REF!</definedName>
    <definedName name="XXXXXX" localSheetId="7" hidden="1">'[11]TAB DCENTE CETI 2002'!#REF!</definedName>
    <definedName name="XXXXXX" localSheetId="33" hidden="1">'[11]TAB DCENTE CETI 2002'!#REF!</definedName>
    <definedName name="XXXXXX" localSheetId="34" hidden="1">'[11]TAB DCENTE CETI 2002'!#REF!</definedName>
    <definedName name="XXXXXX" localSheetId="0" hidden="1">'[11]TAB DCENTE CETI 2002'!#REF!</definedName>
    <definedName name="XXXXXX" hidden="1">'[11]TAB DCENTE CETI 2002'!#REF!</definedName>
    <definedName name="yt" localSheetId="7">#REF!</definedName>
    <definedName name="zac1" localSheetId="7">#REF!</definedName>
    <definedName name="zac2" localSheetId="7">#REF!</definedName>
  </definedNames>
  <calcPr calcId="191029"/>
</workbook>
</file>

<file path=xl/calcChain.xml><?xml version="1.0" encoding="utf-8"?>
<calcChain xmlns="http://schemas.openxmlformats.org/spreadsheetml/2006/main">
  <c r="AN85" i="222" l="1"/>
  <c r="AO85" i="222" s="1"/>
  <c r="AM85" i="222"/>
  <c r="AO87" i="222" l="1"/>
  <c r="Q7" i="228" l="1"/>
  <c r="T8" i="262"/>
  <c r="T9" i="262"/>
  <c r="T10" i="262"/>
  <c r="T11" i="262"/>
  <c r="T12" i="262"/>
  <c r="T13" i="262"/>
  <c r="T14" i="262"/>
  <c r="T15" i="262"/>
  <c r="T16" i="262"/>
  <c r="T18" i="262"/>
  <c r="T19" i="262"/>
  <c r="T20" i="262"/>
  <c r="T21" i="262"/>
  <c r="T23" i="262"/>
  <c r="T24" i="262"/>
  <c r="T25" i="262"/>
  <c r="T28" i="262"/>
  <c r="T29" i="262"/>
  <c r="T30" i="262"/>
  <c r="T31" i="262"/>
  <c r="T32" i="262"/>
  <c r="T33" i="262"/>
  <c r="T34" i="262"/>
  <c r="T35" i="262"/>
  <c r="T36" i="262"/>
  <c r="T37" i="262"/>
  <c r="T39" i="262"/>
  <c r="T40" i="262"/>
  <c r="T41" i="262"/>
  <c r="T42" i="262"/>
  <c r="T43" i="262"/>
  <c r="T44" i="262"/>
  <c r="T45" i="262"/>
  <c r="T46" i="262"/>
  <c r="T47" i="262"/>
  <c r="T48" i="262"/>
  <c r="T49" i="262"/>
  <c r="T51" i="262"/>
  <c r="T52" i="262"/>
  <c r="T53" i="262"/>
  <c r="T54" i="262"/>
  <c r="T55" i="262"/>
  <c r="T56" i="262"/>
  <c r="T59" i="262"/>
  <c r="T60" i="262"/>
  <c r="T61" i="262"/>
  <c r="T62" i="262"/>
  <c r="T63" i="262"/>
  <c r="T64" i="262"/>
  <c r="T66" i="262"/>
  <c r="T67" i="262"/>
  <c r="T68" i="262"/>
  <c r="T69" i="262"/>
  <c r="T70" i="262"/>
  <c r="T71" i="262"/>
  <c r="T72" i="262"/>
  <c r="T73" i="262"/>
  <c r="T75" i="262"/>
  <c r="T76" i="262"/>
  <c r="T77" i="262"/>
  <c r="T78" i="262"/>
  <c r="T81" i="262"/>
  <c r="T82" i="262"/>
  <c r="T83" i="262"/>
  <c r="T84" i="262"/>
  <c r="T86" i="262"/>
  <c r="T87" i="262"/>
  <c r="T88" i="262"/>
  <c r="T90" i="262"/>
  <c r="T91" i="262"/>
  <c r="T92" i="262"/>
  <c r="T93" i="262"/>
  <c r="T96" i="262"/>
  <c r="T97" i="262"/>
  <c r="T98" i="262"/>
  <c r="T99" i="262"/>
  <c r="T100" i="262"/>
  <c r="T101" i="262"/>
  <c r="T102" i="262"/>
  <c r="T103" i="262"/>
  <c r="T106" i="262"/>
  <c r="T7" i="262"/>
  <c r="R122" i="262"/>
  <c r="S118" i="262"/>
  <c r="S117" i="262"/>
  <c r="S116" i="262"/>
  <c r="S115" i="262"/>
  <c r="S114" i="262"/>
  <c r="S113" i="262"/>
  <c r="S112" i="262"/>
  <c r="S106" i="262"/>
  <c r="S105" i="262"/>
  <c r="S104" i="262"/>
  <c r="S103" i="262"/>
  <c r="S102" i="262"/>
  <c r="S101" i="262"/>
  <c r="S100" i="262"/>
  <c r="S99" i="262"/>
  <c r="S98" i="262"/>
  <c r="S97" i="262"/>
  <c r="S96" i="262"/>
  <c r="S95" i="262"/>
  <c r="S94" i="262"/>
  <c r="S93" i="262"/>
  <c r="S92" i="262"/>
  <c r="S91" i="262"/>
  <c r="S90" i="262"/>
  <c r="S89" i="262"/>
  <c r="S88" i="262"/>
  <c r="S87" i="262"/>
  <c r="S86" i="262"/>
  <c r="S85" i="262"/>
  <c r="S84" i="262"/>
  <c r="S83" i="262"/>
  <c r="S82" i="262"/>
  <c r="S81" i="262"/>
  <c r="S80" i="262"/>
  <c r="S79" i="262"/>
  <c r="S78" i="262"/>
  <c r="S77" i="262"/>
  <c r="S76" i="262"/>
  <c r="S75" i="262"/>
  <c r="S74" i="262"/>
  <c r="S73" i="262"/>
  <c r="S72" i="262"/>
  <c r="S71" i="262"/>
  <c r="S70" i="262"/>
  <c r="S69" i="262"/>
  <c r="S68" i="262"/>
  <c r="S67" i="262"/>
  <c r="S66" i="262"/>
  <c r="S65" i="262"/>
  <c r="S64" i="262"/>
  <c r="S63" i="262"/>
  <c r="S62" i="262"/>
  <c r="S61" i="262"/>
  <c r="S60" i="262"/>
  <c r="S59" i="262"/>
  <c r="S58" i="262"/>
  <c r="S57" i="262"/>
  <c r="S56" i="262"/>
  <c r="S55" i="262"/>
  <c r="S54" i="262"/>
  <c r="S53" i="262"/>
  <c r="S52" i="262"/>
  <c r="S51" i="262"/>
  <c r="S50" i="262"/>
  <c r="S49" i="262"/>
  <c r="S48" i="262"/>
  <c r="S47" i="262"/>
  <c r="S46" i="262"/>
  <c r="S45" i="262"/>
  <c r="S44" i="262"/>
  <c r="S43" i="262"/>
  <c r="S42" i="262"/>
  <c r="S41" i="262"/>
  <c r="S40" i="262"/>
  <c r="S39" i="262"/>
  <c r="S38" i="262"/>
  <c r="S37" i="262"/>
  <c r="S36" i="262"/>
  <c r="S35" i="262"/>
  <c r="S34" i="262"/>
  <c r="S33" i="262"/>
  <c r="S32" i="262"/>
  <c r="S31" i="262"/>
  <c r="S30" i="262"/>
  <c r="S29" i="262"/>
  <c r="S28" i="262"/>
  <c r="S27" i="262"/>
  <c r="S26" i="262"/>
  <c r="S25" i="262"/>
  <c r="S24" i="262"/>
  <c r="S23" i="262"/>
  <c r="S22" i="262"/>
  <c r="S21" i="262"/>
  <c r="S20" i="262"/>
  <c r="S19" i="262"/>
  <c r="S18" i="262"/>
  <c r="S17" i="262"/>
  <c r="S16" i="262"/>
  <c r="S15" i="262"/>
  <c r="S14" i="262"/>
  <c r="S13" i="262"/>
  <c r="S12" i="262"/>
  <c r="S11" i="262"/>
  <c r="S10" i="262"/>
  <c r="S9" i="262"/>
  <c r="S8" i="262"/>
  <c r="S7" i="262"/>
  <c r="K31" i="186" l="1"/>
  <c r="D31" i="186"/>
  <c r="C31" i="186"/>
  <c r="O29" i="186"/>
  <c r="N29" i="186"/>
  <c r="M29" i="186"/>
  <c r="L29" i="186"/>
  <c r="L31" i="186"/>
  <c r="K29" i="186"/>
  <c r="H29" i="186"/>
  <c r="G29" i="186"/>
  <c r="D29" i="186"/>
  <c r="C29" i="186"/>
  <c r="B29" i="186"/>
  <c r="O28" i="186"/>
  <c r="J28" i="186"/>
  <c r="Q28" i="186"/>
  <c r="I28" i="186"/>
  <c r="E28" i="186"/>
  <c r="P28" i="186"/>
  <c r="P27" i="186"/>
  <c r="P29" i="186"/>
  <c r="O27" i="186"/>
  <c r="I27" i="186"/>
  <c r="I29" i="186"/>
  <c r="E27" i="186"/>
  <c r="E29" i="186"/>
  <c r="N25" i="186"/>
  <c r="M25" i="186"/>
  <c r="L25" i="186"/>
  <c r="K25" i="186"/>
  <c r="H25" i="186"/>
  <c r="G25" i="186"/>
  <c r="E25" i="186"/>
  <c r="D25" i="186"/>
  <c r="C25" i="186"/>
  <c r="B25" i="186"/>
  <c r="O24" i="186"/>
  <c r="I24" i="186"/>
  <c r="P24" i="186"/>
  <c r="E24" i="186"/>
  <c r="O23" i="186"/>
  <c r="O25" i="186"/>
  <c r="I23" i="186"/>
  <c r="E23" i="186"/>
  <c r="P23" i="186"/>
  <c r="O22" i="186"/>
  <c r="I22" i="186"/>
  <c r="J22" i="186"/>
  <c r="Q22" i="186"/>
  <c r="E22" i="186"/>
  <c r="P22" i="186"/>
  <c r="P25" i="186"/>
  <c r="O20" i="186"/>
  <c r="N20" i="186"/>
  <c r="M20" i="186"/>
  <c r="L20" i="186"/>
  <c r="K20" i="186"/>
  <c r="H20" i="186"/>
  <c r="G20" i="186"/>
  <c r="D20" i="186"/>
  <c r="C20" i="186"/>
  <c r="B20" i="186"/>
  <c r="P19" i="186"/>
  <c r="O19" i="186"/>
  <c r="J19" i="186"/>
  <c r="Q19" i="186"/>
  <c r="I19" i="186"/>
  <c r="E19" i="186"/>
  <c r="O18" i="186"/>
  <c r="I18" i="186"/>
  <c r="J18" i="186"/>
  <c r="Q18" i="186"/>
  <c r="E18" i="186"/>
  <c r="P18" i="186"/>
  <c r="O17" i="186"/>
  <c r="J17" i="186"/>
  <c r="Q17" i="186"/>
  <c r="I17" i="186"/>
  <c r="E17" i="186"/>
  <c r="P17" i="186"/>
  <c r="P16" i="186"/>
  <c r="P20" i="186"/>
  <c r="O16" i="186"/>
  <c r="I16" i="186"/>
  <c r="J16" i="186"/>
  <c r="Q16" i="186"/>
  <c r="E16" i="186"/>
  <c r="E20" i="186"/>
  <c r="O14" i="186"/>
  <c r="N14" i="186"/>
  <c r="M14" i="186"/>
  <c r="L14" i="186"/>
  <c r="K14" i="186"/>
  <c r="H14" i="186"/>
  <c r="G14" i="186"/>
  <c r="E14" i="186"/>
  <c r="D14" i="186"/>
  <c r="C14" i="186"/>
  <c r="B14" i="186"/>
  <c r="O13" i="186"/>
  <c r="I13" i="186"/>
  <c r="J13" i="186"/>
  <c r="Q13" i="186"/>
  <c r="E13" i="186"/>
  <c r="O12" i="186"/>
  <c r="I12" i="186"/>
  <c r="E12" i="186"/>
  <c r="J12" i="186"/>
  <c r="Q12" i="186"/>
  <c r="O11" i="186"/>
  <c r="I11" i="186"/>
  <c r="J11" i="186"/>
  <c r="Q11" i="186"/>
  <c r="E11" i="186"/>
  <c r="P11" i="186"/>
  <c r="N9" i="186"/>
  <c r="N31" i="186"/>
  <c r="M9" i="186"/>
  <c r="M31" i="186"/>
  <c r="L9" i="186"/>
  <c r="K9" i="186"/>
  <c r="H9" i="186"/>
  <c r="H31" i="186"/>
  <c r="G9" i="186"/>
  <c r="G31" i="186"/>
  <c r="F9" i="186"/>
  <c r="F31" i="186"/>
  <c r="D9" i="186"/>
  <c r="C9" i="186"/>
  <c r="B9" i="186"/>
  <c r="B31" i="186"/>
  <c r="P8" i="186"/>
  <c r="O8" i="186"/>
  <c r="O9" i="186"/>
  <c r="O31" i="186"/>
  <c r="I8" i="186"/>
  <c r="J8" i="186"/>
  <c r="Q8" i="186"/>
  <c r="E8" i="186"/>
  <c r="O7" i="186"/>
  <c r="I7" i="186"/>
  <c r="P7" i="186"/>
  <c r="E7" i="186"/>
  <c r="O6" i="186"/>
  <c r="I6" i="186"/>
  <c r="I9" i="186"/>
  <c r="E6" i="186"/>
  <c r="E9" i="186"/>
  <c r="E31" i="186"/>
  <c r="J29" i="186"/>
  <c r="Q29" i="186"/>
  <c r="J9" i="186"/>
  <c r="Q9" i="186"/>
  <c r="P6" i="186"/>
  <c r="P9" i="186"/>
  <c r="P12" i="186"/>
  <c r="P14" i="186"/>
  <c r="J7" i="186"/>
  <c r="Q7" i="186"/>
  <c r="I20" i="186"/>
  <c r="J20" i="186"/>
  <c r="Q20" i="186"/>
  <c r="J24" i="186"/>
  <c r="Q24" i="186"/>
  <c r="J6" i="186"/>
  <c r="Q6" i="186"/>
  <c r="P13" i="186"/>
  <c r="I14" i="186"/>
  <c r="J14" i="186"/>
  <c r="Q14" i="186"/>
  <c r="J23" i="186"/>
  <c r="Q23" i="186"/>
  <c r="I25" i="186"/>
  <c r="J25" i="186"/>
  <c r="Q25" i="186"/>
  <c r="J27" i="186"/>
  <c r="Q27" i="186"/>
  <c r="Q14" i="228"/>
  <c r="F52" i="255"/>
  <c r="F51" i="255"/>
  <c r="F50" i="255"/>
  <c r="F49" i="255"/>
  <c r="F48" i="255"/>
  <c r="F47" i="255"/>
  <c r="F46" i="255"/>
  <c r="F43" i="255"/>
  <c r="F39" i="255"/>
  <c r="F45" i="255"/>
  <c r="F44" i="255"/>
  <c r="F42" i="255"/>
  <c r="F41" i="255"/>
  <c r="F40" i="255"/>
  <c r="F38" i="255"/>
  <c r="F37" i="255"/>
  <c r="F36" i="255"/>
  <c r="F35" i="255"/>
  <c r="F33" i="255"/>
  <c r="F32" i="255"/>
  <c r="F31" i="255"/>
  <c r="F34" i="255"/>
  <c r="F30" i="255"/>
  <c r="F29" i="255"/>
  <c r="F28" i="255"/>
  <c r="F27" i="255"/>
  <c r="F26" i="255"/>
  <c r="F24" i="255"/>
  <c r="F23" i="255"/>
  <c r="F22" i="255"/>
  <c r="F21" i="255"/>
  <c r="F20" i="255"/>
  <c r="F19" i="255"/>
  <c r="F18" i="255"/>
  <c r="F25" i="255"/>
  <c r="F17" i="255"/>
  <c r="F16" i="255"/>
  <c r="F15" i="255"/>
  <c r="F14" i="255"/>
  <c r="F13" i="255"/>
  <c r="F12" i="255"/>
  <c r="F11" i="255"/>
  <c r="F10" i="255"/>
  <c r="F9" i="255"/>
  <c r="F8" i="255"/>
  <c r="F7" i="255"/>
  <c r="Q13" i="228"/>
  <c r="F72" i="254"/>
  <c r="F71" i="254"/>
  <c r="F70" i="254"/>
  <c r="F69" i="254"/>
  <c r="F68" i="254"/>
  <c r="F67" i="254"/>
  <c r="F64" i="254"/>
  <c r="F63" i="254"/>
  <c r="F60" i="254"/>
  <c r="F61" i="254"/>
  <c r="F59" i="254"/>
  <c r="F58" i="254"/>
  <c r="F57" i="254"/>
  <c r="F56" i="254"/>
  <c r="F55" i="254"/>
  <c r="F54" i="254"/>
  <c r="F53" i="254"/>
  <c r="F51" i="254"/>
  <c r="F50" i="254"/>
  <c r="F49" i="254"/>
  <c r="F48" i="254"/>
  <c r="F47" i="254"/>
  <c r="F52" i="254"/>
  <c r="F46" i="254"/>
  <c r="F33" i="254"/>
  <c r="F43" i="254"/>
  <c r="F42" i="254"/>
  <c r="F41" i="254"/>
  <c r="F40" i="254"/>
  <c r="F38" i="254"/>
  <c r="F37" i="254"/>
  <c r="F36" i="254"/>
  <c r="F35" i="254"/>
  <c r="F34" i="254"/>
  <c r="F31" i="254"/>
  <c r="F30" i="254"/>
  <c r="F29" i="254"/>
  <c r="F28" i="254"/>
  <c r="F27" i="254"/>
  <c r="F26" i="254"/>
  <c r="F25" i="254"/>
  <c r="F23" i="254"/>
  <c r="F22" i="254"/>
  <c r="F21" i="254"/>
  <c r="F20" i="254"/>
  <c r="F18" i="254"/>
  <c r="F17" i="254"/>
  <c r="F16" i="254"/>
  <c r="F15" i="254"/>
  <c r="F14" i="254"/>
  <c r="F13" i="254"/>
  <c r="F11" i="254"/>
  <c r="F9" i="254"/>
  <c r="F10" i="254"/>
  <c r="F8" i="254"/>
  <c r="F7" i="254"/>
  <c r="F6" i="254"/>
  <c r="Q12" i="228"/>
  <c r="F22" i="253"/>
  <c r="F18" i="253"/>
  <c r="F11" i="253"/>
  <c r="N11" i="253"/>
  <c r="F21" i="253"/>
  <c r="F19" i="253"/>
  <c r="F20" i="253"/>
  <c r="F16" i="253"/>
  <c r="F17" i="253"/>
  <c r="F15" i="253"/>
  <c r="F14" i="253"/>
  <c r="F12" i="253"/>
  <c r="F13" i="253"/>
  <c r="F10" i="253"/>
  <c r="F9" i="253"/>
  <c r="F8" i="253"/>
  <c r="F7" i="253"/>
  <c r="F6" i="253"/>
  <c r="I31" i="186"/>
  <c r="F32" i="254"/>
  <c r="F45" i="254"/>
  <c r="F39" i="254"/>
  <c r="F65" i="254"/>
  <c r="F73" i="254"/>
  <c r="F19" i="254"/>
  <c r="F44" i="254"/>
  <c r="F62" i="254"/>
  <c r="F66" i="254"/>
  <c r="F12" i="254"/>
  <c r="J31" i="186"/>
  <c r="Q31" i="186"/>
  <c r="P31" i="186"/>
  <c r="F24" i="254"/>
  <c r="F74" i="254"/>
  <c r="AI61" i="270"/>
  <c r="AH28" i="270"/>
  <c r="AH29" i="270"/>
  <c r="AH27" i="270"/>
  <c r="AH23" i="270"/>
  <c r="AH24" i="270"/>
  <c r="AH22" i="270"/>
  <c r="AH18" i="270"/>
  <c r="AH19" i="270"/>
  <c r="AH17" i="270"/>
  <c r="AH13" i="270"/>
  <c r="AH14" i="270"/>
  <c r="AH12" i="270"/>
  <c r="AH10" i="270"/>
  <c r="AH8" i="270"/>
  <c r="AH9" i="270"/>
  <c r="AH7" i="270"/>
  <c r="AH61" i="270"/>
  <c r="Q57" i="228"/>
  <c r="G39" i="234"/>
  <c r="G38" i="234"/>
  <c r="G32" i="234"/>
  <c r="G30" i="234"/>
  <c r="G28" i="234"/>
  <c r="G25" i="234"/>
  <c r="G18" i="234"/>
  <c r="G14" i="234"/>
  <c r="G13" i="234"/>
  <c r="G41" i="234"/>
  <c r="G37" i="234"/>
  <c r="G36" i="234"/>
  <c r="G35" i="234"/>
  <c r="G34" i="234"/>
  <c r="G31" i="234"/>
  <c r="G29" i="234"/>
  <c r="G27" i="234"/>
  <c r="G24" i="234"/>
  <c r="G23" i="234"/>
  <c r="G22" i="234"/>
  <c r="G21" i="234"/>
  <c r="G20" i="234"/>
  <c r="G17" i="234"/>
  <c r="G16" i="234"/>
  <c r="G15" i="234"/>
  <c r="G10" i="234"/>
  <c r="G9" i="234"/>
  <c r="G8" i="234"/>
  <c r="G7" i="234"/>
  <c r="G6" i="234"/>
  <c r="Q56" i="228"/>
  <c r="F43" i="233"/>
  <c r="F41" i="233"/>
  <c r="F39" i="233"/>
  <c r="F38" i="233"/>
  <c r="F37" i="233"/>
  <c r="F36" i="233"/>
  <c r="F35" i="233"/>
  <c r="F34" i="233"/>
  <c r="F32" i="233"/>
  <c r="F31" i="233"/>
  <c r="F30" i="233"/>
  <c r="F29" i="233"/>
  <c r="F28" i="233"/>
  <c r="F27" i="233"/>
  <c r="F25" i="233"/>
  <c r="F24" i="233"/>
  <c r="F23" i="233"/>
  <c r="F22" i="233"/>
  <c r="F21" i="233"/>
  <c r="F20" i="233"/>
  <c r="F18" i="233"/>
  <c r="F17" i="233"/>
  <c r="F16" i="233"/>
  <c r="F15" i="233"/>
  <c r="F14" i="233"/>
  <c r="F13" i="233"/>
  <c r="F11" i="233"/>
  <c r="F10" i="233"/>
  <c r="F9" i="233"/>
  <c r="F8" i="233"/>
  <c r="F7" i="233"/>
  <c r="F6" i="233"/>
  <c r="G11" i="234"/>
  <c r="G43" i="234"/>
  <c r="Q8" i="228"/>
  <c r="F111" i="274"/>
  <c r="F110" i="274"/>
  <c r="F109" i="274"/>
  <c r="F108" i="274"/>
  <c r="F107" i="274"/>
  <c r="F106" i="274"/>
  <c r="F105" i="274"/>
  <c r="F102" i="274"/>
  <c r="F101" i="274"/>
  <c r="F100" i="274"/>
  <c r="F99" i="274"/>
  <c r="F98" i="274"/>
  <c r="F97" i="274"/>
  <c r="F96" i="274"/>
  <c r="F95" i="274"/>
  <c r="F94" i="274"/>
  <c r="F93" i="274"/>
  <c r="F92" i="274"/>
  <c r="F91" i="274"/>
  <c r="F90" i="274"/>
  <c r="F89" i="274"/>
  <c r="F88" i="274"/>
  <c r="F87" i="274"/>
  <c r="F86" i="274"/>
  <c r="F85" i="274"/>
  <c r="F84" i="274"/>
  <c r="F83" i="274"/>
  <c r="F82" i="274"/>
  <c r="F81" i="274"/>
  <c r="F79" i="274"/>
  <c r="F78" i="274"/>
  <c r="F77" i="274"/>
  <c r="F76" i="274"/>
  <c r="F75" i="274"/>
  <c r="F74" i="274"/>
  <c r="F73" i="274"/>
  <c r="F72" i="274"/>
  <c r="F71" i="274"/>
  <c r="F70" i="274"/>
  <c r="F69" i="274"/>
  <c r="F68" i="274"/>
  <c r="F67" i="274"/>
  <c r="F66" i="274"/>
  <c r="F65" i="274"/>
  <c r="F64" i="274"/>
  <c r="F63" i="274"/>
  <c r="F62" i="274"/>
  <c r="F61" i="274"/>
  <c r="F60" i="274"/>
  <c r="F59" i="274"/>
  <c r="F58" i="274"/>
  <c r="F57" i="274"/>
  <c r="F56" i="274"/>
  <c r="F55" i="274"/>
  <c r="F54" i="274"/>
  <c r="F53" i="274"/>
  <c r="F52" i="274"/>
  <c r="F51" i="274"/>
  <c r="F50" i="274"/>
  <c r="F49" i="274"/>
  <c r="F48" i="274"/>
  <c r="F47" i="274"/>
  <c r="F46" i="274"/>
  <c r="F45" i="274"/>
  <c r="F44" i="274"/>
  <c r="F43" i="274"/>
  <c r="F42" i="274"/>
  <c r="F41" i="274"/>
  <c r="F40" i="274"/>
  <c r="F39" i="274"/>
  <c r="F38" i="274"/>
  <c r="F37" i="274"/>
  <c r="F36" i="274"/>
  <c r="F35" i="274"/>
  <c r="F34" i="274"/>
  <c r="F33" i="274"/>
  <c r="F32" i="274"/>
  <c r="F31" i="274"/>
  <c r="F30" i="274"/>
  <c r="F29" i="274"/>
  <c r="F28" i="274"/>
  <c r="F27" i="274"/>
  <c r="F26" i="274"/>
  <c r="F25" i="274"/>
  <c r="F24" i="274"/>
  <c r="F23" i="274"/>
  <c r="F22" i="274"/>
  <c r="F21" i="274"/>
  <c r="F20" i="274"/>
  <c r="F19" i="274"/>
  <c r="F18" i="274"/>
  <c r="F17" i="274"/>
  <c r="F16" i="274"/>
  <c r="F15" i="274"/>
  <c r="F14" i="274"/>
  <c r="F13" i="274"/>
  <c r="F12" i="274"/>
  <c r="F11" i="274"/>
  <c r="F10" i="274"/>
  <c r="F9" i="274"/>
  <c r="F8" i="274"/>
  <c r="F7" i="274"/>
  <c r="F6" i="274"/>
  <c r="Q37" i="228"/>
  <c r="Q36" i="228"/>
  <c r="AQ83" i="261"/>
  <c r="Q32" i="228"/>
  <c r="BW82" i="216"/>
  <c r="BX82" i="216"/>
  <c r="BY82" i="216"/>
  <c r="BZ82" i="216"/>
  <c r="BV82" i="216"/>
  <c r="BW81" i="216"/>
  <c r="BX81" i="216"/>
  <c r="BY81" i="216"/>
  <c r="BZ81" i="216"/>
  <c r="BV81" i="216"/>
  <c r="BW76" i="216"/>
  <c r="BX76" i="216"/>
  <c r="BY76" i="216"/>
  <c r="BZ76" i="216"/>
  <c r="BV76" i="216"/>
  <c r="BW71" i="216"/>
  <c r="BX71" i="216"/>
  <c r="BY71" i="216"/>
  <c r="BZ71" i="216"/>
  <c r="BV71" i="216"/>
  <c r="BW66" i="216"/>
  <c r="BZ66" i="216"/>
  <c r="BV66" i="216"/>
  <c r="BW65" i="216"/>
  <c r="BX65" i="216"/>
  <c r="BY65" i="216"/>
  <c r="BZ65" i="216"/>
  <c r="BV65" i="216"/>
  <c r="BW61" i="216"/>
  <c r="BX61" i="216"/>
  <c r="BY61" i="216"/>
  <c r="BZ61" i="216"/>
  <c r="BV61" i="216"/>
  <c r="BW57" i="216"/>
  <c r="BX57" i="216"/>
  <c r="BX66" i="216"/>
  <c r="BY57" i="216"/>
  <c r="BZ57" i="216"/>
  <c r="BV57" i="216"/>
  <c r="BW53" i="216"/>
  <c r="BX53" i="216"/>
  <c r="BZ53" i="216"/>
  <c r="BV53" i="216"/>
  <c r="BW52" i="216"/>
  <c r="BX52" i="216"/>
  <c r="BY52" i="216"/>
  <c r="BZ52" i="216"/>
  <c r="BV52" i="216"/>
  <c r="BW47" i="216"/>
  <c r="BX47" i="216"/>
  <c r="BY47" i="216"/>
  <c r="BY53" i="216"/>
  <c r="BZ47" i="216"/>
  <c r="BV47" i="216"/>
  <c r="BW41" i="216"/>
  <c r="BX41" i="216"/>
  <c r="BY41" i="216"/>
  <c r="BZ41" i="216"/>
  <c r="BV41" i="216"/>
  <c r="BW35" i="216"/>
  <c r="BZ35" i="216"/>
  <c r="BW34" i="216"/>
  <c r="BX34" i="216"/>
  <c r="BY34" i="216"/>
  <c r="BZ34" i="216"/>
  <c r="BV34" i="216"/>
  <c r="BV35" i="216"/>
  <c r="BW30" i="216"/>
  <c r="BX30" i="216"/>
  <c r="BY30" i="216"/>
  <c r="BZ30" i="216"/>
  <c r="BV30" i="216"/>
  <c r="BW26" i="216"/>
  <c r="BX26" i="216"/>
  <c r="BX35" i="216"/>
  <c r="BY26" i="216"/>
  <c r="BY35" i="216"/>
  <c r="BZ26" i="216"/>
  <c r="BV26" i="216"/>
  <c r="BW22" i="216"/>
  <c r="BZ22" i="216"/>
  <c r="BW21" i="216"/>
  <c r="BX21" i="216"/>
  <c r="BY21" i="216"/>
  <c r="BZ21" i="216"/>
  <c r="BV21" i="216"/>
  <c r="BV22" i="216"/>
  <c r="BW16" i="216"/>
  <c r="BX16" i="216"/>
  <c r="BX22" i="216"/>
  <c r="BY16" i="216"/>
  <c r="BZ16" i="216"/>
  <c r="BV16" i="216"/>
  <c r="BW10" i="216"/>
  <c r="BX10" i="216"/>
  <c r="BY10" i="216"/>
  <c r="BZ10" i="216"/>
  <c r="BV10" i="216"/>
  <c r="BE21" i="216"/>
  <c r="AU21" i="216"/>
  <c r="AV21" i="216"/>
  <c r="AW21" i="216"/>
  <c r="AX21" i="216"/>
  <c r="AT21" i="216"/>
  <c r="AN21" i="216"/>
  <c r="AO21" i="216"/>
  <c r="AP21" i="216"/>
  <c r="AQ21" i="216"/>
  <c r="AM21" i="216"/>
  <c r="AG21" i="216"/>
  <c r="AH21" i="216"/>
  <c r="AI21" i="216"/>
  <c r="AJ21" i="216"/>
  <c r="AF21" i="216"/>
  <c r="AC21" i="216"/>
  <c r="AA21" i="216"/>
  <c r="Z21" i="216"/>
  <c r="Y21" i="216"/>
  <c r="V21" i="216"/>
  <c r="T21" i="216"/>
  <c r="O21" i="216"/>
  <c r="M21" i="216"/>
  <c r="H21" i="216"/>
  <c r="F21" i="216"/>
  <c r="Q31" i="228"/>
  <c r="Q30" i="228"/>
  <c r="AQ81" i="214"/>
  <c r="AQ80" i="214"/>
  <c r="AQ75" i="214"/>
  <c r="AQ70" i="214"/>
  <c r="AQ65" i="214"/>
  <c r="AQ64" i="214"/>
  <c r="AQ60" i="214"/>
  <c r="AQ56" i="214"/>
  <c r="AQ52" i="214"/>
  <c r="AQ51" i="214"/>
  <c r="AQ46" i="214"/>
  <c r="AQ40" i="214"/>
  <c r="AQ34" i="214"/>
  <c r="AQ33" i="214"/>
  <c r="AQ29" i="214"/>
  <c r="AQ25" i="214"/>
  <c r="AQ21" i="214"/>
  <c r="AQ20" i="214"/>
  <c r="AQ15" i="214"/>
  <c r="AQ9" i="214"/>
  <c r="AR9" i="214"/>
  <c r="AR15" i="214"/>
  <c r="BY66" i="216"/>
  <c r="BY22" i="216"/>
  <c r="CA22" i="216"/>
  <c r="Q53" i="228"/>
  <c r="Q34" i="228"/>
  <c r="E39" i="272"/>
  <c r="D39" i="272"/>
  <c r="E32" i="272"/>
  <c r="D32" i="272"/>
  <c r="E25" i="272"/>
  <c r="D25" i="272"/>
  <c r="E18" i="272"/>
  <c r="D18" i="272"/>
  <c r="E11" i="272"/>
  <c r="E43" i="272"/>
  <c r="D11" i="272"/>
  <c r="D43" i="272"/>
  <c r="Q22" i="228"/>
  <c r="Q21" i="228"/>
  <c r="AB10" i="269"/>
  <c r="AC10" i="269"/>
  <c r="AD10" i="269"/>
  <c r="AE10" i="269"/>
  <c r="Q11" i="228"/>
  <c r="Q10" i="228"/>
  <c r="Q9" i="228"/>
  <c r="Q6" i="228"/>
  <c r="Q33" i="228"/>
  <c r="H5" i="217"/>
  <c r="G6" i="217"/>
  <c r="G5" i="217"/>
  <c r="F41" i="272"/>
  <c r="F39" i="272"/>
  <c r="F38" i="272"/>
  <c r="F37" i="272"/>
  <c r="F36" i="272"/>
  <c r="F35" i="272"/>
  <c r="F34" i="272"/>
  <c r="F32" i="272"/>
  <c r="F31" i="272"/>
  <c r="F30" i="272"/>
  <c r="F29" i="272"/>
  <c r="F28" i="272"/>
  <c r="F27" i="272"/>
  <c r="F25" i="272"/>
  <c r="F24" i="272"/>
  <c r="F23" i="272"/>
  <c r="F22" i="272"/>
  <c r="F21" i="272"/>
  <c r="F20" i="272"/>
  <c r="F18" i="272"/>
  <c r="F17" i="272"/>
  <c r="F16" i="272"/>
  <c r="F15" i="272"/>
  <c r="F14" i="272"/>
  <c r="F13" i="272"/>
  <c r="F11" i="272"/>
  <c r="F10" i="272"/>
  <c r="F9" i="272"/>
  <c r="F8" i="272"/>
  <c r="F7" i="272"/>
  <c r="F6" i="272"/>
  <c r="Q38" i="228"/>
  <c r="AR83" i="221"/>
  <c r="AQ83" i="221"/>
  <c r="AS83" i="221"/>
  <c r="AS81" i="221"/>
  <c r="AS80" i="221"/>
  <c r="AS79" i="221"/>
  <c r="AS78" i="221"/>
  <c r="AS77" i="221"/>
  <c r="AS76" i="221"/>
  <c r="AS75" i="221"/>
  <c r="AS74" i="221"/>
  <c r="AS73" i="221"/>
  <c r="AS72" i="221"/>
  <c r="AS71" i="221"/>
  <c r="AS70" i="221"/>
  <c r="AS69" i="221"/>
  <c r="AS68" i="221"/>
  <c r="AS67" i="221"/>
  <c r="AS66" i="221"/>
  <c r="AS65" i="221"/>
  <c r="AS64" i="221"/>
  <c r="AS63" i="221"/>
  <c r="AS60" i="221"/>
  <c r="AS58" i="221"/>
  <c r="AS57" i="221"/>
  <c r="AS56" i="221"/>
  <c r="AS55" i="221"/>
  <c r="AS54" i="221"/>
  <c r="AS52" i="221"/>
  <c r="AS51" i="221"/>
  <c r="AS50" i="221"/>
  <c r="AS49" i="221"/>
  <c r="AS48" i="221"/>
  <c r="AS47" i="221"/>
  <c r="AS46" i="221"/>
  <c r="AS45" i="221"/>
  <c r="AS44" i="221"/>
  <c r="AS43" i="221"/>
  <c r="AS42" i="221"/>
  <c r="AS41" i="221"/>
  <c r="AS40" i="221"/>
  <c r="AS39" i="221"/>
  <c r="AS38" i="221"/>
  <c r="AS37" i="221"/>
  <c r="AS36" i="221"/>
  <c r="AS35" i="221"/>
  <c r="AS34" i="221"/>
  <c r="AS33" i="221"/>
  <c r="AS32" i="221"/>
  <c r="AS31" i="221"/>
  <c r="AS30" i="221"/>
  <c r="AS29" i="221"/>
  <c r="AS28" i="221"/>
  <c r="AS27" i="221"/>
  <c r="AS26" i="221"/>
  <c r="AS25" i="221"/>
  <c r="AS24" i="221"/>
  <c r="AS23" i="221"/>
  <c r="AS22" i="221"/>
  <c r="AS21" i="221"/>
  <c r="AS20" i="221"/>
  <c r="AS19" i="221"/>
  <c r="AS18" i="221"/>
  <c r="AS17" i="221"/>
  <c r="AS16" i="221"/>
  <c r="AS15" i="221"/>
  <c r="AS14" i="221"/>
  <c r="AS13" i="221"/>
  <c r="AS12" i="221"/>
  <c r="AS11" i="221"/>
  <c r="AS10" i="221"/>
  <c r="AS9" i="221"/>
  <c r="AS8" i="221"/>
  <c r="AS7" i="221"/>
  <c r="AS6" i="221"/>
  <c r="AS5" i="221"/>
  <c r="AS4" i="221"/>
  <c r="AQ83" i="220"/>
  <c r="AS83" i="220"/>
  <c r="AS81" i="220"/>
  <c r="AS80" i="220"/>
  <c r="AS79" i="220"/>
  <c r="AS78" i="220"/>
  <c r="AS77" i="220"/>
  <c r="AS76" i="220"/>
  <c r="AS75" i="220"/>
  <c r="AS74" i="220"/>
  <c r="AS73" i="220"/>
  <c r="AS72" i="220"/>
  <c r="AS71" i="220"/>
  <c r="AS70" i="220"/>
  <c r="AS69" i="220"/>
  <c r="AS68" i="220"/>
  <c r="AS67" i="220"/>
  <c r="AS66" i="220"/>
  <c r="AS65" i="220"/>
  <c r="AS64" i="220"/>
  <c r="AS63" i="220"/>
  <c r="AS60" i="220"/>
  <c r="AS58" i="220"/>
  <c r="AS57" i="220"/>
  <c r="AS56" i="220"/>
  <c r="AS55" i="220"/>
  <c r="AS54" i="220"/>
  <c r="AS52" i="220"/>
  <c r="AS51" i="220"/>
  <c r="AS50" i="220"/>
  <c r="AS49" i="220"/>
  <c r="AS48" i="220"/>
  <c r="AS47" i="220"/>
  <c r="AS46" i="220"/>
  <c r="AS45" i="220"/>
  <c r="AS44" i="220"/>
  <c r="AS43" i="220"/>
  <c r="AS42" i="220"/>
  <c r="AS41" i="220"/>
  <c r="AS40" i="220"/>
  <c r="AS39" i="220"/>
  <c r="AS38" i="220"/>
  <c r="AS37" i="220"/>
  <c r="AS36" i="220"/>
  <c r="AS35" i="220"/>
  <c r="AS34" i="220"/>
  <c r="AS33" i="220"/>
  <c r="AS32" i="220"/>
  <c r="AS31" i="220"/>
  <c r="AS30" i="220"/>
  <c r="AS29" i="220"/>
  <c r="AS28" i="220"/>
  <c r="AS27" i="220"/>
  <c r="AS26" i="220"/>
  <c r="AS25" i="220"/>
  <c r="AS24" i="220"/>
  <c r="AS23" i="220"/>
  <c r="AS22" i="220"/>
  <c r="AS21" i="220"/>
  <c r="AS20" i="220"/>
  <c r="AS19" i="220"/>
  <c r="AS18" i="220"/>
  <c r="AS17" i="220"/>
  <c r="AS16" i="220"/>
  <c r="AS15" i="220"/>
  <c r="AS14" i="220"/>
  <c r="AS13" i="220"/>
  <c r="AS12" i="220"/>
  <c r="AS11" i="220"/>
  <c r="AS10" i="220"/>
  <c r="AS9" i="220"/>
  <c r="AS8" i="220"/>
  <c r="AS7" i="220"/>
  <c r="AS6" i="220"/>
  <c r="AS5" i="220"/>
  <c r="AS4" i="220"/>
  <c r="AS83" i="261"/>
  <c r="Q35" i="228"/>
  <c r="AS81" i="261"/>
  <c r="AS80" i="261"/>
  <c r="AS79" i="261"/>
  <c r="AS78" i="261"/>
  <c r="AS77" i="261"/>
  <c r="AS76" i="261"/>
  <c r="AS75" i="261"/>
  <c r="AS74" i="261"/>
  <c r="AS73" i="261"/>
  <c r="AS72" i="261"/>
  <c r="AS71" i="261"/>
  <c r="AS70" i="261"/>
  <c r="AS69" i="261"/>
  <c r="AS68" i="261"/>
  <c r="AS67" i="261"/>
  <c r="AS66" i="261"/>
  <c r="AS65" i="261"/>
  <c r="AS64" i="261"/>
  <c r="AS63" i="261"/>
  <c r="AS60" i="261"/>
  <c r="AS58" i="261"/>
  <c r="AS57" i="261"/>
  <c r="AS56" i="261"/>
  <c r="AS55" i="261"/>
  <c r="AS54" i="261"/>
  <c r="AS52" i="261"/>
  <c r="AS51" i="261"/>
  <c r="AS50" i="261"/>
  <c r="AS49" i="261"/>
  <c r="AS48" i="261"/>
  <c r="AS47" i="261"/>
  <c r="AS46" i="261"/>
  <c r="AS45" i="261"/>
  <c r="AS44" i="261"/>
  <c r="AS43" i="261"/>
  <c r="AS42" i="261"/>
  <c r="AS41" i="261"/>
  <c r="AS40" i="261"/>
  <c r="AS39" i="261"/>
  <c r="AS38" i="261"/>
  <c r="AS37" i="261"/>
  <c r="AS36" i="261"/>
  <c r="AS35" i="261"/>
  <c r="AS34" i="261"/>
  <c r="AS33" i="261"/>
  <c r="AS32" i="261"/>
  <c r="AS31" i="261"/>
  <c r="AS30" i="261"/>
  <c r="AS29" i="261"/>
  <c r="AS28" i="261"/>
  <c r="AS27" i="261"/>
  <c r="AS26" i="261"/>
  <c r="AS25" i="261"/>
  <c r="AS24" i="261"/>
  <c r="AS23" i="261"/>
  <c r="AS22" i="261"/>
  <c r="AS21" i="261"/>
  <c r="AS20" i="261"/>
  <c r="AS19" i="261"/>
  <c r="AS17" i="261"/>
  <c r="AS16" i="261"/>
  <c r="AS18" i="261"/>
  <c r="AS15" i="261"/>
  <c r="AS14" i="261"/>
  <c r="AS13" i="261"/>
  <c r="AS12" i="261"/>
  <c r="AS11" i="261"/>
  <c r="AS10" i="261"/>
  <c r="AS9" i="261"/>
  <c r="AS8" i="261"/>
  <c r="AS7" i="261"/>
  <c r="AS6" i="261"/>
  <c r="AS5" i="261"/>
  <c r="AS4" i="261"/>
  <c r="D20" i="261"/>
  <c r="H20" i="261"/>
  <c r="L20" i="261"/>
  <c r="P20" i="261"/>
  <c r="T20" i="261"/>
  <c r="X20" i="261"/>
  <c r="AB20" i="261"/>
  <c r="AF20" i="261"/>
  <c r="AJ20" i="261"/>
  <c r="AN20" i="261"/>
  <c r="AR20" i="214"/>
  <c r="AN20" i="214"/>
  <c r="AJ20" i="214"/>
  <c r="AF20" i="214"/>
  <c r="AB20" i="214"/>
  <c r="X9" i="214"/>
  <c r="X15" i="214"/>
  <c r="X20" i="214"/>
  <c r="T20" i="214"/>
  <c r="P20" i="214"/>
  <c r="L20" i="214"/>
  <c r="H20" i="214"/>
  <c r="D20" i="214"/>
  <c r="P83" i="215"/>
  <c r="P81" i="215"/>
  <c r="P80" i="215"/>
  <c r="P75" i="215"/>
  <c r="P70" i="215"/>
  <c r="P65" i="215"/>
  <c r="P64" i="215"/>
  <c r="M60" i="215"/>
  <c r="M61" i="215"/>
  <c r="M62" i="215"/>
  <c r="M63" i="215"/>
  <c r="M64" i="215"/>
  <c r="P60" i="215"/>
  <c r="P56" i="215"/>
  <c r="P52" i="215"/>
  <c r="P51" i="215"/>
  <c r="P46" i="215"/>
  <c r="P40" i="215"/>
  <c r="P34" i="215"/>
  <c r="P33" i="215"/>
  <c r="P29" i="215"/>
  <c r="P25" i="215"/>
  <c r="P21" i="215"/>
  <c r="P20" i="215"/>
  <c r="P15" i="215"/>
  <c r="P9" i="215"/>
  <c r="D83" i="215"/>
  <c r="D81" i="215"/>
  <c r="D80" i="215"/>
  <c r="D75" i="215"/>
  <c r="D70" i="215"/>
  <c r="D65" i="215"/>
  <c r="D64" i="215"/>
  <c r="D60" i="215"/>
  <c r="D56" i="215"/>
  <c r="D52" i="215"/>
  <c r="D51" i="215"/>
  <c r="D46" i="215"/>
  <c r="D40" i="215"/>
  <c r="D34" i="215"/>
  <c r="D33" i="215"/>
  <c r="D29" i="215"/>
  <c r="D25" i="215"/>
  <c r="D20" i="215"/>
  <c r="D15" i="215"/>
  <c r="D21" i="215"/>
  <c r="D9" i="215"/>
  <c r="F43" i="272"/>
  <c r="Q46" i="228"/>
  <c r="Q52" i="228"/>
  <c r="E20" i="229"/>
  <c r="E21" i="229"/>
  <c r="F21" i="229"/>
  <c r="D21" i="229"/>
  <c r="L8" i="230"/>
  <c r="AT31" i="235"/>
  <c r="AV31" i="235" s="1"/>
  <c r="Q60" i="228" s="1"/>
  <c r="AT30" i="235"/>
  <c r="AV30" i="235" s="1"/>
  <c r="Q59" i="228" s="1"/>
  <c r="AT29" i="235"/>
  <c r="AV29" i="235" s="1"/>
  <c r="Q58" i="228" s="1"/>
  <c r="M8" i="273"/>
  <c r="M30" i="273"/>
  <c r="Q45" i="228"/>
  <c r="M13" i="273"/>
  <c r="M18" i="273"/>
  <c r="M22" i="273"/>
  <c r="M27" i="273"/>
  <c r="CA84" i="216"/>
  <c r="CA82" i="216"/>
  <c r="CA81" i="216"/>
  <c r="CA79" i="216"/>
  <c r="CA77" i="216"/>
  <c r="CA76" i="216"/>
  <c r="CA75" i="216"/>
  <c r="CA74" i="216"/>
  <c r="CA73" i="216"/>
  <c r="CA72" i="216"/>
  <c r="CA71" i="216"/>
  <c r="CA70" i="216"/>
  <c r="CA69" i="216"/>
  <c r="CA68" i="216"/>
  <c r="CA67" i="216"/>
  <c r="CA66" i="216"/>
  <c r="CA65" i="216"/>
  <c r="CA64" i="216"/>
  <c r="CA63" i="216"/>
  <c r="CA62" i="216"/>
  <c r="CA61" i="216"/>
  <c r="CA60" i="216"/>
  <c r="CA59" i="216"/>
  <c r="CA58" i="216"/>
  <c r="CA57" i="216"/>
  <c r="CA55" i="216"/>
  <c r="CA53" i="216"/>
  <c r="CA52" i="216"/>
  <c r="CA51" i="216"/>
  <c r="CA49" i="216"/>
  <c r="CA47" i="216"/>
  <c r="CA46" i="216"/>
  <c r="CA45" i="216"/>
  <c r="CA44" i="216"/>
  <c r="CA43" i="216"/>
  <c r="CA42" i="216"/>
  <c r="CA41" i="216"/>
  <c r="CA40" i="216"/>
  <c r="CA39" i="216"/>
  <c r="CA38" i="216"/>
  <c r="CA37" i="216"/>
  <c r="CA35" i="216"/>
  <c r="CA34" i="216"/>
  <c r="CA33" i="216"/>
  <c r="CA32" i="216"/>
  <c r="CA31" i="216"/>
  <c r="CA30" i="216"/>
  <c r="CA29" i="216"/>
  <c r="CA28" i="216"/>
  <c r="CA27" i="216"/>
  <c r="CA26" i="216"/>
  <c r="CA25" i="216"/>
  <c r="CA24" i="216"/>
  <c r="CA23" i="216"/>
  <c r="CA21" i="216"/>
  <c r="CA20" i="216"/>
  <c r="CA17" i="216"/>
  <c r="CA19" i="216"/>
  <c r="CA18" i="216"/>
  <c r="CA16" i="216"/>
  <c r="CA15" i="216"/>
  <c r="CA14" i="216"/>
  <c r="CA13" i="216"/>
  <c r="CA12" i="216"/>
  <c r="CA11" i="216"/>
  <c r="CA10" i="216"/>
  <c r="CA9" i="216"/>
  <c r="CA8" i="216"/>
  <c r="CA7" i="216"/>
  <c r="CA6" i="216"/>
  <c r="CA5" i="216"/>
  <c r="Q83" i="215"/>
  <c r="Q81" i="215"/>
  <c r="Q80" i="215"/>
  <c r="Q79" i="215"/>
  <c r="Q78" i="215"/>
  <c r="Q77" i="215"/>
  <c r="Q76" i="215"/>
  <c r="Q75" i="215"/>
  <c r="Q74" i="215"/>
  <c r="Q73" i="215"/>
  <c r="Q72" i="215"/>
  <c r="Q71" i="215"/>
  <c r="Q70" i="215"/>
  <c r="Q69" i="215"/>
  <c r="Q68" i="215"/>
  <c r="Q67" i="215"/>
  <c r="Q66" i="215"/>
  <c r="Q65" i="215"/>
  <c r="Q62" i="215"/>
  <c r="Q61" i="215"/>
  <c r="Q59" i="215"/>
  <c r="Q58" i="215"/>
  <c r="Q57" i="215"/>
  <c r="Q56" i="215"/>
  <c r="Q55" i="215"/>
  <c r="Q54" i="215"/>
  <c r="Q53" i="215"/>
  <c r="Q52" i="215"/>
  <c r="Q51" i="215"/>
  <c r="Q50" i="215"/>
  <c r="Q49" i="215"/>
  <c r="Q48" i="215"/>
  <c r="Q47" i="215"/>
  <c r="Q46" i="215"/>
  <c r="Q45" i="215"/>
  <c r="Q44" i="215"/>
  <c r="Q43" i="215"/>
  <c r="Q42" i="215"/>
  <c r="Q41" i="215"/>
  <c r="Q40" i="215"/>
  <c r="Q39" i="215"/>
  <c r="Q38" i="215"/>
  <c r="Q37" i="215"/>
  <c r="Q36" i="215"/>
  <c r="Q35" i="215"/>
  <c r="Q34" i="215"/>
  <c r="Q33" i="215"/>
  <c r="Q32" i="215"/>
  <c r="Q31" i="215"/>
  <c r="Q30" i="215"/>
  <c r="Q29" i="215"/>
  <c r="Q28" i="215"/>
  <c r="Q27" i="215"/>
  <c r="Q26" i="215"/>
  <c r="Q25" i="215"/>
  <c r="Q24" i="215"/>
  <c r="Q23" i="215"/>
  <c r="Q22" i="215"/>
  <c r="Q21" i="215"/>
  <c r="Q20" i="215"/>
  <c r="Q19" i="215"/>
  <c r="Q18" i="215"/>
  <c r="Q17" i="215"/>
  <c r="Q16" i="215"/>
  <c r="Q15" i="215"/>
  <c r="Q14" i="215"/>
  <c r="Q13" i="215"/>
  <c r="Q12" i="215"/>
  <c r="Q11" i="215"/>
  <c r="Q10" i="215"/>
  <c r="Q9" i="215"/>
  <c r="Q8" i="215"/>
  <c r="Q7" i="215"/>
  <c r="Q6" i="215"/>
  <c r="Q5" i="215"/>
  <c r="Q4" i="215"/>
  <c r="AR80" i="214"/>
  <c r="AS80" i="214"/>
  <c r="AS79" i="214"/>
  <c r="AS78" i="214"/>
  <c r="AS77" i="214"/>
  <c r="AS76" i="214"/>
  <c r="AR75" i="214"/>
  <c r="AS75" i="214"/>
  <c r="AS74" i="214"/>
  <c r="AS73" i="214"/>
  <c r="AS72" i="214"/>
  <c r="AS71" i="214"/>
  <c r="AR70" i="214"/>
  <c r="AS70" i="214"/>
  <c r="AS69" i="214"/>
  <c r="AS68" i="214"/>
  <c r="AS67" i="214"/>
  <c r="AS66" i="214"/>
  <c r="AR64" i="214"/>
  <c r="AS64" i="214"/>
  <c r="AS63" i="214"/>
  <c r="AS62" i="214"/>
  <c r="AS61" i="214"/>
  <c r="AR60" i="214"/>
  <c r="AR65" i="214"/>
  <c r="AS65" i="214"/>
  <c r="AS59" i="214"/>
  <c r="AS58" i="214"/>
  <c r="AS57" i="214"/>
  <c r="AR56" i="214"/>
  <c r="AS56" i="214"/>
  <c r="AS55" i="214"/>
  <c r="AS54" i="214"/>
  <c r="AS53" i="214"/>
  <c r="AR51" i="214"/>
  <c r="AS51" i="214"/>
  <c r="AS50" i="214"/>
  <c r="AS49" i="214"/>
  <c r="AS48" i="214"/>
  <c r="AS47" i="214"/>
  <c r="AR46" i="214"/>
  <c r="AS46" i="214"/>
  <c r="AS45" i="214"/>
  <c r="AS44" i="214"/>
  <c r="AS43" i="214"/>
  <c r="AS42" i="214"/>
  <c r="AS41" i="214"/>
  <c r="AR40" i="214"/>
  <c r="AS40" i="214"/>
  <c r="AS39" i="214"/>
  <c r="AS38" i="214"/>
  <c r="AS37" i="214"/>
  <c r="AS36" i="214"/>
  <c r="AS35" i="214"/>
  <c r="AR33" i="214"/>
  <c r="AS33" i="214"/>
  <c r="AS32" i="214"/>
  <c r="AS31" i="214"/>
  <c r="AS30" i="214"/>
  <c r="AR29" i="214"/>
  <c r="AS29" i="214"/>
  <c r="AS28" i="214"/>
  <c r="AS27" i="214"/>
  <c r="AS26" i="214"/>
  <c r="AR25" i="214"/>
  <c r="AS25" i="214"/>
  <c r="AS24" i="214"/>
  <c r="AS23" i="214"/>
  <c r="AS22" i="214"/>
  <c r="AS20" i="214"/>
  <c r="AS19" i="214"/>
  <c r="AS16" i="214"/>
  <c r="AS18" i="214"/>
  <c r="AS17" i="214"/>
  <c r="AS15" i="214"/>
  <c r="AS14" i="214"/>
  <c r="AS13" i="214"/>
  <c r="AS12" i="214"/>
  <c r="AS11" i="214"/>
  <c r="AS10" i="214"/>
  <c r="AS9" i="214"/>
  <c r="AS8" i="214"/>
  <c r="AS7" i="214"/>
  <c r="AS6" i="214"/>
  <c r="AS5" i="214"/>
  <c r="AS4" i="214"/>
  <c r="AR52" i="214"/>
  <c r="AS52" i="214"/>
  <c r="AI29" i="270"/>
  <c r="AI28" i="270"/>
  <c r="AI27" i="270"/>
  <c r="AI24" i="270"/>
  <c r="AI19" i="270"/>
  <c r="AI18" i="270"/>
  <c r="AI17" i="270"/>
  <c r="AI14" i="270"/>
  <c r="AI13" i="270"/>
  <c r="AI12" i="270"/>
  <c r="AI8" i="270"/>
  <c r="AI9" i="270"/>
  <c r="AI7" i="270"/>
  <c r="BK195" i="270"/>
  <c r="BK193" i="270"/>
  <c r="C63" i="238"/>
  <c r="B63" i="238"/>
  <c r="C31" i="238"/>
  <c r="B31" i="238"/>
  <c r="G11" i="238"/>
  <c r="H11" i="238"/>
  <c r="F11" i="238"/>
  <c r="F28" i="238"/>
  <c r="G75" i="238"/>
  <c r="H75" i="238"/>
  <c r="D13" i="227"/>
  <c r="D12" i="227"/>
  <c r="E7" i="231"/>
  <c r="E8" i="231"/>
  <c r="E13" i="231"/>
  <c r="E9" i="231"/>
  <c r="E10" i="231"/>
  <c r="E11" i="231"/>
  <c r="E12" i="231"/>
  <c r="B13" i="231"/>
  <c r="G13" i="231"/>
  <c r="F13" i="231"/>
  <c r="D13" i="231"/>
  <c r="C13" i="231"/>
  <c r="G12" i="231"/>
  <c r="G11" i="231"/>
  <c r="G10" i="231"/>
  <c r="G9" i="231"/>
  <c r="G8" i="231"/>
  <c r="G7" i="231"/>
  <c r="D10" i="237"/>
  <c r="E10" i="237"/>
  <c r="F10" i="237"/>
  <c r="Q62" i="228"/>
  <c r="C10" i="237"/>
  <c r="F9" i="237"/>
  <c r="F8" i="237"/>
  <c r="F7" i="237"/>
  <c r="F6" i="237"/>
  <c r="F5" i="237"/>
  <c r="F4" i="237"/>
  <c r="AU31" i="235"/>
  <c r="AU30" i="235"/>
  <c r="AU29" i="235"/>
  <c r="AV27" i="235"/>
  <c r="AV23" i="235"/>
  <c r="AV22" i="235"/>
  <c r="AV21" i="235"/>
  <c r="AV19" i="235"/>
  <c r="AV18" i="235"/>
  <c r="AV17" i="235"/>
  <c r="AV15" i="235"/>
  <c r="AV14" i="235"/>
  <c r="AV13" i="235"/>
  <c r="AV11" i="235"/>
  <c r="AV10" i="235"/>
  <c r="AV9" i="235"/>
  <c r="AV7" i="235"/>
  <c r="AV6" i="235"/>
  <c r="AV5" i="235"/>
  <c r="M11" i="236"/>
  <c r="Q39" i="228"/>
  <c r="BM36" i="223"/>
  <c r="BN36" i="223"/>
  <c r="BL36" i="223"/>
  <c r="BK36" i="223"/>
  <c r="BM35" i="223"/>
  <c r="BL35" i="223"/>
  <c r="BK35" i="223"/>
  <c r="BM34" i="223"/>
  <c r="BL34" i="223"/>
  <c r="BK34" i="223"/>
  <c r="BM33" i="223"/>
  <c r="BL33" i="223"/>
  <c r="BK33" i="223"/>
  <c r="BM32" i="223"/>
  <c r="BL32" i="223"/>
  <c r="BK32" i="223"/>
  <c r="BM31" i="223"/>
  <c r="BL31" i="223"/>
  <c r="BK31" i="223"/>
  <c r="BM29" i="223"/>
  <c r="BL29" i="223"/>
  <c r="BK29" i="223"/>
  <c r="BN28" i="223"/>
  <c r="BO28" i="223"/>
  <c r="BN27" i="223"/>
  <c r="BO27" i="223"/>
  <c r="BN26" i="223"/>
  <c r="BO26" i="223"/>
  <c r="BM24" i="223"/>
  <c r="BL24" i="223"/>
  <c r="BK24" i="223"/>
  <c r="BN24" i="223"/>
  <c r="BO24" i="223"/>
  <c r="BN23" i="223"/>
  <c r="BO23" i="223"/>
  <c r="BN22" i="223"/>
  <c r="BO22" i="223"/>
  <c r="BN21" i="223"/>
  <c r="BO21" i="223"/>
  <c r="BM19" i="223"/>
  <c r="BL19" i="223"/>
  <c r="BK19" i="223"/>
  <c r="BN18" i="223"/>
  <c r="BO18" i="223"/>
  <c r="BN17" i="223"/>
  <c r="BO17" i="223"/>
  <c r="BN16" i="223"/>
  <c r="BO16" i="223"/>
  <c r="BM14" i="223"/>
  <c r="BL14" i="223"/>
  <c r="BK14" i="223"/>
  <c r="BN13" i="223"/>
  <c r="BO13" i="223"/>
  <c r="BN12" i="223"/>
  <c r="BO12" i="223"/>
  <c r="BN11" i="223"/>
  <c r="BO11" i="223"/>
  <c r="BM9" i="223"/>
  <c r="BL9" i="223"/>
  <c r="BK9" i="223"/>
  <c r="BN9" i="223"/>
  <c r="BO9" i="223"/>
  <c r="BN8" i="223"/>
  <c r="BO8" i="223"/>
  <c r="BN7" i="223"/>
  <c r="BO7" i="223"/>
  <c r="BN6" i="223"/>
  <c r="BO6" i="223"/>
  <c r="BN34" i="223"/>
  <c r="BO34" i="223"/>
  <c r="BN33" i="223"/>
  <c r="BO33" i="223"/>
  <c r="BN19" i="223"/>
  <c r="BO19" i="223"/>
  <c r="BL37" i="223"/>
  <c r="BN35" i="223"/>
  <c r="BO35" i="223"/>
  <c r="BO36" i="223"/>
  <c r="BN14" i="223"/>
  <c r="BO14" i="223"/>
  <c r="BM37" i="223"/>
  <c r="BN31" i="223"/>
  <c r="BO31" i="223"/>
  <c r="BK37" i="223"/>
  <c r="BN29" i="223"/>
  <c r="BO29" i="223"/>
  <c r="BN32" i="223"/>
  <c r="BO32" i="223"/>
  <c r="F51" i="271"/>
  <c r="E51" i="271"/>
  <c r="D51" i="271"/>
  <c r="F50" i="271"/>
  <c r="E50" i="271"/>
  <c r="D50" i="271"/>
  <c r="D52" i="271" s="1"/>
  <c r="F49" i="271"/>
  <c r="F52" i="271" s="1"/>
  <c r="E49" i="271"/>
  <c r="D49" i="271"/>
  <c r="F44" i="271"/>
  <c r="E44" i="271"/>
  <c r="D44" i="271"/>
  <c r="F33" i="271"/>
  <c r="E33" i="271"/>
  <c r="F25" i="271"/>
  <c r="E25" i="271"/>
  <c r="D25" i="271"/>
  <c r="F17" i="271"/>
  <c r="E17" i="271"/>
  <c r="D17" i="271"/>
  <c r="F8" i="271"/>
  <c r="E8" i="271"/>
  <c r="D8" i="271"/>
  <c r="AH30" i="270"/>
  <c r="AI30" i="270"/>
  <c r="AH25" i="270"/>
  <c r="AI25" i="270"/>
  <c r="AH20" i="270"/>
  <c r="AI20" i="270"/>
  <c r="AH15" i="270"/>
  <c r="AI10" i="270"/>
  <c r="AE30" i="269"/>
  <c r="AD30" i="269"/>
  <c r="AC30" i="269"/>
  <c r="AB30" i="269"/>
  <c r="AF29" i="269"/>
  <c r="AG29" i="269"/>
  <c r="AF28" i="269"/>
  <c r="AG28" i="269"/>
  <c r="AH28" i="269"/>
  <c r="AF27" i="269"/>
  <c r="AE25" i="269"/>
  <c r="AD25" i="269"/>
  <c r="AF25" i="269"/>
  <c r="AF24" i="269"/>
  <c r="AG24" i="269"/>
  <c r="AF23" i="269"/>
  <c r="AH23" i="269"/>
  <c r="AG23" i="269"/>
  <c r="AF22" i="269"/>
  <c r="AH22" i="269"/>
  <c r="AG22" i="269"/>
  <c r="AE20" i="269"/>
  <c r="AD20" i="269"/>
  <c r="AC20" i="269"/>
  <c r="AB20" i="269"/>
  <c r="AF20" i="269"/>
  <c r="AG20" i="269"/>
  <c r="AF19" i="269"/>
  <c r="AH19" i="269"/>
  <c r="AF18" i="269"/>
  <c r="AH18" i="269"/>
  <c r="AG18" i="269"/>
  <c r="AF17" i="269"/>
  <c r="AH17" i="269"/>
  <c r="AG17" i="269"/>
  <c r="AE15" i="269"/>
  <c r="AD15" i="269"/>
  <c r="AB15" i="269"/>
  <c r="AF14" i="269"/>
  <c r="AH14" i="269"/>
  <c r="AF13" i="269"/>
  <c r="AG13" i="269"/>
  <c r="AF12" i="269"/>
  <c r="AH12" i="269"/>
  <c r="AE32" i="269"/>
  <c r="AD32" i="269"/>
  <c r="AF9" i="269"/>
  <c r="AH9" i="269"/>
  <c r="AF8" i="269"/>
  <c r="AG8" i="269"/>
  <c r="AF7" i="269"/>
  <c r="AH7" i="269"/>
  <c r="Q16" i="228"/>
  <c r="H147" i="213"/>
  <c r="G146" i="213"/>
  <c r="G145" i="213"/>
  <c r="G144" i="213"/>
  <c r="G143" i="213"/>
  <c r="G142" i="213"/>
  <c r="G141" i="213"/>
  <c r="G140" i="213"/>
  <c r="G139" i="213"/>
  <c r="G138" i="213"/>
  <c r="G137" i="213"/>
  <c r="G136" i="213"/>
  <c r="G135" i="213"/>
  <c r="G134" i="213"/>
  <c r="G133" i="213"/>
  <c r="G132" i="213"/>
  <c r="G131" i="213"/>
  <c r="G130" i="213"/>
  <c r="G129" i="213"/>
  <c r="G128" i="213"/>
  <c r="G127" i="213"/>
  <c r="G126" i="213"/>
  <c r="G125" i="213"/>
  <c r="G124" i="213"/>
  <c r="G123" i="213"/>
  <c r="G122" i="213"/>
  <c r="G121" i="213"/>
  <c r="G120" i="213"/>
  <c r="G119" i="213"/>
  <c r="G118" i="213"/>
  <c r="G117" i="213"/>
  <c r="G116" i="213"/>
  <c r="G115" i="213"/>
  <c r="G114" i="213"/>
  <c r="G113" i="213"/>
  <c r="G112" i="213"/>
  <c r="G111" i="213"/>
  <c r="G110" i="213"/>
  <c r="G109" i="213"/>
  <c r="G108" i="213"/>
  <c r="G107" i="213"/>
  <c r="G106" i="213"/>
  <c r="G105" i="213"/>
  <c r="G104" i="213"/>
  <c r="G103" i="213"/>
  <c r="G102" i="213"/>
  <c r="G101" i="213"/>
  <c r="G100" i="213"/>
  <c r="G99" i="213"/>
  <c r="G98" i="213"/>
  <c r="G97" i="213"/>
  <c r="G96" i="213"/>
  <c r="G95" i="213"/>
  <c r="G94" i="213"/>
  <c r="G93" i="213"/>
  <c r="G92" i="213"/>
  <c r="G91" i="213"/>
  <c r="G90" i="213"/>
  <c r="G89" i="213"/>
  <c r="G88" i="213"/>
  <c r="G87" i="213"/>
  <c r="G86" i="213"/>
  <c r="G85" i="213"/>
  <c r="G84" i="213"/>
  <c r="G83" i="213"/>
  <c r="G82" i="213"/>
  <c r="G81" i="213"/>
  <c r="G80" i="213"/>
  <c r="G79" i="213"/>
  <c r="G78" i="213"/>
  <c r="G77" i="213"/>
  <c r="G76" i="213"/>
  <c r="G75" i="213"/>
  <c r="G74" i="213"/>
  <c r="G73" i="213"/>
  <c r="G72" i="213"/>
  <c r="G71" i="213"/>
  <c r="G70" i="213"/>
  <c r="G69" i="213"/>
  <c r="G68" i="213"/>
  <c r="G67" i="213"/>
  <c r="G66" i="213"/>
  <c r="G65" i="213"/>
  <c r="G64" i="213"/>
  <c r="G63" i="213"/>
  <c r="G62" i="213"/>
  <c r="G61" i="213"/>
  <c r="G60" i="213"/>
  <c r="G59" i="213"/>
  <c r="G58" i="213"/>
  <c r="G57" i="213"/>
  <c r="G56" i="213"/>
  <c r="G55" i="213"/>
  <c r="G54" i="213"/>
  <c r="G53" i="213"/>
  <c r="G52" i="213"/>
  <c r="G51" i="213"/>
  <c r="G50" i="213"/>
  <c r="G49" i="213"/>
  <c r="G48" i="213"/>
  <c r="G47" i="213"/>
  <c r="G46" i="213"/>
  <c r="G45" i="213"/>
  <c r="G44" i="213"/>
  <c r="G43" i="213"/>
  <c r="G42" i="213"/>
  <c r="G41" i="213"/>
  <c r="G40" i="213"/>
  <c r="G39" i="213"/>
  <c r="G38" i="213"/>
  <c r="G37" i="213"/>
  <c r="G36" i="213"/>
  <c r="G35" i="213"/>
  <c r="G34" i="213"/>
  <c r="G33" i="213"/>
  <c r="G32" i="213"/>
  <c r="G31" i="213"/>
  <c r="G30" i="213"/>
  <c r="G29" i="213"/>
  <c r="G28" i="213"/>
  <c r="G27" i="213"/>
  <c r="G26" i="213"/>
  <c r="G25" i="213"/>
  <c r="G24" i="213"/>
  <c r="G23" i="213"/>
  <c r="G22" i="213"/>
  <c r="Q15" i="228"/>
  <c r="F109" i="212"/>
  <c r="E109" i="212"/>
  <c r="D109" i="212"/>
  <c r="G108" i="212"/>
  <c r="G107" i="212"/>
  <c r="G106" i="212"/>
  <c r="G105" i="212"/>
  <c r="G104" i="212"/>
  <c r="G103" i="212"/>
  <c r="G102" i="212"/>
  <c r="G101" i="212"/>
  <c r="G100" i="212"/>
  <c r="G99" i="212"/>
  <c r="G98" i="212"/>
  <c r="G97" i="212"/>
  <c r="G96" i="212"/>
  <c r="G95" i="212"/>
  <c r="G94" i="212"/>
  <c r="G93" i="212"/>
  <c r="G92" i="212"/>
  <c r="G91" i="212"/>
  <c r="G90" i="212"/>
  <c r="G89" i="212"/>
  <c r="G88" i="212"/>
  <c r="G87" i="212"/>
  <c r="G86" i="212"/>
  <c r="G85" i="212"/>
  <c r="G84" i="212"/>
  <c r="G83" i="212"/>
  <c r="G82" i="212"/>
  <c r="G81" i="212"/>
  <c r="G80" i="212"/>
  <c r="G79" i="212"/>
  <c r="G78" i="212"/>
  <c r="G77" i="212"/>
  <c r="G76" i="212"/>
  <c r="G75" i="212"/>
  <c r="G74" i="212"/>
  <c r="G73" i="212"/>
  <c r="G72" i="212"/>
  <c r="G71" i="212"/>
  <c r="G70" i="212"/>
  <c r="G69" i="212"/>
  <c r="G68" i="212"/>
  <c r="G67" i="212"/>
  <c r="G66" i="212"/>
  <c r="G65" i="212"/>
  <c r="G64" i="212"/>
  <c r="G63" i="212"/>
  <c r="G62" i="212"/>
  <c r="G61" i="212"/>
  <c r="G60" i="212"/>
  <c r="G59" i="212"/>
  <c r="G58" i="212"/>
  <c r="G57" i="212"/>
  <c r="G56" i="212"/>
  <c r="G55" i="212"/>
  <c r="G54" i="212"/>
  <c r="G52" i="212"/>
  <c r="G51" i="212"/>
  <c r="G50" i="212"/>
  <c r="G49" i="212"/>
  <c r="G48" i="212"/>
  <c r="G47" i="212"/>
  <c r="G46" i="212"/>
  <c r="G45" i="212"/>
  <c r="G44" i="212"/>
  <c r="G43" i="212"/>
  <c r="G42" i="212"/>
  <c r="G41" i="212"/>
  <c r="G40" i="212"/>
  <c r="G39" i="212"/>
  <c r="G38" i="212"/>
  <c r="G37" i="212"/>
  <c r="G36" i="212"/>
  <c r="G35" i="212"/>
  <c r="G34" i="212"/>
  <c r="G33" i="212"/>
  <c r="D29" i="212"/>
  <c r="E29" i="212"/>
  <c r="C29" i="212"/>
  <c r="B29" i="212"/>
  <c r="E28" i="212"/>
  <c r="E27" i="212"/>
  <c r="E26" i="212"/>
  <c r="E25" i="212"/>
  <c r="E24" i="212"/>
  <c r="D14" i="212"/>
  <c r="BN37" i="223"/>
  <c r="BO37" i="223"/>
  <c r="E52" i="271"/>
  <c r="AB32" i="269"/>
  <c r="AH29" i="269"/>
  <c r="AF30" i="269"/>
  <c r="AH20" i="269"/>
  <c r="AH13" i="269"/>
  <c r="AG12" i="269"/>
  <c r="AC32" i="269"/>
  <c r="AG7" i="269"/>
  <c r="AF10" i="269"/>
  <c r="AG10" i="269"/>
  <c r="AH8" i="269"/>
  <c r="AH25" i="269"/>
  <c r="AH30" i="269"/>
  <c r="AF15" i="269"/>
  <c r="AF32" i="269"/>
  <c r="AH32" i="269"/>
  <c r="AG25" i="269"/>
  <c r="AG30" i="269"/>
  <c r="AG15" i="269"/>
  <c r="AG19" i="269"/>
  <c r="AG27" i="269"/>
  <c r="AG9" i="269"/>
  <c r="AH10" i="269"/>
  <c r="AG14" i="269"/>
  <c r="AH24" i="269"/>
  <c r="AH27" i="269"/>
  <c r="G109" i="212"/>
  <c r="G9" i="232"/>
  <c r="G11" i="232"/>
  <c r="G13" i="232"/>
  <c r="G15" i="232"/>
  <c r="G17" i="232"/>
  <c r="G21" i="232"/>
  <c r="I21" i="232"/>
  <c r="J21" i="232"/>
  <c r="K21" i="232"/>
  <c r="M21" i="232"/>
  <c r="Q55" i="228"/>
  <c r="AG32" i="269"/>
  <c r="AH15" i="269"/>
  <c r="F21" i="232"/>
  <c r="E21" i="232"/>
  <c r="D21" i="232"/>
  <c r="K19" i="232"/>
  <c r="G19" i="232"/>
  <c r="K17" i="232"/>
  <c r="K15" i="232"/>
  <c r="K13" i="232"/>
  <c r="K11" i="232"/>
  <c r="K9" i="232"/>
  <c r="Q18" i="228"/>
  <c r="M17" i="232"/>
  <c r="M19" i="232"/>
  <c r="M13" i="232"/>
  <c r="M11" i="232"/>
  <c r="M15" i="232"/>
  <c r="M9" i="232"/>
  <c r="Q17" i="228"/>
  <c r="H30" i="184"/>
  <c r="F30" i="184"/>
  <c r="G30" i="184"/>
  <c r="I30" i="184"/>
  <c r="D30" i="184"/>
  <c r="C30" i="184"/>
  <c r="H29" i="184"/>
  <c r="G29" i="184"/>
  <c r="I29" i="184"/>
  <c r="E29" i="184"/>
  <c r="H28" i="184"/>
  <c r="G28" i="184"/>
  <c r="I28" i="184"/>
  <c r="E28" i="184"/>
  <c r="H27" i="184"/>
  <c r="G27" i="184"/>
  <c r="I27" i="184"/>
  <c r="E27" i="184"/>
  <c r="E30" i="184"/>
  <c r="G25" i="184"/>
  <c r="I25" i="184"/>
  <c r="F25" i="184"/>
  <c r="D25" i="184"/>
  <c r="H25" i="184"/>
  <c r="C25" i="184"/>
  <c r="H24" i="184"/>
  <c r="G24" i="184"/>
  <c r="I24" i="184"/>
  <c r="E24" i="184"/>
  <c r="H23" i="184"/>
  <c r="G23" i="184"/>
  <c r="I23" i="184"/>
  <c r="E23" i="184"/>
  <c r="E25" i="184"/>
  <c r="H22" i="184"/>
  <c r="G22" i="184"/>
  <c r="I22" i="184"/>
  <c r="E22" i="184"/>
  <c r="F20" i="184"/>
  <c r="H20" i="184"/>
  <c r="D20" i="184"/>
  <c r="C20" i="184"/>
  <c r="H19" i="184"/>
  <c r="G19" i="184"/>
  <c r="I19" i="184"/>
  <c r="E19" i="184"/>
  <c r="I18" i="184"/>
  <c r="H18" i="184"/>
  <c r="G18" i="184"/>
  <c r="E18" i="184"/>
  <c r="H17" i="184"/>
  <c r="G17" i="184"/>
  <c r="I17" i="184"/>
  <c r="E17" i="184"/>
  <c r="E20" i="184"/>
  <c r="F15" i="184"/>
  <c r="G15" i="184"/>
  <c r="I15" i="184"/>
  <c r="D15" i="184"/>
  <c r="H15" i="184"/>
  <c r="C15" i="184"/>
  <c r="C32" i="184"/>
  <c r="I14" i="184"/>
  <c r="H14" i="184"/>
  <c r="G14" i="184"/>
  <c r="E14" i="184"/>
  <c r="I13" i="184"/>
  <c r="H13" i="184"/>
  <c r="G13" i="184"/>
  <c r="E13" i="184"/>
  <c r="E15" i="184"/>
  <c r="I12" i="184"/>
  <c r="H12" i="184"/>
  <c r="G12" i="184"/>
  <c r="E12" i="184"/>
  <c r="F10" i="184"/>
  <c r="F32" i="184"/>
  <c r="E10" i="184"/>
  <c r="E32" i="184"/>
  <c r="D10" i="184"/>
  <c r="H10" i="184"/>
  <c r="C10" i="184"/>
  <c r="H9" i="184"/>
  <c r="G9" i="184"/>
  <c r="I9" i="184"/>
  <c r="E9" i="184"/>
  <c r="H8" i="184"/>
  <c r="G8" i="184"/>
  <c r="I8" i="184"/>
  <c r="E8" i="184"/>
  <c r="H7" i="184"/>
  <c r="G7" i="184"/>
  <c r="I7" i="184"/>
  <c r="E7" i="184"/>
  <c r="G20" i="184"/>
  <c r="I20" i="184"/>
  <c r="G10" i="184"/>
  <c r="I10" i="184"/>
  <c r="D32" i="184"/>
  <c r="H32" i="184"/>
  <c r="G32" i="184"/>
  <c r="I32" i="184"/>
  <c r="BP142" i="268"/>
  <c r="BP144" i="268"/>
  <c r="Q20" i="228"/>
  <c r="Q19" i="228"/>
  <c r="BQ104" i="267"/>
  <c r="BQ102" i="267"/>
  <c r="V229" i="252"/>
  <c r="V220" i="252"/>
  <c r="V212" i="252"/>
  <c r="V206" i="252"/>
  <c r="V200" i="252"/>
  <c r="V194" i="252"/>
  <c r="V188" i="252"/>
  <c r="V178" i="252"/>
  <c r="V172" i="252"/>
  <c r="V167" i="252"/>
  <c r="V161" i="252"/>
  <c r="V155" i="252"/>
  <c r="V151" i="252"/>
  <c r="V149" i="252"/>
  <c r="V143" i="252"/>
  <c r="V134" i="252"/>
  <c r="V127" i="252"/>
  <c r="V121" i="252"/>
  <c r="V117" i="252"/>
  <c r="V111" i="252"/>
  <c r="V105" i="252"/>
  <c r="V100" i="252"/>
  <c r="V95" i="252"/>
  <c r="V93" i="252"/>
  <c r="V86" i="252"/>
  <c r="V80" i="252"/>
  <c r="V76" i="252"/>
  <c r="V72" i="252"/>
  <c r="V69" i="252"/>
  <c r="V64" i="252"/>
  <c r="V58" i="252"/>
  <c r="V50" i="252"/>
  <c r="V43" i="252"/>
  <c r="V39" i="252"/>
  <c r="V36" i="252"/>
  <c r="V32" i="252"/>
  <c r="V26" i="252"/>
  <c r="V20" i="252"/>
  <c r="V16" i="252"/>
  <c r="V14" i="252"/>
  <c r="Q374" i="251"/>
  <c r="Q364" i="251"/>
  <c r="Q355" i="251"/>
  <c r="Q350" i="251"/>
  <c r="Q335" i="251"/>
  <c r="Q328" i="251"/>
  <c r="Q321" i="251"/>
  <c r="Q312" i="251"/>
  <c r="Q300" i="251"/>
  <c r="Q293" i="251"/>
  <c r="Q287" i="251"/>
  <c r="Q278" i="251"/>
  <c r="Q273" i="251"/>
  <c r="Q270" i="251"/>
  <c r="Q265" i="251"/>
  <c r="Q258" i="251"/>
  <c r="Q247" i="251"/>
  <c r="Q242" i="251"/>
  <c r="Q235" i="251"/>
  <c r="Q230" i="251"/>
  <c r="Q223" i="251"/>
  <c r="Q219" i="251"/>
  <c r="Q211" i="251"/>
  <c r="Q205" i="251"/>
  <c r="Q200" i="251"/>
  <c r="Q195" i="251"/>
  <c r="Q190" i="251"/>
  <c r="Q186" i="251"/>
  <c r="Q178" i="251"/>
  <c r="Q175" i="251"/>
  <c r="Q169" i="251"/>
  <c r="Q166" i="251"/>
  <c r="Q160" i="251"/>
  <c r="Q157" i="251"/>
  <c r="Q150" i="251"/>
  <c r="Q145" i="251"/>
  <c r="Q139" i="251"/>
  <c r="Q134" i="251"/>
  <c r="Q130" i="251"/>
  <c r="Q125" i="251"/>
  <c r="Q119" i="251"/>
  <c r="Q114" i="251"/>
  <c r="Q87" i="251"/>
  <c r="Q76" i="251"/>
  <c r="Q63" i="251"/>
  <c r="Q48" i="251"/>
  <c r="Q43" i="251"/>
  <c r="Q33" i="251"/>
  <c r="Q24" i="251"/>
  <c r="Q17" i="251"/>
  <c r="Q13" i="251"/>
  <c r="N89" i="250"/>
  <c r="M89" i="250"/>
  <c r="L89" i="250"/>
  <c r="K89" i="250"/>
  <c r="J89" i="250"/>
  <c r="I89" i="250"/>
  <c r="H89" i="250"/>
  <c r="G89" i="250"/>
  <c r="F89" i="250"/>
  <c r="E89" i="250"/>
  <c r="N87" i="250"/>
  <c r="M87" i="250"/>
  <c r="L87" i="250"/>
  <c r="K87" i="250"/>
  <c r="J87" i="250"/>
  <c r="I87" i="250"/>
  <c r="H87" i="250"/>
  <c r="G87" i="250"/>
  <c r="F87" i="250"/>
  <c r="E87" i="250"/>
  <c r="N83" i="250"/>
  <c r="M83" i="250"/>
  <c r="L83" i="250"/>
  <c r="K83" i="250"/>
  <c r="J83" i="250"/>
  <c r="I83" i="250"/>
  <c r="H83" i="250"/>
  <c r="G83" i="250"/>
  <c r="F83" i="250"/>
  <c r="E83" i="250"/>
  <c r="O81" i="250"/>
  <c r="O78" i="250"/>
  <c r="O75" i="250"/>
  <c r="N70" i="250"/>
  <c r="N88" i="250"/>
  <c r="M70" i="250"/>
  <c r="M88" i="250"/>
  <c r="L70" i="250"/>
  <c r="L88" i="250"/>
  <c r="K70" i="250"/>
  <c r="K88" i="250"/>
  <c r="J70" i="250"/>
  <c r="J88" i="250"/>
  <c r="I70" i="250"/>
  <c r="I88" i="250"/>
  <c r="H70" i="250"/>
  <c r="H88" i="250"/>
  <c r="G70" i="250"/>
  <c r="G88" i="250"/>
  <c r="F70" i="250"/>
  <c r="F88" i="250"/>
  <c r="E70" i="250"/>
  <c r="E88" i="250"/>
  <c r="N68" i="250"/>
  <c r="N85" i="250"/>
  <c r="M68" i="250"/>
  <c r="M85" i="250"/>
  <c r="L68" i="250"/>
  <c r="L85" i="250"/>
  <c r="K68" i="250"/>
  <c r="K85" i="250"/>
  <c r="J68" i="250"/>
  <c r="J85" i="250"/>
  <c r="I68" i="250"/>
  <c r="I85" i="250"/>
  <c r="H68" i="250"/>
  <c r="H85" i="250"/>
  <c r="G68" i="250"/>
  <c r="G85" i="250"/>
  <c r="F68" i="250"/>
  <c r="F85" i="250"/>
  <c r="E68" i="250"/>
  <c r="E85" i="250"/>
  <c r="N66" i="250"/>
  <c r="M66" i="250"/>
  <c r="L66" i="250"/>
  <c r="K66" i="250"/>
  <c r="J66" i="250"/>
  <c r="I66" i="250"/>
  <c r="H66" i="250"/>
  <c r="G66" i="250"/>
  <c r="F66" i="250"/>
  <c r="E66" i="250"/>
  <c r="K65" i="250"/>
  <c r="K82" i="250"/>
  <c r="J65" i="250"/>
  <c r="J82" i="250"/>
  <c r="N63" i="250"/>
  <c r="N69" i="250"/>
  <c r="N86" i="250"/>
  <c r="M63" i="250"/>
  <c r="M69" i="250"/>
  <c r="M86" i="250"/>
  <c r="L63" i="250"/>
  <c r="L69" i="250"/>
  <c r="L86" i="250"/>
  <c r="K63" i="250"/>
  <c r="K69" i="250"/>
  <c r="K86" i="250"/>
  <c r="J63" i="250"/>
  <c r="J69" i="250"/>
  <c r="J86" i="250"/>
  <c r="I63" i="250"/>
  <c r="I69" i="250"/>
  <c r="I86" i="250"/>
  <c r="H63" i="250"/>
  <c r="H69" i="250"/>
  <c r="H86" i="250"/>
  <c r="G63" i="250"/>
  <c r="G69" i="250"/>
  <c r="G86" i="250"/>
  <c r="F63" i="250"/>
  <c r="F69" i="250"/>
  <c r="F86" i="250"/>
  <c r="E63" i="250"/>
  <c r="E69" i="250"/>
  <c r="E86" i="250"/>
  <c r="N62" i="250"/>
  <c r="M62" i="250"/>
  <c r="M67" i="250"/>
  <c r="M84" i="250"/>
  <c r="L62" i="250"/>
  <c r="L64" i="250"/>
  <c r="K62" i="250"/>
  <c r="K67" i="250"/>
  <c r="J62" i="250"/>
  <c r="J67" i="250"/>
  <c r="J84" i="250"/>
  <c r="I62" i="250"/>
  <c r="I67" i="250"/>
  <c r="I84" i="250"/>
  <c r="H62" i="250"/>
  <c r="H67" i="250"/>
  <c r="H84" i="250"/>
  <c r="G62" i="250"/>
  <c r="G67" i="250"/>
  <c r="G84" i="250"/>
  <c r="F62" i="250"/>
  <c r="F67" i="250"/>
  <c r="F84" i="250"/>
  <c r="E62" i="250"/>
  <c r="E67" i="250"/>
  <c r="E84" i="250"/>
  <c r="N61" i="250"/>
  <c r="M61" i="250"/>
  <c r="M65" i="250"/>
  <c r="L61" i="250"/>
  <c r="L65" i="250"/>
  <c r="I61" i="250"/>
  <c r="I65" i="250"/>
  <c r="H61" i="250"/>
  <c r="G61" i="250"/>
  <c r="F61" i="250"/>
  <c r="F65" i="250"/>
  <c r="E61" i="250"/>
  <c r="E65" i="250"/>
  <c r="O57" i="250"/>
  <c r="O54" i="250"/>
  <c r="O47" i="250"/>
  <c r="O34" i="250"/>
  <c r="O29" i="250"/>
  <c r="O24" i="250"/>
  <c r="O20" i="250"/>
  <c r="O16" i="250"/>
  <c r="O11" i="250"/>
  <c r="G64" i="250"/>
  <c r="H64" i="250"/>
  <c r="N64" i="250"/>
  <c r="O64" i="250"/>
  <c r="H65" i="250"/>
  <c r="H72" i="250"/>
  <c r="J64" i="250"/>
  <c r="N65" i="250"/>
  <c r="N82" i="250"/>
  <c r="I64" i="250"/>
  <c r="G65" i="250"/>
  <c r="G82" i="250"/>
  <c r="G90" i="250"/>
  <c r="L67" i="250"/>
  <c r="L84" i="250"/>
  <c r="J72" i="250"/>
  <c r="I72" i="250"/>
  <c r="I82" i="250"/>
  <c r="I90" i="250"/>
  <c r="J90" i="250"/>
  <c r="K84" i="250"/>
  <c r="K90" i="250"/>
  <c r="K72" i="250"/>
  <c r="E72" i="250"/>
  <c r="E82" i="250"/>
  <c r="E90" i="250"/>
  <c r="M72" i="250"/>
  <c r="M82" i="250"/>
  <c r="M90" i="250"/>
  <c r="F82" i="250"/>
  <c r="F90" i="250"/>
  <c r="F72" i="250"/>
  <c r="K64" i="250"/>
  <c r="E64" i="250"/>
  <c r="M64" i="250"/>
  <c r="N67" i="250"/>
  <c r="N72" i="250"/>
  <c r="F64" i="250"/>
  <c r="G72" i="250"/>
  <c r="L82" i="250"/>
  <c r="N49" i="255"/>
  <c r="N44" i="255"/>
  <c r="N47" i="255"/>
  <c r="N54" i="255"/>
  <c r="N53" i="255"/>
  <c r="N52" i="255"/>
  <c r="N51" i="255"/>
  <c r="N48" i="255"/>
  <c r="N46" i="255"/>
  <c r="N45" i="255"/>
  <c r="N42" i="255"/>
  <c r="N41" i="255"/>
  <c r="N40" i="255"/>
  <c r="N43" i="255"/>
  <c r="N37" i="255"/>
  <c r="N36" i="255"/>
  <c r="N35" i="255"/>
  <c r="N33" i="255"/>
  <c r="N32" i="255"/>
  <c r="N31" i="255"/>
  <c r="N30" i="255"/>
  <c r="N29" i="255"/>
  <c r="N27" i="255"/>
  <c r="N26" i="255"/>
  <c r="N25" i="255"/>
  <c r="N24" i="255"/>
  <c r="N23" i="255"/>
  <c r="N22" i="255"/>
  <c r="N21" i="255"/>
  <c r="N18" i="255"/>
  <c r="N17" i="255"/>
  <c r="N16" i="255"/>
  <c r="N15" i="255"/>
  <c r="N13" i="255"/>
  <c r="N12" i="255"/>
  <c r="N10" i="255"/>
  <c r="N9" i="255"/>
  <c r="N7" i="255"/>
  <c r="N11" i="255"/>
  <c r="N62" i="254"/>
  <c r="N63" i="254"/>
  <c r="N39" i="254"/>
  <c r="N18" i="254"/>
  <c r="N80" i="254"/>
  <c r="N79" i="254"/>
  <c r="N78" i="254"/>
  <c r="N77" i="254"/>
  <c r="N76" i="254"/>
  <c r="N75" i="254"/>
  <c r="N72" i="254"/>
  <c r="N71" i="254"/>
  <c r="N70" i="254"/>
  <c r="N66" i="254"/>
  <c r="N65" i="254"/>
  <c r="N64" i="254"/>
  <c r="N61" i="254"/>
  <c r="N60" i="254"/>
  <c r="N58" i="254"/>
  <c r="N57" i="254"/>
  <c r="N56" i="254"/>
  <c r="N59" i="254"/>
  <c r="N46" i="254"/>
  <c r="N45" i="254"/>
  <c r="N44" i="254"/>
  <c r="N43" i="254"/>
  <c r="N41" i="254"/>
  <c r="N40" i="254"/>
  <c r="N38" i="254"/>
  <c r="N37" i="254"/>
  <c r="N36" i="254"/>
  <c r="N34" i="254"/>
  <c r="N33" i="254"/>
  <c r="N32" i="254"/>
  <c r="N31" i="254"/>
  <c r="N30" i="254"/>
  <c r="N29" i="254"/>
  <c r="N28" i="254"/>
  <c r="N25" i="254"/>
  <c r="N24" i="254"/>
  <c r="N23" i="254"/>
  <c r="N21" i="254"/>
  <c r="N17" i="254"/>
  <c r="N16" i="254"/>
  <c r="N15" i="254"/>
  <c r="N14" i="254"/>
  <c r="N13" i="254"/>
  <c r="N11" i="254"/>
  <c r="N9" i="254"/>
  <c r="N8" i="254"/>
  <c r="N6" i="254"/>
  <c r="M18" i="253"/>
  <c r="M11" i="253"/>
  <c r="M21" i="253"/>
  <c r="N9" i="253"/>
  <c r="N6" i="253"/>
  <c r="N7" i="253"/>
  <c r="N21" i="253"/>
  <c r="N8" i="253"/>
  <c r="N10" i="253"/>
  <c r="N12" i="253"/>
  <c r="N13" i="253"/>
  <c r="N14" i="253"/>
  <c r="N15" i="253"/>
  <c r="N18" i="253"/>
  <c r="N16" i="253"/>
  <c r="N17" i="253"/>
  <c r="N19" i="253"/>
  <c r="N20" i="253"/>
  <c r="N111" i="274"/>
  <c r="N110" i="274"/>
  <c r="N109" i="274"/>
  <c r="N108" i="274"/>
  <c r="N107" i="274"/>
  <c r="N106" i="274"/>
  <c r="N105" i="274"/>
  <c r="N102" i="274"/>
  <c r="N101" i="274"/>
  <c r="N100" i="274"/>
  <c r="N99" i="274"/>
  <c r="N98" i="274"/>
  <c r="N97" i="274"/>
  <c r="N96" i="274"/>
  <c r="N95" i="274"/>
  <c r="N94" i="274"/>
  <c r="N93" i="274"/>
  <c r="N92" i="274"/>
  <c r="N91" i="274"/>
  <c r="N90" i="274"/>
  <c r="N89" i="274"/>
  <c r="N88" i="274"/>
  <c r="N87" i="274"/>
  <c r="N86" i="274"/>
  <c r="N85" i="274"/>
  <c r="N84" i="274"/>
  <c r="N83" i="274"/>
  <c r="N82" i="274"/>
  <c r="N81" i="274"/>
  <c r="N80" i="274"/>
  <c r="N79" i="274"/>
  <c r="N78" i="274"/>
  <c r="N77" i="274"/>
  <c r="N76" i="274"/>
  <c r="N75" i="274"/>
  <c r="N74" i="274"/>
  <c r="N73" i="274"/>
  <c r="N72" i="274"/>
  <c r="N71" i="274"/>
  <c r="N70" i="274"/>
  <c r="N69" i="274"/>
  <c r="N68" i="274"/>
  <c r="N67" i="274"/>
  <c r="N66" i="274"/>
  <c r="N65" i="274"/>
  <c r="N64" i="274"/>
  <c r="N63" i="274"/>
  <c r="N62" i="274"/>
  <c r="N61" i="274"/>
  <c r="N60" i="274"/>
  <c r="N59" i="274"/>
  <c r="N58" i="274"/>
  <c r="N57" i="274"/>
  <c r="N56" i="274"/>
  <c r="N55" i="274"/>
  <c r="N54" i="274"/>
  <c r="N53" i="274"/>
  <c r="N52" i="274"/>
  <c r="N51" i="274"/>
  <c r="N50" i="274"/>
  <c r="N49" i="274"/>
  <c r="N48" i="274"/>
  <c r="N47" i="274"/>
  <c r="N46" i="274"/>
  <c r="N45" i="274"/>
  <c r="N44" i="274"/>
  <c r="N43" i="274"/>
  <c r="N42" i="274"/>
  <c r="N41" i="274"/>
  <c r="N40" i="274"/>
  <c r="N39" i="274"/>
  <c r="N38" i="274"/>
  <c r="N37" i="274"/>
  <c r="N36" i="274"/>
  <c r="N35" i="274"/>
  <c r="N34" i="274"/>
  <c r="N33" i="274"/>
  <c r="N32" i="274"/>
  <c r="N31" i="274"/>
  <c r="N30" i="274"/>
  <c r="N29" i="274"/>
  <c r="N28" i="274"/>
  <c r="N27" i="274"/>
  <c r="N26" i="274"/>
  <c r="N25" i="274"/>
  <c r="N24" i="274"/>
  <c r="N23" i="274"/>
  <c r="N22" i="274"/>
  <c r="N21" i="274"/>
  <c r="N20" i="274"/>
  <c r="N19" i="274"/>
  <c r="N18" i="274"/>
  <c r="N17" i="274"/>
  <c r="N16" i="274"/>
  <c r="N15" i="274"/>
  <c r="N14" i="274"/>
  <c r="N13" i="274"/>
  <c r="N12" i="274"/>
  <c r="N11" i="274"/>
  <c r="N10" i="274"/>
  <c r="N9" i="274"/>
  <c r="N8" i="274"/>
  <c r="N7" i="274"/>
  <c r="N6" i="274"/>
  <c r="AO104" i="262"/>
  <c r="AO102" i="262"/>
  <c r="AO101" i="262"/>
  <c r="AO100" i="262"/>
  <c r="AO99" i="262"/>
  <c r="AO98" i="262"/>
  <c r="AO97" i="262"/>
  <c r="AO96" i="262"/>
  <c r="AO95" i="262"/>
  <c r="AO94" i="262"/>
  <c r="AO93" i="262"/>
  <c r="AO92" i="262"/>
  <c r="AO91" i="262"/>
  <c r="AO90" i="262"/>
  <c r="AO89" i="262"/>
  <c r="AO88" i="262"/>
  <c r="AO87" i="262"/>
  <c r="AO86" i="262"/>
  <c r="AO85" i="262"/>
  <c r="AO84" i="262"/>
  <c r="AO83" i="262"/>
  <c r="AO82" i="262"/>
  <c r="AO81" i="262"/>
  <c r="AO80" i="262"/>
  <c r="AO79" i="262"/>
  <c r="AO78" i="262"/>
  <c r="AO77" i="262"/>
  <c r="AO76" i="262"/>
  <c r="AO75" i="262"/>
  <c r="AO74" i="262"/>
  <c r="AO73" i="262"/>
  <c r="AO72" i="262"/>
  <c r="AO71" i="262"/>
  <c r="AO70" i="262"/>
  <c r="AO69" i="262"/>
  <c r="AO68" i="262"/>
  <c r="AO67" i="262"/>
  <c r="AO66" i="262"/>
  <c r="AO65" i="262"/>
  <c r="AO64" i="262"/>
  <c r="AO63" i="262"/>
  <c r="AO62" i="262"/>
  <c r="AO61" i="262"/>
  <c r="AO60" i="262"/>
  <c r="AO59" i="262"/>
  <c r="AO58" i="262"/>
  <c r="AO57" i="262"/>
  <c r="AO56" i="262"/>
  <c r="AO55" i="262"/>
  <c r="AO54" i="262"/>
  <c r="AO53" i="262"/>
  <c r="AO52" i="262"/>
  <c r="AO51" i="262"/>
  <c r="AO50" i="262"/>
  <c r="AO49" i="262"/>
  <c r="AO48" i="262"/>
  <c r="AO47" i="262"/>
  <c r="AO46" i="262"/>
  <c r="AO45" i="262"/>
  <c r="AO44" i="262"/>
  <c r="AO43" i="262"/>
  <c r="AO42" i="262"/>
  <c r="AO41" i="262"/>
  <c r="AO40" i="262"/>
  <c r="AO39" i="262"/>
  <c r="AO38" i="262"/>
  <c r="AO37" i="262"/>
  <c r="AO36" i="262"/>
  <c r="AO35" i="262"/>
  <c r="AO34" i="262"/>
  <c r="AO33" i="262"/>
  <c r="AO32" i="262"/>
  <c r="AO31" i="262"/>
  <c r="AO30" i="262"/>
  <c r="AO29" i="262"/>
  <c r="AO28" i="262"/>
  <c r="AO27" i="262"/>
  <c r="AO26" i="262"/>
  <c r="AO25" i="262"/>
  <c r="AO24" i="262"/>
  <c r="AO23" i="262"/>
  <c r="AO22" i="262"/>
  <c r="AO21" i="262"/>
  <c r="AO20" i="262"/>
  <c r="AO19" i="262"/>
  <c r="AO18" i="262"/>
  <c r="AO17" i="262"/>
  <c r="AO16" i="262"/>
  <c r="AO15" i="262"/>
  <c r="AO14" i="262"/>
  <c r="AO13" i="262"/>
  <c r="AO12" i="262"/>
  <c r="AO11" i="262"/>
  <c r="AO10" i="262"/>
  <c r="AO9" i="262"/>
  <c r="AO8" i="262"/>
  <c r="AO7" i="262"/>
  <c r="N19" i="255"/>
  <c r="N38" i="255"/>
  <c r="N55" i="255"/>
  <c r="H82" i="250"/>
  <c r="H90" i="250"/>
  <c r="L90" i="250"/>
  <c r="L72" i="250"/>
  <c r="N84" i="250"/>
  <c r="O72" i="250"/>
  <c r="N50" i="255"/>
  <c r="N28" i="255"/>
  <c r="N34" i="255"/>
  <c r="N14" i="255"/>
  <c r="N20" i="255"/>
  <c r="N39" i="255"/>
  <c r="AG329" i="251"/>
  <c r="AG318" i="251"/>
  <c r="AG295" i="251"/>
  <c r="AG290" i="251"/>
  <c r="AG285" i="251"/>
  <c r="AG277" i="251"/>
  <c r="AG269" i="251"/>
  <c r="AG262" i="251"/>
  <c r="AG250" i="251"/>
  <c r="AG246" i="251"/>
  <c r="AG241" i="251"/>
  <c r="AG234" i="251"/>
  <c r="AG226" i="251"/>
  <c r="AG222" i="251"/>
  <c r="AG216" i="251"/>
  <c r="AG210" i="251"/>
  <c r="AG204" i="251"/>
  <c r="AG200" i="251"/>
  <c r="AG192" i="251"/>
  <c r="AG187" i="251"/>
  <c r="AG184" i="251"/>
  <c r="AG181" i="251"/>
  <c r="AG176" i="251"/>
  <c r="AG173" i="251"/>
  <c r="AG166" i="251"/>
  <c r="AG163" i="251"/>
  <c r="AG157" i="251"/>
  <c r="AG154" i="251"/>
  <c r="AG149" i="251"/>
  <c r="AG146" i="251"/>
  <c r="AG139" i="251"/>
  <c r="AG134" i="251"/>
  <c r="AG128" i="251"/>
  <c r="AG119" i="251"/>
  <c r="AG113" i="251"/>
  <c r="AG107" i="251"/>
  <c r="AG101" i="251"/>
  <c r="AG77" i="251"/>
  <c r="AG67" i="251"/>
  <c r="AG55" i="251"/>
  <c r="AG39" i="251"/>
  <c r="AG30" i="251"/>
  <c r="AG22" i="251"/>
  <c r="AG12" i="251"/>
  <c r="N90" i="250"/>
  <c r="O90" i="250"/>
  <c r="N56" i="255"/>
  <c r="V54" i="255"/>
  <c r="V52" i="255"/>
  <c r="V55" i="255"/>
  <c r="V49" i="255"/>
  <c r="V47" i="255"/>
  <c r="V41" i="255"/>
  <c r="V42" i="255"/>
  <c r="V45" i="255"/>
  <c r="V46" i="255"/>
  <c r="V48" i="255"/>
  <c r="V51" i="255"/>
  <c r="V53" i="255"/>
  <c r="V40" i="255"/>
  <c r="V43" i="255"/>
  <c r="V50" i="255"/>
  <c r="V22" i="255"/>
  <c r="V23" i="255"/>
  <c r="V24" i="255"/>
  <c r="V25" i="255"/>
  <c r="V26" i="255"/>
  <c r="V27" i="255"/>
  <c r="V29" i="255"/>
  <c r="V30" i="255"/>
  <c r="V31" i="255"/>
  <c r="V32" i="255"/>
  <c r="V33" i="255"/>
  <c r="V35" i="255"/>
  <c r="V36" i="255"/>
  <c r="V37" i="255"/>
  <c r="V38" i="255"/>
  <c r="V21" i="255"/>
  <c r="V9" i="255"/>
  <c r="V10" i="255"/>
  <c r="V12" i="255"/>
  <c r="V14" i="255"/>
  <c r="V13" i="255"/>
  <c r="V15" i="255"/>
  <c r="V16" i="255"/>
  <c r="V17" i="255"/>
  <c r="V18" i="255"/>
  <c r="V7" i="255"/>
  <c r="V11" i="255"/>
  <c r="V34" i="255"/>
  <c r="V19" i="255"/>
  <c r="V28" i="255"/>
  <c r="V39" i="255"/>
  <c r="V20" i="255"/>
  <c r="V74" i="254"/>
  <c r="V75" i="254"/>
  <c r="V76" i="254"/>
  <c r="V77" i="254"/>
  <c r="V72" i="254"/>
  <c r="V73" i="254"/>
  <c r="V49" i="254"/>
  <c r="V50" i="254"/>
  <c r="V51" i="254"/>
  <c r="V52" i="254"/>
  <c r="V53" i="254"/>
  <c r="V54" i="254"/>
  <c r="V55" i="254"/>
  <c r="V56" i="254"/>
  <c r="V57" i="254"/>
  <c r="V59" i="254"/>
  <c r="V60" i="254"/>
  <c r="V61" i="254"/>
  <c r="V62" i="254"/>
  <c r="V63" i="254"/>
  <c r="V64" i="254"/>
  <c r="V65" i="254"/>
  <c r="V67" i="254"/>
  <c r="V68" i="254"/>
  <c r="V69" i="254"/>
  <c r="V48" i="254"/>
  <c r="V28" i="254"/>
  <c r="V29" i="254"/>
  <c r="V30" i="254"/>
  <c r="V31" i="254"/>
  <c r="V32" i="254"/>
  <c r="V33" i="254"/>
  <c r="V35" i="254"/>
  <c r="V36" i="254"/>
  <c r="V37" i="254"/>
  <c r="V38" i="254"/>
  <c r="V39" i="254"/>
  <c r="V40" i="254"/>
  <c r="V42" i="254"/>
  <c r="V43" i="254"/>
  <c r="V44" i="254"/>
  <c r="V45" i="254"/>
  <c r="V27" i="254"/>
  <c r="V23" i="254"/>
  <c r="V24" i="254"/>
  <c r="V22" i="254"/>
  <c r="V13" i="254"/>
  <c r="V14" i="254"/>
  <c r="V15" i="254"/>
  <c r="V16" i="254"/>
  <c r="V17" i="254"/>
  <c r="V12" i="254"/>
  <c r="V7" i="254"/>
  <c r="V8" i="254"/>
  <c r="V9" i="254"/>
  <c r="V10" i="254"/>
  <c r="V6" i="254"/>
  <c r="V14" i="253"/>
  <c r="V15" i="253"/>
  <c r="V16" i="253"/>
  <c r="V17" i="253"/>
  <c r="V19" i="253"/>
  <c r="V20" i="253"/>
  <c r="V12" i="253"/>
  <c r="V13" i="253"/>
  <c r="V18" i="253"/>
  <c r="V7" i="253"/>
  <c r="V8" i="253"/>
  <c r="V10" i="253"/>
  <c r="V6" i="253"/>
  <c r="V11" i="253"/>
  <c r="V56" i="255"/>
  <c r="D49" i="243"/>
  <c r="E48" i="243"/>
  <c r="E43" i="243"/>
  <c r="E45" i="243"/>
  <c r="E47" i="243"/>
  <c r="E44" i="243"/>
  <c r="E46" i="243"/>
  <c r="E49" i="243"/>
  <c r="AR226" i="252"/>
  <c r="AR217" i="252"/>
  <c r="AR210" i="252"/>
  <c r="AR206" i="252"/>
  <c r="AR202" i="252"/>
  <c r="AR196" i="252"/>
  <c r="AR190" i="252"/>
  <c r="AR179" i="252"/>
  <c r="AR173" i="252"/>
  <c r="AR168" i="252"/>
  <c r="AR161" i="252"/>
  <c r="AR155" i="252"/>
  <c r="AR151" i="252"/>
  <c r="AR149" i="252"/>
  <c r="AR143" i="252"/>
  <c r="AR134" i="252"/>
  <c r="AR127" i="252"/>
  <c r="AR121" i="252"/>
  <c r="AR117" i="252"/>
  <c r="AR111" i="252"/>
  <c r="AR104" i="252"/>
  <c r="AR98" i="252"/>
  <c r="AR94" i="252"/>
  <c r="AR92" i="252"/>
  <c r="AR85" i="252"/>
  <c r="AR79" i="252"/>
  <c r="AR75" i="252"/>
  <c r="AR71" i="252"/>
  <c r="AR68" i="252"/>
  <c r="AR63" i="252"/>
  <c r="AR56" i="252"/>
  <c r="AR48" i="252"/>
  <c r="AR43" i="252"/>
  <c r="AR41" i="252"/>
  <c r="AR35" i="252"/>
  <c r="AR27" i="252"/>
  <c r="AR20" i="252"/>
  <c r="AR16" i="252"/>
  <c r="AR14" i="252"/>
  <c r="AA76" i="250"/>
  <c r="AB76" i="250"/>
  <c r="Z76" i="250"/>
  <c r="X76" i="250"/>
  <c r="W76" i="250"/>
  <c r="AA73" i="250"/>
  <c r="Z73" i="250"/>
  <c r="AA69" i="250"/>
  <c r="W69" i="250"/>
  <c r="AB68" i="250"/>
  <c r="AB65" i="250"/>
  <c r="AB62" i="250"/>
  <c r="AA59" i="250"/>
  <c r="Z59" i="250"/>
  <c r="Y59" i="250"/>
  <c r="X59" i="250"/>
  <c r="W59" i="250"/>
  <c r="U59" i="250"/>
  <c r="AA57" i="250"/>
  <c r="Z57" i="250"/>
  <c r="X57" i="250"/>
  <c r="AA55" i="250"/>
  <c r="AB59" i="250"/>
  <c r="W55" i="250"/>
  <c r="AA53" i="250"/>
  <c r="Y53" i="250"/>
  <c r="W53" i="250"/>
  <c r="U53" i="250"/>
  <c r="AA52" i="250"/>
  <c r="AB52" i="250"/>
  <c r="Y52" i="250"/>
  <c r="X52" i="250"/>
  <c r="W52" i="250"/>
  <c r="AA51" i="250"/>
  <c r="AA49" i="250"/>
  <c r="Y49" i="250"/>
  <c r="W49" i="250"/>
  <c r="AA48" i="250"/>
  <c r="X48" i="250"/>
  <c r="W48" i="250"/>
  <c r="W46" i="250"/>
  <c r="AB45" i="250"/>
  <c r="AB42" i="250"/>
  <c r="AB36" i="250"/>
  <c r="AB26" i="250"/>
  <c r="AB17" i="250"/>
  <c r="AB14" i="250"/>
  <c r="AB10" i="250"/>
  <c r="V107" i="274"/>
  <c r="V108" i="274"/>
  <c r="V109" i="274"/>
  <c r="V110" i="274"/>
  <c r="V111" i="274"/>
  <c r="V106" i="274"/>
  <c r="V95" i="274"/>
  <c r="V96" i="274"/>
  <c r="V97" i="274"/>
  <c r="V98" i="274"/>
  <c r="V99" i="274"/>
  <c r="V100" i="274"/>
  <c r="V101" i="274"/>
  <c r="V102" i="274"/>
  <c r="V94" i="274"/>
  <c r="V81" i="274"/>
  <c r="V82" i="274"/>
  <c r="V83" i="274"/>
  <c r="V84" i="274"/>
  <c r="V85" i="274"/>
  <c r="V86" i="274"/>
  <c r="V87" i="274"/>
  <c r="V88" i="274"/>
  <c r="V89" i="274"/>
  <c r="V90" i="274"/>
  <c r="V91" i="274"/>
  <c r="V92" i="274"/>
  <c r="V93" i="274"/>
  <c r="V80" i="274"/>
  <c r="V105" i="274"/>
  <c r="V79" i="274"/>
  <c r="V78" i="274"/>
  <c r="V77" i="274"/>
  <c r="V76" i="274"/>
  <c r="V75" i="274"/>
  <c r="V74" i="274"/>
  <c r="V73" i="274"/>
  <c r="V72" i="274"/>
  <c r="V71" i="274"/>
  <c r="V70" i="274"/>
  <c r="V69" i="274"/>
  <c r="V68" i="274"/>
  <c r="V67" i="274"/>
  <c r="V66" i="274"/>
  <c r="V65" i="274"/>
  <c r="V64" i="274"/>
  <c r="V63" i="274"/>
  <c r="V62" i="274"/>
  <c r="V61" i="274"/>
  <c r="V60" i="274"/>
  <c r="V59" i="274"/>
  <c r="V58" i="274"/>
  <c r="V57" i="274"/>
  <c r="V56" i="274"/>
  <c r="V55" i="274"/>
  <c r="V54" i="274"/>
  <c r="V53" i="274"/>
  <c r="V52" i="274"/>
  <c r="V51" i="274"/>
  <c r="V50" i="274"/>
  <c r="V49" i="274"/>
  <c r="V48" i="274"/>
  <c r="V47" i="274"/>
  <c r="V46" i="274"/>
  <c r="V45" i="274"/>
  <c r="V44" i="274"/>
  <c r="V43" i="274"/>
  <c r="V42" i="274"/>
  <c r="V41" i="274"/>
  <c r="V40" i="274"/>
  <c r="V39" i="274"/>
  <c r="V38" i="274"/>
  <c r="V37" i="274"/>
  <c r="V36" i="274"/>
  <c r="V35" i="274"/>
  <c r="V34" i="274"/>
  <c r="V33" i="274"/>
  <c r="V32" i="274"/>
  <c r="V31" i="274"/>
  <c r="V30" i="274"/>
  <c r="V29" i="274"/>
  <c r="V28" i="274"/>
  <c r="V27" i="274"/>
  <c r="V26" i="274"/>
  <c r="V25" i="274"/>
  <c r="V24" i="274"/>
  <c r="V23" i="274"/>
  <c r="V22" i="274"/>
  <c r="V21" i="274"/>
  <c r="V20" i="274"/>
  <c r="V19" i="274"/>
  <c r="V18" i="274"/>
  <c r="V17" i="274"/>
  <c r="V16" i="274"/>
  <c r="V15" i="274"/>
  <c r="V14" i="274"/>
  <c r="V13" i="274"/>
  <c r="V12" i="274"/>
  <c r="V11" i="274"/>
  <c r="V10" i="274"/>
  <c r="V9" i="274"/>
  <c r="V8" i="274"/>
  <c r="V7" i="274"/>
  <c r="V6" i="274"/>
  <c r="BI104" i="262"/>
  <c r="BI103" i="262"/>
  <c r="BI102" i="262"/>
  <c r="BI101" i="262"/>
  <c r="BI100" i="262"/>
  <c r="BI99" i="262"/>
  <c r="BI98" i="262"/>
  <c r="BI97" i="262"/>
  <c r="BI96" i="262"/>
  <c r="BI95" i="262"/>
  <c r="BI94" i="262"/>
  <c r="BI93" i="262"/>
  <c r="BI92" i="262"/>
  <c r="BI91" i="262"/>
  <c r="BI90" i="262"/>
  <c r="BI89" i="262"/>
  <c r="BI88" i="262"/>
  <c r="BI87" i="262"/>
  <c r="BI86" i="262"/>
  <c r="BI85" i="262"/>
  <c r="BI84" i="262"/>
  <c r="BI83" i="262"/>
  <c r="BI82" i="262"/>
  <c r="BI81" i="262"/>
  <c r="BI80" i="262"/>
  <c r="BI79" i="262"/>
  <c r="BI78" i="262"/>
  <c r="BI77" i="262"/>
  <c r="BI76" i="262"/>
  <c r="BI75" i="262"/>
  <c r="BI74" i="262"/>
  <c r="BI73" i="262"/>
  <c r="BI72" i="262"/>
  <c r="BI71" i="262"/>
  <c r="BI70" i="262"/>
  <c r="BI69" i="262"/>
  <c r="BI68" i="262"/>
  <c r="BI67" i="262"/>
  <c r="BI66" i="262"/>
  <c r="BI65" i="262"/>
  <c r="BI64" i="262"/>
  <c r="BI63" i="262"/>
  <c r="BI62" i="262"/>
  <c r="BI61" i="262"/>
  <c r="BI60" i="262"/>
  <c r="BI59" i="262"/>
  <c r="BI58" i="262"/>
  <c r="BI57" i="262"/>
  <c r="BI56" i="262"/>
  <c r="BI55" i="262"/>
  <c r="BI54" i="262"/>
  <c r="BI53" i="262"/>
  <c r="BI52" i="262"/>
  <c r="BI51" i="262"/>
  <c r="BI50" i="262"/>
  <c r="BI49" i="262"/>
  <c r="BI48" i="262"/>
  <c r="BI47" i="262"/>
  <c r="BI46" i="262"/>
  <c r="BI45" i="262"/>
  <c r="BI44" i="262"/>
  <c r="BI43" i="262"/>
  <c r="BI42" i="262"/>
  <c r="BI41" i="262"/>
  <c r="BI40" i="262"/>
  <c r="BI39" i="262"/>
  <c r="BI38" i="262"/>
  <c r="BI37" i="262"/>
  <c r="BI36" i="262"/>
  <c r="BI35" i="262"/>
  <c r="BI34" i="262"/>
  <c r="BI33" i="262"/>
  <c r="BI32" i="262"/>
  <c r="BI31" i="262"/>
  <c r="BI30" i="262"/>
  <c r="BI29" i="262"/>
  <c r="BI28" i="262"/>
  <c r="BI27" i="262"/>
  <c r="BI26" i="262"/>
  <c r="BI25" i="262"/>
  <c r="BI24" i="262"/>
  <c r="BI23" i="262"/>
  <c r="BI22" i="262"/>
  <c r="BI21" i="262"/>
  <c r="BI20" i="262"/>
  <c r="BI19" i="262"/>
  <c r="BI18" i="262"/>
  <c r="BI17" i="262"/>
  <c r="BI16" i="262"/>
  <c r="BI15" i="262"/>
  <c r="BI14" i="262"/>
  <c r="BI13" i="262"/>
  <c r="BI12" i="262"/>
  <c r="BI11" i="262"/>
  <c r="BI10" i="262"/>
  <c r="BI9" i="262"/>
  <c r="BI8" i="262"/>
  <c r="BI7" i="262"/>
  <c r="G311" i="213"/>
  <c r="H310" i="213"/>
  <c r="H309" i="213"/>
  <c r="H308" i="213"/>
  <c r="H307" i="213"/>
  <c r="H306" i="213"/>
  <c r="H305" i="213"/>
  <c r="H304" i="213"/>
  <c r="H303" i="213"/>
  <c r="H302" i="213"/>
  <c r="H301" i="213"/>
  <c r="H300" i="213"/>
  <c r="H299" i="213"/>
  <c r="H298" i="213"/>
  <c r="H297" i="213"/>
  <c r="H296" i="213"/>
  <c r="H295" i="213"/>
  <c r="H294" i="213"/>
  <c r="H293" i="213"/>
  <c r="H292" i="213"/>
  <c r="H291" i="213"/>
  <c r="H290" i="213"/>
  <c r="H289" i="213"/>
  <c r="H288" i="213"/>
  <c r="H287" i="213"/>
  <c r="H286" i="213"/>
  <c r="H285" i="213"/>
  <c r="H284" i="213"/>
  <c r="H283" i="213"/>
  <c r="H282" i="213"/>
  <c r="H281" i="213"/>
  <c r="H280" i="213"/>
  <c r="H279" i="213"/>
  <c r="H278" i="213"/>
  <c r="H277" i="213"/>
  <c r="H276" i="213"/>
  <c r="H275" i="213"/>
  <c r="H274" i="213"/>
  <c r="H273" i="213"/>
  <c r="H272" i="213"/>
  <c r="H271" i="213"/>
  <c r="H270" i="213"/>
  <c r="H269" i="213"/>
  <c r="H268" i="213"/>
  <c r="H267" i="213"/>
  <c r="H266" i="213"/>
  <c r="H265" i="213"/>
  <c r="H264" i="213"/>
  <c r="H263" i="213"/>
  <c r="H262" i="213"/>
  <c r="H261" i="213"/>
  <c r="H260" i="213"/>
  <c r="H259" i="213"/>
  <c r="H258" i="213"/>
  <c r="H257" i="213"/>
  <c r="H256" i="213"/>
  <c r="H255" i="213"/>
  <c r="H254" i="213"/>
  <c r="H253" i="213"/>
  <c r="H252" i="213"/>
  <c r="H251" i="213"/>
  <c r="H250" i="213"/>
  <c r="H249" i="213"/>
  <c r="H248" i="213"/>
  <c r="H247" i="213"/>
  <c r="H246" i="213"/>
  <c r="H245" i="213"/>
  <c r="H244" i="213"/>
  <c r="H243" i="213"/>
  <c r="H242" i="213"/>
  <c r="H241" i="213"/>
  <c r="H240" i="213"/>
  <c r="H239" i="213"/>
  <c r="H238" i="213"/>
  <c r="H237" i="213"/>
  <c r="H236" i="213"/>
  <c r="H235" i="213"/>
  <c r="H234" i="213"/>
  <c r="H233" i="213"/>
  <c r="H232" i="213"/>
  <c r="H231" i="213"/>
  <c r="H230" i="213"/>
  <c r="H229" i="213"/>
  <c r="H228" i="213"/>
  <c r="H227" i="213"/>
  <c r="H226" i="213"/>
  <c r="H225" i="213"/>
  <c r="H224" i="213"/>
  <c r="H223" i="213"/>
  <c r="H222" i="213"/>
  <c r="H221" i="213"/>
  <c r="H220" i="213"/>
  <c r="H219" i="213"/>
  <c r="H218" i="213"/>
  <c r="H217" i="213"/>
  <c r="H216" i="213"/>
  <c r="H215" i="213"/>
  <c r="H214" i="213"/>
  <c r="H213" i="213"/>
  <c r="H212" i="213"/>
  <c r="H211" i="213"/>
  <c r="H210" i="213"/>
  <c r="H209" i="213"/>
  <c r="H208" i="213"/>
  <c r="H207" i="213"/>
  <c r="H206" i="213"/>
  <c r="H205" i="213"/>
  <c r="H204" i="213"/>
  <c r="H203" i="213"/>
  <c r="H202" i="213"/>
  <c r="H201" i="213"/>
  <c r="H200" i="213"/>
  <c r="H199" i="213"/>
  <c r="H198" i="213"/>
  <c r="H197" i="213"/>
  <c r="H196" i="213"/>
  <c r="H195" i="213"/>
  <c r="H194" i="213"/>
  <c r="H193" i="213"/>
  <c r="H192" i="213"/>
  <c r="H191" i="213"/>
  <c r="H190" i="213"/>
  <c r="H189" i="213"/>
  <c r="H188" i="213"/>
  <c r="H187" i="213"/>
  <c r="H186" i="213"/>
  <c r="H185" i="213"/>
  <c r="H184" i="213"/>
  <c r="H183" i="213"/>
  <c r="H182" i="213"/>
  <c r="H181" i="213"/>
  <c r="H180" i="213"/>
  <c r="H179" i="213"/>
  <c r="H178" i="213"/>
  <c r="H177" i="213"/>
  <c r="H176" i="213"/>
  <c r="H175" i="213"/>
  <c r="H174" i="213"/>
  <c r="H173" i="213"/>
  <c r="H172" i="213"/>
  <c r="H171" i="213"/>
  <c r="H170" i="213"/>
  <c r="F169" i="213"/>
  <c r="F311" i="213"/>
  <c r="C165" i="213"/>
  <c r="B165" i="213"/>
  <c r="D164" i="213"/>
  <c r="D163" i="213"/>
  <c r="D162" i="213"/>
  <c r="D161" i="213"/>
  <c r="G212" i="212"/>
  <c r="G211" i="212"/>
  <c r="G210" i="212"/>
  <c r="G209" i="212"/>
  <c r="G208" i="212"/>
  <c r="G207" i="212"/>
  <c r="G206" i="212"/>
  <c r="G205" i="212"/>
  <c r="G204" i="212"/>
  <c r="G203" i="212"/>
  <c r="G202" i="212"/>
  <c r="G201" i="212"/>
  <c r="G200" i="212"/>
  <c r="G199" i="212"/>
  <c r="G198" i="212"/>
  <c r="G197" i="212"/>
  <c r="G196" i="212"/>
  <c r="G195" i="212"/>
  <c r="G194" i="212"/>
  <c r="G193" i="212"/>
  <c r="G192" i="212"/>
  <c r="G191" i="212"/>
  <c r="G190" i="212"/>
  <c r="G189" i="212"/>
  <c r="G188" i="212"/>
  <c r="G187" i="212"/>
  <c r="G186" i="212"/>
  <c r="G185" i="212"/>
  <c r="G184" i="212"/>
  <c r="G183" i="212"/>
  <c r="G182" i="212"/>
  <c r="G181" i="212"/>
  <c r="G180" i="212"/>
  <c r="G179" i="212"/>
  <c r="G178" i="212"/>
  <c r="G177" i="212"/>
  <c r="G176" i="212"/>
  <c r="G175" i="212"/>
  <c r="G174" i="212"/>
  <c r="G173" i="212"/>
  <c r="G172" i="212"/>
  <c r="G171" i="212"/>
  <c r="G170" i="212"/>
  <c r="G169" i="212"/>
  <c r="G168" i="212"/>
  <c r="G167" i="212"/>
  <c r="G166" i="212"/>
  <c r="G165" i="212"/>
  <c r="G164" i="212"/>
  <c r="G163" i="212"/>
  <c r="G162" i="212"/>
  <c r="G161" i="212"/>
  <c r="G160" i="212"/>
  <c r="G159" i="212"/>
  <c r="G158" i="212"/>
  <c r="G156" i="212"/>
  <c r="G155" i="212"/>
  <c r="G154" i="212"/>
  <c r="G153" i="212"/>
  <c r="G152" i="212"/>
  <c r="G151" i="212"/>
  <c r="G150" i="212"/>
  <c r="G149" i="212"/>
  <c r="G148" i="212"/>
  <c r="G147" i="212"/>
  <c r="G146" i="212"/>
  <c r="G145" i="212"/>
  <c r="G144" i="212"/>
  <c r="G143" i="212"/>
  <c r="G142" i="212"/>
  <c r="G141" i="212"/>
  <c r="G140" i="212"/>
  <c r="G139" i="212"/>
  <c r="G138" i="212"/>
  <c r="G137" i="212"/>
  <c r="E133" i="212"/>
  <c r="E132" i="212"/>
  <c r="E131" i="212"/>
  <c r="E130" i="212"/>
  <c r="E129" i="212"/>
  <c r="E128" i="212"/>
  <c r="D165" i="213"/>
  <c r="H311" i="213"/>
  <c r="H169" i="213"/>
  <c r="H39" i="272"/>
  <c r="H32" i="272"/>
  <c r="H25" i="272"/>
  <c r="H18" i="272"/>
  <c r="H6" i="272"/>
  <c r="H11" i="272"/>
  <c r="H43" i="272"/>
  <c r="D24" i="231"/>
  <c r="L11" i="236"/>
  <c r="L8" i="273"/>
  <c r="C121" i="238"/>
  <c r="B121" i="238"/>
  <c r="C91" i="238"/>
  <c r="B91" i="238"/>
  <c r="G133" i="238"/>
  <c r="H133" i="238"/>
  <c r="L27" i="273"/>
  <c r="L22" i="273"/>
  <c r="L18" i="273"/>
  <c r="L13" i="273"/>
  <c r="L30" i="273"/>
  <c r="AM83" i="220"/>
  <c r="AJ83" i="222"/>
  <c r="AJ85" i="222"/>
  <c r="AK85" i="222"/>
  <c r="AK87" i="222"/>
  <c r="AI83" i="222"/>
  <c r="AI85" i="222"/>
  <c r="AK83" i="222"/>
  <c r="J50" i="271"/>
  <c r="AF27" i="270"/>
  <c r="AF19" i="270"/>
  <c r="BJ48" i="270"/>
  <c r="AF7" i="270"/>
  <c r="BJ66" i="270"/>
  <c r="BJ84" i="270"/>
  <c r="AF9" i="270"/>
  <c r="BJ102" i="270"/>
  <c r="AF17" i="270"/>
  <c r="BJ120" i="270"/>
  <c r="AF18" i="270"/>
  <c r="BJ131" i="270"/>
  <c r="BJ153" i="270"/>
  <c r="BJ169" i="270"/>
  <c r="BJ174" i="270"/>
  <c r="AF29" i="270"/>
  <c r="BJ178" i="270"/>
  <c r="BJ180" i="270"/>
  <c r="AF13" i="270"/>
  <c r="BJ185" i="270"/>
  <c r="AF14" i="270"/>
  <c r="BJ188" i="270"/>
  <c r="AF24" i="270"/>
  <c r="AV46" i="270"/>
  <c r="AV51" i="270"/>
  <c r="AV55" i="270"/>
  <c r="AV70" i="270"/>
  <c r="AV65" i="270"/>
  <c r="AV61" i="270"/>
  <c r="AV101" i="270"/>
  <c r="AV102" i="270"/>
  <c r="AV94" i="270"/>
  <c r="AV82" i="270"/>
  <c r="AV106" i="270"/>
  <c r="AV110" i="270"/>
  <c r="AV114" i="270"/>
  <c r="AV115" i="270"/>
  <c r="AV136" i="270"/>
  <c r="AV137" i="270"/>
  <c r="AV131" i="270"/>
  <c r="AV122" i="270"/>
  <c r="AE30" i="270"/>
  <c r="AE25" i="270"/>
  <c r="AF25" i="270"/>
  <c r="AE20" i="270"/>
  <c r="AE15" i="270"/>
  <c r="AE10" i="270"/>
  <c r="AE32" i="270"/>
  <c r="L83" i="215"/>
  <c r="M83" i="215"/>
  <c r="AS13" i="235"/>
  <c r="D20" i="229"/>
  <c r="G12" i="217"/>
  <c r="G11" i="217"/>
  <c r="H11" i="217"/>
  <c r="BO142" i="268"/>
  <c r="BO144" i="268"/>
  <c r="BP102" i="267"/>
  <c r="BP104" i="267"/>
  <c r="AR31" i="235"/>
  <c r="AQ31" i="235"/>
  <c r="AR30" i="235"/>
  <c r="AQ30" i="235"/>
  <c r="AR29" i="235"/>
  <c r="AQ29" i="235"/>
  <c r="AS27" i="235"/>
  <c r="AS23" i="235"/>
  <c r="AS22" i="235"/>
  <c r="AS21" i="235"/>
  <c r="AS19" i="235"/>
  <c r="AS18" i="235"/>
  <c r="AS17" i="235"/>
  <c r="AS15" i="235"/>
  <c r="AS14" i="235"/>
  <c r="AS11" i="235"/>
  <c r="AS10" i="235"/>
  <c r="AS9" i="235"/>
  <c r="AS7" i="235"/>
  <c r="AS6" i="235"/>
  <c r="AS5" i="235"/>
  <c r="M43" i="234"/>
  <c r="M41" i="234"/>
  <c r="M39" i="234"/>
  <c r="M38" i="234"/>
  <c r="M37" i="234"/>
  <c r="M36" i="234"/>
  <c r="M35" i="234"/>
  <c r="M34" i="234"/>
  <c r="M32" i="234"/>
  <c r="M31" i="234"/>
  <c r="M30" i="234"/>
  <c r="M29" i="234"/>
  <c r="M28" i="234"/>
  <c r="M27" i="234"/>
  <c r="M25" i="234"/>
  <c r="M24" i="234"/>
  <c r="M23" i="234"/>
  <c r="M22" i="234"/>
  <c r="M21" i="234"/>
  <c r="M20" i="234"/>
  <c r="M18" i="234"/>
  <c r="M17" i="234"/>
  <c r="M16" i="234"/>
  <c r="M15" i="234"/>
  <c r="M14" i="234"/>
  <c r="M13" i="234"/>
  <c r="M11" i="234"/>
  <c r="M10" i="234"/>
  <c r="M9" i="234"/>
  <c r="M8" i="234"/>
  <c r="M7" i="234"/>
  <c r="M6" i="234"/>
  <c r="J43" i="233"/>
  <c r="J41" i="233"/>
  <c r="J39" i="233"/>
  <c r="J38" i="233"/>
  <c r="J37" i="233"/>
  <c r="J36" i="233"/>
  <c r="J35" i="233"/>
  <c r="J34" i="233"/>
  <c r="J32" i="233"/>
  <c r="J31" i="233"/>
  <c r="J30" i="233"/>
  <c r="J29" i="233"/>
  <c r="J28" i="233"/>
  <c r="J27" i="233"/>
  <c r="J25" i="233"/>
  <c r="J24" i="233"/>
  <c r="J23" i="233"/>
  <c r="J22" i="233"/>
  <c r="J21" i="233"/>
  <c r="J20" i="233"/>
  <c r="J18" i="233"/>
  <c r="J17" i="233"/>
  <c r="J16" i="233"/>
  <c r="J15" i="233"/>
  <c r="J14" i="233"/>
  <c r="J13" i="233"/>
  <c r="J11" i="233"/>
  <c r="J10" i="233"/>
  <c r="J9" i="233"/>
  <c r="J8" i="233"/>
  <c r="J7" i="233"/>
  <c r="J6" i="233"/>
  <c r="B25" i="231"/>
  <c r="E25" i="231"/>
  <c r="D25" i="231"/>
  <c r="C25" i="231"/>
  <c r="BE31" i="223"/>
  <c r="BE32" i="223"/>
  <c r="BE33" i="223"/>
  <c r="BE34" i="223"/>
  <c r="BE35" i="223"/>
  <c r="BH35" i="223"/>
  <c r="BE36" i="223"/>
  <c r="BF31" i="223"/>
  <c r="BF32" i="223"/>
  <c r="BF33" i="223"/>
  <c r="BF34" i="223"/>
  <c r="BF35" i="223"/>
  <c r="BF36" i="223"/>
  <c r="BG31" i="223"/>
  <c r="BG32" i="223"/>
  <c r="BG33" i="223"/>
  <c r="BG34" i="223"/>
  <c r="BG35" i="223"/>
  <c r="BG36" i="223"/>
  <c r="BH33" i="223"/>
  <c r="BH32" i="223"/>
  <c r="BI32" i="223"/>
  <c r="BE29" i="223"/>
  <c r="BH29" i="223"/>
  <c r="BF29" i="223"/>
  <c r="BG29" i="223"/>
  <c r="BH28" i="223"/>
  <c r="BI28" i="223"/>
  <c r="BH27" i="223"/>
  <c r="BI27" i="223"/>
  <c r="BH26" i="223"/>
  <c r="BI26" i="223"/>
  <c r="BE24" i="223"/>
  <c r="BH24" i="223"/>
  <c r="BI24" i="223"/>
  <c r="BF24" i="223"/>
  <c r="BG24" i="223"/>
  <c r="BH23" i="223"/>
  <c r="BI23" i="223"/>
  <c r="BH22" i="223"/>
  <c r="BI22" i="223"/>
  <c r="BH21" i="223"/>
  <c r="BI21" i="223"/>
  <c r="BE19" i="223"/>
  <c r="BF19" i="223"/>
  <c r="BG19" i="223"/>
  <c r="BH18" i="223"/>
  <c r="BI18" i="223"/>
  <c r="BH17" i="223"/>
  <c r="BI17" i="223"/>
  <c r="BH16" i="223"/>
  <c r="BI16" i="223"/>
  <c r="BE14" i="223"/>
  <c r="BH14" i="223"/>
  <c r="BF14" i="223"/>
  <c r="BG14" i="223"/>
  <c r="BH13" i="223"/>
  <c r="BI13" i="223"/>
  <c r="BH12" i="223"/>
  <c r="BI12" i="223"/>
  <c r="BH11" i="223"/>
  <c r="BI11" i="223"/>
  <c r="BE9" i="223"/>
  <c r="BF9" i="223"/>
  <c r="BG9" i="223"/>
  <c r="BH8" i="223"/>
  <c r="BI8" i="223"/>
  <c r="BH7" i="223"/>
  <c r="BI7" i="223"/>
  <c r="BH6" i="223"/>
  <c r="BI6" i="223"/>
  <c r="AG87" i="222"/>
  <c r="AM83" i="221"/>
  <c r="AO83" i="221"/>
  <c r="AN83" i="221"/>
  <c r="AO81" i="221"/>
  <c r="AO80" i="221"/>
  <c r="AO79" i="221"/>
  <c r="AO78" i="221"/>
  <c r="AO77" i="221"/>
  <c r="AO76" i="221"/>
  <c r="AO75" i="221"/>
  <c r="AO74" i="221"/>
  <c r="AO73" i="221"/>
  <c r="AO72" i="221"/>
  <c r="AO71" i="221"/>
  <c r="AO70" i="221"/>
  <c r="AO69" i="221"/>
  <c r="AO68" i="221"/>
  <c r="AO67" i="221"/>
  <c r="AO66" i="221"/>
  <c r="AO65" i="221"/>
  <c r="AO64" i="221"/>
  <c r="AO63" i="221"/>
  <c r="AO60" i="221"/>
  <c r="AO58" i="221"/>
  <c r="AO57" i="221"/>
  <c r="AO56" i="221"/>
  <c r="AO55" i="221"/>
  <c r="AO54" i="221"/>
  <c r="AO52" i="221"/>
  <c r="AO51" i="221"/>
  <c r="AO50" i="221"/>
  <c r="AO49" i="221"/>
  <c r="AO48" i="221"/>
  <c r="AO47" i="221"/>
  <c r="AO46" i="221"/>
  <c r="AO45" i="221"/>
  <c r="AO44" i="221"/>
  <c r="AO43" i="221"/>
  <c r="AO42" i="221"/>
  <c r="AO41" i="221"/>
  <c r="AO40" i="221"/>
  <c r="AO39" i="221"/>
  <c r="AO38" i="221"/>
  <c r="AO37" i="221"/>
  <c r="AO36" i="221"/>
  <c r="AO35" i="221"/>
  <c r="AO34" i="221"/>
  <c r="AO33" i="221"/>
  <c r="AO32" i="221"/>
  <c r="AO31" i="221"/>
  <c r="AO30" i="221"/>
  <c r="AO29" i="221"/>
  <c r="AO28" i="221"/>
  <c r="AO27" i="221"/>
  <c r="AO26" i="221"/>
  <c r="AO25" i="221"/>
  <c r="AO24" i="221"/>
  <c r="AO23" i="221"/>
  <c r="AO22" i="221"/>
  <c r="AO21" i="221"/>
  <c r="AO20" i="221"/>
  <c r="AO19" i="221"/>
  <c r="AO18" i="221"/>
  <c r="AO17" i="221"/>
  <c r="AO16" i="221"/>
  <c r="AO15" i="221"/>
  <c r="AO14" i="221"/>
  <c r="AO13" i="221"/>
  <c r="AO12" i="221"/>
  <c r="AO11" i="221"/>
  <c r="AO10" i="221"/>
  <c r="AO9" i="221"/>
  <c r="AO8" i="221"/>
  <c r="AO7" i="221"/>
  <c r="AO6" i="221"/>
  <c r="AO5" i="221"/>
  <c r="AO4" i="221"/>
  <c r="AO83" i="220"/>
  <c r="AO81" i="220"/>
  <c r="AO80" i="220"/>
  <c r="AO79" i="220"/>
  <c r="AO78" i="220"/>
  <c r="AO77" i="220"/>
  <c r="AO76" i="220"/>
  <c r="AO75" i="220"/>
  <c r="AO74" i="220"/>
  <c r="AO73" i="220"/>
  <c r="AO72" i="220"/>
  <c r="AO71" i="220"/>
  <c r="AO70" i="220"/>
  <c r="AO69" i="220"/>
  <c r="AO68" i="220"/>
  <c r="AO67" i="220"/>
  <c r="AO66" i="220"/>
  <c r="AO65" i="220"/>
  <c r="AO64" i="220"/>
  <c r="AO63" i="220"/>
  <c r="AO60" i="220"/>
  <c r="AO58" i="220"/>
  <c r="AO57" i="220"/>
  <c r="AO56" i="220"/>
  <c r="AO55" i="220"/>
  <c r="AO54" i="220"/>
  <c r="AO52" i="220"/>
  <c r="AO51" i="220"/>
  <c r="AO50" i="220"/>
  <c r="AO49" i="220"/>
  <c r="AO48" i="220"/>
  <c r="AO47" i="220"/>
  <c r="AO46" i="220"/>
  <c r="AO45" i="220"/>
  <c r="AO44" i="220"/>
  <c r="AO43" i="220"/>
  <c r="AO42" i="220"/>
  <c r="AO41" i="220"/>
  <c r="AO40" i="220"/>
  <c r="AO39" i="220"/>
  <c r="AO38" i="220"/>
  <c r="AO37" i="220"/>
  <c r="AO36" i="220"/>
  <c r="AO35" i="220"/>
  <c r="AO34" i="220"/>
  <c r="AO33" i="220"/>
  <c r="AO32" i="220"/>
  <c r="AO31" i="220"/>
  <c r="AO30" i="220"/>
  <c r="AO29" i="220"/>
  <c r="AO28" i="220"/>
  <c r="AO27" i="220"/>
  <c r="AO26" i="220"/>
  <c r="AO25" i="220"/>
  <c r="AO24" i="220"/>
  <c r="AO23" i="220"/>
  <c r="AO22" i="220"/>
  <c r="AO21" i="220"/>
  <c r="AO20" i="220"/>
  <c r="AO19" i="220"/>
  <c r="AO18" i="220"/>
  <c r="AO17" i="220"/>
  <c r="AO16" i="220"/>
  <c r="AO15" i="220"/>
  <c r="AO14" i="220"/>
  <c r="AO13" i="220"/>
  <c r="AO12" i="220"/>
  <c r="AO11" i="220"/>
  <c r="AO10" i="220"/>
  <c r="AO9" i="220"/>
  <c r="AO8" i="220"/>
  <c r="AO7" i="220"/>
  <c r="AO6" i="220"/>
  <c r="AO5" i="220"/>
  <c r="AO4" i="220"/>
  <c r="AM83" i="261"/>
  <c r="AO83" i="261"/>
  <c r="AO81" i="261"/>
  <c r="AO80" i="261"/>
  <c r="AO79" i="261"/>
  <c r="AO78" i="261"/>
  <c r="AO77" i="261"/>
  <c r="AO76" i="261"/>
  <c r="AO75" i="261"/>
  <c r="AO74" i="261"/>
  <c r="AO73" i="261"/>
  <c r="AO72" i="261"/>
  <c r="AO71" i="261"/>
  <c r="AO70" i="261"/>
  <c r="AO69" i="261"/>
  <c r="AO68" i="261"/>
  <c r="AO67" i="261"/>
  <c r="AO66" i="261"/>
  <c r="AO65" i="261"/>
  <c r="AO64" i="261"/>
  <c r="AO63" i="261"/>
  <c r="AO60" i="261"/>
  <c r="AO58" i="261"/>
  <c r="AO57" i="261"/>
  <c r="AO56" i="261"/>
  <c r="AO55" i="261"/>
  <c r="AO54" i="261"/>
  <c r="AO52" i="261"/>
  <c r="AO51" i="261"/>
  <c r="AO50" i="261"/>
  <c r="AO49" i="261"/>
  <c r="AO48" i="261"/>
  <c r="AO47" i="261"/>
  <c r="AO46" i="261"/>
  <c r="AO45" i="261"/>
  <c r="AO44" i="261"/>
  <c r="AO43" i="261"/>
  <c r="AO42" i="261"/>
  <c r="AO41" i="261"/>
  <c r="AO40" i="261"/>
  <c r="AO39" i="261"/>
  <c r="AO38" i="261"/>
  <c r="AO37" i="261"/>
  <c r="AO36" i="261"/>
  <c r="AO35" i="261"/>
  <c r="AO34" i="261"/>
  <c r="AO33" i="261"/>
  <c r="AO32" i="261"/>
  <c r="AO31" i="261"/>
  <c r="AO30" i="261"/>
  <c r="AO29" i="261"/>
  <c r="AO28" i="261"/>
  <c r="AO27" i="261"/>
  <c r="AO26" i="261"/>
  <c r="AO25" i="261"/>
  <c r="AO24" i="261"/>
  <c r="AO23" i="261"/>
  <c r="AO22" i="261"/>
  <c r="AO21" i="261"/>
  <c r="AO20" i="261"/>
  <c r="AO19" i="261"/>
  <c r="AO18" i="261"/>
  <c r="AO17" i="261"/>
  <c r="AO16" i="261"/>
  <c r="AO15" i="261"/>
  <c r="AO14" i="261"/>
  <c r="AO13" i="261"/>
  <c r="AO12" i="261"/>
  <c r="AO11" i="261"/>
  <c r="AO10" i="261"/>
  <c r="AO9" i="261"/>
  <c r="AO8" i="261"/>
  <c r="AO7" i="261"/>
  <c r="AO6" i="261"/>
  <c r="AO5" i="261"/>
  <c r="AO4" i="261"/>
  <c r="J43" i="272"/>
  <c r="J41" i="272"/>
  <c r="J39" i="272"/>
  <c r="J38" i="272"/>
  <c r="J37" i="272"/>
  <c r="J36" i="272"/>
  <c r="J35" i="272"/>
  <c r="J34" i="272"/>
  <c r="J32" i="272"/>
  <c r="J31" i="272"/>
  <c r="J30" i="272"/>
  <c r="J29" i="272"/>
  <c r="J28" i="272"/>
  <c r="J27" i="272"/>
  <c r="J25" i="272"/>
  <c r="J24" i="272"/>
  <c r="J23" i="272"/>
  <c r="J22" i="272"/>
  <c r="J21" i="272"/>
  <c r="J20" i="272"/>
  <c r="J18" i="272"/>
  <c r="J17" i="272"/>
  <c r="J16" i="272"/>
  <c r="J15" i="272"/>
  <c r="J14" i="272"/>
  <c r="J13" i="272"/>
  <c r="J11" i="272"/>
  <c r="J10" i="272"/>
  <c r="J9" i="272"/>
  <c r="J8" i="272"/>
  <c r="J7" i="272"/>
  <c r="J6" i="272"/>
  <c r="BT84" i="216"/>
  <c r="BT82" i="216"/>
  <c r="BT81" i="216"/>
  <c r="BT79" i="216"/>
  <c r="BT77" i="216"/>
  <c r="BT76" i="216"/>
  <c r="BT75" i="216"/>
  <c r="BT74" i="216"/>
  <c r="BT73" i="216"/>
  <c r="BT72" i="216"/>
  <c r="BT71" i="216"/>
  <c r="BT70" i="216"/>
  <c r="BT69" i="216"/>
  <c r="BT68" i="216"/>
  <c r="BT67" i="216"/>
  <c r="BT66" i="216"/>
  <c r="BT65" i="216"/>
  <c r="BT64" i="216"/>
  <c r="BT63" i="216"/>
  <c r="BT62" i="216"/>
  <c r="BT61" i="216"/>
  <c r="BT60" i="216"/>
  <c r="BT59" i="216"/>
  <c r="BT58" i="216"/>
  <c r="BT57" i="216"/>
  <c r="BT55" i="216"/>
  <c r="BT53" i="216"/>
  <c r="BT52" i="216"/>
  <c r="BT51" i="216"/>
  <c r="BT49" i="216"/>
  <c r="BT47" i="216"/>
  <c r="BT46" i="216"/>
  <c r="BT45" i="216"/>
  <c r="BT44" i="216"/>
  <c r="BT43" i="216"/>
  <c r="BT42" i="216"/>
  <c r="BT41" i="216"/>
  <c r="BT40" i="216"/>
  <c r="BT39" i="216"/>
  <c r="BT38" i="216"/>
  <c r="BT37" i="216"/>
  <c r="BT35" i="216"/>
  <c r="BT34" i="216"/>
  <c r="BT33" i="216"/>
  <c r="BT32" i="216"/>
  <c r="BT31" i="216"/>
  <c r="BT30" i="216"/>
  <c r="BT29" i="216"/>
  <c r="BT28" i="216"/>
  <c r="BT27" i="216"/>
  <c r="BT26" i="216"/>
  <c r="BT25" i="216"/>
  <c r="BT24" i="216"/>
  <c r="BT23" i="216"/>
  <c r="BT22" i="216"/>
  <c r="BT21" i="216"/>
  <c r="BT20" i="216"/>
  <c r="BT17" i="216"/>
  <c r="BT19" i="216"/>
  <c r="BT18" i="216"/>
  <c r="BT16" i="216"/>
  <c r="BT15" i="216"/>
  <c r="BT14" i="216"/>
  <c r="BT13" i="216"/>
  <c r="BT12" i="216"/>
  <c r="BT11" i="216"/>
  <c r="BT10" i="216"/>
  <c r="BT9" i="216"/>
  <c r="BT8" i="216"/>
  <c r="BT7" i="216"/>
  <c r="BT6" i="216"/>
  <c r="BT5" i="216"/>
  <c r="M81" i="215"/>
  <c r="M80" i="215"/>
  <c r="M79" i="215"/>
  <c r="M78" i="215"/>
  <c r="M77" i="215"/>
  <c r="M76" i="215"/>
  <c r="M75" i="215"/>
  <c r="M74" i="215"/>
  <c r="M73" i="215"/>
  <c r="M72" i="215"/>
  <c r="M71" i="215"/>
  <c r="M70" i="215"/>
  <c r="M69" i="215"/>
  <c r="M68" i="215"/>
  <c r="M67" i="215"/>
  <c r="M66" i="215"/>
  <c r="M65" i="215"/>
  <c r="M59" i="215"/>
  <c r="M58" i="215"/>
  <c r="M57" i="215"/>
  <c r="M56" i="215"/>
  <c r="M55" i="215"/>
  <c r="M54" i="215"/>
  <c r="M53" i="215"/>
  <c r="M52" i="215"/>
  <c r="M51" i="215"/>
  <c r="M50" i="215"/>
  <c r="M49" i="215"/>
  <c r="M48" i="215"/>
  <c r="M47" i="215"/>
  <c r="M46" i="215"/>
  <c r="M45" i="215"/>
  <c r="M44" i="215"/>
  <c r="M43" i="215"/>
  <c r="M42" i="215"/>
  <c r="M41" i="215"/>
  <c r="M40" i="215"/>
  <c r="M39" i="215"/>
  <c r="M38" i="215"/>
  <c r="M37" i="215"/>
  <c r="M36" i="215"/>
  <c r="M35" i="215"/>
  <c r="M34" i="215"/>
  <c r="M33" i="215"/>
  <c r="M32" i="215"/>
  <c r="M31" i="215"/>
  <c r="M30" i="215"/>
  <c r="M29" i="215"/>
  <c r="M28" i="215"/>
  <c r="M27" i="215"/>
  <c r="M26" i="215"/>
  <c r="M25" i="215"/>
  <c r="M24" i="215"/>
  <c r="M23" i="215"/>
  <c r="M22" i="215"/>
  <c r="M21" i="215"/>
  <c r="M20" i="215"/>
  <c r="M19" i="215"/>
  <c r="M18" i="215"/>
  <c r="M17" i="215"/>
  <c r="M16" i="215"/>
  <c r="M15" i="215"/>
  <c r="M14" i="215"/>
  <c r="M13" i="215"/>
  <c r="M12" i="215"/>
  <c r="M11" i="215"/>
  <c r="M10" i="215"/>
  <c r="M9" i="215"/>
  <c r="M8" i="215"/>
  <c r="M7" i="215"/>
  <c r="M6" i="215"/>
  <c r="M5" i="215"/>
  <c r="M4" i="215"/>
  <c r="AN9" i="214"/>
  <c r="AN15" i="214"/>
  <c r="AO15" i="214"/>
  <c r="AO20" i="214"/>
  <c r="AN25" i="214"/>
  <c r="AN29" i="214"/>
  <c r="AN33" i="214"/>
  <c r="AN40" i="214"/>
  <c r="AO40" i="214"/>
  <c r="AN46" i="214"/>
  <c r="AO46" i="214"/>
  <c r="AN51" i="214"/>
  <c r="AO51" i="214"/>
  <c r="AN56" i="214"/>
  <c r="AO56" i="214"/>
  <c r="AN60" i="214"/>
  <c r="AO60" i="214"/>
  <c r="AN64" i="214"/>
  <c r="AN70" i="214"/>
  <c r="AO70" i="214"/>
  <c r="AN75" i="214"/>
  <c r="AO75" i="214"/>
  <c r="AN80" i="214"/>
  <c r="AN81" i="214"/>
  <c r="AO81" i="214"/>
  <c r="AO79" i="214"/>
  <c r="AO78" i="214"/>
  <c r="AO77" i="214"/>
  <c r="AO76" i="214"/>
  <c r="AO74" i="214"/>
  <c r="AO73" i="214"/>
  <c r="AO72" i="214"/>
  <c r="AO71" i="214"/>
  <c r="AO69" i="214"/>
  <c r="AO68" i="214"/>
  <c r="AO67" i="214"/>
  <c r="AO66" i="214"/>
  <c r="AO64" i="214"/>
  <c r="AO63" i="214"/>
  <c r="AO62" i="214"/>
  <c r="AO61" i="214"/>
  <c r="AO59" i="214"/>
  <c r="AO58" i="214"/>
  <c r="AO57" i="214"/>
  <c r="AO55" i="214"/>
  <c r="AO54" i="214"/>
  <c r="AO53" i="214"/>
  <c r="AO50" i="214"/>
  <c r="AO49" i="214"/>
  <c r="AO48" i="214"/>
  <c r="AO47" i="214"/>
  <c r="AO45" i="214"/>
  <c r="AO44" i="214"/>
  <c r="AO43" i="214"/>
  <c r="AO42" i="214"/>
  <c r="AO41" i="214"/>
  <c r="AO39" i="214"/>
  <c r="AO38" i="214"/>
  <c r="AO37" i="214"/>
  <c r="AO36" i="214"/>
  <c r="AO35" i="214"/>
  <c r="AO32" i="214"/>
  <c r="AO31" i="214"/>
  <c r="AO30" i="214"/>
  <c r="AO29" i="214"/>
  <c r="AO28" i="214"/>
  <c r="AO27" i="214"/>
  <c r="AO26" i="214"/>
  <c r="AO25" i="214"/>
  <c r="AO24" i="214"/>
  <c r="AO23" i="214"/>
  <c r="AO22" i="214"/>
  <c r="AO19" i="214"/>
  <c r="AO16" i="214"/>
  <c r="AO18" i="214"/>
  <c r="AO17" i="214"/>
  <c r="AO14" i="214"/>
  <c r="AO13" i="214"/>
  <c r="AO12" i="214"/>
  <c r="AO11" i="214"/>
  <c r="AO10" i="214"/>
  <c r="AO9" i="214"/>
  <c r="AO8" i="214"/>
  <c r="AO7" i="214"/>
  <c r="AO6" i="214"/>
  <c r="AO5" i="214"/>
  <c r="AO4" i="214"/>
  <c r="J49" i="271"/>
  <c r="I49" i="271"/>
  <c r="I50" i="271"/>
  <c r="I51" i="271"/>
  <c r="H49" i="271"/>
  <c r="H50" i="271"/>
  <c r="H51" i="271"/>
  <c r="J44" i="271"/>
  <c r="I44" i="271"/>
  <c r="H44" i="271"/>
  <c r="J33" i="271"/>
  <c r="I33" i="271"/>
  <c r="J25" i="271"/>
  <c r="I25" i="271"/>
  <c r="H25" i="271"/>
  <c r="J17" i="271"/>
  <c r="I17" i="271"/>
  <c r="H17" i="271"/>
  <c r="I8" i="271"/>
  <c r="H8" i="271"/>
  <c r="W10" i="269"/>
  <c r="W15" i="269"/>
  <c r="W20" i="269"/>
  <c r="W25" i="269"/>
  <c r="W30" i="269"/>
  <c r="X7" i="269"/>
  <c r="X10" i="269"/>
  <c r="X8" i="269"/>
  <c r="Z8" i="269"/>
  <c r="X9" i="269"/>
  <c r="Z9" i="269"/>
  <c r="X12" i="269"/>
  <c r="X13" i="269"/>
  <c r="X15" i="269"/>
  <c r="Y15" i="269"/>
  <c r="X14" i="269"/>
  <c r="Y14" i="269"/>
  <c r="T20" i="269"/>
  <c r="X20" i="269"/>
  <c r="U20" i="269"/>
  <c r="V20" i="269"/>
  <c r="V25" i="269"/>
  <c r="X27" i="269"/>
  <c r="X28" i="269"/>
  <c r="Z28" i="269"/>
  <c r="Y28" i="269"/>
  <c r="X29" i="269"/>
  <c r="Z29" i="269"/>
  <c r="U10" i="269"/>
  <c r="U30" i="269"/>
  <c r="V10" i="269"/>
  <c r="V15" i="269"/>
  <c r="V30" i="269"/>
  <c r="T10" i="269"/>
  <c r="T15" i="269"/>
  <c r="T32" i="269"/>
  <c r="T30" i="269"/>
  <c r="X24" i="269"/>
  <c r="Z24" i="269"/>
  <c r="Y24" i="269"/>
  <c r="X23" i="269"/>
  <c r="Y23" i="269"/>
  <c r="Z23" i="269"/>
  <c r="X22" i="269"/>
  <c r="Y22" i="269"/>
  <c r="X19" i="269"/>
  <c r="X18" i="269"/>
  <c r="Z18" i="269"/>
  <c r="X17" i="269"/>
  <c r="Y17" i="269"/>
  <c r="Z13" i="269"/>
  <c r="Y13" i="269"/>
  <c r="D21" i="237"/>
  <c r="E21" i="237"/>
  <c r="C21" i="237"/>
  <c r="F20" i="237"/>
  <c r="F19" i="237"/>
  <c r="F18" i="237"/>
  <c r="F17" i="237"/>
  <c r="F16" i="237"/>
  <c r="F15" i="237"/>
  <c r="K11" i="236"/>
  <c r="E11" i="236"/>
  <c r="F11" i="236"/>
  <c r="G11" i="236"/>
  <c r="H11" i="236"/>
  <c r="I11" i="236"/>
  <c r="K8" i="230"/>
  <c r="J42" i="232"/>
  <c r="I42" i="232"/>
  <c r="F42" i="232"/>
  <c r="E42" i="232"/>
  <c r="D42" i="232"/>
  <c r="K40" i="232"/>
  <c r="F24" i="231"/>
  <c r="G24" i="231"/>
  <c r="G40" i="232"/>
  <c r="M40" i="232"/>
  <c r="K38" i="232"/>
  <c r="F23" i="231"/>
  <c r="G23" i="231"/>
  <c r="G38" i="232"/>
  <c r="M38" i="232"/>
  <c r="K36" i="232"/>
  <c r="G36" i="232"/>
  <c r="K34" i="232"/>
  <c r="F21" i="231"/>
  <c r="G21" i="231"/>
  <c r="G34" i="232"/>
  <c r="K32" i="232"/>
  <c r="F20" i="231"/>
  <c r="G20" i="231"/>
  <c r="G32" i="232"/>
  <c r="K30" i="232"/>
  <c r="F19" i="231"/>
  <c r="G30" i="232"/>
  <c r="C70" i="220"/>
  <c r="AD54" i="255"/>
  <c r="AD49" i="255"/>
  <c r="AD10" i="255"/>
  <c r="AD11" i="255"/>
  <c r="AD13" i="255"/>
  <c r="AD14" i="255"/>
  <c r="AD16" i="255"/>
  <c r="AD17" i="255"/>
  <c r="AD18" i="255"/>
  <c r="AD21" i="255"/>
  <c r="AD22" i="255"/>
  <c r="AD23" i="255"/>
  <c r="AD24" i="255"/>
  <c r="AD25" i="255"/>
  <c r="AD26" i="255"/>
  <c r="AD27" i="255"/>
  <c r="AD29" i="255"/>
  <c r="AD30" i="255"/>
  <c r="AD31" i="255"/>
  <c r="AD32" i="255"/>
  <c r="AD33" i="255"/>
  <c r="AD35" i="255"/>
  <c r="AD36" i="255"/>
  <c r="AD37" i="255"/>
  <c r="AD40" i="255"/>
  <c r="AD41" i="255"/>
  <c r="AD42" i="255"/>
  <c r="AD44" i="255"/>
  <c r="AD45" i="255"/>
  <c r="AD46" i="255"/>
  <c r="AD48" i="255"/>
  <c r="AD51" i="255"/>
  <c r="AD52" i="255"/>
  <c r="AD55" i="255"/>
  <c r="AD53" i="255"/>
  <c r="AD9" i="255"/>
  <c r="AD12" i="255"/>
  <c r="AD8" i="254"/>
  <c r="AD9" i="254"/>
  <c r="AD10" i="254"/>
  <c r="AD11" i="254"/>
  <c r="AD13" i="254"/>
  <c r="AD14" i="254"/>
  <c r="AD15" i="254"/>
  <c r="AD16" i="254"/>
  <c r="AD17" i="254"/>
  <c r="AD18" i="254"/>
  <c r="AD20" i="254"/>
  <c r="AD21" i="254"/>
  <c r="AD22" i="254"/>
  <c r="AD23" i="254"/>
  <c r="AD24" i="254"/>
  <c r="AD27" i="254"/>
  <c r="AD28" i="254"/>
  <c r="AD29" i="254"/>
  <c r="AD30" i="254"/>
  <c r="AD31" i="254"/>
  <c r="AD32" i="254"/>
  <c r="AD33" i="254"/>
  <c r="AD35" i="254"/>
  <c r="AD36" i="254"/>
  <c r="AD37" i="254"/>
  <c r="AD38" i="254"/>
  <c r="AD39" i="254"/>
  <c r="AD41" i="254"/>
  <c r="AD42" i="254"/>
  <c r="AD43" i="254"/>
  <c r="AD44" i="254"/>
  <c r="AD47" i="254"/>
  <c r="AD48" i="254"/>
  <c r="AD49" i="254"/>
  <c r="AD50" i="254"/>
  <c r="AD51" i="254"/>
  <c r="AD52" i="254"/>
  <c r="AD53" i="254"/>
  <c r="AD54" i="254"/>
  <c r="AD55" i="254"/>
  <c r="AD56" i="254"/>
  <c r="AD58" i="254"/>
  <c r="AD59" i="254"/>
  <c r="AD60" i="254"/>
  <c r="AD61" i="254"/>
  <c r="AD62" i="254"/>
  <c r="AD63" i="254"/>
  <c r="AD64" i="254"/>
  <c r="AD66" i="254"/>
  <c r="AD67" i="254"/>
  <c r="AD70" i="254"/>
  <c r="AD71" i="254"/>
  <c r="AD76" i="254"/>
  <c r="AD74" i="254"/>
  <c r="AD75" i="254"/>
  <c r="AD6" i="254"/>
  <c r="AD7" i="253"/>
  <c r="AD8" i="253"/>
  <c r="AD9" i="253"/>
  <c r="AD10" i="253"/>
  <c r="AD12" i="253"/>
  <c r="AD13" i="253"/>
  <c r="AD17" i="253"/>
  <c r="AD26" i="253"/>
  <c r="AD14" i="253"/>
  <c r="AD15" i="253"/>
  <c r="AD18" i="253"/>
  <c r="AD19" i="253"/>
  <c r="AD20" i="253"/>
  <c r="AD21" i="253"/>
  <c r="AD23" i="253"/>
  <c r="AD24" i="253"/>
  <c r="AD25" i="253"/>
  <c r="AD6" i="253"/>
  <c r="BP253" i="252"/>
  <c r="BP244" i="252"/>
  <c r="BP231" i="252"/>
  <c r="BP224" i="252"/>
  <c r="BP217" i="252"/>
  <c r="BP211" i="252"/>
  <c r="BP207" i="252"/>
  <c r="BP203" i="252"/>
  <c r="BP197" i="252"/>
  <c r="BP193" i="252"/>
  <c r="BP188" i="252"/>
  <c r="BP182" i="252"/>
  <c r="BP177" i="252"/>
  <c r="BP172" i="252"/>
  <c r="BP163" i="252"/>
  <c r="BP156" i="252"/>
  <c r="BP151" i="252"/>
  <c r="BP144" i="252"/>
  <c r="BP137" i="252"/>
  <c r="BP129" i="252"/>
  <c r="BP124" i="252"/>
  <c r="BP117" i="252"/>
  <c r="BP111" i="252"/>
  <c r="BP105" i="252"/>
  <c r="BP100" i="252"/>
  <c r="BP94" i="252"/>
  <c r="BP90" i="252"/>
  <c r="BP82" i="252"/>
  <c r="BP78" i="252"/>
  <c r="BP74" i="252"/>
  <c r="BP69" i="252"/>
  <c r="BP64" i="252"/>
  <c r="BP57" i="252"/>
  <c r="BP50" i="252"/>
  <c r="BP42" i="252"/>
  <c r="BP31" i="252"/>
  <c r="BP26" i="252"/>
  <c r="BP21" i="252"/>
  <c r="BP15" i="252"/>
  <c r="BP8" i="252"/>
  <c r="AX341" i="251"/>
  <c r="AX331" i="251"/>
  <c r="AX326" i="251"/>
  <c r="AX321" i="251"/>
  <c r="AX306" i="251"/>
  <c r="AX298" i="251"/>
  <c r="AX292" i="251"/>
  <c r="AX286" i="251"/>
  <c r="AX279" i="251"/>
  <c r="AX275" i="251"/>
  <c r="AX269" i="251"/>
  <c r="AX263" i="251"/>
  <c r="AX259" i="251"/>
  <c r="AX254" i="251"/>
  <c r="AX246" i="251"/>
  <c r="AX242" i="251"/>
  <c r="AX238" i="251"/>
  <c r="AX230" i="251"/>
  <c r="AX228" i="251"/>
  <c r="AX226" i="251"/>
  <c r="AX220" i="251"/>
  <c r="AX213" i="251"/>
  <c r="AX210" i="251"/>
  <c r="AX205" i="251"/>
  <c r="AX196" i="251"/>
  <c r="AX189" i="251"/>
  <c r="AX185" i="251"/>
  <c r="AX181" i="251"/>
  <c r="AX175" i="251"/>
  <c r="AX170" i="251"/>
  <c r="AX162" i="251"/>
  <c r="AX158" i="251"/>
  <c r="AX152" i="251"/>
  <c r="AX145" i="251"/>
  <c r="AX137" i="251"/>
  <c r="AX132" i="251"/>
  <c r="AX127" i="251"/>
  <c r="AX122" i="251"/>
  <c r="AX115" i="251"/>
  <c r="AX105" i="251"/>
  <c r="AX99" i="251"/>
  <c r="AX90" i="251"/>
  <c r="AX81" i="251"/>
  <c r="AX68" i="251"/>
  <c r="AX65" i="251"/>
  <c r="AX57" i="251"/>
  <c r="AX51" i="251"/>
  <c r="AX44" i="251"/>
  <c r="AX36" i="251"/>
  <c r="AX29" i="251"/>
  <c r="AX23" i="251"/>
  <c r="AX17" i="251"/>
  <c r="AX12" i="251"/>
  <c r="AQ95" i="250"/>
  <c r="AQ79" i="250"/>
  <c r="AQ75" i="250"/>
  <c r="AQ71" i="250"/>
  <c r="AQ67" i="250"/>
  <c r="AQ59" i="250"/>
  <c r="AQ54" i="250"/>
  <c r="AQ52" i="250"/>
  <c r="AQ47" i="250"/>
  <c r="AQ41" i="250"/>
  <c r="AQ35" i="250"/>
  <c r="AQ28" i="250"/>
  <c r="AQ21" i="250"/>
  <c r="AQ18" i="250"/>
  <c r="AQ12" i="250"/>
  <c r="CC103" i="262"/>
  <c r="CC102" i="262"/>
  <c r="CC101" i="262"/>
  <c r="CC100" i="262"/>
  <c r="CC99" i="262"/>
  <c r="CC98" i="262"/>
  <c r="CC97" i="262"/>
  <c r="CC96" i="262"/>
  <c r="CC95" i="262"/>
  <c r="CC94" i="262"/>
  <c r="CC93" i="262"/>
  <c r="CC92" i="262"/>
  <c r="CC91" i="262"/>
  <c r="CC90" i="262"/>
  <c r="CC89" i="262"/>
  <c r="CC88" i="262"/>
  <c r="CC87" i="262"/>
  <c r="CC86" i="262"/>
  <c r="CC85" i="262"/>
  <c r="CC84" i="262"/>
  <c r="CC83" i="262"/>
  <c r="CC82" i="262"/>
  <c r="CC81" i="262"/>
  <c r="CC80" i="262"/>
  <c r="CC79" i="262"/>
  <c r="CC78" i="262"/>
  <c r="CC77" i="262"/>
  <c r="CC76" i="262"/>
  <c r="CC75" i="262"/>
  <c r="CC74" i="262"/>
  <c r="CC73" i="262"/>
  <c r="CC72" i="262"/>
  <c r="CC71" i="262"/>
  <c r="CC70" i="262"/>
  <c r="CC69" i="262"/>
  <c r="CC68" i="262"/>
  <c r="CC67" i="262"/>
  <c r="CC66" i="262"/>
  <c r="CC65" i="262"/>
  <c r="CC64" i="262"/>
  <c r="CC63" i="262"/>
  <c r="CC62" i="262"/>
  <c r="CC61" i="262"/>
  <c r="CC60" i="262"/>
  <c r="CC59" i="262"/>
  <c r="CC58" i="262"/>
  <c r="CC57" i="262"/>
  <c r="CC56" i="262"/>
  <c r="CC55" i="262"/>
  <c r="CC54" i="262"/>
  <c r="CC53" i="262"/>
  <c r="CC52" i="262"/>
  <c r="CC51" i="262"/>
  <c r="CC50" i="262"/>
  <c r="CC49" i="262"/>
  <c r="CC48" i="262"/>
  <c r="CC47" i="262"/>
  <c r="CC46" i="262"/>
  <c r="CC45" i="262"/>
  <c r="CC44" i="262"/>
  <c r="CC43" i="262"/>
  <c r="CC42" i="262"/>
  <c r="CC41" i="262"/>
  <c r="CC40" i="262"/>
  <c r="CC39" i="262"/>
  <c r="CC38" i="262"/>
  <c r="CC37" i="262"/>
  <c r="CC36" i="262"/>
  <c r="CC35" i="262"/>
  <c r="CC34" i="262"/>
  <c r="CC33" i="262"/>
  <c r="CC32" i="262"/>
  <c r="CC31" i="262"/>
  <c r="CC30" i="262"/>
  <c r="CC29" i="262"/>
  <c r="CC28" i="262"/>
  <c r="CC27" i="262"/>
  <c r="CC26" i="262"/>
  <c r="CC25" i="262"/>
  <c r="CC24" i="262"/>
  <c r="CC23" i="262"/>
  <c r="CC22" i="262"/>
  <c r="CC21" i="262"/>
  <c r="CC20" i="262"/>
  <c r="CC19" i="262"/>
  <c r="CC18" i="262"/>
  <c r="CC17" i="262"/>
  <c r="CC16" i="262"/>
  <c r="CC15" i="262"/>
  <c r="CC14" i="262"/>
  <c r="CC13" i="262"/>
  <c r="CC12" i="262"/>
  <c r="CC11" i="262"/>
  <c r="CC10" i="262"/>
  <c r="CC9" i="262"/>
  <c r="CC8" i="262"/>
  <c r="CC7" i="262"/>
  <c r="AD106" i="274"/>
  <c r="AD107" i="274"/>
  <c r="AD108" i="274"/>
  <c r="AD109" i="274"/>
  <c r="AD110" i="274"/>
  <c r="AD111" i="274"/>
  <c r="AD105" i="274"/>
  <c r="AD7" i="274"/>
  <c r="AD8" i="274"/>
  <c r="AD9" i="274"/>
  <c r="AD10" i="274"/>
  <c r="AD11" i="274"/>
  <c r="AD12" i="274"/>
  <c r="AD13" i="274"/>
  <c r="AD14" i="274"/>
  <c r="AD15" i="274"/>
  <c r="AD16" i="274"/>
  <c r="AD17" i="274"/>
  <c r="AD18" i="274"/>
  <c r="AD19" i="274"/>
  <c r="AD20" i="274"/>
  <c r="AD21" i="274"/>
  <c r="AD22" i="274"/>
  <c r="AD23" i="274"/>
  <c r="AD24" i="274"/>
  <c r="AD25" i="274"/>
  <c r="AD26" i="274"/>
  <c r="AD27" i="274"/>
  <c r="AD28" i="274"/>
  <c r="AD29" i="274"/>
  <c r="AD30" i="274"/>
  <c r="AD31" i="274"/>
  <c r="AD32" i="274"/>
  <c r="AD33" i="274"/>
  <c r="AD34" i="274"/>
  <c r="AD35" i="274"/>
  <c r="AD36" i="274"/>
  <c r="AD37" i="274"/>
  <c r="AD38" i="274"/>
  <c r="AD39" i="274"/>
  <c r="AD40" i="274"/>
  <c r="AD41" i="274"/>
  <c r="AD42" i="274"/>
  <c r="AD43" i="274"/>
  <c r="AD44" i="274"/>
  <c r="AD45" i="274"/>
  <c r="AD46" i="274"/>
  <c r="AD47" i="274"/>
  <c r="AD48" i="274"/>
  <c r="AD49" i="274"/>
  <c r="AD50" i="274"/>
  <c r="AD51" i="274"/>
  <c r="AD52" i="274"/>
  <c r="AD53" i="274"/>
  <c r="AD54" i="274"/>
  <c r="AD55" i="274"/>
  <c r="AD56" i="274"/>
  <c r="AD57" i="274"/>
  <c r="AD58" i="274"/>
  <c r="AD59" i="274"/>
  <c r="AD60" i="274"/>
  <c r="AD61" i="274"/>
  <c r="AD62" i="274"/>
  <c r="AD63" i="274"/>
  <c r="AD64" i="274"/>
  <c r="AD65" i="274"/>
  <c r="AD66" i="274"/>
  <c r="AD67" i="274"/>
  <c r="AD68" i="274"/>
  <c r="AD69" i="274"/>
  <c r="AD70" i="274"/>
  <c r="AD71" i="274"/>
  <c r="AD72" i="274"/>
  <c r="AD73" i="274"/>
  <c r="AD74" i="274"/>
  <c r="AD75" i="274"/>
  <c r="AD76" i="274"/>
  <c r="AD77" i="274"/>
  <c r="AD78" i="274"/>
  <c r="AD79" i="274"/>
  <c r="AD80" i="274"/>
  <c r="AD81" i="274"/>
  <c r="AD82" i="274"/>
  <c r="AD83" i="274"/>
  <c r="AD84" i="274"/>
  <c r="AD85" i="274"/>
  <c r="AD86" i="274"/>
  <c r="AD87" i="274"/>
  <c r="AD88" i="274"/>
  <c r="AD89" i="274"/>
  <c r="AD90" i="274"/>
  <c r="AD91" i="274"/>
  <c r="AD92" i="274"/>
  <c r="AD93" i="274"/>
  <c r="AD94" i="274"/>
  <c r="AD95" i="274"/>
  <c r="AD96" i="274"/>
  <c r="AD97" i="274"/>
  <c r="AD98" i="274"/>
  <c r="AD99" i="274"/>
  <c r="AD100" i="274"/>
  <c r="AD101" i="274"/>
  <c r="AD6" i="274"/>
  <c r="D11" i="227"/>
  <c r="D10" i="227"/>
  <c r="C181" i="238"/>
  <c r="B181" i="238"/>
  <c r="C149" i="238"/>
  <c r="B149" i="238"/>
  <c r="E149" i="238"/>
  <c r="G192" i="238"/>
  <c r="C210" i="238"/>
  <c r="F210" i="238"/>
  <c r="H192" i="238"/>
  <c r="B210" i="238"/>
  <c r="E210" i="238"/>
  <c r="AG31" i="243"/>
  <c r="AH13" i="243"/>
  <c r="AI80" i="214"/>
  <c r="AK80" i="214"/>
  <c r="AI81" i="214"/>
  <c r="AI83" i="214"/>
  <c r="AI28" i="243"/>
  <c r="AI27" i="243"/>
  <c r="AI26" i="243"/>
  <c r="AI25" i="243"/>
  <c r="AI24" i="243"/>
  <c r="AI23" i="243"/>
  <c r="AI22" i="243"/>
  <c r="AI21" i="243"/>
  <c r="AI20" i="243"/>
  <c r="AI19" i="243"/>
  <c r="AI18" i="243"/>
  <c r="AI17" i="243"/>
  <c r="AI16" i="243"/>
  <c r="AI15" i="243"/>
  <c r="AI14" i="243"/>
  <c r="AI13" i="243"/>
  <c r="AI12" i="243"/>
  <c r="AI11" i="243"/>
  <c r="AI10" i="243"/>
  <c r="AI8" i="243"/>
  <c r="AI7" i="243"/>
  <c r="AI6" i="243"/>
  <c r="M8" i="271"/>
  <c r="N8" i="271"/>
  <c r="L8" i="271"/>
  <c r="J8" i="230"/>
  <c r="H17" i="217"/>
  <c r="L43" i="272"/>
  <c r="E18" i="229"/>
  <c r="E19" i="229"/>
  <c r="F20" i="229"/>
  <c r="G21" i="229"/>
  <c r="C18" i="229"/>
  <c r="D19" i="229"/>
  <c r="F17" i="229"/>
  <c r="D17" i="229"/>
  <c r="F16" i="229"/>
  <c r="D16" i="229"/>
  <c r="F15" i="229"/>
  <c r="F14" i="229"/>
  <c r="G15" i="229"/>
  <c r="D15" i="229"/>
  <c r="D14" i="229"/>
  <c r="F13" i="229"/>
  <c r="G13" i="229"/>
  <c r="D13" i="229"/>
  <c r="F12" i="229"/>
  <c r="C11" i="229"/>
  <c r="D12" i="229"/>
  <c r="F10" i="229"/>
  <c r="D10" i="229"/>
  <c r="F9" i="229"/>
  <c r="D9" i="229"/>
  <c r="F8" i="229"/>
  <c r="G8" i="229"/>
  <c r="F7" i="229"/>
  <c r="D8" i="229"/>
  <c r="D7" i="229"/>
  <c r="F6" i="229"/>
  <c r="G17" i="229"/>
  <c r="D18" i="229"/>
  <c r="AI83" i="220"/>
  <c r="AI83" i="261"/>
  <c r="AJ83" i="221"/>
  <c r="AK83" i="221"/>
  <c r="AI83" i="221"/>
  <c r="AK81" i="221"/>
  <c r="AK80" i="221"/>
  <c r="AK79" i="221"/>
  <c r="AK78" i="221"/>
  <c r="AK77" i="221"/>
  <c r="AK76" i="221"/>
  <c r="AK75" i="221"/>
  <c r="AK74" i="221"/>
  <c r="AK73" i="221"/>
  <c r="AK72" i="221"/>
  <c r="AK71" i="221"/>
  <c r="AK70" i="221"/>
  <c r="AK69" i="221"/>
  <c r="AK68" i="221"/>
  <c r="AK67" i="221"/>
  <c r="AK66" i="221"/>
  <c r="AK65" i="221"/>
  <c r="AK64" i="221"/>
  <c r="AK63" i="221"/>
  <c r="AK60" i="221"/>
  <c r="AK58" i="221"/>
  <c r="AK57" i="221"/>
  <c r="AK56" i="221"/>
  <c r="AK55" i="221"/>
  <c r="AK54" i="221"/>
  <c r="AK52" i="221"/>
  <c r="AK51" i="221"/>
  <c r="AK50" i="221"/>
  <c r="AK49" i="221"/>
  <c r="AK48" i="221"/>
  <c r="AK47" i="221"/>
  <c r="AK46" i="221"/>
  <c r="AK45" i="221"/>
  <c r="AK44" i="221"/>
  <c r="AK43" i="221"/>
  <c r="AK42" i="221"/>
  <c r="AK41" i="221"/>
  <c r="AK40" i="221"/>
  <c r="AK39" i="221"/>
  <c r="AK38" i="221"/>
  <c r="AK37" i="221"/>
  <c r="AK36" i="221"/>
  <c r="AK35" i="221"/>
  <c r="AK34" i="221"/>
  <c r="AK33" i="221"/>
  <c r="AK32" i="221"/>
  <c r="AK31" i="221"/>
  <c r="AK30" i="221"/>
  <c r="AK29" i="221"/>
  <c r="AK28" i="221"/>
  <c r="AK27" i="221"/>
  <c r="AK26" i="221"/>
  <c r="AK25" i="221"/>
  <c r="AK24" i="221"/>
  <c r="AK23" i="221"/>
  <c r="AK22" i="221"/>
  <c r="AK21" i="221"/>
  <c r="AK20" i="221"/>
  <c r="AK19" i="221"/>
  <c r="AK18" i="221"/>
  <c r="AK17" i="221"/>
  <c r="AK16" i="221"/>
  <c r="AK15" i="221"/>
  <c r="AK14" i="221"/>
  <c r="AK13" i="221"/>
  <c r="AK12" i="221"/>
  <c r="AK11" i="221"/>
  <c r="AK10" i="221"/>
  <c r="AK9" i="221"/>
  <c r="AK8" i="221"/>
  <c r="AK7" i="221"/>
  <c r="AK6" i="221"/>
  <c r="AK5" i="221"/>
  <c r="AK4" i="221"/>
  <c r="P43" i="234"/>
  <c r="Q43" i="234"/>
  <c r="S43" i="234"/>
  <c r="R43" i="234"/>
  <c r="O43" i="234"/>
  <c r="S41" i="234"/>
  <c r="S39" i="234"/>
  <c r="S38" i="234"/>
  <c r="S37" i="234"/>
  <c r="S36" i="234"/>
  <c r="S35" i="234"/>
  <c r="S34" i="234"/>
  <c r="S32" i="234"/>
  <c r="S31" i="234"/>
  <c r="S30" i="234"/>
  <c r="S29" i="234"/>
  <c r="S28" i="234"/>
  <c r="S27" i="234"/>
  <c r="S25" i="234"/>
  <c r="S24" i="234"/>
  <c r="S23" i="234"/>
  <c r="S22" i="234"/>
  <c r="S21" i="234"/>
  <c r="S20" i="234"/>
  <c r="S18" i="234"/>
  <c r="S17" i="234"/>
  <c r="S16" i="234"/>
  <c r="S15" i="234"/>
  <c r="S14" i="234"/>
  <c r="S13" i="234"/>
  <c r="S11" i="234"/>
  <c r="S10" i="234"/>
  <c r="S9" i="234"/>
  <c r="S8" i="234"/>
  <c r="S7" i="234"/>
  <c r="S6" i="234"/>
  <c r="M43" i="233"/>
  <c r="L43" i="233"/>
  <c r="N43" i="233"/>
  <c r="N6" i="233"/>
  <c r="N7" i="233"/>
  <c r="N8" i="233"/>
  <c r="N9" i="233"/>
  <c r="N10" i="233"/>
  <c r="N11" i="233"/>
  <c r="N13" i="233"/>
  <c r="N14" i="233"/>
  <c r="N15" i="233"/>
  <c r="N16" i="233"/>
  <c r="N17" i="233"/>
  <c r="N18" i="233"/>
  <c r="N20" i="233"/>
  <c r="N21" i="233"/>
  <c r="N22" i="233"/>
  <c r="N23" i="233"/>
  <c r="N24" i="233"/>
  <c r="N25" i="233"/>
  <c r="N27" i="233"/>
  <c r="N28" i="233"/>
  <c r="N29" i="233"/>
  <c r="N30" i="233"/>
  <c r="N31" i="233"/>
  <c r="N32" i="233"/>
  <c r="N34" i="233"/>
  <c r="N35" i="233"/>
  <c r="N36" i="233"/>
  <c r="N37" i="233"/>
  <c r="N38" i="233"/>
  <c r="N39" i="233"/>
  <c r="N41" i="233"/>
  <c r="N33" i="271"/>
  <c r="M33" i="271"/>
  <c r="BO102" i="267"/>
  <c r="BO104" i="267"/>
  <c r="BN142" i="268"/>
  <c r="BN144" i="268"/>
  <c r="G471" i="213"/>
  <c r="F471" i="213"/>
  <c r="H470" i="213"/>
  <c r="H469" i="213"/>
  <c r="H468" i="213"/>
  <c r="H467" i="213"/>
  <c r="H466" i="213"/>
  <c r="H465" i="213"/>
  <c r="H464" i="213"/>
  <c r="H463" i="213"/>
  <c r="H462" i="213"/>
  <c r="H461" i="213"/>
  <c r="H460" i="213"/>
  <c r="H459" i="213"/>
  <c r="H458" i="213"/>
  <c r="H457" i="213"/>
  <c r="H456" i="213"/>
  <c r="H455" i="213"/>
  <c r="H454" i="213"/>
  <c r="H453" i="213"/>
  <c r="H452" i="213"/>
  <c r="H451" i="213"/>
  <c r="H450" i="213"/>
  <c r="H449" i="213"/>
  <c r="H448" i="213"/>
  <c r="H447" i="213"/>
  <c r="H446" i="213"/>
  <c r="H445" i="213"/>
  <c r="H444" i="213"/>
  <c r="H443" i="213"/>
  <c r="H442" i="213"/>
  <c r="H441" i="213"/>
  <c r="H440" i="213"/>
  <c r="H439" i="213"/>
  <c r="H438" i="213"/>
  <c r="H437" i="213"/>
  <c r="H436" i="213"/>
  <c r="H435" i="213"/>
  <c r="H434" i="213"/>
  <c r="H433" i="213"/>
  <c r="H432" i="213"/>
  <c r="H431" i="213"/>
  <c r="H430" i="213"/>
  <c r="H429" i="213"/>
  <c r="H428" i="213"/>
  <c r="H427" i="213"/>
  <c r="H426" i="213"/>
  <c r="H425" i="213"/>
  <c r="H424" i="213"/>
  <c r="H423" i="213"/>
  <c r="H422" i="213"/>
  <c r="H421" i="213"/>
  <c r="H420" i="213"/>
  <c r="H419" i="213"/>
  <c r="H418" i="213"/>
  <c r="H417" i="213"/>
  <c r="H416" i="213"/>
  <c r="H415" i="213"/>
  <c r="H414" i="213"/>
  <c r="H413" i="213"/>
  <c r="H412" i="213"/>
  <c r="H411" i="213"/>
  <c r="H410" i="213"/>
  <c r="H409" i="213"/>
  <c r="H408" i="213"/>
  <c r="H407" i="213"/>
  <c r="H406" i="213"/>
  <c r="H405" i="213"/>
  <c r="H404" i="213"/>
  <c r="H403" i="213"/>
  <c r="H402" i="213"/>
  <c r="H401" i="213"/>
  <c r="H400" i="213"/>
  <c r="H399" i="213"/>
  <c r="H398" i="213"/>
  <c r="H397" i="213"/>
  <c r="H396" i="213"/>
  <c r="H395" i="213"/>
  <c r="H394" i="213"/>
  <c r="H393" i="213"/>
  <c r="H392" i="213"/>
  <c r="H391" i="213"/>
  <c r="H390" i="213"/>
  <c r="H389" i="213"/>
  <c r="H388" i="213"/>
  <c r="H387" i="213"/>
  <c r="H386" i="213"/>
  <c r="H385" i="213"/>
  <c r="H384" i="213"/>
  <c r="H383" i="213"/>
  <c r="H382" i="213"/>
  <c r="H381" i="213"/>
  <c r="H380" i="213"/>
  <c r="H379" i="213"/>
  <c r="H378" i="213"/>
  <c r="H377" i="213"/>
  <c r="H376" i="213"/>
  <c r="H375" i="213"/>
  <c r="H374" i="213"/>
  <c r="H373" i="213"/>
  <c r="H372" i="213"/>
  <c r="H371" i="213"/>
  <c r="H370" i="213"/>
  <c r="H369" i="213"/>
  <c r="H368" i="213"/>
  <c r="H367" i="213"/>
  <c r="H366" i="213"/>
  <c r="H365" i="213"/>
  <c r="H364" i="213"/>
  <c r="H363" i="213"/>
  <c r="H362" i="213"/>
  <c r="H361" i="213"/>
  <c r="H360" i="213"/>
  <c r="H359" i="213"/>
  <c r="H358" i="213"/>
  <c r="H357" i="213"/>
  <c r="H356" i="213"/>
  <c r="H355" i="213"/>
  <c r="H354" i="213"/>
  <c r="H353" i="213"/>
  <c r="H352" i="213"/>
  <c r="H351" i="213"/>
  <c r="H350" i="213"/>
  <c r="H349" i="213"/>
  <c r="H348" i="213"/>
  <c r="H347" i="213"/>
  <c r="H346" i="213"/>
  <c r="H345" i="213"/>
  <c r="H344" i="213"/>
  <c r="H343" i="213"/>
  <c r="H342" i="213"/>
  <c r="H341" i="213"/>
  <c r="H340" i="213"/>
  <c r="H339" i="213"/>
  <c r="H338" i="213"/>
  <c r="H337" i="213"/>
  <c r="H336" i="213"/>
  <c r="H335" i="213"/>
  <c r="H334" i="213"/>
  <c r="H333" i="213"/>
  <c r="H332" i="213"/>
  <c r="H331" i="213"/>
  <c r="H330" i="213"/>
  <c r="H329" i="213"/>
  <c r="C325" i="213"/>
  <c r="D325" i="213"/>
  <c r="D324" i="213"/>
  <c r="D323" i="213"/>
  <c r="D322" i="213"/>
  <c r="D321" i="213"/>
  <c r="F311" i="212"/>
  <c r="E311" i="212"/>
  <c r="D311" i="212"/>
  <c r="G310" i="212"/>
  <c r="G309" i="212"/>
  <c r="G308" i="212"/>
  <c r="G307" i="212"/>
  <c r="G306" i="212"/>
  <c r="G305" i="212"/>
  <c r="G304" i="212"/>
  <c r="G290" i="212"/>
  <c r="G289" i="212"/>
  <c r="G288" i="212"/>
  <c r="G287" i="212"/>
  <c r="G286" i="212"/>
  <c r="G285" i="212"/>
  <c r="G284" i="212"/>
  <c r="G283" i="212"/>
  <c r="G282" i="212"/>
  <c r="G281" i="212"/>
  <c r="G280" i="212"/>
  <c r="G279" i="212"/>
  <c r="G277" i="212"/>
  <c r="G276" i="212"/>
  <c r="G274" i="212"/>
  <c r="G273" i="212"/>
  <c r="G272" i="212"/>
  <c r="G271" i="212"/>
  <c r="G270" i="212"/>
  <c r="G269" i="212"/>
  <c r="G268" i="212"/>
  <c r="G267" i="212"/>
  <c r="G266" i="212"/>
  <c r="G265" i="212"/>
  <c r="G264" i="212"/>
  <c r="G263" i="212"/>
  <c r="G262" i="212"/>
  <c r="G261" i="212"/>
  <c r="G260" i="212"/>
  <c r="G259" i="212"/>
  <c r="G258" i="212"/>
  <c r="G257" i="212"/>
  <c r="G255" i="212"/>
  <c r="G254" i="212"/>
  <c r="G253" i="212"/>
  <c r="G252" i="212"/>
  <c r="G251" i="212"/>
  <c r="G250" i="212"/>
  <c r="G248" i="212"/>
  <c r="G247" i="212"/>
  <c r="G245" i="212"/>
  <c r="G244" i="212"/>
  <c r="G243" i="212"/>
  <c r="G242" i="212"/>
  <c r="G241" i="212"/>
  <c r="G240" i="212"/>
  <c r="G239" i="212"/>
  <c r="G238" i="212"/>
  <c r="G237" i="212"/>
  <c r="D232" i="212"/>
  <c r="E232" i="212"/>
  <c r="C232" i="212"/>
  <c r="B232" i="212"/>
  <c r="E231" i="212"/>
  <c r="E230" i="212"/>
  <c r="E229" i="212"/>
  <c r="E228" i="212"/>
  <c r="E227" i="212"/>
  <c r="K13" i="273"/>
  <c r="K22" i="273"/>
  <c r="K8" i="273"/>
  <c r="M17" i="271"/>
  <c r="N17" i="271"/>
  <c r="L17" i="271"/>
  <c r="M25" i="271"/>
  <c r="N25" i="271"/>
  <c r="L25" i="271"/>
  <c r="K18" i="273"/>
  <c r="K27" i="273"/>
  <c r="E31" i="237"/>
  <c r="D31" i="237"/>
  <c r="C31" i="237"/>
  <c r="F30" i="237"/>
  <c r="F29" i="237"/>
  <c r="F28" i="237"/>
  <c r="F27" i="237"/>
  <c r="F26" i="237"/>
  <c r="F25" i="237"/>
  <c r="E35" i="231"/>
  <c r="F37" i="231"/>
  <c r="D37" i="231"/>
  <c r="C37" i="231"/>
  <c r="B37" i="231"/>
  <c r="G36" i="231"/>
  <c r="E36" i="231"/>
  <c r="G35" i="231"/>
  <c r="G34" i="231"/>
  <c r="E34" i="231"/>
  <c r="G33" i="231"/>
  <c r="E33" i="231"/>
  <c r="G32" i="231"/>
  <c r="E32" i="231"/>
  <c r="G31" i="231"/>
  <c r="E31" i="231"/>
  <c r="M49" i="271"/>
  <c r="M50" i="271"/>
  <c r="M51" i="271"/>
  <c r="N51" i="271"/>
  <c r="L51" i="271"/>
  <c r="N50" i="271"/>
  <c r="L50" i="271"/>
  <c r="N49" i="271"/>
  <c r="L49" i="271"/>
  <c r="M44" i="271"/>
  <c r="N44" i="271"/>
  <c r="L44" i="271"/>
  <c r="AO31" i="235"/>
  <c r="AN31" i="235"/>
  <c r="AP31" i="235"/>
  <c r="AO30" i="235"/>
  <c r="AN30" i="235"/>
  <c r="AO29" i="235"/>
  <c r="AN29" i="235"/>
  <c r="AP27" i="235"/>
  <c r="AP23" i="235"/>
  <c r="AP22" i="235"/>
  <c r="AP21" i="235"/>
  <c r="AP19" i="235"/>
  <c r="AP18" i="235"/>
  <c r="AP17" i="235"/>
  <c r="AP15" i="235"/>
  <c r="AP14" i="235"/>
  <c r="AP13" i="235"/>
  <c r="AP11" i="235"/>
  <c r="AP10" i="235"/>
  <c r="AP9" i="235"/>
  <c r="AP7" i="235"/>
  <c r="AP6" i="235"/>
  <c r="AP5" i="235"/>
  <c r="N7" i="272"/>
  <c r="N8" i="272"/>
  <c r="N9" i="272"/>
  <c r="N10" i="272"/>
  <c r="N13" i="272"/>
  <c r="N14" i="272"/>
  <c r="N15" i="272"/>
  <c r="N16" i="272"/>
  <c r="N17" i="272"/>
  <c r="N18" i="272"/>
  <c r="N20" i="272"/>
  <c r="N21" i="272"/>
  <c r="N22" i="272"/>
  <c r="N23" i="272"/>
  <c r="N24" i="272"/>
  <c r="N27" i="272"/>
  <c r="N28" i="272"/>
  <c r="N29" i="272"/>
  <c r="N30" i="272"/>
  <c r="N31" i="272"/>
  <c r="N34" i="272"/>
  <c r="N35" i="272"/>
  <c r="N36" i="272"/>
  <c r="N37" i="272"/>
  <c r="N38" i="272"/>
  <c r="N41" i="272"/>
  <c r="N43" i="272"/>
  <c r="N6" i="272"/>
  <c r="N32" i="272"/>
  <c r="N25" i="272"/>
  <c r="N39" i="272"/>
  <c r="N11" i="272"/>
  <c r="O30" i="269"/>
  <c r="N30" i="269"/>
  <c r="M30" i="269"/>
  <c r="L30" i="269"/>
  <c r="P29" i="269"/>
  <c r="R29" i="269"/>
  <c r="P28" i="269"/>
  <c r="Q28" i="269"/>
  <c r="P27" i="269"/>
  <c r="O25" i="269"/>
  <c r="N25" i="269"/>
  <c r="P25" i="269"/>
  <c r="P24" i="269"/>
  <c r="R24" i="269"/>
  <c r="P23" i="269"/>
  <c r="P22" i="269"/>
  <c r="O20" i="269"/>
  <c r="N20" i="269"/>
  <c r="M20" i="269"/>
  <c r="L20" i="269"/>
  <c r="P20" i="269"/>
  <c r="P19" i="269"/>
  <c r="P18" i="269"/>
  <c r="P17" i="269"/>
  <c r="O15" i="269"/>
  <c r="N15" i="269"/>
  <c r="L15" i="269"/>
  <c r="P14" i="269"/>
  <c r="P12" i="269"/>
  <c r="P13" i="269"/>
  <c r="O10" i="269"/>
  <c r="N10" i="269"/>
  <c r="M10" i="269"/>
  <c r="L10" i="269"/>
  <c r="P9" i="269"/>
  <c r="P8" i="269"/>
  <c r="R8" i="269"/>
  <c r="P7" i="269"/>
  <c r="Q24" i="269"/>
  <c r="R28" i="269"/>
  <c r="Q8" i="269"/>
  <c r="AJ80" i="220"/>
  <c r="AK80" i="220"/>
  <c r="AJ75" i="220"/>
  <c r="AK75" i="220"/>
  <c r="AJ70" i="220"/>
  <c r="AK70" i="220"/>
  <c r="AJ64" i="220"/>
  <c r="AK64" i="220"/>
  <c r="AJ60" i="220"/>
  <c r="AK60" i="220"/>
  <c r="AJ56" i="220"/>
  <c r="AK56" i="220"/>
  <c r="AJ51" i="220"/>
  <c r="AK51" i="220"/>
  <c r="AJ46" i="220"/>
  <c r="AK46" i="220"/>
  <c r="AJ40" i="220"/>
  <c r="AK40" i="220"/>
  <c r="AJ33" i="220"/>
  <c r="AK33" i="220"/>
  <c r="AJ29" i="220"/>
  <c r="AK29" i="220"/>
  <c r="AJ25" i="220"/>
  <c r="AK25" i="220"/>
  <c r="AJ20" i="220"/>
  <c r="AK20" i="220"/>
  <c r="AJ15" i="220"/>
  <c r="AK15" i="220"/>
  <c r="AJ9" i="220"/>
  <c r="AK9" i="220"/>
  <c r="AK79" i="220"/>
  <c r="AK78" i="220"/>
  <c r="AK77" i="220"/>
  <c r="AK76" i="220"/>
  <c r="AK74" i="220"/>
  <c r="AK73" i="220"/>
  <c r="AK72" i="220"/>
  <c r="AK71" i="220"/>
  <c r="AK69" i="220"/>
  <c r="AK68" i="220"/>
  <c r="AK67" i="220"/>
  <c r="AK66" i="220"/>
  <c r="AK63" i="220"/>
  <c r="AK58" i="220"/>
  <c r="AK57" i="220"/>
  <c r="AK55" i="220"/>
  <c r="AK54" i="220"/>
  <c r="AK50" i="220"/>
  <c r="AK49" i="220"/>
  <c r="AK48" i="220"/>
  <c r="AK47" i="220"/>
  <c r="AK45" i="220"/>
  <c r="AK44" i="220"/>
  <c r="AK43" i="220"/>
  <c r="AK42" i="220"/>
  <c r="AK41" i="220"/>
  <c r="AK39" i="220"/>
  <c r="AK38" i="220"/>
  <c r="AK37" i="220"/>
  <c r="AK36" i="220"/>
  <c r="AK35" i="220"/>
  <c r="AK32" i="220"/>
  <c r="AK31" i="220"/>
  <c r="AK30" i="220"/>
  <c r="AK28" i="220"/>
  <c r="AK27" i="220"/>
  <c r="AK26" i="220"/>
  <c r="AK24" i="220"/>
  <c r="AK23" i="220"/>
  <c r="AK22" i="220"/>
  <c r="AK19" i="220"/>
  <c r="AK18" i="220"/>
  <c r="AK17" i="220"/>
  <c r="AK16" i="220"/>
  <c r="AK14" i="220"/>
  <c r="AK13" i="220"/>
  <c r="AK12" i="220"/>
  <c r="AK11" i="220"/>
  <c r="AK10" i="220"/>
  <c r="AK8" i="220"/>
  <c r="AK7" i="220"/>
  <c r="AK6" i="220"/>
  <c r="AK5" i="220"/>
  <c r="AK4" i="220"/>
  <c r="AK80" i="261"/>
  <c r="AK79" i="261"/>
  <c r="AK78" i="261"/>
  <c r="AK77" i="261"/>
  <c r="AK76" i="261"/>
  <c r="AK74" i="261"/>
  <c r="AK73" i="261"/>
  <c r="AK72" i="261"/>
  <c r="AK71" i="261"/>
  <c r="AK70" i="261"/>
  <c r="AK69" i="261"/>
  <c r="AK68" i="261"/>
  <c r="AK67" i="261"/>
  <c r="AK66" i="261"/>
  <c r="AK64" i="261"/>
  <c r="AK63" i="261"/>
  <c r="AK60" i="261"/>
  <c r="AK58" i="261"/>
  <c r="AK57" i="261"/>
  <c r="AK65" i="261"/>
  <c r="AK55" i="261"/>
  <c r="AK54" i="261"/>
  <c r="AK51" i="261"/>
  <c r="AK50" i="261"/>
  <c r="AK49" i="261"/>
  <c r="AK48" i="261"/>
  <c r="AK47" i="261"/>
  <c r="AK46" i="261"/>
  <c r="AK45" i="261"/>
  <c r="AK44" i="261"/>
  <c r="AK43" i="261"/>
  <c r="AK42" i="261"/>
  <c r="AK41" i="261"/>
  <c r="AK40" i="261"/>
  <c r="AK39" i="261"/>
  <c r="AK38" i="261"/>
  <c r="AK37" i="261"/>
  <c r="AK36" i="261"/>
  <c r="AK35" i="261"/>
  <c r="AK33" i="261"/>
  <c r="AK32" i="261"/>
  <c r="AK31" i="261"/>
  <c r="AK30" i="261"/>
  <c r="AK29" i="261"/>
  <c r="AK34" i="261"/>
  <c r="AK28" i="261"/>
  <c r="AK27" i="261"/>
  <c r="AK26" i="261"/>
  <c r="AK25" i="261"/>
  <c r="AK24" i="261"/>
  <c r="AK23" i="261"/>
  <c r="AK22" i="261"/>
  <c r="AK20" i="261"/>
  <c r="AK19" i="261"/>
  <c r="AK18" i="261"/>
  <c r="AK17" i="261"/>
  <c r="AK16" i="261"/>
  <c r="AK15" i="261"/>
  <c r="AK14" i="261"/>
  <c r="AK13" i="261"/>
  <c r="AK12" i="261"/>
  <c r="AK11" i="261"/>
  <c r="AK10" i="261"/>
  <c r="AK9" i="261"/>
  <c r="AK8" i="261"/>
  <c r="AK7" i="261"/>
  <c r="AK6" i="261"/>
  <c r="AK5" i="261"/>
  <c r="AK4" i="261"/>
  <c r="AK79" i="214"/>
  <c r="AK78" i="214"/>
  <c r="AK77" i="214"/>
  <c r="AK76" i="214"/>
  <c r="AK74" i="214"/>
  <c r="AK73" i="214"/>
  <c r="AK72" i="214"/>
  <c r="AK71" i="214"/>
  <c r="AK69" i="214"/>
  <c r="AK68" i="214"/>
  <c r="AK67" i="214"/>
  <c r="AK66" i="214"/>
  <c r="AK63" i="214"/>
  <c r="AK62" i="214"/>
  <c r="AK61" i="214"/>
  <c r="AK59" i="214"/>
  <c r="AK58" i="214"/>
  <c r="AK57" i="214"/>
  <c r="AK55" i="214"/>
  <c r="AK54" i="214"/>
  <c r="AK53" i="214"/>
  <c r="AK50" i="214"/>
  <c r="AK49" i="214"/>
  <c r="AK48" i="214"/>
  <c r="AK47" i="214"/>
  <c r="AK45" i="214"/>
  <c r="AK44" i="214"/>
  <c r="AK43" i="214"/>
  <c r="AK42" i="214"/>
  <c r="AK41" i="214"/>
  <c r="AK39" i="214"/>
  <c r="AK38" i="214"/>
  <c r="AK37" i="214"/>
  <c r="AK36" i="214"/>
  <c r="AK35" i="214"/>
  <c r="AK32" i="214"/>
  <c r="AK31" i="214"/>
  <c r="AK30" i="214"/>
  <c r="AK28" i="214"/>
  <c r="AK27" i="214"/>
  <c r="AK26" i="214"/>
  <c r="AK24" i="214"/>
  <c r="AK23" i="214"/>
  <c r="AK22" i="214"/>
  <c r="AK19" i="214"/>
  <c r="AK16" i="214"/>
  <c r="AK18" i="214"/>
  <c r="AK17" i="214"/>
  <c r="AK14" i="214"/>
  <c r="AK13" i="214"/>
  <c r="AK12" i="214"/>
  <c r="AK11" i="214"/>
  <c r="AK10" i="214"/>
  <c r="AK8" i="214"/>
  <c r="AK7" i="214"/>
  <c r="AK6" i="214"/>
  <c r="AK5" i="214"/>
  <c r="AK4" i="214"/>
  <c r="AJ80" i="214"/>
  <c r="AJ75" i="214"/>
  <c r="AK75" i="214"/>
  <c r="AJ70" i="214"/>
  <c r="AK70" i="214"/>
  <c r="AJ64" i="214"/>
  <c r="AK64" i="214"/>
  <c r="AJ60" i="214"/>
  <c r="AK60" i="214"/>
  <c r="AJ56" i="214"/>
  <c r="AK56" i="214"/>
  <c r="AJ51" i="214"/>
  <c r="AK51" i="214"/>
  <c r="AJ46" i="214"/>
  <c r="AJ40" i="214"/>
  <c r="AJ33" i="214"/>
  <c r="AK33" i="214"/>
  <c r="AJ29" i="214"/>
  <c r="AK29" i="214"/>
  <c r="AJ25" i="214"/>
  <c r="AK25" i="214"/>
  <c r="AK20" i="214"/>
  <c r="AJ15" i="214"/>
  <c r="AJ9" i="214"/>
  <c r="AK9" i="214"/>
  <c r="AK83" i="261"/>
  <c r="AK52" i="261"/>
  <c r="AK75" i="261"/>
  <c r="AK81" i="261"/>
  <c r="AK56" i="261"/>
  <c r="J63" i="232"/>
  <c r="I63" i="232"/>
  <c r="F63" i="232"/>
  <c r="E63" i="232"/>
  <c r="D63" i="232"/>
  <c r="K61" i="232"/>
  <c r="G61" i="232"/>
  <c r="K59" i="232"/>
  <c r="G59" i="232"/>
  <c r="K57" i="232"/>
  <c r="G57" i="232"/>
  <c r="K55" i="232"/>
  <c r="G55" i="232"/>
  <c r="M55" i="232"/>
  <c r="K53" i="232"/>
  <c r="G53" i="232"/>
  <c r="K51" i="232"/>
  <c r="G51" i="232"/>
  <c r="AK21" i="261"/>
  <c r="D10" i="270"/>
  <c r="G10" i="270"/>
  <c r="J10" i="270"/>
  <c r="M10" i="270"/>
  <c r="P10" i="270"/>
  <c r="S10" i="270"/>
  <c r="V10" i="270"/>
  <c r="V15" i="270"/>
  <c r="V20" i="270"/>
  <c r="V25" i="270"/>
  <c r="V30" i="270"/>
  <c r="D15" i="270"/>
  <c r="G15" i="270"/>
  <c r="J15" i="270"/>
  <c r="M15" i="270"/>
  <c r="P15" i="270"/>
  <c r="S15" i="270"/>
  <c r="S20" i="270"/>
  <c r="S25" i="270"/>
  <c r="S30" i="270"/>
  <c r="S32" i="270"/>
  <c r="D20" i="270"/>
  <c r="G20" i="270"/>
  <c r="J20" i="270"/>
  <c r="J25" i="270"/>
  <c r="J30" i="270"/>
  <c r="M20" i="270"/>
  <c r="P20" i="270"/>
  <c r="G25" i="270"/>
  <c r="M25" i="270"/>
  <c r="P25" i="270"/>
  <c r="D30" i="270"/>
  <c r="G30" i="270"/>
  <c r="M30" i="270"/>
  <c r="P30" i="270"/>
  <c r="BM84" i="216"/>
  <c r="BM82" i="216"/>
  <c r="BM81" i="216"/>
  <c r="BM79" i="216"/>
  <c r="BM77" i="216"/>
  <c r="BM76" i="216"/>
  <c r="BM75" i="216"/>
  <c r="BM74" i="216"/>
  <c r="BM73" i="216"/>
  <c r="BM72" i="216"/>
  <c r="BM71" i="216"/>
  <c r="BM70" i="216"/>
  <c r="BM69" i="216"/>
  <c r="BM68" i="216"/>
  <c r="BM67" i="216"/>
  <c r="BM66" i="216"/>
  <c r="BM65" i="216"/>
  <c r="BM64" i="216"/>
  <c r="BM63" i="216"/>
  <c r="BM62" i="216"/>
  <c r="BM61" i="216"/>
  <c r="BM60" i="216"/>
  <c r="BM59" i="216"/>
  <c r="BM58" i="216"/>
  <c r="BM57" i="216"/>
  <c r="BM55" i="216"/>
  <c r="BM53" i="216"/>
  <c r="BM52" i="216"/>
  <c r="BM51" i="216"/>
  <c r="BM49" i="216"/>
  <c r="BM47" i="216"/>
  <c r="BM46" i="216"/>
  <c r="BM45" i="216"/>
  <c r="BM44" i="216"/>
  <c r="BM43" i="216"/>
  <c r="BM42" i="216"/>
  <c r="BM41" i="216"/>
  <c r="BM40" i="216"/>
  <c r="BM39" i="216"/>
  <c r="BM38" i="216"/>
  <c r="BM37" i="216"/>
  <c r="BM35" i="216"/>
  <c r="BM34" i="216"/>
  <c r="BM33" i="216"/>
  <c r="BM32" i="216"/>
  <c r="BM31" i="216"/>
  <c r="BM30" i="216"/>
  <c r="BM29" i="216"/>
  <c r="BM28" i="216"/>
  <c r="BM27" i="216"/>
  <c r="BM26" i="216"/>
  <c r="BM25" i="216"/>
  <c r="BM24" i="216"/>
  <c r="BM23" i="216"/>
  <c r="BM22" i="216"/>
  <c r="BM21" i="216"/>
  <c r="BM20" i="216"/>
  <c r="BM17" i="216"/>
  <c r="BM19" i="216"/>
  <c r="BM18" i="216"/>
  <c r="BM16" i="216"/>
  <c r="BM15" i="216"/>
  <c r="BM14" i="216"/>
  <c r="BM13" i="216"/>
  <c r="BM12" i="216"/>
  <c r="BM11" i="216"/>
  <c r="BM10" i="216"/>
  <c r="BM9" i="216"/>
  <c r="BM8" i="216"/>
  <c r="BM7" i="216"/>
  <c r="BM6" i="216"/>
  <c r="BM5" i="216"/>
  <c r="I83" i="215"/>
  <c r="I81" i="215"/>
  <c r="I80" i="215"/>
  <c r="I79" i="215"/>
  <c r="I78" i="215"/>
  <c r="I77" i="215"/>
  <c r="I76" i="215"/>
  <c r="I75" i="215"/>
  <c r="I74" i="215"/>
  <c r="I73" i="215"/>
  <c r="I72" i="215"/>
  <c r="I71" i="215"/>
  <c r="I70" i="215"/>
  <c r="I69" i="215"/>
  <c r="I68" i="215"/>
  <c r="I67" i="215"/>
  <c r="I66" i="215"/>
  <c r="I65" i="215"/>
  <c r="I62" i="215"/>
  <c r="I61" i="215"/>
  <c r="I59" i="215"/>
  <c r="I58" i="215"/>
  <c r="I57" i="215"/>
  <c r="I56" i="215"/>
  <c r="I55" i="215"/>
  <c r="I54" i="215"/>
  <c r="I53" i="215"/>
  <c r="I52" i="215"/>
  <c r="I51" i="215"/>
  <c r="I50" i="215"/>
  <c r="I49" i="215"/>
  <c r="I48" i="215"/>
  <c r="I47" i="215"/>
  <c r="I46" i="215"/>
  <c r="I45" i="215"/>
  <c r="I44" i="215"/>
  <c r="I43" i="215"/>
  <c r="I42" i="215"/>
  <c r="I41" i="215"/>
  <c r="I40" i="215"/>
  <c r="I39" i="215"/>
  <c r="I38" i="215"/>
  <c r="I37" i="215"/>
  <c r="I36" i="215"/>
  <c r="I35" i="215"/>
  <c r="I34" i="215"/>
  <c r="I33" i="215"/>
  <c r="I32" i="215"/>
  <c r="I31" i="215"/>
  <c r="I30" i="215"/>
  <c r="I29" i="215"/>
  <c r="I28" i="215"/>
  <c r="I27" i="215"/>
  <c r="I26" i="215"/>
  <c r="I25" i="215"/>
  <c r="I24" i="215"/>
  <c r="I23" i="215"/>
  <c r="I22" i="215"/>
  <c r="I21" i="215"/>
  <c r="I20" i="215"/>
  <c r="I19" i="215"/>
  <c r="I18" i="215"/>
  <c r="I17" i="215"/>
  <c r="I16" i="215"/>
  <c r="I15" i="215"/>
  <c r="I14" i="215"/>
  <c r="I13" i="215"/>
  <c r="I12" i="215"/>
  <c r="I11" i="215"/>
  <c r="I10" i="215"/>
  <c r="I9" i="215"/>
  <c r="I8" i="215"/>
  <c r="I7" i="215"/>
  <c r="I6" i="215"/>
  <c r="I5" i="215"/>
  <c r="I4" i="215"/>
  <c r="BA36" i="223"/>
  <c r="AZ36" i="223"/>
  <c r="AY36" i="223"/>
  <c r="BA35" i="223"/>
  <c r="AZ35" i="223"/>
  <c r="AY35" i="223"/>
  <c r="AY31" i="223"/>
  <c r="AY32" i="223"/>
  <c r="AY33" i="223"/>
  <c r="AY34" i="223"/>
  <c r="BA34" i="223"/>
  <c r="AZ34" i="223"/>
  <c r="BA33" i="223"/>
  <c r="AZ33" i="223"/>
  <c r="BA32" i="223"/>
  <c r="AZ32" i="223"/>
  <c r="AZ31" i="223"/>
  <c r="BA31" i="223"/>
  <c r="BA29" i="223"/>
  <c r="AZ29" i="223"/>
  <c r="AY29" i="223"/>
  <c r="BB28" i="223"/>
  <c r="BC28" i="223"/>
  <c r="BB27" i="223"/>
  <c r="BC27" i="223"/>
  <c r="BB26" i="223"/>
  <c r="BC26" i="223"/>
  <c r="BA24" i="223"/>
  <c r="AZ24" i="223"/>
  <c r="BB24" i="223"/>
  <c r="BC24" i="223"/>
  <c r="AY24" i="223"/>
  <c r="BB23" i="223"/>
  <c r="BC23" i="223"/>
  <c r="BB22" i="223"/>
  <c r="BC22" i="223"/>
  <c r="BB21" i="223"/>
  <c r="BC21" i="223"/>
  <c r="BA19" i="223"/>
  <c r="AZ19" i="223"/>
  <c r="AY19" i="223"/>
  <c r="BB19" i="223"/>
  <c r="BC19" i="223"/>
  <c r="BB18" i="223"/>
  <c r="BC18" i="223"/>
  <c r="BB17" i="223"/>
  <c r="BC17" i="223"/>
  <c r="BB16" i="223"/>
  <c r="BC16" i="223"/>
  <c r="BA14" i="223"/>
  <c r="AZ14" i="223"/>
  <c r="AY14" i="223"/>
  <c r="BB14" i="223"/>
  <c r="BB13" i="223"/>
  <c r="BC13" i="223"/>
  <c r="BB12" i="223"/>
  <c r="BC12" i="223"/>
  <c r="BB11" i="223"/>
  <c r="BC11" i="223"/>
  <c r="BA9" i="223"/>
  <c r="AZ9" i="223"/>
  <c r="AY9" i="223"/>
  <c r="BB8" i="223"/>
  <c r="BC8" i="223"/>
  <c r="BB7" i="223"/>
  <c r="BC7" i="223"/>
  <c r="BB6" i="223"/>
  <c r="BC6" i="223"/>
  <c r="AB32" i="270"/>
  <c r="AB30" i="270"/>
  <c r="AC30" i="270"/>
  <c r="AB29" i="270"/>
  <c r="AC29" i="270"/>
  <c r="AB28" i="270"/>
  <c r="AC28" i="270"/>
  <c r="AB27" i="270"/>
  <c r="AC27" i="270"/>
  <c r="AB25" i="270"/>
  <c r="AC25" i="270"/>
  <c r="AB24" i="270"/>
  <c r="AC24" i="270"/>
  <c r="AB23" i="270"/>
  <c r="AB22" i="270"/>
  <c r="AB20" i="270"/>
  <c r="AC20" i="270"/>
  <c r="AB19" i="270"/>
  <c r="AC19" i="270"/>
  <c r="AB18" i="270"/>
  <c r="AC18" i="270"/>
  <c r="AB17" i="270"/>
  <c r="AC17" i="270"/>
  <c r="AB15" i="270"/>
  <c r="AC15" i="270"/>
  <c r="AB14" i="270"/>
  <c r="AC14" i="270"/>
  <c r="AB13" i="270"/>
  <c r="AC13" i="270"/>
  <c r="AB12" i="270"/>
  <c r="AC12" i="270"/>
  <c r="AB10" i="270"/>
  <c r="AC10" i="270"/>
  <c r="AB9" i="270"/>
  <c r="AC9" i="270"/>
  <c r="AB8" i="270"/>
  <c r="AC8" i="270"/>
  <c r="AB7" i="270"/>
  <c r="AC7" i="270"/>
  <c r="BI193" i="270"/>
  <c r="BI195" i="270"/>
  <c r="BN102" i="267"/>
  <c r="BN104" i="267"/>
  <c r="BM142" i="268"/>
  <c r="BM144" i="268"/>
  <c r="F40" i="237"/>
  <c r="D5" i="227"/>
  <c r="AC87" i="222"/>
  <c r="L23" i="217"/>
  <c r="L24" i="217"/>
  <c r="L29" i="217"/>
  <c r="R51" i="271"/>
  <c r="R49" i="271"/>
  <c r="R52" i="271"/>
  <c r="R50" i="271"/>
  <c r="P39" i="272"/>
  <c r="Q39" i="272"/>
  <c r="R39" i="272"/>
  <c r="P32" i="272"/>
  <c r="P25" i="272"/>
  <c r="Q25" i="272"/>
  <c r="P18" i="272"/>
  <c r="R18" i="272"/>
  <c r="P11" i="272"/>
  <c r="R6" i="272"/>
  <c r="V7" i="272"/>
  <c r="V8" i="272"/>
  <c r="V9" i="272"/>
  <c r="V10" i="272"/>
  <c r="V13" i="272"/>
  <c r="V14" i="272"/>
  <c r="V15" i="272"/>
  <c r="V16" i="272"/>
  <c r="V17" i="272"/>
  <c r="V20" i="272"/>
  <c r="V21" i="272"/>
  <c r="V22" i="272"/>
  <c r="V23" i="272"/>
  <c r="V24" i="272"/>
  <c r="V27" i="272"/>
  <c r="V28" i="272"/>
  <c r="V29" i="272"/>
  <c r="V30" i="272"/>
  <c r="V31" i="272"/>
  <c r="V34" i="272"/>
  <c r="V35" i="272"/>
  <c r="V36" i="272"/>
  <c r="V37" i="272"/>
  <c r="V38" i="272"/>
  <c r="V6" i="272"/>
  <c r="U41" i="272"/>
  <c r="V41" i="272"/>
  <c r="U39" i="272"/>
  <c r="T39" i="272"/>
  <c r="V39" i="272"/>
  <c r="U32" i="272"/>
  <c r="T32" i="272"/>
  <c r="U25" i="272"/>
  <c r="T25" i="272"/>
  <c r="U18" i="272"/>
  <c r="T18" i="272"/>
  <c r="V18" i="272"/>
  <c r="U11" i="272"/>
  <c r="T11" i="272"/>
  <c r="V11" i="272"/>
  <c r="Q41" i="272"/>
  <c r="R41" i="272"/>
  <c r="Q32" i="272"/>
  <c r="Q18" i="272"/>
  <c r="Q11" i="272"/>
  <c r="AB41" i="234"/>
  <c r="AC41" i="234"/>
  <c r="AE41" i="234"/>
  <c r="AD39" i="234"/>
  <c r="AA39" i="234"/>
  <c r="AB38" i="234"/>
  <c r="AC38" i="234"/>
  <c r="AE38" i="234"/>
  <c r="AB37" i="234"/>
  <c r="AC37" i="234"/>
  <c r="AE37" i="234"/>
  <c r="AB36" i="234"/>
  <c r="AC36" i="234"/>
  <c r="AE36" i="234"/>
  <c r="AB35" i="234"/>
  <c r="AC35" i="234"/>
  <c r="AE35" i="234"/>
  <c r="AB34" i="234"/>
  <c r="AB39" i="234"/>
  <c r="AD32" i="234"/>
  <c r="AA32" i="234"/>
  <c r="AC31" i="234"/>
  <c r="AE31" i="234"/>
  <c r="AB30" i="234"/>
  <c r="AC29" i="234"/>
  <c r="AE29" i="234"/>
  <c r="AC28" i="234"/>
  <c r="AE28" i="234"/>
  <c r="AC27" i="234"/>
  <c r="AE27" i="234"/>
  <c r="AD25" i="234"/>
  <c r="AA25" i="234"/>
  <c r="AC24" i="234"/>
  <c r="AE24" i="234"/>
  <c r="AB23" i="234"/>
  <c r="AC23" i="234"/>
  <c r="AE23" i="234"/>
  <c r="AB22" i="234"/>
  <c r="AB21" i="234"/>
  <c r="AC21" i="234"/>
  <c r="AE21" i="234"/>
  <c r="AB20" i="234"/>
  <c r="AB25" i="234"/>
  <c r="AD18" i="234"/>
  <c r="AA18" i="234"/>
  <c r="AC17" i="234"/>
  <c r="AE17" i="234"/>
  <c r="AB16" i="234"/>
  <c r="AC16" i="234"/>
  <c r="AE16" i="234"/>
  <c r="AB15" i="234"/>
  <c r="AC15" i="234"/>
  <c r="AE15" i="234"/>
  <c r="AB14" i="234"/>
  <c r="AC13" i="234"/>
  <c r="AE13" i="234"/>
  <c r="AD11" i="234"/>
  <c r="AA11" i="234"/>
  <c r="AA43" i="234"/>
  <c r="AB10" i="234"/>
  <c r="AB9" i="234"/>
  <c r="AC9" i="234"/>
  <c r="AE9" i="234"/>
  <c r="AB8" i="234"/>
  <c r="AC8" i="234"/>
  <c r="AE8" i="234"/>
  <c r="AB7" i="234"/>
  <c r="AB11" i="234"/>
  <c r="AB43" i="234"/>
  <c r="AB6" i="234"/>
  <c r="W41" i="234"/>
  <c r="Y41" i="234"/>
  <c r="X39" i="234"/>
  <c r="V39" i="234"/>
  <c r="U39" i="234"/>
  <c r="W38" i="234"/>
  <c r="Y38" i="234"/>
  <c r="W37" i="234"/>
  <c r="Y37" i="234"/>
  <c r="W36" i="234"/>
  <c r="Y36" i="234"/>
  <c r="W35" i="234"/>
  <c r="Y35" i="234"/>
  <c r="W34" i="234"/>
  <c r="Y34" i="234"/>
  <c r="X32" i="234"/>
  <c r="V32" i="234"/>
  <c r="U32" i="234"/>
  <c r="W31" i="234"/>
  <c r="Y31" i="234"/>
  <c r="W30" i="234"/>
  <c r="Y30" i="234"/>
  <c r="W29" i="234"/>
  <c r="W32" i="234"/>
  <c r="Y32" i="234"/>
  <c r="W28" i="234"/>
  <c r="W27" i="234"/>
  <c r="Y27" i="234"/>
  <c r="X25" i="234"/>
  <c r="U25" i="234"/>
  <c r="W24" i="234"/>
  <c r="Y24" i="234"/>
  <c r="V23" i="234"/>
  <c r="V22" i="234"/>
  <c r="W21" i="234"/>
  <c r="Y21" i="234"/>
  <c r="W20" i="234"/>
  <c r="Y20" i="234"/>
  <c r="X18" i="234"/>
  <c r="V18" i="234"/>
  <c r="V43" i="234"/>
  <c r="U18" i="234"/>
  <c r="W17" i="234"/>
  <c r="Y17" i="234"/>
  <c r="W16" i="234"/>
  <c r="Y16" i="234"/>
  <c r="W15" i="234"/>
  <c r="Y15" i="234"/>
  <c r="W14" i="234"/>
  <c r="Y14" i="234"/>
  <c r="W13" i="234"/>
  <c r="Y13" i="234"/>
  <c r="X11" i="234"/>
  <c r="V11" i="234"/>
  <c r="U11" i="234"/>
  <c r="W10" i="234"/>
  <c r="W9" i="234"/>
  <c r="Y9" i="234"/>
  <c r="W8" i="234"/>
  <c r="W7" i="234"/>
  <c r="Y7" i="234"/>
  <c r="W6" i="234"/>
  <c r="Y6" i="234"/>
  <c r="V41" i="233"/>
  <c r="U39" i="233"/>
  <c r="T39" i="233"/>
  <c r="V39" i="233"/>
  <c r="V38" i="233"/>
  <c r="V37" i="233"/>
  <c r="V36" i="233"/>
  <c r="V35" i="233"/>
  <c r="V34" i="233"/>
  <c r="U32" i="233"/>
  <c r="T32" i="233"/>
  <c r="V31" i="233"/>
  <c r="V30" i="233"/>
  <c r="V29" i="233"/>
  <c r="V28" i="233"/>
  <c r="V27" i="233"/>
  <c r="U25" i="233"/>
  <c r="T25" i="233"/>
  <c r="V24" i="233"/>
  <c r="V23" i="233"/>
  <c r="V22" i="233"/>
  <c r="V21" i="233"/>
  <c r="V20" i="233"/>
  <c r="U18" i="233"/>
  <c r="T18" i="233"/>
  <c r="V17" i="233"/>
  <c r="V16" i="233"/>
  <c r="V15" i="233"/>
  <c r="V14" i="233"/>
  <c r="V13" i="233"/>
  <c r="U11" i="233"/>
  <c r="T11" i="233"/>
  <c r="V10" i="233"/>
  <c r="V9" i="233"/>
  <c r="V8" i="233"/>
  <c r="V7" i="233"/>
  <c r="V6" i="233"/>
  <c r="Q41" i="233"/>
  <c r="R41" i="233"/>
  <c r="Q39" i="233"/>
  <c r="R39" i="233"/>
  <c r="P39" i="233"/>
  <c r="R38" i="233"/>
  <c r="R37" i="233"/>
  <c r="R36" i="233"/>
  <c r="R35" i="233"/>
  <c r="R34" i="233"/>
  <c r="Q32" i="233"/>
  <c r="P32" i="233"/>
  <c r="R31" i="233"/>
  <c r="R30" i="233"/>
  <c r="R29" i="233"/>
  <c r="R28" i="233"/>
  <c r="R27" i="233"/>
  <c r="Q25" i="233"/>
  <c r="P25" i="233"/>
  <c r="R24" i="233"/>
  <c r="R23" i="233"/>
  <c r="R22" i="233"/>
  <c r="R21" i="233"/>
  <c r="R20" i="233"/>
  <c r="Q18" i="233"/>
  <c r="P18" i="233"/>
  <c r="R17" i="233"/>
  <c r="R16" i="233"/>
  <c r="R15" i="233"/>
  <c r="R14" i="233"/>
  <c r="R13" i="233"/>
  <c r="Q11" i="233"/>
  <c r="P11" i="233"/>
  <c r="R10" i="233"/>
  <c r="R9" i="233"/>
  <c r="R8" i="233"/>
  <c r="R7" i="233"/>
  <c r="R6" i="233"/>
  <c r="W22" i="234"/>
  <c r="Y22" i="234"/>
  <c r="AC6" i="234"/>
  <c r="Y8" i="234"/>
  <c r="AF83" i="221"/>
  <c r="AE83" i="221"/>
  <c r="AE81" i="220"/>
  <c r="AE81" i="261"/>
  <c r="L30" i="217"/>
  <c r="M29" i="217"/>
  <c r="I6" i="230"/>
  <c r="I8" i="230"/>
  <c r="AL52" i="255"/>
  <c r="AL51" i="255"/>
  <c r="AL50" i="255"/>
  <c r="AL47" i="255"/>
  <c r="AL42" i="255"/>
  <c r="AL43" i="255"/>
  <c r="AL44" i="255"/>
  <c r="AL40" i="255"/>
  <c r="AL35" i="255"/>
  <c r="AL36" i="255"/>
  <c r="AL29" i="255"/>
  <c r="AL30" i="255"/>
  <c r="AL31" i="255"/>
  <c r="AL32" i="255"/>
  <c r="AL25" i="255"/>
  <c r="AL26" i="255"/>
  <c r="AL18" i="255"/>
  <c r="AL19" i="255"/>
  <c r="AL10" i="255"/>
  <c r="AL13" i="255"/>
  <c r="AL14" i="255"/>
  <c r="AL15" i="255"/>
  <c r="AL11" i="255"/>
  <c r="AL7" i="255"/>
  <c r="AL9" i="255"/>
  <c r="AL8" i="255"/>
  <c r="AL49" i="255"/>
  <c r="AL46" i="255"/>
  <c r="AL39" i="255"/>
  <c r="AL34" i="255"/>
  <c r="AL28" i="255"/>
  <c r="AL24" i="255"/>
  <c r="AL23" i="255"/>
  <c r="AL22" i="255"/>
  <c r="AL17" i="255"/>
  <c r="AL7" i="254"/>
  <c r="AL8" i="254"/>
  <c r="AL9" i="254"/>
  <c r="AL10" i="254"/>
  <c r="AL11" i="254"/>
  <c r="AL13" i="254"/>
  <c r="AL14" i="254"/>
  <c r="AL15" i="254"/>
  <c r="AL16" i="254"/>
  <c r="AL17" i="254"/>
  <c r="AL19" i="254"/>
  <c r="AL20" i="254"/>
  <c r="AL21" i="254"/>
  <c r="AL22" i="254"/>
  <c r="AL23" i="254"/>
  <c r="AL24" i="254"/>
  <c r="AL27" i="254"/>
  <c r="AL28" i="254"/>
  <c r="AL29" i="254"/>
  <c r="AL30" i="254"/>
  <c r="AL31" i="254"/>
  <c r="AL32" i="254"/>
  <c r="AL33" i="254"/>
  <c r="AL35" i="254"/>
  <c r="AL36" i="254"/>
  <c r="AL37" i="254"/>
  <c r="AL38" i="254"/>
  <c r="AL39" i="254"/>
  <c r="AL41" i="254"/>
  <c r="AL42" i="254"/>
  <c r="AL43" i="254"/>
  <c r="AL44" i="254"/>
  <c r="AL47" i="254"/>
  <c r="AL48" i="254"/>
  <c r="AL49" i="254"/>
  <c r="AL50" i="254"/>
  <c r="AL51" i="254"/>
  <c r="AL52" i="254"/>
  <c r="AL53" i="254"/>
  <c r="AL55" i="254"/>
  <c r="AL56" i="254"/>
  <c r="AL57" i="254"/>
  <c r="AL58" i="254"/>
  <c r="AL59" i="254"/>
  <c r="AL60" i="254"/>
  <c r="AL61" i="254"/>
  <c r="AL62" i="254"/>
  <c r="AL63" i="254"/>
  <c r="AL65" i="254"/>
  <c r="AL66" i="254"/>
  <c r="AL67" i="254"/>
  <c r="AL70" i="254"/>
  <c r="AL71" i="254"/>
  <c r="AL72" i="254"/>
  <c r="AL73" i="254"/>
  <c r="AL74" i="254"/>
  <c r="AL75" i="254"/>
  <c r="AL6" i="254"/>
  <c r="AL24" i="253"/>
  <c r="AL25" i="253"/>
  <c r="AL23" i="253"/>
  <c r="AL19" i="253"/>
  <c r="AL20" i="253"/>
  <c r="AL21" i="253"/>
  <c r="AL18" i="253"/>
  <c r="AL15" i="253"/>
  <c r="AL16" i="253"/>
  <c r="AL17" i="253"/>
  <c r="AL13" i="253"/>
  <c r="AL14" i="253"/>
  <c r="AL12" i="253"/>
  <c r="AL8" i="253"/>
  <c r="AL10" i="253"/>
  <c r="AL11" i="253"/>
  <c r="AL26" i="253"/>
  <c r="AL9" i="253"/>
  <c r="AL7" i="253"/>
  <c r="AL6" i="253"/>
  <c r="CN213" i="252"/>
  <c r="CN203" i="252"/>
  <c r="CN195" i="252"/>
  <c r="CN191" i="252"/>
  <c r="CN187" i="252"/>
  <c r="CN180" i="252"/>
  <c r="CN173" i="252"/>
  <c r="CN165" i="252"/>
  <c r="CN161" i="252"/>
  <c r="CN157" i="252"/>
  <c r="CN151" i="252"/>
  <c r="CN145" i="252"/>
  <c r="CN139" i="252"/>
  <c r="CN132" i="252"/>
  <c r="CN126" i="252"/>
  <c r="CN120" i="252"/>
  <c r="CN113" i="252"/>
  <c r="CN106" i="252"/>
  <c r="CN101" i="252"/>
  <c r="CN95" i="252"/>
  <c r="CN89" i="252"/>
  <c r="CN84" i="252"/>
  <c r="CN79" i="252"/>
  <c r="CN74" i="252"/>
  <c r="CN67" i="252"/>
  <c r="CN63" i="252"/>
  <c r="CN59" i="252"/>
  <c r="CN55" i="252"/>
  <c r="CN50" i="252"/>
  <c r="CN43" i="252"/>
  <c r="CN36" i="252"/>
  <c r="CN30" i="252"/>
  <c r="CN24" i="252"/>
  <c r="CN16" i="252"/>
  <c r="CN14" i="252"/>
  <c r="CN9" i="252"/>
  <c r="BP337" i="251"/>
  <c r="BP328" i="251"/>
  <c r="BP322" i="251"/>
  <c r="BP317" i="251"/>
  <c r="BP312" i="251"/>
  <c r="BP308" i="251"/>
  <c r="BP304" i="251"/>
  <c r="BP298" i="251"/>
  <c r="BP292" i="251"/>
  <c r="BP283" i="251"/>
  <c r="BP276" i="251"/>
  <c r="BP272" i="251"/>
  <c r="BP267" i="251"/>
  <c r="BP258" i="251"/>
  <c r="BP254" i="251"/>
  <c r="BP248" i="251"/>
  <c r="BP244" i="251"/>
  <c r="BP238" i="251"/>
  <c r="BP229" i="251"/>
  <c r="BP224" i="251"/>
  <c r="BP219" i="251"/>
  <c r="BP217" i="251"/>
  <c r="BP212" i="251"/>
  <c r="BP208" i="251"/>
  <c r="BP206" i="251"/>
  <c r="BP198" i="251"/>
  <c r="BP193" i="251"/>
  <c r="BP189" i="251"/>
  <c r="BP185" i="251"/>
  <c r="BP181" i="251"/>
  <c r="BP178" i="251"/>
  <c r="BP172" i="251"/>
  <c r="BP168" i="251"/>
  <c r="BP162" i="251"/>
  <c r="BP158" i="251"/>
  <c r="BP150" i="251"/>
  <c r="BP144" i="251"/>
  <c r="BP135" i="251"/>
  <c r="BP130" i="251"/>
  <c r="BP124" i="251"/>
  <c r="BP117" i="251"/>
  <c r="BP110" i="251"/>
  <c r="BP101" i="251"/>
  <c r="BP89" i="251"/>
  <c r="BP84" i="251"/>
  <c r="BP79" i="251"/>
  <c r="BP69" i="251"/>
  <c r="BP63" i="251"/>
  <c r="BP61" i="251"/>
  <c r="BP54" i="251"/>
  <c r="BP50" i="251"/>
  <c r="BP44" i="251"/>
  <c r="BP41" i="251"/>
  <c r="BP34" i="251"/>
  <c r="BP27" i="251"/>
  <c r="BP23" i="251"/>
  <c r="BP17" i="251"/>
  <c r="BP13" i="251"/>
  <c r="BP11" i="251"/>
  <c r="BD79" i="250"/>
  <c r="BD69" i="250"/>
  <c r="BD65" i="250"/>
  <c r="BD61" i="250"/>
  <c r="BD57" i="250"/>
  <c r="BD50" i="250"/>
  <c r="BD42" i="250"/>
  <c r="BD37" i="250"/>
  <c r="BD35" i="250"/>
  <c r="BD30" i="250"/>
  <c r="BD24" i="250"/>
  <c r="BD19" i="250"/>
  <c r="BD14" i="250"/>
  <c r="BD10" i="250"/>
  <c r="R38" i="272"/>
  <c r="R37" i="272"/>
  <c r="R36" i="272"/>
  <c r="R35" i="272"/>
  <c r="R34" i="272"/>
  <c r="R31" i="272"/>
  <c r="R30" i="272"/>
  <c r="R29" i="272"/>
  <c r="R28" i="272"/>
  <c r="R27" i="272"/>
  <c r="R24" i="272"/>
  <c r="R23" i="272"/>
  <c r="R22" i="272"/>
  <c r="R21" i="272"/>
  <c r="R20" i="272"/>
  <c r="R17" i="272"/>
  <c r="R16" i="272"/>
  <c r="R15" i="272"/>
  <c r="R14" i="272"/>
  <c r="R13" i="272"/>
  <c r="R10" i="272"/>
  <c r="R9" i="272"/>
  <c r="R8" i="272"/>
  <c r="R7" i="272"/>
  <c r="R32" i="272"/>
  <c r="AD31" i="243"/>
  <c r="AE7" i="243"/>
  <c r="AF27" i="243"/>
  <c r="AF26" i="243"/>
  <c r="AF25" i="243"/>
  <c r="AF24" i="243"/>
  <c r="AF23" i="243"/>
  <c r="AF22" i="243"/>
  <c r="AF21" i="243"/>
  <c r="AF20" i="243"/>
  <c r="AF19" i="243"/>
  <c r="AF18" i="243"/>
  <c r="AF17" i="243"/>
  <c r="AF16" i="243"/>
  <c r="AF15" i="243"/>
  <c r="AF14" i="243"/>
  <c r="AF13" i="243"/>
  <c r="AF12" i="243"/>
  <c r="AF11" i="243"/>
  <c r="AF10" i="243"/>
  <c r="AF8" i="243"/>
  <c r="AF7" i="243"/>
  <c r="AF6" i="243"/>
  <c r="AE22" i="243"/>
  <c r="AE12" i="243"/>
  <c r="AE27" i="243"/>
  <c r="AE25" i="243"/>
  <c r="AE17" i="243"/>
  <c r="AL105" i="274"/>
  <c r="AL106" i="274"/>
  <c r="AL107" i="274"/>
  <c r="AL108" i="274"/>
  <c r="AL109" i="274"/>
  <c r="AL110" i="274"/>
  <c r="AL111" i="274"/>
  <c r="AL7" i="274"/>
  <c r="AL8" i="274"/>
  <c r="AL9" i="274"/>
  <c r="AL10" i="274"/>
  <c r="AL11" i="274"/>
  <c r="AL12" i="274"/>
  <c r="AL13" i="274"/>
  <c r="AL14" i="274"/>
  <c r="AL15" i="274"/>
  <c r="AL16" i="274"/>
  <c r="AL17" i="274"/>
  <c r="AL18" i="274"/>
  <c r="AL19" i="274"/>
  <c r="AL20" i="274"/>
  <c r="AL21" i="274"/>
  <c r="AL22" i="274"/>
  <c r="AL23" i="274"/>
  <c r="AL24" i="274"/>
  <c r="AL25" i="274"/>
  <c r="AL26" i="274"/>
  <c r="AL27" i="274"/>
  <c r="AL28" i="274"/>
  <c r="AL29" i="274"/>
  <c r="AL30" i="274"/>
  <c r="AL31" i="274"/>
  <c r="AL32" i="274"/>
  <c r="AL33" i="274"/>
  <c r="AL34" i="274"/>
  <c r="AL35" i="274"/>
  <c r="AL36" i="274"/>
  <c r="AL37" i="274"/>
  <c r="AL38" i="274"/>
  <c r="AL39" i="274"/>
  <c r="AL40" i="274"/>
  <c r="AL41" i="274"/>
  <c r="AL42" i="274"/>
  <c r="AL43" i="274"/>
  <c r="AL44" i="274"/>
  <c r="AL45" i="274"/>
  <c r="AL46" i="274"/>
  <c r="AL47" i="274"/>
  <c r="AL48" i="274"/>
  <c r="AL49" i="274"/>
  <c r="AL50" i="274"/>
  <c r="AL51" i="274"/>
  <c r="AL52" i="274"/>
  <c r="AL53" i="274"/>
  <c r="AL54" i="274"/>
  <c r="AL55" i="274"/>
  <c r="AL56" i="274"/>
  <c r="AL57" i="274"/>
  <c r="AL58" i="274"/>
  <c r="AL59" i="274"/>
  <c r="AL60" i="274"/>
  <c r="AL61" i="274"/>
  <c r="AL62" i="274"/>
  <c r="AL63" i="274"/>
  <c r="AL64" i="274"/>
  <c r="AL65" i="274"/>
  <c r="AL66" i="274"/>
  <c r="AL67" i="274"/>
  <c r="AL68" i="274"/>
  <c r="AL69" i="274"/>
  <c r="AL70" i="274"/>
  <c r="AL71" i="274"/>
  <c r="AL72" i="274"/>
  <c r="AL73" i="274"/>
  <c r="AL74" i="274"/>
  <c r="AL75" i="274"/>
  <c r="AL76" i="274"/>
  <c r="AL77" i="274"/>
  <c r="AL78" i="274"/>
  <c r="AL79" i="274"/>
  <c r="AL80" i="274"/>
  <c r="AL81" i="274"/>
  <c r="AL82" i="274"/>
  <c r="AL83" i="274"/>
  <c r="AL84" i="274"/>
  <c r="AL85" i="274"/>
  <c r="AL86" i="274"/>
  <c r="AL87" i="274"/>
  <c r="AL88" i="274"/>
  <c r="AL89" i="274"/>
  <c r="AL90" i="274"/>
  <c r="AL91" i="274"/>
  <c r="AL92" i="274"/>
  <c r="AL93" i="274"/>
  <c r="AL94" i="274"/>
  <c r="AL95" i="274"/>
  <c r="AL96" i="274"/>
  <c r="AL97" i="274"/>
  <c r="AL98" i="274"/>
  <c r="AL99" i="274"/>
  <c r="AL100" i="274"/>
  <c r="AL101" i="274"/>
  <c r="AL6" i="274"/>
  <c r="AZ100" i="274"/>
  <c r="AS100" i="274"/>
  <c r="CW102" i="262"/>
  <c r="CW101" i="262"/>
  <c r="CW100" i="262"/>
  <c r="CW99" i="262"/>
  <c r="CW98" i="262"/>
  <c r="CW97" i="262"/>
  <c r="CW96" i="262"/>
  <c r="CW95" i="262"/>
  <c r="CW94" i="262"/>
  <c r="CW93" i="262"/>
  <c r="CW92" i="262"/>
  <c r="CW91" i="262"/>
  <c r="CW90" i="262"/>
  <c r="CW89" i="262"/>
  <c r="CW88" i="262"/>
  <c r="CW87" i="262"/>
  <c r="CW86" i="262"/>
  <c r="CW85" i="262"/>
  <c r="CW84" i="262"/>
  <c r="CW83" i="262"/>
  <c r="CW82" i="262"/>
  <c r="CW81" i="262"/>
  <c r="CW80" i="262"/>
  <c r="CW79" i="262"/>
  <c r="CW78" i="262"/>
  <c r="CW77" i="262"/>
  <c r="CW76" i="262"/>
  <c r="CW75" i="262"/>
  <c r="CW74" i="262"/>
  <c r="CW73" i="262"/>
  <c r="CW72" i="262"/>
  <c r="CW71" i="262"/>
  <c r="CW70" i="262"/>
  <c r="CW69" i="262"/>
  <c r="CW68" i="262"/>
  <c r="CW67" i="262"/>
  <c r="CW66" i="262"/>
  <c r="CW65" i="262"/>
  <c r="CW64" i="262"/>
  <c r="CW63" i="262"/>
  <c r="CW62" i="262"/>
  <c r="CW61" i="262"/>
  <c r="CW60" i="262"/>
  <c r="CW59" i="262"/>
  <c r="CW58" i="262"/>
  <c r="CW57" i="262"/>
  <c r="CW56" i="262"/>
  <c r="CW55" i="262"/>
  <c r="CW54" i="262"/>
  <c r="CW53" i="262"/>
  <c r="CW52" i="262"/>
  <c r="CW51" i="262"/>
  <c r="CW50" i="262"/>
  <c r="CW49" i="262"/>
  <c r="CW48" i="262"/>
  <c r="CW47" i="262"/>
  <c r="CW46" i="262"/>
  <c r="CW45" i="262"/>
  <c r="CW44" i="262"/>
  <c r="CW43" i="262"/>
  <c r="CW42" i="262"/>
  <c r="CW41" i="262"/>
  <c r="CW40" i="262"/>
  <c r="CW39" i="262"/>
  <c r="CW38" i="262"/>
  <c r="CW37" i="262"/>
  <c r="CW36" i="262"/>
  <c r="CW35" i="262"/>
  <c r="CW34" i="262"/>
  <c r="CW33" i="262"/>
  <c r="CW32" i="262"/>
  <c r="CW31" i="262"/>
  <c r="CW30" i="262"/>
  <c r="CW29" i="262"/>
  <c r="CW28" i="262"/>
  <c r="CW27" i="262"/>
  <c r="CW26" i="262"/>
  <c r="CW25" i="262"/>
  <c r="CW24" i="262"/>
  <c r="CW23" i="262"/>
  <c r="CW22" i="262"/>
  <c r="CW21" i="262"/>
  <c r="CW20" i="262"/>
  <c r="CW19" i="262"/>
  <c r="CW18" i="262"/>
  <c r="CW17" i="262"/>
  <c r="CW16" i="262"/>
  <c r="CW15" i="262"/>
  <c r="CW14" i="262"/>
  <c r="CW13" i="262"/>
  <c r="CW12" i="262"/>
  <c r="CW11" i="262"/>
  <c r="CW10" i="262"/>
  <c r="CW9" i="262"/>
  <c r="CW8" i="262"/>
  <c r="CW7" i="262"/>
  <c r="J13" i="273"/>
  <c r="J8" i="273"/>
  <c r="J18" i="273"/>
  <c r="J27" i="273"/>
  <c r="J22" i="273"/>
  <c r="C242" i="238"/>
  <c r="B242" i="238"/>
  <c r="E43" i="231"/>
  <c r="D482" i="213"/>
  <c r="D483" i="213"/>
  <c r="D484" i="213"/>
  <c r="D485" i="213"/>
  <c r="B486" i="213"/>
  <c r="C486" i="213"/>
  <c r="H491" i="213"/>
  <c r="H492" i="213"/>
  <c r="H493" i="213"/>
  <c r="H494" i="213"/>
  <c r="H495" i="213"/>
  <c r="H496" i="213"/>
  <c r="H497" i="213"/>
  <c r="H498" i="213"/>
  <c r="H499" i="213"/>
  <c r="H500" i="213"/>
  <c r="H501" i="213"/>
  <c r="H502" i="213"/>
  <c r="H503" i="213"/>
  <c r="H504" i="213"/>
  <c r="H505" i="213"/>
  <c r="H506" i="213"/>
  <c r="H507" i="213"/>
  <c r="H508" i="213"/>
  <c r="H509" i="213"/>
  <c r="H510" i="213"/>
  <c r="H511" i="213"/>
  <c r="H512" i="213"/>
  <c r="H513" i="213"/>
  <c r="H514" i="213"/>
  <c r="H515" i="213"/>
  <c r="H516" i="213"/>
  <c r="H517" i="213"/>
  <c r="H518" i="213"/>
  <c r="H519" i="213"/>
  <c r="H520" i="213"/>
  <c r="H521" i="213"/>
  <c r="H522" i="213"/>
  <c r="H523" i="213"/>
  <c r="H524" i="213"/>
  <c r="H525" i="213"/>
  <c r="H526" i="213"/>
  <c r="H527" i="213"/>
  <c r="H528" i="213"/>
  <c r="H529" i="213"/>
  <c r="H530" i="213"/>
  <c r="H531" i="213"/>
  <c r="H532" i="213"/>
  <c r="H533" i="213"/>
  <c r="H534" i="213"/>
  <c r="H535" i="213"/>
  <c r="H536" i="213"/>
  <c r="H537" i="213"/>
  <c r="H538" i="213"/>
  <c r="H539" i="213"/>
  <c r="H540" i="213"/>
  <c r="H541" i="213"/>
  <c r="H542" i="213"/>
  <c r="H543" i="213"/>
  <c r="H544" i="213"/>
  <c r="H545" i="213"/>
  <c r="H546" i="213"/>
  <c r="H547" i="213"/>
  <c r="H548" i="213"/>
  <c r="H549" i="213"/>
  <c r="H550" i="213"/>
  <c r="H551" i="213"/>
  <c r="H552" i="213"/>
  <c r="H553" i="213"/>
  <c r="H554" i="213"/>
  <c r="H555" i="213"/>
  <c r="H556" i="213"/>
  <c r="H557" i="213"/>
  <c r="H558" i="213"/>
  <c r="H559" i="213"/>
  <c r="H560" i="213"/>
  <c r="H561" i="213"/>
  <c r="H562" i="213"/>
  <c r="H563" i="213"/>
  <c r="H564" i="213"/>
  <c r="H565" i="213"/>
  <c r="H566" i="213"/>
  <c r="H567" i="213"/>
  <c r="H568" i="213"/>
  <c r="H569" i="213"/>
  <c r="H570" i="213"/>
  <c r="H571" i="213"/>
  <c r="H572" i="213"/>
  <c r="H573" i="213"/>
  <c r="H574" i="213"/>
  <c r="H575" i="213"/>
  <c r="H576" i="213"/>
  <c r="H577" i="213"/>
  <c r="H578" i="213"/>
  <c r="H579" i="213"/>
  <c r="H580" i="213"/>
  <c r="H581" i="213"/>
  <c r="H582" i="213"/>
  <c r="H583" i="213"/>
  <c r="H584" i="213"/>
  <c r="H585" i="213"/>
  <c r="H586" i="213"/>
  <c r="H587" i="213"/>
  <c r="H588" i="213"/>
  <c r="H589" i="213"/>
  <c r="H590" i="213"/>
  <c r="H591" i="213"/>
  <c r="H592" i="213"/>
  <c r="H593" i="213"/>
  <c r="H594" i="213"/>
  <c r="H595" i="213"/>
  <c r="H596" i="213"/>
  <c r="F597" i="213"/>
  <c r="G597" i="213"/>
  <c r="F401" i="212"/>
  <c r="E401" i="212"/>
  <c r="D401" i="212"/>
  <c r="G400" i="212"/>
  <c r="G399" i="212"/>
  <c r="G398" i="212"/>
  <c r="D324" i="212"/>
  <c r="C324" i="212"/>
  <c r="B324" i="212"/>
  <c r="E323" i="212"/>
  <c r="D42" i="237"/>
  <c r="F42" i="237"/>
  <c r="C42" i="237"/>
  <c r="F41" i="237"/>
  <c r="F39" i="237"/>
  <c r="F38" i="237"/>
  <c r="F37" i="237"/>
  <c r="F36" i="237"/>
  <c r="E42" i="237"/>
  <c r="AL31" i="235"/>
  <c r="AK31" i="235"/>
  <c r="AM31" i="235"/>
  <c r="AL30" i="235"/>
  <c r="AM30" i="235"/>
  <c r="AK30" i="235"/>
  <c r="AL29" i="235"/>
  <c r="AK29" i="235"/>
  <c r="AM27" i="235"/>
  <c r="AM23" i="235"/>
  <c r="AM22" i="235"/>
  <c r="AM21" i="235"/>
  <c r="AM19" i="235"/>
  <c r="AM18" i="235"/>
  <c r="AM17" i="235"/>
  <c r="AM15" i="235"/>
  <c r="AM14" i="235"/>
  <c r="AM13" i="235"/>
  <c r="AM11" i="235"/>
  <c r="AM10" i="235"/>
  <c r="AM9" i="235"/>
  <c r="AM7" i="235"/>
  <c r="AM6" i="235"/>
  <c r="AM5" i="235"/>
  <c r="F49" i="231"/>
  <c r="D49" i="231"/>
  <c r="C49" i="231"/>
  <c r="B49" i="231"/>
  <c r="G49" i="231"/>
  <c r="G48" i="231"/>
  <c r="E48" i="231"/>
  <c r="G47" i="231"/>
  <c r="E47" i="231"/>
  <c r="G46" i="231"/>
  <c r="E46" i="231"/>
  <c r="G45" i="231"/>
  <c r="E45" i="231"/>
  <c r="G44" i="231"/>
  <c r="E44" i="231"/>
  <c r="G43" i="231"/>
  <c r="AO51" i="271"/>
  <c r="AP51" i="271"/>
  <c r="AN51" i="271"/>
  <c r="AO50" i="271"/>
  <c r="AP50" i="271"/>
  <c r="AN50" i="271"/>
  <c r="AO49" i="271"/>
  <c r="AP49" i="271"/>
  <c r="AN49" i="271"/>
  <c r="Q51" i="271"/>
  <c r="P51" i="271"/>
  <c r="Q50" i="271"/>
  <c r="Q49" i="271"/>
  <c r="P50" i="271"/>
  <c r="P49" i="271"/>
  <c r="P52" i="271"/>
  <c r="R44" i="271"/>
  <c r="Q44" i="271"/>
  <c r="P44" i="271"/>
  <c r="R33" i="271"/>
  <c r="Q33" i="271"/>
  <c r="P33" i="271"/>
  <c r="R25" i="271"/>
  <c r="Q25" i="271"/>
  <c r="P25" i="271"/>
  <c r="R17" i="271"/>
  <c r="Q17" i="271"/>
  <c r="P17" i="271"/>
  <c r="R8" i="271"/>
  <c r="Q8" i="271"/>
  <c r="P8" i="271"/>
  <c r="AM29" i="235"/>
  <c r="AO25" i="271"/>
  <c r="AP25" i="271"/>
  <c r="AN25" i="271"/>
  <c r="AF80" i="220"/>
  <c r="AG80" i="220"/>
  <c r="AF75" i="220"/>
  <c r="AG75" i="220"/>
  <c r="AF70" i="220"/>
  <c r="AG70" i="220"/>
  <c r="AF64" i="220"/>
  <c r="AG64" i="220"/>
  <c r="AF60" i="220"/>
  <c r="AG60" i="220"/>
  <c r="AF56" i="220"/>
  <c r="AF51" i="220"/>
  <c r="AG51" i="220"/>
  <c r="AF46" i="220"/>
  <c r="AG46" i="220"/>
  <c r="AF40" i="220"/>
  <c r="AG40" i="220"/>
  <c r="AF33" i="220"/>
  <c r="AF29" i="220"/>
  <c r="AG29" i="220"/>
  <c r="AF25" i="220"/>
  <c r="AF20" i="220"/>
  <c r="AG20" i="220"/>
  <c r="AF15" i="220"/>
  <c r="AG15" i="220"/>
  <c r="AF9" i="220"/>
  <c r="AG9" i="220"/>
  <c r="AF80" i="261"/>
  <c r="AG80" i="261"/>
  <c r="AF75" i="261"/>
  <c r="AG75" i="261"/>
  <c r="AF70" i="261"/>
  <c r="AG70" i="261"/>
  <c r="AF64" i="261"/>
  <c r="AF65" i="261"/>
  <c r="AG65" i="261"/>
  <c r="AF60" i="261"/>
  <c r="AG60" i="261"/>
  <c r="AF56" i="261"/>
  <c r="AG56" i="261"/>
  <c r="AF51" i="261"/>
  <c r="AF46" i="261"/>
  <c r="AG46" i="261"/>
  <c r="AF40" i="261"/>
  <c r="AG40" i="261"/>
  <c r="AF33" i="261"/>
  <c r="AG33" i="261"/>
  <c r="AF29" i="261"/>
  <c r="AG29" i="261"/>
  <c r="AF25" i="261"/>
  <c r="AG25" i="261"/>
  <c r="AG20" i="261"/>
  <c r="AF15" i="261"/>
  <c r="AG15" i="261"/>
  <c r="AF9" i="261"/>
  <c r="AG9" i="261"/>
  <c r="AF51" i="214"/>
  <c r="AG51" i="214"/>
  <c r="AG81" i="221"/>
  <c r="AG80" i="221"/>
  <c r="AG79" i="221"/>
  <c r="AG78" i="221"/>
  <c r="AG77" i="221"/>
  <c r="AG76" i="221"/>
  <c r="AG75" i="221"/>
  <c r="AG74" i="221"/>
  <c r="AG73" i="221"/>
  <c r="AG72" i="221"/>
  <c r="AG71" i="221"/>
  <c r="AG70" i="221"/>
  <c r="AG69" i="221"/>
  <c r="AG68" i="221"/>
  <c r="AG67" i="221"/>
  <c r="AG66" i="221"/>
  <c r="AG65" i="221"/>
  <c r="AG64" i="221"/>
  <c r="AG63" i="221"/>
  <c r="AG60" i="221"/>
  <c r="AG58" i="221"/>
  <c r="AG57" i="221"/>
  <c r="AG56" i="221"/>
  <c r="AG55" i="221"/>
  <c r="AG54" i="221"/>
  <c r="AG52" i="221"/>
  <c r="AG51" i="221"/>
  <c r="AG50" i="221"/>
  <c r="AG49" i="221"/>
  <c r="AG48" i="221"/>
  <c r="AG47" i="221"/>
  <c r="AG46" i="221"/>
  <c r="AG45" i="221"/>
  <c r="AG44" i="221"/>
  <c r="AG43" i="221"/>
  <c r="AG42" i="221"/>
  <c r="AG41" i="221"/>
  <c r="AG40" i="221"/>
  <c r="AG39" i="221"/>
  <c r="AG38" i="221"/>
  <c r="AG37" i="221"/>
  <c r="AG36" i="221"/>
  <c r="AG35" i="221"/>
  <c r="AG34" i="221"/>
  <c r="AG33" i="221"/>
  <c r="AG32" i="221"/>
  <c r="AG31" i="221"/>
  <c r="AG30" i="221"/>
  <c r="AG29" i="221"/>
  <c r="AG28" i="221"/>
  <c r="AG27" i="221"/>
  <c r="AG26" i="221"/>
  <c r="AG25" i="221"/>
  <c r="AG24" i="221"/>
  <c r="AG23" i="221"/>
  <c r="AG22" i="221"/>
  <c r="AG21" i="221"/>
  <c r="AG20" i="221"/>
  <c r="AG19" i="221"/>
  <c r="AG18" i="221"/>
  <c r="AG17" i="221"/>
  <c r="AG16" i="221"/>
  <c r="AG15" i="221"/>
  <c r="AG14" i="221"/>
  <c r="AG13" i="221"/>
  <c r="AG12" i="221"/>
  <c r="AG11" i="221"/>
  <c r="AG10" i="221"/>
  <c r="AG9" i="221"/>
  <c r="AG8" i="221"/>
  <c r="AG7" i="221"/>
  <c r="AG6" i="221"/>
  <c r="AG5" i="221"/>
  <c r="AG4" i="221"/>
  <c r="AG79" i="220"/>
  <c r="AG78" i="220"/>
  <c r="AG77" i="220"/>
  <c r="AG76" i="220"/>
  <c r="AG74" i="220"/>
  <c r="AG73" i="220"/>
  <c r="AG72" i="220"/>
  <c r="AG71" i="220"/>
  <c r="AG69" i="220"/>
  <c r="AG68" i="220"/>
  <c r="AG67" i="220"/>
  <c r="AG66" i="220"/>
  <c r="AG63" i="220"/>
  <c r="AG58" i="220"/>
  <c r="AG57" i="220"/>
  <c r="AG55" i="220"/>
  <c r="AG54" i="220"/>
  <c r="AG50" i="220"/>
  <c r="AG49" i="220"/>
  <c r="AG48" i="220"/>
  <c r="AG47" i="220"/>
  <c r="AG45" i="220"/>
  <c r="AG44" i="220"/>
  <c r="AG43" i="220"/>
  <c r="AG42" i="220"/>
  <c r="AG41" i="220"/>
  <c r="AG39" i="220"/>
  <c r="AG38" i="220"/>
  <c r="AG37" i="220"/>
  <c r="AG36" i="220"/>
  <c r="AG35" i="220"/>
  <c r="AG33" i="220"/>
  <c r="AG32" i="220"/>
  <c r="AG31" i="220"/>
  <c r="AG30" i="220"/>
  <c r="AG28" i="220"/>
  <c r="AG27" i="220"/>
  <c r="AG26" i="220"/>
  <c r="AG24" i="220"/>
  <c r="AG23" i="220"/>
  <c r="AG22" i="220"/>
  <c r="AG19" i="220"/>
  <c r="AG18" i="220"/>
  <c r="AG17" i="220"/>
  <c r="AG16" i="220"/>
  <c r="AG14" i="220"/>
  <c r="AG13" i="220"/>
  <c r="AG12" i="220"/>
  <c r="AG11" i="220"/>
  <c r="AG10" i="220"/>
  <c r="AG8" i="220"/>
  <c r="AG7" i="220"/>
  <c r="AG6" i="220"/>
  <c r="AG5" i="220"/>
  <c r="AG4" i="220"/>
  <c r="AG79" i="261"/>
  <c r="AG78" i="261"/>
  <c r="AG77" i="261"/>
  <c r="AG76" i="261"/>
  <c r="AG74" i="261"/>
  <c r="AG73" i="261"/>
  <c r="AG72" i="261"/>
  <c r="AG71" i="261"/>
  <c r="AG69" i="261"/>
  <c r="AG68" i="261"/>
  <c r="AG67" i="261"/>
  <c r="AG66" i="261"/>
  <c r="AG63" i="261"/>
  <c r="AG58" i="261"/>
  <c r="AG57" i="261"/>
  <c r="AG55" i="261"/>
  <c r="AG54" i="261"/>
  <c r="AG51" i="261"/>
  <c r="AG50" i="261"/>
  <c r="AG49" i="261"/>
  <c r="AG48" i="261"/>
  <c r="AG47" i="261"/>
  <c r="AG45" i="261"/>
  <c r="AG44" i="261"/>
  <c r="AG43" i="261"/>
  <c r="AG42" i="261"/>
  <c r="AG41" i="261"/>
  <c r="AG39" i="261"/>
  <c r="AG38" i="261"/>
  <c r="AG37" i="261"/>
  <c r="AG36" i="261"/>
  <c r="AG35" i="261"/>
  <c r="AG32" i="261"/>
  <c r="AG31" i="261"/>
  <c r="AG30" i="261"/>
  <c r="AG28" i="261"/>
  <c r="AG27" i="261"/>
  <c r="AG26" i="261"/>
  <c r="AG24" i="261"/>
  <c r="AG23" i="261"/>
  <c r="AG22" i="261"/>
  <c r="AG19" i="261"/>
  <c r="AG18" i="261"/>
  <c r="AG17" i="261"/>
  <c r="AG16" i="261"/>
  <c r="AG14" i="261"/>
  <c r="AG13" i="261"/>
  <c r="AG12" i="261"/>
  <c r="AG11" i="261"/>
  <c r="AG10" i="261"/>
  <c r="AG8" i="261"/>
  <c r="AG7" i="261"/>
  <c r="AG6" i="261"/>
  <c r="AG5" i="261"/>
  <c r="AG4" i="261"/>
  <c r="BF81" i="216"/>
  <c r="BE80" i="216"/>
  <c r="BF79" i="216"/>
  <c r="BE79" i="216"/>
  <c r="BE78" i="216"/>
  <c r="BF77" i="216"/>
  <c r="BE77" i="216"/>
  <c r="BE76" i="216"/>
  <c r="BF75" i="216"/>
  <c r="BE75" i="216"/>
  <c r="BF74" i="216"/>
  <c r="BE74" i="216"/>
  <c r="BF73" i="216"/>
  <c r="BE73" i="216"/>
  <c r="BF72" i="216"/>
  <c r="BE72" i="216"/>
  <c r="BA82" i="216"/>
  <c r="BA84" i="216"/>
  <c r="BF70" i="216"/>
  <c r="BE70" i="216"/>
  <c r="BF69" i="216"/>
  <c r="BE69" i="216"/>
  <c r="BF68" i="216"/>
  <c r="BE68" i="216"/>
  <c r="BF67" i="216"/>
  <c r="BE67" i="216"/>
  <c r="BF64" i="216"/>
  <c r="BE64" i="216"/>
  <c r="BE65" i="216"/>
  <c r="BF63" i="216"/>
  <c r="BE63" i="216"/>
  <c r="BE62" i="216"/>
  <c r="BF62" i="216"/>
  <c r="BF61" i="216"/>
  <c r="BF60" i="216"/>
  <c r="BE60" i="216"/>
  <c r="BE58" i="216"/>
  <c r="BE59" i="216"/>
  <c r="BF59" i="216"/>
  <c r="BF58" i="216"/>
  <c r="BE56" i="216"/>
  <c r="BF55" i="216"/>
  <c r="BE55" i="216"/>
  <c r="BE54" i="216"/>
  <c r="BF52" i="216"/>
  <c r="BF51" i="216"/>
  <c r="BE51" i="216"/>
  <c r="BE48" i="216"/>
  <c r="BE49" i="216"/>
  <c r="BE50" i="216"/>
  <c r="BE52" i="216"/>
  <c r="BF49" i="216"/>
  <c r="BF47" i="216"/>
  <c r="BF46" i="216"/>
  <c r="BE46" i="216"/>
  <c r="BF45" i="216"/>
  <c r="BE45" i="216"/>
  <c r="BF44" i="216"/>
  <c r="BE44" i="216"/>
  <c r="BF43" i="216"/>
  <c r="BE43" i="216"/>
  <c r="BE42" i="216"/>
  <c r="BF42" i="216"/>
  <c r="BF40" i="216"/>
  <c r="BE40" i="216"/>
  <c r="BF39" i="216"/>
  <c r="BE39" i="216"/>
  <c r="BF38" i="216"/>
  <c r="BE38" i="216"/>
  <c r="BF37" i="216"/>
  <c r="BE37" i="216"/>
  <c r="BE36" i="216"/>
  <c r="BF34" i="216"/>
  <c r="BF33" i="216"/>
  <c r="BE33" i="216"/>
  <c r="BF32" i="216"/>
  <c r="BE32" i="216"/>
  <c r="BF31" i="216"/>
  <c r="BE31" i="216"/>
  <c r="BF30" i="216"/>
  <c r="BF29" i="216"/>
  <c r="BE29" i="216"/>
  <c r="BF28" i="216"/>
  <c r="BE28" i="216"/>
  <c r="BE27" i="216"/>
  <c r="BE30" i="216"/>
  <c r="BF27" i="216"/>
  <c r="BF25" i="216"/>
  <c r="BE25" i="216"/>
  <c r="BF24" i="216"/>
  <c r="BE24" i="216"/>
  <c r="BF23" i="216"/>
  <c r="BE23" i="216"/>
  <c r="BF20" i="216"/>
  <c r="BE20" i="216"/>
  <c r="BF17" i="216"/>
  <c r="BE17" i="216"/>
  <c r="BF19" i="216"/>
  <c r="BE19" i="216"/>
  <c r="BF18" i="216"/>
  <c r="BE18" i="216"/>
  <c r="BF15" i="216"/>
  <c r="BE15" i="216"/>
  <c r="BF14" i="216"/>
  <c r="BE14" i="216"/>
  <c r="BF13" i="216"/>
  <c r="BE13" i="216"/>
  <c r="BF12" i="216"/>
  <c r="BE12" i="216"/>
  <c r="BF11" i="216"/>
  <c r="BE11" i="216"/>
  <c r="BE16" i="216"/>
  <c r="BF9" i="216"/>
  <c r="BE9" i="216"/>
  <c r="BF8" i="216"/>
  <c r="BE8" i="216"/>
  <c r="BF7" i="216"/>
  <c r="BE7" i="216"/>
  <c r="BF6" i="216"/>
  <c r="BE6" i="216"/>
  <c r="BF5" i="216"/>
  <c r="BE5" i="216"/>
  <c r="E80" i="215"/>
  <c r="E79" i="215"/>
  <c r="E78" i="215"/>
  <c r="E77" i="215"/>
  <c r="E76" i="215"/>
  <c r="E75" i="215"/>
  <c r="E74" i="215"/>
  <c r="E73" i="215"/>
  <c r="E72" i="215"/>
  <c r="E71" i="215"/>
  <c r="E70" i="215"/>
  <c r="E69" i="215"/>
  <c r="E68" i="215"/>
  <c r="E67" i="215"/>
  <c r="E66" i="215"/>
  <c r="E62" i="215"/>
  <c r="E61" i="215"/>
  <c r="E59" i="215"/>
  <c r="E58" i="215"/>
  <c r="E57" i="215"/>
  <c r="E55" i="215"/>
  <c r="E54" i="215"/>
  <c r="E53" i="215"/>
  <c r="E51" i="215"/>
  <c r="E50" i="215"/>
  <c r="E49" i="215"/>
  <c r="E48" i="215"/>
  <c r="E47" i="215"/>
  <c r="E46" i="215"/>
  <c r="E45" i="215"/>
  <c r="E44" i="215"/>
  <c r="E43" i="215"/>
  <c r="E42" i="215"/>
  <c r="E41" i="215"/>
  <c r="E39" i="215"/>
  <c r="E38" i="215"/>
  <c r="E37" i="215"/>
  <c r="E36" i="215"/>
  <c r="E35" i="215"/>
  <c r="E33" i="215"/>
  <c r="E32" i="215"/>
  <c r="E31" i="215"/>
  <c r="E30" i="215"/>
  <c r="E29" i="215"/>
  <c r="E28" i="215"/>
  <c r="E27" i="215"/>
  <c r="E26" i="215"/>
  <c r="E24" i="215"/>
  <c r="E23" i="215"/>
  <c r="E22" i="215"/>
  <c r="E20" i="215"/>
  <c r="E19" i="215"/>
  <c r="E18" i="215"/>
  <c r="E17" i="215"/>
  <c r="E16" i="215"/>
  <c r="E15" i="215"/>
  <c r="E14" i="215"/>
  <c r="E13" i="215"/>
  <c r="E12" i="215"/>
  <c r="E11" i="215"/>
  <c r="E10" i="215"/>
  <c r="E8" i="215"/>
  <c r="E7" i="215"/>
  <c r="E6" i="215"/>
  <c r="E5" i="215"/>
  <c r="E4" i="215"/>
  <c r="AF80" i="214"/>
  <c r="AG79" i="214"/>
  <c r="AG78" i="214"/>
  <c r="AG77" i="214"/>
  <c r="AG76" i="214"/>
  <c r="AF75" i="214"/>
  <c r="AG75" i="214"/>
  <c r="AG74" i="214"/>
  <c r="AG73" i="214"/>
  <c r="AG72" i="214"/>
  <c r="AG71" i="214"/>
  <c r="AF70" i="214"/>
  <c r="AG70" i="214"/>
  <c r="AG69" i="214"/>
  <c r="AG68" i="214"/>
  <c r="AG67" i="214"/>
  <c r="AG66" i="214"/>
  <c r="AF64" i="214"/>
  <c r="AG64" i="214"/>
  <c r="AG63" i="214"/>
  <c r="AG62" i="214"/>
  <c r="AG61" i="214"/>
  <c r="AF60" i="214"/>
  <c r="AG60" i="214"/>
  <c r="AG59" i="214"/>
  <c r="AG58" i="214"/>
  <c r="AG57" i="214"/>
  <c r="AF56" i="214"/>
  <c r="AG56" i="214"/>
  <c r="AG55" i="214"/>
  <c r="AG54" i="214"/>
  <c r="AG53" i="214"/>
  <c r="AG50" i="214"/>
  <c r="AG49" i="214"/>
  <c r="AG48" i="214"/>
  <c r="AG47" i="214"/>
  <c r="AF46" i="214"/>
  <c r="AG46" i="214"/>
  <c r="AG45" i="214"/>
  <c r="AG44" i="214"/>
  <c r="AG43" i="214"/>
  <c r="AG42" i="214"/>
  <c r="AG41" i="214"/>
  <c r="AF40" i="214"/>
  <c r="AG39" i="214"/>
  <c r="AG38" i="214"/>
  <c r="AG37" i="214"/>
  <c r="AG36" i="214"/>
  <c r="AG35" i="214"/>
  <c r="AF33" i="214"/>
  <c r="AG33" i="214"/>
  <c r="AG32" i="214"/>
  <c r="AG31" i="214"/>
  <c r="AG30" i="214"/>
  <c r="AF29" i="214"/>
  <c r="AG29" i="214"/>
  <c r="AG28" i="214"/>
  <c r="AG27" i="214"/>
  <c r="AG26" i="214"/>
  <c r="AF25" i="214"/>
  <c r="AG25" i="214"/>
  <c r="AG24" i="214"/>
  <c r="AG23" i="214"/>
  <c r="AG22" i="214"/>
  <c r="AG20" i="214"/>
  <c r="AG19" i="214"/>
  <c r="AG16" i="214"/>
  <c r="AG18" i="214"/>
  <c r="AG17" i="214"/>
  <c r="AF15" i="214"/>
  <c r="AG15" i="214"/>
  <c r="AG14" i="214"/>
  <c r="AG13" i="214"/>
  <c r="AG12" i="214"/>
  <c r="AG11" i="214"/>
  <c r="AG10" i="214"/>
  <c r="AF9" i="214"/>
  <c r="AG9" i="214"/>
  <c r="AG8" i="214"/>
  <c r="AG7" i="214"/>
  <c r="AG6" i="214"/>
  <c r="AG5" i="214"/>
  <c r="AG4" i="214"/>
  <c r="AG25" i="220"/>
  <c r="BC82" i="216"/>
  <c r="BC84" i="216"/>
  <c r="BF84" i="216"/>
  <c r="BD82" i="216"/>
  <c r="BD84" i="216"/>
  <c r="BE81" i="216"/>
  <c r="BE82" i="216"/>
  <c r="BB82" i="216"/>
  <c r="BB84" i="216"/>
  <c r="BF76" i="216"/>
  <c r="BF71" i="216"/>
  <c r="BF65" i="216"/>
  <c r="BF41" i="216"/>
  <c r="BF21" i="216"/>
  <c r="BF16" i="216"/>
  <c r="BF53" i="216"/>
  <c r="BE71" i="216"/>
  <c r="BF10" i="216"/>
  <c r="BF26" i="216"/>
  <c r="BF57" i="216"/>
  <c r="E65" i="215"/>
  <c r="E56" i="215"/>
  <c r="E52" i="215"/>
  <c r="E40" i="215"/>
  <c r="E34" i="215"/>
  <c r="C81" i="215"/>
  <c r="E81" i="215"/>
  <c r="E21" i="215"/>
  <c r="E9" i="215"/>
  <c r="E25" i="215"/>
  <c r="AE81" i="214"/>
  <c r="AE83" i="214"/>
  <c r="G30" i="269"/>
  <c r="F30" i="269"/>
  <c r="E30" i="269"/>
  <c r="D30" i="269"/>
  <c r="H29" i="269"/>
  <c r="I29" i="269"/>
  <c r="H28" i="269"/>
  <c r="H27" i="269"/>
  <c r="I27" i="269"/>
  <c r="G25" i="269"/>
  <c r="F25" i="269"/>
  <c r="H24" i="269"/>
  <c r="J24" i="269"/>
  <c r="H23" i="269"/>
  <c r="J23" i="269"/>
  <c r="H22" i="269"/>
  <c r="I22" i="269"/>
  <c r="J22" i="269"/>
  <c r="G20" i="269"/>
  <c r="F20" i="269"/>
  <c r="E20" i="269"/>
  <c r="D20" i="269"/>
  <c r="H19" i="269"/>
  <c r="J19" i="269"/>
  <c r="H18" i="269"/>
  <c r="J18" i="269"/>
  <c r="H17" i="269"/>
  <c r="J17" i="269"/>
  <c r="G15" i="269"/>
  <c r="F15" i="269"/>
  <c r="D15" i="269"/>
  <c r="H14" i="269"/>
  <c r="H13" i="269"/>
  <c r="I13" i="269"/>
  <c r="H12" i="269"/>
  <c r="I12" i="269"/>
  <c r="G10" i="269"/>
  <c r="F10" i="269"/>
  <c r="E10" i="269"/>
  <c r="D10" i="269"/>
  <c r="H9" i="269"/>
  <c r="H8" i="269"/>
  <c r="J8" i="269"/>
  <c r="H7" i="269"/>
  <c r="BF66" i="216"/>
  <c r="BF35" i="216"/>
  <c r="BF22" i="216"/>
  <c r="AU29" i="223"/>
  <c r="AS29" i="223"/>
  <c r="AT29" i="223"/>
  <c r="AU24" i="223"/>
  <c r="AT24" i="223"/>
  <c r="AS24" i="223"/>
  <c r="AU19" i="223"/>
  <c r="AT19" i="223"/>
  <c r="AS19" i="223"/>
  <c r="AU14" i="223"/>
  <c r="AT14" i="223"/>
  <c r="AS14" i="223"/>
  <c r="AU9" i="223"/>
  <c r="AT9" i="223"/>
  <c r="AS9" i="223"/>
  <c r="AU36" i="223"/>
  <c r="AT36" i="223"/>
  <c r="AS36" i="223"/>
  <c r="AU35" i="223"/>
  <c r="AT35" i="223"/>
  <c r="AS35" i="223"/>
  <c r="AU34" i="223"/>
  <c r="AT34" i="223"/>
  <c r="AS34" i="223"/>
  <c r="AU33" i="223"/>
  <c r="AS33" i="223"/>
  <c r="AT33" i="223"/>
  <c r="AU32" i="223"/>
  <c r="AT32" i="223"/>
  <c r="AS32" i="223"/>
  <c r="AU31" i="223"/>
  <c r="AT31" i="223"/>
  <c r="AS31" i="223"/>
  <c r="AS37" i="223"/>
  <c r="AV7" i="223"/>
  <c r="AW7" i="223"/>
  <c r="AV8" i="223"/>
  <c r="AW8" i="223"/>
  <c r="AV11" i="223"/>
  <c r="AW11" i="223"/>
  <c r="AV12" i="223"/>
  <c r="AW12" i="223"/>
  <c r="AV13" i="223"/>
  <c r="AW13" i="223"/>
  <c r="AV16" i="223"/>
  <c r="AW16" i="223"/>
  <c r="AV17" i="223"/>
  <c r="AW17" i="223"/>
  <c r="AV18" i="223"/>
  <c r="AW18" i="223"/>
  <c r="AV21" i="223"/>
  <c r="AW21" i="223"/>
  <c r="AV22" i="223"/>
  <c r="AW22" i="223"/>
  <c r="AV23" i="223"/>
  <c r="AW23" i="223"/>
  <c r="AV26" i="223"/>
  <c r="AW26" i="223"/>
  <c r="AV27" i="223"/>
  <c r="AW27" i="223"/>
  <c r="AV28" i="223"/>
  <c r="AW28" i="223"/>
  <c r="AV6" i="223"/>
  <c r="AW6" i="223"/>
  <c r="J84" i="232"/>
  <c r="I84" i="232"/>
  <c r="F84" i="232"/>
  <c r="E84" i="232"/>
  <c r="D84" i="232"/>
  <c r="K82" i="232"/>
  <c r="G82" i="232"/>
  <c r="K80" i="232"/>
  <c r="G80" i="232"/>
  <c r="K78" i="232"/>
  <c r="G78" i="232"/>
  <c r="K76" i="232"/>
  <c r="G76" i="232"/>
  <c r="K74" i="232"/>
  <c r="G74" i="232"/>
  <c r="K72" i="232"/>
  <c r="G72" i="232"/>
  <c r="AN46" i="270"/>
  <c r="AO46" i="270"/>
  <c r="AO51" i="270"/>
  <c r="AO55" i="270"/>
  <c r="AO56" i="270"/>
  <c r="AP46" i="270"/>
  <c r="AP56" i="270"/>
  <c r="AQ46" i="270"/>
  <c r="AR46" i="270"/>
  <c r="AR51" i="270"/>
  <c r="AR56" i="270"/>
  <c r="AR55" i="270"/>
  <c r="AS46" i="270"/>
  <c r="AT46" i="270"/>
  <c r="AM46" i="270"/>
  <c r="BH185" i="270"/>
  <c r="Y14" i="270"/>
  <c r="AT70" i="270"/>
  <c r="BG185" i="270"/>
  <c r="BF185" i="270"/>
  <c r="BE185" i="270"/>
  <c r="BD185" i="270"/>
  <c r="BC185" i="270"/>
  <c r="BH180" i="270"/>
  <c r="BG180" i="270"/>
  <c r="BF180" i="270"/>
  <c r="BE180" i="270"/>
  <c r="BD180" i="270"/>
  <c r="BC180" i="270"/>
  <c r="BH178" i="270"/>
  <c r="BG178" i="270"/>
  <c r="BF178" i="270"/>
  <c r="BE178" i="270"/>
  <c r="BD178" i="270"/>
  <c r="BC178" i="270"/>
  <c r="BB178" i="270"/>
  <c r="BB186" i="270"/>
  <c r="BH174" i="270"/>
  <c r="BG174" i="270"/>
  <c r="BF174" i="270"/>
  <c r="BE174" i="270"/>
  <c r="BD174" i="270"/>
  <c r="BC174" i="270"/>
  <c r="BB174" i="270"/>
  <c r="BA174" i="270"/>
  <c r="BH169" i="270"/>
  <c r="BG169" i="270"/>
  <c r="BF169" i="270"/>
  <c r="BE169" i="270"/>
  <c r="BD169" i="270"/>
  <c r="BC169" i="270"/>
  <c r="BB169" i="270"/>
  <c r="BA169" i="270"/>
  <c r="BH153" i="270"/>
  <c r="BH175" i="270"/>
  <c r="BG153" i="270"/>
  <c r="BF153" i="270"/>
  <c r="BE153" i="270"/>
  <c r="BE175" i="270"/>
  <c r="BD153" i="270"/>
  <c r="BC153" i="270"/>
  <c r="BB153" i="270"/>
  <c r="BA153" i="270"/>
  <c r="BH131" i="270"/>
  <c r="BG131" i="270"/>
  <c r="BF131" i="270"/>
  <c r="BE131" i="270"/>
  <c r="BD131" i="270"/>
  <c r="BC131" i="270"/>
  <c r="BB131" i="270"/>
  <c r="BA131" i="270"/>
  <c r="BH120" i="270"/>
  <c r="BG120" i="270"/>
  <c r="BF120" i="270"/>
  <c r="BE120" i="270"/>
  <c r="BD120" i="270"/>
  <c r="BC120" i="270"/>
  <c r="BB120" i="270"/>
  <c r="BA120" i="270"/>
  <c r="BH102" i="270"/>
  <c r="BH132" i="270"/>
  <c r="BG102" i="270"/>
  <c r="BF102" i="270"/>
  <c r="BE102" i="270"/>
  <c r="BD102" i="270"/>
  <c r="BC102" i="270"/>
  <c r="BB102" i="270"/>
  <c r="BA102" i="270"/>
  <c r="BH84" i="270"/>
  <c r="AT55" i="270"/>
  <c r="Y9" i="270"/>
  <c r="BG84" i="270"/>
  <c r="BF84" i="270"/>
  <c r="BE84" i="270"/>
  <c r="BD84" i="270"/>
  <c r="BC84" i="270"/>
  <c r="BB84" i="270"/>
  <c r="BA84" i="270"/>
  <c r="BH66" i="270"/>
  <c r="BG66" i="270"/>
  <c r="BF66" i="270"/>
  <c r="BF85" i="270"/>
  <c r="BE66" i="270"/>
  <c r="BD66" i="270"/>
  <c r="BC66" i="270"/>
  <c r="BB66" i="270"/>
  <c r="BB48" i="270"/>
  <c r="BA66" i="270"/>
  <c r="BA48" i="270"/>
  <c r="BH48" i="270"/>
  <c r="BG48" i="270"/>
  <c r="BF48" i="270"/>
  <c r="BE48" i="270"/>
  <c r="BE85" i="270"/>
  <c r="BD48" i="270"/>
  <c r="BC48" i="270"/>
  <c r="AT136" i="270"/>
  <c r="AS136" i="270"/>
  <c r="AR136" i="270"/>
  <c r="AQ136" i="270"/>
  <c r="AP136" i="270"/>
  <c r="AO136" i="270"/>
  <c r="AN136" i="270"/>
  <c r="AM136" i="270"/>
  <c r="AT131" i="270"/>
  <c r="AS131" i="270"/>
  <c r="AR131" i="270"/>
  <c r="AQ131" i="270"/>
  <c r="AP131" i="270"/>
  <c r="AO131" i="270"/>
  <c r="AN131" i="270"/>
  <c r="AM131" i="270"/>
  <c r="AT122" i="270"/>
  <c r="AS122" i="270"/>
  <c r="AR122" i="270"/>
  <c r="AQ122" i="270"/>
  <c r="AP122" i="270"/>
  <c r="AO122" i="270"/>
  <c r="AN122" i="270"/>
  <c r="AM122" i="270"/>
  <c r="AT114" i="270"/>
  <c r="Y24" i="270"/>
  <c r="AT110" i="270"/>
  <c r="Y23" i="270"/>
  <c r="AS110" i="270"/>
  <c r="AS115" i="270"/>
  <c r="AR110" i="270"/>
  <c r="AR115" i="270"/>
  <c r="AQ110" i="270"/>
  <c r="AQ115" i="270"/>
  <c r="AP110" i="270"/>
  <c r="AP115" i="270"/>
  <c r="AO110" i="270"/>
  <c r="AO115" i="270"/>
  <c r="AN110" i="270"/>
  <c r="AN115" i="270"/>
  <c r="AT106" i="270"/>
  <c r="Y22" i="270"/>
  <c r="AT101" i="270"/>
  <c r="Y19" i="270"/>
  <c r="AS101" i="270"/>
  <c r="AR101" i="270"/>
  <c r="AQ101" i="270"/>
  <c r="AP101" i="270"/>
  <c r="AO101" i="270"/>
  <c r="AN101" i="270"/>
  <c r="AN94" i="270"/>
  <c r="AN82" i="270"/>
  <c r="AN102" i="270"/>
  <c r="AM101" i="270"/>
  <c r="AM94" i="270"/>
  <c r="AM82" i="270"/>
  <c r="AM102" i="270"/>
  <c r="AT94" i="270"/>
  <c r="Y18" i="270"/>
  <c r="AS94" i="270"/>
  <c r="AR94" i="270"/>
  <c r="AQ94" i="270"/>
  <c r="AP94" i="270"/>
  <c r="AO94" i="270"/>
  <c r="AO82" i="270"/>
  <c r="AT82" i="270"/>
  <c r="Y17" i="270"/>
  <c r="AS82" i="270"/>
  <c r="AR82" i="270"/>
  <c r="AQ82" i="270"/>
  <c r="AP82" i="270"/>
  <c r="AS70" i="270"/>
  <c r="AR70" i="270"/>
  <c r="AQ70" i="270"/>
  <c r="AP70" i="270"/>
  <c r="AO70" i="270"/>
  <c r="AN70" i="270"/>
  <c r="AM70" i="270"/>
  <c r="AT65" i="270"/>
  <c r="Y13" i="270"/>
  <c r="AS65" i="270"/>
  <c r="AR65" i="270"/>
  <c r="AQ65" i="270"/>
  <c r="AP65" i="270"/>
  <c r="AO65" i="270"/>
  <c r="AN65" i="270"/>
  <c r="AM65" i="270"/>
  <c r="AT61" i="270"/>
  <c r="AS61" i="270"/>
  <c r="AR61" i="270"/>
  <c r="AQ61" i="270"/>
  <c r="AP61" i="270"/>
  <c r="AO61" i="270"/>
  <c r="AN61" i="270"/>
  <c r="AM61" i="270"/>
  <c r="AS55" i="270"/>
  <c r="AS51" i="270"/>
  <c r="AQ55" i="270"/>
  <c r="AP55" i="270"/>
  <c r="AN55" i="270"/>
  <c r="AM55" i="270"/>
  <c r="AT51" i="270"/>
  <c r="Y8" i="270"/>
  <c r="AQ51" i="270"/>
  <c r="AP51" i="270"/>
  <c r="AN51" i="270"/>
  <c r="AM51" i="270"/>
  <c r="AQ137" i="270"/>
  <c r="L38" i="217"/>
  <c r="L37" i="217"/>
  <c r="J51" i="217"/>
  <c r="K50" i="217"/>
  <c r="J50" i="217"/>
  <c r="I740" i="213"/>
  <c r="I739" i="213"/>
  <c r="I738" i="213"/>
  <c r="I737" i="213"/>
  <c r="I736" i="213"/>
  <c r="I735" i="213"/>
  <c r="I733" i="213"/>
  <c r="I732" i="213"/>
  <c r="I731" i="213"/>
  <c r="I730" i="213"/>
  <c r="I729" i="213"/>
  <c r="I728" i="213"/>
  <c r="I727" i="213"/>
  <c r="I726" i="213"/>
  <c r="I724" i="213"/>
  <c r="I723" i="213"/>
  <c r="I722" i="213"/>
  <c r="I721" i="213"/>
  <c r="I720" i="213"/>
  <c r="I719" i="213"/>
  <c r="I718" i="213"/>
  <c r="I717" i="213"/>
  <c r="I716" i="213"/>
  <c r="I715" i="213"/>
  <c r="I714" i="213"/>
  <c r="I713" i="213"/>
  <c r="I712" i="213"/>
  <c r="I711" i="213"/>
  <c r="I710" i="213"/>
  <c r="I708" i="213"/>
  <c r="I707" i="213"/>
  <c r="I706" i="213"/>
  <c r="I705" i="213"/>
  <c r="I704" i="213"/>
  <c r="I703" i="213"/>
  <c r="I702" i="213"/>
  <c r="I701" i="213"/>
  <c r="I700" i="213"/>
  <c r="I699" i="213"/>
  <c r="I698" i="213"/>
  <c r="I697" i="213"/>
  <c r="I696" i="213"/>
  <c r="I695" i="213"/>
  <c r="I694" i="213"/>
  <c r="I693" i="213"/>
  <c r="I692" i="213"/>
  <c r="I691" i="213"/>
  <c r="I690" i="213"/>
  <c r="I689" i="213"/>
  <c r="I688" i="213"/>
  <c r="I687" i="213"/>
  <c r="I686" i="213"/>
  <c r="I685" i="213"/>
  <c r="I683" i="213"/>
  <c r="I682" i="213"/>
  <c r="I681" i="213"/>
  <c r="I680" i="213"/>
  <c r="I679" i="213"/>
  <c r="I678" i="213"/>
  <c r="I677" i="213"/>
  <c r="I676" i="213"/>
  <c r="I675" i="213"/>
  <c r="I674" i="213"/>
  <c r="I673" i="213"/>
  <c r="I672" i="213"/>
  <c r="I671" i="213"/>
  <c r="I670" i="213"/>
  <c r="I669" i="213"/>
  <c r="I667" i="213"/>
  <c r="I666" i="213"/>
  <c r="I665" i="213"/>
  <c r="I664" i="213"/>
  <c r="I663" i="213"/>
  <c r="I662" i="213"/>
  <c r="I660" i="213"/>
  <c r="I659" i="213"/>
  <c r="I658" i="213"/>
  <c r="I655" i="213"/>
  <c r="I654" i="213"/>
  <c r="I653" i="213"/>
  <c r="I652" i="213"/>
  <c r="I651" i="213"/>
  <c r="I650" i="213"/>
  <c r="I649" i="213"/>
  <c r="I648" i="213"/>
  <c r="I647" i="213"/>
  <c r="I646" i="213"/>
  <c r="I645" i="213"/>
  <c r="I644" i="213"/>
  <c r="I643" i="213"/>
  <c r="I642" i="213"/>
  <c r="I641" i="213"/>
  <c r="I640" i="213"/>
  <c r="I639" i="213"/>
  <c r="I638" i="213"/>
  <c r="I637" i="213"/>
  <c r="I636" i="213"/>
  <c r="I635" i="213"/>
  <c r="I634" i="213"/>
  <c r="I633" i="213"/>
  <c r="I632" i="213"/>
  <c r="I631" i="213"/>
  <c r="I630" i="213"/>
  <c r="I629" i="213"/>
  <c r="I627" i="213"/>
  <c r="I625" i="213"/>
  <c r="I624" i="213"/>
  <c r="I623" i="213"/>
  <c r="I622" i="213"/>
  <c r="C617" i="213"/>
  <c r="L616" i="213"/>
  <c r="D611" i="213"/>
  <c r="G611" i="213"/>
  <c r="G610" i="213"/>
  <c r="G609" i="213"/>
  <c r="G608" i="213"/>
  <c r="G607" i="213"/>
  <c r="F500" i="212"/>
  <c r="E500" i="212"/>
  <c r="D500" i="212"/>
  <c r="J499" i="212"/>
  <c r="J498" i="212"/>
  <c r="J497" i="212"/>
  <c r="J496" i="212"/>
  <c r="J495" i="212"/>
  <c r="J494" i="212"/>
  <c r="J493" i="212"/>
  <c r="J492" i="212"/>
  <c r="J491" i="212"/>
  <c r="J490" i="212"/>
  <c r="J489" i="212"/>
  <c r="J488" i="212"/>
  <c r="J487" i="212"/>
  <c r="J486" i="212"/>
  <c r="J485" i="212"/>
  <c r="J484" i="212"/>
  <c r="J483" i="212"/>
  <c r="J482" i="212"/>
  <c r="J481" i="212"/>
  <c r="J480" i="212"/>
  <c r="J479" i="212"/>
  <c r="J478" i="212"/>
  <c r="J477" i="212"/>
  <c r="J476" i="212"/>
  <c r="J475" i="212"/>
  <c r="J474" i="212"/>
  <c r="J473" i="212"/>
  <c r="J472" i="212"/>
  <c r="J471" i="212"/>
  <c r="J470" i="212"/>
  <c r="J469" i="212"/>
  <c r="J468" i="212"/>
  <c r="J467" i="212"/>
  <c r="J466" i="212"/>
  <c r="J465" i="212"/>
  <c r="J464" i="212"/>
  <c r="J463" i="212"/>
  <c r="J462" i="212"/>
  <c r="J461" i="212"/>
  <c r="J460" i="212"/>
  <c r="J459" i="212"/>
  <c r="J458" i="212"/>
  <c r="J457" i="212"/>
  <c r="J456" i="212"/>
  <c r="J455" i="212"/>
  <c r="J454" i="212"/>
  <c r="J453" i="212"/>
  <c r="J452" i="212"/>
  <c r="J451" i="212"/>
  <c r="J450" i="212"/>
  <c r="J449" i="212"/>
  <c r="J448" i="212"/>
  <c r="J447" i="212"/>
  <c r="J446" i="212"/>
  <c r="J445" i="212"/>
  <c r="J444" i="212"/>
  <c r="J443" i="212"/>
  <c r="J442" i="212"/>
  <c r="J441" i="212"/>
  <c r="J440" i="212"/>
  <c r="J439" i="212"/>
  <c r="J438" i="212"/>
  <c r="J437" i="212"/>
  <c r="J436" i="212"/>
  <c r="J435" i="212"/>
  <c r="J434" i="212"/>
  <c r="J433" i="212"/>
  <c r="J432" i="212"/>
  <c r="J431" i="212"/>
  <c r="J430" i="212"/>
  <c r="C426" i="212"/>
  <c r="D422" i="212"/>
  <c r="E422" i="212"/>
  <c r="E421" i="212"/>
  <c r="E420" i="212"/>
  <c r="E419" i="212"/>
  <c r="E418" i="212"/>
  <c r="E414" i="212"/>
  <c r="I27" i="273"/>
  <c r="I22" i="273"/>
  <c r="I18" i="273"/>
  <c r="I13" i="273"/>
  <c r="I8" i="273"/>
  <c r="C709" i="238"/>
  <c r="C699" i="238"/>
  <c r="B699" i="238"/>
  <c r="B698" i="238"/>
  <c r="B697" i="238"/>
  <c r="B695" i="238"/>
  <c r="C694" i="238"/>
  <c r="B694" i="238"/>
  <c r="C692" i="238"/>
  <c r="B692" i="238"/>
  <c r="C682" i="238"/>
  <c r="B682" i="238"/>
  <c r="C680" i="238"/>
  <c r="B680" i="238"/>
  <c r="C677" i="238"/>
  <c r="C675" i="238"/>
  <c r="C673" i="238"/>
  <c r="C671" i="238"/>
  <c r="H668" i="238"/>
  <c r="G668" i="238"/>
  <c r="C668" i="238"/>
  <c r="B668" i="238"/>
  <c r="C664" i="238"/>
  <c r="B664" i="238"/>
  <c r="B651" i="238"/>
  <c r="B646" i="238"/>
  <c r="B638" i="238"/>
  <c r="C637" i="238"/>
  <c r="C654" i="238"/>
  <c r="B637" i="238"/>
  <c r="B636" i="238"/>
  <c r="B632" i="238"/>
  <c r="B629" i="238"/>
  <c r="B621" i="238"/>
  <c r="F621" i="238"/>
  <c r="C618" i="238"/>
  <c r="C614" i="238"/>
  <c r="G601" i="238"/>
  <c r="H595" i="238"/>
  <c r="H601" i="238"/>
  <c r="C584" i="238"/>
  <c r="B584" i="238"/>
  <c r="C583" i="238"/>
  <c r="B583" i="238"/>
  <c r="C582" i="238"/>
  <c r="B582" i="238"/>
  <c r="C581" i="238"/>
  <c r="B581" i="238"/>
  <c r="C580" i="238"/>
  <c r="B580" i="238"/>
  <c r="C579" i="238"/>
  <c r="B579" i="238"/>
  <c r="C573" i="238"/>
  <c r="B573" i="238"/>
  <c r="C571" i="238"/>
  <c r="B571" i="238"/>
  <c r="C570" i="238"/>
  <c r="B570" i="238"/>
  <c r="C569" i="238"/>
  <c r="B569" i="238"/>
  <c r="C566" i="238"/>
  <c r="B566" i="238"/>
  <c r="C565" i="238"/>
  <c r="B565" i="238"/>
  <c r="C559" i="238"/>
  <c r="B559" i="238"/>
  <c r="C558" i="238"/>
  <c r="B558" i="238"/>
  <c r="C556" i="238"/>
  <c r="B556" i="238"/>
  <c r="B550" i="238"/>
  <c r="F551" i="238"/>
  <c r="C548" i="238"/>
  <c r="C546" i="238"/>
  <c r="G545" i="238"/>
  <c r="C545" i="238"/>
  <c r="C544" i="238"/>
  <c r="H543" i="238"/>
  <c r="H548" i="238"/>
  <c r="G543" i="238"/>
  <c r="C543" i="238"/>
  <c r="C542" i="238"/>
  <c r="C541" i="238"/>
  <c r="C538" i="238"/>
  <c r="C537" i="238"/>
  <c r="C536" i="238"/>
  <c r="C535" i="238"/>
  <c r="C534" i="238"/>
  <c r="C533" i="238"/>
  <c r="C532" i="238"/>
  <c r="C531" i="238"/>
  <c r="C530" i="238"/>
  <c r="C529" i="238"/>
  <c r="C528" i="238"/>
  <c r="C527" i="238"/>
  <c r="C525" i="238"/>
  <c r="C524" i="238"/>
  <c r="C523" i="238"/>
  <c r="C522" i="238"/>
  <c r="C514" i="238"/>
  <c r="B514" i="238"/>
  <c r="C513" i="238"/>
  <c r="B513" i="238"/>
  <c r="C512" i="238"/>
  <c r="B512" i="238"/>
  <c r="C511" i="238"/>
  <c r="B511" i="238"/>
  <c r="C510" i="238"/>
  <c r="B510" i="238"/>
  <c r="C509" i="238"/>
  <c r="B509" i="238"/>
  <c r="C508" i="238"/>
  <c r="B508" i="238"/>
  <c r="C507" i="238"/>
  <c r="B507" i="238"/>
  <c r="C504" i="238"/>
  <c r="B504" i="238"/>
  <c r="C500" i="238"/>
  <c r="B500" i="238"/>
  <c r="C499" i="238"/>
  <c r="B499" i="238"/>
  <c r="C498" i="238"/>
  <c r="B498" i="238"/>
  <c r="C497" i="238"/>
  <c r="B497" i="238"/>
  <c r="C494" i="238"/>
  <c r="B494" i="238"/>
  <c r="C493" i="238"/>
  <c r="B493" i="238"/>
  <c r="C492" i="238"/>
  <c r="B492" i="238"/>
  <c r="C487" i="238"/>
  <c r="B487" i="238"/>
  <c r="C486" i="238"/>
  <c r="B486" i="238"/>
  <c r="B484" i="238"/>
  <c r="C484" i="238"/>
  <c r="C483" i="238"/>
  <c r="B483" i="238"/>
  <c r="C482" i="238"/>
  <c r="B482" i="238"/>
  <c r="C481" i="238"/>
  <c r="B481" i="238"/>
  <c r="C480" i="238"/>
  <c r="B480" i="238"/>
  <c r="C474" i="238"/>
  <c r="B474" i="238"/>
  <c r="E474" i="238"/>
  <c r="G466" i="238"/>
  <c r="H450" i="238"/>
  <c r="H466" i="238"/>
  <c r="C441" i="238"/>
  <c r="B441" i="238"/>
  <c r="C439" i="238"/>
  <c r="B439" i="238"/>
  <c r="C438" i="238"/>
  <c r="B438" i="238"/>
  <c r="C433" i="238"/>
  <c r="B433" i="238"/>
  <c r="C428" i="238"/>
  <c r="B428" i="238"/>
  <c r="C426" i="238"/>
  <c r="B426" i="238"/>
  <c r="C425" i="238"/>
  <c r="B425" i="238"/>
  <c r="C424" i="238"/>
  <c r="B424" i="238"/>
  <c r="C423" i="238"/>
  <c r="B423" i="238"/>
  <c r="C421" i="238"/>
  <c r="B421" i="238"/>
  <c r="C415" i="238"/>
  <c r="B415" i="238"/>
  <c r="H407" i="238"/>
  <c r="G407" i="238"/>
  <c r="C406" i="238"/>
  <c r="B406" i="238"/>
  <c r="C402" i="238"/>
  <c r="B402" i="238"/>
  <c r="C396" i="238"/>
  <c r="B396" i="238"/>
  <c r="C395" i="238"/>
  <c r="B395" i="238"/>
  <c r="C394" i="238"/>
  <c r="B394" i="238"/>
  <c r="C393" i="238"/>
  <c r="B393" i="238"/>
  <c r="C390" i="238"/>
  <c r="B390" i="238"/>
  <c r="C389" i="238"/>
  <c r="B389" i="238"/>
  <c r="C380" i="238"/>
  <c r="B380" i="238"/>
  <c r="C344" i="238"/>
  <c r="B344" i="238"/>
  <c r="E344" i="238"/>
  <c r="H330" i="238"/>
  <c r="G330" i="238"/>
  <c r="AS24" i="255"/>
  <c r="AS25" i="255"/>
  <c r="AS49" i="255"/>
  <c r="AS53" i="255"/>
  <c r="AS48" i="255"/>
  <c r="AS46" i="255"/>
  <c r="AS45" i="255"/>
  <c r="AS43" i="255"/>
  <c r="AS42" i="255"/>
  <c r="AS41" i="255"/>
  <c r="AS39" i="255"/>
  <c r="AS38" i="255"/>
  <c r="AS35" i="255"/>
  <c r="AS34" i="255"/>
  <c r="AS33" i="255"/>
  <c r="AS31" i="255"/>
  <c r="AS30" i="255"/>
  <c r="AS29" i="255"/>
  <c r="AS28" i="255"/>
  <c r="AS27" i="255"/>
  <c r="AS23" i="255"/>
  <c r="AS22" i="255"/>
  <c r="AS21" i="255"/>
  <c r="AS20" i="255"/>
  <c r="AS17" i="255"/>
  <c r="AS11" i="255"/>
  <c r="AS16" i="255"/>
  <c r="AS18" i="255"/>
  <c r="AS12" i="255"/>
  <c r="AS7" i="255"/>
  <c r="AS9" i="255"/>
  <c r="AS81" i="254"/>
  <c r="AS80" i="254"/>
  <c r="AS68" i="254"/>
  <c r="AS69" i="254"/>
  <c r="AS70" i="254"/>
  <c r="AS66" i="254"/>
  <c r="AS61" i="254"/>
  <c r="AS62" i="254"/>
  <c r="AS63" i="254"/>
  <c r="AS56" i="254"/>
  <c r="AS57" i="254"/>
  <c r="AS58" i="254"/>
  <c r="AS59" i="254"/>
  <c r="AS50" i="254"/>
  <c r="AS51" i="254"/>
  <c r="AS40" i="254"/>
  <c r="AS41" i="254"/>
  <c r="AS35" i="254"/>
  <c r="AS30" i="254"/>
  <c r="AS15" i="254"/>
  <c r="AS14" i="254"/>
  <c r="AS13" i="254"/>
  <c r="AS12" i="254"/>
  <c r="AS11" i="254"/>
  <c r="AS17" i="254"/>
  <c r="AS21" i="254"/>
  <c r="AS24" i="254"/>
  <c r="AS67" i="254"/>
  <c r="AS65" i="254"/>
  <c r="AS55" i="254"/>
  <c r="AS54" i="254"/>
  <c r="AS53" i="254"/>
  <c r="AS49" i="254"/>
  <c r="AS48" i="254"/>
  <c r="AS47" i="254"/>
  <c r="AS46" i="254"/>
  <c r="AS45" i="254"/>
  <c r="AS44" i="254"/>
  <c r="AS39" i="254"/>
  <c r="AS38" i="254"/>
  <c r="AS36" i="254"/>
  <c r="AS34" i="254"/>
  <c r="AS33" i="254"/>
  <c r="AS32" i="254"/>
  <c r="AS29" i="254"/>
  <c r="AS28" i="254"/>
  <c r="AS27" i="254"/>
  <c r="AS26" i="254"/>
  <c r="AS25" i="254"/>
  <c r="AS20" i="254"/>
  <c r="AS19" i="254"/>
  <c r="AS18" i="254"/>
  <c r="AS9" i="254"/>
  <c r="AS8" i="254"/>
  <c r="AS7" i="254"/>
  <c r="AS6" i="254"/>
  <c r="AS15" i="253"/>
  <c r="AS16" i="253"/>
  <c r="AS17" i="253"/>
  <c r="AS7" i="253"/>
  <c r="AS12" i="253"/>
  <c r="AS13" i="253"/>
  <c r="AS14" i="253"/>
  <c r="AS18" i="253"/>
  <c r="AS19" i="253"/>
  <c r="AS20" i="253"/>
  <c r="AS22" i="253"/>
  <c r="AS23" i="253"/>
  <c r="AS34" i="253"/>
  <c r="AS24" i="253"/>
  <c r="AS25" i="253"/>
  <c r="AS26" i="253"/>
  <c r="AS6" i="253"/>
  <c r="DL202" i="252"/>
  <c r="DL192" i="252"/>
  <c r="DL187" i="252"/>
  <c r="DL183" i="252"/>
  <c r="DL179" i="252"/>
  <c r="DL174" i="252"/>
  <c r="DL169" i="252"/>
  <c r="DL163" i="252"/>
  <c r="DL159" i="252"/>
  <c r="DL155" i="252"/>
  <c r="DL149" i="252"/>
  <c r="DL143" i="252"/>
  <c r="DL139" i="252"/>
  <c r="DL130" i="252"/>
  <c r="DL123" i="252"/>
  <c r="DL119" i="252"/>
  <c r="DL114" i="252"/>
  <c r="DL107" i="252"/>
  <c r="DL101" i="252"/>
  <c r="DL96" i="252"/>
  <c r="DL90" i="252"/>
  <c r="DL85" i="252"/>
  <c r="DL79" i="252"/>
  <c r="DL75" i="252"/>
  <c r="DL67" i="252"/>
  <c r="DL61" i="252"/>
  <c r="DL58" i="252"/>
  <c r="DL51" i="252"/>
  <c r="DL47" i="252"/>
  <c r="DL45" i="252"/>
  <c r="DL38" i="252"/>
  <c r="DL34" i="252"/>
  <c r="DL31" i="252"/>
  <c r="DL24" i="252"/>
  <c r="DL22" i="252"/>
  <c r="DL20" i="252"/>
  <c r="DL16" i="252"/>
  <c r="DL12" i="252"/>
  <c r="DL9" i="252"/>
  <c r="CH346" i="251"/>
  <c r="CH337" i="251"/>
  <c r="CH328" i="251"/>
  <c r="CH321" i="251"/>
  <c r="CH314" i="251"/>
  <c r="CH309" i="251"/>
  <c r="CH304" i="251"/>
  <c r="CH298" i="251"/>
  <c r="CH292" i="251"/>
  <c r="CH285" i="251"/>
  <c r="CH280" i="251"/>
  <c r="CH275" i="251"/>
  <c r="CH268" i="251"/>
  <c r="CH264" i="251"/>
  <c r="CH258" i="251"/>
  <c r="CH252" i="251"/>
  <c r="CH247" i="251"/>
  <c r="CH245" i="251"/>
  <c r="CH239" i="251"/>
  <c r="CH234" i="251"/>
  <c r="CH230" i="251"/>
  <c r="CH225" i="251"/>
  <c r="CH220" i="251"/>
  <c r="CH218" i="251"/>
  <c r="CH210" i="251"/>
  <c r="CH206" i="251"/>
  <c r="CH201" i="251"/>
  <c r="CH193" i="251"/>
  <c r="CH186" i="251"/>
  <c r="CH181" i="251"/>
  <c r="CH176" i="251"/>
  <c r="CH170" i="251"/>
  <c r="CH163" i="251"/>
  <c r="CH156" i="251"/>
  <c r="CH152" i="251"/>
  <c r="CH146" i="251"/>
  <c r="CH140" i="251"/>
  <c r="CH135" i="251"/>
  <c r="CH127" i="251"/>
  <c r="CH121" i="251"/>
  <c r="CH115" i="251"/>
  <c r="CH111" i="251"/>
  <c r="CH107" i="251"/>
  <c r="CH101" i="251"/>
  <c r="CH94" i="251"/>
  <c r="CH89" i="251"/>
  <c r="CH67" i="251"/>
  <c r="CH58" i="251"/>
  <c r="CH51" i="251"/>
  <c r="CH45" i="251"/>
  <c r="CH41" i="251"/>
  <c r="CH27" i="251"/>
  <c r="CH19" i="251"/>
  <c r="CH13" i="251"/>
  <c r="BQ94" i="250"/>
  <c r="BQ86" i="250"/>
  <c r="BQ81" i="250"/>
  <c r="BQ76" i="250"/>
  <c r="BQ71" i="250"/>
  <c r="BQ66" i="250"/>
  <c r="BQ62" i="250"/>
  <c r="BQ52" i="250"/>
  <c r="BQ46" i="250"/>
  <c r="BQ40" i="250"/>
  <c r="BQ34" i="250"/>
  <c r="BQ29" i="250"/>
  <c r="BQ24" i="250"/>
  <c r="BQ19" i="250"/>
  <c r="BQ14" i="250"/>
  <c r="BQ11" i="250"/>
  <c r="AS106" i="274"/>
  <c r="AS107" i="274"/>
  <c r="AS108" i="274"/>
  <c r="AS109" i="274"/>
  <c r="AS110" i="274"/>
  <c r="AS111" i="274"/>
  <c r="AS105" i="274"/>
  <c r="AS7" i="274"/>
  <c r="AS8" i="274"/>
  <c r="AS9" i="274"/>
  <c r="AS10" i="274"/>
  <c r="AS11" i="274"/>
  <c r="AS12" i="274"/>
  <c r="AS13" i="274"/>
  <c r="AS14" i="274"/>
  <c r="AS15" i="274"/>
  <c r="AS16" i="274"/>
  <c r="AS17" i="274"/>
  <c r="AS18" i="274"/>
  <c r="AS19" i="274"/>
  <c r="AS20" i="274"/>
  <c r="AS21" i="274"/>
  <c r="AS22" i="274"/>
  <c r="AS23" i="274"/>
  <c r="AS24" i="274"/>
  <c r="AS25" i="274"/>
  <c r="AS26" i="274"/>
  <c r="AS27" i="274"/>
  <c r="AS28" i="274"/>
  <c r="AS29" i="274"/>
  <c r="AS30" i="274"/>
  <c r="AS31" i="274"/>
  <c r="AS32" i="274"/>
  <c r="AS33" i="274"/>
  <c r="AS34" i="274"/>
  <c r="AS35" i="274"/>
  <c r="AS36" i="274"/>
  <c r="AS37" i="274"/>
  <c r="AS38" i="274"/>
  <c r="AS39" i="274"/>
  <c r="AS40" i="274"/>
  <c r="AS41" i="274"/>
  <c r="AS42" i="274"/>
  <c r="AS43" i="274"/>
  <c r="AS44" i="274"/>
  <c r="AS45" i="274"/>
  <c r="AS46" i="274"/>
  <c r="AS47" i="274"/>
  <c r="AS48" i="274"/>
  <c r="AS49" i="274"/>
  <c r="AS50" i="274"/>
  <c r="AS51" i="274"/>
  <c r="AS52" i="274"/>
  <c r="AS53" i="274"/>
  <c r="AS54" i="274"/>
  <c r="AS55" i="274"/>
  <c r="AS56" i="274"/>
  <c r="AS57" i="274"/>
  <c r="AS58" i="274"/>
  <c r="AS59" i="274"/>
  <c r="AS60" i="274"/>
  <c r="AS61" i="274"/>
  <c r="AS62" i="274"/>
  <c r="AS63" i="274"/>
  <c r="AS64" i="274"/>
  <c r="AS65" i="274"/>
  <c r="AS66" i="274"/>
  <c r="AS67" i="274"/>
  <c r="AS68" i="274"/>
  <c r="AS69" i="274"/>
  <c r="AS70" i="274"/>
  <c r="AS71" i="274"/>
  <c r="AS72" i="274"/>
  <c r="AS73" i="274"/>
  <c r="AS74" i="274"/>
  <c r="AS75" i="274"/>
  <c r="AS76" i="274"/>
  <c r="AS77" i="274"/>
  <c r="AS78" i="274"/>
  <c r="AS79" i="274"/>
  <c r="AS80" i="274"/>
  <c r="AS81" i="274"/>
  <c r="AS82" i="274"/>
  <c r="AS83" i="274"/>
  <c r="AS84" i="274"/>
  <c r="AS85" i="274"/>
  <c r="AS86" i="274"/>
  <c r="AS87" i="274"/>
  <c r="AS88" i="274"/>
  <c r="AS89" i="274"/>
  <c r="AS90" i="274"/>
  <c r="AS91" i="274"/>
  <c r="AS92" i="274"/>
  <c r="AS93" i="274"/>
  <c r="AS94" i="274"/>
  <c r="AS95" i="274"/>
  <c r="AS97" i="274"/>
  <c r="AS98" i="274"/>
  <c r="AS99" i="274"/>
  <c r="AS101" i="274"/>
  <c r="AS6" i="274"/>
  <c r="DQ101" i="262"/>
  <c r="DQ100" i="262"/>
  <c r="DQ99" i="262"/>
  <c r="DQ98" i="262"/>
  <c r="DQ97" i="262"/>
  <c r="DQ96" i="262"/>
  <c r="DQ95" i="262"/>
  <c r="DQ94" i="262"/>
  <c r="DQ93" i="262"/>
  <c r="DQ92" i="262"/>
  <c r="DQ91" i="262"/>
  <c r="DQ90" i="262"/>
  <c r="DQ89" i="262"/>
  <c r="DQ88" i="262"/>
  <c r="DQ87" i="262"/>
  <c r="DQ86" i="262"/>
  <c r="DQ85" i="262"/>
  <c r="DQ84" i="262"/>
  <c r="DQ83" i="262"/>
  <c r="DQ82" i="262"/>
  <c r="DQ81" i="262"/>
  <c r="DQ80" i="262"/>
  <c r="DQ79" i="262"/>
  <c r="DQ78" i="262"/>
  <c r="DQ77" i="262"/>
  <c r="DQ76" i="262"/>
  <c r="DQ75" i="262"/>
  <c r="DQ74" i="262"/>
  <c r="DQ73" i="262"/>
  <c r="DQ72" i="262"/>
  <c r="DQ71" i="262"/>
  <c r="DQ70" i="262"/>
  <c r="DQ69" i="262"/>
  <c r="DQ68" i="262"/>
  <c r="DQ67" i="262"/>
  <c r="DQ66" i="262"/>
  <c r="DQ65" i="262"/>
  <c r="DQ64" i="262"/>
  <c r="DQ63" i="262"/>
  <c r="DQ62" i="262"/>
  <c r="DQ61" i="262"/>
  <c r="DQ60" i="262"/>
  <c r="DQ59" i="262"/>
  <c r="DQ58" i="262"/>
  <c r="DQ57" i="262"/>
  <c r="DQ56" i="262"/>
  <c r="DQ55" i="262"/>
  <c r="DQ54" i="262"/>
  <c r="DQ53" i="262"/>
  <c r="DQ52" i="262"/>
  <c r="DQ51" i="262"/>
  <c r="DQ50" i="262"/>
  <c r="DQ49" i="262"/>
  <c r="DQ48" i="262"/>
  <c r="DQ47" i="262"/>
  <c r="DQ46" i="262"/>
  <c r="DQ45" i="262"/>
  <c r="DQ44" i="262"/>
  <c r="DQ43" i="262"/>
  <c r="DQ42" i="262"/>
  <c r="DQ41" i="262"/>
  <c r="DQ40" i="262"/>
  <c r="DQ39" i="262"/>
  <c r="DQ38" i="262"/>
  <c r="DQ37" i="262"/>
  <c r="DQ36" i="262"/>
  <c r="DQ35" i="262"/>
  <c r="DQ34" i="262"/>
  <c r="DQ33" i="262"/>
  <c r="DQ32" i="262"/>
  <c r="DQ31" i="262"/>
  <c r="DQ30" i="262"/>
  <c r="DQ29" i="262"/>
  <c r="DQ28" i="262"/>
  <c r="DQ27" i="262"/>
  <c r="DQ26" i="262"/>
  <c r="DQ25" i="262"/>
  <c r="DQ24" i="262"/>
  <c r="DQ23" i="262"/>
  <c r="DQ22" i="262"/>
  <c r="DQ21" i="262"/>
  <c r="DQ20" i="262"/>
  <c r="DQ19" i="262"/>
  <c r="DQ18" i="262"/>
  <c r="DQ17" i="262"/>
  <c r="DQ16" i="262"/>
  <c r="DQ15" i="262"/>
  <c r="DQ14" i="262"/>
  <c r="DQ13" i="262"/>
  <c r="DQ12" i="262"/>
  <c r="DQ11" i="262"/>
  <c r="DQ10" i="262"/>
  <c r="DQ9" i="262"/>
  <c r="DQ8" i="262"/>
  <c r="DQ7" i="262"/>
  <c r="BL142" i="268"/>
  <c r="BL144" i="268"/>
  <c r="BM102" i="267"/>
  <c r="BM104" i="267"/>
  <c r="A35" i="267"/>
  <c r="AA31" i="243"/>
  <c r="AC27" i="243"/>
  <c r="AC26" i="243"/>
  <c r="AC25" i="243"/>
  <c r="AC24" i="243"/>
  <c r="AC23" i="243"/>
  <c r="AC22" i="243"/>
  <c r="AC21" i="243"/>
  <c r="AC20" i="243"/>
  <c r="AC19" i="243"/>
  <c r="AC18" i="243"/>
  <c r="AC17" i="243"/>
  <c r="AC16" i="243"/>
  <c r="AC15" i="243"/>
  <c r="AC14" i="243"/>
  <c r="AC13" i="243"/>
  <c r="AC12" i="243"/>
  <c r="AC11" i="243"/>
  <c r="AC10" i="243"/>
  <c r="AC8" i="243"/>
  <c r="AC7" i="243"/>
  <c r="AC6" i="243"/>
  <c r="H8" i="230"/>
  <c r="AX68" i="216"/>
  <c r="AX69" i="216"/>
  <c r="AX70" i="216"/>
  <c r="AX72" i="216"/>
  <c r="AX73" i="216"/>
  <c r="AX74" i="216"/>
  <c r="AX75" i="216"/>
  <c r="AX77" i="216"/>
  <c r="AX78" i="216"/>
  <c r="AX79" i="216"/>
  <c r="AX80" i="216"/>
  <c r="AX67" i="216"/>
  <c r="AU81" i="216"/>
  <c r="AV81" i="216"/>
  <c r="AY81" i="216"/>
  <c r="AW81" i="216"/>
  <c r="AT81" i="216"/>
  <c r="AX81" i="216"/>
  <c r="AU76" i="216"/>
  <c r="AV76" i="216"/>
  <c r="AW76" i="216"/>
  <c r="AT76" i="216"/>
  <c r="AT71" i="216"/>
  <c r="AU71" i="216"/>
  <c r="AV71" i="216"/>
  <c r="AX71" i="216"/>
  <c r="AX82" i="216"/>
  <c r="AW71" i="216"/>
  <c r="AY63" i="216"/>
  <c r="AY60" i="216"/>
  <c r="AU65" i="216"/>
  <c r="AV65" i="216"/>
  <c r="AW65" i="216"/>
  <c r="AT65" i="216"/>
  <c r="AU61" i="216"/>
  <c r="AY61" i="216"/>
  <c r="AV61" i="216"/>
  <c r="AW61" i="216"/>
  <c r="AT61" i="216"/>
  <c r="AU57" i="216"/>
  <c r="AU66" i="216"/>
  <c r="AV57" i="216"/>
  <c r="AW57" i="216"/>
  <c r="AT57" i="216"/>
  <c r="AT66" i="216"/>
  <c r="AY66" i="216"/>
  <c r="AX55" i="216"/>
  <c r="AX56" i="216"/>
  <c r="AX58" i="216"/>
  <c r="AX59" i="216"/>
  <c r="AX60" i="216"/>
  <c r="AX62" i="216"/>
  <c r="AX63" i="216"/>
  <c r="AX64" i="216"/>
  <c r="AX65" i="216"/>
  <c r="AX54" i="216"/>
  <c r="AU52" i="216"/>
  <c r="AV52" i="216"/>
  <c r="AW52" i="216"/>
  <c r="AT52" i="216"/>
  <c r="AU47" i="216"/>
  <c r="AU41" i="216"/>
  <c r="AV47" i="216"/>
  <c r="AV53" i="216"/>
  <c r="AY53" i="216"/>
  <c r="AW47" i="216"/>
  <c r="AW53" i="216"/>
  <c r="AT47" i="216"/>
  <c r="AV41" i="216"/>
  <c r="AW41" i="216"/>
  <c r="AT41" i="216"/>
  <c r="AX37" i="216"/>
  <c r="AX38" i="216"/>
  <c r="AX41" i="216"/>
  <c r="AX53" i="216"/>
  <c r="AX39" i="216"/>
  <c r="AX40" i="216"/>
  <c r="AX42" i="216"/>
  <c r="AX43" i="216"/>
  <c r="AX44" i="216"/>
  <c r="AX45" i="216"/>
  <c r="AX46" i="216"/>
  <c r="AX48" i="216"/>
  <c r="AX49" i="216"/>
  <c r="AX50" i="216"/>
  <c r="AX51" i="216"/>
  <c r="AX36" i="216"/>
  <c r="AU34" i="216"/>
  <c r="AV34" i="216"/>
  <c r="AW34" i="216"/>
  <c r="AT34" i="216"/>
  <c r="AT35" i="216"/>
  <c r="AU30" i="216"/>
  <c r="AV30" i="216"/>
  <c r="AW30" i="216"/>
  <c r="AT30" i="216"/>
  <c r="AU26" i="216"/>
  <c r="AV26" i="216"/>
  <c r="AW26" i="216"/>
  <c r="AW35" i="216"/>
  <c r="AY35" i="216"/>
  <c r="AT26" i="216"/>
  <c r="AX24" i="216"/>
  <c r="AX25" i="216"/>
  <c r="AX27" i="216"/>
  <c r="AX28" i="216"/>
  <c r="AX29" i="216"/>
  <c r="AX31" i="216"/>
  <c r="AX32" i="216"/>
  <c r="AX34" i="216"/>
  <c r="AX33" i="216"/>
  <c r="AX23" i="216"/>
  <c r="AX26" i="216"/>
  <c r="AU16" i="216"/>
  <c r="AU22" i="216"/>
  <c r="AU84" i="216"/>
  <c r="AU10" i="216"/>
  <c r="AV16" i="216"/>
  <c r="AW16" i="216"/>
  <c r="AT16" i="216"/>
  <c r="AT10" i="216"/>
  <c r="AV10" i="216"/>
  <c r="AV22" i="216"/>
  <c r="AW10" i="216"/>
  <c r="AW22" i="216"/>
  <c r="AW84" i="216"/>
  <c r="AZ111" i="274"/>
  <c r="AZ110" i="274"/>
  <c r="AZ109" i="274"/>
  <c r="AZ108" i="274"/>
  <c r="AZ107" i="274"/>
  <c r="AZ106" i="274"/>
  <c r="AZ105" i="274"/>
  <c r="CJ111" i="274"/>
  <c r="CB111" i="274"/>
  <c r="BU111" i="274"/>
  <c r="BN111" i="274"/>
  <c r="BG111" i="274"/>
  <c r="BG110" i="274"/>
  <c r="CJ110" i="274"/>
  <c r="CB110" i="274"/>
  <c r="BU110" i="274"/>
  <c r="BN110" i="274"/>
  <c r="BG109" i="274"/>
  <c r="AZ99" i="274"/>
  <c r="CJ109" i="274"/>
  <c r="CB109" i="274"/>
  <c r="BU109" i="274"/>
  <c r="BN109" i="274"/>
  <c r="BG108" i="274"/>
  <c r="AZ98" i="274"/>
  <c r="CJ108" i="274"/>
  <c r="CB108" i="274"/>
  <c r="BU108" i="274"/>
  <c r="BN108" i="274"/>
  <c r="BG107" i="274"/>
  <c r="AZ97" i="274"/>
  <c r="CJ107" i="274"/>
  <c r="CB107" i="274"/>
  <c r="BU107" i="274"/>
  <c r="BN107" i="274"/>
  <c r="BG106" i="274"/>
  <c r="AZ95" i="274"/>
  <c r="CJ106" i="274"/>
  <c r="CB106" i="274"/>
  <c r="BU106" i="274"/>
  <c r="BN106" i="274"/>
  <c r="BG105" i="274"/>
  <c r="AZ94" i="274"/>
  <c r="CJ105" i="274"/>
  <c r="CB105" i="274"/>
  <c r="BU105" i="274"/>
  <c r="BN105" i="274"/>
  <c r="AZ93" i="274"/>
  <c r="BG92" i="274"/>
  <c r="AZ92" i="274"/>
  <c r="BU91" i="274"/>
  <c r="BN91" i="274"/>
  <c r="BG91" i="274"/>
  <c r="AZ91" i="274"/>
  <c r="CJ90" i="274"/>
  <c r="CB90" i="274"/>
  <c r="BU90" i="274"/>
  <c r="BN90" i="274"/>
  <c r="BL90" i="274"/>
  <c r="BG90" i="274"/>
  <c r="AZ90" i="274"/>
  <c r="CJ89" i="274"/>
  <c r="CB89" i="274"/>
  <c r="BU89" i="274"/>
  <c r="BN89" i="274"/>
  <c r="BG89" i="274"/>
  <c r="AZ89" i="274"/>
  <c r="CJ88" i="274"/>
  <c r="CB88" i="274"/>
  <c r="BU88" i="274"/>
  <c r="BN88" i="274"/>
  <c r="BG88" i="274"/>
  <c r="AZ88" i="274"/>
  <c r="CJ87" i="274"/>
  <c r="CB87" i="274"/>
  <c r="BU87" i="274"/>
  <c r="BN87" i="274"/>
  <c r="BG87" i="274"/>
  <c r="AZ87" i="274"/>
  <c r="CJ86" i="274"/>
  <c r="CB86" i="274"/>
  <c r="BU86" i="274"/>
  <c r="BN86" i="274"/>
  <c r="BL86" i="274"/>
  <c r="BL91" i="274"/>
  <c r="BG86" i="274"/>
  <c r="AZ86" i="274"/>
  <c r="CB85" i="274"/>
  <c r="BU85" i="274"/>
  <c r="BN85" i="274"/>
  <c r="BG85" i="274"/>
  <c r="AZ85" i="274"/>
  <c r="CB84" i="274"/>
  <c r="BU84" i="274"/>
  <c r="BG84" i="274"/>
  <c r="AZ84" i="274"/>
  <c r="CJ83" i="274"/>
  <c r="CB83" i="274"/>
  <c r="BU83" i="274"/>
  <c r="BN83" i="274"/>
  <c r="BG83" i="274"/>
  <c r="AZ83" i="274"/>
  <c r="CJ82" i="274"/>
  <c r="CB82" i="274"/>
  <c r="BU82" i="274"/>
  <c r="BN82" i="274"/>
  <c r="BL82" i="274"/>
  <c r="BG82" i="274"/>
  <c r="AZ82" i="274"/>
  <c r="CB81" i="274"/>
  <c r="BU81" i="274"/>
  <c r="BN81" i="274"/>
  <c r="BG81" i="274"/>
  <c r="AZ81" i="274"/>
  <c r="CJ80" i="274"/>
  <c r="CB80" i="274"/>
  <c r="BU80" i="274"/>
  <c r="BN80" i="274"/>
  <c r="BG80" i="274"/>
  <c r="AZ80" i="274"/>
  <c r="CJ79" i="274"/>
  <c r="CB79" i="274"/>
  <c r="BU79" i="274"/>
  <c r="BN79" i="274"/>
  <c r="BG79" i="274"/>
  <c r="AZ79" i="274"/>
  <c r="CJ78" i="274"/>
  <c r="CB78" i="274"/>
  <c r="BU78" i="274"/>
  <c r="BN78" i="274"/>
  <c r="BG78" i="274"/>
  <c r="AZ78" i="274"/>
  <c r="CJ77" i="274"/>
  <c r="CB77" i="274"/>
  <c r="BU77" i="274"/>
  <c r="BN77" i="274"/>
  <c r="BL77" i="274"/>
  <c r="BG77" i="274"/>
  <c r="AZ77" i="274"/>
  <c r="CJ76" i="274"/>
  <c r="CB76" i="274"/>
  <c r="BU76" i="274"/>
  <c r="BN76" i="274"/>
  <c r="BG76" i="274"/>
  <c r="AZ76" i="274"/>
  <c r="CJ75" i="274"/>
  <c r="CB75" i="274"/>
  <c r="BU75" i="274"/>
  <c r="BN75" i="274"/>
  <c r="BG75" i="274"/>
  <c r="AZ75" i="274"/>
  <c r="CJ74" i="274"/>
  <c r="CB74" i="274"/>
  <c r="BU74" i="274"/>
  <c r="BN74" i="274"/>
  <c r="BG74" i="274"/>
  <c r="AZ74" i="274"/>
  <c r="CJ73" i="274"/>
  <c r="CB73" i="274"/>
  <c r="BU73" i="274"/>
  <c r="BN73" i="274"/>
  <c r="BG73" i="274"/>
  <c r="AZ73" i="274"/>
  <c r="CJ72" i="274"/>
  <c r="CB72" i="274"/>
  <c r="BU72" i="274"/>
  <c r="BN72" i="274"/>
  <c r="BL72" i="274"/>
  <c r="BG72" i="274"/>
  <c r="AZ72" i="274"/>
  <c r="CJ71" i="274"/>
  <c r="CB71" i="274"/>
  <c r="BU71" i="274"/>
  <c r="BN71" i="274"/>
  <c r="BG71" i="274"/>
  <c r="AZ71" i="274"/>
  <c r="CJ70" i="274"/>
  <c r="CB70" i="274"/>
  <c r="BU70" i="274"/>
  <c r="BN70" i="274"/>
  <c r="BG70" i="274"/>
  <c r="AZ70" i="274"/>
  <c r="CJ69" i="274"/>
  <c r="CB69" i="274"/>
  <c r="BU69" i="274"/>
  <c r="BN69" i="274"/>
  <c r="BG69" i="274"/>
  <c r="AZ69" i="274"/>
  <c r="CJ68" i="274"/>
  <c r="CB68" i="274"/>
  <c r="BU68" i="274"/>
  <c r="BN68" i="274"/>
  <c r="BG68" i="274"/>
  <c r="AZ68" i="274"/>
  <c r="CJ67" i="274"/>
  <c r="CB67" i="274"/>
  <c r="BU67" i="274"/>
  <c r="BN67" i="274"/>
  <c r="BG67" i="274"/>
  <c r="AZ67" i="274"/>
  <c r="CJ66" i="274"/>
  <c r="CB66" i="274"/>
  <c r="BU66" i="274"/>
  <c r="BN66" i="274"/>
  <c r="BG66" i="274"/>
  <c r="AZ66" i="274"/>
  <c r="CJ65" i="274"/>
  <c r="CB65" i="274"/>
  <c r="BU65" i="274"/>
  <c r="BN65" i="274"/>
  <c r="BG65" i="274"/>
  <c r="AZ65" i="274"/>
  <c r="CJ64" i="274"/>
  <c r="CB64" i="274"/>
  <c r="BU64" i="274"/>
  <c r="BN64" i="274"/>
  <c r="BG64" i="274"/>
  <c r="AZ64" i="274"/>
  <c r="CJ63" i="274"/>
  <c r="CB63" i="274"/>
  <c r="BU63" i="274"/>
  <c r="BN63" i="274"/>
  <c r="BL63" i="274"/>
  <c r="BG63" i="274"/>
  <c r="AZ63" i="274"/>
  <c r="CJ62" i="274"/>
  <c r="CB62" i="274"/>
  <c r="BU62" i="274"/>
  <c r="BN62" i="274"/>
  <c r="BG62" i="274"/>
  <c r="AZ62" i="274"/>
  <c r="CJ61" i="274"/>
  <c r="CB61" i="274"/>
  <c r="BU61" i="274"/>
  <c r="BN61" i="274"/>
  <c r="BG61" i="274"/>
  <c r="AZ61" i="274"/>
  <c r="CJ60" i="274"/>
  <c r="CB60" i="274"/>
  <c r="BU60" i="274"/>
  <c r="BN60" i="274"/>
  <c r="BG60" i="274"/>
  <c r="AZ60" i="274"/>
  <c r="CJ59" i="274"/>
  <c r="CB59" i="274"/>
  <c r="BU59" i="274"/>
  <c r="BN59" i="274"/>
  <c r="BG59" i="274"/>
  <c r="AZ59" i="274"/>
  <c r="CJ58" i="274"/>
  <c r="CB58" i="274"/>
  <c r="BU58" i="274"/>
  <c r="BN58" i="274"/>
  <c r="BG58" i="274"/>
  <c r="AZ58" i="274"/>
  <c r="CJ57" i="274"/>
  <c r="CB57" i="274"/>
  <c r="BU57" i="274"/>
  <c r="BN57" i="274"/>
  <c r="BG57" i="274"/>
  <c r="AZ57" i="274"/>
  <c r="CJ56" i="274"/>
  <c r="CB56" i="274"/>
  <c r="BU56" i="274"/>
  <c r="BN56" i="274"/>
  <c r="BG56" i="274"/>
  <c r="AZ56" i="274"/>
  <c r="CJ55" i="274"/>
  <c r="CB55" i="274"/>
  <c r="BU55" i="274"/>
  <c r="BN55" i="274"/>
  <c r="BL55" i="274"/>
  <c r="BL107" i="274"/>
  <c r="BG55" i="274"/>
  <c r="AZ55" i="274"/>
  <c r="CJ54" i="274"/>
  <c r="CB54" i="274"/>
  <c r="BU54" i="274"/>
  <c r="BN54" i="274"/>
  <c r="BG54" i="274"/>
  <c r="AZ54" i="274"/>
  <c r="CJ53" i="274"/>
  <c r="CB53" i="274"/>
  <c r="BU53" i="274"/>
  <c r="BN53" i="274"/>
  <c r="BG53" i="274"/>
  <c r="AZ53" i="274"/>
  <c r="CJ52" i="274"/>
  <c r="CB52" i="274"/>
  <c r="BU52" i="274"/>
  <c r="BN52" i="274"/>
  <c r="BG52" i="274"/>
  <c r="AZ52" i="274"/>
  <c r="CJ51" i="274"/>
  <c r="CB51" i="274"/>
  <c r="BU51" i="274"/>
  <c r="BN51" i="274"/>
  <c r="BG51" i="274"/>
  <c r="AZ51" i="274"/>
  <c r="CJ50" i="274"/>
  <c r="CB50" i="274"/>
  <c r="BU50" i="274"/>
  <c r="BN50" i="274"/>
  <c r="BG50" i="274"/>
  <c r="AZ50" i="274"/>
  <c r="CJ49" i="274"/>
  <c r="CB49" i="274"/>
  <c r="BU49" i="274"/>
  <c r="BN49" i="274"/>
  <c r="BG49" i="274"/>
  <c r="AZ49" i="274"/>
  <c r="CJ48" i="274"/>
  <c r="CB48" i="274"/>
  <c r="BU48" i="274"/>
  <c r="BN48" i="274"/>
  <c r="BL48" i="274"/>
  <c r="BL106" i="274"/>
  <c r="BG48" i="274"/>
  <c r="AZ48" i="274"/>
  <c r="CJ47" i="274"/>
  <c r="CB47" i="274"/>
  <c r="BU47" i="274"/>
  <c r="BN47" i="274"/>
  <c r="BG47" i="274"/>
  <c r="AZ47" i="274"/>
  <c r="CJ46" i="274"/>
  <c r="CB46" i="274"/>
  <c r="BU46" i="274"/>
  <c r="BN46" i="274"/>
  <c r="BG46" i="274"/>
  <c r="AZ46" i="274"/>
  <c r="CJ45" i="274"/>
  <c r="CB45" i="274"/>
  <c r="BU45" i="274"/>
  <c r="BN45" i="274"/>
  <c r="BG45" i="274"/>
  <c r="AZ45" i="274"/>
  <c r="CJ44" i="274"/>
  <c r="CB44" i="274"/>
  <c r="BU44" i="274"/>
  <c r="BN44" i="274"/>
  <c r="BG44" i="274"/>
  <c r="AZ44" i="274"/>
  <c r="CJ43" i="274"/>
  <c r="CB43" i="274"/>
  <c r="BU43" i="274"/>
  <c r="BN43" i="274"/>
  <c r="BG43" i="274"/>
  <c r="AZ43" i="274"/>
  <c r="CJ42" i="274"/>
  <c r="CB42" i="274"/>
  <c r="BU42" i="274"/>
  <c r="BN42" i="274"/>
  <c r="BG42" i="274"/>
  <c r="AZ42" i="274"/>
  <c r="CJ41" i="274"/>
  <c r="CB41" i="274"/>
  <c r="BU41" i="274"/>
  <c r="BN41" i="274"/>
  <c r="BG41" i="274"/>
  <c r="AZ41" i="274"/>
  <c r="CJ40" i="274"/>
  <c r="CB40" i="274"/>
  <c r="BU40" i="274"/>
  <c r="BN40" i="274"/>
  <c r="BG40" i="274"/>
  <c r="AZ40" i="274"/>
  <c r="CJ39" i="274"/>
  <c r="CB39" i="274"/>
  <c r="BU39" i="274"/>
  <c r="BN39" i="274"/>
  <c r="BG39" i="274"/>
  <c r="AZ39" i="274"/>
  <c r="CJ38" i="274"/>
  <c r="CB38" i="274"/>
  <c r="BU38" i="274"/>
  <c r="BN38" i="274"/>
  <c r="BG38" i="274"/>
  <c r="AZ38" i="274"/>
  <c r="CJ37" i="274"/>
  <c r="CB37" i="274"/>
  <c r="BU37" i="274"/>
  <c r="BN37" i="274"/>
  <c r="BG37" i="274"/>
  <c r="AZ37" i="274"/>
  <c r="CJ36" i="274"/>
  <c r="CB36" i="274"/>
  <c r="BU36" i="274"/>
  <c r="BN36" i="274"/>
  <c r="BL36" i="274"/>
  <c r="BG36" i="274"/>
  <c r="AZ36" i="274"/>
  <c r="CJ35" i="274"/>
  <c r="CB35" i="274"/>
  <c r="BU35" i="274"/>
  <c r="BN35" i="274"/>
  <c r="BG35" i="274"/>
  <c r="AZ35" i="274"/>
  <c r="CJ34" i="274"/>
  <c r="CB34" i="274"/>
  <c r="BU34" i="274"/>
  <c r="BN34" i="274"/>
  <c r="BG34" i="274"/>
  <c r="AZ34" i="274"/>
  <c r="CJ33" i="274"/>
  <c r="CB33" i="274"/>
  <c r="BU33" i="274"/>
  <c r="BN33" i="274"/>
  <c r="BG33" i="274"/>
  <c r="AZ33" i="274"/>
  <c r="CJ32" i="274"/>
  <c r="CB32" i="274"/>
  <c r="BU32" i="274"/>
  <c r="BN32" i="274"/>
  <c r="BG32" i="274"/>
  <c r="AZ32" i="274"/>
  <c r="CJ31" i="274"/>
  <c r="CB31" i="274"/>
  <c r="BU31" i="274"/>
  <c r="BN31" i="274"/>
  <c r="BG31" i="274"/>
  <c r="AZ31" i="274"/>
  <c r="CJ30" i="274"/>
  <c r="CB30" i="274"/>
  <c r="BU30" i="274"/>
  <c r="BN30" i="274"/>
  <c r="BG30" i="274"/>
  <c r="AZ30" i="274"/>
  <c r="CJ29" i="274"/>
  <c r="CB29" i="274"/>
  <c r="BU29" i="274"/>
  <c r="BN29" i="274"/>
  <c r="BG29" i="274"/>
  <c r="AZ29" i="274"/>
  <c r="CJ28" i="274"/>
  <c r="CB28" i="274"/>
  <c r="BU28" i="274"/>
  <c r="BG28" i="274"/>
  <c r="AZ28" i="274"/>
  <c r="CJ27" i="274"/>
  <c r="CB27" i="274"/>
  <c r="BU27" i="274"/>
  <c r="BN27" i="274"/>
  <c r="BG27" i="274"/>
  <c r="AZ27" i="274"/>
  <c r="CJ26" i="274"/>
  <c r="CB26" i="274"/>
  <c r="BU26" i="274"/>
  <c r="BN26" i="274"/>
  <c r="BG26" i="274"/>
  <c r="AZ26" i="274"/>
  <c r="CJ25" i="274"/>
  <c r="CB25" i="274"/>
  <c r="BU25" i="274"/>
  <c r="BN25" i="274"/>
  <c r="BL25" i="274"/>
  <c r="BG25" i="274"/>
  <c r="AZ25" i="274"/>
  <c r="CJ24" i="274"/>
  <c r="CB24" i="274"/>
  <c r="BU24" i="274"/>
  <c r="BN24" i="274"/>
  <c r="BG24" i="274"/>
  <c r="AZ24" i="274"/>
  <c r="CJ23" i="274"/>
  <c r="CB23" i="274"/>
  <c r="BU23" i="274"/>
  <c r="BN23" i="274"/>
  <c r="BG23" i="274"/>
  <c r="AZ23" i="274"/>
  <c r="CJ22" i="274"/>
  <c r="CB22" i="274"/>
  <c r="BU22" i="274"/>
  <c r="BN22" i="274"/>
  <c r="BG22" i="274"/>
  <c r="AZ22" i="274"/>
  <c r="CJ21" i="274"/>
  <c r="CB21" i="274"/>
  <c r="BU21" i="274"/>
  <c r="BN21" i="274"/>
  <c r="BL21" i="274"/>
  <c r="BG21" i="274"/>
  <c r="AZ21" i="274"/>
  <c r="CJ20" i="274"/>
  <c r="CB20" i="274"/>
  <c r="BU20" i="274"/>
  <c r="BN20" i="274"/>
  <c r="BG20" i="274"/>
  <c r="AZ20" i="274"/>
  <c r="CJ19" i="274"/>
  <c r="CB19" i="274"/>
  <c r="BU19" i="274"/>
  <c r="BN19" i="274"/>
  <c r="BG19" i="274"/>
  <c r="AZ19" i="274"/>
  <c r="CJ18" i="274"/>
  <c r="CB18" i="274"/>
  <c r="BU18" i="274"/>
  <c r="BN18" i="274"/>
  <c r="BG18" i="274"/>
  <c r="AZ18" i="274"/>
  <c r="CJ17" i="274"/>
  <c r="CB17" i="274"/>
  <c r="BU17" i="274"/>
  <c r="BN17" i="274"/>
  <c r="BG17" i="274"/>
  <c r="AZ17" i="274"/>
  <c r="CJ16" i="274"/>
  <c r="CB16" i="274"/>
  <c r="BU16" i="274"/>
  <c r="BN16" i="274"/>
  <c r="BL16" i="274"/>
  <c r="BG16" i="274"/>
  <c r="AZ16" i="274"/>
  <c r="CJ15" i="274"/>
  <c r="CB15" i="274"/>
  <c r="BU15" i="274"/>
  <c r="BN15" i="274"/>
  <c r="BG15" i="274"/>
  <c r="AZ15" i="274"/>
  <c r="CJ14" i="274"/>
  <c r="CB14" i="274"/>
  <c r="BU14" i="274"/>
  <c r="BN14" i="274"/>
  <c r="BG14" i="274"/>
  <c r="AZ14" i="274"/>
  <c r="CJ13" i="274"/>
  <c r="CB13" i="274"/>
  <c r="BU13" i="274"/>
  <c r="BN13" i="274"/>
  <c r="BG13" i="274"/>
  <c r="AZ13" i="274"/>
  <c r="CJ12" i="274"/>
  <c r="CB12" i="274"/>
  <c r="BU12" i="274"/>
  <c r="BN12" i="274"/>
  <c r="BG12" i="274"/>
  <c r="AZ12" i="274"/>
  <c r="CJ11" i="274"/>
  <c r="CB11" i="274"/>
  <c r="BU11" i="274"/>
  <c r="BN11" i="274"/>
  <c r="BG11" i="274"/>
  <c r="AZ11" i="274"/>
  <c r="CJ10" i="274"/>
  <c r="CB10" i="274"/>
  <c r="BU10" i="274"/>
  <c r="BN10" i="274"/>
  <c r="BG10" i="274"/>
  <c r="AZ10" i="274"/>
  <c r="CJ9" i="274"/>
  <c r="CB9" i="274"/>
  <c r="BU9" i="274"/>
  <c r="BN9" i="274"/>
  <c r="BG9" i="274"/>
  <c r="AZ9" i="274"/>
  <c r="CJ8" i="274"/>
  <c r="CB8" i="274"/>
  <c r="BU8" i="274"/>
  <c r="BN8" i="274"/>
  <c r="BG8" i="274"/>
  <c r="AZ8" i="274"/>
  <c r="CJ7" i="274"/>
  <c r="CB7" i="274"/>
  <c r="BU7" i="274"/>
  <c r="BN7" i="274"/>
  <c r="BG7" i="274"/>
  <c r="AZ7" i="274"/>
  <c r="CJ6" i="274"/>
  <c r="CB6" i="274"/>
  <c r="BU6" i="274"/>
  <c r="BN6" i="274"/>
  <c r="BG6" i="274"/>
  <c r="AZ6" i="274"/>
  <c r="AZ51" i="255"/>
  <c r="AZ50" i="255"/>
  <c r="AZ49" i="255"/>
  <c r="AZ48" i="255"/>
  <c r="AZ46" i="255"/>
  <c r="AZ45" i="255"/>
  <c r="AZ42" i="255"/>
  <c r="AZ41" i="255"/>
  <c r="AZ39" i="255"/>
  <c r="AZ38" i="255"/>
  <c r="AZ35" i="255"/>
  <c r="AZ34" i="255"/>
  <c r="AZ33" i="255"/>
  <c r="AZ31" i="255"/>
  <c r="AZ30" i="255"/>
  <c r="AZ29" i="255"/>
  <c r="AZ28" i="255"/>
  <c r="AZ27" i="255"/>
  <c r="AZ24" i="255"/>
  <c r="AZ23" i="255"/>
  <c r="AZ22" i="255"/>
  <c r="AZ21" i="255"/>
  <c r="AZ20" i="255"/>
  <c r="AZ17" i="255"/>
  <c r="AZ16" i="255"/>
  <c r="AZ15" i="255"/>
  <c r="AZ14" i="255"/>
  <c r="AZ12" i="255"/>
  <c r="AZ11" i="255"/>
  <c r="AZ10" i="255"/>
  <c r="AZ8" i="255"/>
  <c r="AZ7" i="255"/>
  <c r="AZ79" i="254"/>
  <c r="AZ78" i="254"/>
  <c r="AZ68" i="254"/>
  <c r="AZ67" i="254"/>
  <c r="AZ66" i="254"/>
  <c r="AZ65" i="254"/>
  <c r="AZ64" i="254"/>
  <c r="AZ63" i="254"/>
  <c r="AZ60" i="254"/>
  <c r="AZ59" i="254"/>
  <c r="AZ58" i="254"/>
  <c r="AZ56" i="254"/>
  <c r="AZ55" i="254"/>
  <c r="AZ54" i="254"/>
  <c r="AZ53" i="254"/>
  <c r="AZ52" i="254"/>
  <c r="AZ51" i="254"/>
  <c r="AZ49" i="254"/>
  <c r="AZ48" i="254"/>
  <c r="AZ47" i="254"/>
  <c r="AZ46" i="254"/>
  <c r="AZ45" i="254"/>
  <c r="AZ44" i="254"/>
  <c r="AZ43" i="254"/>
  <c r="AZ42" i="254"/>
  <c r="AZ39" i="254"/>
  <c r="AZ38" i="254"/>
  <c r="AZ37" i="254"/>
  <c r="AZ36" i="254"/>
  <c r="AZ34" i="254"/>
  <c r="AZ33" i="254"/>
  <c r="AZ32" i="254"/>
  <c r="AZ31" i="254"/>
  <c r="AZ29" i="254"/>
  <c r="AZ28" i="254"/>
  <c r="AZ27" i="254"/>
  <c r="AZ26" i="254"/>
  <c r="AZ25" i="254"/>
  <c r="AZ24" i="254"/>
  <c r="AZ23" i="254"/>
  <c r="AZ20" i="254"/>
  <c r="AZ19" i="254"/>
  <c r="AZ18" i="254"/>
  <c r="AZ16" i="254"/>
  <c r="AZ15" i="254"/>
  <c r="AZ14" i="254"/>
  <c r="AZ13" i="254"/>
  <c r="AZ12" i="254"/>
  <c r="AZ9" i="254"/>
  <c r="AZ8" i="254"/>
  <c r="AZ7" i="254"/>
  <c r="AZ6" i="254"/>
  <c r="AZ26" i="253"/>
  <c r="AZ25" i="253"/>
  <c r="AZ24" i="253"/>
  <c r="AZ34" i="253"/>
  <c r="AZ22" i="253"/>
  <c r="AZ20" i="253"/>
  <c r="AZ19" i="253"/>
  <c r="AZ23" i="253"/>
  <c r="AZ18" i="253"/>
  <c r="AZ15" i="253"/>
  <c r="AZ14" i="253"/>
  <c r="AZ13" i="253"/>
  <c r="AZ12" i="253"/>
  <c r="AZ11" i="253"/>
  <c r="AZ8" i="253"/>
  <c r="AZ6" i="253"/>
  <c r="EH194" i="252"/>
  <c r="EH185" i="252"/>
  <c r="EH180" i="252"/>
  <c r="EH175" i="252"/>
  <c r="EH170" i="252"/>
  <c r="EH163" i="252"/>
  <c r="EH159" i="252"/>
  <c r="EH155" i="252"/>
  <c r="EH148" i="252"/>
  <c r="EH141" i="252"/>
  <c r="EH135" i="252"/>
  <c r="EH131" i="252"/>
  <c r="EH125" i="252"/>
  <c r="EH117" i="252"/>
  <c r="EH111" i="252"/>
  <c r="EH106" i="252"/>
  <c r="EH100" i="252"/>
  <c r="EH94" i="252"/>
  <c r="EH87" i="252"/>
  <c r="EH83" i="252"/>
  <c r="EH81" i="252"/>
  <c r="EH74" i="252"/>
  <c r="EH68" i="252"/>
  <c r="EH64" i="252"/>
  <c r="EH52" i="252"/>
  <c r="EH48" i="252"/>
  <c r="EH44" i="252"/>
  <c r="EH32" i="252"/>
  <c r="EH22" i="252"/>
  <c r="EH17" i="252"/>
  <c r="EH12" i="252"/>
  <c r="EH9" i="252"/>
  <c r="CY333" i="251"/>
  <c r="CY324" i="251"/>
  <c r="CY315" i="251"/>
  <c r="CY310" i="251"/>
  <c r="CY305" i="251"/>
  <c r="CY300" i="251"/>
  <c r="CY295" i="251"/>
  <c r="CY288" i="251"/>
  <c r="CY281" i="251"/>
  <c r="CY272" i="251"/>
  <c r="CY258" i="251"/>
  <c r="CY253" i="251"/>
  <c r="CY246" i="251"/>
  <c r="CY239" i="251"/>
  <c r="CY232" i="251"/>
  <c r="CY226" i="251"/>
  <c r="CY220" i="251"/>
  <c r="CY214" i="251"/>
  <c r="CY209" i="251"/>
  <c r="CY205" i="251"/>
  <c r="CY196" i="251"/>
  <c r="CY190" i="251"/>
  <c r="CY185" i="251"/>
  <c r="CY180" i="251"/>
  <c r="CY174" i="251"/>
  <c r="CY170" i="251"/>
  <c r="CY163" i="251"/>
  <c r="CY156" i="251"/>
  <c r="CY152" i="251"/>
  <c r="CY144" i="251"/>
  <c r="CY137" i="251"/>
  <c r="CY130" i="251"/>
  <c r="CY123" i="251"/>
  <c r="CY116" i="251"/>
  <c r="CY109" i="251"/>
  <c r="CY103" i="251"/>
  <c r="CY98" i="251"/>
  <c r="CY89" i="251"/>
  <c r="CY82" i="251"/>
  <c r="CY79" i="251"/>
  <c r="CY75" i="251"/>
  <c r="CY72" i="251"/>
  <c r="CY66" i="251"/>
  <c r="CY61" i="251"/>
  <c r="CY53" i="251"/>
  <c r="CY48" i="251"/>
  <c r="CY43" i="251"/>
  <c r="CY39" i="251"/>
  <c r="CY27" i="251"/>
  <c r="CY22" i="251"/>
  <c r="CY14" i="251"/>
  <c r="CD88" i="250"/>
  <c r="CD79" i="250"/>
  <c r="CD74" i="250"/>
  <c r="CD69" i="250"/>
  <c r="CD64" i="250"/>
  <c r="CD57" i="250"/>
  <c r="CD51" i="250"/>
  <c r="CD47" i="250"/>
  <c r="CD41" i="250"/>
  <c r="CD37" i="250"/>
  <c r="CD33" i="250"/>
  <c r="CD18" i="250"/>
  <c r="CD12" i="250"/>
  <c r="EK102" i="262"/>
  <c r="EK101" i="262"/>
  <c r="EK100" i="262"/>
  <c r="EK99" i="262"/>
  <c r="EK98" i="262"/>
  <c r="EK97" i="262"/>
  <c r="EK96" i="262"/>
  <c r="EK95" i="262"/>
  <c r="EK94" i="262"/>
  <c r="EK93" i="262"/>
  <c r="EK92" i="262"/>
  <c r="EK91" i="262"/>
  <c r="EK90" i="262"/>
  <c r="EK89" i="262"/>
  <c r="EK88" i="262"/>
  <c r="EK87" i="262"/>
  <c r="EK86" i="262"/>
  <c r="EK85" i="262"/>
  <c r="EK84" i="262"/>
  <c r="EK83" i="262"/>
  <c r="EK82" i="262"/>
  <c r="EK81" i="262"/>
  <c r="EK80" i="262"/>
  <c r="EK79" i="262"/>
  <c r="EK78" i="262"/>
  <c r="EK77" i="262"/>
  <c r="EK76" i="262"/>
  <c r="EK75" i="262"/>
  <c r="EK74" i="262"/>
  <c r="EK73" i="262"/>
  <c r="EK72" i="262"/>
  <c r="EK71" i="262"/>
  <c r="EK70" i="262"/>
  <c r="EK69" i="262"/>
  <c r="EK68" i="262"/>
  <c r="EK67" i="262"/>
  <c r="EK66" i="262"/>
  <c r="EK65" i="262"/>
  <c r="EK64" i="262"/>
  <c r="EK63" i="262"/>
  <c r="EK62" i="262"/>
  <c r="EK61" i="262"/>
  <c r="EK60" i="262"/>
  <c r="EK59" i="262"/>
  <c r="EK58" i="262"/>
  <c r="EK57" i="262"/>
  <c r="EK56" i="262"/>
  <c r="EK55" i="262"/>
  <c r="EK54" i="262"/>
  <c r="EK53" i="262"/>
  <c r="EK52" i="262"/>
  <c r="EK51" i="262"/>
  <c r="EK50" i="262"/>
  <c r="EK49" i="262"/>
  <c r="EK48" i="262"/>
  <c r="EK47" i="262"/>
  <c r="EK46" i="262"/>
  <c r="EK45" i="262"/>
  <c r="EK44" i="262"/>
  <c r="EK43" i="262"/>
  <c r="EK42" i="262"/>
  <c r="EK41" i="262"/>
  <c r="EK40" i="262"/>
  <c r="EK39" i="262"/>
  <c r="EK38" i="262"/>
  <c r="EK37" i="262"/>
  <c r="EK36" i="262"/>
  <c r="EK35" i="262"/>
  <c r="EK34" i="262"/>
  <c r="EK33" i="262"/>
  <c r="EK32" i="262"/>
  <c r="EK31" i="262"/>
  <c r="EK30" i="262"/>
  <c r="EK29" i="262"/>
  <c r="EK28" i="262"/>
  <c r="EK27" i="262"/>
  <c r="EK26" i="262"/>
  <c r="EK25" i="262"/>
  <c r="EK24" i="262"/>
  <c r="EK23" i="262"/>
  <c r="EK22" i="262"/>
  <c r="EK21" i="262"/>
  <c r="EK20" i="262"/>
  <c r="EK19" i="262"/>
  <c r="EK18" i="262"/>
  <c r="EK17" i="262"/>
  <c r="EK16" i="262"/>
  <c r="EK15" i="262"/>
  <c r="EK14" i="262"/>
  <c r="EK13" i="262"/>
  <c r="EK12" i="262"/>
  <c r="EK11" i="262"/>
  <c r="EK10" i="262"/>
  <c r="EK9" i="262"/>
  <c r="EK8" i="262"/>
  <c r="EK7" i="262"/>
  <c r="AJ21" i="235"/>
  <c r="AJ5" i="235"/>
  <c r="AJ13" i="235"/>
  <c r="G65" i="231"/>
  <c r="G66" i="231"/>
  <c r="G67" i="231"/>
  <c r="G68" i="231"/>
  <c r="G69" i="231"/>
  <c r="G70" i="231"/>
  <c r="D9" i="227"/>
  <c r="B314" i="238"/>
  <c r="B270" i="238"/>
  <c r="E270" i="238"/>
  <c r="G252" i="238"/>
  <c r="H252" i="238"/>
  <c r="C314" i="238"/>
  <c r="C270" i="238"/>
  <c r="E55" i="231"/>
  <c r="G54" i="231"/>
  <c r="B60" i="231"/>
  <c r="F60" i="231"/>
  <c r="G60" i="231"/>
  <c r="B71" i="231"/>
  <c r="D60" i="231"/>
  <c r="C60" i="231"/>
  <c r="G59" i="231"/>
  <c r="E59" i="231"/>
  <c r="G58" i="231"/>
  <c r="E58" i="231"/>
  <c r="G57" i="231"/>
  <c r="E57" i="231"/>
  <c r="G56" i="231"/>
  <c r="E56" i="231"/>
  <c r="G55" i="231"/>
  <c r="E66" i="231"/>
  <c r="E67" i="231"/>
  <c r="E68" i="231"/>
  <c r="E69" i="231"/>
  <c r="E70" i="231"/>
  <c r="E65" i="231"/>
  <c r="D71" i="231"/>
  <c r="C71" i="231"/>
  <c r="F71" i="231"/>
  <c r="V51" i="271"/>
  <c r="U51" i="271"/>
  <c r="T51" i="271"/>
  <c r="V50" i="271"/>
  <c r="U50" i="271"/>
  <c r="T50" i="271"/>
  <c r="V49" i="271"/>
  <c r="U49" i="271"/>
  <c r="T49" i="271"/>
  <c r="V44" i="271"/>
  <c r="U44" i="271"/>
  <c r="T44" i="271"/>
  <c r="V33" i="271"/>
  <c r="U33" i="271"/>
  <c r="T33" i="271"/>
  <c r="V25" i="271"/>
  <c r="U25" i="271"/>
  <c r="T25" i="271"/>
  <c r="V17" i="271"/>
  <c r="U17" i="271"/>
  <c r="T17" i="271"/>
  <c r="V8" i="271"/>
  <c r="U8" i="271"/>
  <c r="T8" i="271"/>
  <c r="E50" i="237"/>
  <c r="F50" i="237"/>
  <c r="E49" i="237"/>
  <c r="F49" i="237"/>
  <c r="E48" i="237"/>
  <c r="E47" i="237"/>
  <c r="E46" i="237"/>
  <c r="D52" i="237"/>
  <c r="C52" i="237"/>
  <c r="F51" i="237"/>
  <c r="J105" i="232"/>
  <c r="I105" i="232"/>
  <c r="F105" i="232"/>
  <c r="E105" i="232"/>
  <c r="D105" i="232"/>
  <c r="K103" i="232"/>
  <c r="M103" i="232"/>
  <c r="G103" i="232"/>
  <c r="K101" i="232"/>
  <c r="G101" i="232"/>
  <c r="K99" i="232"/>
  <c r="M99" i="232"/>
  <c r="G99" i="232"/>
  <c r="K97" i="232"/>
  <c r="G97" i="232"/>
  <c r="K95" i="232"/>
  <c r="G95" i="232"/>
  <c r="G93" i="232"/>
  <c r="G105" i="232"/>
  <c r="K93" i="232"/>
  <c r="AI31" i="235"/>
  <c r="AH31" i="235"/>
  <c r="AI30" i="235"/>
  <c r="AH30" i="235"/>
  <c r="AI29" i="235"/>
  <c r="AH29" i="235"/>
  <c r="AJ27" i="235"/>
  <c r="AJ23" i="235"/>
  <c r="AJ22" i="235"/>
  <c r="AJ19" i="235"/>
  <c r="AJ18" i="235"/>
  <c r="AJ17" i="235"/>
  <c r="AJ15" i="235"/>
  <c r="AJ14" i="235"/>
  <c r="AJ11" i="235"/>
  <c r="AJ10" i="235"/>
  <c r="AJ9" i="235"/>
  <c r="AJ7" i="235"/>
  <c r="AJ6" i="235"/>
  <c r="AP6" i="223"/>
  <c r="AQ6" i="223"/>
  <c r="AY79" i="216"/>
  <c r="AY77" i="216"/>
  <c r="AY75" i="216"/>
  <c r="AY74" i="216"/>
  <c r="AY73" i="216"/>
  <c r="AY72" i="216"/>
  <c r="AY70" i="216"/>
  <c r="AY69" i="216"/>
  <c r="AY68" i="216"/>
  <c r="AY67" i="216"/>
  <c r="AY64" i="216"/>
  <c r="AY62" i="216"/>
  <c r="AY59" i="216"/>
  <c r="AY58" i="216"/>
  <c r="AY55" i="216"/>
  <c r="AY51" i="216"/>
  <c r="AY49" i="216"/>
  <c r="AY46" i="216"/>
  <c r="AY45" i="216"/>
  <c r="AY44" i="216"/>
  <c r="AY43" i="216"/>
  <c r="AY42" i="216"/>
  <c r="AY40" i="216"/>
  <c r="AY39" i="216"/>
  <c r="AY38" i="216"/>
  <c r="AY37" i="216"/>
  <c r="AY33" i="216"/>
  <c r="AY32" i="216"/>
  <c r="AY31" i="216"/>
  <c r="AY29" i="216"/>
  <c r="AY28" i="216"/>
  <c r="AY27" i="216"/>
  <c r="AY25" i="216"/>
  <c r="AY24" i="216"/>
  <c r="AY23" i="216"/>
  <c r="AY20" i="216"/>
  <c r="AX20" i="216"/>
  <c r="AY17" i="216"/>
  <c r="AX17" i="216"/>
  <c r="AY19" i="216"/>
  <c r="AX19" i="216"/>
  <c r="AY18" i="216"/>
  <c r="AX18" i="216"/>
  <c r="AY15" i="216"/>
  <c r="AX15" i="216"/>
  <c r="AY14" i="216"/>
  <c r="AX14" i="216"/>
  <c r="AY13" i="216"/>
  <c r="AX13" i="216"/>
  <c r="AX16" i="216"/>
  <c r="AY12" i="216"/>
  <c r="AX12" i="216"/>
  <c r="AY11" i="216"/>
  <c r="AX11" i="216"/>
  <c r="AY9" i="216"/>
  <c r="AX9" i="216"/>
  <c r="AY8" i="216"/>
  <c r="AX8" i="216"/>
  <c r="AX10" i="216"/>
  <c r="AX22" i="216"/>
  <c r="AY7" i="216"/>
  <c r="AX7" i="216"/>
  <c r="AY6" i="216"/>
  <c r="AX6" i="216"/>
  <c r="AX5" i="216"/>
  <c r="AY5" i="216"/>
  <c r="AC80" i="221"/>
  <c r="AC79" i="221"/>
  <c r="AC78" i="221"/>
  <c r="AC77" i="221"/>
  <c r="AC76" i="221"/>
  <c r="AC75" i="221"/>
  <c r="AC74" i="221"/>
  <c r="AC73" i="221"/>
  <c r="AC72" i="221"/>
  <c r="AC71" i="221"/>
  <c r="AC70" i="221"/>
  <c r="AC69" i="221"/>
  <c r="AC68" i="221"/>
  <c r="AC67" i="221"/>
  <c r="AC66" i="221"/>
  <c r="AC65" i="221"/>
  <c r="AC64" i="221"/>
  <c r="AC63" i="221"/>
  <c r="AC60" i="221"/>
  <c r="AC58" i="221"/>
  <c r="AC57" i="221"/>
  <c r="AC56" i="221"/>
  <c r="AC55" i="221"/>
  <c r="AC54" i="221"/>
  <c r="AC52" i="221"/>
  <c r="AC51" i="221"/>
  <c r="AC50" i="221"/>
  <c r="AC49" i="221"/>
  <c r="AC48" i="221"/>
  <c r="AC47" i="221"/>
  <c r="AC46" i="221"/>
  <c r="AC45" i="221"/>
  <c r="AC44" i="221"/>
  <c r="AC43" i="221"/>
  <c r="AC42" i="221"/>
  <c r="AC41" i="221"/>
  <c r="AC40" i="221"/>
  <c r="AC39" i="221"/>
  <c r="AC38" i="221"/>
  <c r="AC37" i="221"/>
  <c r="AC36" i="221"/>
  <c r="AC35" i="221"/>
  <c r="AC34" i="221"/>
  <c r="AC33" i="221"/>
  <c r="AC32" i="221"/>
  <c r="AC31" i="221"/>
  <c r="AC30" i="221"/>
  <c r="AC29" i="221"/>
  <c r="AC28" i="221"/>
  <c r="AC27" i="221"/>
  <c r="AC26" i="221"/>
  <c r="AC25" i="221"/>
  <c r="AC24" i="221"/>
  <c r="AC23" i="221"/>
  <c r="AC22" i="221"/>
  <c r="AC21" i="221"/>
  <c r="AC20" i="221"/>
  <c r="AC19" i="221"/>
  <c r="AC18" i="221"/>
  <c r="AC17" i="221"/>
  <c r="AC16" i="221"/>
  <c r="AC15" i="221"/>
  <c r="AC14" i="221"/>
  <c r="AC13" i="221"/>
  <c r="AC12" i="221"/>
  <c r="AC11" i="221"/>
  <c r="AC10" i="221"/>
  <c r="AC9" i="221"/>
  <c r="AC8" i="221"/>
  <c r="AC7" i="221"/>
  <c r="AC6" i="221"/>
  <c r="AC5" i="221"/>
  <c r="AC4" i="221"/>
  <c r="AB80" i="220"/>
  <c r="AC80" i="220"/>
  <c r="AB75" i="220"/>
  <c r="AB70" i="220"/>
  <c r="AC70" i="220"/>
  <c r="AB64" i="220"/>
  <c r="AC64" i="220"/>
  <c r="AB60" i="220"/>
  <c r="AB56" i="220"/>
  <c r="AC56" i="220"/>
  <c r="AB51" i="220"/>
  <c r="AC51" i="220"/>
  <c r="AB46" i="220"/>
  <c r="AB40" i="220"/>
  <c r="AC40" i="220"/>
  <c r="AB33" i="220"/>
  <c r="AC33" i="220"/>
  <c r="AB29" i="220"/>
  <c r="AC29" i="220"/>
  <c r="AB25" i="220"/>
  <c r="AC25" i="220"/>
  <c r="AB20" i="220"/>
  <c r="AC20" i="220"/>
  <c r="AB15" i="220"/>
  <c r="AC15" i="220"/>
  <c r="AB9" i="220"/>
  <c r="AC79" i="220"/>
  <c r="AC78" i="220"/>
  <c r="AC77" i="220"/>
  <c r="AC76" i="220"/>
  <c r="AC74" i="220"/>
  <c r="AC73" i="220"/>
  <c r="AC72" i="220"/>
  <c r="AC71" i="220"/>
  <c r="AC69" i="220"/>
  <c r="AC68" i="220"/>
  <c r="AC67" i="220"/>
  <c r="AC66" i="220"/>
  <c r="AC63" i="220"/>
  <c r="AC58" i="220"/>
  <c r="AC57" i="220"/>
  <c r="AC55" i="220"/>
  <c r="AC54" i="220"/>
  <c r="AC50" i="220"/>
  <c r="AC49" i="220"/>
  <c r="AC48" i="220"/>
  <c r="AC47" i="220"/>
  <c r="AC45" i="220"/>
  <c r="AC44" i="220"/>
  <c r="AC43" i="220"/>
  <c r="AC42" i="220"/>
  <c r="AC41" i="220"/>
  <c r="AC39" i="220"/>
  <c r="AC38" i="220"/>
  <c r="AC37" i="220"/>
  <c r="AC36" i="220"/>
  <c r="AC35" i="220"/>
  <c r="AC32" i="220"/>
  <c r="AC31" i="220"/>
  <c r="AC30" i="220"/>
  <c r="AC28" i="220"/>
  <c r="AC27" i="220"/>
  <c r="AC26" i="220"/>
  <c r="AC24" i="220"/>
  <c r="AC23" i="220"/>
  <c r="AC22" i="220"/>
  <c r="AC19" i="220"/>
  <c r="AC18" i="220"/>
  <c r="AC17" i="220"/>
  <c r="AC16" i="220"/>
  <c r="AC14" i="220"/>
  <c r="AC13" i="220"/>
  <c r="AC12" i="220"/>
  <c r="AC11" i="220"/>
  <c r="AC10" i="220"/>
  <c r="AC8" i="220"/>
  <c r="AC7" i="220"/>
  <c r="AC6" i="220"/>
  <c r="AC5" i="220"/>
  <c r="AC4" i="220"/>
  <c r="AB80" i="261"/>
  <c r="AC80" i="261"/>
  <c r="AB75" i="261"/>
  <c r="AC75" i="261"/>
  <c r="AB70" i="261"/>
  <c r="AC70" i="261"/>
  <c r="AB64" i="261"/>
  <c r="AC64" i="261"/>
  <c r="AB60" i="261"/>
  <c r="AC60" i="261"/>
  <c r="AB56" i="261"/>
  <c r="AC56" i="261"/>
  <c r="AB51" i="261"/>
  <c r="AC51" i="261"/>
  <c r="AB46" i="261"/>
  <c r="AC46" i="261"/>
  <c r="AB40" i="261"/>
  <c r="AB33" i="261"/>
  <c r="AB29" i="261"/>
  <c r="AB25" i="261"/>
  <c r="AC25" i="261"/>
  <c r="AB15" i="261"/>
  <c r="AC15" i="261"/>
  <c r="AB9" i="261"/>
  <c r="AC9" i="261"/>
  <c r="AC79" i="261"/>
  <c r="AC78" i="261"/>
  <c r="AC77" i="261"/>
  <c r="AC76" i="261"/>
  <c r="AC74" i="261"/>
  <c r="AC73" i="261"/>
  <c r="AC72" i="261"/>
  <c r="AC71" i="261"/>
  <c r="AC69" i="261"/>
  <c r="AC68" i="261"/>
  <c r="AC67" i="261"/>
  <c r="AC66" i="261"/>
  <c r="AC63" i="261"/>
  <c r="AC58" i="261"/>
  <c r="AC57" i="261"/>
  <c r="AC55" i="261"/>
  <c r="AC54" i="261"/>
  <c r="AC50" i="261"/>
  <c r="AC49" i="261"/>
  <c r="AC48" i="261"/>
  <c r="AC47" i="261"/>
  <c r="AC45" i="261"/>
  <c r="AC44" i="261"/>
  <c r="AC43" i="261"/>
  <c r="AC42" i="261"/>
  <c r="AC41" i="261"/>
  <c r="AC39" i="261"/>
  <c r="AC38" i="261"/>
  <c r="AC37" i="261"/>
  <c r="AC36" i="261"/>
  <c r="AC35" i="261"/>
  <c r="AC32" i="261"/>
  <c r="AC31" i="261"/>
  <c r="AC30" i="261"/>
  <c r="AC28" i="261"/>
  <c r="AC27" i="261"/>
  <c r="AC26" i="261"/>
  <c r="AC24" i="261"/>
  <c r="AC23" i="261"/>
  <c r="AC22" i="261"/>
  <c r="AC19" i="261"/>
  <c r="AC18" i="261"/>
  <c r="AC17" i="261"/>
  <c r="AC16" i="261"/>
  <c r="AC14" i="261"/>
  <c r="AC13" i="261"/>
  <c r="AC12" i="261"/>
  <c r="AC11" i="261"/>
  <c r="AC10" i="261"/>
  <c r="AC8" i="261"/>
  <c r="AC7" i="261"/>
  <c r="AC6" i="261"/>
  <c r="AC5" i="261"/>
  <c r="AC4" i="261"/>
  <c r="AB80" i="214"/>
  <c r="AB75" i="214"/>
  <c r="AB70" i="214"/>
  <c r="AB64" i="214"/>
  <c r="AB60" i="214"/>
  <c r="AB56" i="214"/>
  <c r="AB51" i="214"/>
  <c r="AB46" i="214"/>
  <c r="AB40" i="214"/>
  <c r="AB33" i="214"/>
  <c r="AB29" i="214"/>
  <c r="AB25" i="214"/>
  <c r="AB15" i="214"/>
  <c r="AB9" i="214"/>
  <c r="AA80" i="214"/>
  <c r="AC79" i="214"/>
  <c r="AC78" i="214"/>
  <c r="AC77" i="214"/>
  <c r="AC76" i="214"/>
  <c r="AA75" i="214"/>
  <c r="AC74" i="214"/>
  <c r="AC73" i="214"/>
  <c r="AC72" i="214"/>
  <c r="AC71" i="214"/>
  <c r="AA70" i="214"/>
  <c r="AC69" i="214"/>
  <c r="AC68" i="214"/>
  <c r="AC67" i="214"/>
  <c r="AC66" i="214"/>
  <c r="AA64" i="214"/>
  <c r="AC63" i="214"/>
  <c r="AC62" i="214"/>
  <c r="AC61" i="214"/>
  <c r="AA60" i="214"/>
  <c r="AC59" i="214"/>
  <c r="AC58" i="214"/>
  <c r="AC57" i="214"/>
  <c r="AA56" i="214"/>
  <c r="AC55" i="214"/>
  <c r="AC54" i="214"/>
  <c r="AC53" i="214"/>
  <c r="AA51" i="214"/>
  <c r="AC50" i="214"/>
  <c r="AC49" i="214"/>
  <c r="AC48" i="214"/>
  <c r="AC47" i="214"/>
  <c r="AA46" i="214"/>
  <c r="AC45" i="214"/>
  <c r="AC44" i="214"/>
  <c r="AC43" i="214"/>
  <c r="AC42" i="214"/>
  <c r="AC41" i="214"/>
  <c r="AA40" i="214"/>
  <c r="AC39" i="214"/>
  <c r="AC38" i="214"/>
  <c r="AC37" i="214"/>
  <c r="AC36" i="214"/>
  <c r="AC35" i="214"/>
  <c r="AA33" i="214"/>
  <c r="AC32" i="214"/>
  <c r="AC31" i="214"/>
  <c r="AC30" i="214"/>
  <c r="AA29" i="214"/>
  <c r="AC28" i="214"/>
  <c r="AC27" i="214"/>
  <c r="AC26" i="214"/>
  <c r="AA25" i="214"/>
  <c r="AC25" i="214"/>
  <c r="AC24" i="214"/>
  <c r="AC23" i="214"/>
  <c r="AC22" i="214"/>
  <c r="AA20" i="214"/>
  <c r="AC19" i="214"/>
  <c r="AC16" i="214"/>
  <c r="AC18" i="214"/>
  <c r="AC17" i="214"/>
  <c r="AA15" i="214"/>
  <c r="AC15" i="214"/>
  <c r="AC14" i="214"/>
  <c r="AC13" i="214"/>
  <c r="AC12" i="214"/>
  <c r="AC11" i="214"/>
  <c r="AC10" i="214"/>
  <c r="AA9" i="214"/>
  <c r="AC8" i="214"/>
  <c r="AC7" i="214"/>
  <c r="AC6" i="214"/>
  <c r="AC5" i="214"/>
  <c r="AC4" i="214"/>
  <c r="AC29" i="261"/>
  <c r="AC83" i="221"/>
  <c r="AC81" i="221"/>
  <c r="AO36" i="223"/>
  <c r="AN36" i="223"/>
  <c r="AM36" i="223"/>
  <c r="AO35" i="223"/>
  <c r="AN35" i="223"/>
  <c r="AM35" i="223"/>
  <c r="AO34" i="223"/>
  <c r="AO31" i="223"/>
  <c r="AO32" i="223"/>
  <c r="AO33" i="223"/>
  <c r="AO37" i="223"/>
  <c r="AN34" i="223"/>
  <c r="AM34" i="223"/>
  <c r="AN33" i="223"/>
  <c r="AM33" i="223"/>
  <c r="AN32" i="223"/>
  <c r="AM32" i="223"/>
  <c r="AN31" i="223"/>
  <c r="AM31" i="223"/>
  <c r="AO29" i="223"/>
  <c r="AN29" i="223"/>
  <c r="AM29" i="223"/>
  <c r="AP28" i="223"/>
  <c r="AQ28" i="223"/>
  <c r="AP27" i="223"/>
  <c r="AQ27" i="223"/>
  <c r="AP26" i="223"/>
  <c r="AO24" i="223"/>
  <c r="AN24" i="223"/>
  <c r="AM24" i="223"/>
  <c r="AP23" i="223"/>
  <c r="AP22" i="223"/>
  <c r="AQ22" i="223"/>
  <c r="AP21" i="223"/>
  <c r="AQ21" i="223"/>
  <c r="AO19" i="223"/>
  <c r="AN19" i="223"/>
  <c r="AM19" i="223"/>
  <c r="AP18" i="223"/>
  <c r="AQ18" i="223"/>
  <c r="AP17" i="223"/>
  <c r="AQ17" i="223"/>
  <c r="AP16" i="223"/>
  <c r="AO14" i="223"/>
  <c r="AN14" i="223"/>
  <c r="AM14" i="223"/>
  <c r="AP13" i="223"/>
  <c r="AQ13" i="223"/>
  <c r="AP12" i="223"/>
  <c r="AQ12" i="223"/>
  <c r="AP11" i="223"/>
  <c r="AQ11" i="223"/>
  <c r="AO9" i="223"/>
  <c r="AN9" i="223"/>
  <c r="AM9" i="223"/>
  <c r="AP8" i="223"/>
  <c r="AQ8" i="223"/>
  <c r="AP7" i="223"/>
  <c r="AQ7" i="223"/>
  <c r="AH31" i="223"/>
  <c r="AI31" i="223"/>
  <c r="AH32" i="223"/>
  <c r="AI32" i="223"/>
  <c r="AH33" i="223"/>
  <c r="AH34" i="223"/>
  <c r="AH35" i="223"/>
  <c r="AH36" i="223"/>
  <c r="AI33" i="223"/>
  <c r="AG33" i="223"/>
  <c r="AG32" i="223"/>
  <c r="AG31" i="223"/>
  <c r="AI24" i="223"/>
  <c r="AH24" i="223"/>
  <c r="AG24" i="223"/>
  <c r="AJ23" i="223"/>
  <c r="AJ21" i="223"/>
  <c r="AJ22" i="223"/>
  <c r="T82" i="222"/>
  <c r="U82" i="222"/>
  <c r="S82" i="222"/>
  <c r="T77" i="222"/>
  <c r="S77" i="222"/>
  <c r="T72" i="222"/>
  <c r="S72" i="222"/>
  <c r="T53" i="222"/>
  <c r="S53" i="222"/>
  <c r="T48" i="222"/>
  <c r="T42" i="222"/>
  <c r="T54" i="222"/>
  <c r="S48" i="222"/>
  <c r="S42" i="222"/>
  <c r="T35" i="222"/>
  <c r="S35" i="222"/>
  <c r="T31" i="222"/>
  <c r="S31" i="222"/>
  <c r="S27" i="222"/>
  <c r="T27" i="222"/>
  <c r="T22" i="222"/>
  <c r="S22" i="222"/>
  <c r="T16" i="222"/>
  <c r="S16" i="222"/>
  <c r="T10" i="222"/>
  <c r="S10" i="222"/>
  <c r="AI41" i="234"/>
  <c r="AK41" i="234"/>
  <c r="AJ39" i="234"/>
  <c r="AH39" i="234"/>
  <c r="AG39" i="234"/>
  <c r="AI38" i="234"/>
  <c r="AK38" i="234"/>
  <c r="AI37" i="234"/>
  <c r="AK37" i="234"/>
  <c r="AI36" i="234"/>
  <c r="AI39" i="234"/>
  <c r="AK39" i="234"/>
  <c r="AI35" i="234"/>
  <c r="AK35" i="234"/>
  <c r="AI34" i="234"/>
  <c r="AK34" i="234"/>
  <c r="AJ32" i="234"/>
  <c r="AH32" i="234"/>
  <c r="AG32" i="234"/>
  <c r="AG43" i="234"/>
  <c r="AI31" i="234"/>
  <c r="AI30" i="234"/>
  <c r="AK30" i="234"/>
  <c r="AI29" i="234"/>
  <c r="AI27" i="234"/>
  <c r="AI28" i="234"/>
  <c r="AI32" i="234"/>
  <c r="AK32" i="234"/>
  <c r="AJ25" i="234"/>
  <c r="AH25" i="234"/>
  <c r="AG25" i="234"/>
  <c r="AI24" i="234"/>
  <c r="AK24" i="234"/>
  <c r="AI23" i="234"/>
  <c r="AK23" i="234"/>
  <c r="AI22" i="234"/>
  <c r="AI25" i="234"/>
  <c r="AI21" i="234"/>
  <c r="AK21" i="234"/>
  <c r="AI20" i="234"/>
  <c r="AK20" i="234"/>
  <c r="AJ18" i="234"/>
  <c r="AH18" i="234"/>
  <c r="AH11" i="234"/>
  <c r="AH43" i="234"/>
  <c r="AG18" i="234"/>
  <c r="AI17" i="234"/>
  <c r="AK17" i="234"/>
  <c r="AI16" i="234"/>
  <c r="AK16" i="234"/>
  <c r="AI15" i="234"/>
  <c r="AK15" i="234"/>
  <c r="AI14" i="234"/>
  <c r="AI13" i="234"/>
  <c r="AJ11" i="234"/>
  <c r="AG11" i="234"/>
  <c r="AI10" i="234"/>
  <c r="AK10" i="234"/>
  <c r="AI9" i="234"/>
  <c r="AK9" i="234"/>
  <c r="AI8" i="234"/>
  <c r="AK8" i="234"/>
  <c r="AI7" i="234"/>
  <c r="AK7" i="234"/>
  <c r="AI6" i="234"/>
  <c r="AK6" i="234"/>
  <c r="Z41" i="233"/>
  <c r="Y39" i="233"/>
  <c r="X39" i="233"/>
  <c r="Z38" i="233"/>
  <c r="Z37" i="233"/>
  <c r="Z36" i="233"/>
  <c r="Z35" i="233"/>
  <c r="Z34" i="233"/>
  <c r="Y32" i="233"/>
  <c r="Y11" i="233"/>
  <c r="Y18" i="233"/>
  <c r="Y25" i="233"/>
  <c r="X32" i="233"/>
  <c r="Z31" i="233"/>
  <c r="Z30" i="233"/>
  <c r="Z29" i="233"/>
  <c r="Z28" i="233"/>
  <c r="Z27" i="233"/>
  <c r="X25" i="233"/>
  <c r="Z25" i="233"/>
  <c r="Z24" i="233"/>
  <c r="Z23" i="233"/>
  <c r="Z22" i="233"/>
  <c r="Z21" i="233"/>
  <c r="Z20" i="233"/>
  <c r="X18" i="233"/>
  <c r="Z17" i="233"/>
  <c r="Z16" i="233"/>
  <c r="Z15" i="233"/>
  <c r="Z14" i="233"/>
  <c r="Z13" i="233"/>
  <c r="X11" i="233"/>
  <c r="Z10" i="233"/>
  <c r="Z9" i="233"/>
  <c r="Z8" i="233"/>
  <c r="Z7" i="233"/>
  <c r="Z6" i="233"/>
  <c r="X31" i="243"/>
  <c r="Y16" i="243"/>
  <c r="Z27" i="243"/>
  <c r="Z26" i="243"/>
  <c r="Z25" i="243"/>
  <c r="Z24" i="243"/>
  <c r="Z23" i="243"/>
  <c r="Z22" i="243"/>
  <c r="Z21" i="243"/>
  <c r="Z20" i="243"/>
  <c r="Z19" i="243"/>
  <c r="Z18" i="243"/>
  <c r="Z17" i="243"/>
  <c r="Z16" i="243"/>
  <c r="Z15" i="243"/>
  <c r="Z14" i="243"/>
  <c r="Z13" i="243"/>
  <c r="Z12" i="243"/>
  <c r="Z11" i="243"/>
  <c r="Z10" i="243"/>
  <c r="Z8" i="243"/>
  <c r="Z7" i="243"/>
  <c r="Z6" i="243"/>
  <c r="S18" i="242"/>
  <c r="T9" i="242"/>
  <c r="U17" i="242"/>
  <c r="U14" i="242"/>
  <c r="U13" i="242"/>
  <c r="U11" i="242"/>
  <c r="U10" i="242"/>
  <c r="U9" i="242"/>
  <c r="U8" i="242"/>
  <c r="U7" i="242"/>
  <c r="D62" i="237"/>
  <c r="C62" i="237"/>
  <c r="E61" i="237"/>
  <c r="F61" i="237"/>
  <c r="E60" i="237"/>
  <c r="F60" i="237"/>
  <c r="E59" i="237"/>
  <c r="F59" i="237"/>
  <c r="E58" i="237"/>
  <c r="F58" i="237"/>
  <c r="E57" i="237"/>
  <c r="F57" i="237"/>
  <c r="E56" i="237"/>
  <c r="F56" i="237"/>
  <c r="AF31" i="235"/>
  <c r="AE31" i="235"/>
  <c r="AF30" i="235"/>
  <c r="AE30" i="235"/>
  <c r="AF29" i="235"/>
  <c r="AE29" i="235"/>
  <c r="AG27" i="235"/>
  <c r="AG23" i="235"/>
  <c r="AG22" i="235"/>
  <c r="AG21" i="235"/>
  <c r="AG19" i="235"/>
  <c r="AG18" i="235"/>
  <c r="AG17" i="235"/>
  <c r="AG15" i="235"/>
  <c r="AG14" i="235"/>
  <c r="AG13" i="235"/>
  <c r="AG11" i="235"/>
  <c r="AG10" i="235"/>
  <c r="AG9" i="235"/>
  <c r="AG7" i="235"/>
  <c r="AG6" i="235"/>
  <c r="AG5" i="235"/>
  <c r="J126" i="232"/>
  <c r="I126" i="232"/>
  <c r="F126" i="232"/>
  <c r="E126" i="232"/>
  <c r="D126" i="232"/>
  <c r="K124" i="232"/>
  <c r="G124" i="232"/>
  <c r="K122" i="232"/>
  <c r="G122" i="232"/>
  <c r="K120" i="232"/>
  <c r="G120" i="232"/>
  <c r="K118" i="232"/>
  <c r="G118" i="232"/>
  <c r="K116" i="232"/>
  <c r="G116" i="232"/>
  <c r="K114" i="232"/>
  <c r="G114" i="232"/>
  <c r="G8" i="230"/>
  <c r="H27" i="273"/>
  <c r="G27" i="273"/>
  <c r="F27" i="273"/>
  <c r="E27" i="273"/>
  <c r="D27" i="273"/>
  <c r="C27" i="273"/>
  <c r="H22" i="273"/>
  <c r="G22" i="273"/>
  <c r="F22" i="273"/>
  <c r="E22" i="273"/>
  <c r="D22" i="273"/>
  <c r="C22" i="273"/>
  <c r="C30" i="273"/>
  <c r="H18" i="273"/>
  <c r="H30" i="273"/>
  <c r="G18" i="273"/>
  <c r="F18" i="273"/>
  <c r="E18" i="273"/>
  <c r="D18" i="273"/>
  <c r="C18" i="273"/>
  <c r="H13" i="273"/>
  <c r="G13" i="273"/>
  <c r="F13" i="273"/>
  <c r="F30" i="273"/>
  <c r="E13" i="273"/>
  <c r="D13" i="273"/>
  <c r="C13" i="273"/>
  <c r="H8" i="273"/>
  <c r="G8" i="273"/>
  <c r="F8" i="273"/>
  <c r="E8" i="273"/>
  <c r="E30" i="273"/>
  <c r="D8" i="273"/>
  <c r="D30" i="273"/>
  <c r="C8" i="273"/>
  <c r="AI36" i="223"/>
  <c r="AG36" i="223"/>
  <c r="AI35" i="223"/>
  <c r="AG35" i="223"/>
  <c r="AI34" i="223"/>
  <c r="AG34" i="223"/>
  <c r="AI29" i="223"/>
  <c r="AH29" i="223"/>
  <c r="AG29" i="223"/>
  <c r="AJ28" i="223"/>
  <c r="AK28" i="223"/>
  <c r="AJ27" i="223"/>
  <c r="AK27" i="223"/>
  <c r="AJ26" i="223"/>
  <c r="AK26" i="223"/>
  <c r="AI19" i="223"/>
  <c r="AH19" i="223"/>
  <c r="AG19" i="223"/>
  <c r="AJ18" i="223"/>
  <c r="AK18" i="223"/>
  <c r="AJ17" i="223"/>
  <c r="AJ19" i="223"/>
  <c r="AJ16" i="223"/>
  <c r="AI14" i="223"/>
  <c r="AH14" i="223"/>
  <c r="AG14" i="223"/>
  <c r="AJ13" i="223"/>
  <c r="AK13" i="223"/>
  <c r="AJ12" i="223"/>
  <c r="AK12" i="223"/>
  <c r="AJ11" i="223"/>
  <c r="AI9" i="223"/>
  <c r="AH9" i="223"/>
  <c r="AG9" i="223"/>
  <c r="AJ8" i="223"/>
  <c r="AK8" i="223"/>
  <c r="AJ7" i="223"/>
  <c r="AK7" i="223"/>
  <c r="AJ6" i="223"/>
  <c r="AK6" i="223"/>
  <c r="AG43" i="272"/>
  <c r="AF43" i="272"/>
  <c r="AH41" i="272"/>
  <c r="AD41" i="272"/>
  <c r="Z41" i="272"/>
  <c r="AH39" i="272"/>
  <c r="AC39" i="272"/>
  <c r="AB39" i="272"/>
  <c r="Y39" i="272"/>
  <c r="AH38" i="272"/>
  <c r="AD38" i="272"/>
  <c r="Z38" i="272"/>
  <c r="AH37" i="272"/>
  <c r="AD37" i="272"/>
  <c r="Z37" i="272"/>
  <c r="AT41" i="272"/>
  <c r="AP41" i="272"/>
  <c r="AL41" i="272"/>
  <c r="AH36" i="272"/>
  <c r="AD36" i="272"/>
  <c r="Z36" i="272"/>
  <c r="AH35" i="272"/>
  <c r="AD35" i="272"/>
  <c r="Z35" i="272"/>
  <c r="AT39" i="272"/>
  <c r="AO39" i="272"/>
  <c r="AP39" i="272"/>
  <c r="AL39" i="272"/>
  <c r="AH34" i="272"/>
  <c r="AD34" i="272"/>
  <c r="Z34" i="272"/>
  <c r="AR32" i="272"/>
  <c r="AO32" i="272"/>
  <c r="AN32" i="272"/>
  <c r="AK32" i="272"/>
  <c r="AJ32" i="272"/>
  <c r="AH32" i="272"/>
  <c r="AC32" i="272"/>
  <c r="AB32" i="272"/>
  <c r="Y32" i="272"/>
  <c r="AT31" i="272"/>
  <c r="AP31" i="272"/>
  <c r="AL31" i="272"/>
  <c r="AH31" i="272"/>
  <c r="AD31" i="272"/>
  <c r="Z31" i="272"/>
  <c r="AS30" i="272"/>
  <c r="AT30" i="272"/>
  <c r="AP30" i="272"/>
  <c r="AL30" i="272"/>
  <c r="AH30" i="272"/>
  <c r="AD30" i="272"/>
  <c r="Z30" i="272"/>
  <c r="AT29" i="272"/>
  <c r="AP29" i="272"/>
  <c r="AL29" i="272"/>
  <c r="AH29" i="272"/>
  <c r="AD29" i="272"/>
  <c r="Z29" i="272"/>
  <c r="AT28" i="272"/>
  <c r="AP28" i="272"/>
  <c r="AL28" i="272"/>
  <c r="AH28" i="272"/>
  <c r="AD28" i="272"/>
  <c r="Z28" i="272"/>
  <c r="AT27" i="272"/>
  <c r="AP27" i="272"/>
  <c r="AL27" i="272"/>
  <c r="AH27" i="272"/>
  <c r="AD27" i="272"/>
  <c r="X32" i="272"/>
  <c r="AR25" i="272"/>
  <c r="AO25" i="272"/>
  <c r="AN25" i="272"/>
  <c r="AK25" i="272"/>
  <c r="AJ25" i="272"/>
  <c r="AH25" i="272"/>
  <c r="AC25" i="272"/>
  <c r="AB25" i="272"/>
  <c r="Y25" i="272"/>
  <c r="AT24" i="272"/>
  <c r="AP24" i="272"/>
  <c r="AL24" i="272"/>
  <c r="AH24" i="272"/>
  <c r="AD24" i="272"/>
  <c r="Z24" i="272"/>
  <c r="AS23" i="272"/>
  <c r="AS25" i="272"/>
  <c r="AP23" i="272"/>
  <c r="AL23" i="272"/>
  <c r="AH23" i="272"/>
  <c r="AD23" i="272"/>
  <c r="Z23" i="272"/>
  <c r="AT22" i="272"/>
  <c r="AP22" i="272"/>
  <c r="AL22" i="272"/>
  <c r="AH22" i="272"/>
  <c r="AD22" i="272"/>
  <c r="Z22" i="272"/>
  <c r="AT21" i="272"/>
  <c r="AP21" i="272"/>
  <c r="AL21" i="272"/>
  <c r="AH21" i="272"/>
  <c r="AD21" i="272"/>
  <c r="Z21" i="272"/>
  <c r="AT20" i="272"/>
  <c r="AP20" i="272"/>
  <c r="AL20" i="272"/>
  <c r="AH20" i="272"/>
  <c r="AD20" i="272"/>
  <c r="Z20" i="272"/>
  <c r="AR18" i="272"/>
  <c r="AO18" i="272"/>
  <c r="AN18" i="272"/>
  <c r="AK18" i="272"/>
  <c r="AJ18" i="272"/>
  <c r="AH18" i="272"/>
  <c r="AC18" i="272"/>
  <c r="AB18" i="272"/>
  <c r="Y18" i="272"/>
  <c r="AT17" i="272"/>
  <c r="AP17" i="272"/>
  <c r="AL17" i="272"/>
  <c r="AH17" i="272"/>
  <c r="AD17" i="272"/>
  <c r="Z17" i="272"/>
  <c r="AS16" i="272"/>
  <c r="AT16" i="272"/>
  <c r="AP16" i="272"/>
  <c r="AL16" i="272"/>
  <c r="AH16" i="272"/>
  <c r="AD16" i="272"/>
  <c r="Z16" i="272"/>
  <c r="AT15" i="272"/>
  <c r="AP15" i="272"/>
  <c r="AL15" i="272"/>
  <c r="AH15" i="272"/>
  <c r="AD15" i="272"/>
  <c r="Z15" i="272"/>
  <c r="AT14" i="272"/>
  <c r="AP14" i="272"/>
  <c r="AL14" i="272"/>
  <c r="AH14" i="272"/>
  <c r="AD14" i="272"/>
  <c r="Z14" i="272"/>
  <c r="AT13" i="272"/>
  <c r="AP13" i="272"/>
  <c r="AL13" i="272"/>
  <c r="AH13" i="272"/>
  <c r="AD13" i="272"/>
  <c r="AR11" i="272"/>
  <c r="AN11" i="272"/>
  <c r="AK11" i="272"/>
  <c r="AJ11" i="272"/>
  <c r="AH11" i="272"/>
  <c r="AC11" i="272"/>
  <c r="AB11" i="272"/>
  <c r="Y11" i="272"/>
  <c r="X11" i="272"/>
  <c r="AT10" i="272"/>
  <c r="AP10" i="272"/>
  <c r="AL10" i="272"/>
  <c r="AH10" i="272"/>
  <c r="AD10" i="272"/>
  <c r="Z10" i="272"/>
  <c r="AS9" i="272"/>
  <c r="AS11" i="272"/>
  <c r="AO9" i="272"/>
  <c r="AP9" i="272"/>
  <c r="AL9" i="272"/>
  <c r="AH9" i="272"/>
  <c r="AD9" i="272"/>
  <c r="Z9" i="272"/>
  <c r="AT8" i="272"/>
  <c r="AP8" i="272"/>
  <c r="AL8" i="272"/>
  <c r="AH8" i="272"/>
  <c r="AD8" i="272"/>
  <c r="Z8" i="272"/>
  <c r="AT7" i="272"/>
  <c r="AO7" i="272"/>
  <c r="AP7" i="272"/>
  <c r="AL7" i="272"/>
  <c r="AH7" i="272"/>
  <c r="AD7" i="272"/>
  <c r="Z7" i="272"/>
  <c r="AT6" i="272"/>
  <c r="AO6" i="272"/>
  <c r="AP6" i="272"/>
  <c r="AL6" i="272"/>
  <c r="AH6" i="272"/>
  <c r="AD6" i="272"/>
  <c r="K45" i="217"/>
  <c r="K44" i="217"/>
  <c r="AL51" i="271"/>
  <c r="AK51" i="271"/>
  <c r="AJ51" i="271"/>
  <c r="AH51" i="271"/>
  <c r="AG51" i="271"/>
  <c r="AG49" i="271"/>
  <c r="AG50" i="271"/>
  <c r="AG52" i="271"/>
  <c r="AF51" i="271"/>
  <c r="AD51" i="271"/>
  <c r="AD55" i="271"/>
  <c r="AD57" i="271"/>
  <c r="AD50" i="271"/>
  <c r="AC51" i="271"/>
  <c r="AB51" i="271"/>
  <c r="Z51" i="271"/>
  <c r="Y51" i="271"/>
  <c r="X51" i="271"/>
  <c r="AL50" i="271"/>
  <c r="AK50" i="271"/>
  <c r="AJ50" i="271"/>
  <c r="AH50" i="271"/>
  <c r="AF50" i="271"/>
  <c r="AC50" i="271"/>
  <c r="AB50" i="271"/>
  <c r="Z50" i="271"/>
  <c r="Z55" i="271"/>
  <c r="Z57" i="271"/>
  <c r="Y50" i="271"/>
  <c r="X50" i="271"/>
  <c r="AL49" i="271"/>
  <c r="AK49" i="271"/>
  <c r="AJ49" i="271"/>
  <c r="AJ52" i="271"/>
  <c r="AH49" i="271"/>
  <c r="AF49" i="271"/>
  <c r="AD49" i="271"/>
  <c r="AC49" i="271"/>
  <c r="AB49" i="271"/>
  <c r="AB52" i="271"/>
  <c r="Z49" i="271"/>
  <c r="Y49" i="271"/>
  <c r="X49" i="271"/>
  <c r="AP44" i="271"/>
  <c r="AO44" i="271"/>
  <c r="AN44" i="271"/>
  <c r="AL44" i="271"/>
  <c r="AK44" i="271"/>
  <c r="AJ44" i="271"/>
  <c r="AH44" i="271"/>
  <c r="AG44" i="271"/>
  <c r="AF44" i="271"/>
  <c r="AD44" i="271"/>
  <c r="AC44" i="271"/>
  <c r="AB44" i="271"/>
  <c r="Z44" i="271"/>
  <c r="Y44" i="271"/>
  <c r="X44" i="271"/>
  <c r="AH33" i="271"/>
  <c r="AG33" i="271"/>
  <c r="AF33" i="271"/>
  <c r="AD33" i="271"/>
  <c r="AC33" i="271"/>
  <c r="AB33" i="271"/>
  <c r="Z33" i="271"/>
  <c r="Y33" i="271"/>
  <c r="X33" i="271"/>
  <c r="AL25" i="271"/>
  <c r="AK25" i="271"/>
  <c r="AJ25" i="271"/>
  <c r="AH25" i="271"/>
  <c r="AG25" i="271"/>
  <c r="AF25" i="271"/>
  <c r="AD25" i="271"/>
  <c r="AC25" i="271"/>
  <c r="AB25" i="271"/>
  <c r="Z25" i="271"/>
  <c r="Y25" i="271"/>
  <c r="X25" i="271"/>
  <c r="AP17" i="271"/>
  <c r="AO17" i="271"/>
  <c r="AN17" i="271"/>
  <c r="AL17" i="271"/>
  <c r="AK17" i="271"/>
  <c r="AJ17" i="271"/>
  <c r="AH17" i="271"/>
  <c r="AG17" i="271"/>
  <c r="AF17" i="271"/>
  <c r="AD17" i="271"/>
  <c r="AC17" i="271"/>
  <c r="AB17" i="271"/>
  <c r="Z17" i="271"/>
  <c r="Y17" i="271"/>
  <c r="X17" i="271"/>
  <c r="AP8" i="271"/>
  <c r="AO8" i="271"/>
  <c r="AN8" i="271"/>
  <c r="AL8" i="271"/>
  <c r="AK8" i="271"/>
  <c r="AJ8" i="271"/>
  <c r="AH8" i="271"/>
  <c r="AG8" i="271"/>
  <c r="AF8" i="271"/>
  <c r="AD8" i="271"/>
  <c r="AC8" i="271"/>
  <c r="AB8" i="271"/>
  <c r="Z8" i="271"/>
  <c r="Y8" i="271"/>
  <c r="X8" i="271"/>
  <c r="BI142" i="268"/>
  <c r="BI144" i="268"/>
  <c r="BF144" i="268"/>
  <c r="BK142" i="268"/>
  <c r="BK144" i="268"/>
  <c r="BJ142" i="268"/>
  <c r="BJ144" i="268"/>
  <c r="BH142" i="268"/>
  <c r="BH144" i="268"/>
  <c r="BG142" i="268"/>
  <c r="BG144" i="268"/>
  <c r="BH102" i="267"/>
  <c r="BH104" i="267"/>
  <c r="BL102" i="267"/>
  <c r="BL104" i="267"/>
  <c r="BK102" i="267"/>
  <c r="BK104" i="267"/>
  <c r="BJ102" i="267"/>
  <c r="BJ104" i="267"/>
  <c r="BI102" i="267"/>
  <c r="BI104" i="267"/>
  <c r="BG102" i="267"/>
  <c r="BG104" i="267"/>
  <c r="Z6" i="272"/>
  <c r="X18" i="272"/>
  <c r="X25" i="272"/>
  <c r="X39" i="272"/>
  <c r="Z13" i="272"/>
  <c r="Z27" i="272"/>
  <c r="Y79" i="214"/>
  <c r="Y78" i="214"/>
  <c r="Y77" i="214"/>
  <c r="Y76" i="214"/>
  <c r="Y74" i="214"/>
  <c r="Y73" i="214"/>
  <c r="Y72" i="214"/>
  <c r="Y71" i="214"/>
  <c r="Y69" i="214"/>
  <c r="Y68" i="214"/>
  <c r="Y67" i="214"/>
  <c r="Y66" i="214"/>
  <c r="Y63" i="214"/>
  <c r="Y62" i="214"/>
  <c r="Y61" i="214"/>
  <c r="Y59" i="214"/>
  <c r="Y58" i="214"/>
  <c r="Y57" i="214"/>
  <c r="Y55" i="214"/>
  <c r="Y54" i="214"/>
  <c r="Y53" i="214"/>
  <c r="Y50" i="214"/>
  <c r="Y49" i="214"/>
  <c r="Y48" i="214"/>
  <c r="Y47" i="214"/>
  <c r="Y45" i="214"/>
  <c r="Y44" i="214"/>
  <c r="Y43" i="214"/>
  <c r="Y42" i="214"/>
  <c r="Y41" i="214"/>
  <c r="Y39" i="214"/>
  <c r="Y38" i="214"/>
  <c r="Y37" i="214"/>
  <c r="Y36" i="214"/>
  <c r="Y35" i="214"/>
  <c r="Y32" i="214"/>
  <c r="Y31" i="214"/>
  <c r="Y30" i="214"/>
  <c r="Y28" i="214"/>
  <c r="Y27" i="214"/>
  <c r="Y26" i="214"/>
  <c r="Y24" i="214"/>
  <c r="Y23" i="214"/>
  <c r="Y22" i="214"/>
  <c r="Y19" i="214"/>
  <c r="Y16" i="214"/>
  <c r="Y18" i="214"/>
  <c r="Y17" i="214"/>
  <c r="Y14" i="214"/>
  <c r="Y13" i="214"/>
  <c r="Y12" i="214"/>
  <c r="Y11" i="214"/>
  <c r="Y10" i="214"/>
  <c r="Y8" i="214"/>
  <c r="Y7" i="214"/>
  <c r="Y6" i="214"/>
  <c r="Y5" i="214"/>
  <c r="Y4" i="214"/>
  <c r="X80" i="214"/>
  <c r="X81" i="214"/>
  <c r="X80" i="221"/>
  <c r="X81" i="221"/>
  <c r="Y79" i="221"/>
  <c r="Y78" i="221"/>
  <c r="Y77" i="221"/>
  <c r="Y76" i="221"/>
  <c r="Y75" i="221"/>
  <c r="Y74" i="221"/>
  <c r="Y73" i="221"/>
  <c r="Y72" i="221"/>
  <c r="Y71" i="221"/>
  <c r="Y70" i="221"/>
  <c r="Y69" i="221"/>
  <c r="Y68" i="221"/>
  <c r="Y67" i="221"/>
  <c r="Y66" i="221"/>
  <c r="Y64" i="221"/>
  <c r="Y63" i="221"/>
  <c r="Y60" i="221"/>
  <c r="Y58" i="221"/>
  <c r="Y57" i="221"/>
  <c r="Y65" i="221"/>
  <c r="Y55" i="221"/>
  <c r="Y54" i="221"/>
  <c r="Y52" i="221"/>
  <c r="Y51" i="221"/>
  <c r="Y50" i="221"/>
  <c r="Y49" i="221"/>
  <c r="Y48" i="221"/>
  <c r="Y47" i="221"/>
  <c r="Y46" i="221"/>
  <c r="Y45" i="221"/>
  <c r="Y44" i="221"/>
  <c r="Y43" i="221"/>
  <c r="Y42" i="221"/>
  <c r="Y41" i="221"/>
  <c r="Y40" i="221"/>
  <c r="Y39" i="221"/>
  <c r="Y38" i="221"/>
  <c r="Y37" i="221"/>
  <c r="Y36" i="221"/>
  <c r="Y35" i="221"/>
  <c r="Y33" i="221"/>
  <c r="Y32" i="221"/>
  <c r="Y31" i="221"/>
  <c r="Y30" i="221"/>
  <c r="Y29" i="221"/>
  <c r="Y28" i="221"/>
  <c r="Y27" i="221"/>
  <c r="Y26" i="221"/>
  <c r="Y25" i="221"/>
  <c r="Y24" i="221"/>
  <c r="Y23" i="221"/>
  <c r="Y22" i="221"/>
  <c r="Y20" i="221"/>
  <c r="Y19" i="221"/>
  <c r="Y18" i="221"/>
  <c r="Y17" i="221"/>
  <c r="Y16" i="221"/>
  <c r="Y15" i="221"/>
  <c r="Y14" i="221"/>
  <c r="Y13" i="221"/>
  <c r="Y12" i="221"/>
  <c r="Y11" i="221"/>
  <c r="Y10" i="221"/>
  <c r="Y9" i="221"/>
  <c r="Y8" i="221"/>
  <c r="Y7" i="221"/>
  <c r="Y6" i="221"/>
  <c r="Y5" i="221"/>
  <c r="Y4" i="221"/>
  <c r="W75" i="261"/>
  <c r="W70" i="261"/>
  <c r="Y70" i="261"/>
  <c r="W46" i="261"/>
  <c r="Y46" i="261"/>
  <c r="W40" i="261"/>
  <c r="Y40" i="261"/>
  <c r="W33" i="261"/>
  <c r="W34" i="261"/>
  <c r="W29" i="261"/>
  <c r="Y29" i="261"/>
  <c r="W25" i="261"/>
  <c r="Y25" i="261"/>
  <c r="W15" i="261"/>
  <c r="Y15" i="261"/>
  <c r="W9" i="261"/>
  <c r="Y9" i="261"/>
  <c r="W20" i="261"/>
  <c r="Y20" i="261"/>
  <c r="W51" i="261"/>
  <c r="W52" i="261"/>
  <c r="Y52" i="261"/>
  <c r="W56" i="261"/>
  <c r="Y56" i="261"/>
  <c r="W60" i="261"/>
  <c r="Y60" i="261"/>
  <c r="W64" i="261"/>
  <c r="Y64" i="261"/>
  <c r="W20" i="220"/>
  <c r="W15" i="220"/>
  <c r="Y15" i="220"/>
  <c r="W9" i="220"/>
  <c r="Y9" i="220"/>
  <c r="W75" i="220"/>
  <c r="Y75" i="220"/>
  <c r="W70" i="220"/>
  <c r="Y70" i="220"/>
  <c r="W64" i="220"/>
  <c r="Y64" i="220"/>
  <c r="W60" i="220"/>
  <c r="Y60" i="220"/>
  <c r="W56" i="220"/>
  <c r="Y56" i="220"/>
  <c r="W51" i="220"/>
  <c r="W46" i="220"/>
  <c r="Y46" i="220"/>
  <c r="W40" i="220"/>
  <c r="Y40" i="220"/>
  <c r="W33" i="220"/>
  <c r="Y33" i="220"/>
  <c r="W29" i="220"/>
  <c r="Y29" i="220"/>
  <c r="W25" i="220"/>
  <c r="Y25" i="220"/>
  <c r="X80" i="220"/>
  <c r="X81" i="220"/>
  <c r="X83" i="220"/>
  <c r="W80" i="220"/>
  <c r="Y80" i="220"/>
  <c r="Y79" i="220"/>
  <c r="Y78" i="220"/>
  <c r="Y77" i="220"/>
  <c r="Y76" i="220"/>
  <c r="Y74" i="220"/>
  <c r="Y73" i="220"/>
  <c r="Y72" i="220"/>
  <c r="Y71" i="220"/>
  <c r="Y69" i="220"/>
  <c r="Y68" i="220"/>
  <c r="Y67" i="220"/>
  <c r="Y66" i="220"/>
  <c r="Y63" i="220"/>
  <c r="Y58" i="220"/>
  <c r="Y57" i="220"/>
  <c r="Y55" i="220"/>
  <c r="Y54" i="220"/>
  <c r="Y50" i="220"/>
  <c r="Y49" i="220"/>
  <c r="Y48" i="220"/>
  <c r="Y47" i="220"/>
  <c r="Y45" i="220"/>
  <c r="Y44" i="220"/>
  <c r="Y43" i="220"/>
  <c r="Y42" i="220"/>
  <c r="Y41" i="220"/>
  <c r="Y39" i="220"/>
  <c r="Y38" i="220"/>
  <c r="Y37" i="220"/>
  <c r="Y36" i="220"/>
  <c r="Y35" i="220"/>
  <c r="Y32" i="220"/>
  <c r="Y31" i="220"/>
  <c r="Y30" i="220"/>
  <c r="Y28" i="220"/>
  <c r="Y27" i="220"/>
  <c r="Y26" i="220"/>
  <c r="Y24" i="220"/>
  <c r="Y23" i="220"/>
  <c r="Y22" i="220"/>
  <c r="Y19" i="220"/>
  <c r="Y18" i="220"/>
  <c r="Y17" i="220"/>
  <c r="Y16" i="220"/>
  <c r="Y14" i="220"/>
  <c r="Y13" i="220"/>
  <c r="Y12" i="220"/>
  <c r="Y11" i="220"/>
  <c r="Y10" i="220"/>
  <c r="Y8" i="220"/>
  <c r="Y7" i="220"/>
  <c r="Y6" i="220"/>
  <c r="Y5" i="220"/>
  <c r="Y4" i="220"/>
  <c r="X80" i="261"/>
  <c r="X81" i="261"/>
  <c r="W80" i="261"/>
  <c r="Y79" i="261"/>
  <c r="Y78" i="261"/>
  <c r="Y77" i="261"/>
  <c r="Y76" i="261"/>
  <c r="Y74" i="261"/>
  <c r="Y73" i="261"/>
  <c r="Y72" i="261"/>
  <c r="Y71" i="261"/>
  <c r="Y69" i="261"/>
  <c r="Y68" i="261"/>
  <c r="Y67" i="261"/>
  <c r="Y66" i="261"/>
  <c r="Y63" i="261"/>
  <c r="Y58" i="261"/>
  <c r="Y57" i="261"/>
  <c r="Y55" i="261"/>
  <c r="Y54" i="261"/>
  <c r="Y50" i="261"/>
  <c r="Y49" i="261"/>
  <c r="Y48" i="261"/>
  <c r="Y47" i="261"/>
  <c r="Y45" i="261"/>
  <c r="Y44" i="261"/>
  <c r="Y43" i="261"/>
  <c r="Y42" i="261"/>
  <c r="Y41" i="261"/>
  <c r="Y39" i="261"/>
  <c r="Y38" i="261"/>
  <c r="Y37" i="261"/>
  <c r="Y36" i="261"/>
  <c r="Y35" i="261"/>
  <c r="Y32" i="261"/>
  <c r="Y31" i="261"/>
  <c r="Y30" i="261"/>
  <c r="Y28" i="261"/>
  <c r="Y27" i="261"/>
  <c r="Y26" i="261"/>
  <c r="Y24" i="261"/>
  <c r="Y23" i="261"/>
  <c r="Y22" i="261"/>
  <c r="Y19" i="261"/>
  <c r="Y18" i="261"/>
  <c r="Y17" i="261"/>
  <c r="Y16" i="261"/>
  <c r="Y14" i="261"/>
  <c r="Y13" i="261"/>
  <c r="Y12" i="261"/>
  <c r="Y11" i="261"/>
  <c r="Y10" i="261"/>
  <c r="Y8" i="261"/>
  <c r="Y7" i="261"/>
  <c r="Y6" i="261"/>
  <c r="Y5" i="261"/>
  <c r="Y4" i="261"/>
  <c r="Y56" i="221"/>
  <c r="AR82" i="216"/>
  <c r="AR81" i="216"/>
  <c r="AR79" i="216"/>
  <c r="AR77" i="216"/>
  <c r="AR76" i="216"/>
  <c r="AR75" i="216"/>
  <c r="AR74" i="216"/>
  <c r="AR73" i="216"/>
  <c r="AR72" i="216"/>
  <c r="AR71" i="216"/>
  <c r="AR70" i="216"/>
  <c r="AR69" i="216"/>
  <c r="AR68" i="216"/>
  <c r="AR67" i="216"/>
  <c r="AR66" i="216"/>
  <c r="AR65" i="216"/>
  <c r="AR64" i="216"/>
  <c r="AR62" i="216"/>
  <c r="AR61" i="216"/>
  <c r="AR59" i="216"/>
  <c r="AR58" i="216"/>
  <c r="AR57" i="216"/>
  <c r="AR55" i="216"/>
  <c r="AR54" i="216"/>
  <c r="AR53" i="216"/>
  <c r="AR52" i="216"/>
  <c r="AR51" i="216"/>
  <c r="AR49" i="216"/>
  <c r="AR47" i="216"/>
  <c r="AR46" i="216"/>
  <c r="AR45" i="216"/>
  <c r="AR44" i="216"/>
  <c r="AR43" i="216"/>
  <c r="AR42" i="216"/>
  <c r="AR41" i="216"/>
  <c r="AR40" i="216"/>
  <c r="AR39" i="216"/>
  <c r="AR38" i="216"/>
  <c r="AR37" i="216"/>
  <c r="AR35" i="216"/>
  <c r="AR34" i="216"/>
  <c r="AR33" i="216"/>
  <c r="AR32" i="216"/>
  <c r="AR31" i="216"/>
  <c r="AR30" i="216"/>
  <c r="AR29" i="216"/>
  <c r="AR28" i="216"/>
  <c r="AR27" i="216"/>
  <c r="AR26" i="216"/>
  <c r="AR25" i="216"/>
  <c r="AR24" i="216"/>
  <c r="AR23" i="216"/>
  <c r="AR22" i="216"/>
  <c r="AR21" i="216"/>
  <c r="AR20" i="216"/>
  <c r="AR17" i="216"/>
  <c r="AR19" i="216"/>
  <c r="AR18" i="216"/>
  <c r="AR16" i="216"/>
  <c r="AR15" i="216"/>
  <c r="AR14" i="216"/>
  <c r="AR13" i="216"/>
  <c r="AR12" i="216"/>
  <c r="AR11" i="216"/>
  <c r="AR10" i="216"/>
  <c r="AR9" i="216"/>
  <c r="AR8" i="216"/>
  <c r="AR7" i="216"/>
  <c r="AR6" i="216"/>
  <c r="AR5" i="216"/>
  <c r="AQ82" i="216"/>
  <c r="AQ81" i="216"/>
  <c r="AQ80" i="216"/>
  <c r="AQ79" i="216"/>
  <c r="AQ78" i="216"/>
  <c r="AQ77" i="216"/>
  <c r="AQ76" i="216"/>
  <c r="AQ75" i="216"/>
  <c r="AQ74" i="216"/>
  <c r="AQ73" i="216"/>
  <c r="AQ72" i="216"/>
  <c r="AQ71" i="216"/>
  <c r="AQ70" i="216"/>
  <c r="AQ69" i="216"/>
  <c r="AQ68" i="216"/>
  <c r="AQ67" i="216"/>
  <c r="AQ66" i="216"/>
  <c r="AQ65" i="216"/>
  <c r="AQ64" i="216"/>
  <c r="AQ63" i="216"/>
  <c r="AQ62" i="216"/>
  <c r="AQ61" i="216"/>
  <c r="AQ60" i="216"/>
  <c r="AQ59" i="216"/>
  <c r="AQ58" i="216"/>
  <c r="AQ57" i="216"/>
  <c r="AQ56" i="216"/>
  <c r="AQ55" i="216"/>
  <c r="AQ54" i="216"/>
  <c r="AQ53" i="216"/>
  <c r="AQ52" i="216"/>
  <c r="AQ51" i="216"/>
  <c r="AQ50" i="216"/>
  <c r="AQ49" i="216"/>
  <c r="AQ48" i="216"/>
  <c r="AQ47" i="216"/>
  <c r="AQ46" i="216"/>
  <c r="AQ45" i="216"/>
  <c r="AQ44" i="216"/>
  <c r="AQ43" i="216"/>
  <c r="AQ42" i="216"/>
  <c r="AQ41" i="216"/>
  <c r="AQ40" i="216"/>
  <c r="AQ39" i="216"/>
  <c r="AQ38" i="216"/>
  <c r="AQ37" i="216"/>
  <c r="AQ36" i="216"/>
  <c r="AQ35" i="216"/>
  <c r="AQ84" i="216"/>
  <c r="AQ34" i="216"/>
  <c r="AQ33" i="216"/>
  <c r="AQ32" i="216"/>
  <c r="AQ31" i="216"/>
  <c r="AQ30" i="216"/>
  <c r="AQ29" i="216"/>
  <c r="AQ28" i="216"/>
  <c r="AQ27" i="216"/>
  <c r="AQ26" i="216"/>
  <c r="AQ25" i="216"/>
  <c r="AQ24" i="216"/>
  <c r="AQ23" i="216"/>
  <c r="AQ22" i="216"/>
  <c r="AQ20" i="216"/>
  <c r="AQ17" i="216"/>
  <c r="AQ19" i="216"/>
  <c r="AQ18" i="216"/>
  <c r="AQ16" i="216"/>
  <c r="AQ15" i="216"/>
  <c r="AQ14" i="216"/>
  <c r="AQ13" i="216"/>
  <c r="AQ12" i="216"/>
  <c r="AQ11" i="216"/>
  <c r="AQ10" i="216"/>
  <c r="AQ9" i="216"/>
  <c r="AQ8" i="216"/>
  <c r="AQ7" i="216"/>
  <c r="AQ6" i="216"/>
  <c r="AQ5" i="216"/>
  <c r="AN84" i="216"/>
  <c r="AO84" i="216"/>
  <c r="AR84" i="216"/>
  <c r="AP84" i="216"/>
  <c r="AM84" i="216"/>
  <c r="Y34" i="221"/>
  <c r="Y21" i="221"/>
  <c r="U61" i="214"/>
  <c r="U62" i="214"/>
  <c r="W80" i="214"/>
  <c r="Y80" i="214"/>
  <c r="W75" i="214"/>
  <c r="Y75" i="214"/>
  <c r="W70" i="214"/>
  <c r="Y70" i="214"/>
  <c r="W64" i="214"/>
  <c r="Y64" i="214"/>
  <c r="W60" i="214"/>
  <c r="Y60" i="214"/>
  <c r="W56" i="214"/>
  <c r="Y56" i="214"/>
  <c r="W51" i="214"/>
  <c r="Y51" i="214"/>
  <c r="W46" i="214"/>
  <c r="Y46" i="214"/>
  <c r="W40" i="214"/>
  <c r="Y40" i="214"/>
  <c r="W33" i="214"/>
  <c r="Y33" i="214"/>
  <c r="W29" i="214"/>
  <c r="Y29" i="214"/>
  <c r="W25" i="214"/>
  <c r="Y25" i="214"/>
  <c r="W20" i="214"/>
  <c r="W21" i="214"/>
  <c r="Y21" i="214"/>
  <c r="W9" i="214"/>
  <c r="W15" i="214"/>
  <c r="Y15" i="214"/>
  <c r="C510" i="212"/>
  <c r="D873" i="213"/>
  <c r="U79" i="214"/>
  <c r="U78" i="214"/>
  <c r="U77" i="214"/>
  <c r="U76" i="214"/>
  <c r="U74" i="214"/>
  <c r="U73" i="214"/>
  <c r="U72" i="214"/>
  <c r="U71" i="214"/>
  <c r="U69" i="214"/>
  <c r="U68" i="214"/>
  <c r="U67" i="214"/>
  <c r="U66" i="214"/>
  <c r="U63" i="214"/>
  <c r="U59" i="214"/>
  <c r="U58" i="214"/>
  <c r="U57" i="214"/>
  <c r="U55" i="214"/>
  <c r="U54" i="214"/>
  <c r="U53" i="214"/>
  <c r="U50" i="214"/>
  <c r="U49" i="214"/>
  <c r="U48" i="214"/>
  <c r="U47" i="214"/>
  <c r="U45" i="214"/>
  <c r="U44" i="214"/>
  <c r="U43" i="214"/>
  <c r="U42" i="214"/>
  <c r="U41" i="214"/>
  <c r="U39" i="214"/>
  <c r="U38" i="214"/>
  <c r="U37" i="214"/>
  <c r="U36" i="214"/>
  <c r="U35" i="214"/>
  <c r="U32" i="214"/>
  <c r="U31" i="214"/>
  <c r="U30" i="214"/>
  <c r="U28" i="214"/>
  <c r="U27" i="214"/>
  <c r="U26" i="214"/>
  <c r="U24" i="214"/>
  <c r="U23" i="214"/>
  <c r="U22" i="214"/>
  <c r="U19" i="214"/>
  <c r="U16" i="214"/>
  <c r="U18" i="214"/>
  <c r="U17" i="214"/>
  <c r="U14" i="214"/>
  <c r="U13" i="214"/>
  <c r="U12" i="214"/>
  <c r="U11" i="214"/>
  <c r="U10" i="214"/>
  <c r="U8" i="214"/>
  <c r="U7" i="214"/>
  <c r="U6" i="214"/>
  <c r="U5" i="214"/>
  <c r="U4" i="214"/>
  <c r="Q79" i="214"/>
  <c r="Q78" i="214"/>
  <c r="Q77" i="214"/>
  <c r="Q76" i="214"/>
  <c r="Q74" i="214"/>
  <c r="Q73" i="214"/>
  <c r="Q72" i="214"/>
  <c r="Q71" i="214"/>
  <c r="Q69" i="214"/>
  <c r="Q68" i="214"/>
  <c r="Q67" i="214"/>
  <c r="Q66" i="214"/>
  <c r="Q63" i="214"/>
  <c r="Q59" i="214"/>
  <c r="Q58" i="214"/>
  <c r="Q57" i="214"/>
  <c r="Q55" i="214"/>
  <c r="Q54" i="214"/>
  <c r="Q53" i="214"/>
  <c r="Q50" i="214"/>
  <c r="Q49" i="214"/>
  <c r="Q48" i="214"/>
  <c r="Q47" i="214"/>
  <c r="Q45" i="214"/>
  <c r="Q44" i="214"/>
  <c r="Q43" i="214"/>
  <c r="Q42" i="214"/>
  <c r="Q41" i="214"/>
  <c r="Q39" i="214"/>
  <c r="Q38" i="214"/>
  <c r="Q37" i="214"/>
  <c r="Q36" i="214"/>
  <c r="Q35" i="214"/>
  <c r="Q32" i="214"/>
  <c r="Q31" i="214"/>
  <c r="Q30" i="214"/>
  <c r="Q28" i="214"/>
  <c r="Q27" i="214"/>
  <c r="Q26" i="214"/>
  <c r="Q24" i="214"/>
  <c r="Q23" i="214"/>
  <c r="Q22" i="214"/>
  <c r="Q19" i="214"/>
  <c r="Q16" i="214"/>
  <c r="Q18" i="214"/>
  <c r="Q17" i="214"/>
  <c r="Q14" i="214"/>
  <c r="Q13" i="214"/>
  <c r="Q12" i="214"/>
  <c r="Q11" i="214"/>
  <c r="Q10" i="214"/>
  <c r="Q8" i="214"/>
  <c r="Q7" i="214"/>
  <c r="Q6" i="214"/>
  <c r="Q5" i="214"/>
  <c r="Q4" i="214"/>
  <c r="M79" i="214"/>
  <c r="M78" i="214"/>
  <c r="M77" i="214"/>
  <c r="M76" i="214"/>
  <c r="M74" i="214"/>
  <c r="M73" i="214"/>
  <c r="M72" i="214"/>
  <c r="M71" i="214"/>
  <c r="M69" i="214"/>
  <c r="M68" i="214"/>
  <c r="M67" i="214"/>
  <c r="M66" i="214"/>
  <c r="M63" i="214"/>
  <c r="M59" i="214"/>
  <c r="M58" i="214"/>
  <c r="M57" i="214"/>
  <c r="M55" i="214"/>
  <c r="M54" i="214"/>
  <c r="M53" i="214"/>
  <c r="M50" i="214"/>
  <c r="M49" i="214"/>
  <c r="M48" i="214"/>
  <c r="M47" i="214"/>
  <c r="M45" i="214"/>
  <c r="M44" i="214"/>
  <c r="M43" i="214"/>
  <c r="M42" i="214"/>
  <c r="M41" i="214"/>
  <c r="M39" i="214"/>
  <c r="M38" i="214"/>
  <c r="M37" i="214"/>
  <c r="M36" i="214"/>
  <c r="M35" i="214"/>
  <c r="M32" i="214"/>
  <c r="M31" i="214"/>
  <c r="M30" i="214"/>
  <c r="M28" i="214"/>
  <c r="M27" i="214"/>
  <c r="M26" i="214"/>
  <c r="M24" i="214"/>
  <c r="M23" i="214"/>
  <c r="M22" i="214"/>
  <c r="M19" i="214"/>
  <c r="M16" i="214"/>
  <c r="M18" i="214"/>
  <c r="M17" i="214"/>
  <c r="M14" i="214"/>
  <c r="M13" i="214"/>
  <c r="M12" i="214"/>
  <c r="M11" i="214"/>
  <c r="M10" i="214"/>
  <c r="M8" i="214"/>
  <c r="M7" i="214"/>
  <c r="M6" i="214"/>
  <c r="M5" i="214"/>
  <c r="M4" i="214"/>
  <c r="I79" i="214"/>
  <c r="I78" i="214"/>
  <c r="I77" i="214"/>
  <c r="I76" i="214"/>
  <c r="I74" i="214"/>
  <c r="I73" i="214"/>
  <c r="I72" i="214"/>
  <c r="I71" i="214"/>
  <c r="I69" i="214"/>
  <c r="I68" i="214"/>
  <c r="I67" i="214"/>
  <c r="I66" i="214"/>
  <c r="I63" i="214"/>
  <c r="I59" i="214"/>
  <c r="I58" i="214"/>
  <c r="I57" i="214"/>
  <c r="I55" i="214"/>
  <c r="I54" i="214"/>
  <c r="I53" i="214"/>
  <c r="I50" i="214"/>
  <c r="I49" i="214"/>
  <c r="I48" i="214"/>
  <c r="I47" i="214"/>
  <c r="I45" i="214"/>
  <c r="I44" i="214"/>
  <c r="I43" i="214"/>
  <c r="I42" i="214"/>
  <c r="I41" i="214"/>
  <c r="I39" i="214"/>
  <c r="I38" i="214"/>
  <c r="I37" i="214"/>
  <c r="I36" i="214"/>
  <c r="I35" i="214"/>
  <c r="I32" i="214"/>
  <c r="I31" i="214"/>
  <c r="I30" i="214"/>
  <c r="I28" i="214"/>
  <c r="I27" i="214"/>
  <c r="I26" i="214"/>
  <c r="I24" i="214"/>
  <c r="I23" i="214"/>
  <c r="I22" i="214"/>
  <c r="I19" i="214"/>
  <c r="I16" i="214"/>
  <c r="I18" i="214"/>
  <c r="I17" i="214"/>
  <c r="I14" i="214"/>
  <c r="I13" i="214"/>
  <c r="I12" i="214"/>
  <c r="I11" i="214"/>
  <c r="I10" i="214"/>
  <c r="I8" i="214"/>
  <c r="I7" i="214"/>
  <c r="I6" i="214"/>
  <c r="I5" i="214"/>
  <c r="I4" i="214"/>
  <c r="C80" i="214"/>
  <c r="C75" i="214"/>
  <c r="C70" i="214"/>
  <c r="E70" i="214"/>
  <c r="D70" i="214"/>
  <c r="C64" i="214"/>
  <c r="C65" i="214"/>
  <c r="C60" i="214"/>
  <c r="C56" i="214"/>
  <c r="C51" i="214"/>
  <c r="C46" i="214"/>
  <c r="E46" i="214"/>
  <c r="C40" i="214"/>
  <c r="C33" i="214"/>
  <c r="C29" i="214"/>
  <c r="D29" i="214"/>
  <c r="C25" i="214"/>
  <c r="C20" i="214"/>
  <c r="C15" i="214"/>
  <c r="D9" i="214"/>
  <c r="E9" i="214"/>
  <c r="C9" i="214"/>
  <c r="E22" i="214"/>
  <c r="E23" i="214"/>
  <c r="E24" i="214"/>
  <c r="E26" i="214"/>
  <c r="E27" i="214"/>
  <c r="E28" i="214"/>
  <c r="E30" i="214"/>
  <c r="E31" i="214"/>
  <c r="E32" i="214"/>
  <c r="E35" i="214"/>
  <c r="E36" i="214"/>
  <c r="E37" i="214"/>
  <c r="E38" i="214"/>
  <c r="E39" i="214"/>
  <c r="E41" i="214"/>
  <c r="E42" i="214"/>
  <c r="E43" i="214"/>
  <c r="E44" i="214"/>
  <c r="E45" i="214"/>
  <c r="E47" i="214"/>
  <c r="E48" i="214"/>
  <c r="E49" i="214"/>
  <c r="E50" i="214"/>
  <c r="E53" i="214"/>
  <c r="E54" i="214"/>
  <c r="E55" i="214"/>
  <c r="E57" i="214"/>
  <c r="E58" i="214"/>
  <c r="E59" i="214"/>
  <c r="E63" i="214"/>
  <c r="E66" i="214"/>
  <c r="E67" i="214"/>
  <c r="E68" i="214"/>
  <c r="E69" i="214"/>
  <c r="E71" i="214"/>
  <c r="E72" i="214"/>
  <c r="E73" i="214"/>
  <c r="E74" i="214"/>
  <c r="E76" i="214"/>
  <c r="E77" i="214"/>
  <c r="E78" i="214"/>
  <c r="E79" i="214"/>
  <c r="E5" i="214"/>
  <c r="E4" i="214"/>
  <c r="E6" i="214"/>
  <c r="E7" i="214"/>
  <c r="E8" i="214"/>
  <c r="E10" i="214"/>
  <c r="E11" i="214"/>
  <c r="E12" i="214"/>
  <c r="E13" i="214"/>
  <c r="E14" i="214"/>
  <c r="E17" i="214"/>
  <c r="E18" i="214"/>
  <c r="E16" i="214"/>
  <c r="E19" i="214"/>
  <c r="T80" i="214"/>
  <c r="U80" i="214"/>
  <c r="T75" i="214"/>
  <c r="U75" i="214"/>
  <c r="T70" i="214"/>
  <c r="U70" i="214"/>
  <c r="T64" i="214"/>
  <c r="U64" i="214"/>
  <c r="T56" i="214"/>
  <c r="T60" i="214"/>
  <c r="U60" i="214"/>
  <c r="T51" i="214"/>
  <c r="U51" i="214"/>
  <c r="T46" i="214"/>
  <c r="U46" i="214"/>
  <c r="T40" i="214"/>
  <c r="U40" i="214"/>
  <c r="T33" i="214"/>
  <c r="U33" i="214"/>
  <c r="T29" i="214"/>
  <c r="T25" i="214"/>
  <c r="U25" i="214"/>
  <c r="U20" i="214"/>
  <c r="T15" i="214"/>
  <c r="U15" i="214"/>
  <c r="T9" i="214"/>
  <c r="P80" i="214"/>
  <c r="Q80" i="214"/>
  <c r="P75" i="214"/>
  <c r="Q75" i="214"/>
  <c r="P70" i="214"/>
  <c r="Q70" i="214"/>
  <c r="P64" i="214"/>
  <c r="Q64" i="214"/>
  <c r="P60" i="214"/>
  <c r="P56" i="214"/>
  <c r="Q56" i="214"/>
  <c r="P51" i="214"/>
  <c r="P46" i="214"/>
  <c r="Q46" i="214"/>
  <c r="P40" i="214"/>
  <c r="Q40" i="214"/>
  <c r="P33" i="214"/>
  <c r="Q33" i="214"/>
  <c r="P29" i="214"/>
  <c r="Q29" i="214"/>
  <c r="P25" i="214"/>
  <c r="Q25" i="214"/>
  <c r="Q20" i="214"/>
  <c r="P15" i="214"/>
  <c r="Q15" i="214"/>
  <c r="P9" i="214"/>
  <c r="Q9" i="214"/>
  <c r="L80" i="214"/>
  <c r="M80" i="214"/>
  <c r="L75" i="214"/>
  <c r="M75" i="214"/>
  <c r="L70" i="214"/>
  <c r="M70" i="214"/>
  <c r="L64" i="214"/>
  <c r="M64" i="214"/>
  <c r="L60" i="214"/>
  <c r="M60" i="214"/>
  <c r="L56" i="214"/>
  <c r="L51" i="214"/>
  <c r="M51" i="214"/>
  <c r="L46" i="214"/>
  <c r="M46" i="214"/>
  <c r="L40" i="214"/>
  <c r="M40" i="214"/>
  <c r="L33" i="214"/>
  <c r="M33" i="214"/>
  <c r="L29" i="214"/>
  <c r="M29" i="214"/>
  <c r="L25" i="214"/>
  <c r="M25" i="214"/>
  <c r="M20" i="214"/>
  <c r="L15" i="214"/>
  <c r="L9" i="214"/>
  <c r="L21" i="214"/>
  <c r="H80" i="214"/>
  <c r="I80" i="214"/>
  <c r="H75" i="214"/>
  <c r="I75" i="214"/>
  <c r="H70" i="214"/>
  <c r="I70" i="214"/>
  <c r="H64" i="214"/>
  <c r="I64" i="214"/>
  <c r="H60" i="214"/>
  <c r="I60" i="214"/>
  <c r="H56" i="214"/>
  <c r="I56" i="214"/>
  <c r="H51" i="214"/>
  <c r="H46" i="214"/>
  <c r="I46" i="214"/>
  <c r="H40" i="214"/>
  <c r="I40" i="214"/>
  <c r="H33" i="214"/>
  <c r="H29" i="214"/>
  <c r="I29" i="214"/>
  <c r="H25" i="214"/>
  <c r="I25" i="214"/>
  <c r="H15" i="214"/>
  <c r="I15" i="214"/>
  <c r="H9" i="214"/>
  <c r="I9" i="214"/>
  <c r="D80" i="214"/>
  <c r="D75" i="214"/>
  <c r="D64" i="214"/>
  <c r="D60" i="214"/>
  <c r="D56" i="214"/>
  <c r="D65" i="214"/>
  <c r="E65" i="214"/>
  <c r="D51" i="214"/>
  <c r="D46" i="214"/>
  <c r="D40" i="214"/>
  <c r="D33" i="214"/>
  <c r="D25" i="214"/>
  <c r="D15" i="214"/>
  <c r="E15" i="214"/>
  <c r="I6" i="216"/>
  <c r="I7" i="216"/>
  <c r="I8" i="216"/>
  <c r="I9" i="216"/>
  <c r="I11" i="216"/>
  <c r="I12" i="216"/>
  <c r="I13" i="216"/>
  <c r="I14" i="216"/>
  <c r="I15" i="216"/>
  <c r="I18" i="216"/>
  <c r="I19" i="216"/>
  <c r="I23" i="216"/>
  <c r="I24" i="216"/>
  <c r="I25" i="216"/>
  <c r="I27" i="216"/>
  <c r="I28" i="216"/>
  <c r="I29" i="216"/>
  <c r="I31" i="216"/>
  <c r="I32" i="216"/>
  <c r="I33" i="216"/>
  <c r="I36" i="216"/>
  <c r="I37" i="216"/>
  <c r="I38" i="216"/>
  <c r="I39" i="216"/>
  <c r="I40" i="216"/>
  <c r="I42" i="216"/>
  <c r="I43" i="216"/>
  <c r="I44" i="216"/>
  <c r="I45" i="216"/>
  <c r="I46" i="216"/>
  <c r="I48" i="216"/>
  <c r="I49" i="216"/>
  <c r="I50" i="216"/>
  <c r="I51" i="216"/>
  <c r="I55" i="216"/>
  <c r="I58" i="216"/>
  <c r="I67" i="216"/>
  <c r="I68" i="216"/>
  <c r="I69" i="216"/>
  <c r="I70" i="216"/>
  <c r="I73" i="216"/>
  <c r="I74" i="216"/>
  <c r="I75" i="216"/>
  <c r="I77" i="216"/>
  <c r="I79" i="216"/>
  <c r="I5" i="216"/>
  <c r="P6" i="216"/>
  <c r="P7" i="216"/>
  <c r="P8" i="216"/>
  <c r="P9" i="216"/>
  <c r="P11" i="216"/>
  <c r="P12" i="216"/>
  <c r="P13" i="216"/>
  <c r="P14" i="216"/>
  <c r="P15" i="216"/>
  <c r="P18" i="216"/>
  <c r="P19" i="216"/>
  <c r="P23" i="216"/>
  <c r="P24" i="216"/>
  <c r="P25" i="216"/>
  <c r="P27" i="216"/>
  <c r="P28" i="216"/>
  <c r="P29" i="216"/>
  <c r="P31" i="216"/>
  <c r="P32" i="216"/>
  <c r="P33" i="216"/>
  <c r="P36" i="216"/>
  <c r="P37" i="216"/>
  <c r="P38" i="216"/>
  <c r="P39" i="216"/>
  <c r="P40" i="216"/>
  <c r="P42" i="216"/>
  <c r="P43" i="216"/>
  <c r="P44" i="216"/>
  <c r="P45" i="216"/>
  <c r="P46" i="216"/>
  <c r="P48" i="216"/>
  <c r="P49" i="216"/>
  <c r="P50" i="216"/>
  <c r="P51" i="216"/>
  <c r="P55" i="216"/>
  <c r="P58" i="216"/>
  <c r="P59" i="216"/>
  <c r="P60" i="216"/>
  <c r="P67" i="216"/>
  <c r="P68" i="216"/>
  <c r="P69" i="216"/>
  <c r="P70" i="216"/>
  <c r="P73" i="216"/>
  <c r="P74" i="216"/>
  <c r="P75" i="216"/>
  <c r="P77" i="216"/>
  <c r="P79" i="216"/>
  <c r="P5" i="216"/>
  <c r="W6" i="216"/>
  <c r="W7" i="216"/>
  <c r="W8" i="216"/>
  <c r="W9" i="216"/>
  <c r="W11" i="216"/>
  <c r="W12" i="216"/>
  <c r="W13" i="216"/>
  <c r="W14" i="216"/>
  <c r="W15" i="216"/>
  <c r="W18" i="216"/>
  <c r="W19" i="216"/>
  <c r="W17" i="216"/>
  <c r="W23" i="216"/>
  <c r="W24" i="216"/>
  <c r="W25" i="216"/>
  <c r="W27" i="216"/>
  <c r="W28" i="216"/>
  <c r="W29" i="216"/>
  <c r="W31" i="216"/>
  <c r="W32" i="216"/>
  <c r="W33" i="216"/>
  <c r="W36" i="216"/>
  <c r="W37" i="216"/>
  <c r="W38" i="216"/>
  <c r="W39" i="216"/>
  <c r="W40" i="216"/>
  <c r="W42" i="216"/>
  <c r="W43" i="216"/>
  <c r="W44" i="216"/>
  <c r="W45" i="216"/>
  <c r="W46" i="216"/>
  <c r="W48" i="216"/>
  <c r="W49" i="216"/>
  <c r="W50" i="216"/>
  <c r="W51" i="216"/>
  <c r="W55" i="216"/>
  <c r="W56" i="216"/>
  <c r="W58" i="216"/>
  <c r="W59" i="216"/>
  <c r="W60" i="216"/>
  <c r="W64" i="216"/>
  <c r="W67" i="216"/>
  <c r="W68" i="216"/>
  <c r="W69" i="216"/>
  <c r="W70" i="216"/>
  <c r="W72" i="216"/>
  <c r="W73" i="216"/>
  <c r="W74" i="216"/>
  <c r="W75" i="216"/>
  <c r="W77" i="216"/>
  <c r="W79" i="216"/>
  <c r="W80" i="216"/>
  <c r="W5" i="216"/>
  <c r="AD6" i="216"/>
  <c r="AD7" i="216"/>
  <c r="AD8" i="216"/>
  <c r="AD9" i="216"/>
  <c r="AD11" i="216"/>
  <c r="AD12" i="216"/>
  <c r="AD13" i="216"/>
  <c r="AD14" i="216"/>
  <c r="AD15" i="216"/>
  <c r="AD18" i="216"/>
  <c r="AD19" i="216"/>
  <c r="AD17" i="216"/>
  <c r="AD23" i="216"/>
  <c r="AD24" i="216"/>
  <c r="AD25" i="216"/>
  <c r="AD27" i="216"/>
  <c r="AD28" i="216"/>
  <c r="AD29" i="216"/>
  <c r="AD31" i="216"/>
  <c r="AD32" i="216"/>
  <c r="AD33" i="216"/>
  <c r="AD36" i="216"/>
  <c r="AD37" i="216"/>
  <c r="AD38" i="216"/>
  <c r="AD39" i="216"/>
  <c r="AD40" i="216"/>
  <c r="AD42" i="216"/>
  <c r="AD43" i="216"/>
  <c r="AD44" i="216"/>
  <c r="AD45" i="216"/>
  <c r="AD46" i="216"/>
  <c r="AD48" i="216"/>
  <c r="AD49" i="216"/>
  <c r="AD50" i="216"/>
  <c r="AD51" i="216"/>
  <c r="AD54" i="216"/>
  <c r="AD55" i="216"/>
  <c r="AD56" i="216"/>
  <c r="AD58" i="216"/>
  <c r="AD59" i="216"/>
  <c r="AD60" i="216"/>
  <c r="AD62" i="216"/>
  <c r="AD64" i="216"/>
  <c r="AD67" i="216"/>
  <c r="AD68" i="216"/>
  <c r="AD69" i="216"/>
  <c r="AD70" i="216"/>
  <c r="AD72" i="216"/>
  <c r="AD73" i="216"/>
  <c r="AD74" i="216"/>
  <c r="AD75" i="216"/>
  <c r="AD77" i="216"/>
  <c r="AD78" i="216"/>
  <c r="AD79" i="216"/>
  <c r="AD80" i="216"/>
  <c r="AD5" i="216"/>
  <c r="AK6" i="216"/>
  <c r="AK7" i="216"/>
  <c r="AK8" i="216"/>
  <c r="AK9" i="216"/>
  <c r="AK11" i="216"/>
  <c r="AK12" i="216"/>
  <c r="AK13" i="216"/>
  <c r="AK14" i="216"/>
  <c r="AK15" i="216"/>
  <c r="AK18" i="216"/>
  <c r="AK19" i="216"/>
  <c r="AK17" i="216"/>
  <c r="AK20" i="216"/>
  <c r="AK23" i="216"/>
  <c r="AK24" i="216"/>
  <c r="AK25" i="216"/>
  <c r="AK27" i="216"/>
  <c r="AK28" i="216"/>
  <c r="AK29" i="216"/>
  <c r="AK31" i="216"/>
  <c r="AK32" i="216"/>
  <c r="AK33" i="216"/>
  <c r="AK37" i="216"/>
  <c r="AK38" i="216"/>
  <c r="AK39" i="216"/>
  <c r="AK40" i="216"/>
  <c r="AK42" i="216"/>
  <c r="AK43" i="216"/>
  <c r="AK44" i="216"/>
  <c r="AK45" i="216"/>
  <c r="AK46" i="216"/>
  <c r="AK49" i="216"/>
  <c r="AK51" i="216"/>
  <c r="AK54" i="216"/>
  <c r="AK55" i="216"/>
  <c r="AK56" i="216"/>
  <c r="AK58" i="216"/>
  <c r="AK59" i="216"/>
  <c r="AK62" i="216"/>
  <c r="AK64" i="216"/>
  <c r="AK67" i="216"/>
  <c r="AK68" i="216"/>
  <c r="AK69" i="216"/>
  <c r="AK70" i="216"/>
  <c r="AK72" i="216"/>
  <c r="AK73" i="216"/>
  <c r="AK74" i="216"/>
  <c r="AK75" i="216"/>
  <c r="AK77" i="216"/>
  <c r="AK79" i="216"/>
  <c r="AK5" i="216"/>
  <c r="AI81" i="216"/>
  <c r="AH81" i="216"/>
  <c r="AH82" i="216"/>
  <c r="AK82" i="216"/>
  <c r="AF81" i="216"/>
  <c r="AG81" i="216"/>
  <c r="AJ80" i="216"/>
  <c r="AJ79" i="216"/>
  <c r="AJ78" i="216"/>
  <c r="AJ77" i="216"/>
  <c r="AI76" i="216"/>
  <c r="AF76" i="216"/>
  <c r="AG76" i="216"/>
  <c r="AH76" i="216"/>
  <c r="AJ75" i="216"/>
  <c r="AJ74" i="216"/>
  <c r="AJ73" i="216"/>
  <c r="AJ72" i="216"/>
  <c r="AI71" i="216"/>
  <c r="AF71" i="216"/>
  <c r="AG71" i="216"/>
  <c r="AH71" i="216"/>
  <c r="AJ71" i="216"/>
  <c r="AJ70" i="216"/>
  <c r="AJ69" i="216"/>
  <c r="AJ68" i="216"/>
  <c r="AJ67" i="216"/>
  <c r="AI65" i="216"/>
  <c r="AF65" i="216"/>
  <c r="AG65" i="216"/>
  <c r="AJ65" i="216"/>
  <c r="AH65" i="216"/>
  <c r="AJ64" i="216"/>
  <c r="AJ63" i="216"/>
  <c r="AJ62" i="216"/>
  <c r="AI61" i="216"/>
  <c r="AH61" i="216"/>
  <c r="AH57" i="216"/>
  <c r="AH66" i="216"/>
  <c r="AK66" i="216"/>
  <c r="AG61" i="216"/>
  <c r="AF61" i="216"/>
  <c r="AJ60" i="216"/>
  <c r="AJ59" i="216"/>
  <c r="AJ58" i="216"/>
  <c r="AI57" i="216"/>
  <c r="AG57" i="216"/>
  <c r="AG66" i="216"/>
  <c r="AF57" i="216"/>
  <c r="AJ56" i="216"/>
  <c r="AJ55" i="216"/>
  <c r="AJ54" i="216"/>
  <c r="AI52" i="216"/>
  <c r="AH52" i="216"/>
  <c r="AF52" i="216"/>
  <c r="AG52" i="216"/>
  <c r="AJ52" i="216"/>
  <c r="AJ51" i="216"/>
  <c r="AJ50" i="216"/>
  <c r="AJ49" i="216"/>
  <c r="AJ48" i="216"/>
  <c r="AI47" i="216"/>
  <c r="AH47" i="216"/>
  <c r="AF47" i="216"/>
  <c r="AK47" i="216"/>
  <c r="AG47" i="216"/>
  <c r="AJ46" i="216"/>
  <c r="AJ45" i="216"/>
  <c r="AJ44" i="216"/>
  <c r="AJ43" i="216"/>
  <c r="AJ42" i="216"/>
  <c r="AI41" i="216"/>
  <c r="AH41" i="216"/>
  <c r="AK41" i="216"/>
  <c r="AG41" i="216"/>
  <c r="AF41" i="216"/>
  <c r="AJ40" i="216"/>
  <c r="AJ39" i="216"/>
  <c r="AJ38" i="216"/>
  <c r="AJ37" i="216"/>
  <c r="AJ36" i="216"/>
  <c r="AI34" i="216"/>
  <c r="AI35" i="216"/>
  <c r="AH34" i="216"/>
  <c r="AF34" i="216"/>
  <c r="AG34" i="216"/>
  <c r="AJ33" i="216"/>
  <c r="AJ32" i="216"/>
  <c r="AJ31" i="216"/>
  <c r="AI30" i="216"/>
  <c r="AH30" i="216"/>
  <c r="AG30" i="216"/>
  <c r="AG26" i="216"/>
  <c r="AF30" i="216"/>
  <c r="AJ29" i="216"/>
  <c r="AJ28" i="216"/>
  <c r="AJ27" i="216"/>
  <c r="AI26" i="216"/>
  <c r="AH26" i="216"/>
  <c r="AK26" i="216"/>
  <c r="AF26" i="216"/>
  <c r="AJ25" i="216"/>
  <c r="AJ24" i="216"/>
  <c r="AJ23" i="216"/>
  <c r="AI22" i="216"/>
  <c r="AJ20" i="216"/>
  <c r="AJ17" i="216"/>
  <c r="AJ19" i="216"/>
  <c r="AJ18" i="216"/>
  <c r="AI16" i="216"/>
  <c r="AH16" i="216"/>
  <c r="AH22" i="216"/>
  <c r="AF16" i="216"/>
  <c r="AG16" i="216"/>
  <c r="AJ15" i="216"/>
  <c r="AJ14" i="216"/>
  <c r="AJ13" i="216"/>
  <c r="AJ12" i="216"/>
  <c r="AJ11" i="216"/>
  <c r="AI10" i="216"/>
  <c r="AJ10" i="216"/>
  <c r="AH10" i="216"/>
  <c r="AG10" i="216"/>
  <c r="AF10" i="216"/>
  <c r="AJ9" i="216"/>
  <c r="AJ8" i="216"/>
  <c r="AJ7" i="216"/>
  <c r="AJ6" i="216"/>
  <c r="AJ5" i="216"/>
  <c r="AB81" i="216"/>
  <c r="AA81" i="216"/>
  <c r="Y81" i="216"/>
  <c r="Z81" i="216"/>
  <c r="AC80" i="216"/>
  <c r="AC81" i="216"/>
  <c r="AC82" i="216"/>
  <c r="AC79" i="216"/>
  <c r="AC78" i="216"/>
  <c r="AC77" i="216"/>
  <c r="AB76" i="216"/>
  <c r="AA76" i="216"/>
  <c r="AD76" i="216"/>
  <c r="Y76" i="216"/>
  <c r="Z76" i="216"/>
  <c r="Z82" i="216"/>
  <c r="AC75" i="216"/>
  <c r="AC74" i="216"/>
  <c r="AC73" i="216"/>
  <c r="AC72" i="216"/>
  <c r="AB71" i="216"/>
  <c r="AA71" i="216"/>
  <c r="Y71" i="216"/>
  <c r="Z71" i="216"/>
  <c r="AD71" i="216"/>
  <c r="AC70" i="216"/>
  <c r="AC69" i="216"/>
  <c r="AC68" i="216"/>
  <c r="AC67" i="216"/>
  <c r="AB65" i="216"/>
  <c r="AA65" i="216"/>
  <c r="AA61" i="216"/>
  <c r="AA66" i="216"/>
  <c r="AA57" i="216"/>
  <c r="Z65" i="216"/>
  <c r="Z66" i="216"/>
  <c r="Y65" i="216"/>
  <c r="AC64" i="216"/>
  <c r="AC63" i="216"/>
  <c r="AC62" i="216"/>
  <c r="AB61" i="216"/>
  <c r="Z61" i="216"/>
  <c r="AD61" i="216"/>
  <c r="Z57" i="216"/>
  <c r="Y61" i="216"/>
  <c r="AC60" i="216"/>
  <c r="AC59" i="216"/>
  <c r="AC58" i="216"/>
  <c r="AB57" i="216"/>
  <c r="Y57" i="216"/>
  <c r="Y66" i="216"/>
  <c r="AC56" i="216"/>
  <c r="AC55" i="216"/>
  <c r="AC54" i="216"/>
  <c r="AB52" i="216"/>
  <c r="AB53" i="216"/>
  <c r="AA52" i="216"/>
  <c r="Z52" i="216"/>
  <c r="Y52" i="216"/>
  <c r="AD52" i="216"/>
  <c r="AC51" i="216"/>
  <c r="AC48" i="216"/>
  <c r="AC52" i="216"/>
  <c r="AC49" i="216"/>
  <c r="AC50" i="216"/>
  <c r="AB47" i="216"/>
  <c r="AA47" i="216"/>
  <c r="Z47" i="216"/>
  <c r="AD47" i="216"/>
  <c r="Y47" i="216"/>
  <c r="AC46" i="216"/>
  <c r="AC42" i="216"/>
  <c r="AC43" i="216"/>
  <c r="AC44" i="216"/>
  <c r="AC45" i="216"/>
  <c r="AC36" i="216"/>
  <c r="AC37" i="216"/>
  <c r="AC41" i="216"/>
  <c r="AC38" i="216"/>
  <c r="AC39" i="216"/>
  <c r="AC40" i="216"/>
  <c r="AB41" i="216"/>
  <c r="AD41" i="216"/>
  <c r="AA41" i="216"/>
  <c r="Y41" i="216"/>
  <c r="Z41" i="216"/>
  <c r="AB34" i="216"/>
  <c r="AA34" i="216"/>
  <c r="AA30" i="216"/>
  <c r="AA26" i="216"/>
  <c r="Z34" i="216"/>
  <c r="Y34" i="216"/>
  <c r="AC33" i="216"/>
  <c r="AC32" i="216"/>
  <c r="AC31" i="216"/>
  <c r="AC34" i="216"/>
  <c r="AB30" i="216"/>
  <c r="Z30" i="216"/>
  <c r="Z26" i="216"/>
  <c r="Y30" i="216"/>
  <c r="AC29" i="216"/>
  <c r="AC28" i="216"/>
  <c r="AC30" i="216"/>
  <c r="AC35" i="216"/>
  <c r="AC27" i="216"/>
  <c r="AB26" i="216"/>
  <c r="Y26" i="216"/>
  <c r="Y35" i="216"/>
  <c r="AC25" i="216"/>
  <c r="AC24" i="216"/>
  <c r="AC23" i="216"/>
  <c r="AB21" i="216"/>
  <c r="AD21" i="216"/>
  <c r="AC20" i="216"/>
  <c r="AC18" i="216"/>
  <c r="AC19" i="216"/>
  <c r="AC17" i="216"/>
  <c r="AB16" i="216"/>
  <c r="AA16" i="216"/>
  <c r="Z16" i="216"/>
  <c r="Y16" i="216"/>
  <c r="AC15" i="216"/>
  <c r="AC11" i="216"/>
  <c r="AC12" i="216"/>
  <c r="AC13" i="216"/>
  <c r="AC14" i="216"/>
  <c r="AC16" i="216"/>
  <c r="AC5" i="216"/>
  <c r="AC6" i="216"/>
  <c r="AC7" i="216"/>
  <c r="AC8" i="216"/>
  <c r="AC9" i="216"/>
  <c r="AB10" i="216"/>
  <c r="AA10" i="216"/>
  <c r="Z10" i="216"/>
  <c r="AD10" i="216"/>
  <c r="Y10" i="216"/>
  <c r="U81" i="216"/>
  <c r="T81" i="216"/>
  <c r="S81" i="216"/>
  <c r="R81" i="216"/>
  <c r="V80" i="216"/>
  <c r="V79" i="216"/>
  <c r="V78" i="216"/>
  <c r="V81" i="216"/>
  <c r="V77" i="216"/>
  <c r="U76" i="216"/>
  <c r="T76" i="216"/>
  <c r="R76" i="216"/>
  <c r="S76" i="216"/>
  <c r="V75" i="216"/>
  <c r="V74" i="216"/>
  <c r="V73" i="216"/>
  <c r="V76" i="216"/>
  <c r="V72" i="216"/>
  <c r="U71" i="216"/>
  <c r="T71" i="216"/>
  <c r="S71" i="216"/>
  <c r="R71" i="216"/>
  <c r="V70" i="216"/>
  <c r="V69" i="216"/>
  <c r="V68" i="216"/>
  <c r="V71" i="216"/>
  <c r="V82" i="216"/>
  <c r="V67" i="216"/>
  <c r="U65" i="216"/>
  <c r="U66" i="216"/>
  <c r="T65" i="216"/>
  <c r="S65" i="216"/>
  <c r="S66" i="216"/>
  <c r="S61" i="216"/>
  <c r="S57" i="216"/>
  <c r="R65" i="216"/>
  <c r="V64" i="216"/>
  <c r="V63" i="216"/>
  <c r="V62" i="216"/>
  <c r="U61" i="216"/>
  <c r="T61" i="216"/>
  <c r="R61" i="216"/>
  <c r="V60" i="216"/>
  <c r="V61" i="216"/>
  <c r="V59" i="216"/>
  <c r="V58" i="216"/>
  <c r="U57" i="216"/>
  <c r="T57" i="216"/>
  <c r="W57" i="216"/>
  <c r="R57" i="216"/>
  <c r="V56" i="216"/>
  <c r="V55" i="216"/>
  <c r="V57" i="216"/>
  <c r="V66" i="216"/>
  <c r="V54" i="216"/>
  <c r="U52" i="216"/>
  <c r="U53" i="216"/>
  <c r="W53" i="216"/>
  <c r="T52" i="216"/>
  <c r="R52" i="216"/>
  <c r="S52" i="216"/>
  <c r="V51" i="216"/>
  <c r="V50" i="216"/>
  <c r="V49" i="216"/>
  <c r="V52" i="216"/>
  <c r="V48" i="216"/>
  <c r="U47" i="216"/>
  <c r="T47" i="216"/>
  <c r="R47" i="216"/>
  <c r="S47" i="216"/>
  <c r="V46" i="216"/>
  <c r="V45" i="216"/>
  <c r="V44" i="216"/>
  <c r="V43" i="216"/>
  <c r="V47" i="216"/>
  <c r="V42" i="216"/>
  <c r="U41" i="216"/>
  <c r="T41" i="216"/>
  <c r="S41" i="216"/>
  <c r="S53" i="216"/>
  <c r="R41" i="216"/>
  <c r="V40" i="216"/>
  <c r="V39" i="216"/>
  <c r="V38" i="216"/>
  <c r="V37" i="216"/>
  <c r="V36" i="216"/>
  <c r="U34" i="216"/>
  <c r="T34" i="216"/>
  <c r="W34" i="216"/>
  <c r="S34" i="216"/>
  <c r="S30" i="216"/>
  <c r="S26" i="216"/>
  <c r="R34" i="216"/>
  <c r="V33" i="216"/>
  <c r="V32" i="216"/>
  <c r="V31" i="216"/>
  <c r="V34" i="216"/>
  <c r="U30" i="216"/>
  <c r="U35" i="216"/>
  <c r="U26" i="216"/>
  <c r="T30" i="216"/>
  <c r="R30" i="216"/>
  <c r="V29" i="216"/>
  <c r="V28" i="216"/>
  <c r="V30" i="216"/>
  <c r="V27" i="216"/>
  <c r="T26" i="216"/>
  <c r="R26" i="216"/>
  <c r="R35" i="216"/>
  <c r="R84" i="216"/>
  <c r="V25" i="216"/>
  <c r="V24" i="216"/>
  <c r="V23" i="216"/>
  <c r="U21" i="216"/>
  <c r="W21" i="216"/>
  <c r="R21" i="216"/>
  <c r="S21" i="216"/>
  <c r="S16" i="216"/>
  <c r="S10" i="216"/>
  <c r="V20" i="216"/>
  <c r="V17" i="216"/>
  <c r="V19" i="216"/>
  <c r="V18" i="216"/>
  <c r="U16" i="216"/>
  <c r="T16" i="216"/>
  <c r="W16" i="216"/>
  <c r="R16" i="216"/>
  <c r="V15" i="216"/>
  <c r="V14" i="216"/>
  <c r="V13" i="216"/>
  <c r="V16" i="216"/>
  <c r="V12" i="216"/>
  <c r="V11" i="216"/>
  <c r="U10" i="216"/>
  <c r="T10" i="216"/>
  <c r="R10" i="216"/>
  <c r="V9" i="216"/>
  <c r="V8" i="216"/>
  <c r="V7" i="216"/>
  <c r="V10" i="216"/>
  <c r="V6" i="216"/>
  <c r="V5" i="216"/>
  <c r="N81" i="216"/>
  <c r="M81" i="216"/>
  <c r="K81" i="216"/>
  <c r="L80" i="216"/>
  <c r="O80" i="216"/>
  <c r="O79" i="216"/>
  <c r="O78" i="216"/>
  <c r="O77" i="216"/>
  <c r="N76" i="216"/>
  <c r="K76" i="216"/>
  <c r="O75" i="216"/>
  <c r="O74" i="216"/>
  <c r="O73" i="216"/>
  <c r="M72" i="216"/>
  <c r="M76" i="216"/>
  <c r="L72" i="216"/>
  <c r="L76" i="216"/>
  <c r="L82" i="216"/>
  <c r="N71" i="216"/>
  <c r="M71" i="216"/>
  <c r="L71" i="216"/>
  <c r="K71" i="216"/>
  <c r="O70" i="216"/>
  <c r="O71" i="216"/>
  <c r="O69" i="216"/>
  <c r="O68" i="216"/>
  <c r="O67" i="216"/>
  <c r="N65" i="216"/>
  <c r="N61" i="216"/>
  <c r="N57" i="216"/>
  <c r="M65" i="216"/>
  <c r="L65" i="216"/>
  <c r="L66" i="216"/>
  <c r="P66" i="216"/>
  <c r="K65" i="216"/>
  <c r="O62" i="216"/>
  <c r="O65" i="216"/>
  <c r="M61" i="216"/>
  <c r="L61" i="216"/>
  <c r="K61" i="216"/>
  <c r="O60" i="216"/>
  <c r="O59" i="216"/>
  <c r="O61" i="216"/>
  <c r="O58" i="216"/>
  <c r="M57" i="216"/>
  <c r="L57" i="216"/>
  <c r="K57" i="216"/>
  <c r="O55" i="216"/>
  <c r="O57" i="216"/>
  <c r="N52" i="216"/>
  <c r="M52" i="216"/>
  <c r="M53" i="216"/>
  <c r="L52" i="216"/>
  <c r="K52" i="216"/>
  <c r="O51" i="216"/>
  <c r="O50" i="216"/>
  <c r="O49" i="216"/>
  <c r="O48" i="216"/>
  <c r="N47" i="216"/>
  <c r="M47" i="216"/>
  <c r="P47" i="216"/>
  <c r="L47" i="216"/>
  <c r="K47" i="216"/>
  <c r="O46" i="216"/>
  <c r="O45" i="216"/>
  <c r="O44" i="216"/>
  <c r="O43" i="216"/>
  <c r="O42" i="216"/>
  <c r="N41" i="216"/>
  <c r="N53" i="216"/>
  <c r="M41" i="216"/>
  <c r="L41" i="216"/>
  <c r="K41" i="216"/>
  <c r="O40" i="216"/>
  <c r="O39" i="216"/>
  <c r="O38" i="216"/>
  <c r="O36" i="216"/>
  <c r="O37" i="216"/>
  <c r="O41" i="216"/>
  <c r="O53" i="216"/>
  <c r="N34" i="216"/>
  <c r="M34" i="216"/>
  <c r="M35" i="216"/>
  <c r="L34" i="216"/>
  <c r="K34" i="216"/>
  <c r="K30" i="216"/>
  <c r="K35" i="216"/>
  <c r="K84" i="216"/>
  <c r="K26" i="216"/>
  <c r="P26" i="216"/>
  <c r="O33" i="216"/>
  <c r="O31" i="216"/>
  <c r="O32" i="216"/>
  <c r="N30" i="216"/>
  <c r="M30" i="216"/>
  <c r="L30" i="216"/>
  <c r="O29" i="216"/>
  <c r="O28" i="216"/>
  <c r="O27" i="216"/>
  <c r="N26" i="216"/>
  <c r="M26" i="216"/>
  <c r="L26" i="216"/>
  <c r="O25" i="216"/>
  <c r="O24" i="216"/>
  <c r="O23" i="216"/>
  <c r="N21" i="216"/>
  <c r="P21" i="216"/>
  <c r="L21" i="216"/>
  <c r="K21" i="216"/>
  <c r="O20" i="216"/>
  <c r="O17" i="216"/>
  <c r="O19" i="216"/>
  <c r="O18" i="216"/>
  <c r="N16" i="216"/>
  <c r="P16" i="216"/>
  <c r="M16" i="216"/>
  <c r="L16" i="216"/>
  <c r="K16" i="216"/>
  <c r="O15" i="216"/>
  <c r="O14" i="216"/>
  <c r="O13" i="216"/>
  <c r="O12" i="216"/>
  <c r="O16" i="216"/>
  <c r="O11" i="216"/>
  <c r="N10" i="216"/>
  <c r="M10" i="216"/>
  <c r="L10" i="216"/>
  <c r="K10" i="216"/>
  <c r="O9" i="216"/>
  <c r="O8" i="216"/>
  <c r="O7" i="216"/>
  <c r="O10" i="216"/>
  <c r="O22" i="216"/>
  <c r="O5" i="216"/>
  <c r="O6" i="216"/>
  <c r="H19" i="216"/>
  <c r="H17" i="216"/>
  <c r="H20" i="216"/>
  <c r="H18" i="216"/>
  <c r="H12" i="216"/>
  <c r="H16" i="216"/>
  <c r="H13" i="216"/>
  <c r="H14" i="216"/>
  <c r="H11" i="216"/>
  <c r="H15" i="216"/>
  <c r="H6" i="216"/>
  <c r="H5" i="216"/>
  <c r="H7" i="216"/>
  <c r="H8" i="216"/>
  <c r="H10" i="216"/>
  <c r="H22" i="216"/>
  <c r="H9" i="216"/>
  <c r="E21" i="216"/>
  <c r="G21" i="216"/>
  <c r="D21" i="216"/>
  <c r="E16" i="216"/>
  <c r="F16" i="216"/>
  <c r="G16" i="216"/>
  <c r="I16" i="216"/>
  <c r="D16" i="216"/>
  <c r="E10" i="216"/>
  <c r="F10" i="216"/>
  <c r="G10" i="216"/>
  <c r="D10" i="216"/>
  <c r="G81" i="216"/>
  <c r="G76" i="216"/>
  <c r="G71" i="216"/>
  <c r="I71" i="216"/>
  <c r="F81" i="216"/>
  <c r="D81" i="216"/>
  <c r="E80" i="216"/>
  <c r="E81" i="216"/>
  <c r="H79" i="216"/>
  <c r="H78" i="216"/>
  <c r="H77" i="216"/>
  <c r="D76" i="216"/>
  <c r="D82" i="216"/>
  <c r="H75" i="216"/>
  <c r="H74" i="216"/>
  <c r="H73" i="216"/>
  <c r="F72" i="216"/>
  <c r="F76" i="216"/>
  <c r="E72" i="216"/>
  <c r="F71" i="216"/>
  <c r="E71" i="216"/>
  <c r="E82" i="216"/>
  <c r="D71" i="216"/>
  <c r="H70" i="216"/>
  <c r="H69" i="216"/>
  <c r="H68" i="216"/>
  <c r="H67" i="216"/>
  <c r="G65" i="216"/>
  <c r="G66" i="216"/>
  <c r="F65" i="216"/>
  <c r="E65" i="216"/>
  <c r="E66" i="216"/>
  <c r="D65" i="216"/>
  <c r="H62" i="216"/>
  <c r="H65" i="216"/>
  <c r="G61" i="216"/>
  <c r="F61" i="216"/>
  <c r="E61" i="216"/>
  <c r="D61" i="216"/>
  <c r="H59" i="216"/>
  <c r="H61" i="216"/>
  <c r="H58" i="216"/>
  <c r="G57" i="216"/>
  <c r="F57" i="216"/>
  <c r="E57" i="216"/>
  <c r="D57" i="216"/>
  <c r="I57" i="216"/>
  <c r="H55" i="216"/>
  <c r="H57" i="216"/>
  <c r="G52" i="216"/>
  <c r="G53" i="216"/>
  <c r="F52" i="216"/>
  <c r="E52" i="216"/>
  <c r="E53" i="216"/>
  <c r="E47" i="216"/>
  <c r="E41" i="216"/>
  <c r="D52" i="216"/>
  <c r="H51" i="216"/>
  <c r="H50" i="216"/>
  <c r="H49" i="216"/>
  <c r="H48" i="216"/>
  <c r="G47" i="216"/>
  <c r="F47" i="216"/>
  <c r="I47" i="216"/>
  <c r="D47" i="216"/>
  <c r="H46" i="216"/>
  <c r="H45" i="216"/>
  <c r="H44" i="216"/>
  <c r="H43" i="216"/>
  <c r="H42" i="216"/>
  <c r="G41" i="216"/>
  <c r="F41" i="216"/>
  <c r="I41" i="216"/>
  <c r="D41" i="216"/>
  <c r="H40" i="216"/>
  <c r="H39" i="216"/>
  <c r="H38" i="216"/>
  <c r="H37" i="216"/>
  <c r="H36" i="216"/>
  <c r="G34" i="216"/>
  <c r="G35" i="216"/>
  <c r="G30" i="216"/>
  <c r="G26" i="216"/>
  <c r="F34" i="216"/>
  <c r="E34" i="216"/>
  <c r="D34" i="216"/>
  <c r="H33" i="216"/>
  <c r="H32" i="216"/>
  <c r="H31" i="216"/>
  <c r="F30" i="216"/>
  <c r="E30" i="216"/>
  <c r="D30" i="216"/>
  <c r="H29" i="216"/>
  <c r="H28" i="216"/>
  <c r="H27" i="216"/>
  <c r="F26" i="216"/>
  <c r="F35" i="216"/>
  <c r="E26" i="216"/>
  <c r="D26" i="216"/>
  <c r="H25" i="216"/>
  <c r="H24" i="216"/>
  <c r="H23" i="216"/>
  <c r="E5" i="221"/>
  <c r="E6" i="221"/>
  <c r="E7" i="221"/>
  <c r="E8" i="221"/>
  <c r="E10" i="221"/>
  <c r="E11" i="221"/>
  <c r="E12" i="221"/>
  <c r="E13" i="221"/>
  <c r="E14" i="221"/>
  <c r="E16" i="221"/>
  <c r="E17" i="221"/>
  <c r="E18" i="221"/>
  <c r="E19" i="221"/>
  <c r="E22" i="221"/>
  <c r="E23" i="221"/>
  <c r="E24" i="221"/>
  <c r="E26" i="221"/>
  <c r="E27" i="221"/>
  <c r="E28" i="221"/>
  <c r="E30" i="221"/>
  <c r="E31" i="221"/>
  <c r="E32" i="221"/>
  <c r="E35" i="221"/>
  <c r="E36" i="221"/>
  <c r="E37" i="221"/>
  <c r="E38" i="221"/>
  <c r="E39" i="221"/>
  <c r="E41" i="221"/>
  <c r="E42" i="221"/>
  <c r="E43" i="221"/>
  <c r="E44" i="221"/>
  <c r="E45" i="221"/>
  <c r="E47" i="221"/>
  <c r="E48" i="221"/>
  <c r="E49" i="221"/>
  <c r="E50" i="221"/>
  <c r="E66" i="221"/>
  <c r="E67" i="221"/>
  <c r="E68" i="221"/>
  <c r="E69" i="221"/>
  <c r="E71" i="221"/>
  <c r="E72" i="221"/>
  <c r="E73" i="221"/>
  <c r="E74" i="221"/>
  <c r="E76" i="221"/>
  <c r="E77" i="221"/>
  <c r="E78" i="221"/>
  <c r="E79" i="221"/>
  <c r="E5" i="220"/>
  <c r="E6" i="220"/>
  <c r="E7" i="220"/>
  <c r="E8" i="220"/>
  <c r="E10" i="220"/>
  <c r="E11" i="220"/>
  <c r="E12" i="220"/>
  <c r="E13" i="220"/>
  <c r="E14" i="220"/>
  <c r="E16" i="220"/>
  <c r="E17" i="220"/>
  <c r="E18" i="220"/>
  <c r="E19" i="220"/>
  <c r="E22" i="220"/>
  <c r="E23" i="220"/>
  <c r="E24" i="220"/>
  <c r="E26" i="220"/>
  <c r="E27" i="220"/>
  <c r="E28" i="220"/>
  <c r="E30" i="220"/>
  <c r="E31" i="220"/>
  <c r="E32" i="220"/>
  <c r="E35" i="220"/>
  <c r="E36" i="220"/>
  <c r="E37" i="220"/>
  <c r="E38" i="220"/>
  <c r="E39" i="220"/>
  <c r="E41" i="220"/>
  <c r="E42" i="220"/>
  <c r="E43" i="220"/>
  <c r="E44" i="220"/>
  <c r="E45" i="220"/>
  <c r="E47" i="220"/>
  <c r="E48" i="220"/>
  <c r="E49" i="220"/>
  <c r="E50" i="220"/>
  <c r="E53" i="220"/>
  <c r="E54" i="220"/>
  <c r="E55" i="220"/>
  <c r="E57" i="220"/>
  <c r="E58" i="220"/>
  <c r="E59" i="220"/>
  <c r="E63" i="220"/>
  <c r="E66" i="220"/>
  <c r="E67" i="220"/>
  <c r="E68" i="220"/>
  <c r="E69" i="220"/>
  <c r="E71" i="220"/>
  <c r="E72" i="220"/>
  <c r="E73" i="220"/>
  <c r="E74" i="220"/>
  <c r="E76" i="220"/>
  <c r="E77" i="220"/>
  <c r="E78" i="220"/>
  <c r="E79" i="220"/>
  <c r="E4" i="220"/>
  <c r="T80" i="220"/>
  <c r="T75" i="220"/>
  <c r="T81" i="220"/>
  <c r="T70" i="220"/>
  <c r="T64" i="220"/>
  <c r="T60" i="220"/>
  <c r="T56" i="220"/>
  <c r="T51" i="220"/>
  <c r="T46" i="220"/>
  <c r="T40" i="220"/>
  <c r="T33" i="220"/>
  <c r="T29" i="220"/>
  <c r="T25" i="220"/>
  <c r="T20" i="220"/>
  <c r="T15" i="220"/>
  <c r="T9" i="220"/>
  <c r="P80" i="220"/>
  <c r="P75" i="220"/>
  <c r="P70" i="220"/>
  <c r="Q70" i="220"/>
  <c r="P64" i="220"/>
  <c r="P60" i="220"/>
  <c r="P56" i="220"/>
  <c r="P51" i="220"/>
  <c r="P46" i="220"/>
  <c r="Q46" i="220"/>
  <c r="P40" i="220"/>
  <c r="Q40" i="220"/>
  <c r="P33" i="220"/>
  <c r="Q33" i="220"/>
  <c r="P29" i="220"/>
  <c r="Q29" i="220"/>
  <c r="P25" i="220"/>
  <c r="Q25" i="220"/>
  <c r="P20" i="220"/>
  <c r="Q20" i="220"/>
  <c r="P15" i="220"/>
  <c r="Q15" i="220"/>
  <c r="P9" i="220"/>
  <c r="Q9" i="220"/>
  <c r="L80" i="220"/>
  <c r="M80" i="220"/>
  <c r="L75" i="220"/>
  <c r="M75" i="220"/>
  <c r="L70" i="220"/>
  <c r="L64" i="220"/>
  <c r="L60" i="220"/>
  <c r="L56" i="220"/>
  <c r="L51" i="220"/>
  <c r="M51" i="220"/>
  <c r="L46" i="220"/>
  <c r="L40" i="220"/>
  <c r="M40" i="220"/>
  <c r="L33" i="220"/>
  <c r="M33" i="220"/>
  <c r="L29" i="220"/>
  <c r="M29" i="220"/>
  <c r="L25" i="220"/>
  <c r="M25" i="220"/>
  <c r="L20" i="220"/>
  <c r="M20" i="220"/>
  <c r="L15" i="220"/>
  <c r="M15" i="220"/>
  <c r="L9" i="220"/>
  <c r="M9" i="220"/>
  <c r="H80" i="220"/>
  <c r="H75" i="220"/>
  <c r="I75" i="220"/>
  <c r="H70" i="220"/>
  <c r="I70" i="220"/>
  <c r="H64" i="220"/>
  <c r="H60" i="220"/>
  <c r="H56" i="220"/>
  <c r="H51" i="220"/>
  <c r="H46" i="220"/>
  <c r="I46" i="220"/>
  <c r="H40" i="220"/>
  <c r="H33" i="220"/>
  <c r="I33" i="220"/>
  <c r="H29" i="220"/>
  <c r="I29" i="220"/>
  <c r="H25" i="220"/>
  <c r="I25" i="220"/>
  <c r="H20" i="220"/>
  <c r="I20" i="220"/>
  <c r="H15" i="220"/>
  <c r="I15" i="220"/>
  <c r="H9" i="220"/>
  <c r="D80" i="220"/>
  <c r="D75" i="220"/>
  <c r="D70" i="220"/>
  <c r="D64" i="220"/>
  <c r="E64" i="220"/>
  <c r="D60" i="220"/>
  <c r="D56" i="220"/>
  <c r="E56" i="220"/>
  <c r="D51" i="220"/>
  <c r="D46" i="220"/>
  <c r="D40" i="220"/>
  <c r="D33" i="220"/>
  <c r="D29" i="220"/>
  <c r="D25" i="220"/>
  <c r="D20" i="220"/>
  <c r="D15" i="220"/>
  <c r="D9" i="220"/>
  <c r="S80" i="261"/>
  <c r="S75" i="261"/>
  <c r="S81" i="261"/>
  <c r="U81" i="261"/>
  <c r="S70" i="261"/>
  <c r="S64" i="261"/>
  <c r="S60" i="261"/>
  <c r="S65" i="261"/>
  <c r="S56" i="261"/>
  <c r="S51" i="261"/>
  <c r="S52" i="261"/>
  <c r="U52" i="261"/>
  <c r="S46" i="261"/>
  <c r="U46" i="261"/>
  <c r="S40" i="261"/>
  <c r="S33" i="261"/>
  <c r="S29" i="261"/>
  <c r="S25" i="261"/>
  <c r="S20" i="261"/>
  <c r="S21" i="261"/>
  <c r="S15" i="261"/>
  <c r="S9" i="261"/>
  <c r="O80" i="261"/>
  <c r="O75" i="261"/>
  <c r="O70" i="261"/>
  <c r="O56" i="261"/>
  <c r="O65" i="261"/>
  <c r="O51" i="261"/>
  <c r="O46" i="261"/>
  <c r="O40" i="261"/>
  <c r="Q40" i="261"/>
  <c r="O33" i="261"/>
  <c r="O29" i="261"/>
  <c r="O25" i="261"/>
  <c r="O20" i="261"/>
  <c r="O15" i="261"/>
  <c r="O9" i="261"/>
  <c r="K51" i="261"/>
  <c r="K46" i="261"/>
  <c r="K40" i="261"/>
  <c r="K52" i="261"/>
  <c r="M52" i="261"/>
  <c r="K33" i="261"/>
  <c r="K34" i="261"/>
  <c r="K29" i="261"/>
  <c r="K25" i="261"/>
  <c r="K20" i="261"/>
  <c r="K15" i="261"/>
  <c r="K9" i="261"/>
  <c r="M9" i="261"/>
  <c r="G83" i="261"/>
  <c r="I5" i="261"/>
  <c r="I6" i="261"/>
  <c r="I7" i="261"/>
  <c r="I8" i="261"/>
  <c r="I10" i="261"/>
  <c r="I11" i="261"/>
  <c r="I12" i="261"/>
  <c r="I13" i="261"/>
  <c r="I14" i="261"/>
  <c r="I16" i="261"/>
  <c r="I17" i="261"/>
  <c r="I18" i="261"/>
  <c r="I19" i="261"/>
  <c r="I22" i="261"/>
  <c r="I23" i="261"/>
  <c r="I24" i="261"/>
  <c r="I26" i="261"/>
  <c r="I27" i="261"/>
  <c r="I28" i="261"/>
  <c r="I30" i="261"/>
  <c r="I31" i="261"/>
  <c r="I32" i="261"/>
  <c r="I35" i="261"/>
  <c r="I36" i="261"/>
  <c r="I37" i="261"/>
  <c r="I38" i="261"/>
  <c r="I39" i="261"/>
  <c r="I41" i="261"/>
  <c r="I42" i="261"/>
  <c r="I43" i="261"/>
  <c r="I44" i="261"/>
  <c r="I45" i="261"/>
  <c r="I47" i="261"/>
  <c r="I48" i="261"/>
  <c r="I49" i="261"/>
  <c r="I50" i="261"/>
  <c r="I66" i="261"/>
  <c r="I67" i="261"/>
  <c r="I68" i="261"/>
  <c r="I69" i="261"/>
  <c r="I71" i="261"/>
  <c r="I72" i="261"/>
  <c r="I73" i="261"/>
  <c r="I74" i="261"/>
  <c r="I76" i="261"/>
  <c r="I77" i="261"/>
  <c r="I78" i="261"/>
  <c r="I79" i="261"/>
  <c r="E5" i="261"/>
  <c r="E6" i="261"/>
  <c r="E7" i="261"/>
  <c r="E8" i="261"/>
  <c r="E10" i="261"/>
  <c r="E11" i="261"/>
  <c r="E12" i="261"/>
  <c r="E13" i="261"/>
  <c r="E14" i="261"/>
  <c r="E16" i="261"/>
  <c r="E17" i="261"/>
  <c r="E18" i="261"/>
  <c r="E19" i="261"/>
  <c r="E22" i="261"/>
  <c r="E23" i="261"/>
  <c r="E24" i="261"/>
  <c r="E26" i="261"/>
  <c r="E27" i="261"/>
  <c r="E28" i="261"/>
  <c r="E30" i="261"/>
  <c r="E31" i="261"/>
  <c r="E32" i="261"/>
  <c r="E35" i="261"/>
  <c r="E36" i="261"/>
  <c r="E37" i="261"/>
  <c r="E38" i="261"/>
  <c r="E39" i="261"/>
  <c r="E41" i="261"/>
  <c r="E42" i="261"/>
  <c r="E43" i="261"/>
  <c r="E44" i="261"/>
  <c r="E45" i="261"/>
  <c r="E47" i="261"/>
  <c r="E48" i="261"/>
  <c r="E49" i="261"/>
  <c r="E50" i="261"/>
  <c r="E53" i="261"/>
  <c r="E54" i="261"/>
  <c r="E55" i="261"/>
  <c r="E57" i="261"/>
  <c r="E58" i="261"/>
  <c r="E59" i="261"/>
  <c r="E63" i="261"/>
  <c r="E66" i="261"/>
  <c r="E67" i="261"/>
  <c r="E68" i="261"/>
  <c r="E69" i="261"/>
  <c r="E71" i="261"/>
  <c r="E72" i="261"/>
  <c r="E73" i="261"/>
  <c r="E74" i="261"/>
  <c r="E76" i="261"/>
  <c r="E77" i="261"/>
  <c r="E78" i="261"/>
  <c r="E79" i="261"/>
  <c r="E4" i="261"/>
  <c r="C83" i="261"/>
  <c r="T80" i="261"/>
  <c r="T75" i="261"/>
  <c r="T70" i="261"/>
  <c r="T64" i="261"/>
  <c r="U64" i="261"/>
  <c r="T60" i="261"/>
  <c r="U60" i="261"/>
  <c r="T56" i="261"/>
  <c r="U56" i="261"/>
  <c r="T51" i="261"/>
  <c r="T46" i="261"/>
  <c r="T40" i="261"/>
  <c r="T33" i="261"/>
  <c r="T29" i="261"/>
  <c r="T25" i="261"/>
  <c r="T34" i="261"/>
  <c r="T15" i="261"/>
  <c r="T21" i="261"/>
  <c r="T9" i="261"/>
  <c r="P80" i="261"/>
  <c r="P75" i="261"/>
  <c r="P70" i="261"/>
  <c r="P64" i="261"/>
  <c r="P60" i="261"/>
  <c r="P65" i="261"/>
  <c r="P56" i="261"/>
  <c r="P51" i="261"/>
  <c r="Q51" i="261"/>
  <c r="P46" i="261"/>
  <c r="P40" i="261"/>
  <c r="P33" i="261"/>
  <c r="P29" i="261"/>
  <c r="P25" i="261"/>
  <c r="P34" i="261"/>
  <c r="P15" i="261"/>
  <c r="P9" i="261"/>
  <c r="Q9" i="261"/>
  <c r="L80" i="261"/>
  <c r="L75" i="261"/>
  <c r="L70" i="261"/>
  <c r="M70" i="261"/>
  <c r="L64" i="261"/>
  <c r="L60" i="261"/>
  <c r="L56" i="261"/>
  <c r="L51" i="261"/>
  <c r="M51" i="261"/>
  <c r="L46" i="261"/>
  <c r="L40" i="261"/>
  <c r="L33" i="261"/>
  <c r="L29" i="261"/>
  <c r="M29" i="261"/>
  <c r="L25" i="261"/>
  <c r="L15" i="261"/>
  <c r="L9" i="261"/>
  <c r="L21" i="261"/>
  <c r="H80" i="261"/>
  <c r="H75" i="261"/>
  <c r="I75" i="261"/>
  <c r="H70" i="261"/>
  <c r="I70" i="261"/>
  <c r="H64" i="261"/>
  <c r="H60" i="261"/>
  <c r="H56" i="261"/>
  <c r="H65" i="261"/>
  <c r="H51" i="261"/>
  <c r="I51" i="261"/>
  <c r="H46" i="261"/>
  <c r="I46" i="261"/>
  <c r="H40" i="261"/>
  <c r="I40" i="261"/>
  <c r="H33" i="261"/>
  <c r="I33" i="261"/>
  <c r="H29" i="261"/>
  <c r="I29" i="261"/>
  <c r="H25" i="261"/>
  <c r="I25" i="261"/>
  <c r="I20" i="261"/>
  <c r="H15" i="261"/>
  <c r="I15" i="261"/>
  <c r="H9" i="261"/>
  <c r="D80" i="261"/>
  <c r="E80" i="261"/>
  <c r="D75" i="261"/>
  <c r="E75" i="261"/>
  <c r="D70" i="261"/>
  <c r="E70" i="261"/>
  <c r="D64" i="261"/>
  <c r="E64" i="261"/>
  <c r="D60" i="261"/>
  <c r="E60" i="261"/>
  <c r="D56" i="261"/>
  <c r="E56" i="261"/>
  <c r="D51" i="261"/>
  <c r="E51" i="261"/>
  <c r="D46" i="261"/>
  <c r="E46" i="261"/>
  <c r="D40" i="261"/>
  <c r="E40" i="261"/>
  <c r="D33" i="261"/>
  <c r="E33" i="261"/>
  <c r="D29" i="261"/>
  <c r="E29" i="261"/>
  <c r="D25" i="261"/>
  <c r="E25" i="261"/>
  <c r="E20" i="261"/>
  <c r="D15" i="261"/>
  <c r="D9" i="261"/>
  <c r="E9" i="261"/>
  <c r="O83" i="220"/>
  <c r="K83" i="220"/>
  <c r="G83" i="220"/>
  <c r="S80" i="220"/>
  <c r="U80" i="220"/>
  <c r="C80" i="220"/>
  <c r="U79" i="220"/>
  <c r="Q79" i="220"/>
  <c r="M79" i="220"/>
  <c r="I79" i="220"/>
  <c r="U78" i="220"/>
  <c r="Q78" i="220"/>
  <c r="M78" i="220"/>
  <c r="I78" i="220"/>
  <c r="U77" i="220"/>
  <c r="Q77" i="220"/>
  <c r="M77" i="220"/>
  <c r="I77" i="220"/>
  <c r="U76" i="220"/>
  <c r="Q76" i="220"/>
  <c r="M76" i="220"/>
  <c r="I76" i="220"/>
  <c r="S75" i="220"/>
  <c r="C75" i="220"/>
  <c r="E75" i="220"/>
  <c r="U74" i="220"/>
  <c r="Q74" i="220"/>
  <c r="M74" i="220"/>
  <c r="I74" i="220"/>
  <c r="U73" i="220"/>
  <c r="Q73" i="220"/>
  <c r="M73" i="220"/>
  <c r="I73" i="220"/>
  <c r="U72" i="220"/>
  <c r="Q72" i="220"/>
  <c r="M72" i="220"/>
  <c r="I72" i="220"/>
  <c r="U71" i="220"/>
  <c r="Q71" i="220"/>
  <c r="M71" i="220"/>
  <c r="I71" i="220"/>
  <c r="S70" i="220"/>
  <c r="U69" i="220"/>
  <c r="Q69" i="220"/>
  <c r="M69" i="220"/>
  <c r="I69" i="220"/>
  <c r="U68" i="220"/>
  <c r="Q68" i="220"/>
  <c r="M68" i="220"/>
  <c r="I68" i="220"/>
  <c r="U67" i="220"/>
  <c r="Q67" i="220"/>
  <c r="M67" i="220"/>
  <c r="I67" i="220"/>
  <c r="U66" i="220"/>
  <c r="Q66" i="220"/>
  <c r="M66" i="220"/>
  <c r="I66" i="220"/>
  <c r="S64" i="220"/>
  <c r="U63" i="220"/>
  <c r="S60" i="220"/>
  <c r="U60" i="220"/>
  <c r="U58" i="220"/>
  <c r="U57" i="220"/>
  <c r="S56" i="220"/>
  <c r="U56" i="220"/>
  <c r="U55" i="220"/>
  <c r="U54" i="220"/>
  <c r="S51" i="220"/>
  <c r="C51" i="220"/>
  <c r="E51" i="220"/>
  <c r="U50" i="220"/>
  <c r="Q50" i="220"/>
  <c r="M50" i="220"/>
  <c r="I50" i="220"/>
  <c r="U49" i="220"/>
  <c r="Q49" i="220"/>
  <c r="M49" i="220"/>
  <c r="I49" i="220"/>
  <c r="U48" i="220"/>
  <c r="Q48" i="220"/>
  <c r="M48" i="220"/>
  <c r="I48" i="220"/>
  <c r="U47" i="220"/>
  <c r="Q47" i="220"/>
  <c r="M47" i="220"/>
  <c r="I47" i="220"/>
  <c r="S46" i="220"/>
  <c r="C46" i="220"/>
  <c r="U45" i="220"/>
  <c r="Q45" i="220"/>
  <c r="M45" i="220"/>
  <c r="I45" i="220"/>
  <c r="U44" i="220"/>
  <c r="Q44" i="220"/>
  <c r="M44" i="220"/>
  <c r="I44" i="220"/>
  <c r="U43" i="220"/>
  <c r="Q43" i="220"/>
  <c r="M43" i="220"/>
  <c r="I43" i="220"/>
  <c r="U42" i="220"/>
  <c r="Q42" i="220"/>
  <c r="M42" i="220"/>
  <c r="I42" i="220"/>
  <c r="U41" i="220"/>
  <c r="Q41" i="220"/>
  <c r="M41" i="220"/>
  <c r="I41" i="220"/>
  <c r="S40" i="220"/>
  <c r="U40" i="220"/>
  <c r="C40" i="220"/>
  <c r="U39" i="220"/>
  <c r="Q39" i="220"/>
  <c r="M39" i="220"/>
  <c r="I39" i="220"/>
  <c r="U38" i="220"/>
  <c r="Q38" i="220"/>
  <c r="M38" i="220"/>
  <c r="I38" i="220"/>
  <c r="U37" i="220"/>
  <c r="Q37" i="220"/>
  <c r="M37" i="220"/>
  <c r="I37" i="220"/>
  <c r="U36" i="220"/>
  <c r="Q36" i="220"/>
  <c r="M36" i="220"/>
  <c r="I36" i="220"/>
  <c r="U35" i="220"/>
  <c r="Q35" i="220"/>
  <c r="M35" i="220"/>
  <c r="I35" i="220"/>
  <c r="S33" i="220"/>
  <c r="C33" i="220"/>
  <c r="U32" i="220"/>
  <c r="Q32" i="220"/>
  <c r="M32" i="220"/>
  <c r="I32" i="220"/>
  <c r="U31" i="220"/>
  <c r="Q31" i="220"/>
  <c r="M31" i="220"/>
  <c r="I31" i="220"/>
  <c r="U30" i="220"/>
  <c r="Q30" i="220"/>
  <c r="M30" i="220"/>
  <c r="I30" i="220"/>
  <c r="S29" i="220"/>
  <c r="U29" i="220"/>
  <c r="C29" i="220"/>
  <c r="E29" i="220"/>
  <c r="U28" i="220"/>
  <c r="Q28" i="220"/>
  <c r="M28" i="220"/>
  <c r="I28" i="220"/>
  <c r="U27" i="220"/>
  <c r="Q27" i="220"/>
  <c r="M27" i="220"/>
  <c r="I27" i="220"/>
  <c r="U26" i="220"/>
  <c r="Q26" i="220"/>
  <c r="M26" i="220"/>
  <c r="I26" i="220"/>
  <c r="S25" i="220"/>
  <c r="U25" i="220"/>
  <c r="C25" i="220"/>
  <c r="U24" i="220"/>
  <c r="Q24" i="220"/>
  <c r="M24" i="220"/>
  <c r="I24" i="220"/>
  <c r="U23" i="220"/>
  <c r="Q23" i="220"/>
  <c r="M23" i="220"/>
  <c r="I23" i="220"/>
  <c r="U22" i="220"/>
  <c r="Q22" i="220"/>
  <c r="M22" i="220"/>
  <c r="I22" i="220"/>
  <c r="S20" i="220"/>
  <c r="C20" i="220"/>
  <c r="E20" i="220"/>
  <c r="U19" i="220"/>
  <c r="Q19" i="220"/>
  <c r="M19" i="220"/>
  <c r="I19" i="220"/>
  <c r="U18" i="220"/>
  <c r="Q18" i="220"/>
  <c r="M18" i="220"/>
  <c r="I18" i="220"/>
  <c r="U17" i="220"/>
  <c r="Q17" i="220"/>
  <c r="M17" i="220"/>
  <c r="I17" i="220"/>
  <c r="U16" i="220"/>
  <c r="Q16" i="220"/>
  <c r="M16" i="220"/>
  <c r="I16" i="220"/>
  <c r="S15" i="220"/>
  <c r="C15" i="220"/>
  <c r="U14" i="220"/>
  <c r="Q14" i="220"/>
  <c r="M14" i="220"/>
  <c r="I14" i="220"/>
  <c r="U13" i="220"/>
  <c r="Q13" i="220"/>
  <c r="M13" i="220"/>
  <c r="I13" i="220"/>
  <c r="U12" i="220"/>
  <c r="Q12" i="220"/>
  <c r="M12" i="220"/>
  <c r="I12" i="220"/>
  <c r="U11" i="220"/>
  <c r="Q11" i="220"/>
  <c r="M11" i="220"/>
  <c r="I11" i="220"/>
  <c r="U10" i="220"/>
  <c r="Q10" i="220"/>
  <c r="M10" i="220"/>
  <c r="I10" i="220"/>
  <c r="S9" i="220"/>
  <c r="C9" i="220"/>
  <c r="E9" i="220"/>
  <c r="U8" i="220"/>
  <c r="Q8" i="220"/>
  <c r="M8" i="220"/>
  <c r="I8" i="220"/>
  <c r="U7" i="220"/>
  <c r="Q7" i="220"/>
  <c r="M7" i="220"/>
  <c r="I7" i="220"/>
  <c r="U6" i="220"/>
  <c r="Q6" i="220"/>
  <c r="M6" i="220"/>
  <c r="I6" i="220"/>
  <c r="U5" i="220"/>
  <c r="Q5" i="220"/>
  <c r="M5" i="220"/>
  <c r="I5" i="220"/>
  <c r="U4" i="220"/>
  <c r="Q4" i="220"/>
  <c r="M4" i="220"/>
  <c r="I4" i="220"/>
  <c r="U79" i="261"/>
  <c r="Q79" i="261"/>
  <c r="M79" i="261"/>
  <c r="U78" i="261"/>
  <c r="Q78" i="261"/>
  <c r="M78" i="261"/>
  <c r="U77" i="261"/>
  <c r="Q77" i="261"/>
  <c r="M77" i="261"/>
  <c r="U76" i="261"/>
  <c r="Q76" i="261"/>
  <c r="M76" i="261"/>
  <c r="M75" i="261"/>
  <c r="U74" i="261"/>
  <c r="Q74" i="261"/>
  <c r="M74" i="261"/>
  <c r="U73" i="261"/>
  <c r="Q73" i="261"/>
  <c r="M73" i="261"/>
  <c r="U72" i="261"/>
  <c r="Q72" i="261"/>
  <c r="M72" i="261"/>
  <c r="U71" i="261"/>
  <c r="Q71" i="261"/>
  <c r="M71" i="261"/>
  <c r="U69" i="261"/>
  <c r="Q69" i="261"/>
  <c r="M69" i="261"/>
  <c r="U68" i="261"/>
  <c r="Q68" i="261"/>
  <c r="M68" i="261"/>
  <c r="U67" i="261"/>
  <c r="Q67" i="261"/>
  <c r="M67" i="261"/>
  <c r="U66" i="261"/>
  <c r="Q66" i="261"/>
  <c r="M66" i="261"/>
  <c r="U63" i="261"/>
  <c r="U58" i="261"/>
  <c r="U57" i="261"/>
  <c r="U55" i="261"/>
  <c r="U54" i="261"/>
  <c r="U50" i="261"/>
  <c r="Q50" i="261"/>
  <c r="M50" i="261"/>
  <c r="U49" i="261"/>
  <c r="Q49" i="261"/>
  <c r="M49" i="261"/>
  <c r="U48" i="261"/>
  <c r="Q48" i="261"/>
  <c r="M48" i="261"/>
  <c r="U47" i="261"/>
  <c r="Q47" i="261"/>
  <c r="M47" i="261"/>
  <c r="U45" i="261"/>
  <c r="Q45" i="261"/>
  <c r="M45" i="261"/>
  <c r="U44" i="261"/>
  <c r="Q44" i="261"/>
  <c r="M44" i="261"/>
  <c r="U43" i="261"/>
  <c r="Q43" i="261"/>
  <c r="M43" i="261"/>
  <c r="U42" i="261"/>
  <c r="Q42" i="261"/>
  <c r="M42" i="261"/>
  <c r="U41" i="261"/>
  <c r="Q41" i="261"/>
  <c r="M41" i="261"/>
  <c r="U39" i="261"/>
  <c r="Q39" i="261"/>
  <c r="M39" i="261"/>
  <c r="U38" i="261"/>
  <c r="Q38" i="261"/>
  <c r="M38" i="261"/>
  <c r="U37" i="261"/>
  <c r="Q37" i="261"/>
  <c r="M37" i="261"/>
  <c r="U36" i="261"/>
  <c r="Q36" i="261"/>
  <c r="M36" i="261"/>
  <c r="U35" i="261"/>
  <c r="Q35" i="261"/>
  <c r="M35" i="261"/>
  <c r="U32" i="261"/>
  <c r="Q32" i="261"/>
  <c r="M32" i="261"/>
  <c r="U31" i="261"/>
  <c r="Q31" i="261"/>
  <c r="M31" i="261"/>
  <c r="U30" i="261"/>
  <c r="Q30" i="261"/>
  <c r="M30" i="261"/>
  <c r="U28" i="261"/>
  <c r="Q28" i="261"/>
  <c r="M28" i="261"/>
  <c r="U27" i="261"/>
  <c r="Q27" i="261"/>
  <c r="M27" i="261"/>
  <c r="U26" i="261"/>
  <c r="Q26" i="261"/>
  <c r="M26" i="261"/>
  <c r="U24" i="261"/>
  <c r="Q24" i="261"/>
  <c r="M24" i="261"/>
  <c r="U23" i="261"/>
  <c r="Q23" i="261"/>
  <c r="M23" i="261"/>
  <c r="U22" i="261"/>
  <c r="Q22" i="261"/>
  <c r="M22" i="261"/>
  <c r="U19" i="261"/>
  <c r="Q19" i="261"/>
  <c r="M19" i="261"/>
  <c r="U18" i="261"/>
  <c r="Q18" i="261"/>
  <c r="M18" i="261"/>
  <c r="U17" i="261"/>
  <c r="Q17" i="261"/>
  <c r="M17" i="261"/>
  <c r="U16" i="261"/>
  <c r="Q16" i="261"/>
  <c r="M16" i="261"/>
  <c r="U14" i="261"/>
  <c r="Q14" i="261"/>
  <c r="M14" i="261"/>
  <c r="U13" i="261"/>
  <c r="Q13" i="261"/>
  <c r="M13" i="261"/>
  <c r="U12" i="261"/>
  <c r="Q12" i="261"/>
  <c r="M12" i="261"/>
  <c r="U11" i="261"/>
  <c r="Q11" i="261"/>
  <c r="M11" i="261"/>
  <c r="U10" i="261"/>
  <c r="Q10" i="261"/>
  <c r="M10" i="261"/>
  <c r="U8" i="261"/>
  <c r="Q8" i="261"/>
  <c r="M8" i="261"/>
  <c r="U7" i="261"/>
  <c r="Q7" i="261"/>
  <c r="M7" i="261"/>
  <c r="U6" i="261"/>
  <c r="Q6" i="261"/>
  <c r="M6" i="261"/>
  <c r="U5" i="261"/>
  <c r="Q5" i="261"/>
  <c r="M5" i="261"/>
  <c r="U4" i="261"/>
  <c r="Q4" i="261"/>
  <c r="M4" i="261"/>
  <c r="I4" i="261"/>
  <c r="FW111" i="262"/>
  <c r="FW110" i="262"/>
  <c r="FW109" i="262"/>
  <c r="FW108" i="262"/>
  <c r="FW107" i="262"/>
  <c r="FW106" i="262"/>
  <c r="FW105" i="262"/>
  <c r="IC99" i="262"/>
  <c r="ID99" i="262"/>
  <c r="HK99" i="262"/>
  <c r="GQ99" i="262"/>
  <c r="IC98" i="262"/>
  <c r="ID98" i="262" s="1"/>
  <c r="HK98" i="262"/>
  <c r="GQ98" i="262"/>
  <c r="IC97" i="262"/>
  <c r="ID97" i="262" s="1"/>
  <c r="HK97" i="262"/>
  <c r="GQ97" i="262"/>
  <c r="IC96" i="262"/>
  <c r="ID96" i="262" s="1"/>
  <c r="HK96" i="262"/>
  <c r="GQ96" i="262"/>
  <c r="IC95" i="262"/>
  <c r="ID95" i="262" s="1"/>
  <c r="HK95" i="262"/>
  <c r="GQ95" i="262"/>
  <c r="FW95" i="262"/>
  <c r="FD95" i="262"/>
  <c r="FW94" i="262"/>
  <c r="FD94" i="262"/>
  <c r="FW93" i="262"/>
  <c r="FD93" i="262"/>
  <c r="FW92" i="262"/>
  <c r="FD92" i="262"/>
  <c r="FW91" i="262"/>
  <c r="FD91" i="262"/>
  <c r="HK90" i="262"/>
  <c r="GQ90" i="262"/>
  <c r="FW90" i="262"/>
  <c r="FD90" i="262"/>
  <c r="HK89" i="262"/>
  <c r="GQ89" i="262"/>
  <c r="FW89" i="262"/>
  <c r="FD89" i="262"/>
  <c r="HK88" i="262"/>
  <c r="GQ88" i="262"/>
  <c r="FW88" i="262"/>
  <c r="FD88" i="262"/>
  <c r="HK87" i="262"/>
  <c r="GQ87" i="262"/>
  <c r="FW87" i="262"/>
  <c r="FD87" i="262"/>
  <c r="IC86" i="262"/>
  <c r="ID86" i="262" s="1"/>
  <c r="HK86" i="262"/>
  <c r="GQ86" i="262"/>
  <c r="FW86" i="262"/>
  <c r="FD86" i="262"/>
  <c r="IC85" i="262"/>
  <c r="ID85" i="262" s="1"/>
  <c r="HK85" i="262"/>
  <c r="GQ85" i="262"/>
  <c r="FW85" i="262"/>
  <c r="FD85" i="262"/>
  <c r="IC84" i="262"/>
  <c r="ID84" i="262" s="1"/>
  <c r="HK84" i="262"/>
  <c r="GQ84" i="262"/>
  <c r="FW84" i="262"/>
  <c r="FD84" i="262"/>
  <c r="IC83" i="262"/>
  <c r="ID83" i="262" s="1"/>
  <c r="HK83" i="262"/>
  <c r="GQ83" i="262"/>
  <c r="FW83" i="262"/>
  <c r="FD83" i="262"/>
  <c r="IC82" i="262"/>
  <c r="ID82" i="262" s="1"/>
  <c r="HK82" i="262"/>
  <c r="GQ82" i="262"/>
  <c r="FW82" i="262"/>
  <c r="FD82" i="262"/>
  <c r="IC81" i="262"/>
  <c r="ID81" i="262" s="1"/>
  <c r="HK81" i="262"/>
  <c r="GQ81" i="262"/>
  <c r="FW81" i="262"/>
  <c r="FD81" i="262"/>
  <c r="IC80" i="262"/>
  <c r="ID80" i="262" s="1"/>
  <c r="HK80" i="262"/>
  <c r="GQ80" i="262"/>
  <c r="FW80" i="262"/>
  <c r="FD80" i="262"/>
  <c r="IC79" i="262"/>
  <c r="ID79" i="262" s="1"/>
  <c r="HK79" i="262"/>
  <c r="GQ79" i="262"/>
  <c r="FW79" i="262"/>
  <c r="FD79" i="262"/>
  <c r="IC78" i="262"/>
  <c r="ID78" i="262" s="1"/>
  <c r="HK78" i="262"/>
  <c r="GQ78" i="262"/>
  <c r="FW78" i="262"/>
  <c r="FD78" i="262"/>
  <c r="IC77" i="262"/>
  <c r="ID77" i="262" s="1"/>
  <c r="HK77" i="262"/>
  <c r="GQ77" i="262"/>
  <c r="FW77" i="262"/>
  <c r="FD77" i="262"/>
  <c r="IC76" i="262"/>
  <c r="ID76" i="262" s="1"/>
  <c r="HK76" i="262"/>
  <c r="GQ76" i="262"/>
  <c r="FW76" i="262"/>
  <c r="FD76" i="262"/>
  <c r="IC75" i="262"/>
  <c r="ID75" i="262" s="1"/>
  <c r="HK75" i="262"/>
  <c r="GQ75" i="262"/>
  <c r="FW75" i="262"/>
  <c r="FD75" i="262"/>
  <c r="IC74" i="262"/>
  <c r="ID74" i="262" s="1"/>
  <c r="HK74" i="262"/>
  <c r="GQ74" i="262"/>
  <c r="FW74" i="262"/>
  <c r="FD74" i="262"/>
  <c r="IC73" i="262"/>
  <c r="ID73" i="262" s="1"/>
  <c r="HK73" i="262"/>
  <c r="GQ73" i="262"/>
  <c r="FW73" i="262"/>
  <c r="FD73" i="262"/>
  <c r="IC72" i="262"/>
  <c r="ID72" i="262" s="1"/>
  <c r="HK72" i="262"/>
  <c r="GQ72" i="262"/>
  <c r="FW72" i="262"/>
  <c r="FD72" i="262"/>
  <c r="IC71" i="262"/>
  <c r="ID71" i="262" s="1"/>
  <c r="HK71" i="262"/>
  <c r="GQ71" i="262"/>
  <c r="FW71" i="262"/>
  <c r="FD71" i="262"/>
  <c r="IC70" i="262"/>
  <c r="ID70" i="262" s="1"/>
  <c r="HK70" i="262"/>
  <c r="GQ70" i="262"/>
  <c r="FW70" i="262"/>
  <c r="FD70" i="262"/>
  <c r="IC69" i="262"/>
  <c r="ID69" i="262" s="1"/>
  <c r="HK69" i="262"/>
  <c r="GQ69" i="262"/>
  <c r="FW69" i="262"/>
  <c r="FD69" i="262"/>
  <c r="IC68" i="262"/>
  <c r="ID68" i="262" s="1"/>
  <c r="HK68" i="262"/>
  <c r="GQ68" i="262"/>
  <c r="FW68" i="262"/>
  <c r="FD68" i="262"/>
  <c r="IC67" i="262"/>
  <c r="ID67" i="262" s="1"/>
  <c r="HK67" i="262"/>
  <c r="GQ67" i="262"/>
  <c r="FW67" i="262"/>
  <c r="FD67" i="262"/>
  <c r="IC66" i="262"/>
  <c r="ID66" i="262" s="1"/>
  <c r="HK66" i="262"/>
  <c r="GQ66" i="262"/>
  <c r="FW66" i="262"/>
  <c r="FD66" i="262"/>
  <c r="IC65" i="262"/>
  <c r="ID65" i="262" s="1"/>
  <c r="HK65" i="262"/>
  <c r="GQ65" i="262"/>
  <c r="FW65" i="262"/>
  <c r="FD65" i="262"/>
  <c r="IC64" i="262"/>
  <c r="ID64" i="262" s="1"/>
  <c r="HK64" i="262"/>
  <c r="GQ64" i="262"/>
  <c r="FW64" i="262"/>
  <c r="FD64" i="262"/>
  <c r="IC63" i="262"/>
  <c r="ID63" i="262" s="1"/>
  <c r="HK63" i="262"/>
  <c r="GQ63" i="262"/>
  <c r="FW63" i="262"/>
  <c r="FD63" i="262"/>
  <c r="IC62" i="262"/>
  <c r="ID62" i="262" s="1"/>
  <c r="HK62" i="262"/>
  <c r="GQ62" i="262"/>
  <c r="FW62" i="262"/>
  <c r="FD62" i="262"/>
  <c r="IC61" i="262"/>
  <c r="ID61" i="262" s="1"/>
  <c r="HK61" i="262"/>
  <c r="GQ61" i="262"/>
  <c r="FW61" i="262"/>
  <c r="FD61" i="262"/>
  <c r="IC60" i="262"/>
  <c r="ID60" i="262" s="1"/>
  <c r="HK60" i="262"/>
  <c r="GQ60" i="262"/>
  <c r="FW60" i="262"/>
  <c r="FD60" i="262"/>
  <c r="IC59" i="262"/>
  <c r="ID59" i="262" s="1"/>
  <c r="HK59" i="262"/>
  <c r="GQ59" i="262"/>
  <c r="FW59" i="262"/>
  <c r="FD59" i="262"/>
  <c r="IC58" i="262"/>
  <c r="ID58" i="262" s="1"/>
  <c r="HK58" i="262"/>
  <c r="GQ58" i="262"/>
  <c r="FW58" i="262"/>
  <c r="FD58" i="262"/>
  <c r="IC57" i="262"/>
  <c r="ID57" i="262" s="1"/>
  <c r="HK57" i="262"/>
  <c r="GQ57" i="262"/>
  <c r="FW57" i="262"/>
  <c r="FD57" i="262"/>
  <c r="IC56" i="262"/>
  <c r="ID56" i="262" s="1"/>
  <c r="HK56" i="262"/>
  <c r="GQ56" i="262"/>
  <c r="FW56" i="262"/>
  <c r="FD56" i="262"/>
  <c r="IC55" i="262"/>
  <c r="ID55" i="262" s="1"/>
  <c r="HK55" i="262"/>
  <c r="GQ55" i="262"/>
  <c r="FW55" i="262"/>
  <c r="FD55" i="262"/>
  <c r="IC54" i="262"/>
  <c r="ID54" i="262" s="1"/>
  <c r="HK54" i="262"/>
  <c r="GQ54" i="262"/>
  <c r="FW54" i="262"/>
  <c r="FD54" i="262"/>
  <c r="IC53" i="262"/>
  <c r="ID53" i="262" s="1"/>
  <c r="HK53" i="262"/>
  <c r="GQ53" i="262"/>
  <c r="FW53" i="262"/>
  <c r="FD53" i="262"/>
  <c r="IC52" i="262"/>
  <c r="ID52" i="262" s="1"/>
  <c r="HK52" i="262"/>
  <c r="GQ52" i="262"/>
  <c r="FW52" i="262"/>
  <c r="FD52" i="262"/>
  <c r="IC51" i="262"/>
  <c r="ID51" i="262" s="1"/>
  <c r="HK51" i="262"/>
  <c r="GQ51" i="262"/>
  <c r="FW51" i="262"/>
  <c r="FD51" i="262"/>
  <c r="IC50" i="262"/>
  <c r="ID50" i="262" s="1"/>
  <c r="HK50" i="262"/>
  <c r="GQ50" i="262"/>
  <c r="FW50" i="262"/>
  <c r="FD50" i="262"/>
  <c r="IC49" i="262"/>
  <c r="ID49" i="262" s="1"/>
  <c r="HK49" i="262"/>
  <c r="GQ49" i="262"/>
  <c r="FW49" i="262"/>
  <c r="FD49" i="262"/>
  <c r="IC48" i="262"/>
  <c r="ID48" i="262" s="1"/>
  <c r="HK48" i="262"/>
  <c r="GQ48" i="262"/>
  <c r="FW48" i="262"/>
  <c r="FD48" i="262"/>
  <c r="IC47" i="262"/>
  <c r="ID47" i="262" s="1"/>
  <c r="HK47" i="262"/>
  <c r="GQ47" i="262"/>
  <c r="FW47" i="262"/>
  <c r="FD47" i="262"/>
  <c r="IC46" i="262"/>
  <c r="ID46" i="262" s="1"/>
  <c r="HK46" i="262"/>
  <c r="GQ46" i="262"/>
  <c r="FW46" i="262"/>
  <c r="FD46" i="262"/>
  <c r="IC45" i="262"/>
  <c r="ID45" i="262" s="1"/>
  <c r="HK45" i="262"/>
  <c r="GQ45" i="262"/>
  <c r="FW45" i="262"/>
  <c r="FD45" i="262"/>
  <c r="IC44" i="262"/>
  <c r="ID44" i="262" s="1"/>
  <c r="HK44" i="262"/>
  <c r="GQ44" i="262"/>
  <c r="FW44" i="262"/>
  <c r="FD44" i="262"/>
  <c r="IC43" i="262"/>
  <c r="ID43" i="262" s="1"/>
  <c r="HK43" i="262"/>
  <c r="GQ43" i="262"/>
  <c r="FW43" i="262"/>
  <c r="FD43" i="262"/>
  <c r="IC42" i="262"/>
  <c r="ID42" i="262" s="1"/>
  <c r="HK42" i="262"/>
  <c r="GQ42" i="262"/>
  <c r="FW42" i="262"/>
  <c r="FD42" i="262"/>
  <c r="IC41" i="262"/>
  <c r="ID41" i="262" s="1"/>
  <c r="HK41" i="262"/>
  <c r="GQ41" i="262"/>
  <c r="FW41" i="262"/>
  <c r="FD41" i="262"/>
  <c r="IC40" i="262"/>
  <c r="ID40" i="262" s="1"/>
  <c r="HK40" i="262"/>
  <c r="GQ40" i="262"/>
  <c r="FW40" i="262"/>
  <c r="FD40" i="262"/>
  <c r="IC39" i="262"/>
  <c r="ID39" i="262" s="1"/>
  <c r="HK39" i="262"/>
  <c r="GQ39" i="262"/>
  <c r="FW39" i="262"/>
  <c r="FD39" i="262"/>
  <c r="IC38" i="262"/>
  <c r="ID38" i="262" s="1"/>
  <c r="HK38" i="262"/>
  <c r="GQ38" i="262"/>
  <c r="FW38" i="262"/>
  <c r="FD38" i="262"/>
  <c r="IC37" i="262"/>
  <c r="ID37" i="262" s="1"/>
  <c r="HK37" i="262"/>
  <c r="GQ37" i="262"/>
  <c r="FW37" i="262"/>
  <c r="FD37" i="262"/>
  <c r="IC36" i="262"/>
  <c r="ID36" i="262" s="1"/>
  <c r="HK36" i="262"/>
  <c r="GQ36" i="262"/>
  <c r="FW36" i="262"/>
  <c r="FD36" i="262"/>
  <c r="IC35" i="262"/>
  <c r="ID35" i="262" s="1"/>
  <c r="HK35" i="262"/>
  <c r="GQ35" i="262"/>
  <c r="FW35" i="262"/>
  <c r="FD35" i="262"/>
  <c r="IC34" i="262"/>
  <c r="ID34" i="262" s="1"/>
  <c r="HK34" i="262"/>
  <c r="GQ34" i="262"/>
  <c r="FW34" i="262"/>
  <c r="FD34" i="262"/>
  <c r="IC33" i="262"/>
  <c r="ID33" i="262" s="1"/>
  <c r="HK33" i="262"/>
  <c r="GQ33" i="262"/>
  <c r="FW33" i="262"/>
  <c r="FD33" i="262"/>
  <c r="IC32" i="262"/>
  <c r="ID32" i="262" s="1"/>
  <c r="HK32" i="262"/>
  <c r="GQ32" i="262"/>
  <c r="FW32" i="262"/>
  <c r="FD32" i="262"/>
  <c r="IC31" i="262"/>
  <c r="ID31" i="262" s="1"/>
  <c r="HK31" i="262"/>
  <c r="GQ31" i="262"/>
  <c r="FW31" i="262"/>
  <c r="FD31" i="262"/>
  <c r="IC30" i="262"/>
  <c r="ID30" i="262" s="1"/>
  <c r="HK30" i="262"/>
  <c r="GQ30" i="262"/>
  <c r="FW30" i="262"/>
  <c r="FD30" i="262"/>
  <c r="IC29" i="262"/>
  <c r="ID29" i="262" s="1"/>
  <c r="HK29" i="262"/>
  <c r="GQ29" i="262"/>
  <c r="FW29" i="262"/>
  <c r="FD29" i="262"/>
  <c r="IC28" i="262"/>
  <c r="ID28" i="262" s="1"/>
  <c r="HK28" i="262"/>
  <c r="GQ28" i="262"/>
  <c r="FW28" i="262"/>
  <c r="FD28" i="262"/>
  <c r="IC27" i="262"/>
  <c r="ID27" i="262" s="1"/>
  <c r="HK27" i="262"/>
  <c r="GQ27" i="262"/>
  <c r="FW27" i="262"/>
  <c r="FD27" i="262"/>
  <c r="IC26" i="262"/>
  <c r="ID26" i="262" s="1"/>
  <c r="HK26" i="262"/>
  <c r="GQ26" i="262"/>
  <c r="FW26" i="262"/>
  <c r="FD26" i="262"/>
  <c r="IC25" i="262"/>
  <c r="ID25" i="262" s="1"/>
  <c r="HK25" i="262"/>
  <c r="GQ25" i="262"/>
  <c r="FW25" i="262"/>
  <c r="FD25" i="262"/>
  <c r="IC24" i="262"/>
  <c r="ID24" i="262" s="1"/>
  <c r="HK24" i="262"/>
  <c r="GQ24" i="262"/>
  <c r="FW24" i="262"/>
  <c r="FD24" i="262"/>
  <c r="IC23" i="262"/>
  <c r="ID23" i="262" s="1"/>
  <c r="HK23" i="262"/>
  <c r="GQ23" i="262"/>
  <c r="FW23" i="262"/>
  <c r="FD23" i="262"/>
  <c r="IC22" i="262"/>
  <c r="ID22" i="262" s="1"/>
  <c r="HK22" i="262"/>
  <c r="GQ22" i="262"/>
  <c r="FW22" i="262"/>
  <c r="FD22" i="262"/>
  <c r="IC21" i="262"/>
  <c r="ID21" i="262" s="1"/>
  <c r="HK21" i="262"/>
  <c r="GQ21" i="262"/>
  <c r="FW21" i="262"/>
  <c r="FD21" i="262"/>
  <c r="IC20" i="262"/>
  <c r="ID20" i="262" s="1"/>
  <c r="HK20" i="262"/>
  <c r="GQ20" i="262"/>
  <c r="FW20" i="262"/>
  <c r="FD20" i="262"/>
  <c r="IC19" i="262"/>
  <c r="ID19" i="262" s="1"/>
  <c r="HK19" i="262"/>
  <c r="GQ19" i="262"/>
  <c r="FW19" i="262"/>
  <c r="FD19" i="262"/>
  <c r="IC18" i="262"/>
  <c r="ID18" i="262" s="1"/>
  <c r="HK18" i="262"/>
  <c r="GQ18" i="262"/>
  <c r="FW18" i="262"/>
  <c r="FD18" i="262"/>
  <c r="IC17" i="262"/>
  <c r="ID17" i="262" s="1"/>
  <c r="HK17" i="262"/>
  <c r="GQ17" i="262"/>
  <c r="FW17" i="262"/>
  <c r="FD17" i="262"/>
  <c r="IC16" i="262"/>
  <c r="ID16" i="262" s="1"/>
  <c r="HK16" i="262"/>
  <c r="GQ16" i="262"/>
  <c r="FW16" i="262"/>
  <c r="FD16" i="262"/>
  <c r="IC15" i="262"/>
  <c r="ID15" i="262" s="1"/>
  <c r="HK15" i="262"/>
  <c r="GQ15" i="262"/>
  <c r="FW15" i="262"/>
  <c r="FD15" i="262"/>
  <c r="IC14" i="262"/>
  <c r="ID14" i="262" s="1"/>
  <c r="HK14" i="262"/>
  <c r="GQ14" i="262"/>
  <c r="FW14" i="262"/>
  <c r="FD14" i="262"/>
  <c r="IC13" i="262"/>
  <c r="ID13" i="262" s="1"/>
  <c r="HK13" i="262"/>
  <c r="GQ13" i="262"/>
  <c r="FW13" i="262"/>
  <c r="FD13" i="262"/>
  <c r="IC12" i="262"/>
  <c r="ID12" i="262" s="1"/>
  <c r="HK12" i="262"/>
  <c r="GQ12" i="262"/>
  <c r="FW12" i="262"/>
  <c r="FD12" i="262"/>
  <c r="IC11" i="262"/>
  <c r="ID11" i="262" s="1"/>
  <c r="HK11" i="262"/>
  <c r="GQ11" i="262"/>
  <c r="FW11" i="262"/>
  <c r="FD11" i="262"/>
  <c r="IC10" i="262"/>
  <c r="ID10" i="262" s="1"/>
  <c r="HK10" i="262"/>
  <c r="GQ10" i="262"/>
  <c r="FW10" i="262"/>
  <c r="FD10" i="262"/>
  <c r="IC9" i="262"/>
  <c r="ID9" i="262" s="1"/>
  <c r="HK9" i="262"/>
  <c r="GQ9" i="262"/>
  <c r="FW9" i="262"/>
  <c r="FD9" i="262"/>
  <c r="IC8" i="262"/>
  <c r="ID8" i="262" s="1"/>
  <c r="HK8" i="262"/>
  <c r="GQ8" i="262"/>
  <c r="FW8" i="262"/>
  <c r="FD8" i="262"/>
  <c r="IC7" i="262"/>
  <c r="ID7" i="262" s="1"/>
  <c r="HK7" i="262"/>
  <c r="GQ7" i="262"/>
  <c r="FW7" i="262"/>
  <c r="FD7" i="262"/>
  <c r="BG44" i="255"/>
  <c r="BG43" i="255"/>
  <c r="CP42" i="255"/>
  <c r="BG42" i="255"/>
  <c r="CP41" i="255"/>
  <c r="CG41" i="255"/>
  <c r="CG42" i="255"/>
  <c r="BY41" i="255"/>
  <c r="BY42" i="255"/>
  <c r="BV41" i="255"/>
  <c r="BV42" i="255"/>
  <c r="BG40" i="255"/>
  <c r="CP39" i="255"/>
  <c r="CG39" i="255"/>
  <c r="BY39" i="255"/>
  <c r="BV39" i="255"/>
  <c r="BP39" i="255"/>
  <c r="BP40" i="255"/>
  <c r="BG39" i="255"/>
  <c r="CP38" i="255"/>
  <c r="CG38" i="255"/>
  <c r="CG40" i="255"/>
  <c r="BY38" i="255"/>
  <c r="BV38" i="255"/>
  <c r="BP37" i="255"/>
  <c r="BG37" i="255"/>
  <c r="CG36" i="255"/>
  <c r="BY36" i="255"/>
  <c r="BV36" i="255"/>
  <c r="BP36" i="255"/>
  <c r="BG36" i="255"/>
  <c r="CP35" i="255"/>
  <c r="CG35" i="255"/>
  <c r="BY35" i="255"/>
  <c r="BV35" i="255"/>
  <c r="BG35" i="255"/>
  <c r="CP34" i="255"/>
  <c r="CG34" i="255"/>
  <c r="BY34" i="255"/>
  <c r="BV34" i="255"/>
  <c r="BP34" i="255"/>
  <c r="BG34" i="255"/>
  <c r="BP33" i="255"/>
  <c r="BG33" i="255"/>
  <c r="BP32" i="255"/>
  <c r="BG32" i="255"/>
  <c r="CP31" i="255"/>
  <c r="CG31" i="255"/>
  <c r="BY31" i="255"/>
  <c r="BV31" i="255"/>
  <c r="BG31" i="255"/>
  <c r="CP30" i="255"/>
  <c r="CG30" i="255"/>
  <c r="BY30" i="255"/>
  <c r="BV30" i="255"/>
  <c r="BG30" i="255"/>
  <c r="CP29" i="255"/>
  <c r="CG29" i="255"/>
  <c r="BY29" i="255"/>
  <c r="BV29" i="255"/>
  <c r="BP29" i="255"/>
  <c r="BG29" i="255"/>
  <c r="BP28" i="255"/>
  <c r="BG28" i="255"/>
  <c r="CP27" i="255"/>
  <c r="CG27" i="255"/>
  <c r="BY27" i="255"/>
  <c r="BV27" i="255"/>
  <c r="BP27" i="255"/>
  <c r="BG27" i="255"/>
  <c r="CP26" i="255"/>
  <c r="CG26" i="255"/>
  <c r="BY26" i="255"/>
  <c r="BV26" i="255"/>
  <c r="BG26" i="255"/>
  <c r="CP25" i="255"/>
  <c r="CG25" i="255"/>
  <c r="BY25" i="255"/>
  <c r="BV25" i="255"/>
  <c r="BP25" i="255"/>
  <c r="BG25" i="255"/>
  <c r="CP24" i="255"/>
  <c r="CG24" i="255"/>
  <c r="BY24" i="255"/>
  <c r="BV24" i="255"/>
  <c r="BP24" i="255"/>
  <c r="BG24" i="255"/>
  <c r="CP23" i="255"/>
  <c r="CG23" i="255"/>
  <c r="BY23" i="255"/>
  <c r="BV23" i="255"/>
  <c r="BP23" i="255"/>
  <c r="BG23" i="255"/>
  <c r="BP22" i="255"/>
  <c r="BG22" i="255"/>
  <c r="CP21" i="255"/>
  <c r="BP21" i="255"/>
  <c r="BG21" i="255"/>
  <c r="CP20" i="255"/>
  <c r="BY20" i="255"/>
  <c r="BV20" i="255"/>
  <c r="BG20" i="255"/>
  <c r="CP19" i="255"/>
  <c r="CG19" i="255"/>
  <c r="BY19" i="255"/>
  <c r="BV19" i="255"/>
  <c r="BP19" i="255"/>
  <c r="BG19" i="255"/>
  <c r="CP18" i="255"/>
  <c r="CG18" i="255"/>
  <c r="BY18" i="255"/>
  <c r="BV18" i="255"/>
  <c r="BP18" i="255"/>
  <c r="BG18" i="255"/>
  <c r="CP17" i="255"/>
  <c r="CG17" i="255"/>
  <c r="BY17" i="255"/>
  <c r="BV17" i="255"/>
  <c r="BP17" i="255"/>
  <c r="BG17" i="255"/>
  <c r="CP16" i="255"/>
  <c r="CG16" i="255"/>
  <c r="BY16" i="255"/>
  <c r="BV16" i="255"/>
  <c r="BP16" i="255"/>
  <c r="BG16" i="255"/>
  <c r="BP15" i="255"/>
  <c r="BG15" i="255"/>
  <c r="CP14" i="255"/>
  <c r="CP13" i="255"/>
  <c r="CG13" i="255"/>
  <c r="CG14" i="255"/>
  <c r="BY13" i="255"/>
  <c r="BY14" i="255"/>
  <c r="BV13" i="255"/>
  <c r="BV14" i="255"/>
  <c r="BV50" i="255"/>
  <c r="BG13" i="255"/>
  <c r="BP12" i="255"/>
  <c r="BP13" i="255"/>
  <c r="BG12" i="255"/>
  <c r="CP11" i="255"/>
  <c r="CG11" i="255"/>
  <c r="BY11" i="255"/>
  <c r="BV11" i="255"/>
  <c r="CP10" i="255"/>
  <c r="CG10" i="255"/>
  <c r="BY10" i="255"/>
  <c r="BV10" i="255"/>
  <c r="BP10" i="255"/>
  <c r="BP11" i="255"/>
  <c r="BG10" i="255"/>
  <c r="BG9" i="255"/>
  <c r="CP8" i="255"/>
  <c r="CG8" i="255"/>
  <c r="BY8" i="255"/>
  <c r="BV8" i="255"/>
  <c r="BP8" i="255"/>
  <c r="BG8" i="255"/>
  <c r="CP7" i="255"/>
  <c r="CG7" i="255"/>
  <c r="BY7" i="255"/>
  <c r="BV7" i="255"/>
  <c r="BP7" i="255"/>
  <c r="BG7" i="255"/>
  <c r="BG67" i="254"/>
  <c r="BG66" i="254"/>
  <c r="BG65" i="254"/>
  <c r="BG64" i="254"/>
  <c r="BG63" i="254"/>
  <c r="BG62" i="254"/>
  <c r="BG61" i="254"/>
  <c r="BG59" i="254"/>
  <c r="CG58" i="254"/>
  <c r="BY58" i="254"/>
  <c r="BV58" i="254"/>
  <c r="BG58" i="254"/>
  <c r="CP57" i="254"/>
  <c r="CG57" i="254"/>
  <c r="CG59" i="254"/>
  <c r="BY57" i="254"/>
  <c r="BY59" i="254"/>
  <c r="BV57" i="254"/>
  <c r="BG57" i="254"/>
  <c r="CP56" i="254"/>
  <c r="BG56" i="254"/>
  <c r="BP55" i="254"/>
  <c r="BP56" i="254"/>
  <c r="BP57" i="254"/>
  <c r="CP54" i="254"/>
  <c r="CE54" i="254"/>
  <c r="CG54" i="254"/>
  <c r="BY54" i="254"/>
  <c r="BV54" i="254"/>
  <c r="BG54" i="254"/>
  <c r="CP53" i="254"/>
  <c r="CG53" i="254"/>
  <c r="BY53" i="254"/>
  <c r="BV53" i="254"/>
  <c r="BG53" i="254"/>
  <c r="CP52" i="254"/>
  <c r="CG52" i="254"/>
  <c r="BY52" i="254"/>
  <c r="BV52" i="254"/>
  <c r="BP52" i="254"/>
  <c r="BG52" i="254"/>
  <c r="CP51" i="254"/>
  <c r="CG51" i="254"/>
  <c r="BY51" i="254"/>
  <c r="BV51" i="254"/>
  <c r="BP51" i="254"/>
  <c r="BP53" i="254"/>
  <c r="BG51" i="254"/>
  <c r="CP50" i="254"/>
  <c r="CG50" i="254"/>
  <c r="BY50" i="254"/>
  <c r="BV50" i="254"/>
  <c r="BP50" i="254"/>
  <c r="BG50" i="254"/>
  <c r="CP49" i="254"/>
  <c r="BY49" i="254"/>
  <c r="BV49" i="254"/>
  <c r="BG49" i="254"/>
  <c r="BP48" i="254"/>
  <c r="BY47" i="254"/>
  <c r="BV47" i="254"/>
  <c r="BP47" i="254"/>
  <c r="BG47" i="254"/>
  <c r="CE46" i="254"/>
  <c r="CG46" i="254"/>
  <c r="BY46" i="254"/>
  <c r="BV46" i="254"/>
  <c r="BP46" i="254"/>
  <c r="BG46" i="254"/>
  <c r="CP45" i="254"/>
  <c r="CG45" i="254"/>
  <c r="BY45" i="254"/>
  <c r="BV45" i="254"/>
  <c r="BP45" i="254"/>
  <c r="BG45" i="254"/>
  <c r="CP44" i="254"/>
  <c r="CG44" i="254"/>
  <c r="BY44" i="254"/>
  <c r="BV44" i="254"/>
  <c r="BP44" i="254"/>
  <c r="BG44" i="254"/>
  <c r="CP43" i="254"/>
  <c r="CG43" i="254"/>
  <c r="BY43" i="254"/>
  <c r="BV43" i="254"/>
  <c r="BP43" i="254"/>
  <c r="BG43" i="254"/>
  <c r="CP42" i="254"/>
  <c r="CG42" i="254"/>
  <c r="BY42" i="254"/>
  <c r="BV42" i="254"/>
  <c r="BG42" i="254"/>
  <c r="CP41" i="254"/>
  <c r="CG41" i="254"/>
  <c r="BY41" i="254"/>
  <c r="BV41" i="254"/>
  <c r="BP41" i="254"/>
  <c r="BG41" i="254"/>
  <c r="CP40" i="254"/>
  <c r="CG40" i="254"/>
  <c r="BY40" i="254"/>
  <c r="BV40" i="254"/>
  <c r="BP40" i="254"/>
  <c r="BG40" i="254"/>
  <c r="CP39" i="254"/>
  <c r="CE39" i="254"/>
  <c r="CG39" i="254"/>
  <c r="BP39" i="254"/>
  <c r="BP38" i="254"/>
  <c r="BG38" i="254"/>
  <c r="BP37" i="254"/>
  <c r="BG37" i="254"/>
  <c r="CP36" i="254"/>
  <c r="BP36" i="254"/>
  <c r="BG36" i="254"/>
  <c r="CP35" i="254"/>
  <c r="CG35" i="254"/>
  <c r="BY35" i="254"/>
  <c r="BV35" i="254"/>
  <c r="BP35" i="254"/>
  <c r="BG35" i="254"/>
  <c r="CP34" i="254"/>
  <c r="CG34" i="254"/>
  <c r="BY34" i="254"/>
  <c r="BV34" i="254"/>
  <c r="BP34" i="254"/>
  <c r="BG34" i="254"/>
  <c r="CP33" i="254"/>
  <c r="CG33" i="254"/>
  <c r="CG36" i="254"/>
  <c r="BY33" i="254"/>
  <c r="BV33" i="254"/>
  <c r="BV36" i="254"/>
  <c r="BG32" i="254"/>
  <c r="CP31" i="254"/>
  <c r="CG31" i="254"/>
  <c r="BY31" i="254"/>
  <c r="BV31" i="254"/>
  <c r="BP31" i="254"/>
  <c r="BP32" i="254"/>
  <c r="BG31" i="254"/>
  <c r="CP30" i="254"/>
  <c r="CG30" i="254"/>
  <c r="BY30" i="254"/>
  <c r="BV30" i="254"/>
  <c r="BP30" i="254"/>
  <c r="BG30" i="254"/>
  <c r="CP29" i="254"/>
  <c r="CG29" i="254"/>
  <c r="BY29" i="254"/>
  <c r="BV29" i="254"/>
  <c r="BP29" i="254"/>
  <c r="BG29" i="254"/>
  <c r="CP28" i="254"/>
  <c r="CG28" i="254"/>
  <c r="BY28" i="254"/>
  <c r="BV28" i="254"/>
  <c r="BG28" i="254"/>
  <c r="CP27" i="254"/>
  <c r="CE27" i="254"/>
  <c r="CG27" i="254"/>
  <c r="BY27" i="254"/>
  <c r="BV27" i="254"/>
  <c r="BP27" i="254"/>
  <c r="BG27" i="254"/>
  <c r="CP26" i="254"/>
  <c r="CG26" i="254"/>
  <c r="BP26" i="254"/>
  <c r="BG26" i="254"/>
  <c r="BP25" i="254"/>
  <c r="BG25" i="254"/>
  <c r="CP24" i="254"/>
  <c r="CG24" i="254"/>
  <c r="BY24" i="254"/>
  <c r="BV24" i="254"/>
  <c r="BP24" i="254"/>
  <c r="BG24" i="254"/>
  <c r="CP23" i="254"/>
  <c r="CG23" i="254"/>
  <c r="BY23" i="254"/>
  <c r="BV23" i="254"/>
  <c r="BG23" i="254"/>
  <c r="CP22" i="254"/>
  <c r="CG22" i="254"/>
  <c r="BY22" i="254"/>
  <c r="BV22" i="254"/>
  <c r="BP22" i="254"/>
  <c r="BG22" i="254"/>
  <c r="CP21" i="254"/>
  <c r="CG21" i="254"/>
  <c r="BY21" i="254"/>
  <c r="BV21" i="254"/>
  <c r="BP21" i="254"/>
  <c r="BG21" i="254"/>
  <c r="CP20" i="254"/>
  <c r="CG20" i="254"/>
  <c r="BY20" i="254"/>
  <c r="BV20" i="254"/>
  <c r="BP20" i="254"/>
  <c r="CP19" i="254"/>
  <c r="CG19" i="254"/>
  <c r="BP19" i="254"/>
  <c r="BG19" i="254"/>
  <c r="BP18" i="254"/>
  <c r="BG18" i="254"/>
  <c r="CP17" i="254"/>
  <c r="BP17" i="254"/>
  <c r="CP16" i="254"/>
  <c r="CE16" i="254"/>
  <c r="CE17" i="254"/>
  <c r="BY16" i="254"/>
  <c r="BY17" i="254"/>
  <c r="BV16" i="254"/>
  <c r="BV17" i="254"/>
  <c r="BG16" i="254"/>
  <c r="BG15" i="254"/>
  <c r="CG14" i="254"/>
  <c r="BY14" i="254"/>
  <c r="BV14" i="254"/>
  <c r="BP14" i="254"/>
  <c r="BP15" i="254"/>
  <c r="BG14" i="254"/>
  <c r="CP13" i="254"/>
  <c r="CG13" i="254"/>
  <c r="BY13" i="254"/>
  <c r="BV13" i="254"/>
  <c r="BG13" i="254"/>
  <c r="CP12" i="254"/>
  <c r="CG12" i="254"/>
  <c r="BY12" i="254"/>
  <c r="BV12" i="254"/>
  <c r="BP12" i="254"/>
  <c r="BG12" i="254"/>
  <c r="CP11" i="254"/>
  <c r="CG11" i="254"/>
  <c r="BP11" i="254"/>
  <c r="CP10" i="254"/>
  <c r="CG10" i="254"/>
  <c r="BY10" i="254"/>
  <c r="BV10" i="254"/>
  <c r="BP10" i="254"/>
  <c r="BG10" i="254"/>
  <c r="BG9" i="254"/>
  <c r="CP8" i="254"/>
  <c r="CG8" i="254"/>
  <c r="BY8" i="254"/>
  <c r="BV8" i="254"/>
  <c r="BP8" i="254"/>
  <c r="BG8" i="254"/>
  <c r="CP7" i="254"/>
  <c r="CG7" i="254"/>
  <c r="BY7" i="254"/>
  <c r="BV7" i="254"/>
  <c r="BP7" i="254"/>
  <c r="BG7" i="254"/>
  <c r="CP6" i="254"/>
  <c r="CP9" i="254"/>
  <c r="CG6" i="254"/>
  <c r="BY6" i="254"/>
  <c r="BV6" i="254"/>
  <c r="BP6" i="254"/>
  <c r="BG6" i="254"/>
  <c r="BV38" i="253"/>
  <c r="BP29" i="253"/>
  <c r="BP28" i="253"/>
  <c r="BG26" i="253"/>
  <c r="BG25" i="253"/>
  <c r="BG24" i="253"/>
  <c r="CP21" i="253"/>
  <c r="CG21" i="253"/>
  <c r="BG21" i="253"/>
  <c r="CP20" i="253"/>
  <c r="CG20" i="253"/>
  <c r="CG22" i="253"/>
  <c r="CH36" i="253"/>
  <c r="BY20" i="253"/>
  <c r="BV20" i="253"/>
  <c r="BG20" i="253"/>
  <c r="BY19" i="253"/>
  <c r="BV19" i="253"/>
  <c r="BG19" i="253"/>
  <c r="CG18" i="253"/>
  <c r="BY18" i="253"/>
  <c r="BY36" i="253"/>
  <c r="BV18" i="253"/>
  <c r="BV26" i="253"/>
  <c r="BG18" i="253"/>
  <c r="CP17" i="253"/>
  <c r="CG17" i="253"/>
  <c r="BY17" i="253"/>
  <c r="BV17" i="253"/>
  <c r="BP17" i="253"/>
  <c r="BP18" i="253"/>
  <c r="CG15" i="253"/>
  <c r="BY15" i="253"/>
  <c r="BV15" i="253"/>
  <c r="BP15" i="253"/>
  <c r="BP16" i="253"/>
  <c r="BG15" i="253"/>
  <c r="CP14" i="253"/>
  <c r="CG14" i="253"/>
  <c r="CH16" i="253"/>
  <c r="BY14" i="253"/>
  <c r="BY16" i="253"/>
  <c r="BV14" i="253"/>
  <c r="BG14" i="253"/>
  <c r="CP13" i="253"/>
  <c r="BY13" i="253"/>
  <c r="BV13" i="253"/>
  <c r="BG13" i="253"/>
  <c r="CP12" i="253"/>
  <c r="CG12" i="253"/>
  <c r="CG13" i="253"/>
  <c r="BY12" i="253"/>
  <c r="BV12" i="253"/>
  <c r="BP12" i="253"/>
  <c r="BG12" i="253"/>
  <c r="BP11" i="253"/>
  <c r="BP13" i="253"/>
  <c r="BP27" i="253"/>
  <c r="CP10" i="253"/>
  <c r="CP22" i="253"/>
  <c r="CG10" i="253"/>
  <c r="CH28" i="253"/>
  <c r="BY10" i="253"/>
  <c r="BY28" i="253"/>
  <c r="BV10" i="253"/>
  <c r="BV28" i="253"/>
  <c r="BP10" i="253"/>
  <c r="BP14" i="253"/>
  <c r="BG10" i="253"/>
  <c r="CP9" i="253"/>
  <c r="CG9" i="253"/>
  <c r="BY9" i="253"/>
  <c r="BV9" i="253"/>
  <c r="BG9" i="253"/>
  <c r="BV8" i="253"/>
  <c r="BP8" i="253"/>
  <c r="CG7" i="253"/>
  <c r="CG8" i="253"/>
  <c r="BY7" i="253"/>
  <c r="BV7" i="253"/>
  <c r="BG7" i="253"/>
  <c r="CP6" i="253"/>
  <c r="CG6" i="253"/>
  <c r="BY6" i="253"/>
  <c r="BV6" i="253"/>
  <c r="BP6" i="253"/>
  <c r="BP26" i="253"/>
  <c r="BG6" i="253"/>
  <c r="IU211" i="252"/>
  <c r="IT211" i="252"/>
  <c r="HW211" i="252"/>
  <c r="GY211" i="252"/>
  <c r="HW196" i="252"/>
  <c r="GY195" i="252"/>
  <c r="IU194" i="252"/>
  <c r="IT194" i="252"/>
  <c r="HW189" i="252"/>
  <c r="GY189" i="252"/>
  <c r="IU188" i="252"/>
  <c r="IT188" i="252"/>
  <c r="GE187" i="252"/>
  <c r="HW181" i="252"/>
  <c r="GY181" i="252"/>
  <c r="IU180" i="252"/>
  <c r="IT180" i="252"/>
  <c r="FF179" i="252"/>
  <c r="GE178" i="252"/>
  <c r="GE172" i="252"/>
  <c r="FF170" i="252"/>
  <c r="GY168" i="252"/>
  <c r="GE168" i="252"/>
  <c r="HW165" i="252"/>
  <c r="GE164" i="252"/>
  <c r="IU162" i="252"/>
  <c r="IT162" i="252"/>
  <c r="GY162" i="252"/>
  <c r="FF162" i="252"/>
  <c r="HW159" i="252"/>
  <c r="GE159" i="252"/>
  <c r="IU157" i="252"/>
  <c r="IT157" i="252"/>
  <c r="GY156" i="252"/>
  <c r="FF155" i="252"/>
  <c r="GE154" i="252"/>
  <c r="HW153" i="252"/>
  <c r="IT152" i="252"/>
  <c r="GY152" i="252"/>
  <c r="IU149" i="252"/>
  <c r="IT149" i="252"/>
  <c r="GE149" i="252"/>
  <c r="HW148" i="252"/>
  <c r="FF148" i="252"/>
  <c r="GY145" i="252"/>
  <c r="IU144" i="252"/>
  <c r="IT144" i="252"/>
  <c r="GE143" i="252"/>
  <c r="FF142" i="252"/>
  <c r="HW140" i="252"/>
  <c r="GE139" i="252"/>
  <c r="FF138" i="252"/>
  <c r="GY137" i="252"/>
  <c r="GE137" i="252"/>
  <c r="IU136" i="252"/>
  <c r="IT136" i="252"/>
  <c r="FF133" i="252"/>
  <c r="HW131" i="252"/>
  <c r="GE131" i="252"/>
  <c r="IU130" i="252"/>
  <c r="IT130" i="252"/>
  <c r="IT126" i="252"/>
  <c r="HW125" i="252"/>
  <c r="GY125" i="252"/>
  <c r="FF125" i="252"/>
  <c r="IU124" i="252"/>
  <c r="IT124" i="252"/>
  <c r="GE123" i="252"/>
  <c r="FF119" i="252"/>
  <c r="GE117" i="252"/>
  <c r="FF114" i="252"/>
  <c r="GE112" i="252"/>
  <c r="HW109" i="252"/>
  <c r="FF108" i="252"/>
  <c r="GE107" i="252"/>
  <c r="GY106" i="252"/>
  <c r="HW104" i="252"/>
  <c r="GE102" i="252"/>
  <c r="FF102" i="252"/>
  <c r="GY100" i="252"/>
  <c r="HW99" i="252"/>
  <c r="HW97" i="252"/>
  <c r="GE95" i="252"/>
  <c r="HW94" i="252"/>
  <c r="FF94" i="252"/>
  <c r="IU92" i="252"/>
  <c r="IT92" i="252"/>
  <c r="GY91" i="252"/>
  <c r="GE90" i="252"/>
  <c r="FF90" i="252"/>
  <c r="IT87" i="252"/>
  <c r="GE86" i="252"/>
  <c r="HW85" i="252"/>
  <c r="IU84" i="252"/>
  <c r="IT84" i="252"/>
  <c r="FF83" i="252"/>
  <c r="GY82" i="252"/>
  <c r="IU81" i="252"/>
  <c r="IT81" i="252"/>
  <c r="HW81" i="252"/>
  <c r="GE80" i="252"/>
  <c r="HW79" i="252"/>
  <c r="IT78" i="252"/>
  <c r="GY78" i="252"/>
  <c r="FF77" i="252"/>
  <c r="HW76" i="252"/>
  <c r="GE76" i="252"/>
  <c r="IT75" i="252"/>
  <c r="GY74" i="252"/>
  <c r="IU73" i="252"/>
  <c r="IT73" i="252"/>
  <c r="FF72" i="252"/>
  <c r="HW71" i="252"/>
  <c r="IU70" i="252"/>
  <c r="IT70" i="252"/>
  <c r="GE70" i="252"/>
  <c r="HW69" i="252"/>
  <c r="FF68" i="252"/>
  <c r="IU67" i="252"/>
  <c r="IT67" i="252"/>
  <c r="GY65" i="252"/>
  <c r="HW63" i="252"/>
  <c r="IT62" i="252"/>
  <c r="GE61" i="252"/>
  <c r="IU60" i="252"/>
  <c r="IT60" i="252"/>
  <c r="GY59" i="252"/>
  <c r="FF59" i="252"/>
  <c r="HW58" i="252"/>
  <c r="GE57" i="252"/>
  <c r="FF56" i="252"/>
  <c r="IU55" i="252"/>
  <c r="IT55" i="252"/>
  <c r="GY53" i="252"/>
  <c r="GE51" i="252"/>
  <c r="FF51" i="252"/>
  <c r="IU50" i="252"/>
  <c r="IT50" i="252"/>
  <c r="HW48" i="252"/>
  <c r="GY48" i="252"/>
  <c r="GE46" i="252"/>
  <c r="FF46" i="252"/>
  <c r="IU45" i="252"/>
  <c r="IT45" i="252"/>
  <c r="HW43" i="252"/>
  <c r="FF43" i="252"/>
  <c r="GY42" i="252"/>
  <c r="GE41" i="252"/>
  <c r="IU39" i="252"/>
  <c r="IT39" i="252"/>
  <c r="FF36" i="252"/>
  <c r="IU35" i="252"/>
  <c r="IT35" i="252"/>
  <c r="GY35" i="252"/>
  <c r="GE35" i="252"/>
  <c r="HW34" i="252"/>
  <c r="FF31" i="252"/>
  <c r="IU30" i="252"/>
  <c r="IT30" i="252"/>
  <c r="GE30" i="252"/>
  <c r="IU26" i="252"/>
  <c r="IT26" i="252"/>
  <c r="HW26" i="252"/>
  <c r="FF26" i="252"/>
  <c r="IT22" i="252"/>
  <c r="HW21" i="252"/>
  <c r="IU20" i="252"/>
  <c r="IT20" i="252"/>
  <c r="FF20" i="252"/>
  <c r="HW17" i="252"/>
  <c r="GE17" i="252"/>
  <c r="IT16" i="252"/>
  <c r="GY16" i="252"/>
  <c r="IU14" i="252"/>
  <c r="IT14" i="252"/>
  <c r="FF14" i="252"/>
  <c r="HW13" i="252"/>
  <c r="GY13" i="252"/>
  <c r="IU10" i="252"/>
  <c r="IT10" i="252"/>
  <c r="FF10" i="252"/>
  <c r="GE9" i="252"/>
  <c r="DP333" i="251"/>
  <c r="DP324" i="251"/>
  <c r="DP315" i="251"/>
  <c r="DP311" i="251"/>
  <c r="DP307" i="251"/>
  <c r="DP301" i="251"/>
  <c r="DP295" i="251"/>
  <c r="DP289" i="251"/>
  <c r="GI286" i="251"/>
  <c r="GH286" i="251"/>
  <c r="FP286" i="251"/>
  <c r="EY286" i="251"/>
  <c r="DP283" i="251"/>
  <c r="FP274" i="251"/>
  <c r="EY274" i="251"/>
  <c r="DP274" i="251"/>
  <c r="GI273" i="251"/>
  <c r="GH273" i="251"/>
  <c r="DP269" i="251"/>
  <c r="EY266" i="251"/>
  <c r="GI265" i="251"/>
  <c r="GH265" i="251"/>
  <c r="FP265" i="251"/>
  <c r="DP264" i="251"/>
  <c r="EH262" i="251"/>
  <c r="GI257" i="251"/>
  <c r="GH257" i="251"/>
  <c r="FP257" i="251"/>
  <c r="EY257" i="251"/>
  <c r="DP254" i="251"/>
  <c r="EH253" i="251"/>
  <c r="DP251" i="251"/>
  <c r="EH247" i="251"/>
  <c r="GI244" i="251"/>
  <c r="GH244" i="251"/>
  <c r="FP244" i="251"/>
  <c r="DP244" i="251"/>
  <c r="EY243" i="251"/>
  <c r="EH241" i="251"/>
  <c r="GI238" i="251"/>
  <c r="GH238" i="251"/>
  <c r="EY238" i="251"/>
  <c r="FP237" i="251"/>
  <c r="DP236" i="251"/>
  <c r="EH235" i="251"/>
  <c r="GI231" i="251"/>
  <c r="GH231" i="251"/>
  <c r="DP231" i="251"/>
  <c r="EY230" i="251"/>
  <c r="FP228" i="251"/>
  <c r="EH228" i="251"/>
  <c r="DP227" i="251"/>
  <c r="GI223" i="251"/>
  <c r="GH223" i="251"/>
  <c r="FP223" i="251"/>
  <c r="EY223" i="251"/>
  <c r="GI218" i="251"/>
  <c r="GH218" i="251"/>
  <c r="EH218" i="251"/>
  <c r="DP218" i="251"/>
  <c r="FP217" i="251"/>
  <c r="EY217" i="251"/>
  <c r="DP213" i="251"/>
  <c r="EH212" i="251"/>
  <c r="GI210" i="251"/>
  <c r="GH210" i="251"/>
  <c r="FP210" i="251"/>
  <c r="EY208" i="251"/>
  <c r="EH207" i="251"/>
  <c r="DP207" i="251"/>
  <c r="FP203" i="251"/>
  <c r="GI202" i="251"/>
  <c r="GH202" i="251"/>
  <c r="DP202" i="251"/>
  <c r="EY201" i="251"/>
  <c r="EH199" i="251"/>
  <c r="GI196" i="251"/>
  <c r="GH196" i="251"/>
  <c r="FP196" i="251"/>
  <c r="EH193" i="251"/>
  <c r="DP193" i="251"/>
  <c r="GI190" i="251"/>
  <c r="GH190" i="251"/>
  <c r="FP190" i="251"/>
  <c r="EY190" i="251"/>
  <c r="EH188" i="251"/>
  <c r="DP187" i="251"/>
  <c r="EH183" i="251"/>
  <c r="DP180" i="251"/>
  <c r="FZ179" i="251"/>
  <c r="FY179" i="251"/>
  <c r="FX179" i="251"/>
  <c r="FW179" i="251"/>
  <c r="FV179" i="251"/>
  <c r="EY178" i="251"/>
  <c r="EH178" i="251"/>
  <c r="GI177" i="251"/>
  <c r="GH177" i="251"/>
  <c r="DP175" i="251"/>
  <c r="EY173" i="251"/>
  <c r="EH173" i="251"/>
  <c r="GI171" i="251"/>
  <c r="GH171" i="251"/>
  <c r="EY169" i="251"/>
  <c r="EH168" i="251"/>
  <c r="DP167" i="251"/>
  <c r="GI166" i="251"/>
  <c r="GH166" i="251"/>
  <c r="EH166" i="251"/>
  <c r="EY164" i="251"/>
  <c r="EH164" i="251"/>
  <c r="GI160" i="251"/>
  <c r="GH160" i="251"/>
  <c r="DP159" i="251"/>
  <c r="EY157" i="251"/>
  <c r="GI155" i="251"/>
  <c r="GH155" i="251"/>
  <c r="EH155" i="251"/>
  <c r="DP154" i="251"/>
  <c r="EY151" i="251"/>
  <c r="GH149" i="251"/>
  <c r="DP149" i="251"/>
  <c r="EH148" i="251"/>
  <c r="GI146" i="251"/>
  <c r="GH146" i="251"/>
  <c r="FP144" i="251"/>
  <c r="DP144" i="251"/>
  <c r="EH143" i="251"/>
  <c r="GI142" i="251"/>
  <c r="GH142" i="251"/>
  <c r="EY142" i="251"/>
  <c r="FP139" i="251"/>
  <c r="EH139" i="251"/>
  <c r="DP138" i="251"/>
  <c r="GI137" i="251"/>
  <c r="GH137" i="251"/>
  <c r="EY137" i="251"/>
  <c r="FP134" i="251"/>
  <c r="DP134" i="251"/>
  <c r="GI133" i="251"/>
  <c r="GH133" i="251"/>
  <c r="EH132" i="251"/>
  <c r="EY131" i="251"/>
  <c r="GI128" i="251"/>
  <c r="GH128" i="251"/>
  <c r="FP128" i="251"/>
  <c r="DP128" i="251"/>
  <c r="EY125" i="251"/>
  <c r="EH125" i="251"/>
  <c r="GI122" i="251"/>
  <c r="GH122" i="251"/>
  <c r="DP122" i="251"/>
  <c r="FP121" i="251"/>
  <c r="EY120" i="251"/>
  <c r="EH119" i="251"/>
  <c r="GI115" i="251"/>
  <c r="GH115" i="251"/>
  <c r="EY115" i="251"/>
  <c r="EH115" i="251"/>
  <c r="DP114" i="251"/>
  <c r="GI111" i="251"/>
  <c r="GH111" i="251"/>
  <c r="FP110" i="251"/>
  <c r="GI107" i="251"/>
  <c r="GH107" i="251"/>
  <c r="EY107" i="251"/>
  <c r="EH107" i="251"/>
  <c r="DP107" i="251"/>
  <c r="FP105" i="251"/>
  <c r="EY103" i="251"/>
  <c r="GI102" i="251"/>
  <c r="GH102" i="251"/>
  <c r="FP101" i="251"/>
  <c r="EH101" i="251"/>
  <c r="DP100" i="251"/>
  <c r="EY98" i="251"/>
  <c r="GI97" i="251"/>
  <c r="GH97" i="251"/>
  <c r="FP96" i="251"/>
  <c r="EH94" i="251"/>
  <c r="DP94" i="251"/>
  <c r="EY93" i="251"/>
  <c r="GI90" i="251"/>
  <c r="GH90" i="251"/>
  <c r="FP90" i="251"/>
  <c r="EH88" i="251"/>
  <c r="DP88" i="251"/>
  <c r="EY86" i="251"/>
  <c r="FP85" i="251"/>
  <c r="GI83" i="251"/>
  <c r="GH83" i="251"/>
  <c r="EH83" i="251"/>
  <c r="FP81" i="251"/>
  <c r="DP81" i="251"/>
  <c r="EY79" i="251"/>
  <c r="GI78" i="251"/>
  <c r="GH78" i="251"/>
  <c r="FP76" i="251"/>
  <c r="EH76" i="251"/>
  <c r="EY75" i="251"/>
  <c r="DP74" i="251"/>
  <c r="GI73" i="251"/>
  <c r="GH73" i="251"/>
  <c r="EH71" i="251"/>
  <c r="FP70" i="251"/>
  <c r="GI69" i="251"/>
  <c r="GH69" i="251"/>
  <c r="EY69" i="251"/>
  <c r="GI66" i="251"/>
  <c r="GH66" i="251"/>
  <c r="FP65" i="251"/>
  <c r="DP65" i="251"/>
  <c r="EY64" i="251"/>
  <c r="EH62" i="251"/>
  <c r="DP62" i="251"/>
  <c r="GI61" i="251"/>
  <c r="GH61" i="251"/>
  <c r="EY59" i="251"/>
  <c r="DP59" i="251"/>
  <c r="GI57" i="251"/>
  <c r="GH57" i="251"/>
  <c r="FP55" i="251"/>
  <c r="EY55" i="251"/>
  <c r="EH55" i="251"/>
  <c r="DP52" i="251"/>
  <c r="GI51" i="251"/>
  <c r="GH51" i="251"/>
  <c r="EH48" i="251"/>
  <c r="DP47" i="251"/>
  <c r="FP46" i="251"/>
  <c r="EY45" i="251"/>
  <c r="GH43" i="251"/>
  <c r="GI39" i="251"/>
  <c r="GH39" i="251"/>
  <c r="FP39" i="251"/>
  <c r="DP38" i="251"/>
  <c r="EH35" i="251"/>
  <c r="FP34" i="251"/>
  <c r="GH33" i="251"/>
  <c r="FP31" i="251"/>
  <c r="GI30" i="251"/>
  <c r="GH30" i="251"/>
  <c r="DP29" i="251"/>
  <c r="FP27" i="251"/>
  <c r="EH27" i="251"/>
  <c r="GI26" i="251"/>
  <c r="GH26" i="251"/>
  <c r="DP26" i="251"/>
  <c r="EY24" i="251"/>
  <c r="FP22" i="251"/>
  <c r="GH21" i="251"/>
  <c r="EH20" i="251"/>
  <c r="DP19" i="251"/>
  <c r="GI18" i="251"/>
  <c r="GH18" i="251"/>
  <c r="FP17" i="251"/>
  <c r="EY17" i="251"/>
  <c r="EH14" i="251"/>
  <c r="DP13" i="251"/>
  <c r="GH11" i="251"/>
  <c r="EO128" i="250"/>
  <c r="EN128" i="250"/>
  <c r="EA128" i="250"/>
  <c r="DO127" i="250"/>
  <c r="EO115" i="250"/>
  <c r="EN115" i="250"/>
  <c r="DO115" i="250"/>
  <c r="EA112" i="250"/>
  <c r="EA108" i="250"/>
  <c r="EO107" i="250"/>
  <c r="EN107" i="250"/>
  <c r="DO107" i="250"/>
  <c r="CP105" i="250"/>
  <c r="EA100" i="250"/>
  <c r="EO99" i="250"/>
  <c r="EN99" i="250"/>
  <c r="DO96" i="250"/>
  <c r="CP96" i="250"/>
  <c r="CP93" i="250"/>
  <c r="CP90" i="250"/>
  <c r="DO88" i="250"/>
  <c r="DC105" i="250"/>
  <c r="CP87" i="250"/>
  <c r="EO84" i="250"/>
  <c r="EN84" i="250"/>
  <c r="EA82" i="250"/>
  <c r="CP80" i="250"/>
  <c r="EO79" i="250"/>
  <c r="EN79" i="250"/>
  <c r="DC96" i="250"/>
  <c r="EA78" i="250"/>
  <c r="DO77" i="250"/>
  <c r="DC93" i="250"/>
  <c r="CO75" i="250"/>
  <c r="CM75" i="250"/>
  <c r="CO74" i="250"/>
  <c r="CM74" i="250"/>
  <c r="EO73" i="250"/>
  <c r="EN73" i="250"/>
  <c r="DC90" i="250"/>
  <c r="EA71" i="250"/>
  <c r="DO70" i="250"/>
  <c r="DC71" i="250"/>
  <c r="CP69" i="250"/>
  <c r="EO67" i="250"/>
  <c r="EN67" i="250"/>
  <c r="EA65" i="250"/>
  <c r="CP65" i="250"/>
  <c r="EO62" i="250"/>
  <c r="EN62" i="250"/>
  <c r="DC63" i="250"/>
  <c r="CP61" i="250"/>
  <c r="EA57" i="250"/>
  <c r="DO56" i="250"/>
  <c r="EO55" i="250"/>
  <c r="EN55" i="250"/>
  <c r="CP54" i="250"/>
  <c r="DC53" i="250"/>
  <c r="DO48" i="250"/>
  <c r="CP48" i="250"/>
  <c r="DC46" i="250"/>
  <c r="CP43" i="250"/>
  <c r="DC43" i="250"/>
  <c r="EO41" i="250"/>
  <c r="EN41" i="250"/>
  <c r="EA41" i="250"/>
  <c r="DC40" i="250"/>
  <c r="CP38" i="250"/>
  <c r="EN37" i="250"/>
  <c r="EO35" i="250"/>
  <c r="EN35" i="250"/>
  <c r="EA35" i="250"/>
  <c r="DO34" i="250"/>
  <c r="DC33" i="250"/>
  <c r="CP31" i="250"/>
  <c r="EN29" i="250"/>
  <c r="EA29" i="250"/>
  <c r="DO28" i="250"/>
  <c r="EO27" i="250"/>
  <c r="EN27" i="250"/>
  <c r="DC26" i="250"/>
  <c r="CP24" i="250"/>
  <c r="EA23" i="250"/>
  <c r="EO22" i="250"/>
  <c r="EN22" i="250"/>
  <c r="CP19" i="250"/>
  <c r="DC19" i="250"/>
  <c r="EO17" i="250"/>
  <c r="EN17" i="250"/>
  <c r="DO16" i="250"/>
  <c r="EA15" i="250"/>
  <c r="CP14" i="250"/>
  <c r="EA12" i="250"/>
  <c r="DO11" i="250"/>
  <c r="DC11" i="250"/>
  <c r="CP11" i="250"/>
  <c r="EO10" i="250"/>
  <c r="EN10" i="250"/>
  <c r="U31" i="243"/>
  <c r="V16" i="243"/>
  <c r="R31" i="243"/>
  <c r="S27" i="243"/>
  <c r="O31" i="243"/>
  <c r="P16" i="243"/>
  <c r="L31" i="243"/>
  <c r="M24" i="243"/>
  <c r="I31" i="243"/>
  <c r="G31" i="243"/>
  <c r="F31" i="243"/>
  <c r="E31" i="243"/>
  <c r="D31" i="243"/>
  <c r="W27" i="243"/>
  <c r="W26" i="243"/>
  <c r="T26" i="243"/>
  <c r="Q26" i="243"/>
  <c r="N26" i="243"/>
  <c r="K26" i="243"/>
  <c r="W25" i="243"/>
  <c r="T25" i="243"/>
  <c r="Q25" i="243"/>
  <c r="N25" i="243"/>
  <c r="K25" i="243"/>
  <c r="W24" i="243"/>
  <c r="T24" i="243"/>
  <c r="Q24" i="243"/>
  <c r="N24" i="243"/>
  <c r="K24" i="243"/>
  <c r="W23" i="243"/>
  <c r="T23" i="243"/>
  <c r="Q23" i="243"/>
  <c r="N23" i="243"/>
  <c r="K23" i="243"/>
  <c r="W22" i="243"/>
  <c r="T22" i="243"/>
  <c r="Q22" i="243"/>
  <c r="N22" i="243"/>
  <c r="K22" i="243"/>
  <c r="W21" i="243"/>
  <c r="T21" i="243"/>
  <c r="Q21" i="243"/>
  <c r="N21" i="243"/>
  <c r="K21" i="243"/>
  <c r="H21" i="243"/>
  <c r="W20" i="243"/>
  <c r="T20" i="243"/>
  <c r="Q20" i="243"/>
  <c r="H20" i="243"/>
  <c r="W19" i="243"/>
  <c r="T19" i="243"/>
  <c r="Q19" i="243"/>
  <c r="N19" i="243"/>
  <c r="K19" i="243"/>
  <c r="W18" i="243"/>
  <c r="T18" i="243"/>
  <c r="Q18" i="243"/>
  <c r="N18" i="243"/>
  <c r="K18" i="243"/>
  <c r="W17" i="243"/>
  <c r="T17" i="243"/>
  <c r="Q17" i="243"/>
  <c r="N17" i="243"/>
  <c r="K17" i="243"/>
  <c r="W16" i="243"/>
  <c r="T16" i="243"/>
  <c r="Q16" i="243"/>
  <c r="N16" i="243"/>
  <c r="K16" i="243"/>
  <c r="W15" i="243"/>
  <c r="T15" i="243"/>
  <c r="Q15" i="243"/>
  <c r="N15" i="243"/>
  <c r="K15" i="243"/>
  <c r="W14" i="243"/>
  <c r="T14" i="243"/>
  <c r="Q14" i="243"/>
  <c r="N14" i="243"/>
  <c r="K14" i="243"/>
  <c r="H14" i="243"/>
  <c r="W13" i="243"/>
  <c r="T13" i="243"/>
  <c r="Q13" i="243"/>
  <c r="N13" i="243"/>
  <c r="K13" i="243"/>
  <c r="H13" i="243"/>
  <c r="W12" i="243"/>
  <c r="T12" i="243"/>
  <c r="Q12" i="243"/>
  <c r="N12" i="243"/>
  <c r="K12" i="243"/>
  <c r="H12" i="243"/>
  <c r="W11" i="243"/>
  <c r="T11" i="243"/>
  <c r="Q11" i="243"/>
  <c r="N11" i="243"/>
  <c r="K11" i="243"/>
  <c r="W10" i="243"/>
  <c r="T10" i="243"/>
  <c r="Q10" i="243"/>
  <c r="N10" i="243"/>
  <c r="K10" i="243"/>
  <c r="H10" i="243"/>
  <c r="K9" i="243"/>
  <c r="W8" i="243"/>
  <c r="T8" i="243"/>
  <c r="Q8" i="243"/>
  <c r="N8" i="243"/>
  <c r="K8" i="243"/>
  <c r="H8" i="243"/>
  <c r="W7" i="243"/>
  <c r="T7" i="243"/>
  <c r="Q7" i="243"/>
  <c r="N7" i="243"/>
  <c r="K7" i="243"/>
  <c r="H7" i="243"/>
  <c r="W6" i="243"/>
  <c r="T6" i="243"/>
  <c r="Q6" i="243"/>
  <c r="N6" i="243"/>
  <c r="K6" i="243"/>
  <c r="H6" i="243"/>
  <c r="P18" i="242"/>
  <c r="M18" i="242"/>
  <c r="N14" i="242"/>
  <c r="J18" i="242"/>
  <c r="K14" i="242"/>
  <c r="I18" i="242"/>
  <c r="H18" i="242"/>
  <c r="F18" i="242"/>
  <c r="E18" i="242"/>
  <c r="C18" i="242"/>
  <c r="R17" i="242"/>
  <c r="O17" i="242"/>
  <c r="L17" i="242"/>
  <c r="I17" i="242"/>
  <c r="H17" i="242"/>
  <c r="F17" i="242"/>
  <c r="E17" i="242"/>
  <c r="C17" i="242"/>
  <c r="H16" i="242"/>
  <c r="F16" i="242"/>
  <c r="E16" i="242"/>
  <c r="C16" i="242"/>
  <c r="R15" i="242"/>
  <c r="O15" i="242"/>
  <c r="L15" i="242"/>
  <c r="I15" i="242"/>
  <c r="H15" i="242"/>
  <c r="F15" i="242"/>
  <c r="E15" i="242"/>
  <c r="C15" i="242"/>
  <c r="R14" i="242"/>
  <c r="O14" i="242"/>
  <c r="L14" i="242"/>
  <c r="H14" i="242"/>
  <c r="F14" i="242"/>
  <c r="E14" i="242"/>
  <c r="C14" i="242"/>
  <c r="R13" i="242"/>
  <c r="O13" i="242"/>
  <c r="L13" i="242"/>
  <c r="I13" i="242"/>
  <c r="H13" i="242"/>
  <c r="F13" i="242"/>
  <c r="E13" i="242"/>
  <c r="C13" i="242"/>
  <c r="R12" i="242"/>
  <c r="O12" i="242"/>
  <c r="L12" i="242"/>
  <c r="I12" i="242"/>
  <c r="H12" i="242"/>
  <c r="F12" i="242"/>
  <c r="E12" i="242"/>
  <c r="C12" i="242"/>
  <c r="R11" i="242"/>
  <c r="O11" i="242"/>
  <c r="L11" i="242"/>
  <c r="I11" i="242"/>
  <c r="H11" i="242"/>
  <c r="F11" i="242"/>
  <c r="E11" i="242"/>
  <c r="C11" i="242"/>
  <c r="R10" i="242"/>
  <c r="O10" i="242"/>
  <c r="L10" i="242"/>
  <c r="I10" i="242"/>
  <c r="H10" i="242"/>
  <c r="F10" i="242"/>
  <c r="E10" i="242"/>
  <c r="C10" i="242"/>
  <c r="R9" i="242"/>
  <c r="O9" i="242"/>
  <c r="L9" i="242"/>
  <c r="I9" i="242"/>
  <c r="H9" i="242"/>
  <c r="F9" i="242"/>
  <c r="E9" i="242"/>
  <c r="C9" i="242"/>
  <c r="R8" i="242"/>
  <c r="O8" i="242"/>
  <c r="L8" i="242"/>
  <c r="I8" i="242"/>
  <c r="H8" i="242"/>
  <c r="F8" i="242"/>
  <c r="E8" i="242"/>
  <c r="C8" i="242"/>
  <c r="R7" i="242"/>
  <c r="O7" i="242"/>
  <c r="L7" i="242"/>
  <c r="I7" i="242"/>
  <c r="H7" i="242"/>
  <c r="F7" i="242"/>
  <c r="E7" i="242"/>
  <c r="C7" i="242"/>
  <c r="E102" i="237"/>
  <c r="D102" i="237"/>
  <c r="C102" i="237"/>
  <c r="F101" i="237"/>
  <c r="F100" i="237"/>
  <c r="F99" i="237"/>
  <c r="F98" i="237"/>
  <c r="F97" i="237"/>
  <c r="F96" i="237"/>
  <c r="D92" i="237"/>
  <c r="C92" i="237"/>
  <c r="E91" i="237"/>
  <c r="F91" i="237"/>
  <c r="E90" i="237"/>
  <c r="F90" i="237"/>
  <c r="E89" i="237"/>
  <c r="F89" i="237"/>
  <c r="E88" i="237"/>
  <c r="E87" i="237"/>
  <c r="F87" i="237"/>
  <c r="E86" i="237"/>
  <c r="F86" i="237"/>
  <c r="D82" i="237"/>
  <c r="C82" i="237"/>
  <c r="E81" i="237"/>
  <c r="F81" i="237"/>
  <c r="E80" i="237"/>
  <c r="F80" i="237"/>
  <c r="E79" i="237"/>
  <c r="F79" i="237"/>
  <c r="E78" i="237"/>
  <c r="F78" i="237"/>
  <c r="E77" i="237"/>
  <c r="E76" i="237"/>
  <c r="D72" i="237"/>
  <c r="C72" i="237"/>
  <c r="E71" i="237"/>
  <c r="F71" i="237"/>
  <c r="E70" i="237"/>
  <c r="F70" i="237"/>
  <c r="E69" i="237"/>
  <c r="F69" i="237"/>
  <c r="E68" i="237"/>
  <c r="F68" i="237"/>
  <c r="E67" i="237"/>
  <c r="E66" i="237"/>
  <c r="AC31" i="235"/>
  <c r="AB31" i="235"/>
  <c r="Z31" i="235"/>
  <c r="AA31" i="235"/>
  <c r="Y31" i="235"/>
  <c r="W31" i="235"/>
  <c r="X31" i="235"/>
  <c r="V31" i="235"/>
  <c r="T31" i="235"/>
  <c r="S31" i="235"/>
  <c r="U31" i="235"/>
  <c r="O31" i="235"/>
  <c r="L31" i="235"/>
  <c r="K31" i="235"/>
  <c r="H31" i="235"/>
  <c r="G31" i="235"/>
  <c r="D31" i="235"/>
  <c r="C31" i="235"/>
  <c r="AC30" i="235"/>
  <c r="AB30" i="235"/>
  <c r="Z30" i="235"/>
  <c r="Y30" i="235"/>
  <c r="W30" i="235"/>
  <c r="V30" i="235"/>
  <c r="T30" i="235"/>
  <c r="S30" i="235"/>
  <c r="U30" i="235"/>
  <c r="P30" i="235"/>
  <c r="R30" i="235"/>
  <c r="O30" i="235"/>
  <c r="L30" i="235"/>
  <c r="K30" i="235"/>
  <c r="H30" i="235"/>
  <c r="G30" i="235"/>
  <c r="D30" i="235"/>
  <c r="C30" i="235"/>
  <c r="F30" i="235"/>
  <c r="AC29" i="235"/>
  <c r="AB29" i="235"/>
  <c r="Z29" i="235"/>
  <c r="AA29" i="235"/>
  <c r="Y29" i="235"/>
  <c r="V29" i="235"/>
  <c r="S29" i="235"/>
  <c r="O29" i="235"/>
  <c r="K29" i="235"/>
  <c r="G29" i="235"/>
  <c r="C29" i="235"/>
  <c r="AD27" i="235"/>
  <c r="AA27" i="235"/>
  <c r="X27" i="235"/>
  <c r="U27" i="235"/>
  <c r="P27" i="235"/>
  <c r="AD23" i="235"/>
  <c r="AA23" i="235"/>
  <c r="X23" i="235"/>
  <c r="U23" i="235"/>
  <c r="R23" i="235"/>
  <c r="Q23" i="235"/>
  <c r="N23" i="235"/>
  <c r="M23" i="235"/>
  <c r="J23" i="235"/>
  <c r="I23" i="235"/>
  <c r="F23" i="235"/>
  <c r="E23" i="235"/>
  <c r="AD22" i="235"/>
  <c r="AA22" i="235"/>
  <c r="X22" i="235"/>
  <c r="U22" i="235"/>
  <c r="R22" i="235"/>
  <c r="Q22" i="235"/>
  <c r="N22" i="235"/>
  <c r="M22" i="235"/>
  <c r="J22" i="235"/>
  <c r="I22" i="235"/>
  <c r="F22" i="235"/>
  <c r="E22" i="235"/>
  <c r="AD21" i="235"/>
  <c r="AA21" i="235"/>
  <c r="X21" i="235"/>
  <c r="T21" i="235"/>
  <c r="U21" i="235"/>
  <c r="P21" i="235"/>
  <c r="R21" i="235"/>
  <c r="L21" i="235"/>
  <c r="H21" i="235"/>
  <c r="I21" i="235"/>
  <c r="D21" i="235"/>
  <c r="D29" i="235"/>
  <c r="F29" i="235"/>
  <c r="V20" i="235"/>
  <c r="S20" i="235"/>
  <c r="AD19" i="235"/>
  <c r="AA19" i="235"/>
  <c r="X19" i="235"/>
  <c r="U19" i="235"/>
  <c r="N19" i="235"/>
  <c r="M19" i="235"/>
  <c r="J19" i="235"/>
  <c r="I19" i="235"/>
  <c r="F19" i="235"/>
  <c r="E19" i="235"/>
  <c r="AD18" i="235"/>
  <c r="AA18" i="235"/>
  <c r="X18" i="235"/>
  <c r="U18" i="235"/>
  <c r="N18" i="235"/>
  <c r="M18" i="235"/>
  <c r="J18" i="235"/>
  <c r="I18" i="235"/>
  <c r="F18" i="235"/>
  <c r="E18" i="235"/>
  <c r="AD17" i="235"/>
  <c r="AA17" i="235"/>
  <c r="X17" i="235"/>
  <c r="U17" i="235"/>
  <c r="L17" i="235"/>
  <c r="M17" i="235"/>
  <c r="H17" i="235"/>
  <c r="D17" i="235"/>
  <c r="F17" i="235"/>
  <c r="AD15" i="235"/>
  <c r="AA15" i="235"/>
  <c r="X15" i="235"/>
  <c r="U15" i="235"/>
  <c r="R15" i="235"/>
  <c r="Q15" i="235"/>
  <c r="N15" i="235"/>
  <c r="M15" i="235"/>
  <c r="J15" i="235"/>
  <c r="I15" i="235"/>
  <c r="F15" i="235"/>
  <c r="E15" i="235"/>
  <c r="AD14" i="235"/>
  <c r="AA14" i="235"/>
  <c r="X14" i="235"/>
  <c r="U14" i="235"/>
  <c r="R14" i="235"/>
  <c r="Q14" i="235"/>
  <c r="N14" i="235"/>
  <c r="M14" i="235"/>
  <c r="J14" i="235"/>
  <c r="I14" i="235"/>
  <c r="F14" i="235"/>
  <c r="E14" i="235"/>
  <c r="AD13" i="235"/>
  <c r="AA13" i="235"/>
  <c r="X13" i="235"/>
  <c r="T13" i="235"/>
  <c r="U13" i="235"/>
  <c r="P13" i="235"/>
  <c r="R13" i="235"/>
  <c r="L13" i="235"/>
  <c r="H13" i="235"/>
  <c r="J13" i="235"/>
  <c r="D13" i="235"/>
  <c r="E13" i="235"/>
  <c r="AD11" i="235"/>
  <c r="AA11" i="235"/>
  <c r="X11" i="235"/>
  <c r="U11" i="235"/>
  <c r="R11" i="235"/>
  <c r="Q11" i="235"/>
  <c r="N11" i="235"/>
  <c r="M11" i="235"/>
  <c r="J11" i="235"/>
  <c r="I11" i="235"/>
  <c r="F11" i="235"/>
  <c r="E11" i="235"/>
  <c r="AD10" i="235"/>
  <c r="AA10" i="235"/>
  <c r="X10" i="235"/>
  <c r="U10" i="235"/>
  <c r="R10" i="235"/>
  <c r="Q10" i="235"/>
  <c r="N10" i="235"/>
  <c r="M10" i="235"/>
  <c r="J10" i="235"/>
  <c r="I10" i="235"/>
  <c r="F10" i="235"/>
  <c r="E10" i="235"/>
  <c r="AD9" i="235"/>
  <c r="AA9" i="235"/>
  <c r="X9" i="235"/>
  <c r="T9" i="235"/>
  <c r="R9" i="235"/>
  <c r="Q9" i="235"/>
  <c r="N9" i="235"/>
  <c r="M9" i="235"/>
  <c r="J9" i="235"/>
  <c r="I9" i="235"/>
  <c r="F9" i="235"/>
  <c r="E9" i="235"/>
  <c r="AD7" i="235"/>
  <c r="AA7" i="235"/>
  <c r="X7" i="235"/>
  <c r="U7" i="235"/>
  <c r="R7" i="235"/>
  <c r="Q7" i="235"/>
  <c r="N7" i="235"/>
  <c r="M7" i="235"/>
  <c r="J7" i="235"/>
  <c r="I7" i="235"/>
  <c r="F7" i="235"/>
  <c r="E7" i="235"/>
  <c r="AD6" i="235"/>
  <c r="AA6" i="235"/>
  <c r="X6" i="235"/>
  <c r="U6" i="235"/>
  <c r="R6" i="235"/>
  <c r="Q6" i="235"/>
  <c r="N6" i="235"/>
  <c r="M6" i="235"/>
  <c r="J6" i="235"/>
  <c r="I6" i="235"/>
  <c r="F6" i="235"/>
  <c r="E6" i="235"/>
  <c r="AD5" i="235"/>
  <c r="AA5" i="235"/>
  <c r="W5" i="235"/>
  <c r="X5" i="235"/>
  <c r="T5" i="235"/>
  <c r="U5" i="235"/>
  <c r="P5" i="235"/>
  <c r="L5" i="235"/>
  <c r="N5" i="235"/>
  <c r="H5" i="235"/>
  <c r="J5" i="235"/>
  <c r="D5" i="235"/>
  <c r="BM41" i="234"/>
  <c r="BO41" i="234"/>
  <c r="BG41" i="234"/>
  <c r="BI41" i="234"/>
  <c r="BA41" i="234"/>
  <c r="BC41" i="234"/>
  <c r="AU41" i="234"/>
  <c r="AW41" i="234"/>
  <c r="AN41" i="234"/>
  <c r="AO41" i="234"/>
  <c r="AQ41" i="234"/>
  <c r="BN39" i="234"/>
  <c r="BN11" i="234"/>
  <c r="BN43" i="234"/>
  <c r="BN18" i="234"/>
  <c r="BN25" i="234"/>
  <c r="BN32" i="234"/>
  <c r="BL39" i="234"/>
  <c r="BL43" i="234"/>
  <c r="BK39" i="234"/>
  <c r="BH39" i="234"/>
  <c r="BF39" i="234"/>
  <c r="BE39" i="234"/>
  <c r="BB39" i="234"/>
  <c r="AZ39" i="234"/>
  <c r="AY39" i="234"/>
  <c r="AV39" i="234"/>
  <c r="AV43" i="234"/>
  <c r="AT39" i="234"/>
  <c r="AS39" i="234"/>
  <c r="AP39" i="234"/>
  <c r="AN39" i="234"/>
  <c r="AM39" i="234"/>
  <c r="BM38" i="234"/>
  <c r="BO38" i="234"/>
  <c r="BG38" i="234"/>
  <c r="BG39" i="234"/>
  <c r="BI39" i="234"/>
  <c r="BA38" i="234"/>
  <c r="BC38" i="234"/>
  <c r="AU38" i="234"/>
  <c r="AW38" i="234"/>
  <c r="AO38" i="234"/>
  <c r="AQ38" i="234"/>
  <c r="BM37" i="234"/>
  <c r="BO37" i="234"/>
  <c r="BG37" i="234"/>
  <c r="BI37" i="234"/>
  <c r="BA37" i="234"/>
  <c r="AU37" i="234"/>
  <c r="AW37" i="234"/>
  <c r="AO37" i="234"/>
  <c r="BM36" i="234"/>
  <c r="BM39" i="234"/>
  <c r="BO39" i="234"/>
  <c r="BG36" i="234"/>
  <c r="BA36" i="234"/>
  <c r="BC36" i="234"/>
  <c r="AU36" i="234"/>
  <c r="AW36" i="234"/>
  <c r="AO36" i="234"/>
  <c r="AQ36" i="234"/>
  <c r="BM35" i="234"/>
  <c r="BO35" i="234"/>
  <c r="BG35" i="234"/>
  <c r="BI35" i="234"/>
  <c r="BA35" i="234"/>
  <c r="BC35" i="234"/>
  <c r="AU35" i="234"/>
  <c r="AO35" i="234"/>
  <c r="AQ35" i="234"/>
  <c r="BM34" i="234"/>
  <c r="BO34" i="234"/>
  <c r="BG34" i="234"/>
  <c r="BA34" i="234"/>
  <c r="BC34" i="234"/>
  <c r="AU34" i="234"/>
  <c r="AO34" i="234"/>
  <c r="AO39" i="234"/>
  <c r="AQ39" i="234"/>
  <c r="BL32" i="234"/>
  <c r="BK32" i="234"/>
  <c r="BH32" i="234"/>
  <c r="BF32" i="234"/>
  <c r="BE32" i="234"/>
  <c r="BB32" i="234"/>
  <c r="AZ32" i="234"/>
  <c r="AY32" i="234"/>
  <c r="AY43" i="234"/>
  <c r="AV32" i="234"/>
  <c r="AT32" i="234"/>
  <c r="AS32" i="234"/>
  <c r="AP32" i="234"/>
  <c r="AM32" i="234"/>
  <c r="BM31" i="234"/>
  <c r="BG31" i="234"/>
  <c r="BG32" i="234"/>
  <c r="BI32" i="234"/>
  <c r="BA31" i="234"/>
  <c r="AU31" i="234"/>
  <c r="AO31" i="234"/>
  <c r="BM30" i="234"/>
  <c r="BO30" i="234"/>
  <c r="BG30" i="234"/>
  <c r="BI30" i="234"/>
  <c r="BA30" i="234"/>
  <c r="AU30" i="234"/>
  <c r="AW30" i="234"/>
  <c r="AN30" i="234"/>
  <c r="AO30" i="234"/>
  <c r="BM29" i="234"/>
  <c r="BG29" i="234"/>
  <c r="BA29" i="234"/>
  <c r="BA32" i="234"/>
  <c r="BC32" i="234"/>
  <c r="AU29" i="234"/>
  <c r="AO29" i="234"/>
  <c r="BM28" i="234"/>
  <c r="BG28" i="234"/>
  <c r="BA28" i="234"/>
  <c r="AU28" i="234"/>
  <c r="AO28" i="234"/>
  <c r="BM27" i="234"/>
  <c r="BM32" i="234"/>
  <c r="BO32" i="234"/>
  <c r="BG27" i="234"/>
  <c r="BA27" i="234"/>
  <c r="AU27" i="234"/>
  <c r="AO27" i="234"/>
  <c r="BL25" i="234"/>
  <c r="BK25" i="234"/>
  <c r="BH25" i="234"/>
  <c r="BF25" i="234"/>
  <c r="BF43" i="234"/>
  <c r="BE25" i="234"/>
  <c r="BB25" i="234"/>
  <c r="AZ25" i="234"/>
  <c r="AY25" i="234"/>
  <c r="AV25" i="234"/>
  <c r="AT25" i="234"/>
  <c r="AS25" i="234"/>
  <c r="AP25" i="234"/>
  <c r="AP43" i="234"/>
  <c r="AM25" i="234"/>
  <c r="BM24" i="234"/>
  <c r="BO24" i="234"/>
  <c r="BG24" i="234"/>
  <c r="BI24" i="234"/>
  <c r="BA24" i="234"/>
  <c r="BC24" i="234"/>
  <c r="AU24" i="234"/>
  <c r="AW24" i="234"/>
  <c r="AO24" i="234"/>
  <c r="AQ24" i="234"/>
  <c r="BM23" i="234"/>
  <c r="BO23" i="234"/>
  <c r="BG23" i="234"/>
  <c r="BI23" i="234"/>
  <c r="BA23" i="234"/>
  <c r="BC23" i="234"/>
  <c r="AU23" i="234"/>
  <c r="AW23" i="234"/>
  <c r="AO23" i="234"/>
  <c r="AQ23" i="234"/>
  <c r="BM22" i="234"/>
  <c r="BO22" i="234"/>
  <c r="BG22" i="234"/>
  <c r="BG25" i="234"/>
  <c r="BI25" i="234"/>
  <c r="BA22" i="234"/>
  <c r="BC22" i="234"/>
  <c r="AU22" i="234"/>
  <c r="AW22" i="234"/>
  <c r="AN22" i="234"/>
  <c r="AO22" i="234"/>
  <c r="AQ22" i="234"/>
  <c r="BM21" i="234"/>
  <c r="BM25" i="234"/>
  <c r="BO25" i="234"/>
  <c r="BM20" i="234"/>
  <c r="BO20" i="234"/>
  <c r="BG21" i="234"/>
  <c r="BA21" i="234"/>
  <c r="BC21" i="234"/>
  <c r="AU21" i="234"/>
  <c r="AU25" i="234"/>
  <c r="AW25" i="234"/>
  <c r="AO21" i="234"/>
  <c r="AQ21" i="234"/>
  <c r="BG20" i="234"/>
  <c r="BI20" i="234"/>
  <c r="BA20" i="234"/>
  <c r="AU20" i="234"/>
  <c r="AO20" i="234"/>
  <c r="AO25" i="234"/>
  <c r="AQ25" i="234"/>
  <c r="BL18" i="234"/>
  <c r="BK18" i="234"/>
  <c r="BH18" i="234"/>
  <c r="BF18" i="234"/>
  <c r="BE18" i="234"/>
  <c r="BE11" i="234"/>
  <c r="BE43" i="234"/>
  <c r="BB18" i="234"/>
  <c r="AZ18" i="234"/>
  <c r="AY18" i="234"/>
  <c r="AV18" i="234"/>
  <c r="AU13" i="234"/>
  <c r="AU14" i="234"/>
  <c r="AU15" i="234"/>
  <c r="AU16" i="234"/>
  <c r="AU18" i="234"/>
  <c r="AW18" i="234"/>
  <c r="AU17" i="234"/>
  <c r="AW17" i="234"/>
  <c r="AT18" i="234"/>
  <c r="AS18" i="234"/>
  <c r="AP18" i="234"/>
  <c r="AN18" i="234"/>
  <c r="AM18" i="234"/>
  <c r="BM17" i="234"/>
  <c r="BO17" i="234"/>
  <c r="BG17" i="234"/>
  <c r="BI17" i="234"/>
  <c r="BA17" i="234"/>
  <c r="BC17" i="234"/>
  <c r="AO17" i="234"/>
  <c r="AQ17" i="234"/>
  <c r="BM16" i="234"/>
  <c r="BO16" i="234"/>
  <c r="BG16" i="234"/>
  <c r="BI16" i="234"/>
  <c r="BA16" i="234"/>
  <c r="AO16" i="234"/>
  <c r="AQ16" i="234"/>
  <c r="BM15" i="234"/>
  <c r="BO15" i="234"/>
  <c r="BG15" i="234"/>
  <c r="BI15" i="234"/>
  <c r="BA15" i="234"/>
  <c r="BC15" i="234"/>
  <c r="AW15" i="234"/>
  <c r="AO15" i="234"/>
  <c r="AQ15" i="234"/>
  <c r="BM14" i="234"/>
  <c r="BO14" i="234"/>
  <c r="BG14" i="234"/>
  <c r="BI14" i="234"/>
  <c r="BA14" i="234"/>
  <c r="BC14" i="234"/>
  <c r="AO14" i="234"/>
  <c r="BM13" i="234"/>
  <c r="BM18" i="234"/>
  <c r="BG13" i="234"/>
  <c r="BI13" i="234"/>
  <c r="BA13" i="234"/>
  <c r="AO13" i="234"/>
  <c r="AQ13" i="234"/>
  <c r="BL11" i="234"/>
  <c r="BK11" i="234"/>
  <c r="BK43" i="234"/>
  <c r="BH11" i="234"/>
  <c r="BH43" i="234"/>
  <c r="BF11" i="234"/>
  <c r="BB11" i="234"/>
  <c r="AZ11" i="234"/>
  <c r="AY11" i="234"/>
  <c r="AV11" i="234"/>
  <c r="AT11" i="234"/>
  <c r="AT43" i="234"/>
  <c r="AS11" i="234"/>
  <c r="AS43" i="234"/>
  <c r="AP11" i="234"/>
  <c r="AM11" i="234"/>
  <c r="AM43" i="234"/>
  <c r="BM10" i="234"/>
  <c r="BO10" i="234"/>
  <c r="BG10" i="234"/>
  <c r="BI10" i="234"/>
  <c r="BA10" i="234"/>
  <c r="AU10" i="234"/>
  <c r="AW10" i="234"/>
  <c r="AO10" i="234"/>
  <c r="AQ10" i="234"/>
  <c r="BM9" i="234"/>
  <c r="BO9" i="234"/>
  <c r="BG9" i="234"/>
  <c r="BG11" i="234"/>
  <c r="BA9" i="234"/>
  <c r="BC9" i="234"/>
  <c r="AU9" i="234"/>
  <c r="AW9" i="234"/>
  <c r="AN9" i="234"/>
  <c r="AO9" i="234"/>
  <c r="AQ9" i="234"/>
  <c r="BM8" i="234"/>
  <c r="BG8" i="234"/>
  <c r="BA8" i="234"/>
  <c r="BC8" i="234"/>
  <c r="AU8" i="234"/>
  <c r="AW8" i="234"/>
  <c r="AN8" i="234"/>
  <c r="AO8" i="234"/>
  <c r="AO11" i="234"/>
  <c r="BM7" i="234"/>
  <c r="BO7" i="234"/>
  <c r="BG7" i="234"/>
  <c r="BI7" i="234"/>
  <c r="BA7" i="234"/>
  <c r="BC7" i="234"/>
  <c r="AU7" i="234"/>
  <c r="AU11" i="234"/>
  <c r="AN7" i="234"/>
  <c r="BM6" i="234"/>
  <c r="BO6" i="234"/>
  <c r="BG6" i="234"/>
  <c r="BI6" i="234"/>
  <c r="BA6" i="234"/>
  <c r="BC6" i="234"/>
  <c r="AU6" i="234"/>
  <c r="AW6" i="234"/>
  <c r="AN6" i="234"/>
  <c r="AT41" i="233"/>
  <c r="AP41" i="233"/>
  <c r="AL41" i="233"/>
  <c r="AH41" i="233"/>
  <c r="AD41" i="233"/>
  <c r="AS39" i="233"/>
  <c r="AR39" i="233"/>
  <c r="AR11" i="233"/>
  <c r="AR18" i="233"/>
  <c r="AR43" i="233"/>
  <c r="AT43" i="233"/>
  <c r="AR25" i="233"/>
  <c r="AR32" i="233"/>
  <c r="AS11" i="233"/>
  <c r="AS18" i="233"/>
  <c r="AS25" i="233"/>
  <c r="AS32" i="233"/>
  <c r="AO39" i="233"/>
  <c r="AN39" i="233"/>
  <c r="AN43" i="233"/>
  <c r="AP43" i="233"/>
  <c r="AK39" i="233"/>
  <c r="AJ39" i="233"/>
  <c r="AG39" i="233"/>
  <c r="AF39" i="233"/>
  <c r="AB39" i="233"/>
  <c r="AD39" i="233"/>
  <c r="AT38" i="233"/>
  <c r="AP38" i="233"/>
  <c r="AL38" i="233"/>
  <c r="AH38" i="233"/>
  <c r="AD38" i="233"/>
  <c r="AT37" i="233"/>
  <c r="AP37" i="233"/>
  <c r="AL37" i="233"/>
  <c r="AH37" i="233"/>
  <c r="AD37" i="233"/>
  <c r="AT36" i="233"/>
  <c r="AP36" i="233"/>
  <c r="AL36" i="233"/>
  <c r="AH36" i="233"/>
  <c r="AD36" i="233"/>
  <c r="AT35" i="233"/>
  <c r="AP35" i="233"/>
  <c r="AL35" i="233"/>
  <c r="AH35" i="233"/>
  <c r="AD35" i="233"/>
  <c r="AT34" i="233"/>
  <c r="AP34" i="233"/>
  <c r="AL34" i="233"/>
  <c r="AH34" i="233"/>
  <c r="AD34" i="233"/>
  <c r="AO32" i="233"/>
  <c r="AP32" i="233"/>
  <c r="AN32" i="233"/>
  <c r="AK32" i="233"/>
  <c r="AJ32" i="233"/>
  <c r="AG32" i="233"/>
  <c r="AF32" i="233"/>
  <c r="AB32" i="233"/>
  <c r="AT31" i="233"/>
  <c r="AP31" i="233"/>
  <c r="AL31" i="233"/>
  <c r="AH31" i="233"/>
  <c r="AD31" i="233"/>
  <c r="AT30" i="233"/>
  <c r="AP30" i="233"/>
  <c r="AL30" i="233"/>
  <c r="AH30" i="233"/>
  <c r="AD30" i="233"/>
  <c r="AT29" i="233"/>
  <c r="AP29" i="233"/>
  <c r="AL29" i="233"/>
  <c r="AH29" i="233"/>
  <c r="AD29" i="233"/>
  <c r="AT28" i="233"/>
  <c r="AP28" i="233"/>
  <c r="AL28" i="233"/>
  <c r="AH28" i="233"/>
  <c r="AD28" i="233"/>
  <c r="AT27" i="233"/>
  <c r="AP27" i="233"/>
  <c r="AL27" i="233"/>
  <c r="AH27" i="233"/>
  <c r="AD27" i="233"/>
  <c r="AO25" i="233"/>
  <c r="AN25" i="233"/>
  <c r="AK25" i="233"/>
  <c r="AJ25" i="233"/>
  <c r="AG25" i="233"/>
  <c r="AF25" i="233"/>
  <c r="AH25" i="233"/>
  <c r="AC25" i="233"/>
  <c r="AC43" i="233"/>
  <c r="AB25" i="233"/>
  <c r="AT24" i="233"/>
  <c r="AP24" i="233"/>
  <c r="AL24" i="233"/>
  <c r="AH24" i="233"/>
  <c r="AD24" i="233"/>
  <c r="AT23" i="233"/>
  <c r="AP23" i="233"/>
  <c r="AL23" i="233"/>
  <c r="AH23" i="233"/>
  <c r="AD23" i="233"/>
  <c r="AT22" i="233"/>
  <c r="AP22" i="233"/>
  <c r="AL22" i="233"/>
  <c r="AH22" i="233"/>
  <c r="AD22" i="233"/>
  <c r="AT21" i="233"/>
  <c r="AP21" i="233"/>
  <c r="AL21" i="233"/>
  <c r="AH21" i="233"/>
  <c r="AD21" i="233"/>
  <c r="AT20" i="233"/>
  <c r="AP20" i="233"/>
  <c r="AL20" i="233"/>
  <c r="AH20" i="233"/>
  <c r="AD20" i="233"/>
  <c r="AO18" i="233"/>
  <c r="AN18" i="233"/>
  <c r="AP18" i="233"/>
  <c r="AK18" i="233"/>
  <c r="AJ18" i="233"/>
  <c r="AG18" i="233"/>
  <c r="AH18" i="233"/>
  <c r="AF18" i="233"/>
  <c r="AC18" i="233"/>
  <c r="AB18" i="233"/>
  <c r="AD18" i="233"/>
  <c r="AT17" i="233"/>
  <c r="AP17" i="233"/>
  <c r="AL17" i="233"/>
  <c r="AH17" i="233"/>
  <c r="AD17" i="233"/>
  <c r="AT16" i="233"/>
  <c r="AP16" i="233"/>
  <c r="AL16" i="233"/>
  <c r="AH16" i="233"/>
  <c r="AD16" i="233"/>
  <c r="AT15" i="233"/>
  <c r="AP15" i="233"/>
  <c r="AL15" i="233"/>
  <c r="AH15" i="233"/>
  <c r="AD15" i="233"/>
  <c r="AT14" i="233"/>
  <c r="AP14" i="233"/>
  <c r="AL14" i="233"/>
  <c r="AH14" i="233"/>
  <c r="AD14" i="233"/>
  <c r="AT13" i="233"/>
  <c r="AP13" i="233"/>
  <c r="AL13" i="233"/>
  <c r="AH13" i="233"/>
  <c r="AD13" i="233"/>
  <c r="AO11" i="233"/>
  <c r="AN11" i="233"/>
  <c r="AK11" i="233"/>
  <c r="AK43" i="233"/>
  <c r="AJ11" i="233"/>
  <c r="AG11" i="233"/>
  <c r="AF11" i="233"/>
  <c r="AH11" i="233"/>
  <c r="AC11" i="233"/>
  <c r="AB11" i="233"/>
  <c r="AB43" i="233"/>
  <c r="AT10" i="233"/>
  <c r="AP10" i="233"/>
  <c r="AL10" i="233"/>
  <c r="AH10" i="233"/>
  <c r="AD10" i="233"/>
  <c r="AT9" i="233"/>
  <c r="AP9" i="233"/>
  <c r="AL9" i="233"/>
  <c r="AH9" i="233"/>
  <c r="AD9" i="233"/>
  <c r="AT8" i="233"/>
  <c r="AP8" i="233"/>
  <c r="AL8" i="233"/>
  <c r="AH8" i="233"/>
  <c r="AD8" i="233"/>
  <c r="AT7" i="233"/>
  <c r="AP7" i="233"/>
  <c r="AL7" i="233"/>
  <c r="AH7" i="233"/>
  <c r="AD7" i="233"/>
  <c r="AT6" i="233"/>
  <c r="AP6" i="233"/>
  <c r="AL6" i="233"/>
  <c r="AH6" i="233"/>
  <c r="AD6" i="233"/>
  <c r="J230" i="232"/>
  <c r="I230" i="232"/>
  <c r="F230" i="232"/>
  <c r="K228" i="232"/>
  <c r="D228" i="232"/>
  <c r="G228" i="232"/>
  <c r="M228" i="232"/>
  <c r="K226" i="232"/>
  <c r="E226" i="232"/>
  <c r="E230" i="232"/>
  <c r="D226" i="232"/>
  <c r="K224" i="232"/>
  <c r="D224" i="232"/>
  <c r="G224" i="232"/>
  <c r="M224" i="232"/>
  <c r="K222" i="232"/>
  <c r="D222" i="232"/>
  <c r="G222" i="232"/>
  <c r="K220" i="232"/>
  <c r="D220" i="232"/>
  <c r="G220" i="232"/>
  <c r="K218" i="232"/>
  <c r="D218" i="232"/>
  <c r="J208" i="232"/>
  <c r="I208" i="232"/>
  <c r="F208" i="232"/>
  <c r="E208" i="232"/>
  <c r="K206" i="232"/>
  <c r="D206" i="232"/>
  <c r="G206" i="232"/>
  <c r="M206" i="232"/>
  <c r="K204" i="232"/>
  <c r="G204" i="232"/>
  <c r="K202" i="232"/>
  <c r="G202" i="232"/>
  <c r="K200" i="232"/>
  <c r="G200" i="232"/>
  <c r="K198" i="232"/>
  <c r="G198" i="232"/>
  <c r="M198" i="232"/>
  <c r="K196" i="232"/>
  <c r="G196" i="232"/>
  <c r="J187" i="232"/>
  <c r="I187" i="232"/>
  <c r="F187" i="232"/>
  <c r="E187" i="232"/>
  <c r="D187" i="232"/>
  <c r="K185" i="232"/>
  <c r="G185" i="232"/>
  <c r="G106" i="231"/>
  <c r="K183" i="232"/>
  <c r="G105" i="231"/>
  <c r="G183" i="232"/>
  <c r="K181" i="232"/>
  <c r="M181" i="232"/>
  <c r="G181" i="232"/>
  <c r="K179" i="232"/>
  <c r="G179" i="232"/>
  <c r="G103" i="231"/>
  <c r="K177" i="232"/>
  <c r="G177" i="232"/>
  <c r="K175" i="232"/>
  <c r="G175" i="232"/>
  <c r="J166" i="232"/>
  <c r="I166" i="232"/>
  <c r="K166" i="232"/>
  <c r="F166" i="232"/>
  <c r="E166" i="232"/>
  <c r="K164" i="232"/>
  <c r="G164" i="232"/>
  <c r="K162" i="232"/>
  <c r="D162" i="232"/>
  <c r="G162" i="232"/>
  <c r="M162" i="232"/>
  <c r="K160" i="232"/>
  <c r="D160" i="232"/>
  <c r="G160" i="232"/>
  <c r="K158" i="232"/>
  <c r="D158" i="232"/>
  <c r="G158" i="232"/>
  <c r="K156" i="232"/>
  <c r="D156" i="232"/>
  <c r="G156" i="232"/>
  <c r="M156" i="232"/>
  <c r="K154" i="232"/>
  <c r="D154" i="232"/>
  <c r="G154" i="232"/>
  <c r="J146" i="232"/>
  <c r="I146" i="232"/>
  <c r="F146" i="232"/>
  <c r="E146" i="232"/>
  <c r="D146" i="232"/>
  <c r="K144" i="232"/>
  <c r="G144" i="232"/>
  <c r="K142" i="232"/>
  <c r="G142" i="232"/>
  <c r="K140" i="232"/>
  <c r="G80" i="231"/>
  <c r="G140" i="232"/>
  <c r="K138" i="232"/>
  <c r="G138" i="232"/>
  <c r="K136" i="232"/>
  <c r="G78" i="231"/>
  <c r="G136" i="232"/>
  <c r="K134" i="232"/>
  <c r="G77" i="231"/>
  <c r="G134" i="232"/>
  <c r="Y213" i="231"/>
  <c r="X213" i="231"/>
  <c r="W213" i="231"/>
  <c r="Z212" i="231"/>
  <c r="Z211" i="231"/>
  <c r="Z210" i="231"/>
  <c r="Z209" i="231"/>
  <c r="R209" i="231"/>
  <c r="Q209" i="231"/>
  <c r="P209" i="231"/>
  <c r="Z208" i="231"/>
  <c r="S208" i="231"/>
  <c r="Z207" i="231"/>
  <c r="S207" i="231"/>
  <c r="N206" i="231"/>
  <c r="N205" i="231"/>
  <c r="F132" i="231"/>
  <c r="B132" i="231"/>
  <c r="G131" i="231"/>
  <c r="G130" i="231"/>
  <c r="G129" i="231"/>
  <c r="G128" i="231"/>
  <c r="G127" i="231"/>
  <c r="G126" i="231"/>
  <c r="F119" i="231"/>
  <c r="D119" i="231"/>
  <c r="C119" i="231"/>
  <c r="B119" i="231"/>
  <c r="G118" i="231"/>
  <c r="G117" i="231"/>
  <c r="E117" i="231"/>
  <c r="G116" i="231"/>
  <c r="E116" i="231"/>
  <c r="G115" i="231"/>
  <c r="E115" i="231"/>
  <c r="G114" i="231"/>
  <c r="G113" i="231"/>
  <c r="D107" i="231"/>
  <c r="C107" i="231"/>
  <c r="E106" i="231"/>
  <c r="E105" i="231"/>
  <c r="G104" i="231"/>
  <c r="E104" i="231"/>
  <c r="E103" i="231"/>
  <c r="G102" i="231"/>
  <c r="E102" i="231"/>
  <c r="E101" i="231"/>
  <c r="B107" i="231"/>
  <c r="G94" i="231"/>
  <c r="D83" i="231"/>
  <c r="C83" i="231"/>
  <c r="B83" i="231"/>
  <c r="G82" i="231"/>
  <c r="G81" i="231"/>
  <c r="E80" i="231"/>
  <c r="G79" i="231"/>
  <c r="E79" i="231"/>
  <c r="E78" i="231"/>
  <c r="E77" i="231"/>
  <c r="D8" i="230"/>
  <c r="B8" i="230"/>
  <c r="E7" i="230"/>
  <c r="E8" i="230"/>
  <c r="F6" i="230"/>
  <c r="F8" i="230"/>
  <c r="E6" i="230"/>
  <c r="C6" i="230"/>
  <c r="C8" i="230"/>
  <c r="F18" i="224"/>
  <c r="F15" i="224"/>
  <c r="F12" i="224"/>
  <c r="AC36" i="223"/>
  <c r="AB36" i="223"/>
  <c r="AA36" i="223"/>
  <c r="W36" i="223"/>
  <c r="V36" i="223"/>
  <c r="U36" i="223"/>
  <c r="Q36" i="223"/>
  <c r="P36" i="223"/>
  <c r="O36" i="223"/>
  <c r="O31" i="223"/>
  <c r="O32" i="223"/>
  <c r="O33" i="223"/>
  <c r="O34" i="223"/>
  <c r="O35" i="223"/>
  <c r="K36" i="223"/>
  <c r="J36" i="223"/>
  <c r="I36" i="223"/>
  <c r="E36" i="223"/>
  <c r="D36" i="223"/>
  <c r="C36" i="223"/>
  <c r="AC35" i="223"/>
  <c r="AC31" i="223"/>
  <c r="AC32" i="223"/>
  <c r="AC33" i="223"/>
  <c r="AC34" i="223"/>
  <c r="AB35" i="223"/>
  <c r="AA35" i="223"/>
  <c r="W35" i="223"/>
  <c r="V35" i="223"/>
  <c r="U35" i="223"/>
  <c r="Q35" i="223"/>
  <c r="P35" i="223"/>
  <c r="K35" i="223"/>
  <c r="J35" i="223"/>
  <c r="I35" i="223"/>
  <c r="L12" i="223"/>
  <c r="L35" i="223"/>
  <c r="M35" i="223"/>
  <c r="E35" i="223"/>
  <c r="D35" i="223"/>
  <c r="C35" i="223"/>
  <c r="AB34" i="223"/>
  <c r="AB31" i="223"/>
  <c r="AB32" i="223"/>
  <c r="AB37" i="223"/>
  <c r="AB33" i="223"/>
  <c r="AA34" i="223"/>
  <c r="W34" i="223"/>
  <c r="V34" i="223"/>
  <c r="U34" i="223"/>
  <c r="Q34" i="223"/>
  <c r="P34" i="223"/>
  <c r="K34" i="223"/>
  <c r="J34" i="223"/>
  <c r="I34" i="223"/>
  <c r="E34" i="223"/>
  <c r="D34" i="223"/>
  <c r="C34" i="223"/>
  <c r="AA33" i="223"/>
  <c r="W33" i="223"/>
  <c r="V33" i="223"/>
  <c r="U33" i="223"/>
  <c r="Q33" i="223"/>
  <c r="P33" i="223"/>
  <c r="K33" i="223"/>
  <c r="J33" i="223"/>
  <c r="I33" i="223"/>
  <c r="E33" i="223"/>
  <c r="D33" i="223"/>
  <c r="C33" i="223"/>
  <c r="C31" i="223"/>
  <c r="C32" i="223"/>
  <c r="AA32" i="223"/>
  <c r="W32" i="223"/>
  <c r="V32" i="223"/>
  <c r="U32" i="223"/>
  <c r="Q32" i="223"/>
  <c r="P32" i="223"/>
  <c r="K32" i="223"/>
  <c r="J32" i="223"/>
  <c r="I32" i="223"/>
  <c r="E32" i="223"/>
  <c r="D32" i="223"/>
  <c r="AA31" i="223"/>
  <c r="W31" i="223"/>
  <c r="V31" i="223"/>
  <c r="U31" i="223"/>
  <c r="Q31" i="223"/>
  <c r="P31" i="223"/>
  <c r="K31" i="223"/>
  <c r="J31" i="223"/>
  <c r="I31" i="223"/>
  <c r="E31" i="223"/>
  <c r="D31" i="223"/>
  <c r="AC29" i="223"/>
  <c r="AB29" i="223"/>
  <c r="AA29" i="223"/>
  <c r="W29" i="223"/>
  <c r="V29" i="223"/>
  <c r="U29" i="223"/>
  <c r="Q29" i="223"/>
  <c r="P29" i="223"/>
  <c r="O29" i="223"/>
  <c r="K29" i="223"/>
  <c r="J29" i="223"/>
  <c r="I29" i="223"/>
  <c r="E29" i="223"/>
  <c r="D29" i="223"/>
  <c r="C29" i="223"/>
  <c r="AD28" i="223"/>
  <c r="AE28" i="223"/>
  <c r="X28" i="223"/>
  <c r="Y28" i="223"/>
  <c r="R28" i="223"/>
  <c r="S28" i="223"/>
  <c r="L28" i="223"/>
  <c r="M28" i="223"/>
  <c r="F28" i="223"/>
  <c r="G28" i="223"/>
  <c r="AD27" i="223"/>
  <c r="AE27" i="223"/>
  <c r="X27" i="223"/>
  <c r="R27" i="223"/>
  <c r="S27" i="223"/>
  <c r="L27" i="223"/>
  <c r="M27" i="223"/>
  <c r="F27" i="223"/>
  <c r="G27" i="223"/>
  <c r="AD26" i="223"/>
  <c r="AE26" i="223"/>
  <c r="X26" i="223"/>
  <c r="Y26" i="223"/>
  <c r="R26" i="223"/>
  <c r="R29" i="223"/>
  <c r="S29" i="223"/>
  <c r="L26" i="223"/>
  <c r="M26" i="223"/>
  <c r="F26" i="223"/>
  <c r="AC19" i="223"/>
  <c r="AB19" i="223"/>
  <c r="AA19" i="223"/>
  <c r="W19" i="223"/>
  <c r="V19" i="223"/>
  <c r="U19" i="223"/>
  <c r="Q19" i="223"/>
  <c r="P19" i="223"/>
  <c r="O19" i="223"/>
  <c r="K19" i="223"/>
  <c r="J19" i="223"/>
  <c r="I19" i="223"/>
  <c r="E19" i="223"/>
  <c r="D19" i="223"/>
  <c r="C19" i="223"/>
  <c r="AD18" i="223"/>
  <c r="X18" i="223"/>
  <c r="Y18" i="223"/>
  <c r="R18" i="223"/>
  <c r="L18" i="223"/>
  <c r="F18" i="223"/>
  <c r="F33" i="223"/>
  <c r="AD17" i="223"/>
  <c r="AE17" i="223"/>
  <c r="X17" i="223"/>
  <c r="Y17" i="223"/>
  <c r="R17" i="223"/>
  <c r="R7" i="223"/>
  <c r="R11" i="223"/>
  <c r="L17" i="223"/>
  <c r="F17" i="223"/>
  <c r="AD16" i="223"/>
  <c r="X16" i="223"/>
  <c r="R16" i="223"/>
  <c r="S16" i="223"/>
  <c r="L16" i="223"/>
  <c r="F16" i="223"/>
  <c r="AC14" i="223"/>
  <c r="AB14" i="223"/>
  <c r="AA14" i="223"/>
  <c r="AD11" i="223"/>
  <c r="AE11" i="223"/>
  <c r="AD12" i="223"/>
  <c r="AD13" i="223"/>
  <c r="W14" i="223"/>
  <c r="V14" i="223"/>
  <c r="U14" i="223"/>
  <c r="Q14" i="223"/>
  <c r="P14" i="223"/>
  <c r="O14" i="223"/>
  <c r="K14" i="223"/>
  <c r="J14" i="223"/>
  <c r="I14" i="223"/>
  <c r="E14" i="223"/>
  <c r="D14" i="223"/>
  <c r="C14" i="223"/>
  <c r="X13" i="223"/>
  <c r="Y13" i="223"/>
  <c r="R13" i="223"/>
  <c r="S13" i="223"/>
  <c r="L13" i="223"/>
  <c r="M13" i="223"/>
  <c r="F13" i="223"/>
  <c r="F36" i="223"/>
  <c r="X12" i="223"/>
  <c r="R12" i="223"/>
  <c r="S12" i="223"/>
  <c r="M12" i="223"/>
  <c r="F12" i="223"/>
  <c r="G12" i="223"/>
  <c r="X11" i="223"/>
  <c r="L11" i="223"/>
  <c r="M11" i="223"/>
  <c r="F11" i="223"/>
  <c r="AC9" i="223"/>
  <c r="AA9" i="223"/>
  <c r="AD9" i="223"/>
  <c r="AE9" i="223"/>
  <c r="AB9" i="223"/>
  <c r="W9" i="223"/>
  <c r="V9" i="223"/>
  <c r="U9" i="223"/>
  <c r="Q9" i="223"/>
  <c r="O9" i="223"/>
  <c r="R9" i="223"/>
  <c r="S9" i="223"/>
  <c r="P9" i="223"/>
  <c r="K9" i="223"/>
  <c r="J9" i="223"/>
  <c r="I9" i="223"/>
  <c r="E9" i="223"/>
  <c r="D9" i="223"/>
  <c r="C9" i="223"/>
  <c r="AD8" i="223"/>
  <c r="AD34" i="223"/>
  <c r="X8" i="223"/>
  <c r="R8" i="223"/>
  <c r="S8" i="223"/>
  <c r="L8" i="223"/>
  <c r="F8" i="223"/>
  <c r="AD7" i="223"/>
  <c r="AD32" i="223"/>
  <c r="AE32" i="223"/>
  <c r="X7" i="223"/>
  <c r="Y7" i="223"/>
  <c r="L7" i="223"/>
  <c r="M7" i="223"/>
  <c r="F7" i="223"/>
  <c r="G7" i="223"/>
  <c r="AD6" i="223"/>
  <c r="X6" i="223"/>
  <c r="R6" i="223"/>
  <c r="S6" i="223"/>
  <c r="L6" i="223"/>
  <c r="M6" i="223"/>
  <c r="F6" i="223"/>
  <c r="P82" i="222"/>
  <c r="Q82" i="222"/>
  <c r="O82" i="222"/>
  <c r="L82" i="222"/>
  <c r="K82" i="222"/>
  <c r="H82" i="222"/>
  <c r="I82" i="222"/>
  <c r="G82" i="222"/>
  <c r="D82" i="222"/>
  <c r="C82" i="222"/>
  <c r="P77" i="222"/>
  <c r="O77" i="222"/>
  <c r="L77" i="222"/>
  <c r="K77" i="222"/>
  <c r="H77" i="222"/>
  <c r="G77" i="222"/>
  <c r="D77" i="222"/>
  <c r="E77" i="222"/>
  <c r="C77" i="222"/>
  <c r="P72" i="222"/>
  <c r="O72" i="222"/>
  <c r="L72" i="222"/>
  <c r="K72" i="222"/>
  <c r="H72" i="222"/>
  <c r="I72" i="222"/>
  <c r="G72" i="222"/>
  <c r="D72" i="222"/>
  <c r="E72" i="222"/>
  <c r="C72" i="222"/>
  <c r="P66" i="222"/>
  <c r="O66" i="222"/>
  <c r="L66" i="222"/>
  <c r="K66" i="222"/>
  <c r="H66" i="222"/>
  <c r="G66" i="222"/>
  <c r="D66" i="222"/>
  <c r="C66" i="222"/>
  <c r="P62" i="222"/>
  <c r="O62" i="222"/>
  <c r="L62" i="222"/>
  <c r="K62" i="222"/>
  <c r="H62" i="222"/>
  <c r="G62" i="222"/>
  <c r="G58" i="222"/>
  <c r="D62" i="222"/>
  <c r="C62" i="222"/>
  <c r="P58" i="222"/>
  <c r="O58" i="222"/>
  <c r="L58" i="222"/>
  <c r="K58" i="222"/>
  <c r="M58" i="222"/>
  <c r="H58" i="222"/>
  <c r="D58" i="222"/>
  <c r="C58" i="222"/>
  <c r="P53" i="222"/>
  <c r="P48" i="222"/>
  <c r="P42" i="222"/>
  <c r="Q42" i="222"/>
  <c r="O53" i="222"/>
  <c r="L53" i="222"/>
  <c r="K53" i="222"/>
  <c r="H53" i="222"/>
  <c r="I53" i="222"/>
  <c r="G53" i="222"/>
  <c r="D53" i="222"/>
  <c r="C53" i="222"/>
  <c r="O48" i="222"/>
  <c r="L48" i="222"/>
  <c r="K48" i="222"/>
  <c r="H48" i="222"/>
  <c r="I48" i="222"/>
  <c r="G48" i="222"/>
  <c r="D48" i="222"/>
  <c r="C48" i="222"/>
  <c r="O42" i="222"/>
  <c r="L42" i="222"/>
  <c r="K42" i="222"/>
  <c r="H42" i="222"/>
  <c r="G42" i="222"/>
  <c r="D42" i="222"/>
  <c r="C42" i="222"/>
  <c r="P35" i="222"/>
  <c r="Q35" i="222"/>
  <c r="O35" i="222"/>
  <c r="L35" i="222"/>
  <c r="K35" i="222"/>
  <c r="H35" i="222"/>
  <c r="I35" i="222"/>
  <c r="G35" i="222"/>
  <c r="D35" i="222"/>
  <c r="C35" i="222"/>
  <c r="P31" i="222"/>
  <c r="O31" i="222"/>
  <c r="L31" i="222"/>
  <c r="K31" i="222"/>
  <c r="H31" i="222"/>
  <c r="G31" i="222"/>
  <c r="D31" i="222"/>
  <c r="C31" i="222"/>
  <c r="P27" i="222"/>
  <c r="Q27" i="222"/>
  <c r="O27" i="222"/>
  <c r="L27" i="222"/>
  <c r="K27" i="222"/>
  <c r="H27" i="222"/>
  <c r="G27" i="222"/>
  <c r="D27" i="222"/>
  <c r="C27" i="222"/>
  <c r="P22" i="222"/>
  <c r="O22" i="222"/>
  <c r="L22" i="222"/>
  <c r="K22" i="222"/>
  <c r="H22" i="222"/>
  <c r="G22" i="222"/>
  <c r="D22" i="222"/>
  <c r="C22" i="222"/>
  <c r="P16" i="222"/>
  <c r="Q16" i="222"/>
  <c r="O16" i="222"/>
  <c r="L16" i="222"/>
  <c r="K16" i="222"/>
  <c r="H16" i="222"/>
  <c r="G16" i="222"/>
  <c r="D16" i="222"/>
  <c r="C16" i="222"/>
  <c r="P10" i="222"/>
  <c r="O10" i="222"/>
  <c r="L10" i="222"/>
  <c r="K10" i="222"/>
  <c r="H10" i="222"/>
  <c r="G10" i="222"/>
  <c r="D10" i="222"/>
  <c r="C10" i="222"/>
  <c r="O83" i="221"/>
  <c r="K83" i="221"/>
  <c r="H83" i="221"/>
  <c r="G83" i="221"/>
  <c r="D83" i="221"/>
  <c r="M81" i="221"/>
  <c r="I81" i="221"/>
  <c r="T80" i="221"/>
  <c r="S80" i="221"/>
  <c r="P80" i="221"/>
  <c r="Q80" i="221"/>
  <c r="M80" i="221"/>
  <c r="I80" i="221"/>
  <c r="C80" i="221"/>
  <c r="E80" i="221"/>
  <c r="U79" i="221"/>
  <c r="Q79" i="221"/>
  <c r="M79" i="221"/>
  <c r="I79" i="221"/>
  <c r="U78" i="221"/>
  <c r="Q78" i="221"/>
  <c r="M78" i="221"/>
  <c r="I78" i="221"/>
  <c r="U77" i="221"/>
  <c r="Q77" i="221"/>
  <c r="M77" i="221"/>
  <c r="I77" i="221"/>
  <c r="U76" i="221"/>
  <c r="Q76" i="221"/>
  <c r="M76" i="221"/>
  <c r="I76" i="221"/>
  <c r="T75" i="221"/>
  <c r="S75" i="221"/>
  <c r="P75" i="221"/>
  <c r="P81" i="221"/>
  <c r="Q81" i="221"/>
  <c r="M75" i="221"/>
  <c r="I75" i="221"/>
  <c r="C75" i="221"/>
  <c r="E75" i="221"/>
  <c r="U74" i="221"/>
  <c r="Q74" i="221"/>
  <c r="M74" i="221"/>
  <c r="I74" i="221"/>
  <c r="U73" i="221"/>
  <c r="Q73" i="221"/>
  <c r="M73" i="221"/>
  <c r="I73" i="221"/>
  <c r="U72" i="221"/>
  <c r="Q72" i="221"/>
  <c r="M72" i="221"/>
  <c r="I72" i="221"/>
  <c r="U71" i="221"/>
  <c r="Q71" i="221"/>
  <c r="M71" i="221"/>
  <c r="I71" i="221"/>
  <c r="T70" i="221"/>
  <c r="S70" i="221"/>
  <c r="P70" i="221"/>
  <c r="Q70" i="221"/>
  <c r="M70" i="221"/>
  <c r="I70" i="221"/>
  <c r="C70" i="221"/>
  <c r="E70" i="221"/>
  <c r="U69" i="221"/>
  <c r="Q69" i="221"/>
  <c r="M69" i="221"/>
  <c r="I69" i="221"/>
  <c r="U68" i="221"/>
  <c r="Q68" i="221"/>
  <c r="M68" i="221"/>
  <c r="I68" i="221"/>
  <c r="U67" i="221"/>
  <c r="Q67" i="221"/>
  <c r="M67" i="221"/>
  <c r="I67" i="221"/>
  <c r="U66" i="221"/>
  <c r="Q66" i="221"/>
  <c r="M66" i="221"/>
  <c r="I66" i="221"/>
  <c r="T64" i="221"/>
  <c r="S64" i="221"/>
  <c r="U63" i="221"/>
  <c r="T60" i="221"/>
  <c r="S60" i="221"/>
  <c r="U58" i="221"/>
  <c r="U57" i="221"/>
  <c r="T56" i="221"/>
  <c r="S56" i="221"/>
  <c r="P56" i="221"/>
  <c r="P65" i="221"/>
  <c r="U55" i="221"/>
  <c r="U54" i="221"/>
  <c r="I52" i="221"/>
  <c r="T51" i="221"/>
  <c r="T52" i="221"/>
  <c r="S51" i="221"/>
  <c r="P51" i="221"/>
  <c r="Q51" i="221"/>
  <c r="L51" i="221"/>
  <c r="M51" i="221"/>
  <c r="I51" i="221"/>
  <c r="C51" i="221"/>
  <c r="E51" i="221"/>
  <c r="U50" i="221"/>
  <c r="Q50" i="221"/>
  <c r="M50" i="221"/>
  <c r="I50" i="221"/>
  <c r="U49" i="221"/>
  <c r="Q49" i="221"/>
  <c r="M49" i="221"/>
  <c r="I49" i="221"/>
  <c r="U48" i="221"/>
  <c r="Q48" i="221"/>
  <c r="M48" i="221"/>
  <c r="I48" i="221"/>
  <c r="U47" i="221"/>
  <c r="Q47" i="221"/>
  <c r="M47" i="221"/>
  <c r="I47" i="221"/>
  <c r="T46" i="221"/>
  <c r="S46" i="221"/>
  <c r="U46" i="221"/>
  <c r="P46" i="221"/>
  <c r="Q46" i="221"/>
  <c r="L46" i="221"/>
  <c r="M46" i="221"/>
  <c r="I46" i="221"/>
  <c r="C46" i="221"/>
  <c r="E46" i="221"/>
  <c r="U45" i="221"/>
  <c r="Q45" i="221"/>
  <c r="M45" i="221"/>
  <c r="I45" i="221"/>
  <c r="U44" i="221"/>
  <c r="Q44" i="221"/>
  <c r="M44" i="221"/>
  <c r="I44" i="221"/>
  <c r="U43" i="221"/>
  <c r="Q43" i="221"/>
  <c r="M43" i="221"/>
  <c r="I43" i="221"/>
  <c r="U42" i="221"/>
  <c r="Q42" i="221"/>
  <c r="M42" i="221"/>
  <c r="I42" i="221"/>
  <c r="U41" i="221"/>
  <c r="Q41" i="221"/>
  <c r="M41" i="221"/>
  <c r="I41" i="221"/>
  <c r="T40" i="221"/>
  <c r="S40" i="221"/>
  <c r="P40" i="221"/>
  <c r="Q40" i="221"/>
  <c r="L40" i="221"/>
  <c r="I40" i="221"/>
  <c r="C40" i="221"/>
  <c r="E40" i="221"/>
  <c r="U39" i="221"/>
  <c r="Q39" i="221"/>
  <c r="M39" i="221"/>
  <c r="I39" i="221"/>
  <c r="U38" i="221"/>
  <c r="Q38" i="221"/>
  <c r="M38" i="221"/>
  <c r="I38" i="221"/>
  <c r="U37" i="221"/>
  <c r="Q37" i="221"/>
  <c r="M37" i="221"/>
  <c r="I37" i="221"/>
  <c r="U36" i="221"/>
  <c r="Q36" i="221"/>
  <c r="M36" i="221"/>
  <c r="I36" i="221"/>
  <c r="U35" i="221"/>
  <c r="Q35" i="221"/>
  <c r="M35" i="221"/>
  <c r="I35" i="221"/>
  <c r="I34" i="221"/>
  <c r="T33" i="221"/>
  <c r="S33" i="221"/>
  <c r="U33" i="221"/>
  <c r="P33" i="221"/>
  <c r="Q33" i="221"/>
  <c r="L33" i="221"/>
  <c r="M33" i="221"/>
  <c r="I33" i="221"/>
  <c r="C33" i="221"/>
  <c r="E33" i="221"/>
  <c r="U32" i="221"/>
  <c r="Q32" i="221"/>
  <c r="M32" i="221"/>
  <c r="I32" i="221"/>
  <c r="U31" i="221"/>
  <c r="Q31" i="221"/>
  <c r="M31" i="221"/>
  <c r="I31" i="221"/>
  <c r="U30" i="221"/>
  <c r="Q30" i="221"/>
  <c r="M30" i="221"/>
  <c r="I30" i="221"/>
  <c r="T29" i="221"/>
  <c r="S29" i="221"/>
  <c r="U29" i="221"/>
  <c r="P29" i="221"/>
  <c r="Q29" i="221"/>
  <c r="L29" i="221"/>
  <c r="M29" i="221"/>
  <c r="I29" i="221"/>
  <c r="C29" i="221"/>
  <c r="E29" i="221"/>
  <c r="U28" i="221"/>
  <c r="Q28" i="221"/>
  <c r="M28" i="221"/>
  <c r="I28" i="221"/>
  <c r="U27" i="221"/>
  <c r="Q27" i="221"/>
  <c r="M27" i="221"/>
  <c r="I27" i="221"/>
  <c r="U26" i="221"/>
  <c r="Q26" i="221"/>
  <c r="M26" i="221"/>
  <c r="I26" i="221"/>
  <c r="T25" i="221"/>
  <c r="S25" i="221"/>
  <c r="P25" i="221"/>
  <c r="L25" i="221"/>
  <c r="M25" i="221"/>
  <c r="I25" i="221"/>
  <c r="C25" i="221"/>
  <c r="E25" i="221"/>
  <c r="U24" i="221"/>
  <c r="Q24" i="221"/>
  <c r="M24" i="221"/>
  <c r="I24" i="221"/>
  <c r="U23" i="221"/>
  <c r="Q23" i="221"/>
  <c r="M23" i="221"/>
  <c r="I23" i="221"/>
  <c r="U22" i="221"/>
  <c r="Q22" i="221"/>
  <c r="M22" i="221"/>
  <c r="I22" i="221"/>
  <c r="I21" i="221"/>
  <c r="T20" i="221"/>
  <c r="S20" i="221"/>
  <c r="U20" i="221"/>
  <c r="P20" i="221"/>
  <c r="Q20" i="221"/>
  <c r="L20" i="221"/>
  <c r="M20" i="221"/>
  <c r="I20" i="221"/>
  <c r="C20" i="221"/>
  <c r="U19" i="221"/>
  <c r="Q19" i="221"/>
  <c r="M19" i="221"/>
  <c r="I19" i="221"/>
  <c r="U18" i="221"/>
  <c r="Q18" i="221"/>
  <c r="M18" i="221"/>
  <c r="I18" i="221"/>
  <c r="U17" i="221"/>
  <c r="Q17" i="221"/>
  <c r="M17" i="221"/>
  <c r="I17" i="221"/>
  <c r="U16" i="221"/>
  <c r="Q16" i="221"/>
  <c r="M16" i="221"/>
  <c r="I16" i="221"/>
  <c r="T15" i="221"/>
  <c r="S15" i="221"/>
  <c r="P15" i="221"/>
  <c r="L15" i="221"/>
  <c r="M15" i="221"/>
  <c r="I15" i="221"/>
  <c r="C15" i="221"/>
  <c r="E15" i="221"/>
  <c r="U14" i="221"/>
  <c r="Q14" i="221"/>
  <c r="M14" i="221"/>
  <c r="I14" i="221"/>
  <c r="U13" i="221"/>
  <c r="Q13" i="221"/>
  <c r="M13" i="221"/>
  <c r="I13" i="221"/>
  <c r="U12" i="221"/>
  <c r="Q12" i="221"/>
  <c r="M12" i="221"/>
  <c r="I12" i="221"/>
  <c r="U11" i="221"/>
  <c r="Q11" i="221"/>
  <c r="M11" i="221"/>
  <c r="I11" i="221"/>
  <c r="U10" i="221"/>
  <c r="Q10" i="221"/>
  <c r="M10" i="221"/>
  <c r="I10" i="221"/>
  <c r="T9" i="221"/>
  <c r="S9" i="221"/>
  <c r="P9" i="221"/>
  <c r="Q9" i="221"/>
  <c r="L9" i="221"/>
  <c r="M9" i="221"/>
  <c r="I9" i="221"/>
  <c r="C9" i="221"/>
  <c r="U8" i="221"/>
  <c r="Q8" i="221"/>
  <c r="M8" i="221"/>
  <c r="I8" i="221"/>
  <c r="U7" i="221"/>
  <c r="Q7" i="221"/>
  <c r="M7" i="221"/>
  <c r="I7" i="221"/>
  <c r="U6" i="221"/>
  <c r="Q6" i="221"/>
  <c r="M6" i="221"/>
  <c r="I6" i="221"/>
  <c r="U5" i="221"/>
  <c r="Q5" i="221"/>
  <c r="M5" i="221"/>
  <c r="I5" i="221"/>
  <c r="U4" i="221"/>
  <c r="Q4" i="221"/>
  <c r="M4" i="221"/>
  <c r="I4" i="221"/>
  <c r="E4" i="221"/>
  <c r="D135" i="217"/>
  <c r="D134" i="217"/>
  <c r="D133" i="217"/>
  <c r="D132" i="217"/>
  <c r="D131" i="217"/>
  <c r="D130" i="217"/>
  <c r="D129" i="217"/>
  <c r="D128" i="217"/>
  <c r="D127" i="217"/>
  <c r="D126" i="217"/>
  <c r="D125" i="217"/>
  <c r="D118" i="217"/>
  <c r="D117" i="217"/>
  <c r="D116" i="217"/>
  <c r="D115" i="217"/>
  <c r="D114" i="217"/>
  <c r="D113" i="217"/>
  <c r="D112" i="217"/>
  <c r="D111" i="217"/>
  <c r="D110" i="217"/>
  <c r="D109" i="217"/>
  <c r="G93" i="231"/>
  <c r="G90" i="231"/>
  <c r="O36" i="222"/>
  <c r="G92" i="231"/>
  <c r="E91" i="231"/>
  <c r="R35" i="223"/>
  <c r="S35" i="223"/>
  <c r="D7" i="227"/>
  <c r="D8" i="227"/>
  <c r="E58" i="222"/>
  <c r="Q13" i="235"/>
  <c r="J31" i="235"/>
  <c r="E5" i="235"/>
  <c r="F5" i="235"/>
  <c r="M164" i="232"/>
  <c r="M196" i="232"/>
  <c r="P24" i="243"/>
  <c r="P17" i="243"/>
  <c r="P12" i="243"/>
  <c r="P13" i="243"/>
  <c r="AE16" i="223"/>
  <c r="K15" i="242"/>
  <c r="K12" i="242"/>
  <c r="K18" i="242"/>
  <c r="K17" i="242"/>
  <c r="S19" i="243"/>
  <c r="I17" i="235"/>
  <c r="J17" i="235"/>
  <c r="K11" i="242"/>
  <c r="P10" i="243"/>
  <c r="P14" i="243"/>
  <c r="F95" i="231"/>
  <c r="G16" i="223"/>
  <c r="X33" i="223"/>
  <c r="R34" i="223"/>
  <c r="R36" i="223"/>
  <c r="M23" i="243"/>
  <c r="E92" i="231"/>
  <c r="P11" i="243"/>
  <c r="S16" i="243"/>
  <c r="S11" i="243"/>
  <c r="S10" i="243"/>
  <c r="G91" i="231"/>
  <c r="S13" i="243"/>
  <c r="S25" i="243"/>
  <c r="S26" i="243"/>
  <c r="Z213" i="231"/>
  <c r="S209" i="231"/>
  <c r="X30" i="235"/>
  <c r="E93" i="231"/>
  <c r="Q21" i="235"/>
  <c r="F13" i="235"/>
  <c r="M40" i="221"/>
  <c r="D6" i="227"/>
  <c r="D95" i="231"/>
  <c r="E90" i="231"/>
  <c r="B95" i="231"/>
  <c r="G89" i="231"/>
  <c r="E89" i="231"/>
  <c r="C95" i="231"/>
  <c r="F83" i="231"/>
  <c r="G101" i="231"/>
  <c r="F107" i="231"/>
  <c r="AO6" i="234"/>
  <c r="AQ6" i="234"/>
  <c r="AW34" i="234"/>
  <c r="BI34" i="234"/>
  <c r="I5" i="235"/>
  <c r="N17" i="235"/>
  <c r="W29" i="235"/>
  <c r="X29" i="235"/>
  <c r="J9" i="243"/>
  <c r="J26" i="243"/>
  <c r="C900" i="213"/>
  <c r="C898" i="213"/>
  <c r="C897" i="213"/>
  <c r="B887" i="213"/>
  <c r="D886" i="213"/>
  <c r="C776" i="213"/>
  <c r="C775" i="213"/>
  <c r="D774" i="213"/>
  <c r="C774" i="213"/>
  <c r="D773" i="213"/>
  <c r="C773" i="213"/>
  <c r="D772" i="213"/>
  <c r="C772" i="213"/>
  <c r="Y80" i="261"/>
  <c r="V11" i="243"/>
  <c r="V7" i="243"/>
  <c r="V20" i="243"/>
  <c r="V17" i="243"/>
  <c r="V10" i="243"/>
  <c r="Y7" i="243"/>
  <c r="Y10" i="243"/>
  <c r="Y22" i="243"/>
  <c r="P7" i="243"/>
  <c r="AE7" i="223"/>
  <c r="F67" i="237"/>
  <c r="F35" i="223"/>
  <c r="G35" i="223"/>
  <c r="I80" i="261"/>
  <c r="P52" i="261"/>
  <c r="U33" i="261"/>
  <c r="Q75" i="261"/>
  <c r="U40" i="261"/>
  <c r="U80" i="261"/>
  <c r="Y6" i="223"/>
  <c r="I9" i="261"/>
  <c r="M8" i="223"/>
  <c r="K13" i="242"/>
  <c r="L18" i="242"/>
  <c r="K16" i="242"/>
  <c r="K8" i="242"/>
  <c r="K7" i="242"/>
  <c r="K9" i="242"/>
  <c r="K10" i="242"/>
  <c r="Q16" i="242"/>
  <c r="Q13" i="242"/>
  <c r="J10" i="243"/>
  <c r="L81" i="261"/>
  <c r="M81" i="261"/>
  <c r="M80" i="261"/>
  <c r="T52" i="261"/>
  <c r="O21" i="261"/>
  <c r="Q20" i="261"/>
  <c r="Q70" i="261"/>
  <c r="P61" i="216"/>
  <c r="G226" i="232"/>
  <c r="AA30" i="235"/>
  <c r="N31" i="235"/>
  <c r="L21" i="220"/>
  <c r="M21" i="220"/>
  <c r="I80" i="220"/>
  <c r="Q51" i="220"/>
  <c r="J6" i="243"/>
  <c r="J21" i="243"/>
  <c r="S6" i="243"/>
  <c r="S20" i="243"/>
  <c r="S7" i="243"/>
  <c r="S23" i="243"/>
  <c r="S22" i="243"/>
  <c r="S21" i="243"/>
  <c r="S24" i="243"/>
  <c r="W31" i="243"/>
  <c r="S12" i="243"/>
  <c r="S17" i="243"/>
  <c r="T31" i="243"/>
  <c r="S15" i="243"/>
  <c r="S14" i="243"/>
  <c r="S8" i="243"/>
  <c r="S18" i="243"/>
  <c r="M70" i="220"/>
  <c r="Q75" i="220"/>
  <c r="K22" i="216"/>
  <c r="P30" i="216"/>
  <c r="N35" i="216"/>
  <c r="K66" i="216"/>
  <c r="R22" i="216"/>
  <c r="R82" i="216"/>
  <c r="W82" i="216"/>
  <c r="W81" i="216"/>
  <c r="F66" i="216"/>
  <c r="P10" i="216"/>
  <c r="H34" i="214"/>
  <c r="I34" i="214"/>
  <c r="I33" i="214"/>
  <c r="Y9" i="214"/>
  <c r="Y75" i="261"/>
  <c r="W81" i="261"/>
  <c r="Y81" i="261"/>
  <c r="AC46" i="220"/>
  <c r="P81" i="261"/>
  <c r="T81" i="261"/>
  <c r="Q29" i="261"/>
  <c r="I80" i="216"/>
  <c r="M22" i="216"/>
  <c r="L35" i="216"/>
  <c r="AK30" i="216"/>
  <c r="AD16" i="216"/>
  <c r="AC57" i="216"/>
  <c r="AG22" i="216"/>
  <c r="C21" i="214"/>
  <c r="H80" i="216"/>
  <c r="H81" i="216"/>
  <c r="H41" i="216"/>
  <c r="H53" i="216"/>
  <c r="H47" i="216"/>
  <c r="H52" i="216"/>
  <c r="K82" i="216"/>
  <c r="W10" i="216"/>
  <c r="W61" i="216"/>
  <c r="T66" i="216"/>
  <c r="M15" i="214"/>
  <c r="Q60" i="214"/>
  <c r="U29" i="214"/>
  <c r="E62" i="237"/>
  <c r="F62" i="237"/>
  <c r="AA53" i="216"/>
  <c r="AI66" i="216"/>
  <c r="T21" i="214"/>
  <c r="U21" i="214"/>
  <c r="U9" i="214"/>
  <c r="W71" i="216"/>
  <c r="T82" i="216"/>
  <c r="Y22" i="216"/>
  <c r="AC76" i="216"/>
  <c r="T23" i="222"/>
  <c r="AK16" i="223"/>
  <c r="M114" i="232"/>
  <c r="AQ16" i="223"/>
  <c r="AC56" i="214"/>
  <c r="AA65" i="214"/>
  <c r="AA81" i="220"/>
  <c r="AA83" i="220"/>
  <c r="AC60" i="220"/>
  <c r="AK22" i="223"/>
  <c r="AC9" i="214"/>
  <c r="F46" i="237"/>
  <c r="AJ30" i="235"/>
  <c r="AC20" i="214"/>
  <c r="E16" i="222"/>
  <c r="Q72" i="222"/>
  <c r="J13" i="243"/>
  <c r="Q46" i="261"/>
  <c r="E35" i="216"/>
  <c r="E84" i="216"/>
  <c r="K53" i="216"/>
  <c r="L53" i="216"/>
  <c r="K105" i="232"/>
  <c r="T10" i="242"/>
  <c r="N30" i="235"/>
  <c r="N7" i="242"/>
  <c r="R66" i="216"/>
  <c r="AT22" i="216"/>
  <c r="N8" i="242"/>
  <c r="U70" i="261"/>
  <c r="H30" i="216"/>
  <c r="H35" i="216"/>
  <c r="AD29" i="235"/>
  <c r="H26" i="216"/>
  <c r="G71" i="231"/>
  <c r="D35" i="216"/>
  <c r="H71" i="216"/>
  <c r="D34" i="214"/>
  <c r="N18" i="242"/>
  <c r="D34" i="220"/>
  <c r="U52" i="271"/>
  <c r="P57" i="216"/>
  <c r="AK61" i="216"/>
  <c r="AX52" i="216"/>
  <c r="L44" i="217"/>
  <c r="E9" i="221"/>
  <c r="F21" i="235"/>
  <c r="E21" i="235"/>
  <c r="U64" i="220"/>
  <c r="I26" i="216"/>
  <c r="P80" i="216"/>
  <c r="N13" i="242"/>
  <c r="L81" i="216"/>
  <c r="AB52" i="214"/>
  <c r="AC51" i="214"/>
  <c r="AB65" i="261"/>
  <c r="AC65" i="261"/>
  <c r="AF66" i="216"/>
  <c r="AJ66" i="216"/>
  <c r="AP31" i="223"/>
  <c r="AQ31" i="223"/>
  <c r="AC80" i="214"/>
  <c r="M93" i="232"/>
  <c r="Z39" i="233"/>
  <c r="HO11" i="184"/>
  <c r="T52" i="271"/>
  <c r="BL110" i="274"/>
  <c r="AL32" i="233"/>
  <c r="AT32" i="233"/>
  <c r="AH39" i="233"/>
  <c r="AD25" i="233"/>
  <c r="Z18" i="233"/>
  <c r="Z32" i="233"/>
  <c r="AT25" i="233"/>
  <c r="Z11" i="233"/>
  <c r="CH36" i="255"/>
  <c r="BG38" i="255"/>
  <c r="AZ9" i="255"/>
  <c r="AZ40" i="255"/>
  <c r="AZ18" i="255"/>
  <c r="AZ52" i="255"/>
  <c r="AZ53" i="255"/>
  <c r="AZ44" i="255"/>
  <c r="BV16" i="253"/>
  <c r="BV27" i="253"/>
  <c r="CG19" i="253"/>
  <c r="CG36" i="253"/>
  <c r="BV36" i="253"/>
  <c r="G83" i="231"/>
  <c r="AL11" i="272"/>
  <c r="Z32" i="272"/>
  <c r="AS32" i="272"/>
  <c r="AT32" i="272"/>
  <c r="AJ43" i="234"/>
  <c r="X43" i="233"/>
  <c r="BC30" i="234"/>
  <c r="AN25" i="234"/>
  <c r="AN32" i="234"/>
  <c r="AI11" i="234"/>
  <c r="AK11" i="234"/>
  <c r="D81" i="214"/>
  <c r="E80" i="214"/>
  <c r="Q51" i="214"/>
  <c r="AC29" i="214"/>
  <c r="E51" i="214"/>
  <c r="I51" i="214"/>
  <c r="K126" i="232"/>
  <c r="M101" i="232"/>
  <c r="AV24" i="223"/>
  <c r="AW24" i="223"/>
  <c r="AQ71" i="270"/>
  <c r="AQ102" i="270"/>
  <c r="BC132" i="270"/>
  <c r="AP137" i="270"/>
  <c r="AP139" i="270"/>
  <c r="BD193" i="270"/>
  <c r="AM56" i="270"/>
  <c r="AO137" i="270"/>
  <c r="AN56" i="270"/>
  <c r="AP71" i="270"/>
  <c r="AP102" i="270"/>
  <c r="BE186" i="270"/>
  <c r="AO71" i="270"/>
  <c r="BF186" i="270"/>
  <c r="BF191" i="270"/>
  <c r="BF175" i="270"/>
  <c r="BG175" i="270"/>
  <c r="AN137" i="270"/>
  <c r="AS71" i="270"/>
  <c r="AS102" i="270"/>
  <c r="BB175" i="270"/>
  <c r="BG186" i="270"/>
  <c r="AT137" i="270"/>
  <c r="AM71" i="270"/>
  <c r="BC175" i="270"/>
  <c r="BD186" i="270"/>
  <c r="AN71" i="270"/>
  <c r="AN139" i="270"/>
  <c r="BB193" i="270"/>
  <c r="Z39" i="272"/>
  <c r="Z25" i="272"/>
  <c r="AT9" i="272"/>
  <c r="AD32" i="272"/>
  <c r="AT11" i="272"/>
  <c r="AD39" i="272"/>
  <c r="AT23" i="272"/>
  <c r="I8" i="269"/>
  <c r="I18" i="269"/>
  <c r="J27" i="269"/>
  <c r="AB35" i="216"/>
  <c r="AS36" i="255"/>
  <c r="BB132" i="270"/>
  <c r="M74" i="232"/>
  <c r="M82" i="232"/>
  <c r="F31" i="235"/>
  <c r="O52" i="261"/>
  <c r="Q52" i="261"/>
  <c r="AC61" i="216"/>
  <c r="BA175" i="270"/>
  <c r="BH186" i="270"/>
  <c r="AC26" i="216"/>
  <c r="U35" i="222"/>
  <c r="S83" i="222"/>
  <c r="AP9" i="223"/>
  <c r="AQ9" i="223"/>
  <c r="BD132" i="270"/>
  <c r="BD175" i="270"/>
  <c r="AQ56" i="270"/>
  <c r="AQ139" i="270"/>
  <c r="BE193" i="270"/>
  <c r="BE195" i="270"/>
  <c r="AV14" i="223"/>
  <c r="AW14" i="223"/>
  <c r="CP12" i="255"/>
  <c r="E60" i="220"/>
  <c r="V41" i="216"/>
  <c r="AC46" i="214"/>
  <c r="BE132" i="270"/>
  <c r="BE191" i="270"/>
  <c r="BC186" i="270"/>
  <c r="O67" i="222"/>
  <c r="Y82" i="216"/>
  <c r="E75" i="214"/>
  <c r="AF52" i="271"/>
  <c r="AP32" i="272"/>
  <c r="BF132" i="270"/>
  <c r="AK52" i="271"/>
  <c r="AG30" i="235"/>
  <c r="U53" i="222"/>
  <c r="AT115" i="270"/>
  <c r="BG132" i="270"/>
  <c r="H30" i="269"/>
  <c r="J30" i="269"/>
  <c r="L21" i="221"/>
  <c r="M21" i="221"/>
  <c r="H34" i="216"/>
  <c r="AA82" i="216"/>
  <c r="AD82" i="216"/>
  <c r="AG56" i="220"/>
  <c r="D22" i="216"/>
  <c r="AB66" i="216"/>
  <c r="AG31" i="235"/>
  <c r="U72" i="222"/>
  <c r="BA132" i="270"/>
  <c r="M37" i="217"/>
  <c r="U42" i="222"/>
  <c r="Q62" i="222"/>
  <c r="M48" i="222"/>
  <c r="Q58" i="222"/>
  <c r="E15" i="261"/>
  <c r="C23" i="222"/>
  <c r="G11" i="223"/>
  <c r="AO7" i="234"/>
  <c r="AQ7" i="234"/>
  <c r="AN11" i="234"/>
  <c r="AN43" i="234"/>
  <c r="BC16" i="234"/>
  <c r="AW20" i="234"/>
  <c r="BC37" i="234"/>
  <c r="BA39" i="234"/>
  <c r="BC39" i="234"/>
  <c r="P31" i="235"/>
  <c r="R27" i="235"/>
  <c r="N17" i="242"/>
  <c r="N16" i="242"/>
  <c r="N12" i="242"/>
  <c r="N11" i="242"/>
  <c r="D52" i="220"/>
  <c r="M66" i="222"/>
  <c r="L67" i="222"/>
  <c r="E22" i="216"/>
  <c r="N21" i="235"/>
  <c r="L29" i="235"/>
  <c r="N29" i="235"/>
  <c r="M21" i="235"/>
  <c r="M25" i="261"/>
  <c r="L34" i="261"/>
  <c r="L83" i="261"/>
  <c r="BI8" i="234"/>
  <c r="F76" i="237"/>
  <c r="BG18" i="234"/>
  <c r="BI18" i="234"/>
  <c r="BI36" i="234"/>
  <c r="E20" i="221"/>
  <c r="C21" i="221"/>
  <c r="E21" i="221"/>
  <c r="L29" i="223"/>
  <c r="M29" i="223"/>
  <c r="J23" i="243"/>
  <c r="J12" i="243"/>
  <c r="J15" i="243"/>
  <c r="J7" i="243"/>
  <c r="J22" i="243"/>
  <c r="J24" i="243"/>
  <c r="J11" i="243"/>
  <c r="S52" i="220"/>
  <c r="U52" i="220"/>
  <c r="J30" i="235"/>
  <c r="Q12" i="242"/>
  <c r="L52" i="221"/>
  <c r="M52" i="221"/>
  <c r="S11" i="223"/>
  <c r="V26" i="216"/>
  <c r="V35" i="216"/>
  <c r="AC71" i="216"/>
  <c r="U56" i="214"/>
  <c r="T13" i="242"/>
  <c r="T16" i="242"/>
  <c r="T18" i="242"/>
  <c r="T8" i="242"/>
  <c r="T14" i="242"/>
  <c r="T15" i="242"/>
  <c r="T17" i="242"/>
  <c r="T12" i="242"/>
  <c r="T7" i="242"/>
  <c r="T11" i="242"/>
  <c r="S82" i="216"/>
  <c r="AD31" i="235"/>
  <c r="CH8" i="253"/>
  <c r="I20" i="214"/>
  <c r="AG29" i="235"/>
  <c r="AA21" i="214"/>
  <c r="AL52" i="271"/>
  <c r="AV82" i="216"/>
  <c r="AW82" i="216"/>
  <c r="J14" i="269"/>
  <c r="I14" i="269"/>
  <c r="E32" i="269"/>
  <c r="H20" i="269"/>
  <c r="I20" i="269"/>
  <c r="AG80" i="214"/>
  <c r="AF81" i="214"/>
  <c r="AG81" i="214"/>
  <c r="AF34" i="220"/>
  <c r="AG34" i="220"/>
  <c r="J9" i="269"/>
  <c r="I9" i="269"/>
  <c r="AR71" i="270"/>
  <c r="AR102" i="270"/>
  <c r="AR137" i="270"/>
  <c r="AR43" i="272"/>
  <c r="AP14" i="223"/>
  <c r="AQ14" i="223"/>
  <c r="AV35" i="216"/>
  <c r="AY30" i="216"/>
  <c r="BH85" i="270"/>
  <c r="BE10" i="216"/>
  <c r="D32" i="269"/>
  <c r="H10" i="269"/>
  <c r="J10" i="269"/>
  <c r="AS32" i="253"/>
  <c r="B407" i="238"/>
  <c r="E412" i="238"/>
  <c r="F32" i="269"/>
  <c r="H25" i="269"/>
  <c r="J25" i="269"/>
  <c r="I24" i="269"/>
  <c r="H15" i="269"/>
  <c r="I15" i="269"/>
  <c r="J13" i="269"/>
  <c r="J12" i="269"/>
  <c r="G32" i="269"/>
  <c r="I7" i="269"/>
  <c r="J7" i="269"/>
  <c r="BG16" i="253"/>
  <c r="BV34" i="253"/>
  <c r="BF82" i="216"/>
  <c r="AO11" i="272"/>
  <c r="AO43" i="272"/>
  <c r="AP43" i="272"/>
  <c r="AN43" i="272"/>
  <c r="AD18" i="272"/>
  <c r="AS18" i="272"/>
  <c r="AT18" i="272"/>
  <c r="AL18" i="272"/>
  <c r="AD25" i="272"/>
  <c r="AJ43" i="272"/>
  <c r="AL43" i="272"/>
  <c r="AK43" i="272"/>
  <c r="AC43" i="272"/>
  <c r="AL25" i="272"/>
  <c r="AP25" i="272"/>
  <c r="AP18" i="272"/>
  <c r="Y43" i="272"/>
  <c r="AL32" i="272"/>
  <c r="AT25" i="272"/>
  <c r="Z18" i="272"/>
  <c r="X43" i="272"/>
  <c r="F66" i="237"/>
  <c r="F48" i="237"/>
  <c r="I13" i="235"/>
  <c r="AJ29" i="235"/>
  <c r="AD52" i="271"/>
  <c r="V52" i="271"/>
  <c r="I30" i="269"/>
  <c r="BH191" i="270"/>
  <c r="U80" i="221"/>
  <c r="I22" i="222"/>
  <c r="D36" i="222"/>
  <c r="E62" i="222"/>
  <c r="O54" i="222"/>
  <c r="O83" i="222"/>
  <c r="E72" i="237"/>
  <c r="F72" i="237"/>
  <c r="E33" i="220"/>
  <c r="E46" i="220"/>
  <c r="C81" i="220"/>
  <c r="U29" i="261"/>
  <c r="O81" i="261"/>
  <c r="Q81" i="261"/>
  <c r="H81" i="220"/>
  <c r="I81" i="220"/>
  <c r="P81" i="220"/>
  <c r="Q81" i="220"/>
  <c r="T52" i="220"/>
  <c r="L65" i="214"/>
  <c r="M65" i="214"/>
  <c r="W21" i="220"/>
  <c r="Y21" i="220"/>
  <c r="AJ35" i="223"/>
  <c r="AK35" i="223"/>
  <c r="AJ36" i="223"/>
  <c r="AK36" i="223"/>
  <c r="S23" i="222"/>
  <c r="U27" i="222"/>
  <c r="U77" i="222"/>
  <c r="AP34" i="223"/>
  <c r="AQ34" i="223"/>
  <c r="AP35" i="223"/>
  <c r="AP36" i="223"/>
  <c r="AQ36" i="223"/>
  <c r="AC64" i="214"/>
  <c r="AB34" i="261"/>
  <c r="AC34" i="261"/>
  <c r="AB21" i="220"/>
  <c r="AC21" i="220"/>
  <c r="AB81" i="220"/>
  <c r="E52" i="237"/>
  <c r="F52" i="237"/>
  <c r="AB6" i="243"/>
  <c r="AB21" i="243"/>
  <c r="AB8" i="243"/>
  <c r="AB20" i="243"/>
  <c r="AB12" i="243"/>
  <c r="AB23" i="243"/>
  <c r="AB15" i="243"/>
  <c r="AB27" i="243"/>
  <c r="AB22" i="243"/>
  <c r="AB14" i="243"/>
  <c r="AB13" i="243"/>
  <c r="AT71" i="270"/>
  <c r="AT56" i="270"/>
  <c r="Y25" i="270"/>
  <c r="Z8" i="270"/>
  <c r="Z9" i="270"/>
  <c r="AV35" i="223"/>
  <c r="AW35" i="223"/>
  <c r="I17" i="269"/>
  <c r="I19" i="269"/>
  <c r="J29" i="269"/>
  <c r="C83" i="215"/>
  <c r="E83" i="215"/>
  <c r="Z17" i="270"/>
  <c r="Z18" i="270"/>
  <c r="Z19" i="270"/>
  <c r="Z13" i="270"/>
  <c r="Z14" i="270"/>
  <c r="AC32" i="270"/>
  <c r="N32" i="269"/>
  <c r="R18" i="269"/>
  <c r="Q18" i="269"/>
  <c r="R22" i="269"/>
  <c r="Q22" i="269"/>
  <c r="R27" i="269"/>
  <c r="Q27" i="269"/>
  <c r="AF65" i="220"/>
  <c r="AG65" i="220"/>
  <c r="AF81" i="220"/>
  <c r="AI31" i="243"/>
  <c r="M23" i="217"/>
  <c r="BB31" i="223"/>
  <c r="BC31" i="223"/>
  <c r="AJ65" i="220"/>
  <c r="AK65" i="220"/>
  <c r="Q17" i="269"/>
  <c r="R17" i="269"/>
  <c r="R19" i="269"/>
  <c r="Q19" i="269"/>
  <c r="Q25" i="269"/>
  <c r="P30" i="269"/>
  <c r="R30" i="269"/>
  <c r="AP30" i="235"/>
  <c r="F31" i="237"/>
  <c r="F47" i="237"/>
  <c r="M52" i="271"/>
  <c r="N52" i="271"/>
  <c r="N55" i="271"/>
  <c r="N57" i="271"/>
  <c r="AJ34" i="214"/>
  <c r="AK34" i="214"/>
  <c r="AJ65" i="214"/>
  <c r="AK65" i="214"/>
  <c r="AK46" i="214"/>
  <c r="E33" i="214"/>
  <c r="AA34" i="214"/>
  <c r="W52" i="214"/>
  <c r="Y52" i="214"/>
  <c r="P65" i="214"/>
  <c r="Q65" i="214"/>
  <c r="AA52" i="214"/>
  <c r="AC52" i="214"/>
  <c r="AK15" i="214"/>
  <c r="M56" i="214"/>
  <c r="AG40" i="214"/>
  <c r="M15" i="261"/>
  <c r="AC33" i="261"/>
  <c r="M40" i="261"/>
  <c r="Q33" i="261"/>
  <c r="Q80" i="261"/>
  <c r="AE83" i="261"/>
  <c r="AB81" i="261"/>
  <c r="AC81" i="261"/>
  <c r="W21" i="261"/>
  <c r="Y21" i="261"/>
  <c r="H21" i="261"/>
  <c r="I21" i="261"/>
  <c r="AC40" i="261"/>
  <c r="C81" i="221"/>
  <c r="E81" i="221"/>
  <c r="U9" i="221"/>
  <c r="T34" i="221"/>
  <c r="C52" i="221"/>
  <c r="E52" i="221"/>
  <c r="L52" i="220"/>
  <c r="M52" i="220"/>
  <c r="U9" i="220"/>
  <c r="U46" i="220"/>
  <c r="AJ21" i="220"/>
  <c r="AK21" i="220"/>
  <c r="AC75" i="220"/>
  <c r="Q80" i="220"/>
  <c r="S21" i="220"/>
  <c r="E25" i="220"/>
  <c r="P52" i="220"/>
  <c r="Q52" i="220"/>
  <c r="U51" i="220"/>
  <c r="E70" i="220"/>
  <c r="S81" i="220"/>
  <c r="AJ52" i="220"/>
  <c r="Y51" i="220"/>
  <c r="AB52" i="220"/>
  <c r="AC52" i="220"/>
  <c r="W65" i="220"/>
  <c r="Y65" i="220"/>
  <c r="AG81" i="220"/>
  <c r="C21" i="220"/>
  <c r="C52" i="220"/>
  <c r="S65" i="220"/>
  <c r="D81" i="220"/>
  <c r="E81" i="220"/>
  <c r="I40" i="220"/>
  <c r="L65" i="220"/>
  <c r="H21" i="220"/>
  <c r="L81" i="220"/>
  <c r="M81" i="220"/>
  <c r="D21" i="220"/>
  <c r="AF52" i="220"/>
  <c r="AG52" i="220"/>
  <c r="AF21" i="220"/>
  <c r="W34" i="220"/>
  <c r="Y34" i="220"/>
  <c r="T21" i="220"/>
  <c r="I9" i="220"/>
  <c r="AE83" i="220"/>
  <c r="AJ81" i="220"/>
  <c r="AK81" i="220"/>
  <c r="Y20" i="220"/>
  <c r="E40" i="220"/>
  <c r="U20" i="220"/>
  <c r="E80" i="220"/>
  <c r="S34" i="220"/>
  <c r="AC9" i="220"/>
  <c r="C34" i="220"/>
  <c r="E34" i="220"/>
  <c r="L34" i="220"/>
  <c r="M34" i="220"/>
  <c r="M46" i="220"/>
  <c r="D65" i="220"/>
  <c r="E65" i="220"/>
  <c r="Y81" i="221"/>
  <c r="X83" i="221"/>
  <c r="Y83" i="221"/>
  <c r="Y80" i="221"/>
  <c r="S65" i="221"/>
  <c r="P52" i="221"/>
  <c r="Q52" i="221"/>
  <c r="E31" i="222"/>
  <c r="G36" i="222"/>
  <c r="Q77" i="222"/>
  <c r="C54" i="222"/>
  <c r="U16" i="222"/>
  <c r="C83" i="222"/>
  <c r="M53" i="222"/>
  <c r="I30" i="273"/>
  <c r="AP29" i="223"/>
  <c r="AQ29" i="223"/>
  <c r="S34" i="223"/>
  <c r="AD19" i="223"/>
  <c r="AE19" i="223"/>
  <c r="AG37" i="223"/>
  <c r="AP19" i="223"/>
  <c r="AQ19" i="223"/>
  <c r="AJ31" i="223"/>
  <c r="AK31" i="223"/>
  <c r="AJ14" i="223"/>
  <c r="AK14" i="223"/>
  <c r="L32" i="223"/>
  <c r="M32" i="223"/>
  <c r="BC14" i="223"/>
  <c r="BB33" i="223"/>
  <c r="BC33" i="223"/>
  <c r="AQ26" i="223"/>
  <c r="AP24" i="223"/>
  <c r="AQ24" i="223"/>
  <c r="BA37" i="223"/>
  <c r="AP33" i="223"/>
  <c r="M17" i="223"/>
  <c r="G18" i="223"/>
  <c r="AE18" i="223"/>
  <c r="AK17" i="223"/>
  <c r="AN37" i="223"/>
  <c r="M16" i="223"/>
  <c r="F19" i="223"/>
  <c r="G19" i="223"/>
  <c r="AI37" i="223"/>
  <c r="AV32" i="223"/>
  <c r="AW32" i="223"/>
  <c r="AQ35" i="223"/>
  <c r="AK11" i="223"/>
  <c r="AJ32" i="223"/>
  <c r="AK32" i="223"/>
  <c r="Q30" i="269"/>
  <c r="M80" i="232"/>
  <c r="M76" i="232"/>
  <c r="M72" i="232"/>
  <c r="M51" i="232"/>
  <c r="M57" i="232"/>
  <c r="K63" i="232"/>
  <c r="M175" i="232"/>
  <c r="M183" i="232"/>
  <c r="M97" i="232"/>
  <c r="M95" i="232"/>
  <c r="M136" i="232"/>
  <c r="M120" i="232"/>
  <c r="M53" i="232"/>
  <c r="M61" i="232"/>
  <c r="AL55" i="271"/>
  <c r="AL57" i="271"/>
  <c r="AH55" i="271"/>
  <c r="AH57" i="271"/>
  <c r="R55" i="271"/>
  <c r="R57" i="271"/>
  <c r="L52" i="271"/>
  <c r="AU32" i="234"/>
  <c r="AW32" i="234"/>
  <c r="AK13" i="234"/>
  <c r="AD43" i="234"/>
  <c r="U43" i="234"/>
  <c r="AH32" i="233"/>
  <c r="AF43" i="233"/>
  <c r="R18" i="233"/>
  <c r="K230" i="232"/>
  <c r="M220" i="232"/>
  <c r="M138" i="232"/>
  <c r="M134" i="232"/>
  <c r="G126" i="232"/>
  <c r="M126" i="232"/>
  <c r="M105" i="232"/>
  <c r="U48" i="222"/>
  <c r="U31" i="222"/>
  <c r="T83" i="222"/>
  <c r="U83" i="222"/>
  <c r="M16" i="222"/>
  <c r="M22" i="222"/>
  <c r="M27" i="222"/>
  <c r="M31" i="222"/>
  <c r="Q31" i="222"/>
  <c r="Q48" i="222"/>
  <c r="Q53" i="222"/>
  <c r="L54" i="222"/>
  <c r="I10" i="222"/>
  <c r="H36" i="222"/>
  <c r="I36" i="222"/>
  <c r="I27" i="222"/>
  <c r="I31" i="222"/>
  <c r="K54" i="222"/>
  <c r="P36" i="222"/>
  <c r="Q36" i="222"/>
  <c r="K67" i="222"/>
  <c r="K85" i="222"/>
  <c r="M62" i="222"/>
  <c r="H54" i="222"/>
  <c r="S21" i="221"/>
  <c r="U60" i="221"/>
  <c r="Q25" i="221"/>
  <c r="AJ34" i="220"/>
  <c r="AK34" i="220"/>
  <c r="AB34" i="220"/>
  <c r="AC34" i="220"/>
  <c r="W52" i="220"/>
  <c r="Y52" i="220"/>
  <c r="W81" i="220"/>
  <c r="Y81" i="220"/>
  <c r="P21" i="220"/>
  <c r="P34" i="220"/>
  <c r="Q34" i="220"/>
  <c r="H65" i="220"/>
  <c r="H34" i="220"/>
  <c r="I34" i="220"/>
  <c r="AF81" i="261"/>
  <c r="AG81" i="261"/>
  <c r="AF34" i="261"/>
  <c r="AG34" i="261"/>
  <c r="U51" i="261"/>
  <c r="U9" i="261"/>
  <c r="K21" i="261"/>
  <c r="M21" i="261"/>
  <c r="M46" i="261"/>
  <c r="BE26" i="216"/>
  <c r="AY26" i="216"/>
  <c r="AX47" i="216"/>
  <c r="AY76" i="216"/>
  <c r="AX57" i="216"/>
  <c r="AX66" i="216"/>
  <c r="AW66" i="216"/>
  <c r="AH35" i="216"/>
  <c r="AJ30" i="216"/>
  <c r="AJ61" i="216"/>
  <c r="AK76" i="216"/>
  <c r="AI82" i="216"/>
  <c r="AJ81" i="216"/>
  <c r="AJ16" i="216"/>
  <c r="AJ57" i="216"/>
  <c r="AK65" i="216"/>
  <c r="AK57" i="216"/>
  <c r="AF22" i="216"/>
  <c r="AI53" i="216"/>
  <c r="AG82" i="216"/>
  <c r="AF35" i="216"/>
  <c r="AD30" i="216"/>
  <c r="AD65" i="216"/>
  <c r="AD26" i="216"/>
  <c r="AD34" i="216"/>
  <c r="AC65" i="216"/>
  <c r="AC66" i="216"/>
  <c r="W26" i="216"/>
  <c r="T53" i="216"/>
  <c r="W30" i="216"/>
  <c r="W41" i="216"/>
  <c r="T22" i="216"/>
  <c r="P71" i="216"/>
  <c r="O52" i="216"/>
  <c r="AY41" i="216"/>
  <c r="AY71" i="216"/>
  <c r="AU35" i="216"/>
  <c r="AY21" i="216"/>
  <c r="F22" i="216"/>
  <c r="I10" i="216"/>
  <c r="I21" i="216"/>
  <c r="AF21" i="214"/>
  <c r="AG21" i="214"/>
  <c r="AF65" i="214"/>
  <c r="AG65" i="214"/>
  <c r="AF34" i="214"/>
  <c r="AG34" i="214"/>
  <c r="AC70" i="214"/>
  <c r="AC33" i="214"/>
  <c r="AC75" i="214"/>
  <c r="W34" i="214"/>
  <c r="Y34" i="214"/>
  <c r="Y20" i="214"/>
  <c r="P21" i="214"/>
  <c r="Q21" i="214"/>
  <c r="L81" i="214"/>
  <c r="M81" i="214"/>
  <c r="H21" i="214"/>
  <c r="I21" i="214"/>
  <c r="P52" i="214"/>
  <c r="Q52" i="214"/>
  <c r="C34" i="214"/>
  <c r="E34" i="214"/>
  <c r="D21" i="214"/>
  <c r="D83" i="214"/>
  <c r="D52" i="214"/>
  <c r="AC60" i="214"/>
  <c r="AJ81" i="214"/>
  <c r="AK81" i="214"/>
  <c r="T34" i="214"/>
  <c r="U34" i="214"/>
  <c r="E25" i="214"/>
  <c r="E64" i="214"/>
  <c r="E40" i="214"/>
  <c r="AB21" i="214"/>
  <c r="AC21" i="214"/>
  <c r="H81" i="214"/>
  <c r="I81" i="214"/>
  <c r="AB81" i="214"/>
  <c r="T81" i="214"/>
  <c r="U81" i="214"/>
  <c r="W65" i="214"/>
  <c r="Y65" i="214"/>
  <c r="E60" i="214"/>
  <c r="H65" i="214"/>
  <c r="I65" i="214"/>
  <c r="AC40" i="214"/>
  <c r="AB34" i="214"/>
  <c r="E20" i="214"/>
  <c r="BB32" i="223"/>
  <c r="BC32" i="223"/>
  <c r="BB35" i="223"/>
  <c r="BC35" i="223"/>
  <c r="BB29" i="223"/>
  <c r="BC29" i="223"/>
  <c r="BB9" i="223"/>
  <c r="BC9" i="223"/>
  <c r="AV31" i="223"/>
  <c r="AW31" i="223"/>
  <c r="AM37" i="223"/>
  <c r="AJ33" i="223"/>
  <c r="AK33" i="223"/>
  <c r="AJ29" i="223"/>
  <c r="AK29" i="223"/>
  <c r="AD33" i="223"/>
  <c r="AE33" i="223"/>
  <c r="AD29" i="223"/>
  <c r="AE29" i="223"/>
  <c r="AE8" i="223"/>
  <c r="X9" i="223"/>
  <c r="Y9" i="223"/>
  <c r="U37" i="223"/>
  <c r="W37" i="223"/>
  <c r="R14" i="223"/>
  <c r="S14" i="223"/>
  <c r="S36" i="223"/>
  <c r="R31" i="223"/>
  <c r="S31" i="223"/>
  <c r="L36" i="223"/>
  <c r="M36" i="223"/>
  <c r="L31" i="223"/>
  <c r="L34" i="223"/>
  <c r="M34" i="223"/>
  <c r="L14" i="223"/>
  <c r="M14" i="223"/>
  <c r="AB43" i="272"/>
  <c r="AD43" i="272"/>
  <c r="Z43" i="272"/>
  <c r="U43" i="272"/>
  <c r="AX30" i="216"/>
  <c r="I25" i="269"/>
  <c r="J20" i="269"/>
  <c r="M177" i="232"/>
  <c r="K187" i="232"/>
  <c r="G146" i="232"/>
  <c r="M146" i="232"/>
  <c r="K146" i="232"/>
  <c r="G84" i="232"/>
  <c r="D166" i="232"/>
  <c r="M59" i="232"/>
  <c r="M144" i="232"/>
  <c r="M122" i="232"/>
  <c r="G63" i="232"/>
  <c r="M32" i="270"/>
  <c r="I21" i="220"/>
  <c r="S83" i="220"/>
  <c r="U21" i="220"/>
  <c r="E35" i="222"/>
  <c r="C36" i="222"/>
  <c r="BI21" i="234"/>
  <c r="AK52" i="220"/>
  <c r="AM137" i="270"/>
  <c r="AM139" i="270"/>
  <c r="BA193" i="270"/>
  <c r="I10" i="269"/>
  <c r="H32" i="269"/>
  <c r="I32" i="269"/>
  <c r="Q15" i="221"/>
  <c r="P21" i="221"/>
  <c r="U75" i="221"/>
  <c r="T81" i="221"/>
  <c r="V37" i="223"/>
  <c r="G218" i="232"/>
  <c r="M218" i="232"/>
  <c r="D230" i="232"/>
  <c r="G230" i="232"/>
  <c r="M230" i="232"/>
  <c r="G17" i="223"/>
  <c r="F32" i="223"/>
  <c r="L33" i="223"/>
  <c r="M33" i="223"/>
  <c r="M18" i="223"/>
  <c r="L19" i="223"/>
  <c r="M19" i="223"/>
  <c r="Y27" i="223"/>
  <c r="X29" i="223"/>
  <c r="Q37" i="223"/>
  <c r="P81" i="216"/>
  <c r="G8" i="223"/>
  <c r="S18" i="223"/>
  <c r="R33" i="223"/>
  <c r="D37" i="223"/>
  <c r="AL18" i="233"/>
  <c r="BC10" i="234"/>
  <c r="BA11" i="234"/>
  <c r="AW35" i="234"/>
  <c r="AU39" i="234"/>
  <c r="AW39" i="234"/>
  <c r="I51" i="220"/>
  <c r="H52" i="220"/>
  <c r="I52" i="220"/>
  <c r="H72" i="216"/>
  <c r="H76" i="216"/>
  <c r="H82" i="216"/>
  <c r="I72" i="216"/>
  <c r="E76" i="216"/>
  <c r="L83" i="220"/>
  <c r="M83" i="220"/>
  <c r="AQ33" i="223"/>
  <c r="C34" i="221"/>
  <c r="L34" i="221"/>
  <c r="M34" i="221"/>
  <c r="P83" i="222"/>
  <c r="R19" i="223"/>
  <c r="S19" i="223"/>
  <c r="S17" i="223"/>
  <c r="AS43" i="272"/>
  <c r="AT43" i="272"/>
  <c r="D208" i="232"/>
  <c r="G208" i="232"/>
  <c r="G107" i="231"/>
  <c r="X35" i="223"/>
  <c r="Y35" i="223"/>
  <c r="Y12" i="223"/>
  <c r="AE13" i="223"/>
  <c r="AD36" i="223"/>
  <c r="AE36" i="223"/>
  <c r="E37" i="223"/>
  <c r="AJ43" i="233"/>
  <c r="AL43" i="233"/>
  <c r="K23" i="222"/>
  <c r="AZ43" i="234"/>
  <c r="CH19" i="253"/>
  <c r="AO18" i="234"/>
  <c r="AQ18" i="234"/>
  <c r="K36" i="222"/>
  <c r="D67" i="222"/>
  <c r="M10" i="222"/>
  <c r="L23" i="222"/>
  <c r="M23" i="222"/>
  <c r="G83" i="222"/>
  <c r="Y8" i="223"/>
  <c r="X34" i="223"/>
  <c r="Y34" i="223"/>
  <c r="G13" i="223"/>
  <c r="F14" i="223"/>
  <c r="G14" i="223"/>
  <c r="G36" i="223"/>
  <c r="G26" i="223"/>
  <c r="O23" i="222"/>
  <c r="Q22" i="222"/>
  <c r="E119" i="231"/>
  <c r="AD11" i="233"/>
  <c r="M13" i="235"/>
  <c r="N13" i="235"/>
  <c r="P23" i="222"/>
  <c r="Q10" i="222"/>
  <c r="M82" i="222"/>
  <c r="K83" i="222"/>
  <c r="X32" i="223"/>
  <c r="Y32" i="223"/>
  <c r="F9" i="223"/>
  <c r="G9" i="223"/>
  <c r="G187" i="232"/>
  <c r="AO43" i="233"/>
  <c r="R5" i="235"/>
  <c r="Q5" i="235"/>
  <c r="P29" i="235"/>
  <c r="R29" i="235"/>
  <c r="K30" i="273"/>
  <c r="I52" i="216"/>
  <c r="N15" i="242"/>
  <c r="M5" i="235"/>
  <c r="U33" i="220"/>
  <c r="T34" i="220"/>
  <c r="U34" i="220"/>
  <c r="AF82" i="216"/>
  <c r="AJ82" i="216"/>
  <c r="AY52" i="216"/>
  <c r="AX61" i="216"/>
  <c r="G119" i="231"/>
  <c r="I30" i="216"/>
  <c r="P34" i="214"/>
  <c r="Q34" i="214"/>
  <c r="U15" i="220"/>
  <c r="U70" i="220"/>
  <c r="I81" i="216"/>
  <c r="AK34" i="216"/>
  <c r="R53" i="216"/>
  <c r="N10" i="242"/>
  <c r="CP75" i="250"/>
  <c r="AK10" i="216"/>
  <c r="AV66" i="216"/>
  <c r="AV9" i="223"/>
  <c r="AW9" i="223"/>
  <c r="N9" i="242"/>
  <c r="P81" i="214"/>
  <c r="Q81" i="214"/>
  <c r="L52" i="214"/>
  <c r="M52" i="214"/>
  <c r="AT39" i="233"/>
  <c r="CP40" i="255"/>
  <c r="U22" i="222"/>
  <c r="AB65" i="220"/>
  <c r="E60" i="231"/>
  <c r="AT102" i="270"/>
  <c r="R11" i="233"/>
  <c r="P43" i="233"/>
  <c r="R43" i="233"/>
  <c r="AC30" i="234"/>
  <c r="AB32" i="234"/>
  <c r="P32" i="270"/>
  <c r="Q9" i="269"/>
  <c r="R9" i="269"/>
  <c r="P10" i="269"/>
  <c r="AA81" i="214"/>
  <c r="AC81" i="214"/>
  <c r="AJ31" i="235"/>
  <c r="AY47" i="216"/>
  <c r="AB7" i="243"/>
  <c r="AB10" i="243"/>
  <c r="AB16" i="243"/>
  <c r="AB19" i="243"/>
  <c r="AB24" i="243"/>
  <c r="Y20" i="270"/>
  <c r="Z20" i="270"/>
  <c r="Q20" i="269"/>
  <c r="R20" i="269"/>
  <c r="F18" i="229"/>
  <c r="G18" i="229"/>
  <c r="AK19" i="223"/>
  <c r="C407" i="238"/>
  <c r="Y28" i="234"/>
  <c r="AB18" i="234"/>
  <c r="AC14" i="234"/>
  <c r="AC18" i="234"/>
  <c r="AE18" i="234"/>
  <c r="P43" i="272"/>
  <c r="R11" i="272"/>
  <c r="BB36" i="223"/>
  <c r="BC36" i="223"/>
  <c r="AK40" i="214"/>
  <c r="AJ52" i="214"/>
  <c r="AK52" i="214"/>
  <c r="AP52" i="271"/>
  <c r="AV34" i="223"/>
  <c r="AW34" i="223"/>
  <c r="V25" i="233"/>
  <c r="Y10" i="234"/>
  <c r="W11" i="234"/>
  <c r="Y11" i="234"/>
  <c r="BC85" i="270"/>
  <c r="BC191" i="270"/>
  <c r="W23" i="234"/>
  <c r="Y23" i="234"/>
  <c r="V25" i="234"/>
  <c r="BB34" i="223"/>
  <c r="BC34" i="223"/>
  <c r="AJ21" i="214"/>
  <c r="AK21" i="214"/>
  <c r="CG21" i="255"/>
  <c r="CP28" i="255"/>
  <c r="CH29" i="255"/>
  <c r="BV40" i="255"/>
  <c r="AZ32" i="255"/>
  <c r="AC10" i="234"/>
  <c r="AE10" i="234"/>
  <c r="D32" i="270"/>
  <c r="T36" i="222"/>
  <c r="AB52" i="261"/>
  <c r="AC52" i="261"/>
  <c r="D486" i="213"/>
  <c r="U43" i="233"/>
  <c r="V11" i="233"/>
  <c r="AC22" i="234"/>
  <c r="AE22" i="234"/>
  <c r="Q43" i="272"/>
  <c r="R23" i="269"/>
  <c r="Q23" i="269"/>
  <c r="AH27" i="243"/>
  <c r="AH19" i="243"/>
  <c r="AH11" i="243"/>
  <c r="G9" i="229"/>
  <c r="AH26" i="243"/>
  <c r="AH18" i="243"/>
  <c r="AH10" i="243"/>
  <c r="AH25" i="243"/>
  <c r="AH17" i="243"/>
  <c r="G16" i="229"/>
  <c r="AH24" i="243"/>
  <c r="AH16" i="243"/>
  <c r="AH8" i="243"/>
  <c r="AH23" i="243"/>
  <c r="AH15" i="243"/>
  <c r="AH7" i="243"/>
  <c r="AP29" i="235"/>
  <c r="AH6" i="243"/>
  <c r="AH14" i="243"/>
  <c r="AH21" i="243"/>
  <c r="AH22" i="243"/>
  <c r="AH29" i="243"/>
  <c r="CG32" i="255"/>
  <c r="CP36" i="255"/>
  <c r="CP43" i="255"/>
  <c r="AL53" i="255"/>
  <c r="BY8" i="253"/>
  <c r="BY34" i="253"/>
  <c r="CP15" i="253"/>
  <c r="AZ16" i="253"/>
  <c r="AZ17" i="253"/>
  <c r="AZ27" i="253"/>
  <c r="AS33" i="253"/>
  <c r="BY26" i="253"/>
  <c r="AS8" i="253"/>
  <c r="AS11" i="253"/>
  <c r="AS27" i="253"/>
  <c r="CH11" i="253"/>
  <c r="BV35" i="253"/>
  <c r="BV30" i="253"/>
  <c r="BG17" i="253"/>
  <c r="CP16" i="253"/>
  <c r="CG11" i="253"/>
  <c r="AZ33" i="253"/>
  <c r="BG22" i="253"/>
  <c r="BG23" i="253"/>
  <c r="E107" i="231"/>
  <c r="E95" i="231"/>
  <c r="E83" i="231"/>
  <c r="E71" i="231"/>
  <c r="E49" i="231"/>
  <c r="E37" i="231"/>
  <c r="C714" i="238"/>
  <c r="B442" i="238"/>
  <c r="B515" i="238"/>
  <c r="C684" i="238"/>
  <c r="B714" i="238"/>
  <c r="B684" i="238"/>
  <c r="C585" i="238"/>
  <c r="G548" i="238"/>
  <c r="M54" i="222"/>
  <c r="AJ83" i="220"/>
  <c r="AK83" i="220"/>
  <c r="Q21" i="220"/>
  <c r="AC34" i="214"/>
  <c r="J32" i="269"/>
  <c r="E34" i="221"/>
  <c r="C83" i="221"/>
  <c r="E83" i="221"/>
  <c r="T85" i="222"/>
  <c r="BC11" i="234"/>
  <c r="G32" i="223"/>
  <c r="Q21" i="221"/>
  <c r="R10" i="269"/>
  <c r="Q10" i="269"/>
  <c r="M187" i="232"/>
  <c r="Q23" i="222"/>
  <c r="AC32" i="234"/>
  <c r="AE32" i="234"/>
  <c r="AE30" i="234"/>
  <c r="S33" i="223"/>
  <c r="E36" i="222"/>
  <c r="P83" i="214"/>
  <c r="Q83" i="214"/>
  <c r="R43" i="272"/>
  <c r="AC65" i="220"/>
  <c r="AB83" i="220"/>
  <c r="AC83" i="220"/>
  <c r="Q83" i="222"/>
  <c r="CG28" i="253"/>
  <c r="Y27" i="269"/>
  <c r="Z27" i="269"/>
  <c r="Z20" i="269"/>
  <c r="Y20" i="269"/>
  <c r="Y18" i="269"/>
  <c r="Z15" i="269"/>
  <c r="Y12" i="269"/>
  <c r="Z12" i="269"/>
  <c r="Y9" i="269"/>
  <c r="Y10" i="269"/>
  <c r="W32" i="269"/>
  <c r="AN65" i="214"/>
  <c r="AO65" i="214"/>
  <c r="AN21" i="214"/>
  <c r="BI33" i="223"/>
  <c r="BG37" i="223"/>
  <c r="BH36" i="223"/>
  <c r="BI36" i="223"/>
  <c r="BI14" i="223"/>
  <c r="BE37" i="223"/>
  <c r="BI35" i="223"/>
  <c r="AO21" i="214"/>
  <c r="AH52" i="271"/>
  <c r="I52" i="271"/>
  <c r="Y52" i="271"/>
  <c r="Q52" i="271"/>
  <c r="M32" i="232"/>
  <c r="M200" i="232"/>
  <c r="M140" i="232"/>
  <c r="M154" i="232"/>
  <c r="G166" i="232"/>
  <c r="M166" i="232"/>
  <c r="M179" i="232"/>
  <c r="M185" i="232"/>
  <c r="U21" i="221"/>
  <c r="X83" i="214"/>
  <c r="U15" i="221"/>
  <c r="U64" i="221"/>
  <c r="E10" i="222"/>
  <c r="E27" i="222"/>
  <c r="E42" i="222"/>
  <c r="Q66" i="222"/>
  <c r="AD14" i="223"/>
  <c r="AE14" i="223"/>
  <c r="F29" i="223"/>
  <c r="AP25" i="233"/>
  <c r="D53" i="216"/>
  <c r="I61" i="216"/>
  <c r="L22" i="216"/>
  <c r="AC47" i="216"/>
  <c r="AU53" i="216"/>
  <c r="M63" i="232"/>
  <c r="J15" i="269"/>
  <c r="T21" i="221"/>
  <c r="I42" i="222"/>
  <c r="C67" i="222"/>
  <c r="E67" i="222"/>
  <c r="K37" i="223"/>
  <c r="O37" i="223"/>
  <c r="L65" i="261"/>
  <c r="M20" i="261"/>
  <c r="P65" i="220"/>
  <c r="P83" i="220"/>
  <c r="Q83" i="220"/>
  <c r="Z35" i="216"/>
  <c r="Z52" i="271"/>
  <c r="AD11" i="272"/>
  <c r="U51" i="221"/>
  <c r="M158" i="232"/>
  <c r="AD32" i="233"/>
  <c r="BY12" i="255"/>
  <c r="Q15" i="261"/>
  <c r="O30" i="216"/>
  <c r="N66" i="216"/>
  <c r="D83" i="222"/>
  <c r="E83" i="222"/>
  <c r="U82" i="216"/>
  <c r="AR139" i="270"/>
  <c r="BF193" i="270"/>
  <c r="BF195" i="270"/>
  <c r="Q75" i="221"/>
  <c r="I83" i="221"/>
  <c r="M42" i="222"/>
  <c r="I66" i="222"/>
  <c r="AC37" i="223"/>
  <c r="M142" i="232"/>
  <c r="M202" i="232"/>
  <c r="BM11" i="234"/>
  <c r="BO11" i="234"/>
  <c r="CG9" i="255"/>
  <c r="W52" i="216"/>
  <c r="V65" i="216"/>
  <c r="AD81" i="216"/>
  <c r="AJ34" i="216"/>
  <c r="E29" i="214"/>
  <c r="AC52" i="271"/>
  <c r="AI18" i="234"/>
  <c r="AT139" i="270"/>
  <c r="BH193" i="270"/>
  <c r="BH195" i="270"/>
  <c r="E21" i="220"/>
  <c r="E52" i="220"/>
  <c r="O85" i="222"/>
  <c r="G95" i="231"/>
  <c r="P37" i="223"/>
  <c r="G33" i="223"/>
  <c r="Y33" i="223"/>
  <c r="J37" i="223"/>
  <c r="M222" i="232"/>
  <c r="M226" i="232"/>
  <c r="AP11" i="233"/>
  <c r="AL25" i="233"/>
  <c r="R31" i="235"/>
  <c r="BY9" i="255"/>
  <c r="BV32" i="255"/>
  <c r="BV49" i="255"/>
  <c r="BY37" i="255"/>
  <c r="E15" i="220"/>
  <c r="O26" i="216"/>
  <c r="O35" i="216"/>
  <c r="M66" i="216"/>
  <c r="W47" i="216"/>
  <c r="AB82" i="216"/>
  <c r="AG35" i="216"/>
  <c r="AK35" i="216"/>
  <c r="U81" i="220"/>
  <c r="U23" i="222"/>
  <c r="AA22" i="216"/>
  <c r="AC81" i="220"/>
  <c r="E48" i="222"/>
  <c r="P54" i="222"/>
  <c r="Q54" i="222"/>
  <c r="M77" i="222"/>
  <c r="X14" i="223"/>
  <c r="Y14" i="223"/>
  <c r="Y29" i="223"/>
  <c r="I37" i="223"/>
  <c r="G132" i="231"/>
  <c r="M204" i="232"/>
  <c r="T65" i="220"/>
  <c r="U65" i="220"/>
  <c r="AJ76" i="216"/>
  <c r="Z11" i="272"/>
  <c r="M116" i="232"/>
  <c r="M124" i="232"/>
  <c r="AP32" i="223"/>
  <c r="AS13" i="255"/>
  <c r="BA85" i="270"/>
  <c r="BA191" i="270"/>
  <c r="BG85" i="270"/>
  <c r="BG191" i="270"/>
  <c r="AV36" i="223"/>
  <c r="AW36" i="223"/>
  <c r="AN52" i="271"/>
  <c r="AO52" i="271"/>
  <c r="H597" i="213"/>
  <c r="AE20" i="243"/>
  <c r="V32" i="233"/>
  <c r="J32" i="270"/>
  <c r="O32" i="269"/>
  <c r="G10" i="229"/>
  <c r="Z14" i="269"/>
  <c r="X30" i="269"/>
  <c r="S36" i="222"/>
  <c r="U36" i="222"/>
  <c r="AY65" i="216"/>
  <c r="C550" i="238"/>
  <c r="AO102" i="270"/>
  <c r="AO139" i="270"/>
  <c r="BC193" i="270"/>
  <c r="BC195" i="270"/>
  <c r="Y7" i="270"/>
  <c r="I23" i="269"/>
  <c r="BE41" i="216"/>
  <c r="G42" i="232"/>
  <c r="V32" i="269"/>
  <c r="AV56" i="270"/>
  <c r="BP38" i="255"/>
  <c r="U75" i="220"/>
  <c r="S22" i="216"/>
  <c r="W76" i="216"/>
  <c r="T65" i="214"/>
  <c r="U65" i="214"/>
  <c r="X52" i="271"/>
  <c r="M118" i="232"/>
  <c r="U10" i="222"/>
  <c r="S54" i="222"/>
  <c r="BL108" i="274"/>
  <c r="Y12" i="270"/>
  <c r="BD85" i="270"/>
  <c r="BD191" i="270"/>
  <c r="BD195" i="270"/>
  <c r="BB85" i="270"/>
  <c r="Y28" i="270"/>
  <c r="Z28" i="270"/>
  <c r="AE15" i="243"/>
  <c r="V18" i="233"/>
  <c r="V25" i="272"/>
  <c r="H52" i="271"/>
  <c r="BF37" i="223"/>
  <c r="BH37" i="223"/>
  <c r="BI37" i="223"/>
  <c r="BJ189" i="270"/>
  <c r="Y43" i="233"/>
  <c r="Z43" i="233"/>
  <c r="V55" i="271"/>
  <c r="V57" i="271"/>
  <c r="M78" i="232"/>
  <c r="AE24" i="243"/>
  <c r="AE23" i="243"/>
  <c r="R25" i="233"/>
  <c r="Q43" i="233"/>
  <c r="V32" i="272"/>
  <c r="AZ37" i="223"/>
  <c r="G7" i="229"/>
  <c r="AD22" i="253"/>
  <c r="Y29" i="269"/>
  <c r="U32" i="269"/>
  <c r="K42" i="232"/>
  <c r="Y7" i="269"/>
  <c r="AS31" i="235"/>
  <c r="AV71" i="270"/>
  <c r="AX76" i="216"/>
  <c r="AV33" i="223"/>
  <c r="AW33" i="223"/>
  <c r="AF52" i="214"/>
  <c r="M32" i="269"/>
  <c r="BJ186" i="270"/>
  <c r="AF15" i="270"/>
  <c r="AS62" i="255"/>
  <c r="AS137" i="270"/>
  <c r="AP55" i="271"/>
  <c r="AP57" i="271"/>
  <c r="R25" i="272"/>
  <c r="BH34" i="223"/>
  <c r="BI34" i="223"/>
  <c r="AS71" i="254"/>
  <c r="BA195" i="270"/>
  <c r="AE14" i="234"/>
  <c r="T83" i="220"/>
  <c r="U83" i="220"/>
  <c r="M31" i="223"/>
  <c r="H83" i="220"/>
  <c r="I83" i="220"/>
  <c r="M67" i="222"/>
  <c r="G54" i="222"/>
  <c r="I54" i="222"/>
  <c r="P67" i="222"/>
  <c r="E66" i="222"/>
  <c r="G29" i="223"/>
  <c r="K208" i="232"/>
  <c r="M208" i="232"/>
  <c r="AL39" i="233"/>
  <c r="BO8" i="234"/>
  <c r="AW13" i="234"/>
  <c r="AD30" i="235"/>
  <c r="L83" i="221"/>
  <c r="M83" i="221"/>
  <c r="L37" i="223"/>
  <c r="M37" i="223"/>
  <c r="W83" i="220"/>
  <c r="Y83" i="220"/>
  <c r="AD35" i="223"/>
  <c r="AE35" i="223"/>
  <c r="X36" i="223"/>
  <c r="Y36" i="223"/>
  <c r="E17" i="235"/>
  <c r="J21" i="235"/>
  <c r="H29" i="235"/>
  <c r="J29" i="235"/>
  <c r="F77" i="237"/>
  <c r="E82" i="237"/>
  <c r="F82" i="237"/>
  <c r="F102" i="237"/>
  <c r="H67" i="222"/>
  <c r="I58" i="222"/>
  <c r="G6" i="223"/>
  <c r="F31" i="223"/>
  <c r="G31" i="223"/>
  <c r="AG21" i="220"/>
  <c r="AF83" i="220"/>
  <c r="AG83" i="220"/>
  <c r="AE12" i="223"/>
  <c r="S81" i="221"/>
  <c r="U81" i="221"/>
  <c r="U70" i="221"/>
  <c r="I77" i="222"/>
  <c r="H83" i="222"/>
  <c r="AQ37" i="234"/>
  <c r="U9" i="235"/>
  <c r="T29" i="235"/>
  <c r="U29" i="235"/>
  <c r="G67" i="222"/>
  <c r="I62" i="222"/>
  <c r="U40" i="221"/>
  <c r="S52" i="221"/>
  <c r="U52" i="221"/>
  <c r="S26" i="223"/>
  <c r="F88" i="237"/>
  <c r="E92" i="237"/>
  <c r="F92" i="237"/>
  <c r="X31" i="223"/>
  <c r="X19" i="223"/>
  <c r="Y19" i="223"/>
  <c r="Y16" i="223"/>
  <c r="W25" i="234"/>
  <c r="F34" i="223"/>
  <c r="G34" i="223"/>
  <c r="C83" i="220"/>
  <c r="BB191" i="270"/>
  <c r="BB195" i="270"/>
  <c r="P34" i="221"/>
  <c r="D23" i="222"/>
  <c r="E23" i="222"/>
  <c r="E22" i="222"/>
  <c r="E53" i="222"/>
  <c r="D54" i="222"/>
  <c r="E54" i="222"/>
  <c r="L83" i="222"/>
  <c r="M72" i="222"/>
  <c r="L9" i="223"/>
  <c r="M35" i="222"/>
  <c r="L36" i="222"/>
  <c r="M36" i="222"/>
  <c r="T65" i="221"/>
  <c r="U65" i="221"/>
  <c r="U56" i="221"/>
  <c r="G23" i="222"/>
  <c r="AE6" i="223"/>
  <c r="AD31" i="223"/>
  <c r="Y11" i="223"/>
  <c r="R32" i="223"/>
  <c r="R37" i="223"/>
  <c r="S37" i="223"/>
  <c r="S7" i="223"/>
  <c r="C37" i="223"/>
  <c r="AE34" i="223"/>
  <c r="AA37" i="223"/>
  <c r="M160" i="232"/>
  <c r="BC13" i="234"/>
  <c r="BA18" i="234"/>
  <c r="BC20" i="234"/>
  <c r="BA25" i="234"/>
  <c r="BA43" i="234"/>
  <c r="BC43" i="234"/>
  <c r="Q14" i="242"/>
  <c r="Q9" i="242"/>
  <c r="U18" i="242"/>
  <c r="Q7" i="242"/>
  <c r="Q15" i="242"/>
  <c r="R18" i="242"/>
  <c r="Q8" i="242"/>
  <c r="Q17" i="242"/>
  <c r="Q11" i="242"/>
  <c r="Q18" i="242"/>
  <c r="Q10" i="242"/>
  <c r="E82" i="222"/>
  <c r="S34" i="221"/>
  <c r="U25" i="221"/>
  <c r="I16" i="222"/>
  <c r="H23" i="222"/>
  <c r="I23" i="222"/>
  <c r="AS43" i="233"/>
  <c r="AT11" i="233"/>
  <c r="BB43" i="234"/>
  <c r="AB11" i="243"/>
  <c r="AF31" i="243"/>
  <c r="AB26" i="243"/>
  <c r="R13" i="269"/>
  <c r="P15" i="269"/>
  <c r="Q15" i="269"/>
  <c r="Q13" i="269"/>
  <c r="W65" i="216"/>
  <c r="K31" i="243"/>
  <c r="BY32" i="255"/>
  <c r="BP35" i="255"/>
  <c r="BV37" i="255"/>
  <c r="AK16" i="216"/>
  <c r="Q7" i="269"/>
  <c r="R7" i="269"/>
  <c r="CP9" i="255"/>
  <c r="CG12" i="255"/>
  <c r="O34" i="216"/>
  <c r="AA35" i="216"/>
  <c r="AK81" i="216"/>
  <c r="AH43" i="272"/>
  <c r="AJ9" i="223"/>
  <c r="AK9" i="223"/>
  <c r="U54" i="222"/>
  <c r="AB65" i="214"/>
  <c r="AC65" i="214"/>
  <c r="AB17" i="243"/>
  <c r="D83" i="220"/>
  <c r="AP11" i="272"/>
  <c r="M9" i="223"/>
  <c r="BP26" i="255"/>
  <c r="CP32" i="255"/>
  <c r="AJ34" i="223"/>
  <c r="AJ37" i="223"/>
  <c r="AK37" i="223"/>
  <c r="AT53" i="216"/>
  <c r="AV29" i="223"/>
  <c r="AW29" i="223"/>
  <c r="P34" i="216"/>
  <c r="C899" i="213"/>
  <c r="C901" i="213"/>
  <c r="O18" i="242"/>
  <c r="O47" i="216"/>
  <c r="AC10" i="216"/>
  <c r="AH37" i="223"/>
  <c r="Y27" i="270"/>
  <c r="AV37" i="223"/>
  <c r="AW37" i="223"/>
  <c r="AV19" i="223"/>
  <c r="AW19" i="223"/>
  <c r="Q29" i="269"/>
  <c r="H31" i="243"/>
  <c r="N82" i="216"/>
  <c r="S35" i="216"/>
  <c r="AJ26" i="216"/>
  <c r="AJ24" i="223"/>
  <c r="AK24" i="223"/>
  <c r="AK21" i="223"/>
  <c r="AU37" i="223"/>
  <c r="F270" i="238"/>
  <c r="BL26" i="274"/>
  <c r="C515" i="238"/>
  <c r="AS56" i="270"/>
  <c r="AS139" i="270"/>
  <c r="BG193" i="270"/>
  <c r="BG195" i="270"/>
  <c r="J28" i="269"/>
  <c r="I28" i="269"/>
  <c r="V32" i="270"/>
  <c r="Q12" i="269"/>
  <c r="R12" i="269"/>
  <c r="G19" i="231"/>
  <c r="BH9" i="223"/>
  <c r="BI9" i="223"/>
  <c r="C442" i="238"/>
  <c r="Y29" i="270"/>
  <c r="Z29" i="270"/>
  <c r="AT37" i="223"/>
  <c r="AG83" i="221"/>
  <c r="X43" i="234"/>
  <c r="T43" i="272"/>
  <c r="V43" i="272"/>
  <c r="AY37" i="223"/>
  <c r="R14" i="269"/>
  <c r="Q14" i="269"/>
  <c r="G14" i="229"/>
  <c r="BJ85" i="270"/>
  <c r="AF8" i="270"/>
  <c r="L32" i="269"/>
  <c r="G37" i="231"/>
  <c r="D11" i="229"/>
  <c r="F11" i="229"/>
  <c r="G30" i="273"/>
  <c r="B654" i="238"/>
  <c r="K84" i="232"/>
  <c r="M84" i="232"/>
  <c r="AL27" i="255"/>
  <c r="AL12" i="255"/>
  <c r="AL20" i="255"/>
  <c r="R25" i="269"/>
  <c r="AN34" i="214"/>
  <c r="AO33" i="214"/>
  <c r="BJ175" i="270"/>
  <c r="AF30" i="270"/>
  <c r="AF28" i="270"/>
  <c r="R15" i="269"/>
  <c r="X25" i="269"/>
  <c r="Y25" i="269"/>
  <c r="Z10" i="269"/>
  <c r="AV139" i="270"/>
  <c r="BJ193" i="270"/>
  <c r="AU82" i="216"/>
  <c r="B585" i="238"/>
  <c r="W39" i="234"/>
  <c r="Y39" i="234"/>
  <c r="Z19" i="269"/>
  <c r="Y19" i="269"/>
  <c r="AZ36" i="255"/>
  <c r="R32" i="233"/>
  <c r="F22" i="231"/>
  <c r="G22" i="231"/>
  <c r="M36" i="232"/>
  <c r="BH31" i="223"/>
  <c r="BI31" i="223"/>
  <c r="F19" i="229"/>
  <c r="G19" i="229"/>
  <c r="AD15" i="255"/>
  <c r="M30" i="232"/>
  <c r="F21" i="237"/>
  <c r="Z17" i="269"/>
  <c r="Z22" i="269"/>
  <c r="AF12" i="270"/>
  <c r="M34" i="232"/>
  <c r="Z7" i="269"/>
  <c r="AN52" i="214"/>
  <c r="AO52" i="214"/>
  <c r="BJ132" i="270"/>
  <c r="AF20" i="270"/>
  <c r="J30" i="273"/>
  <c r="AL41" i="255"/>
  <c r="AL48" i="255"/>
  <c r="AL45" i="255"/>
  <c r="AD11" i="253"/>
  <c r="AD43" i="255"/>
  <c r="Y8" i="269"/>
  <c r="BH19" i="223"/>
  <c r="BI19" i="223"/>
  <c r="BI29" i="223"/>
  <c r="AS30" i="235"/>
  <c r="C621" i="238"/>
  <c r="AL16" i="255"/>
  <c r="AO80" i="214"/>
  <c r="AD19" i="255"/>
  <c r="H471" i="213"/>
  <c r="AS26" i="255"/>
  <c r="AL37" i="255"/>
  <c r="BY21" i="255"/>
  <c r="BP20" i="255"/>
  <c r="AZ47" i="255"/>
  <c r="AS19" i="255"/>
  <c r="AS59" i="255"/>
  <c r="AZ13" i="255"/>
  <c r="AZ19" i="255"/>
  <c r="AZ26" i="255"/>
  <c r="CP15" i="255"/>
  <c r="BV21" i="255"/>
  <c r="CH19" i="255"/>
  <c r="BY40" i="255"/>
  <c r="BY49" i="255"/>
  <c r="AD20" i="255"/>
  <c r="AD28" i="255"/>
  <c r="BG11" i="255"/>
  <c r="BG14" i="255"/>
  <c r="AZ37" i="255"/>
  <c r="AS32" i="255"/>
  <c r="AS37" i="255"/>
  <c r="BY47" i="255"/>
  <c r="BP41" i="255"/>
  <c r="BV58" i="255"/>
  <c r="CG37" i="255"/>
  <c r="CG58" i="255"/>
  <c r="CH12" i="255"/>
  <c r="BV9" i="255"/>
  <c r="AL33" i="255"/>
  <c r="AL38" i="255"/>
  <c r="CH51" i="255"/>
  <c r="CG56" i="255"/>
  <c r="CP22" i="255"/>
  <c r="BY58" i="255"/>
  <c r="CG47" i="255"/>
  <c r="BP9" i="255"/>
  <c r="BP14" i="255"/>
  <c r="BG41" i="255"/>
  <c r="BG45" i="255"/>
  <c r="AD38" i="255"/>
  <c r="BP30" i="255"/>
  <c r="BP49" i="255"/>
  <c r="AD47" i="255"/>
  <c r="CH9" i="255"/>
  <c r="BV12" i="255"/>
  <c r="AS40" i="255"/>
  <c r="BP50" i="255"/>
  <c r="BY28" i="255"/>
  <c r="BY48" i="255"/>
  <c r="BV28" i="255"/>
  <c r="CH25" i="255"/>
  <c r="AD34" i="255"/>
  <c r="CG50" i="255"/>
  <c r="CH45" i="255"/>
  <c r="CH38" i="255"/>
  <c r="BP48" i="255"/>
  <c r="CG49" i="255"/>
  <c r="CH44" i="255"/>
  <c r="BY50" i="255"/>
  <c r="BY56" i="255"/>
  <c r="CH53" i="255"/>
  <c r="CH42" i="255"/>
  <c r="CH33" i="255"/>
  <c r="AS44" i="255"/>
  <c r="AS61" i="255"/>
  <c r="CG28" i="255"/>
  <c r="CG16" i="254"/>
  <c r="CG17" i="254"/>
  <c r="BV59" i="254"/>
  <c r="BG8" i="253"/>
  <c r="BG11" i="253"/>
  <c r="AL22" i="253"/>
  <c r="AD16" i="253"/>
  <c r="AB25" i="243"/>
  <c r="AB18" i="243"/>
  <c r="AE10" i="243"/>
  <c r="AE28" i="243"/>
  <c r="AE18" i="243"/>
  <c r="AE13" i="243"/>
  <c r="AE26" i="243"/>
  <c r="AE21" i="243"/>
  <c r="AE8" i="243"/>
  <c r="AE11" i="243"/>
  <c r="AE6" i="243"/>
  <c r="AE16" i="243"/>
  <c r="AE19" i="243"/>
  <c r="AE14" i="243"/>
  <c r="Y23" i="243"/>
  <c r="Y11" i="243"/>
  <c r="Y12" i="243"/>
  <c r="M7" i="243"/>
  <c r="Z31" i="243"/>
  <c r="Y21" i="243"/>
  <c r="Y13" i="243"/>
  <c r="Y19" i="243"/>
  <c r="Y8" i="243"/>
  <c r="S31" i="243"/>
  <c r="AC31" i="243"/>
  <c r="Y18" i="243"/>
  <c r="Y6" i="243"/>
  <c r="Y27" i="243"/>
  <c r="Y17" i="243"/>
  <c r="Y24" i="243"/>
  <c r="Y26" i="243"/>
  <c r="Y15" i="243"/>
  <c r="Y20" i="243"/>
  <c r="Y25" i="243"/>
  <c r="Y14" i="243"/>
  <c r="J18" i="243"/>
  <c r="J25" i="243"/>
  <c r="M10" i="243"/>
  <c r="P6" i="243"/>
  <c r="V21" i="243"/>
  <c r="V12" i="243"/>
  <c r="J31" i="243"/>
  <c r="Q31" i="243"/>
  <c r="M19" i="243"/>
  <c r="P23" i="243"/>
  <c r="M11" i="243"/>
  <c r="J16" i="243"/>
  <c r="J17" i="243"/>
  <c r="P21" i="243"/>
  <c r="V26" i="243"/>
  <c r="V13" i="243"/>
  <c r="V27" i="243"/>
  <c r="P20" i="243"/>
  <c r="M20" i="243"/>
  <c r="P18" i="243"/>
  <c r="V22" i="243"/>
  <c r="V8" i="243"/>
  <c r="V23" i="243"/>
  <c r="M8" i="243"/>
  <c r="M25" i="243"/>
  <c r="AH28" i="243"/>
  <c r="J19" i="243"/>
  <c r="M16" i="243"/>
  <c r="J8" i="243"/>
  <c r="V18" i="243"/>
  <c r="V6" i="243"/>
  <c r="V19" i="243"/>
  <c r="J14" i="243"/>
  <c r="P22" i="243"/>
  <c r="P26" i="243"/>
  <c r="M14" i="243"/>
  <c r="P25" i="243"/>
  <c r="AH20" i="243"/>
  <c r="M6" i="243"/>
  <c r="M12" i="243"/>
  <c r="M15" i="243"/>
  <c r="V14" i="243"/>
  <c r="V24" i="243"/>
  <c r="V15" i="243"/>
  <c r="P19" i="243"/>
  <c r="P15" i="243"/>
  <c r="M22" i="243"/>
  <c r="M21" i="243"/>
  <c r="P8" i="243"/>
  <c r="AH12" i="243"/>
  <c r="M13" i="243"/>
  <c r="M17" i="243"/>
  <c r="M31" i="243"/>
  <c r="M18" i="243"/>
  <c r="M26" i="243"/>
  <c r="V25" i="243"/>
  <c r="N31" i="243"/>
  <c r="BL78" i="274"/>
  <c r="B889" i="213"/>
  <c r="G311" i="212"/>
  <c r="AS29" i="235"/>
  <c r="AG52" i="214"/>
  <c r="AF83" i="214"/>
  <c r="C85" i="222"/>
  <c r="M42" i="232"/>
  <c r="AQ32" i="223"/>
  <c r="AP37" i="223"/>
  <c r="AQ37" i="223"/>
  <c r="F25" i="231"/>
  <c r="G25" i="231"/>
  <c r="Y15" i="270"/>
  <c r="Z15" i="270"/>
  <c r="Z12" i="270"/>
  <c r="AL21" i="255"/>
  <c r="Z7" i="270"/>
  <c r="Y10" i="270"/>
  <c r="Z10" i="270"/>
  <c r="Z30" i="269"/>
  <c r="Y30" i="269"/>
  <c r="S85" i="222"/>
  <c r="U85" i="222"/>
  <c r="Y87" i="222"/>
  <c r="AK18" i="234"/>
  <c r="AZ54" i="255"/>
  <c r="I67" i="222"/>
  <c r="S32" i="223"/>
  <c r="P32" i="269"/>
  <c r="P85" i="222"/>
  <c r="Q85" i="222"/>
  <c r="Q67" i="222"/>
  <c r="Z27" i="270"/>
  <c r="Y30" i="270"/>
  <c r="AF10" i="270"/>
  <c r="BJ191" i="270"/>
  <c r="G20" i="229"/>
  <c r="BC18" i="234"/>
  <c r="Q34" i="221"/>
  <c r="P83" i="221"/>
  <c r="Q83" i="221"/>
  <c r="D85" i="222"/>
  <c r="E85" i="222"/>
  <c r="CP33" i="255"/>
  <c r="S83" i="221"/>
  <c r="U34" i="221"/>
  <c r="AE31" i="243"/>
  <c r="AD50" i="255"/>
  <c r="AK34" i="223"/>
  <c r="AE31" i="223"/>
  <c r="AD37" i="223"/>
  <c r="X37" i="223"/>
  <c r="Y37" i="223"/>
  <c r="Y31" i="223"/>
  <c r="G85" i="222"/>
  <c r="H85" i="222"/>
  <c r="I83" i="222"/>
  <c r="F37" i="223"/>
  <c r="G37" i="223"/>
  <c r="Z25" i="269"/>
  <c r="X32" i="269"/>
  <c r="G11" i="229"/>
  <c r="G12" i="229"/>
  <c r="AD35" i="216"/>
  <c r="AE37" i="223"/>
  <c r="L85" i="222"/>
  <c r="M85" i="222"/>
  <c r="M83" i="222"/>
  <c r="E83" i="220"/>
  <c r="T83" i="221"/>
  <c r="Y25" i="234"/>
  <c r="AB31" i="243"/>
  <c r="AH31" i="243"/>
  <c r="AO34" i="214"/>
  <c r="BB37" i="223"/>
  <c r="BC37" i="223"/>
  <c r="BV57" i="255"/>
  <c r="CP44" i="255"/>
  <c r="BP47" i="255"/>
  <c r="AS47" i="255"/>
  <c r="AS54" i="255"/>
  <c r="BV47" i="255"/>
  <c r="AD39" i="255"/>
  <c r="AD56" i="255"/>
  <c r="AS60" i="255"/>
  <c r="BV56" i="255"/>
  <c r="BV48" i="255"/>
  <c r="BY60" i="255"/>
  <c r="BY52" i="255"/>
  <c r="BP31" i="255"/>
  <c r="BP42" i="255"/>
  <c r="BY57" i="255"/>
  <c r="AL54" i="255"/>
  <c r="CH43" i="255"/>
  <c r="CH47" i="255"/>
  <c r="CG48" i="255"/>
  <c r="CG52" i="255"/>
  <c r="CG57" i="255"/>
  <c r="BP51" i="255"/>
  <c r="CH52" i="255"/>
  <c r="Y31" i="243"/>
  <c r="V31" i="243"/>
  <c r="P31" i="243"/>
  <c r="C885" i="213"/>
  <c r="C886" i="213"/>
  <c r="C888" i="213"/>
  <c r="I85" i="222"/>
  <c r="I87" i="222"/>
  <c r="R32" i="269"/>
  <c r="Q32" i="269"/>
  <c r="Z30" i="270"/>
  <c r="Y32" i="270"/>
  <c r="Z32" i="270"/>
  <c r="BV60" i="255"/>
  <c r="Y32" i="269"/>
  <c r="Z32" i="269"/>
  <c r="U83" i="221"/>
  <c r="AF32" i="270"/>
  <c r="BJ195" i="270"/>
  <c r="Q87" i="222"/>
  <c r="U87" i="222"/>
  <c r="BV52" i="255"/>
  <c r="CG60" i="255"/>
  <c r="CH55" i="255"/>
  <c r="C887" i="213"/>
  <c r="C889" i="213"/>
  <c r="M87" i="222"/>
  <c r="J8" i="271"/>
  <c r="J51" i="271"/>
  <c r="J52" i="271"/>
  <c r="J55" i="271"/>
  <c r="J57" i="271"/>
  <c r="X83" i="261"/>
  <c r="D34" i="261"/>
  <c r="E34" i="261"/>
  <c r="D52" i="261"/>
  <c r="E52" i="261"/>
  <c r="O34" i="261"/>
  <c r="Q34" i="261"/>
  <c r="Y51" i="261"/>
  <c r="P21" i="261"/>
  <c r="Q21" i="261"/>
  <c r="L52" i="261"/>
  <c r="U15" i="261"/>
  <c r="S34" i="261"/>
  <c r="AG83" i="214"/>
  <c r="AJ83" i="214"/>
  <c r="AK83" i="214"/>
  <c r="M21" i="214"/>
  <c r="L83" i="214"/>
  <c r="M83" i="214"/>
  <c r="T83" i="214"/>
  <c r="U83" i="214"/>
  <c r="W81" i="214"/>
  <c r="AA83" i="214"/>
  <c r="T52" i="214"/>
  <c r="U52" i="214"/>
  <c r="E21" i="214"/>
  <c r="E56" i="214"/>
  <c r="C52" i="214"/>
  <c r="E52" i="214"/>
  <c r="C81" i="214"/>
  <c r="AN83" i="214"/>
  <c r="AO83" i="214"/>
  <c r="H52" i="214"/>
  <c r="I52" i="214"/>
  <c r="L34" i="214"/>
  <c r="M34" i="214"/>
  <c r="M9" i="214"/>
  <c r="AR21" i="214"/>
  <c r="AS21" i="214"/>
  <c r="AB83" i="214"/>
  <c r="AR81" i="214"/>
  <c r="AS81" i="214"/>
  <c r="AS60" i="214"/>
  <c r="AR34" i="214"/>
  <c r="F55" i="271"/>
  <c r="F57" i="271" s="1"/>
  <c r="Q25" i="228" s="1"/>
  <c r="AC83" i="214"/>
  <c r="H83" i="214"/>
  <c r="I83" i="214"/>
  <c r="W83" i="214"/>
  <c r="Y83" i="214"/>
  <c r="Y81" i="214"/>
  <c r="C83" i="214"/>
  <c r="E83" i="214"/>
  <c r="E81" i="214"/>
  <c r="AR83" i="214"/>
  <c r="AS83" i="214"/>
  <c r="AS34" i="214"/>
  <c r="BP28" i="254"/>
  <c r="CP32" i="254"/>
  <c r="AL40" i="254"/>
  <c r="CG9" i="254"/>
  <c r="BY15" i="254"/>
  <c r="BY71" i="254"/>
  <c r="BP23" i="254"/>
  <c r="BP33" i="254"/>
  <c r="N19" i="254"/>
  <c r="BY9" i="254"/>
  <c r="BY32" i="254"/>
  <c r="CH55" i="254"/>
  <c r="AD68" i="254"/>
  <c r="V11" i="254"/>
  <c r="BP9" i="254"/>
  <c r="BP63" i="254"/>
  <c r="BP13" i="254"/>
  <c r="BP16" i="254"/>
  <c r="BP58" i="254"/>
  <c r="V70" i="254"/>
  <c r="BV48" i="254"/>
  <c r="BV15" i="254"/>
  <c r="AZ11" i="254"/>
  <c r="AZ74" i="254"/>
  <c r="AZ21" i="254"/>
  <c r="AZ30" i="254"/>
  <c r="AZ40" i="254"/>
  <c r="AZ61" i="254"/>
  <c r="AS37" i="254"/>
  <c r="AS22" i="254"/>
  <c r="AS79" i="254"/>
  <c r="AS42" i="254"/>
  <c r="AL68" i="254"/>
  <c r="AL18" i="254"/>
  <c r="AD65" i="254"/>
  <c r="AD45" i="254"/>
  <c r="AD12" i="254"/>
  <c r="N12" i="254"/>
  <c r="N26" i="254"/>
  <c r="N35" i="254"/>
  <c r="N47" i="254"/>
  <c r="CH24" i="254"/>
  <c r="BV32" i="254"/>
  <c r="BG33" i="254"/>
  <c r="BG39" i="254"/>
  <c r="BY36" i="254"/>
  <c r="CP37" i="254"/>
  <c r="BP42" i="254"/>
  <c r="BG55" i="254"/>
  <c r="BV55" i="254"/>
  <c r="BV73" i="254"/>
  <c r="BG17" i="254"/>
  <c r="CH35" i="254"/>
  <c r="N42" i="254"/>
  <c r="N73" i="254"/>
  <c r="AS10" i="254"/>
  <c r="AS16" i="254"/>
  <c r="AL45" i="254"/>
  <c r="AL25" i="254"/>
  <c r="AD40" i="254"/>
  <c r="AD19" i="254"/>
  <c r="V18" i="254"/>
  <c r="V46" i="254"/>
  <c r="BG48" i="254"/>
  <c r="BY48" i="254"/>
  <c r="BY64" i="254"/>
  <c r="CP46" i="254"/>
  <c r="CP58" i="254"/>
  <c r="BP49" i="254"/>
  <c r="N69" i="254"/>
  <c r="N81" i="254"/>
  <c r="BY25" i="254"/>
  <c r="BY72" i="254"/>
  <c r="CP25" i="254"/>
  <c r="BV25" i="254"/>
  <c r="CG25" i="254"/>
  <c r="CH59" i="254"/>
  <c r="V78" i="254"/>
  <c r="BV66" i="254"/>
  <c r="V25" i="254"/>
  <c r="V41" i="254"/>
  <c r="V34" i="254"/>
  <c r="V66" i="254"/>
  <c r="V58" i="254"/>
  <c r="BG11" i="254"/>
  <c r="BV9" i="254"/>
  <c r="BV71" i="254"/>
  <c r="CH9" i="254"/>
  <c r="CP14" i="254"/>
  <c r="CP18" i="254"/>
  <c r="CH15" i="254"/>
  <c r="BP66" i="254"/>
  <c r="AZ17" i="254"/>
  <c r="AZ35" i="254"/>
  <c r="AZ50" i="254"/>
  <c r="AZ57" i="254"/>
  <c r="AZ69" i="254"/>
  <c r="AS31" i="254"/>
  <c r="AS52" i="254"/>
  <c r="AS60" i="254"/>
  <c r="AS78" i="254"/>
  <c r="AL76" i="254"/>
  <c r="AL64" i="254"/>
  <c r="AL54" i="254"/>
  <c r="AL34" i="254"/>
  <c r="AL12" i="254"/>
  <c r="AD57" i="254"/>
  <c r="AD34" i="254"/>
  <c r="AD46" i="254"/>
  <c r="AD25" i="254"/>
  <c r="AD26" i="254"/>
  <c r="BP65" i="254"/>
  <c r="CG55" i="254"/>
  <c r="CH61" i="254"/>
  <c r="BY55" i="254"/>
  <c r="CP55" i="254"/>
  <c r="CH44" i="254"/>
  <c r="CG47" i="254"/>
  <c r="CG66" i="254"/>
  <c r="CH62" i="254"/>
  <c r="CH17" i="254"/>
  <c r="BP64" i="254"/>
  <c r="BP54" i="254"/>
  <c r="BY66" i="254"/>
  <c r="CH31" i="254"/>
  <c r="CG32" i="254"/>
  <c r="CH52" i="254"/>
  <c r="CG15" i="254"/>
  <c r="CH26" i="253"/>
  <c r="CH34" i="253"/>
  <c r="CG34" i="253"/>
  <c r="CG26" i="253"/>
  <c r="V21" i="253"/>
  <c r="BY38" i="253"/>
  <c r="BY30" i="253"/>
  <c r="CH13" i="253"/>
  <c r="CH35" i="253"/>
  <c r="BY27" i="253"/>
  <c r="BY35" i="253"/>
  <c r="BG27" i="253"/>
  <c r="AZ32" i="253"/>
  <c r="CG16" i="253"/>
  <c r="CG35" i="253"/>
  <c r="BP9" i="253"/>
  <c r="CH22" i="253"/>
  <c r="AH32" i="270"/>
  <c r="AI32" i="270"/>
  <c r="Q24" i="228"/>
  <c r="AI15" i="270"/>
  <c r="Q23" i="228"/>
  <c r="AU43" i="234"/>
  <c r="AW43" i="234"/>
  <c r="AW11" i="234"/>
  <c r="AK25" i="234"/>
  <c r="AI43" i="234"/>
  <c r="AK43" i="234"/>
  <c r="AQ30" i="234"/>
  <c r="AO32" i="234"/>
  <c r="AQ32" i="234"/>
  <c r="AQ11" i="234"/>
  <c r="AC11" i="234"/>
  <c r="BG43" i="234"/>
  <c r="BI43" i="234"/>
  <c r="BI11" i="234"/>
  <c r="BO18" i="234"/>
  <c r="BM43" i="234"/>
  <c r="BO43" i="234"/>
  <c r="BC25" i="234"/>
  <c r="BO21" i="234"/>
  <c r="AW7" i="234"/>
  <c r="AQ8" i="234"/>
  <c r="BI9" i="234"/>
  <c r="BO13" i="234"/>
  <c r="AW16" i="234"/>
  <c r="AQ20" i="234"/>
  <c r="AW21" i="234"/>
  <c r="BI22" i="234"/>
  <c r="BO36" i="234"/>
  <c r="BI38" i="234"/>
  <c r="AK22" i="234"/>
  <c r="AK36" i="234"/>
  <c r="AE6" i="234"/>
  <c r="Y29" i="234"/>
  <c r="AC7" i="234"/>
  <c r="AE7" i="234"/>
  <c r="AC20" i="234"/>
  <c r="AC34" i="234"/>
  <c r="AQ34" i="234"/>
  <c r="W18" i="234"/>
  <c r="AD43" i="233"/>
  <c r="AT18" i="233"/>
  <c r="AP39" i="233"/>
  <c r="T43" i="233"/>
  <c r="V43" i="233"/>
  <c r="AG43" i="233"/>
  <c r="AH43" i="233"/>
  <c r="AL11" i="233"/>
  <c r="BL105" i="274"/>
  <c r="BL111" i="274"/>
  <c r="BL109" i="274"/>
  <c r="BL56" i="274"/>
  <c r="M34" i="261"/>
  <c r="K83" i="261"/>
  <c r="M83" i="261"/>
  <c r="U34" i="261"/>
  <c r="Y34" i="261"/>
  <c r="W83" i="261"/>
  <c r="Y83" i="261"/>
  <c r="S83" i="261"/>
  <c r="U21" i="261"/>
  <c r="Q25" i="261"/>
  <c r="AB21" i="261"/>
  <c r="AC21" i="261"/>
  <c r="T65" i="261"/>
  <c r="U65" i="261"/>
  <c r="D81" i="261"/>
  <c r="E81" i="261"/>
  <c r="AF52" i="261"/>
  <c r="AG52" i="261"/>
  <c r="U25" i="261"/>
  <c r="AC20" i="261"/>
  <c r="Y33" i="261"/>
  <c r="P83" i="261"/>
  <c r="H34" i="261"/>
  <c r="U20" i="261"/>
  <c r="O83" i="261"/>
  <c r="M33" i="261"/>
  <c r="H52" i="261"/>
  <c r="I52" i="261"/>
  <c r="AG64" i="261"/>
  <c r="U75" i="261"/>
  <c r="H81" i="261"/>
  <c r="I81" i="261"/>
  <c r="W65" i="261"/>
  <c r="Y65" i="261"/>
  <c r="D65" i="261"/>
  <c r="E65" i="261"/>
  <c r="D21" i="261"/>
  <c r="AF21" i="261"/>
  <c r="BE61" i="216"/>
  <c r="BE57" i="216"/>
  <c r="BE66" i="216"/>
  <c r="BE47" i="216"/>
  <c r="BE53" i="216"/>
  <c r="BE34" i="216"/>
  <c r="BE35" i="216"/>
  <c r="BE22" i="216"/>
  <c r="I35" i="216"/>
  <c r="V22" i="216"/>
  <c r="D84" i="216"/>
  <c r="O66" i="216"/>
  <c r="O84" i="216"/>
  <c r="P76" i="216"/>
  <c r="M82" i="216"/>
  <c r="P82" i="216"/>
  <c r="O81" i="216"/>
  <c r="V53" i="216"/>
  <c r="W66" i="216"/>
  <c r="H66" i="216"/>
  <c r="H84" i="216"/>
  <c r="I66" i="216"/>
  <c r="P35" i="216"/>
  <c r="AD66" i="216"/>
  <c r="AV84" i="216"/>
  <c r="AY22" i="216"/>
  <c r="I76" i="216"/>
  <c r="F82" i="216"/>
  <c r="O82" i="216"/>
  <c r="P53" i="216"/>
  <c r="S84" i="216"/>
  <c r="AC53" i="216"/>
  <c r="AX35" i="216"/>
  <c r="AX84" i="216"/>
  <c r="AC22" i="216"/>
  <c r="AC84" i="216"/>
  <c r="Y53" i="216"/>
  <c r="Y84" i="216"/>
  <c r="P22" i="216"/>
  <c r="I34" i="216"/>
  <c r="Z22" i="216"/>
  <c r="AK71" i="216"/>
  <c r="O72" i="216"/>
  <c r="O76" i="216"/>
  <c r="G82" i="216"/>
  <c r="AY10" i="216"/>
  <c r="P52" i="216"/>
  <c r="AF53" i="216"/>
  <c r="AY34" i="216"/>
  <c r="D66" i="216"/>
  <c r="AH53" i="216"/>
  <c r="AK53" i="216"/>
  <c r="P72" i="216"/>
  <c r="AT82" i="216"/>
  <c r="AY82" i="216"/>
  <c r="AJ35" i="216"/>
  <c r="AY57" i="216"/>
  <c r="F53" i="216"/>
  <c r="I53" i="216"/>
  <c r="G22" i="216"/>
  <c r="AG53" i="216"/>
  <c r="N22" i="216"/>
  <c r="N84" i="216"/>
  <c r="Z53" i="216"/>
  <c r="AD53" i="216"/>
  <c r="AJ47" i="216"/>
  <c r="AG84" i="216"/>
  <c r="AD57" i="216"/>
  <c r="AY16" i="216"/>
  <c r="P41" i="216"/>
  <c r="T35" i="216"/>
  <c r="U22" i="216"/>
  <c r="AB22" i="216"/>
  <c r="AB84" i="216"/>
  <c r="AK52" i="216"/>
  <c r="AA84" i="216"/>
  <c r="AJ41" i="216"/>
  <c r="AK22" i="216"/>
  <c r="AI84" i="216"/>
  <c r="AJ22" i="216"/>
  <c r="AK21" i="216"/>
  <c r="L84" i="216"/>
  <c r="BY65" i="254"/>
  <c r="AZ62" i="254"/>
  <c r="AS77" i="254"/>
  <c r="N48" i="254"/>
  <c r="V71" i="254"/>
  <c r="BV65" i="254"/>
  <c r="BG60" i="254"/>
  <c r="CP38" i="254"/>
  <c r="BY63" i="254"/>
  <c r="AD69" i="254"/>
  <c r="AD77" i="254"/>
  <c r="V26" i="254"/>
  <c r="N74" i="254"/>
  <c r="AZ77" i="254"/>
  <c r="CG65" i="254"/>
  <c r="BY73" i="254"/>
  <c r="V47" i="254"/>
  <c r="AL26" i="254"/>
  <c r="BY75" i="254"/>
  <c r="AL46" i="254"/>
  <c r="AL69" i="254"/>
  <c r="BV64" i="254"/>
  <c r="AS23" i="254"/>
  <c r="CG63" i="254"/>
  <c r="BV75" i="254"/>
  <c r="AS43" i="254"/>
  <c r="CP59" i="254"/>
  <c r="N27" i="254"/>
  <c r="N83" i="254"/>
  <c r="AZ76" i="254"/>
  <c r="BV63" i="254"/>
  <c r="BV67" i="254"/>
  <c r="AS76" i="254"/>
  <c r="BV72" i="254"/>
  <c r="CH69" i="254"/>
  <c r="BG20" i="254"/>
  <c r="BG68" i="254"/>
  <c r="AZ41" i="254"/>
  <c r="AZ75" i="254"/>
  <c r="BP67" i="254"/>
  <c r="AS64" i="254"/>
  <c r="AZ22" i="254"/>
  <c r="CH60" i="254"/>
  <c r="CG64" i="254"/>
  <c r="CH68" i="254"/>
  <c r="BY67" i="254"/>
  <c r="CG73" i="254"/>
  <c r="CH70" i="254"/>
  <c r="CG72" i="254"/>
  <c r="CG71" i="254"/>
  <c r="BP19" i="253"/>
  <c r="BP30" i="253"/>
  <c r="CG38" i="253"/>
  <c r="CH38" i="253"/>
  <c r="CG27" i="253"/>
  <c r="CH27" i="253"/>
  <c r="CH30" i="253"/>
  <c r="CG30" i="253"/>
  <c r="AE11" i="234"/>
  <c r="AC43" i="234"/>
  <c r="AE43" i="234"/>
  <c r="AC39" i="234"/>
  <c r="AE39" i="234"/>
  <c r="AE34" i="234"/>
  <c r="AC25" i="234"/>
  <c r="AE25" i="234"/>
  <c r="AE20" i="234"/>
  <c r="AO43" i="234"/>
  <c r="AQ43" i="234"/>
  <c r="W43" i="234"/>
  <c r="Y43" i="234"/>
  <c r="Y18" i="234"/>
  <c r="AG21" i="261"/>
  <c r="AF83" i="261"/>
  <c r="AG83" i="261"/>
  <c r="I34" i="261"/>
  <c r="H83" i="261"/>
  <c r="I83" i="261"/>
  <c r="T83" i="261"/>
  <c r="AB83" i="261"/>
  <c r="AC83" i="261"/>
  <c r="E21" i="261"/>
  <c r="D83" i="261"/>
  <c r="E83" i="261"/>
  <c r="Q83" i="261"/>
  <c r="U83" i="261"/>
  <c r="BE84" i="216"/>
  <c r="U84" i="216"/>
  <c r="W22" i="216"/>
  <c r="AH84" i="216"/>
  <c r="AK84" i="216"/>
  <c r="W35" i="216"/>
  <c r="T84" i="216"/>
  <c r="Z84" i="216"/>
  <c r="AD84" i="216"/>
  <c r="AD22" i="216"/>
  <c r="V84" i="216"/>
  <c r="G84" i="216"/>
  <c r="I22" i="216"/>
  <c r="AT84" i="216"/>
  <c r="AY84" i="216"/>
  <c r="AJ53" i="216"/>
  <c r="AJ84" i="216"/>
  <c r="AF84" i="216"/>
  <c r="M84" i="216"/>
  <c r="P84" i="216"/>
  <c r="I82" i="216"/>
  <c r="F84" i="216"/>
  <c r="I84" i="216"/>
  <c r="V79" i="254"/>
  <c r="AL77" i="254"/>
  <c r="AZ70" i="254"/>
  <c r="CG74" i="254"/>
  <c r="CH72" i="254"/>
  <c r="CH64" i="254"/>
  <c r="CG67" i="254"/>
  <c r="W84" i="2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Erika Graciela Chavez Martinez</author>
  </authors>
  <commentList>
    <comment ref="BD19" authorId="0" shapeId="0" xr:uid="{59520B64-1512-49A1-8213-CECD36FC46FA}">
      <text>
        <r>
          <rPr>
            <b/>
            <sz val="9"/>
            <color indexed="81"/>
            <rFont val="Tahoma"/>
            <family val="2"/>
          </rPr>
          <t>Erika Graciela Chavez Martinez:</t>
        </r>
        <r>
          <rPr>
            <sz val="9"/>
            <color indexed="81"/>
            <rFont val="Tahoma"/>
            <family val="2"/>
          </rPr>
          <t xml:space="preserve">
esta actualización corrsponde por fecha al 19-O , pero la deje en 20-I para que cadre la suma de actualiaciones con el archivo de July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Erika Graciela Chavez Martinez</author>
  </authors>
  <commentList>
    <comment ref="B28" authorId="0" shapeId="0" xr:uid="{3EC0384A-1A5F-4AA6-BF6E-B80B0CBF4776}">
      <text>
        <r>
          <rPr>
            <b/>
            <sz val="9"/>
            <color indexed="81"/>
            <rFont val="Tahoma"/>
            <family val="2"/>
          </rPr>
          <t>Erika Graciela Chavez Martinez:</t>
        </r>
        <r>
          <rPr>
            <sz val="9"/>
            <color indexed="81"/>
            <rFont val="Tahoma"/>
            <family val="2"/>
          </rPr>
          <t xml:space="preserve">
Aún no esta ofertado en la página, creción sesión 480.7,  17/07/ 2020, se contó en el 3er. trim</t>
        </r>
      </text>
    </comment>
  </commentList>
</comments>
</file>

<file path=xl/sharedStrings.xml><?xml version="1.0" encoding="utf-8"?>
<sst xmlns="http://schemas.openxmlformats.org/spreadsheetml/2006/main" count="26768" uniqueCount="3940">
  <si>
    <t>Unidad</t>
  </si>
  <si>
    <t>División</t>
  </si>
  <si>
    <t>Plan de Estudios</t>
  </si>
  <si>
    <t>Azcapotzalco</t>
  </si>
  <si>
    <t>CBI</t>
  </si>
  <si>
    <t>Ing. Ambiental</t>
  </si>
  <si>
    <t>Ing. Civil</t>
  </si>
  <si>
    <t>Ing. Eléctrica</t>
  </si>
  <si>
    <t>Ing. Física</t>
  </si>
  <si>
    <t>Ing. Industrial</t>
  </si>
  <si>
    <t>Ing. Mecánica</t>
  </si>
  <si>
    <t>Ing. Metalúrgica</t>
  </si>
  <si>
    <t>Ing. Química</t>
  </si>
  <si>
    <t>Ing. Electrónica</t>
  </si>
  <si>
    <t>Ing. en Computación</t>
  </si>
  <si>
    <t>Total</t>
  </si>
  <si>
    <t>CSH</t>
  </si>
  <si>
    <t>Administración</t>
  </si>
  <si>
    <t>Derecho</t>
  </si>
  <si>
    <t>Economía</t>
  </si>
  <si>
    <t>Sociología</t>
  </si>
  <si>
    <t>CAD</t>
  </si>
  <si>
    <t>Arquitectura</t>
  </si>
  <si>
    <t>Diseño de la Comunicación Gráfica</t>
  </si>
  <si>
    <t>Diseño Industrial</t>
  </si>
  <si>
    <t>Iztapalapa</t>
  </si>
  <si>
    <t>Ing. Biomédica</t>
  </si>
  <si>
    <t>Ing. Hidrológica</t>
  </si>
  <si>
    <t>Ing. en Energía</t>
  </si>
  <si>
    <t>Física</t>
  </si>
  <si>
    <t>Matemáticas</t>
  </si>
  <si>
    <t>Química</t>
  </si>
  <si>
    <t>Computación</t>
  </si>
  <si>
    <t>Antropología Social</t>
  </si>
  <si>
    <t>Letras Hispánicas</t>
  </si>
  <si>
    <t>Filosofía</t>
  </si>
  <si>
    <t>Historia</t>
  </si>
  <si>
    <t>Lingüistica</t>
  </si>
  <si>
    <t>Ciencia Política</t>
  </si>
  <si>
    <t>Psicología Social</t>
  </si>
  <si>
    <t>Geografía Humana</t>
  </si>
  <si>
    <t>CBS</t>
  </si>
  <si>
    <t>Biología</t>
  </si>
  <si>
    <t>Biología Experimental</t>
  </si>
  <si>
    <t>Hidrobiología</t>
  </si>
  <si>
    <t>Producción Animal</t>
  </si>
  <si>
    <t>Ing. Bioquímica Industrial</t>
  </si>
  <si>
    <t>Ing. de los Alimentos</t>
  </si>
  <si>
    <t>Xochimilco</t>
  </si>
  <si>
    <t>Comunicación Social</t>
  </si>
  <si>
    <t>Psicología</t>
  </si>
  <si>
    <t>Política y Gestión Social</t>
  </si>
  <si>
    <t>Enfermería</t>
  </si>
  <si>
    <t>Estomatología</t>
  </si>
  <si>
    <t>Química Farmacéutica Biológica</t>
  </si>
  <si>
    <t>Medicina Veterinaria y Zootecnia</t>
  </si>
  <si>
    <t>Agronomía</t>
  </si>
  <si>
    <t>Nutrición</t>
  </si>
  <si>
    <t>Planeación Territorial</t>
  </si>
  <si>
    <t>Cuajimalpa</t>
  </si>
  <si>
    <t>Estudios Socioterritoriales</t>
  </si>
  <si>
    <t>CCD</t>
  </si>
  <si>
    <t>Diseño</t>
  </si>
  <si>
    <t>Ciencias de la Comunicación</t>
  </si>
  <si>
    <t>CNI</t>
  </si>
  <si>
    <t>Matemáticas Aplicadas</t>
  </si>
  <si>
    <t>Eficiencia Terminal</t>
  </si>
  <si>
    <t>TOTAL UAM</t>
  </si>
  <si>
    <t>UNIDAD</t>
  </si>
  <si>
    <t>DIVISIÓN</t>
  </si>
  <si>
    <t>AZCAPOTZALCO</t>
  </si>
  <si>
    <t>TOTAL</t>
  </si>
  <si>
    <t>CUAJIMALPA</t>
  </si>
  <si>
    <t>IZTAPALAPA</t>
  </si>
  <si>
    <t>XOCHIMILCO</t>
  </si>
  <si>
    <t>UAM</t>
  </si>
  <si>
    <t>%</t>
  </si>
  <si>
    <t>L</t>
  </si>
  <si>
    <t>E</t>
  </si>
  <si>
    <t>M</t>
  </si>
  <si>
    <t>D</t>
  </si>
  <si>
    <t>Biología Molecular</t>
  </si>
  <si>
    <t>LERMA</t>
  </si>
  <si>
    <t>S N I</t>
  </si>
  <si>
    <t>INVESTIGACIÓN</t>
  </si>
  <si>
    <t>Secretaría</t>
  </si>
  <si>
    <t>Rectoría</t>
  </si>
  <si>
    <t>Rectoría General</t>
  </si>
  <si>
    <t>INSTITUCIÓN</t>
  </si>
  <si>
    <t>Ranking México</t>
  </si>
  <si>
    <t>Ranking Mundial</t>
  </si>
  <si>
    <t>UNIVERSIDAD</t>
  </si>
  <si>
    <t xml:space="preserve"> Universidad Nacional Autónoma de México</t>
  </si>
  <si>
    <t>Centro de Investigación y de Estudios Avanzados del IPN</t>
  </si>
  <si>
    <t xml:space="preserve"> Instituto Politécnico Nacional</t>
  </si>
  <si>
    <t>Universidad Autónoma Metropolitana</t>
  </si>
  <si>
    <t>Universidad de Guadalajara</t>
  </si>
  <si>
    <t>(Miles de pesos)</t>
  </si>
  <si>
    <t>(Monto en pesos)</t>
  </si>
  <si>
    <t>(Miles de Pesos)</t>
  </si>
  <si>
    <t>Concepto</t>
  </si>
  <si>
    <t>Subsidio Federal</t>
  </si>
  <si>
    <t>Porcentaje</t>
  </si>
  <si>
    <t>Esp en Literatura Mexicana del Siglo XX</t>
  </si>
  <si>
    <t>CyAD</t>
  </si>
  <si>
    <t>Esp-Mtría-Doc en Diseño</t>
  </si>
  <si>
    <t>Total Azcapotzalco</t>
  </si>
  <si>
    <t>Esp-Mtría-Doc en Ciencias Antropológicas</t>
  </si>
  <si>
    <t>Esp en Biotecnología</t>
  </si>
  <si>
    <t>Esp en Acupuntura y Fitoterapia</t>
  </si>
  <si>
    <t>Total Iztapalapa</t>
  </si>
  <si>
    <t>Esp-Mtría-Doc en Desarrollo Rural</t>
  </si>
  <si>
    <t>Esp-Mtría en Patología y Medicina Bucal</t>
  </si>
  <si>
    <t>Total UAM</t>
  </si>
  <si>
    <t>Mtría en Ciencias de la Computación</t>
  </si>
  <si>
    <t>Esp-Mtría-Doc en Ciencias e Ingeniería</t>
  </si>
  <si>
    <t>Mtría-Doc en Ing. Estructural</t>
  </si>
  <si>
    <t>Mtría en Planeación y Políticas Metropolitanas</t>
  </si>
  <si>
    <t>Mtría-Doc en Sociología</t>
  </si>
  <si>
    <t>Posgrado en Historiografía</t>
  </si>
  <si>
    <t>Posgrado en Física</t>
  </si>
  <si>
    <t>Posgrado en Matemáticas</t>
  </si>
  <si>
    <t>Posgrado en Química</t>
  </si>
  <si>
    <t>Posgrado en Ingeniería Química</t>
  </si>
  <si>
    <t>Posgrado en Ingeniería Biomédica</t>
  </si>
  <si>
    <t>Mtría-Doc en Estudios Organizacionales</t>
  </si>
  <si>
    <t>Mtría-Doc en Humanidades</t>
  </si>
  <si>
    <t>Mtría-Doc en Estudios Sociales</t>
  </si>
  <si>
    <t>Mtría-Doc en Ciencias Económicas</t>
  </si>
  <si>
    <t>Posgrado en Biotecnología</t>
  </si>
  <si>
    <t>Posgrado en Biología Experimental</t>
  </si>
  <si>
    <t>Mtría en Biología</t>
  </si>
  <si>
    <t>Mtría en Desarrollo y Planeación de la Educación</t>
  </si>
  <si>
    <t>Mtría en Economía y Gestión del Cambio Tecnológico</t>
  </si>
  <si>
    <t>Esp-Mtría en Estudios de la Mujer</t>
  </si>
  <si>
    <t>Mtría en Psicología Social de Grupos e Instituciones</t>
  </si>
  <si>
    <t>Mtría en Políticas Públicas</t>
  </si>
  <si>
    <t>Mtría en Comunicación y Política</t>
  </si>
  <si>
    <t>Esp-Mtría en Medicina Social</t>
  </si>
  <si>
    <t>Mtría en Rehabilitación Neurológica</t>
  </si>
  <si>
    <t>Mtría en Ciencias en Salud en el Trabajo</t>
  </si>
  <si>
    <t>Mtría en Ciencias Farmacéuticas</t>
  </si>
  <si>
    <t>Mtría en Ciencias Agropecuarias</t>
  </si>
  <si>
    <t>Mtría en Ciencias y Artes para el Diseño</t>
  </si>
  <si>
    <t>Doc en Ciencias Sociales</t>
  </si>
  <si>
    <t>Doc en Ciencias en Salud Colectiva</t>
  </si>
  <si>
    <t>Doc en Ciencias y Artes para el Diseño</t>
  </si>
  <si>
    <t>Institución</t>
  </si>
  <si>
    <t>2004 - 2008</t>
  </si>
  <si>
    <t>Artículos</t>
  </si>
  <si>
    <t>Citas</t>
  </si>
  <si>
    <t>Impacto</t>
  </si>
  <si>
    <t>Universidad Nacional Autónoma de México</t>
  </si>
  <si>
    <t>Secretaría de Salud</t>
  </si>
  <si>
    <t>Instituto Politécnico Nacional</t>
  </si>
  <si>
    <t>Instituto Mexicano del Seguro Social</t>
  </si>
  <si>
    <t>Instituto Mexicano del Petróleo</t>
  </si>
  <si>
    <t>Universidad Autónoma de Nuevo León</t>
  </si>
  <si>
    <t>Universidad Autónoma de Puebla</t>
  </si>
  <si>
    <t>Secretaría de Educación Pública</t>
  </si>
  <si>
    <t>Fuente: Institute for Scientific Information, 2009.</t>
  </si>
  <si>
    <t>Nombre del curso</t>
  </si>
  <si>
    <t>Duración en horas</t>
  </si>
  <si>
    <t>Total de participantes atendidos</t>
  </si>
  <si>
    <t>FUENTE: Unidades Universitarias</t>
  </si>
  <si>
    <t>Total de presupuesto  ajustado 2010 de otros gastos de operación, mantenimiento e inversión</t>
  </si>
  <si>
    <t>Equipamiento</t>
  </si>
  <si>
    <t>FUENTE: Ejercicio Presupuestal 2010.</t>
  </si>
  <si>
    <t>Temática</t>
  </si>
  <si>
    <t>Núm.</t>
  </si>
  <si>
    <t xml:space="preserve">Escolares </t>
  </si>
  <si>
    <t xml:space="preserve">Laborales </t>
  </si>
  <si>
    <t xml:space="preserve">Vinculación </t>
  </si>
  <si>
    <t xml:space="preserve">Académicos  </t>
  </si>
  <si>
    <t xml:space="preserve">Financieros y presupuestales </t>
  </si>
  <si>
    <t xml:space="preserve">Legislación universitaria </t>
  </si>
  <si>
    <t xml:space="preserve">Estadísticas y encuestas </t>
  </si>
  <si>
    <t xml:space="preserve">Difusión cultural </t>
  </si>
  <si>
    <t xml:space="preserve">No es materia de la Ley </t>
  </si>
  <si>
    <t>Planeación</t>
  </si>
  <si>
    <t xml:space="preserve">Otros </t>
  </si>
  <si>
    <t>PROGRAMAS DE SALUD</t>
  </si>
  <si>
    <t>No. DE BENEFICIARIOS</t>
  </si>
  <si>
    <t>DISCIPLINA</t>
  </si>
  <si>
    <t>NO. DE BENEFICIARIOS</t>
  </si>
  <si>
    <t>Basquetbol</t>
  </si>
  <si>
    <t>Ajedrez</t>
  </si>
  <si>
    <t>Tenis</t>
  </si>
  <si>
    <t>Squash</t>
  </si>
  <si>
    <t>PLAN</t>
  </si>
  <si>
    <t>DOCENCIA</t>
  </si>
  <si>
    <t>RECTORÍA GENERAL</t>
  </si>
  <si>
    <t>Información pública consultada en la página de transparencia en Internet</t>
  </si>
  <si>
    <t>Rubro*</t>
  </si>
  <si>
    <t>Número de consultas</t>
  </si>
  <si>
    <t>Informe de Actividades del Comité de Información y Resolución</t>
  </si>
  <si>
    <t>Lineamientos para el Acceso a la Información de la UAM</t>
  </si>
  <si>
    <t>Datos de la Oficina de Enlace y Acceso a la Información Universitaria</t>
  </si>
  <si>
    <t>Servicios que ofrece la UAM</t>
  </si>
  <si>
    <t>Cuotas por los servicios que ofrece la UAM</t>
  </si>
  <si>
    <t>Personal Académico y Administrativo contratado</t>
  </si>
  <si>
    <t>*Se considera una consulta al ingresar al rubro.</t>
  </si>
  <si>
    <t xml:space="preserve">         </t>
  </si>
  <si>
    <t xml:space="preserve">        </t>
  </si>
  <si>
    <t>A 274</t>
  </si>
  <si>
    <t>A 251</t>
  </si>
  <si>
    <t>A 280</t>
  </si>
  <si>
    <t>A 305</t>
  </si>
  <si>
    <t>A 257</t>
  </si>
  <si>
    <t>A 260</t>
  </si>
  <si>
    <t>A 281</t>
  </si>
  <si>
    <t>A 323</t>
  </si>
  <si>
    <t>A= Adecuación</t>
  </si>
  <si>
    <t>M= Modificación</t>
  </si>
  <si>
    <t>C=Creación</t>
  </si>
  <si>
    <t>ACADÉMICOS</t>
  </si>
  <si>
    <t>ADMINISTRATIVOS</t>
  </si>
  <si>
    <t>BASE</t>
  </si>
  <si>
    <t>CONFIANZA</t>
  </si>
  <si>
    <t>TC</t>
  </si>
  <si>
    <t>MT</t>
  </si>
  <si>
    <t>TP</t>
  </si>
  <si>
    <t>ELABORACIÓN: Dirección de Planeación.</t>
  </si>
  <si>
    <t>COMPÚTADORAS</t>
  </si>
  <si>
    <t>COBERTURA</t>
  </si>
  <si>
    <t>Dedicadas a los profesores</t>
  </si>
  <si>
    <t>NÚMERO</t>
  </si>
  <si>
    <t>RELACIÓN</t>
  </si>
  <si>
    <t>FUENTE: INDICADORES DEL PIFI</t>
  </si>
  <si>
    <t>M 296.7</t>
  </si>
  <si>
    <t>A336</t>
  </si>
  <si>
    <t>C 260.3</t>
  </si>
  <si>
    <t>C 281.11</t>
  </si>
  <si>
    <t>A 290</t>
  </si>
  <si>
    <t>A 336</t>
  </si>
  <si>
    <t>A 252</t>
  </si>
  <si>
    <t>A 327</t>
  </si>
  <si>
    <t>A 287</t>
  </si>
  <si>
    <t>A260</t>
  </si>
  <si>
    <t>A 241</t>
  </si>
  <si>
    <t>CUAJIMALPA CNI</t>
  </si>
  <si>
    <t>C 325.5</t>
  </si>
  <si>
    <t>Mtría en Economía</t>
  </si>
  <si>
    <t>FUENTE: Oficina de Enlace y Acceso a la Información</t>
  </si>
  <si>
    <t>Lerma</t>
  </si>
  <si>
    <t>Número de solicitudes de información  por temática</t>
  </si>
  <si>
    <t>A327</t>
  </si>
  <si>
    <t>Maestría</t>
  </si>
  <si>
    <t>Doctorado</t>
  </si>
  <si>
    <t>A 278</t>
  </si>
  <si>
    <t>A 272</t>
  </si>
  <si>
    <t>A 300</t>
  </si>
  <si>
    <t>A 248</t>
  </si>
  <si>
    <t>A 255</t>
  </si>
  <si>
    <t>M 255.7</t>
  </si>
  <si>
    <t>C 325.6</t>
  </si>
  <si>
    <t>M 294.7</t>
  </si>
  <si>
    <t>A 265</t>
  </si>
  <si>
    <t>CUAJIMALPA CSH</t>
  </si>
  <si>
    <t>Medicina</t>
  </si>
  <si>
    <t>Total Cuajimalpa</t>
  </si>
  <si>
    <t>Competencia internacional</t>
  </si>
  <si>
    <t>Consolidado</t>
  </si>
  <si>
    <t>En desarrollo</t>
  </si>
  <si>
    <t>Reciente creación</t>
  </si>
  <si>
    <t>Especialidad</t>
  </si>
  <si>
    <t>ND</t>
  </si>
  <si>
    <t>SI</t>
  </si>
  <si>
    <t>NO</t>
  </si>
  <si>
    <t>Ingeniería en Energía</t>
  </si>
  <si>
    <t>Ingeniería Bioquímica Industrial</t>
  </si>
  <si>
    <t>Ingeniería de los Alimentos</t>
  </si>
  <si>
    <t>Nutrición Humana</t>
  </si>
  <si>
    <t>Maestría en Ciencias de la Computación</t>
  </si>
  <si>
    <t>Maestría en Ingeniería Estructural</t>
  </si>
  <si>
    <t>Doctorado en Ingeniería Estructural</t>
  </si>
  <si>
    <t>Maestría en Ciencias Económicas</t>
  </si>
  <si>
    <t>Maestría en Economía</t>
  </si>
  <si>
    <t>Maestría en Planeación y Políticas Metropolitanas</t>
  </si>
  <si>
    <t>Doctorado en Sociología</t>
  </si>
  <si>
    <t>Doctorado en Ciencias Económicas</t>
  </si>
  <si>
    <t>Maestría en Ciencias y Tecnologías de la Información</t>
  </si>
  <si>
    <t>Maestría en Ciencias (Matemáticas Aplicadas e Industriales)</t>
  </si>
  <si>
    <t>Especialización en Ciencias Antropológicas</t>
  </si>
  <si>
    <t>Maestría en Humanidades</t>
  </si>
  <si>
    <t>Maestría en Ciencias Antropológicas</t>
  </si>
  <si>
    <t>Maestría en Estudios Organizacionales</t>
  </si>
  <si>
    <t>Maestría en Estudios Sociales</t>
  </si>
  <si>
    <t>Doctorado en Humanidades</t>
  </si>
  <si>
    <t>Doctorado en Ciencias Antropológicas</t>
  </si>
  <si>
    <t>Doctorado en Estudios Organizacionales</t>
  </si>
  <si>
    <t>Doctorado en Estudios Sociales</t>
  </si>
  <si>
    <t>Especialización en Biotecnología</t>
  </si>
  <si>
    <t>Especialización en Acupuntura y Fitoterapia</t>
  </si>
  <si>
    <t>Maestría en Biotecnología</t>
  </si>
  <si>
    <t>Maestría en Biología</t>
  </si>
  <si>
    <t>Doctorado en Biotecnología</t>
  </si>
  <si>
    <t>Maestría en Psicología Social de Grupos e Instituciones</t>
  </si>
  <si>
    <t>Maestría en Políticas Públicas</t>
  </si>
  <si>
    <t>Maestría en Estudios de la Mujer</t>
  </si>
  <si>
    <t>Maestría en Economía y Gestión de la Innovación</t>
  </si>
  <si>
    <t>Doctorado en Desarrollo Rural</t>
  </si>
  <si>
    <t>Doctorado en Ciencias Sociales</t>
  </si>
  <si>
    <t>Especialización en Medicina Social</t>
  </si>
  <si>
    <t>Maestría en Ciencias Agropecuarias</t>
  </si>
  <si>
    <t>Maestría en Rehabilitación Neurológica</t>
  </si>
  <si>
    <t>Maestría en Medicina Social</t>
  </si>
  <si>
    <t>Maestría en Ciencias Farmacéuticas</t>
  </si>
  <si>
    <t>Doctorado en Ciencias en Salud Colectiva</t>
  </si>
  <si>
    <t>Maestría en Ciencias y Artes para el Diseño</t>
  </si>
  <si>
    <t>Doctorado en Ciencias y Artes para el Diseño</t>
  </si>
  <si>
    <t>Fuente: Ejercicio presupuestal 2010.</t>
  </si>
  <si>
    <t>a) Torneos Internos *</t>
  </si>
  <si>
    <t>b) Servicios proporcionados a la Comunidad Universitaria *</t>
  </si>
  <si>
    <t>ACTIVIDAD</t>
  </si>
  <si>
    <t>PERIODICIDAD</t>
  </si>
  <si>
    <t>Fútbol Rápido</t>
  </si>
  <si>
    <t>Fútbol Soccer</t>
  </si>
  <si>
    <t>Gimnasio de Pesas y Cardio</t>
  </si>
  <si>
    <t>Pista de Atletismo y Circuito de Corredores</t>
  </si>
  <si>
    <t>Spinning</t>
  </si>
  <si>
    <t>Tae Kwon Do</t>
  </si>
  <si>
    <t>Tenis de Mesa</t>
  </si>
  <si>
    <t>* Estos servicios se cuentan por usuario atendido, que en algunos casos se repite.</t>
  </si>
  <si>
    <t>incluye personal definitivo y temporal</t>
  </si>
  <si>
    <t xml:space="preserve">Fuente: Dirección de Tecnologías de Información </t>
  </si>
  <si>
    <t>No.</t>
  </si>
  <si>
    <t xml:space="preserve"> </t>
  </si>
  <si>
    <t xml:space="preserve">Universidad Autónoma de Nuevo León </t>
  </si>
  <si>
    <t>Total de presupuesto ejercido 2010 de otros gastos de operación, mantenimiento e inversión</t>
  </si>
  <si>
    <t>Mantenimiento</t>
  </si>
  <si>
    <t>FUENTE: Coordinación General de Difusión</t>
  </si>
  <si>
    <t>ISBN</t>
  </si>
  <si>
    <t>Doc en Ciencias Biológicas y de la Salud</t>
  </si>
  <si>
    <t xml:space="preserve">Benemérita Universidad Autónoma de Puebla </t>
  </si>
  <si>
    <t>Instituto Tecnológico y de Estudios Superiores de Monterrey</t>
  </si>
  <si>
    <t>Universidad Autónoma del Estado de Morelos</t>
  </si>
  <si>
    <t>Universidad de Guanajuato</t>
  </si>
  <si>
    <t>Universidad Autónoma de San Luis Potosí</t>
  </si>
  <si>
    <t>Universidad Autónoma  de Baja California</t>
  </si>
  <si>
    <t>Colegio de Postgraduados</t>
  </si>
  <si>
    <t>POSICIÓN RANKING</t>
  </si>
  <si>
    <t>Especialización en Sociología de la Educación Superior</t>
  </si>
  <si>
    <t>Maestría en Población y Salud</t>
  </si>
  <si>
    <t>Año</t>
  </si>
  <si>
    <t>Monto del subsidio federal (asignación original)</t>
  </si>
  <si>
    <t>Tasa de crecimiento (nominal)</t>
  </si>
  <si>
    <t>Tasa de crecimiento (real)</t>
  </si>
  <si>
    <t>FUENTE: Anuncios programáticos de cada año</t>
  </si>
  <si>
    <t>No. de participantes de base</t>
  </si>
  <si>
    <t>No. de participantes de confianza</t>
  </si>
  <si>
    <t>PREPRACIÓN Y MANEJO DE REACTIVOS Y SOLUCIONES</t>
  </si>
  <si>
    <t>ARCHIVO</t>
  </si>
  <si>
    <t>STOCKWARE</t>
  </si>
  <si>
    <t>AUTOCONOCIMIENTO Y DESARROLLO HUMANO</t>
  </si>
  <si>
    <t>TOTAL UNIDAD XOCHIMILCO</t>
  </si>
  <si>
    <t>FUENTE: Base de Datos de Nómina, Quincena 20 de 2011. Incluye Mandos Medios Académicos, Mandos Medios Administrativos con Base Académica y Funcionarios Académicos.</t>
  </si>
  <si>
    <t>CEU</t>
  </si>
  <si>
    <t>TOTAL UNIDAD LERMA</t>
  </si>
  <si>
    <t>Incluye personal administrativo definitivo y temporal</t>
  </si>
  <si>
    <t>TOTAL UNIDAD CUAJIMALPA</t>
  </si>
  <si>
    <t>Word básico</t>
  </si>
  <si>
    <t>Power point básico</t>
  </si>
  <si>
    <t>Curso Delta Metropolitana</t>
  </si>
  <si>
    <t>Curso en secretariado con computación</t>
  </si>
  <si>
    <t>Curso de telefonía (VOIP)</t>
  </si>
  <si>
    <t>Curso de mantenimiento de laptops</t>
  </si>
  <si>
    <t>Taller vivencial: La trascendencia del autocuidado en nuestro entormo</t>
  </si>
  <si>
    <t>Las gráficas y líneas de tendencia en excel</t>
  </si>
  <si>
    <t>FUENTE: Coordinaciones Administrativas y Direcciones de División UAMI</t>
  </si>
  <si>
    <t>AZC. CBI.</t>
  </si>
  <si>
    <t>AZC. CSH.</t>
  </si>
  <si>
    <t>AZC. CAD.</t>
  </si>
  <si>
    <t>IZT. CBI.</t>
  </si>
  <si>
    <t>IZT. CSH.</t>
  </si>
  <si>
    <t>IZT. CBS.</t>
  </si>
  <si>
    <t>XOC. CSH.</t>
  </si>
  <si>
    <t>XOC. CBS</t>
  </si>
  <si>
    <t>XOC. CAD</t>
  </si>
  <si>
    <t>C341.5</t>
  </si>
  <si>
    <t>C341.6</t>
  </si>
  <si>
    <t>C338.8</t>
  </si>
  <si>
    <t>M339</t>
  </si>
  <si>
    <t>A338</t>
  </si>
  <si>
    <t>M338.9</t>
  </si>
  <si>
    <t>A339</t>
  </si>
  <si>
    <t>C338.7</t>
  </si>
  <si>
    <t>C-M 299.5</t>
  </si>
  <si>
    <t>C299.4</t>
  </si>
  <si>
    <t>C306.4</t>
  </si>
  <si>
    <t>C341.7</t>
  </si>
  <si>
    <t>ENERO DE 2012</t>
  </si>
  <si>
    <t>POSICIÓN  UNIVERSIDADES MEXICANAS</t>
  </si>
  <si>
    <t>11-I</t>
  </si>
  <si>
    <t>11-P</t>
  </si>
  <si>
    <t>11-O</t>
  </si>
  <si>
    <t xml:space="preserve">TOTAL </t>
  </si>
  <si>
    <t>Informe de Actividades de los Órganos e Instancias de Apoyo</t>
  </si>
  <si>
    <t>Contrato Colectivo de Trabajo</t>
  </si>
  <si>
    <t xml:space="preserve">Estructura Orgánica </t>
  </si>
  <si>
    <t>Directorio de Funcionarios</t>
  </si>
  <si>
    <t>Marco Normativo</t>
  </si>
  <si>
    <t>Resultado de las Auditorias Practicadas</t>
  </si>
  <si>
    <t xml:space="preserve">Becas y Estímulos del Personal Académico </t>
  </si>
  <si>
    <t>Becas y Financiamiento Educativo</t>
  </si>
  <si>
    <t>Tabulador de sueldos del Personal Académico y Administrativo</t>
  </si>
  <si>
    <t>Fútbol 7</t>
  </si>
  <si>
    <t>Tochito Bandera Femenil y Mixto</t>
  </si>
  <si>
    <t>Kendo</t>
  </si>
  <si>
    <t>No. DE EVENTOS</t>
  </si>
  <si>
    <t>Doctorado en Ciencias Biológicas y de la Salud</t>
  </si>
  <si>
    <t>Maestría en Desarrollo y Planeación de la Educación</t>
  </si>
  <si>
    <t>Maestría en Diseño, Información y Comunicación</t>
  </si>
  <si>
    <t>Humanidades</t>
  </si>
  <si>
    <t>Tecnologías y Sistemas de Información</t>
  </si>
  <si>
    <t>Ingeniería Biológica</t>
  </si>
  <si>
    <t>Esp en Sociología de la Educación Superior</t>
  </si>
  <si>
    <t>Posgrado en Ciencias y Tecnologías de la Información</t>
  </si>
  <si>
    <t>Mtría en Reutilización del Patrimonio Edificado</t>
  </si>
  <si>
    <t>Mtría en Diseño y Producción Editorial</t>
  </si>
  <si>
    <t>C 342.4</t>
  </si>
  <si>
    <t>Se requiere que el 50% de la transmisión radiofónica en programas hablados para conservar la concesión</t>
  </si>
  <si>
    <t>C341.4</t>
  </si>
  <si>
    <t xml:space="preserve">Mide el porcentaje del tiempo de  transmisión radiofónica en programas hablados. </t>
  </si>
  <si>
    <t>Ext. Univer.</t>
  </si>
  <si>
    <t>PRODUCCIÓN EDITORIAL</t>
  </si>
  <si>
    <t>CAPACITACIÓN</t>
  </si>
  <si>
    <t>FUENTE: Base de Datos de Nómina, Quincena 20 de 2010. Incluye Mandos Medios Académicos, Mandos Medios Administrativos con Base Académica y Funcionarios Académicos.</t>
  </si>
  <si>
    <t>Centro de Investigación y de Estudios Avanzados del IPN (Cinvestav)</t>
  </si>
  <si>
    <t xml:space="preserve">Instituto Politécnico Nacional </t>
  </si>
  <si>
    <t>Instituto Mexicano del Seguro Social (IMSS)</t>
  </si>
  <si>
    <t>Instituto Nacional de Ciencias Médicas y Nutrición Salvador Zubirán</t>
  </si>
  <si>
    <t>Benemerita Universidad Autónona de Puebla</t>
  </si>
  <si>
    <t xml:space="preserve">Secretaría de Educación Pública </t>
  </si>
  <si>
    <t>Instituto Nacional de Astrofísica Óptica y Electrónica</t>
  </si>
  <si>
    <t>2000-2009</t>
  </si>
  <si>
    <r>
      <t xml:space="preserve">Fuente: </t>
    </r>
    <r>
      <rPr>
        <sz val="8"/>
        <rFont val="Arial"/>
        <family val="2"/>
      </rPr>
      <t>Institute for Scientific Information, 2010.</t>
    </r>
  </si>
  <si>
    <t>% profesores con E. M. y D.</t>
  </si>
  <si>
    <t>% profesores con Doctorado</t>
  </si>
  <si>
    <t>(incluye personal definitivo y temporal)</t>
  </si>
  <si>
    <t>MATRICULA TOTAL</t>
  </si>
  <si>
    <t>% DE POSGRADO</t>
  </si>
  <si>
    <t>Total Xochimilco</t>
  </si>
  <si>
    <t>Mtría en Biología de la Reproducción Animal</t>
  </si>
  <si>
    <t>Mtría en Población y Salud</t>
  </si>
  <si>
    <t>Comunidad Universitaria susceptible de beneficiarse con los programas salud</t>
  </si>
  <si>
    <t>Porcentaje de planes actualizados en los últimos 5 años</t>
  </si>
  <si>
    <t>CUAJIMALPA CCD</t>
  </si>
  <si>
    <t>** Azcapotzalco, Iztapalapa y Xochimilco</t>
  </si>
  <si>
    <t>***Iztapalapa, Xochimilco y Cuajimalpa</t>
  </si>
  <si>
    <t>* Iztapalapa y Azcapotzalco</t>
  </si>
  <si>
    <t>Total de presupuesto  ajustado 2011 de otros gastos de operación, mantenimiento e inversión</t>
  </si>
  <si>
    <t>Total de presupuesto ejercido 2011 de otros gastos de operación, mantenimiento e inversión</t>
  </si>
  <si>
    <t>Se tomó como referencia la programación semanal más regular que fue la de la segunda semana de noviembre de 2011. Se obtuvo el promedio semanal de horas de programas hablados, incluyendo cápsulas de difusión, spots y formatos de 30, 60 y 120 minutos. El resultado fue de 52 horas de programas hablados a la semana contra las 168 horas de transmisión de los siete días de transmisión.</t>
  </si>
  <si>
    <r>
      <t>C3.17</t>
    </r>
    <r>
      <rPr>
        <sz val="11"/>
        <color rgb="FF000000"/>
        <rFont val="Calibri"/>
        <family val="2"/>
        <scheme val="minor"/>
      </rPr>
      <t xml:space="preserve"> Horas de transmisión de eventos culturales por radio y video conferencia.</t>
    </r>
  </si>
  <si>
    <t>Fuente: Ejercicio presupuestal 2011.</t>
  </si>
  <si>
    <t>FUENTE: Ejercicio Presupuestal 2011,  considera todas las partidas 90.</t>
  </si>
  <si>
    <t>NIVEL</t>
  </si>
  <si>
    <t>ENERO DE 2011</t>
  </si>
  <si>
    <t>TIEMPO  PROMEDIO EXCEDENTE PARA CONCLUIR ESTUDIOS DE LICENCIATURA</t>
  </si>
  <si>
    <t>HABILITACIÓN DE LA PLANTA ACADÉMICA</t>
  </si>
  <si>
    <t>HORAS DE TRANSMISIÓN DE EVENTOS CULTURALES POR RADIO Y VIDEOCONFERENCIA</t>
  </si>
  <si>
    <r>
      <t xml:space="preserve">ESTRUCTURA DE PERSONAL EN UNIDADES ACADÉMICAS </t>
    </r>
    <r>
      <rPr>
        <sz val="14"/>
        <color theme="1"/>
        <rFont val="Arial"/>
        <family val="2"/>
      </rPr>
      <t/>
    </r>
  </si>
  <si>
    <t>INVERSIÓN PARA ACTUALIZACIÓN DE EQUIPAMIENTO</t>
  </si>
  <si>
    <t>GASTO DE MANTENIMIENTO</t>
  </si>
  <si>
    <t>INGRESOS DIFERENTES AL SUBSIDIO FEDERAL</t>
  </si>
  <si>
    <t>ATENCIÓN A SOLICITUDES DE TRANSPARENCIA</t>
  </si>
  <si>
    <t>ANCHO DE BANDA</t>
  </si>
  <si>
    <t>COMPUTADORAS ACTUALIZADAS DEDICADAS A LOS ALUMNOS Y PERSONAL</t>
  </si>
  <si>
    <t>Especialización en Literatura Mexicana del siglo XX</t>
  </si>
  <si>
    <t>Posgrado en Historiografía (Maestría)</t>
  </si>
  <si>
    <t>Posgrado en Historiografía (Doctorado)</t>
  </si>
  <si>
    <t>Maestría en Historiografía de México</t>
  </si>
  <si>
    <t>Maestría en Sociología</t>
  </si>
  <si>
    <t>Especialización en diseño</t>
  </si>
  <si>
    <t>Maestría en diseño</t>
  </si>
  <si>
    <t>Doctorado en diseño</t>
  </si>
  <si>
    <t>Doctorado en Ciencias y Tecnologías de la Información</t>
  </si>
  <si>
    <t>Maestría en Filosofía de la Ciencia</t>
  </si>
  <si>
    <t>Maestría en sociología del trabajo</t>
  </si>
  <si>
    <t>Maestría en Biología de la Reproducción Animal</t>
  </si>
  <si>
    <t>Posgrado en Biología Experimental (Maestría)</t>
  </si>
  <si>
    <t>Posgrado en Biología Experimental (Doctorado)</t>
  </si>
  <si>
    <t>Doctorado en Ciencias Biológicas</t>
  </si>
  <si>
    <t>Especialización en Desarrollo Rural</t>
  </si>
  <si>
    <t>Maestría en Desarrollo Rural</t>
  </si>
  <si>
    <t>Maestría en Comunicación y Política</t>
  </si>
  <si>
    <t>Especialización en Patología y Medicina Bucal</t>
  </si>
  <si>
    <t>Maestria en Patologia y Medicina Bucal</t>
  </si>
  <si>
    <t>Especialización en Diagnóstico Integral y Patología Bucal</t>
  </si>
  <si>
    <t>Maestría en Ciencias en Salud en el Trabajo</t>
  </si>
  <si>
    <t>Maestria en Reutilizacion del Patrimonio Edificado</t>
  </si>
  <si>
    <t>Maestria en Diseño y Produccion Editorial</t>
  </si>
  <si>
    <t>Maestria en Ciencias Sociales y Humanidades</t>
  </si>
  <si>
    <t>Doctorado en Ciencias Sociales y Humanidades</t>
  </si>
  <si>
    <t>444 MB</t>
  </si>
  <si>
    <t>Indice de crecimiento</t>
  </si>
  <si>
    <t>Ind. crec.</t>
  </si>
  <si>
    <t>Total personal Administrativo</t>
  </si>
  <si>
    <t>Participantes</t>
  </si>
  <si>
    <t>de base</t>
  </si>
  <si>
    <t>de confianza</t>
  </si>
  <si>
    <t>PROGRAMAS DE ACTIVIDADES DEPORTIVAS</t>
  </si>
  <si>
    <t>FUENTE: Base de Datos de Nómina, Quincena 20 de 2012. Incluye Mandos Medios Académicos, Mandos Medios Administrativos con Base Académica y Funcionarios Académicos.</t>
  </si>
  <si>
    <t>Total de presupuesto  ajustado 2012 de otros gastos de operación, mantenimiento e inversión</t>
  </si>
  <si>
    <t>FUENTE: Ejercicio Presupuestal 2012,  considera todas las partidas 90.</t>
  </si>
  <si>
    <t>Total de presupuesto ejercido 2012 de otros gastos de operación, mantenimiento e inversión</t>
  </si>
  <si>
    <t>Presupuesto ejercido 2012</t>
  </si>
  <si>
    <t>Mtría en Literatura Mexicana Contemporánea</t>
  </si>
  <si>
    <t>Mtría en Relaciones Internacionales</t>
  </si>
  <si>
    <t>A343</t>
  </si>
  <si>
    <t>A 348</t>
  </si>
  <si>
    <t>A 346</t>
  </si>
  <si>
    <t>M 348.1</t>
  </si>
  <si>
    <t>S 348</t>
  </si>
  <si>
    <t>A344</t>
  </si>
  <si>
    <t>CBS Y CNI</t>
  </si>
  <si>
    <t>TITULO DEL LIBRO</t>
  </si>
  <si>
    <t>AUTOR</t>
  </si>
  <si>
    <t>No. de participantes *</t>
  </si>
  <si>
    <t>División / Secretaría</t>
  </si>
  <si>
    <t>UAM-A</t>
  </si>
  <si>
    <t>ENERO DE 2013</t>
  </si>
  <si>
    <t>Universidade Estadual de Campinas</t>
  </si>
  <si>
    <t xml:space="preserve">Universidad Autónoma Metropolitana </t>
  </si>
  <si>
    <t>Universidad Michoacana de San Nicolás de Hidalgo</t>
  </si>
  <si>
    <t>Universidad Autónoma del Estado de México</t>
  </si>
  <si>
    <t>Ingeniería Ambiental</t>
  </si>
  <si>
    <t>Ingeniería Civil</t>
  </si>
  <si>
    <t>Ingeniería en Computación</t>
  </si>
  <si>
    <t>Ingeniería Física</t>
  </si>
  <si>
    <t>Ingeniería Química</t>
  </si>
  <si>
    <t>Ingeniería Biomédica</t>
  </si>
  <si>
    <t>Lingüística</t>
  </si>
  <si>
    <t>Introducción al video para la realización de material didáctico</t>
  </si>
  <si>
    <t>Posproducción en la elaboración de material didáctico</t>
  </si>
  <si>
    <t>TOTALES</t>
  </si>
  <si>
    <t>Instancia</t>
  </si>
  <si>
    <t>Rec Humanos</t>
  </si>
  <si>
    <t>Word Intermedio</t>
  </si>
  <si>
    <t>Electricidad</t>
  </si>
  <si>
    <t>Manejo de Desechos Residuales</t>
  </si>
  <si>
    <t>Word Avanzado</t>
  </si>
  <si>
    <t>Manejo y Almacenamiento de Productos Químicos</t>
  </si>
  <si>
    <t>Total CBI</t>
  </si>
  <si>
    <t>Total CSH</t>
  </si>
  <si>
    <t>Total CAD</t>
  </si>
  <si>
    <t>Total CBS</t>
  </si>
  <si>
    <t>Total CCD</t>
  </si>
  <si>
    <t>Total CNI</t>
  </si>
  <si>
    <t>Servicio Médico</t>
  </si>
  <si>
    <t>Arte y Comunicación Digitales</t>
  </si>
  <si>
    <t>Voleibol de Playa</t>
  </si>
  <si>
    <t>Evaluaciones Físicas</t>
  </si>
  <si>
    <t>C 346</t>
  </si>
  <si>
    <t>C 347</t>
  </si>
  <si>
    <t>C 346.8</t>
  </si>
  <si>
    <t>FUENTE: http://www.uam.mx/colegioacademico/</t>
  </si>
  <si>
    <t>Simbología:</t>
  </si>
  <si>
    <t>03-I</t>
  </si>
  <si>
    <t>04-P</t>
  </si>
  <si>
    <t>04-O</t>
  </si>
  <si>
    <t>05-I</t>
  </si>
  <si>
    <t>05-P</t>
  </si>
  <si>
    <t>05-O</t>
  </si>
  <si>
    <t>06-I</t>
  </si>
  <si>
    <t>06-P</t>
  </si>
  <si>
    <t>06-O</t>
  </si>
  <si>
    <t>07-I</t>
  </si>
  <si>
    <t>07-P</t>
  </si>
  <si>
    <t>07-O</t>
  </si>
  <si>
    <t>08-I</t>
  </si>
  <si>
    <t>08-P</t>
  </si>
  <si>
    <t>09-I</t>
  </si>
  <si>
    <t>09-P</t>
  </si>
  <si>
    <t>09-O</t>
  </si>
  <si>
    <t>10-I</t>
  </si>
  <si>
    <t>10-P</t>
  </si>
  <si>
    <t>10-O</t>
  </si>
  <si>
    <t>12-I</t>
  </si>
  <si>
    <t>12-P</t>
  </si>
  <si>
    <t>12-O</t>
  </si>
  <si>
    <t>NOTA: Ubicar el movimiento en el trimestre de aprobación por el Colegio Académico</t>
  </si>
  <si>
    <t>S= Supresión</t>
  </si>
  <si>
    <t>03-P</t>
  </si>
  <si>
    <t>03-O</t>
  </si>
  <si>
    <t>04-I</t>
  </si>
  <si>
    <t>Doctorado en Ciencias Agropecuarias</t>
  </si>
  <si>
    <t>POSGRADOS INTERUNIDADES</t>
  </si>
  <si>
    <t>Medicina (*)</t>
  </si>
  <si>
    <t>Esp en Acupuntura y Fitoterapia (*)</t>
  </si>
  <si>
    <t>Mtría en Estudios de la Mujer</t>
  </si>
  <si>
    <t>C</t>
  </si>
  <si>
    <t xml:space="preserve">Secretaría de Salud (SSA) 1/ </t>
  </si>
  <si>
    <t>Centro de Investigaciones Científica y de Educación Superior de Ensenada</t>
  </si>
  <si>
    <t>Instituto Nacional de Salud Pública</t>
  </si>
  <si>
    <t>Universidad Michoacana San Nicolas de Hidalgo</t>
  </si>
  <si>
    <t>Centro de Investigaciones Biológicas del Noroeste, S.C.  </t>
  </si>
  <si>
    <t>Instituto de Ecología</t>
  </si>
  <si>
    <t>Centro en investigación en Optica A.C.</t>
  </si>
  <si>
    <t xml:space="preserve">Universidad Autónoma de Baja California </t>
  </si>
  <si>
    <t>Universidad de Sonora</t>
  </si>
  <si>
    <t>Instituto Nacional de Investigaciones Nucleares</t>
  </si>
  <si>
    <t>Instituto Nacional de Cardiología  Dr.  Ignacio Chávez</t>
  </si>
  <si>
    <t>El Colegio de la Frontera Sur    (ECOSUR)    </t>
  </si>
  <si>
    <t>1/ Incluye clinicas y hospitales.</t>
  </si>
  <si>
    <t>e/ Cifras estimadas</t>
  </si>
  <si>
    <r>
      <t xml:space="preserve">Fuente: </t>
    </r>
    <r>
      <rPr>
        <i/>
        <sz val="8"/>
        <rFont val="Arial"/>
        <family val="2"/>
      </rPr>
      <t>Institute for Scientific Information</t>
    </r>
    <r>
      <rPr>
        <sz val="8"/>
        <rFont val="Arial"/>
        <family val="2"/>
      </rPr>
      <t>, 2010.</t>
    </r>
  </si>
  <si>
    <t>PRODUCCIÓN E IMPACTO SEGÚN LA INSTITUCIÓN DEL AUTOR, 2002-2011</t>
  </si>
  <si>
    <t>Se tomó como referencia una semana de programación regular para obrtener el promedio  de horas de programas hablados, incluyendo cápsulas de difusión y formatos de 30, 60 y 120 minutos. El resultado fue de 35 horas de programas hablados contra las 168  de transmisión semanal.</t>
  </si>
  <si>
    <t>Presupuesto ejercido 2011</t>
  </si>
  <si>
    <t>*</t>
  </si>
  <si>
    <t>Fuente: Ejercicio presupuestal 2012, considera las partida 70 adapataciones y 71-79 mantenimiento</t>
  </si>
  <si>
    <r>
      <t>RELACIÓN</t>
    </r>
    <r>
      <rPr>
        <sz val="10"/>
        <color indexed="8"/>
        <rFont val="Arial"/>
        <family val="2"/>
      </rPr>
      <t xml:space="preserve"> (A/B)</t>
    </r>
  </si>
  <si>
    <t>FUENTE: Base de Datos de Nómina, Quincena 20 de 2013. Incluye Mandos Medios Académicos, Mandos Medios Administrativos con Base Académica y Funcionarios Académicos.</t>
  </si>
  <si>
    <t>JULIO DE 2013</t>
  </si>
  <si>
    <t>Ranking Latinoamérica</t>
  </si>
  <si>
    <t>Benemérita Universidad Autónoma de Puebla</t>
  </si>
  <si>
    <t>-</t>
  </si>
  <si>
    <t>PRESENCE</t>
  </si>
  <si>
    <t>IMPACT</t>
  </si>
  <si>
    <t>OPENNES</t>
  </si>
  <si>
    <t xml:space="preserve"> Ranking Mundial de Universidades en la Web</t>
  </si>
  <si>
    <t>Universidad</t>
  </si>
  <si>
    <t>Universidade Estadual Paulista Julio de Mesquita Filho</t>
  </si>
  <si>
    <t>http://www.scimagoir.com</t>
  </si>
  <si>
    <t>Universidad de Buenos Aires</t>
  </si>
  <si>
    <t>Universidade Federal de Minas Gerais</t>
  </si>
  <si>
    <t>Universidade Federal de Sao Paulo</t>
  </si>
  <si>
    <t>Universidad de Chile</t>
  </si>
  <si>
    <t>Pontificia Universidad Católica de Chile</t>
  </si>
  <si>
    <t>Universidade Federal de Pernambuco</t>
  </si>
  <si>
    <t>Universidade de Brasilia</t>
  </si>
  <si>
    <t>Universidade Federal de Vicosa</t>
  </si>
  <si>
    <t xml:space="preserve">  Ranking SIR 2010</t>
  </si>
  <si>
    <t>Universidade de Sao Paulo</t>
  </si>
  <si>
    <t>Universidade Federaldo Rio de Janeiro</t>
  </si>
  <si>
    <t>Universidade Federaldo Rio Grande do Sul</t>
  </si>
  <si>
    <t>Centro de Investigación y de Estudios Avanzados</t>
  </si>
  <si>
    <t>Universidad Nacional de La Plata</t>
  </si>
  <si>
    <t>University of Puerto Rico</t>
  </si>
  <si>
    <t>Universidade Federaldo Parana</t>
  </si>
  <si>
    <t>Universidade Federal de Sao Carlos</t>
  </si>
  <si>
    <t>Universidade do Estado do Rio de Janeiro</t>
  </si>
  <si>
    <t>Universidad de Concepción</t>
  </si>
  <si>
    <t>Universidad Federal do Ceara</t>
  </si>
  <si>
    <t>JULIO DE 2012</t>
  </si>
  <si>
    <t>JULIO DE 2011</t>
  </si>
  <si>
    <t>JULIO DE 2010</t>
  </si>
  <si>
    <t xml:space="preserve">*Quedaron arriba de la posición No. 100 . </t>
  </si>
  <si>
    <t>Sólo se publican  100 universidades en Ranking Latinoamérica.</t>
  </si>
  <si>
    <t xml:space="preserve">El ranking Webometrics es producido por el Laboratorio de Cibermetría del Consejo Superior de Investigaciones Científicas de España. Se publica dos veces al año (enero y julio) desde 2004. Se basa en mediciones de la presencia de las universidades en la web a través de contenidos académicos visibles. </t>
  </si>
  <si>
    <t xml:space="preserve">  Ranking SIR 2011 2a. Edición</t>
  </si>
  <si>
    <t>Universidad Michoacana de san Nicolás de Hidalgo</t>
  </si>
  <si>
    <t>Posición Nacional</t>
  </si>
  <si>
    <t xml:space="preserve">Tecnológico de Monterrey </t>
  </si>
  <si>
    <t xml:space="preserve">Universidad de Guanajuato </t>
  </si>
  <si>
    <t xml:space="preserve">Universidad Autónoma del Estado de Morelos </t>
  </si>
  <si>
    <t>Universidad Autónoma de Baja California</t>
  </si>
  <si>
    <t xml:space="preserve">Universidad de Sonora </t>
  </si>
  <si>
    <t xml:space="preserve">Universidad Autónoma de Yucatán </t>
  </si>
  <si>
    <t>13-I</t>
  </si>
  <si>
    <t>13-P</t>
  </si>
  <si>
    <t>13-O</t>
  </si>
  <si>
    <t>A 355</t>
  </si>
  <si>
    <t>A 357</t>
  </si>
  <si>
    <t>A363</t>
  </si>
  <si>
    <t>C365.6</t>
  </si>
  <si>
    <t>Posgrado en Optimización</t>
  </si>
  <si>
    <t>Posgrado en Ingeniería de Procesos</t>
  </si>
  <si>
    <t>Posgrado en Ciencias Sociales y Humanidades</t>
  </si>
  <si>
    <t>Posgrado en Ciencias Naturales e Ingeniería</t>
  </si>
  <si>
    <t>Maestría en Ecología Aplicada</t>
  </si>
  <si>
    <t>Voleibol de Sala</t>
  </si>
  <si>
    <t>Natación</t>
  </si>
  <si>
    <t>Información relevante</t>
  </si>
  <si>
    <r>
      <t xml:space="preserve">Informe Presupuestal </t>
    </r>
    <r>
      <rPr>
        <i/>
        <u/>
        <sz val="10"/>
        <color rgb="FFFF0000"/>
        <rFont val="Calibri"/>
        <family val="2"/>
        <scheme val="minor"/>
      </rPr>
      <t>(se agrego al rubro anterior)</t>
    </r>
  </si>
  <si>
    <r>
      <rPr>
        <i/>
        <sz val="10"/>
        <rFont val="Calibri"/>
        <family val="2"/>
        <scheme val="minor"/>
      </rPr>
      <t>Otros conceptos</t>
    </r>
    <r>
      <rPr>
        <sz val="11"/>
        <rFont val="Calibri"/>
        <family val="2"/>
        <scheme val="minor"/>
      </rPr>
      <t xml:space="preserve"> _ PROMEP</t>
    </r>
  </si>
  <si>
    <t>Convocatorias para licitar obras, adquisiciones etc, y contrataciones que se hayan celebrado</t>
  </si>
  <si>
    <t>Portal de Transparencia</t>
  </si>
  <si>
    <t xml:space="preserve">Presupuesto de Ingresos y Egresos y Estados Financieros dictaminados e Informe Presupuestal de Ingresos y Egresos </t>
  </si>
  <si>
    <t>Informe de Actividades del  Rector General y Anuarios Estadísticos</t>
  </si>
  <si>
    <t>Se tomó como referencia una semana de programación regular para obrtener el promedio  de horas de programas hablados, incluyendo cápsulas de difusión y formatos de 30, 60 y 120 minutos. El resultado fue de 34 horas con 40 minutos de programas hablados contra las 168  de transmisión semanal.  El porcentaje de programación hablada es la misma que la de 2012, debido a que no hubo incremento de personal.</t>
  </si>
  <si>
    <t>(Monto en miles)</t>
  </si>
  <si>
    <t>e/ Cifras estimadas.</t>
  </si>
  <si>
    <t>Fuente: Institute for Scientific Information, 2010.</t>
  </si>
  <si>
    <t>PRODUCCIÓN, CITAS E IMPACTO SEGÚN LA INSTITUCIÓN DEL AUTOR, 2007-2011e/</t>
  </si>
  <si>
    <t>Centro de Investigación y deEstudios Avanzados del IPN</t>
  </si>
  <si>
    <t xml:space="preserve">Instituto Nacional de Nutrición “Salvador Zubirán” </t>
  </si>
  <si>
    <t xml:space="preserve">Universidad de Guadalajara </t>
  </si>
  <si>
    <t xml:space="preserve">Instituto Mexicano del Petróleo </t>
  </si>
  <si>
    <t>ENERO DE 2014</t>
  </si>
  <si>
    <t>Total de presupuesto  ajustado 2013 de otros gastos de operación, mantenimiento e inversión</t>
  </si>
  <si>
    <t>Presupuesto ejercido 2013</t>
  </si>
  <si>
    <t>Total de presupuesto ejercido 2013 de otros gastos de operación, mantenimiento e inversión</t>
  </si>
  <si>
    <t>Universidad de Colima</t>
  </si>
  <si>
    <t>Universidad Veracruzana</t>
  </si>
  <si>
    <t>Universidad Iberoamericana</t>
  </si>
  <si>
    <t>Universidad Autónoma de Tamaulipas</t>
  </si>
  <si>
    <t>Universidad Autónoma de Querétaro</t>
  </si>
  <si>
    <t>Colegio de México</t>
  </si>
  <si>
    <t>Universidad Pedagógica Nacional</t>
  </si>
  <si>
    <t>Universidad Autónoma de Ciudad Juárez</t>
  </si>
  <si>
    <t>Universidad de las Américas Puebla</t>
  </si>
  <si>
    <t>Universidad Autónoma de Yucatán</t>
  </si>
  <si>
    <t>Instituto Tecnológico Autónomo de México</t>
  </si>
  <si>
    <t>ITESO - Universidad Jesuita de Guadalajara</t>
  </si>
  <si>
    <t>Fuente: http://www.webometrics.info/en</t>
  </si>
  <si>
    <t>Esp.</t>
  </si>
  <si>
    <t>Mtría.</t>
  </si>
  <si>
    <t>Presupuesto ejercido 2010</t>
  </si>
  <si>
    <t>14-I</t>
  </si>
  <si>
    <t>97-O</t>
  </si>
  <si>
    <t>01-O</t>
  </si>
  <si>
    <t>87-O</t>
  </si>
  <si>
    <t>00-P</t>
  </si>
  <si>
    <t>14-P</t>
  </si>
  <si>
    <t>Maestría. en Ciencias de la Computación</t>
  </si>
  <si>
    <t>Maestría en Ciencias e Ingeniería (Ambientales y de Materiales)</t>
  </si>
  <si>
    <t>Doctorado en Ciencias e Ingeniería (Ambientales y de Materiales)</t>
  </si>
  <si>
    <t>Especialidad en Literatura Mexicana del Siglo XX</t>
  </si>
  <si>
    <t>Especialidad en Sociología de la Educación Superior</t>
  </si>
  <si>
    <t>Maestría en Economía (Historia Económica, Empresas, Finanzas e Innovación)</t>
  </si>
  <si>
    <t>Maestría  en Planeación y Políticas Metropolitanas</t>
  </si>
  <si>
    <t>Posgrado en Historiografía (Especialización)</t>
  </si>
  <si>
    <t>Posgrado  en Física (Maestría)</t>
  </si>
  <si>
    <t>Posgrado  en Física (Doctorado)</t>
  </si>
  <si>
    <t>Posgrado  en Química (Maestría)</t>
  </si>
  <si>
    <t>Posgrado  en Química (Doctorado)</t>
  </si>
  <si>
    <t>Posgrado  en Ingeniería Biomédica (Maestría)</t>
  </si>
  <si>
    <t>Posgrado  en Ingeniería Biomédica (Doctorado)</t>
  </si>
  <si>
    <t>Posgrado  en Matemáticas (Maestría)</t>
  </si>
  <si>
    <t>Posgrado  en Matemáticas (Doctorado)</t>
  </si>
  <si>
    <r>
      <t xml:space="preserve">Posgrado  en Ingeniería Química (Maestría)  </t>
    </r>
    <r>
      <rPr>
        <sz val="11"/>
        <color rgb="FFFF0000"/>
        <rFont val="Calibri"/>
        <family val="2"/>
        <scheme val="minor"/>
      </rPr>
      <t>(C,99-0, Sesión 208.7, 16/07/99)</t>
    </r>
  </si>
  <si>
    <r>
      <t xml:space="preserve">Posgrado  en Ingeniería Química (Doctorado) </t>
    </r>
    <r>
      <rPr>
        <sz val="11"/>
        <color rgb="FFFF0000"/>
        <rFont val="Calibri"/>
        <family val="2"/>
        <scheme val="minor"/>
      </rPr>
      <t>(C,99-0, Sesión 208.7, 16/07/99)</t>
    </r>
  </si>
  <si>
    <t>Posgrado en Ciencias y Tecnologías de la Información  (Maestría)</t>
  </si>
  <si>
    <t>Posgrado en Ciencias y Tecnologías de la Información  ( Doctorado)</t>
  </si>
  <si>
    <r>
      <t xml:space="preserve">Posgrado en Energía y Medio Ambiente (Maestría) </t>
    </r>
    <r>
      <rPr>
        <sz val="11"/>
        <color rgb="FFFF0000"/>
        <rFont val="Calibri"/>
        <family val="2"/>
        <scheme val="minor"/>
      </rPr>
      <t>Entra en Operación en 13-I,</t>
    </r>
    <r>
      <rPr>
        <b/>
        <i/>
        <sz val="11"/>
        <color rgb="FFFF0000"/>
        <rFont val="Calibri"/>
        <family val="2"/>
        <scheme val="minor"/>
      </rPr>
      <t xml:space="preserve"> </t>
    </r>
    <r>
      <rPr>
        <b/>
        <i/>
        <sz val="11"/>
        <color rgb="FF00B050"/>
        <rFont val="Calibri"/>
        <family val="2"/>
        <scheme val="minor"/>
      </rPr>
      <t>Compartido con CBS</t>
    </r>
  </si>
  <si>
    <r>
      <t xml:space="preserve">Posgrado en Energía y Medio Ambiente (Doctorado) </t>
    </r>
    <r>
      <rPr>
        <sz val="11"/>
        <color rgb="FFFF0000"/>
        <rFont val="Calibri"/>
        <family val="2"/>
        <scheme val="minor"/>
      </rPr>
      <t xml:space="preserve"> (Entra en Operación en 13-) </t>
    </r>
    <r>
      <rPr>
        <b/>
        <i/>
        <sz val="11"/>
        <color rgb="FF00B050"/>
        <rFont val="Calibri"/>
        <family val="2"/>
        <scheme val="minor"/>
      </rPr>
      <t>Compartido con CBS</t>
    </r>
  </si>
  <si>
    <t>Especialidad en Ciencias Antropológicas</t>
  </si>
  <si>
    <t>Maestría  en Ciencias Antropológicas</t>
  </si>
  <si>
    <r>
      <t xml:space="preserve">Maestría en Humanidades </t>
    </r>
    <r>
      <rPr>
        <sz val="11"/>
        <color rgb="FFFF0000"/>
        <rFont val="Calibri"/>
        <family val="2"/>
        <scheme val="minor"/>
      </rPr>
      <t>(A, 99-O, Sesión 206)</t>
    </r>
  </si>
  <si>
    <r>
      <t xml:space="preserve">Doctorado en  Humanidades </t>
    </r>
    <r>
      <rPr>
        <sz val="11"/>
        <color rgb="FFFF0000"/>
        <rFont val="Calibri"/>
        <family val="2"/>
        <scheme val="minor"/>
      </rPr>
      <t>(A, 99-O, Sesión 206)</t>
    </r>
  </si>
  <si>
    <t>Maestría en Historia (A, 99-O, Sesión 206)</t>
  </si>
  <si>
    <t>Maestría en Filosofía de la Ciencia (A, 99-O, Sesión 206)</t>
  </si>
  <si>
    <t>Maestría en Sociología del Trabajo (A, 99-O, Sesión 206)</t>
  </si>
  <si>
    <r>
      <t xml:space="preserve">Especialización en Biotecnología </t>
    </r>
    <r>
      <rPr>
        <sz val="11"/>
        <color rgb="FFFF0000"/>
        <rFont val="Calibri"/>
        <family val="2"/>
        <scheme val="minor"/>
      </rPr>
      <t>(C, 91-O,Sesión 115.7)</t>
    </r>
  </si>
  <si>
    <r>
      <t>Especialización en Acupuntura y Fitoterapía</t>
    </r>
    <r>
      <rPr>
        <sz val="11"/>
        <color rgb="FFFF0000"/>
        <rFont val="Calibri"/>
        <family val="2"/>
        <scheme val="minor"/>
      </rPr>
      <t xml:space="preserve"> (C, 99-O, Sesión 204.4)</t>
    </r>
  </si>
  <si>
    <r>
      <t xml:space="preserve">Maestría.  en Biología </t>
    </r>
    <r>
      <rPr>
        <sz val="11"/>
        <color rgb="FFFF0000"/>
        <rFont val="Calibri"/>
        <family val="2"/>
        <scheme val="minor"/>
      </rPr>
      <t>(C,01-O, Sesión 223.6)</t>
    </r>
  </si>
  <si>
    <r>
      <t>Posgrado en Energía y Medio Ambiente (Maestría)</t>
    </r>
    <r>
      <rPr>
        <b/>
        <i/>
        <sz val="11"/>
        <color rgb="FF00B050"/>
        <rFont val="Calibri"/>
        <family val="2"/>
        <scheme val="minor"/>
      </rPr>
      <t xml:space="preserve"> No se cuentan ya se hizo en CBI</t>
    </r>
  </si>
  <si>
    <r>
      <t xml:space="preserve">Posgrado en Energía y Medio Ambiente (Doctorado) </t>
    </r>
    <r>
      <rPr>
        <sz val="11"/>
        <color rgb="FF00B050"/>
        <rFont val="Calibri"/>
        <family val="2"/>
        <scheme val="minor"/>
      </rPr>
      <t xml:space="preserve"> </t>
    </r>
    <r>
      <rPr>
        <b/>
        <i/>
        <sz val="11"/>
        <color rgb="FF00B050"/>
        <rFont val="Calibri"/>
        <family val="2"/>
        <scheme val="minor"/>
      </rPr>
      <t>No se cuentan ya se hizo en CBI</t>
    </r>
  </si>
  <si>
    <t>Especialización en Desarrollo  Rural</t>
  </si>
  <si>
    <t>Maestría en Desarrollo  Rural</t>
  </si>
  <si>
    <t>Doctorado en Desarrollo  Rural</t>
  </si>
  <si>
    <t>Maestría en Psicología Social De Grupos e Instituciones</t>
  </si>
  <si>
    <r>
      <t xml:space="preserve">Especialización en Estudios de la Mujer </t>
    </r>
    <r>
      <rPr>
        <b/>
        <i/>
        <sz val="11"/>
        <color rgb="FFFF0000"/>
        <rFont val="Calibri"/>
        <family val="2"/>
        <scheme val="minor"/>
      </rPr>
      <t>(Suprimido)</t>
    </r>
  </si>
  <si>
    <r>
      <t>Maestría en Relaciones Internacionales</t>
    </r>
    <r>
      <rPr>
        <sz val="11"/>
        <color rgb="FF4F81BD"/>
        <rFont val="Calibri"/>
        <family val="2"/>
        <scheme val="minor"/>
      </rPr>
      <t xml:space="preserve"> (Entra en Operación en 12-I)</t>
    </r>
  </si>
  <si>
    <t>Maestría en Rehabilitación Neurológica (Área de Salud Inf. y Prev. de Sec. del Des.)</t>
  </si>
  <si>
    <t>Maestría en Ciencias en Salud de los Trabajadores</t>
  </si>
  <si>
    <r>
      <t xml:space="preserve">Maestría en Ciencias Farmacéuticas </t>
    </r>
    <r>
      <rPr>
        <sz val="11"/>
        <color rgb="FFFF0000"/>
        <rFont val="Calibri"/>
        <family val="2"/>
        <scheme val="minor"/>
      </rPr>
      <t xml:space="preserve"> (A, 02 P, Sesión 233)</t>
    </r>
  </si>
  <si>
    <t>Especialización en Población y Salud (C, 97-O , Sesión 177.5)</t>
  </si>
  <si>
    <r>
      <t>Maestría en Población y Salud</t>
    </r>
    <r>
      <rPr>
        <sz val="11"/>
        <color rgb="FFFF0000"/>
        <rFont val="Calibri"/>
        <family val="2"/>
        <scheme val="minor"/>
      </rPr>
      <t xml:space="preserve"> (C,177.5 y A, 01-P, Sesión 226)</t>
    </r>
  </si>
  <si>
    <r>
      <t>Especialización en Medicina Social</t>
    </r>
    <r>
      <rPr>
        <sz val="11"/>
        <color rgb="FFFF0000"/>
        <rFont val="Calibri"/>
        <family val="2"/>
        <scheme val="minor"/>
      </rPr>
      <t xml:space="preserve"> (C, 25.11 y M,83.4,  26-11-87)</t>
    </r>
  </si>
  <si>
    <r>
      <t>Maestría  en Medicina Social</t>
    </r>
    <r>
      <rPr>
        <sz val="11"/>
        <color rgb="FFFF0000"/>
        <rFont val="Calibri"/>
        <family val="2"/>
        <scheme val="minor"/>
      </rPr>
      <t xml:space="preserve"> (C, 25.11 y M,  83.4, 26-11-87)</t>
    </r>
  </si>
  <si>
    <t xml:space="preserve">Especialización en Patología y Medicina Bucal </t>
  </si>
  <si>
    <t xml:space="preserve">Maestría en Patología y Medicina Bucal </t>
  </si>
  <si>
    <r>
      <t>Doctorado en Ciencias Agropecuarias</t>
    </r>
    <r>
      <rPr>
        <sz val="11"/>
        <color rgb="FF4F81BD"/>
        <rFont val="Calibri"/>
        <family val="2"/>
        <scheme val="minor"/>
      </rPr>
      <t xml:space="preserve"> </t>
    </r>
    <r>
      <rPr>
        <sz val="11"/>
        <color rgb="FF0070C0"/>
        <rFont val="Calibri"/>
        <family val="2"/>
        <scheme val="minor"/>
      </rPr>
      <t>(Entra en Operación en 13-I)</t>
    </r>
  </si>
  <si>
    <r>
      <t>Maestría en Ecología Aplicada</t>
    </r>
    <r>
      <rPr>
        <b/>
        <sz val="11"/>
        <color rgb="FF00B050"/>
        <rFont val="Calibri"/>
        <family val="2"/>
        <scheme val="minor"/>
      </rPr>
      <t xml:space="preserve"> </t>
    </r>
    <r>
      <rPr>
        <b/>
        <sz val="11"/>
        <color rgb="FF0070C0"/>
        <rFont val="Calibri"/>
        <family val="2"/>
        <scheme val="minor"/>
      </rPr>
      <t>(Nueva, C 365.6, en 13-O)</t>
    </r>
  </si>
  <si>
    <r>
      <t>Maestría en Ciencias y Artes para el Diseño</t>
    </r>
    <r>
      <rPr>
        <sz val="11"/>
        <color rgb="FFFF0000"/>
        <rFont val="Calibri"/>
        <family val="2"/>
        <scheme val="minor"/>
      </rPr>
      <t xml:space="preserve"> (A, 00-P, Sesión 212.4)</t>
    </r>
  </si>
  <si>
    <r>
      <t xml:space="preserve">Doctorado en Ciencias y Artes para el Diseño </t>
    </r>
    <r>
      <rPr>
        <sz val="11"/>
        <color rgb="FFFF0000"/>
        <rFont val="Calibri"/>
        <family val="2"/>
        <scheme val="minor"/>
      </rPr>
      <t>(A, 02- P, Sesión 212.4)</t>
    </r>
  </si>
  <si>
    <r>
      <t xml:space="preserve">Maestría en Reutilización del Patrimonio Edificado </t>
    </r>
    <r>
      <rPr>
        <sz val="11"/>
        <color rgb="FFFF0000"/>
        <rFont val="Calibri"/>
        <family val="2"/>
        <scheme val="minor"/>
      </rPr>
      <t>(A, 09 P, Sesión 299)</t>
    </r>
  </si>
  <si>
    <r>
      <t xml:space="preserve">Maestría en Diseño y Producción Editorial </t>
    </r>
    <r>
      <rPr>
        <sz val="11"/>
        <color rgb="FFFF0000"/>
        <rFont val="Calibri"/>
        <family val="2"/>
        <scheme val="minor"/>
      </rPr>
      <t>(C, Sesión 306.4 16-02-09)</t>
    </r>
  </si>
  <si>
    <r>
      <t>Posgrado en Ciencias Naturales e Ingeniería-Especialidad</t>
    </r>
    <r>
      <rPr>
        <sz val="11"/>
        <color rgb="FFF08200"/>
        <rFont val="Calibri"/>
        <family val="2"/>
        <scheme val="minor"/>
      </rPr>
      <t xml:space="preserve"> (Entra En Operación En 12-P)</t>
    </r>
  </si>
  <si>
    <r>
      <t xml:space="preserve">Posgrado en Ciencias Naturales e Ingeniería-Maestría </t>
    </r>
    <r>
      <rPr>
        <sz val="11"/>
        <color rgb="FFF08200"/>
        <rFont val="Calibri"/>
        <family val="2"/>
        <scheme val="minor"/>
      </rPr>
      <t xml:space="preserve"> (Entra En Operación En 12-P)</t>
    </r>
  </si>
  <si>
    <r>
      <t xml:space="preserve">Posgrado en Ciencias Naturales e Ingeniería-Doctorado </t>
    </r>
    <r>
      <rPr>
        <sz val="11"/>
        <color rgb="FFF08200"/>
        <rFont val="Calibri"/>
        <family val="2"/>
        <scheme val="minor"/>
      </rPr>
      <t xml:space="preserve"> (Entra En Operación En 12-P)</t>
    </r>
  </si>
  <si>
    <r>
      <t xml:space="preserve">Posgrado en Ciencias Sociales  y Humanidades </t>
    </r>
    <r>
      <rPr>
        <b/>
        <sz val="11"/>
        <color theme="1"/>
        <rFont val="Calibri"/>
        <family val="2"/>
        <scheme val="minor"/>
      </rPr>
      <t>(Maestría)</t>
    </r>
  </si>
  <si>
    <r>
      <t xml:space="preserve">Posgrado en Ciencias Sociales  y Humanidades </t>
    </r>
    <r>
      <rPr>
        <b/>
        <sz val="11"/>
        <color theme="1"/>
        <rFont val="Calibri"/>
        <family val="2"/>
        <scheme val="minor"/>
      </rPr>
      <t>(Doctorado)</t>
    </r>
  </si>
  <si>
    <r>
      <t>Maestría en Diseño, Información y Comunicación</t>
    </r>
    <r>
      <rPr>
        <sz val="11"/>
        <color rgb="FFF08200"/>
        <rFont val="Calibri"/>
        <family val="2"/>
        <scheme val="minor"/>
      </rPr>
      <t xml:space="preserve"> (Entra En Operación En 12-O)</t>
    </r>
  </si>
  <si>
    <t>Maestría en Ciencias Económicas**</t>
  </si>
  <si>
    <t>Doctorado en Ciencias Económicas**</t>
  </si>
  <si>
    <t>Doctorado en Ciencias Biológicas y de la Salud***</t>
  </si>
  <si>
    <t>Computadoras, cifra del año anterior</t>
  </si>
  <si>
    <t>Número de torneos y actividades organizados para la práctica del deporte</t>
  </si>
  <si>
    <t>Ingeniería Eléctrica</t>
  </si>
  <si>
    <t>Ingeniería Industrial</t>
  </si>
  <si>
    <t>Ingeniería Mecánica</t>
  </si>
  <si>
    <t>Ingeniería Metalúrgica</t>
  </si>
  <si>
    <t>Ingeniería Electrónica</t>
  </si>
  <si>
    <t>Ingeniería En Computación</t>
  </si>
  <si>
    <t>Estudios Humanísticos</t>
  </si>
  <si>
    <t>Ingeniería Hidrológica</t>
  </si>
  <si>
    <t>Políticas Públicas</t>
  </si>
  <si>
    <t>Biología Ambiental</t>
  </si>
  <si>
    <t>Doct.</t>
  </si>
  <si>
    <t>Posgrado en historiografía</t>
  </si>
  <si>
    <t>Posgrado en Energía y Medio Ambiente</t>
  </si>
  <si>
    <t>Especialización en Estudios de la Mujer</t>
  </si>
  <si>
    <t>Posgrado en Ciencias Naturales e Ingeniería (especialidad)</t>
  </si>
  <si>
    <t>Posgrado en Ciencias Naturales e Ingeniería (maestría)</t>
  </si>
  <si>
    <t>Posgrado en Ciencias Naturales e Ingeniería (doctorado)</t>
  </si>
  <si>
    <t>FUENTE: Base de Datos de Nómina, Quincena 20 de 2014. Incluye Mandos Medios Académicos, Mandos Medios Administrativos con Base Académica y Funcionarios Académicos.</t>
  </si>
  <si>
    <r>
      <t>Dedicadas a los alumnos</t>
    </r>
    <r>
      <rPr>
        <vertAlign val="superscript"/>
        <sz val="11"/>
        <rFont val="Calibri"/>
        <family val="2"/>
        <scheme val="minor"/>
      </rPr>
      <t>1</t>
    </r>
  </si>
  <si>
    <r>
      <t>Dedicadas al personal de apoyo</t>
    </r>
    <r>
      <rPr>
        <vertAlign val="superscript"/>
        <sz val="11"/>
        <rFont val="Calibri"/>
        <family val="2"/>
        <scheme val="minor"/>
      </rPr>
      <t>2</t>
    </r>
  </si>
  <si>
    <r>
      <rPr>
        <vertAlign val="superscript"/>
        <sz val="8"/>
        <rFont val="Calibri"/>
        <family val="2"/>
        <scheme val="minor"/>
      </rPr>
      <t xml:space="preserve">1 </t>
    </r>
    <r>
      <rPr>
        <sz val="8"/>
        <rFont val="Calibri"/>
        <family val="2"/>
        <scheme val="minor"/>
      </rPr>
      <t xml:space="preserve">INCLUYE MATRICULA (inscritos + reinscritos) DE LICENCIATURA Y POSGRADO </t>
    </r>
  </si>
  <si>
    <r>
      <t>C3.17</t>
    </r>
    <r>
      <rPr>
        <sz val="11"/>
        <color rgb="FF000000"/>
        <rFont val="Calibri"/>
        <family val="2"/>
        <scheme val="minor"/>
      </rPr>
      <t xml:space="preserve"> Horas de transmisión de eventos culturales por radio y video streamming.</t>
    </r>
  </si>
  <si>
    <t>14-O</t>
  </si>
  <si>
    <t>A 369</t>
  </si>
  <si>
    <t>A369</t>
  </si>
  <si>
    <t>A 366</t>
  </si>
  <si>
    <t>A 353</t>
  </si>
  <si>
    <t>A 376</t>
  </si>
  <si>
    <t>A376</t>
  </si>
  <si>
    <t>M 375.8</t>
  </si>
  <si>
    <t>HUMANIDADES</t>
  </si>
  <si>
    <t>NO. DE TORNEOS</t>
  </si>
  <si>
    <t>NO. PARTICIPANTES</t>
  </si>
  <si>
    <t>NO. DE SERVICIOS</t>
  </si>
  <si>
    <t>Acondicionamiento Físico</t>
  </si>
  <si>
    <t>Desfiles Cívicos</t>
  </si>
  <si>
    <t>Juegos de Mesa</t>
  </si>
  <si>
    <t>Karate do</t>
  </si>
  <si>
    <t>Serial Atlético "Corriendo por la UAM"</t>
  </si>
  <si>
    <t>Caminando por la UAM</t>
  </si>
  <si>
    <t>Convivencia Deportiva</t>
  </si>
  <si>
    <t>(CUATRO TRIMESTRES MÁXIMO)</t>
  </si>
  <si>
    <t>(*) Plan de estudios de dos años, se considera el ingreso de 2012</t>
  </si>
  <si>
    <t>(OCHO TRIMESTRES MÁXIMO)</t>
  </si>
  <si>
    <t>Mtría en Patología y Medicina Bucal</t>
  </si>
  <si>
    <t>CCyD</t>
  </si>
  <si>
    <t>Mtría en Diseño, Información y Comunicación</t>
  </si>
  <si>
    <t>(CATORCE TRIMESTRES MÁXIMO)</t>
  </si>
  <si>
    <t>Total de presupuesto  ajustado 2014 de otros gastos de operación, mantenimiento e inversión</t>
  </si>
  <si>
    <t>Presupuesto ejercido 2014</t>
  </si>
  <si>
    <t>Total de presupuesto ejercido 2014 de otros gastos de operación, mantenimiento e inversión</t>
  </si>
  <si>
    <t>ENERO DE 2015</t>
  </si>
  <si>
    <t>Centro de Investigación y de Estudios Avanzados del IPN CIVESTAV</t>
  </si>
  <si>
    <t>Tecnológico  de Monterrey</t>
  </si>
  <si>
    <t>Instituto Nacional de Antropología e Historia</t>
  </si>
  <si>
    <t>Posición Mundial</t>
  </si>
  <si>
    <t>Nota: Para el nivel de Especialización se consideran 4 trimestres para egresar</t>
  </si>
  <si>
    <t>FUENTE: Ejercicio Presupuestal 2014 cifras preliminares, considera todas las partidas 90.</t>
  </si>
  <si>
    <t>Fuente: Ejercicio presupuestal 2014 cifras preliminares, considera las partida 70 adapataciones y 71-79 mantenimiento</t>
  </si>
  <si>
    <t>Promedio UAM</t>
  </si>
  <si>
    <t>Porcentaje de alumnos de licenciatura que terminó con éxito sus estudios  dentro del plazo que permite el Reglamento de Estudios Superiores (entre 4 y 10 años)</t>
  </si>
  <si>
    <t>Total CyAD</t>
  </si>
  <si>
    <t>Mtría en Matemáticas Aplicadas e Industriales</t>
  </si>
  <si>
    <t>Doc en Ciencias Biológicas</t>
  </si>
  <si>
    <t>Esp en Diseño Ambiental</t>
  </si>
  <si>
    <t>Mtría en Historiografía de México</t>
  </si>
  <si>
    <t>Total CCyD</t>
  </si>
  <si>
    <t>Total SH</t>
  </si>
  <si>
    <t>O3-P</t>
  </si>
  <si>
    <t>O3-0</t>
  </si>
  <si>
    <t>O4-I</t>
  </si>
  <si>
    <t>08-O</t>
  </si>
  <si>
    <t xml:space="preserve">Lic. Ing. Ambiental </t>
  </si>
  <si>
    <t>A 283</t>
  </si>
  <si>
    <t>A 303</t>
  </si>
  <si>
    <t>AA 305</t>
  </si>
  <si>
    <t>A 338</t>
  </si>
  <si>
    <t>M 355.4</t>
  </si>
  <si>
    <t xml:space="preserve">Lic. Ing. Civil </t>
  </si>
  <si>
    <t>A 292</t>
  </si>
  <si>
    <t>M 355.9</t>
  </si>
  <si>
    <t>Lic. Ing. Eléctrica</t>
  </si>
  <si>
    <t>M 357.4</t>
  </si>
  <si>
    <t>Lic. Ing. Física</t>
  </si>
  <si>
    <t>M 360.3</t>
  </si>
  <si>
    <t>Lic. Ing. Industrial</t>
  </si>
  <si>
    <t>M 360.4</t>
  </si>
  <si>
    <t>Lic. Ing. Mecánica</t>
  </si>
  <si>
    <t>M 355.7</t>
  </si>
  <si>
    <t>Lic. Ing. Metalúrgica</t>
  </si>
  <si>
    <t>M 357.5</t>
  </si>
  <si>
    <t>Lic. Ing. Química</t>
  </si>
  <si>
    <t>M 355.8</t>
  </si>
  <si>
    <t>Lic. Ing. Electrónica</t>
  </si>
  <si>
    <t>M 355.6</t>
  </si>
  <si>
    <t>Lic. Ing. en Computación</t>
  </si>
  <si>
    <t>C 242.4</t>
  </si>
  <si>
    <t>M 355.5</t>
  </si>
  <si>
    <t>Lic. en Administración</t>
  </si>
  <si>
    <t>A 334</t>
  </si>
  <si>
    <t>Lic. en Derecho</t>
  </si>
  <si>
    <t>A257</t>
  </si>
  <si>
    <t>Lic. en Economía</t>
  </si>
  <si>
    <t>A305</t>
  </si>
  <si>
    <t>A 316</t>
  </si>
  <si>
    <t>Lic. en Sociología</t>
  </si>
  <si>
    <t>A 242</t>
  </si>
  <si>
    <t>Lic. en Arquitectura</t>
  </si>
  <si>
    <t>A 261</t>
  </si>
  <si>
    <t>Lic. en Diseño de la Comunicación Gráfica</t>
  </si>
  <si>
    <t>Lic. en Diseño Industrial</t>
  </si>
  <si>
    <t>Lic. Ing. Biomédica</t>
  </si>
  <si>
    <t>M-A 275</t>
  </si>
  <si>
    <t>AA 320</t>
  </si>
  <si>
    <r>
      <t xml:space="preserve">A 348,    </t>
    </r>
    <r>
      <rPr>
        <sz val="9"/>
        <color rgb="FF0070C0"/>
        <rFont val="Calibri"/>
        <family val="2"/>
        <scheme val="minor"/>
      </rPr>
      <t>AP 354.8</t>
    </r>
  </si>
  <si>
    <t xml:space="preserve">AP 369.4 </t>
  </si>
  <si>
    <t>Lic. Ing. Hidrológica</t>
  </si>
  <si>
    <t>A 275</t>
  </si>
  <si>
    <t>A 320</t>
  </si>
  <si>
    <t xml:space="preserve">AP 354.8 </t>
  </si>
  <si>
    <t>M 360.5</t>
  </si>
  <si>
    <t>M 331.9</t>
  </si>
  <si>
    <t>Lic. Ing. en Energía</t>
  </si>
  <si>
    <t>M 331.8</t>
  </si>
  <si>
    <t>Lic. Física</t>
  </si>
  <si>
    <t>Lic. Matemáticas</t>
  </si>
  <si>
    <t>M 360.6</t>
  </si>
  <si>
    <t>Lic. Química</t>
  </si>
  <si>
    <t>M 343.8</t>
  </si>
  <si>
    <t xml:space="preserve">A366/AP 369.4 </t>
  </si>
  <si>
    <t>Lic. Computación</t>
  </si>
  <si>
    <t>A 304</t>
  </si>
  <si>
    <t>M 314.6</t>
  </si>
  <si>
    <t>Lic. en Antropología Social</t>
  </si>
  <si>
    <t>M 331.7</t>
  </si>
  <si>
    <t>A 363</t>
  </si>
  <si>
    <t>Lic. en Letras Hispánicas</t>
  </si>
  <si>
    <t>M 320.6</t>
  </si>
  <si>
    <t>Lic. en Filosofía</t>
  </si>
  <si>
    <t>M 322.6</t>
  </si>
  <si>
    <t>M318.7</t>
  </si>
  <si>
    <t>M 336.8</t>
  </si>
  <si>
    <t>Lic. en Historia</t>
  </si>
  <si>
    <t>M 309.8</t>
  </si>
  <si>
    <t>Lic. en Lingüística</t>
  </si>
  <si>
    <t>M 322.7</t>
  </si>
  <si>
    <t>Lic. en Ciencia Política</t>
  </si>
  <si>
    <t>Lic. en Psicología Social</t>
  </si>
  <si>
    <t>Lic. en Geografía Humana</t>
  </si>
  <si>
    <t>Lic. en Biología</t>
  </si>
  <si>
    <t>M 344.9</t>
  </si>
  <si>
    <t>Lic. en Biología Experimental</t>
  </si>
  <si>
    <t>Lic. en Hidrobioligía</t>
  </si>
  <si>
    <t>Lic. en Producción Animal</t>
  </si>
  <si>
    <t>M 344.8</t>
  </si>
  <si>
    <t>Lic. en Ing. Bioquímica Industrial</t>
  </si>
  <si>
    <t>A 365</t>
  </si>
  <si>
    <t>Lic. en Ing. de los Alimentos</t>
  </si>
  <si>
    <t>A 268</t>
  </si>
  <si>
    <t>Lic. en Comunicación Social</t>
  </si>
  <si>
    <t>Lic. en Psicología</t>
  </si>
  <si>
    <t>Lic. en Política y Gestión Social</t>
  </si>
  <si>
    <t>A 315</t>
  </si>
  <si>
    <r>
      <t xml:space="preserve">Lic. en Biología </t>
    </r>
    <r>
      <rPr>
        <sz val="11"/>
        <color rgb="FFFF0000"/>
        <rFont val="Calibri"/>
        <family val="2"/>
        <scheme val="minor"/>
      </rPr>
      <t xml:space="preserve"> (M, 01-I, Sesión 217.13)</t>
    </r>
  </si>
  <si>
    <r>
      <t>Lic. en Enfermería</t>
    </r>
    <r>
      <rPr>
        <sz val="11"/>
        <color rgb="FFFF0000"/>
        <rFont val="Calibri"/>
        <family val="2"/>
        <scheme val="minor"/>
      </rPr>
      <t xml:space="preserve"> (A ,98-O,Sesión 194)</t>
    </r>
  </si>
  <si>
    <t>98-O</t>
  </si>
  <si>
    <t>M 371.5</t>
  </si>
  <si>
    <r>
      <t xml:space="preserve">Lic. en Estomatología </t>
    </r>
    <r>
      <rPr>
        <sz val="11"/>
        <color rgb="FFFF0000"/>
        <rFont val="Calibri"/>
        <family val="2"/>
        <scheme val="minor"/>
      </rPr>
      <t>A 98-O,194</t>
    </r>
  </si>
  <si>
    <t>Lic. en Química Farmacéutica Biológica</t>
  </si>
  <si>
    <t>M 305</t>
  </si>
  <si>
    <t>M 314.7</t>
  </si>
  <si>
    <r>
      <t>Lic. en Medicina Veterinaria y Zootecnia</t>
    </r>
    <r>
      <rPr>
        <sz val="11"/>
        <color rgb="FFFF0000"/>
        <rFont val="Calibri"/>
        <family val="2"/>
        <scheme val="minor"/>
      </rPr>
      <t xml:space="preserve"> (A, 98-O, Sesión 194)</t>
    </r>
  </si>
  <si>
    <r>
      <t>Lic. en Agronomía (</t>
    </r>
    <r>
      <rPr>
        <sz val="11"/>
        <color rgb="FFFF0000"/>
        <rFont val="Calibri"/>
        <family val="2"/>
        <scheme val="minor"/>
      </rPr>
      <t>M, 02p, Sesión 233.7)</t>
    </r>
  </si>
  <si>
    <t>Lic. en Medicina</t>
  </si>
  <si>
    <t>Lic. en Nutrición Humana</t>
  </si>
  <si>
    <t>M 299.6</t>
  </si>
  <si>
    <r>
      <t xml:space="preserve">Lic. en Arquitectura </t>
    </r>
    <r>
      <rPr>
        <sz val="11"/>
        <color rgb="FFFF0000"/>
        <rFont val="Calibri"/>
        <family val="2"/>
        <scheme val="minor"/>
      </rPr>
      <t xml:space="preserve"> (A, 97-O, Sesión 182.5)</t>
    </r>
  </si>
  <si>
    <r>
      <t xml:space="preserve">Lic. en Diseño de la Comunicación Gráfica </t>
    </r>
    <r>
      <rPr>
        <sz val="11"/>
        <color rgb="FFFF0000"/>
        <rFont val="Calibri"/>
        <family val="2"/>
        <scheme val="minor"/>
      </rPr>
      <t xml:space="preserve"> (A ,97-0, Sesión 182.5)</t>
    </r>
  </si>
  <si>
    <r>
      <t>Lic. en Diseño Industrial</t>
    </r>
    <r>
      <rPr>
        <sz val="11"/>
        <color rgb="FFFF0000"/>
        <rFont val="Calibri"/>
        <family val="2"/>
        <scheme val="minor"/>
      </rPr>
      <t xml:space="preserve"> (M, 98-O, Sesion 193.9)</t>
    </r>
  </si>
  <si>
    <r>
      <t xml:space="preserve">Lic. en Planeación Territorial </t>
    </r>
    <r>
      <rPr>
        <sz val="11"/>
        <color rgb="FFFF0000"/>
        <rFont val="Calibri"/>
        <family val="2"/>
        <scheme val="minor"/>
      </rPr>
      <t xml:space="preserve"> (A,  98-O, Sesión 200)</t>
    </r>
  </si>
  <si>
    <t>CUA. CSH</t>
  </si>
  <si>
    <t>C 270.3</t>
  </si>
  <si>
    <t>A 351</t>
  </si>
  <si>
    <t xml:space="preserve">Lic. en Derecho </t>
  </si>
  <si>
    <t>AP 305.6</t>
  </si>
  <si>
    <t xml:space="preserve">Lic. en Humanidades </t>
  </si>
  <si>
    <t>C 288.6</t>
  </si>
  <si>
    <t>Lic. en Estudios Socioterritoriales</t>
  </si>
  <si>
    <t>A 351,353</t>
  </si>
  <si>
    <t>CUA. CCD</t>
  </si>
  <si>
    <t>Lic. en Diseño</t>
  </si>
  <si>
    <t>Lic. en Tecnologías y Sistemas de Información</t>
  </si>
  <si>
    <t>C 288.7</t>
  </si>
  <si>
    <t>Lic. en Ciencias de la Comunicación</t>
  </si>
  <si>
    <t>C 288.8</t>
  </si>
  <si>
    <t>CUA. CNI</t>
  </si>
  <si>
    <t>Lic. en Matemáticas Aplicadas</t>
  </si>
  <si>
    <t>Ing.  Biológica</t>
  </si>
  <si>
    <t>C 303.8</t>
  </si>
  <si>
    <t>Lic. en Biología Molecular</t>
  </si>
  <si>
    <t>C 323.4</t>
  </si>
  <si>
    <t>CBI-LER</t>
  </si>
  <si>
    <r>
      <t>Lic. en Recursos Hídricos</t>
    </r>
    <r>
      <rPr>
        <sz val="11"/>
        <color rgb="FFFF0000"/>
        <rFont val="Calibri"/>
        <family val="2"/>
        <scheme val="minor"/>
      </rPr>
      <t xml:space="preserve"> (C, 14-02-11, Sesión 331.4)</t>
    </r>
  </si>
  <si>
    <t>C331.4</t>
  </si>
  <si>
    <t>AP 344.3 AP 346.9</t>
  </si>
  <si>
    <t>CBS-LER</t>
  </si>
  <si>
    <t>C331.5</t>
  </si>
  <si>
    <t>AP 344.3</t>
  </si>
  <si>
    <t>CSH-LER</t>
  </si>
  <si>
    <r>
      <t xml:space="preserve">Lic. en Políticas Públicas  </t>
    </r>
    <r>
      <rPr>
        <sz val="11"/>
        <color rgb="FFFF0000"/>
        <rFont val="Calibri"/>
        <family val="2"/>
        <scheme val="minor"/>
      </rPr>
      <t>(C, 24-02-11, Sesión 331.6)</t>
    </r>
  </si>
  <si>
    <t>C331.6</t>
  </si>
  <si>
    <t>Lic. en Arte y Comunicación Digitales</t>
  </si>
  <si>
    <t>C 354.9</t>
  </si>
  <si>
    <t>Porcentaje de planes actualizados en los últimos 3 años</t>
  </si>
  <si>
    <t>S=Supresión</t>
  </si>
  <si>
    <t>AP= Aprobación de programas</t>
  </si>
  <si>
    <t>08P-12I</t>
  </si>
  <si>
    <t>07P-11I</t>
  </si>
  <si>
    <t>07O-11P</t>
  </si>
  <si>
    <t xml:space="preserve"> 08O-12P</t>
  </si>
  <si>
    <t>09P-13I</t>
  </si>
  <si>
    <t>09O-13P</t>
  </si>
  <si>
    <t>10P-14I</t>
  </si>
  <si>
    <t>10O-14P</t>
  </si>
  <si>
    <t>2002-2008</t>
  </si>
  <si>
    <t>ALUMNOS DE LICENCIATURA CON NIVEL INTERMEDIO EN EL IDIOMA INGLÉS</t>
  </si>
  <si>
    <t>Nivel</t>
  </si>
  <si>
    <t>IDIOMA</t>
  </si>
  <si>
    <t xml:space="preserve">NIVEL </t>
  </si>
  <si>
    <t>INV</t>
  </si>
  <si>
    <t>PRIM</t>
  </si>
  <si>
    <t>OTO</t>
  </si>
  <si>
    <t>Inglés</t>
  </si>
  <si>
    <t>Principiante</t>
  </si>
  <si>
    <t>Intermedio</t>
  </si>
  <si>
    <t>Avanzado</t>
  </si>
  <si>
    <t>TOTAL AZCAPOTZALCO</t>
  </si>
  <si>
    <t>FUENTE: División de Ciencias Sociales y Humanidades</t>
  </si>
  <si>
    <t>TOTAL CUAJIMALPA</t>
  </si>
  <si>
    <t>FUENTE: Coordinación de Lenguas Extranjeras / * Alumnos Externos incluye: Alumnos Externos, Egresados y Alumnos de Otras Unidades de la UAM.</t>
  </si>
  <si>
    <t>INGLÉS</t>
  </si>
  <si>
    <t>TOTAL IZTAPALAPA</t>
  </si>
  <si>
    <t>FUENTE: Coordinación de Enseñanza de Lenguas Extrajeras, División de CSH, Unidad Iztapalapa</t>
  </si>
  <si>
    <t>TOTAL LERMA</t>
  </si>
  <si>
    <t>INGLÉS (COMPRENSIÓN DE LECTURA)</t>
  </si>
  <si>
    <t>INGLÉS (HABILIDADES)</t>
  </si>
  <si>
    <t>TOTAL XOCHIMILCO</t>
  </si>
  <si>
    <t>Alumnos que poseen al menos el nivel intermedio B1 del MCE</t>
  </si>
  <si>
    <t>Alumnos inscritos con más de 75% de créditos aprobados Tr-O</t>
  </si>
  <si>
    <t xml:space="preserve">Mide el porcentaje de alumnos con más de 75% de créditos aprobados en su plan de estudios de licenciatura que poseen al menos el nivel intermedio B1 del Marco Común Europeo (MCE) de Referencia para las Lenguas, recomendado para estudiantes egresados del nivel de licenciatura por la Secretaría de Educación Pública en el idioma inglés. </t>
  </si>
  <si>
    <r>
      <t xml:space="preserve">Número de alumnos que poseen al menos el nivel intermedio B1 del MCE  de Referencia para las Lenguas en el idioma inglés </t>
    </r>
    <r>
      <rPr>
        <b/>
        <sz val="8"/>
        <color theme="1"/>
        <rFont val="Arial"/>
        <family val="2"/>
      </rPr>
      <t>entre</t>
    </r>
    <r>
      <rPr>
        <sz val="8"/>
        <color theme="1"/>
        <rFont val="Arial"/>
        <family val="2"/>
      </rPr>
      <t xml:space="preserve"> el número de alumnos inscritos con más de 75% de créditos aprobados de su plan de estudio por 100.</t>
    </r>
  </si>
  <si>
    <t>EMPLEO DE LOS EGRESADOS DE LICENCIATURA</t>
  </si>
  <si>
    <t>Porcentaje de egresados que declararon trabajar actualmente por año de egreso</t>
  </si>
  <si>
    <t>¿Trabaja actualmente?</t>
  </si>
  <si>
    <t>Año de egreso</t>
  </si>
  <si>
    <t>Si</t>
  </si>
  <si>
    <t>No</t>
  </si>
  <si>
    <t>Variable: Trabaja actualmente/ ua_aa2</t>
  </si>
  <si>
    <r>
      <t xml:space="preserve">Empleo de los egresados: </t>
    </r>
    <r>
      <rPr>
        <sz val="10"/>
        <color theme="1"/>
        <rFont val="Arial"/>
        <family val="2"/>
      </rPr>
      <t>Mide la tasa de inserción laboral al tercer y quinto año de egreso,</t>
    </r>
  </si>
  <si>
    <r>
      <t xml:space="preserve">Nivel: </t>
    </r>
    <r>
      <rPr>
        <sz val="10"/>
        <color theme="1"/>
        <rFont val="Arial"/>
        <family val="2"/>
      </rPr>
      <t>Licenciatura</t>
    </r>
  </si>
  <si>
    <r>
      <t>Fuente:</t>
    </r>
    <r>
      <rPr>
        <sz val="10"/>
        <color theme="1"/>
        <rFont val="Arial"/>
        <family val="2"/>
      </rPr>
      <t xml:space="preserve"> Estudio de seguimiento de egresados de las generaciones 2005 y 2008 publicado en septiembre de 2013</t>
    </r>
  </si>
  <si>
    <t>Variable: Trabaja actualmente/ ut_aa</t>
  </si>
  <si>
    <r>
      <t xml:space="preserve">Fuente: </t>
    </r>
    <r>
      <rPr>
        <sz val="10"/>
        <color theme="1"/>
        <rFont val="Arial"/>
        <family val="2"/>
      </rPr>
      <t>Estudio de Seguimiento de Egresados de las Generaciones 2005 y 2008</t>
    </r>
  </si>
  <si>
    <r>
      <t>Fuente:</t>
    </r>
    <r>
      <rPr>
        <sz val="10"/>
        <color theme="1"/>
        <rFont val="Arial"/>
        <family val="2"/>
      </rPr>
      <t xml:space="preserve"> Estudio de seguimiento de egresados de las generaciones 2005 y 2006 el cual se encuentra en etapa de localización y levantamiento de información. Se estima concluirlo en junio del año en curso.</t>
    </r>
  </si>
  <si>
    <t>Generación 1997</t>
  </si>
  <si>
    <t>Generación 2002</t>
  </si>
  <si>
    <t>Generación 1998</t>
  </si>
  <si>
    <t>Generación 2003</t>
  </si>
  <si>
    <t>FUENTE:Oficina de egresados- CGII</t>
  </si>
  <si>
    <t>Nota metodológica:</t>
  </si>
  <si>
    <t>Encuesta realizada a través del “Sistema de Información para la generación de estudios sobre trayectoria académica de estudiantes, opinión de empleadores y tendencias de los mercados laborales y seguimiento de los egresados de la Universidad Autónoma Metropolitana”</t>
  </si>
  <si>
    <r>
      <t>Población de estudio:</t>
    </r>
    <r>
      <rPr>
        <sz val="8"/>
        <color indexed="8"/>
        <rFont val="Arial"/>
        <family val="2"/>
      </rPr>
      <t xml:space="preserve"> Egresados que han concluido el 100% de créditos del plan de estudios o bien se encuentren titulándose. Para determinar la muestra se utilizó el AGA 2010 Invierno generado en la segunda semana de </t>
    </r>
    <r>
      <rPr>
        <sz val="8"/>
        <color indexed="63"/>
        <rFont val="Arial"/>
        <family val="2"/>
      </rPr>
      <t xml:space="preserve">enero </t>
    </r>
    <r>
      <rPr>
        <sz val="8"/>
        <color indexed="8"/>
        <rFont val="Arial"/>
        <family val="2"/>
      </rPr>
      <t>de 2010.</t>
    </r>
  </si>
  <si>
    <r>
      <t>Nivel de confianza:</t>
    </r>
    <r>
      <rPr>
        <sz val="8"/>
        <color indexed="8"/>
        <rFont val="Arial"/>
        <family val="2"/>
      </rPr>
      <t xml:space="preserve"> La muestra cuenta con un nivel de confianza del 90% (Z conf ), un error del 0.05 (β) y una proporción (“p”) del 0.5 para cada una de las licenciaturas, es decir se trabajo con base en una muestra estratificada, en donde los datos fueron recopilados de forma aleatoria simple.</t>
    </r>
  </si>
  <si>
    <r>
      <t>Número de entrevistas:</t>
    </r>
    <r>
      <rPr>
        <sz val="8"/>
        <color indexed="8"/>
        <rFont val="Arial"/>
        <family val="2"/>
      </rPr>
      <t xml:space="preserve">   8637</t>
    </r>
  </si>
  <si>
    <r>
      <t>Método de aplicación:</t>
    </r>
    <r>
      <rPr>
        <sz val="8"/>
        <color indexed="8"/>
        <rFont val="Arial"/>
        <family val="2"/>
      </rPr>
      <t xml:space="preserve"> Entrevista telefónica y aplicación vía Web.</t>
    </r>
  </si>
  <si>
    <t>Para obtener el porcentaje de aceptación de cada uno de los indicadores se consideró el total de encuestados entre los que contestaron positivamente (Excelente, Muy Bueno, Bueno)</t>
  </si>
  <si>
    <t>EMPLEO DE LOS EGRESADOS DE POSGRADO</t>
  </si>
  <si>
    <r>
      <t>Fuente:</t>
    </r>
    <r>
      <rPr>
        <sz val="10"/>
        <color theme="1"/>
        <rFont val="Arial"/>
        <family val="2"/>
      </rPr>
      <t xml:space="preserve"> Estudio sobre la trayectoria profesional de los egresados de posgrado. Se apoya en una encuesta que debe ser aplicada a todos los egresados de los programas de posgrado, es decir, se trata de un censo.</t>
    </r>
  </si>
  <si>
    <t>¿Trabaja?</t>
  </si>
  <si>
    <t>Frecuencia</t>
  </si>
  <si>
    <t>Porcentaje válido</t>
  </si>
  <si>
    <t>Vacías</t>
  </si>
  <si>
    <t xml:space="preserve">Actual </t>
  </si>
  <si>
    <t>Variable: ¿Tiene empleo actualmente? (Clasificada en la base de datos como P10)</t>
  </si>
  <si>
    <r>
      <t xml:space="preserve">Fuente: </t>
    </r>
    <r>
      <rPr>
        <sz val="10"/>
        <color rgb="FF000000"/>
        <rFont val="Arial"/>
        <family val="2"/>
      </rPr>
      <t>Estudio de Seguimiento de Egresados del posgrado.</t>
    </r>
  </si>
  <si>
    <r>
      <t>Fecha de publicación del estudio:</t>
    </r>
    <r>
      <rPr>
        <sz val="10"/>
        <color rgb="FF000000"/>
        <rFont val="Arial"/>
        <family val="2"/>
      </rPr>
      <t xml:space="preserve"> Febrero de 2010.</t>
    </r>
  </si>
  <si>
    <r>
      <t xml:space="preserve">Número de cuestionarios aplicados: </t>
    </r>
    <r>
      <rPr>
        <sz val="10"/>
        <color theme="1"/>
        <rFont val="Arial"/>
        <family val="2"/>
      </rPr>
      <t>2, 447.</t>
    </r>
  </si>
  <si>
    <r>
      <t>Método de aplicación:</t>
    </r>
    <r>
      <rPr>
        <sz val="10"/>
        <color rgb="FF000000"/>
        <rFont val="Arial"/>
        <family val="2"/>
      </rPr>
      <t xml:space="preserve"> Entrevista telefónica.</t>
    </r>
  </si>
  <si>
    <r>
      <t>Proyecto:</t>
    </r>
    <r>
      <rPr>
        <sz val="10"/>
        <color theme="1"/>
        <rFont val="Arial"/>
        <family val="2"/>
      </rPr>
      <t xml:space="preserve"> Sistema de Información de estudiantes, egresados y empleadores.</t>
    </r>
  </si>
  <si>
    <t>Sí</t>
  </si>
  <si>
    <t xml:space="preserve">Azcapotzalco </t>
  </si>
  <si>
    <t xml:space="preserve">Ciencias Básicas e Ingeniería </t>
  </si>
  <si>
    <t xml:space="preserve">Ciencias Sociales y Humanidades </t>
  </si>
  <si>
    <t xml:space="preserve">Ciencias y Artes para el Diseño </t>
  </si>
  <si>
    <t xml:space="preserve">Iztapalapa </t>
  </si>
  <si>
    <t xml:space="preserve">Ciencias Biológicas y de la Salud </t>
  </si>
  <si>
    <t xml:space="preserve">Xochimilco </t>
  </si>
  <si>
    <t>GLOBAL</t>
  </si>
  <si>
    <t>UNIDAD / DIVISIÓN</t>
  </si>
  <si>
    <t>S N I - 2010</t>
  </si>
  <si>
    <t>PADTC con Doctorado</t>
  </si>
  <si>
    <t>S N I - 2011</t>
  </si>
  <si>
    <t>S N I - 2012</t>
  </si>
  <si>
    <t>S N I - 2013</t>
  </si>
  <si>
    <t>S N I - 2014</t>
  </si>
  <si>
    <t xml:space="preserve">  (2+3 / C+1)</t>
  </si>
  <si>
    <t xml:space="preserve">ISI </t>
  </si>
  <si>
    <t>2010-2014</t>
  </si>
  <si>
    <t>Articulos</t>
  </si>
  <si>
    <t>Fuente: Coordinación General de Vinculación y Desarrollo Institucional</t>
  </si>
  <si>
    <t>Artículo especializado de investigación</t>
  </si>
  <si>
    <t>Personal Académico de tiempo completo</t>
  </si>
  <si>
    <t>FUENTE: Departamento de Ingreso  y Promoción de Personal Académico.</t>
  </si>
  <si>
    <t>Art. Esp Inv.</t>
  </si>
  <si>
    <t>CIENCIAS BASICAS</t>
  </si>
  <si>
    <t>ELECTRONICA</t>
  </si>
  <si>
    <t>ENERGIA</t>
  </si>
  <si>
    <t>MATERIALES</t>
  </si>
  <si>
    <t>SISTEMAS</t>
  </si>
  <si>
    <t>ADMINISTRACION</t>
  </si>
  <si>
    <t>DERECHO</t>
  </si>
  <si>
    <t>ECONOMIA</t>
  </si>
  <si>
    <t>SOCIOLOGIA</t>
  </si>
  <si>
    <t>CYAD</t>
  </si>
  <si>
    <t>EVALUAC. DISENO EN EL TIEMPO</t>
  </si>
  <si>
    <t>INVESTIGACION CONOCIMIENTO DISENO</t>
  </si>
  <si>
    <t>MEDIO AMBIENTE</t>
  </si>
  <si>
    <t>PROCESOS TEC.REALIZACION</t>
  </si>
  <si>
    <t>TOTAL UNIDAD AZCAPOTZALCO</t>
  </si>
  <si>
    <t>CIENCIAS DE LA COMUNICACION</t>
  </si>
  <si>
    <t>TECNOLOGIAS DE LA INFORMACION</t>
  </si>
  <si>
    <t>TEORIA Y PROCESOS DEL DISEÑO</t>
  </si>
  <si>
    <t>CIENCIAS NATURALES</t>
  </si>
  <si>
    <t>MATEMATICAS APLICADAS Y SISTEMAS</t>
  </si>
  <si>
    <t>PROCESOS Y TECNOLOGIA</t>
  </si>
  <si>
    <t>CIENCIAS SOCIALES</t>
  </si>
  <si>
    <t>ESTUDIOS INSTITUCIONALES</t>
  </si>
  <si>
    <t>FISICA</t>
  </si>
  <si>
    <t>INGENIERIA DE PROCESOS E HIDRAULICA</t>
  </si>
  <si>
    <t>INGENIERIA ELECTRICA</t>
  </si>
  <si>
    <t>MATEMATICAS</t>
  </si>
  <si>
    <t>QUIMICA</t>
  </si>
  <si>
    <t>BIOLOGIA</t>
  </si>
  <si>
    <t>BIOLOGIA REPRODUCCION</t>
  </si>
  <si>
    <t>BIOTECNOLOGIA</t>
  </si>
  <si>
    <t>CIENCIAS DE LA SALUD</t>
  </si>
  <si>
    <t>HIDROBIOLOGIA</t>
  </si>
  <si>
    <t>ANTROPOLOGIA</t>
  </si>
  <si>
    <t>FILOSOFIA</t>
  </si>
  <si>
    <t>TOTAL UNIDAD IZTAPALAPA</t>
  </si>
  <si>
    <t>PROCESOS PRODUCTIVOS</t>
  </si>
  <si>
    <t>RECURSOS DE LA TIERRA</t>
  </si>
  <si>
    <t>SISTEMAS DE INFORMACION Y COMUNICACIONES</t>
  </si>
  <si>
    <t>CIENCIAS AMBIENTALES</t>
  </si>
  <si>
    <t>CIENCIAS DE LA ALIMENTACION</t>
  </si>
  <si>
    <t>ARTES Y HUMANIDADES</t>
  </si>
  <si>
    <t>ESTUDIOS CULTURALES</t>
  </si>
  <si>
    <t>PROCESOS SOCIALES</t>
  </si>
  <si>
    <t>ATENCION A LA SALUD</t>
  </si>
  <si>
    <t>EL HOMBRE Y SU AMBIENTE</t>
  </si>
  <si>
    <t>PRODUCCION AGRICOLA Y ANIMAL</t>
  </si>
  <si>
    <t>SISTEMAS BIOLOGICOS</t>
  </si>
  <si>
    <t>EDUCACION Y COMUNICACION</t>
  </si>
  <si>
    <t>POLITICA Y CULTURA</t>
  </si>
  <si>
    <t>PRODUCCION ECONOMICA</t>
  </si>
  <si>
    <t>RELACIONES SOCIALES</t>
  </si>
  <si>
    <t>METODOS Y SISTEMAS</t>
  </si>
  <si>
    <t>SINTESIS CREATIVA</t>
  </si>
  <si>
    <t>TECNOLOGIA Y PRODUCCION</t>
  </si>
  <si>
    <t>TEORIA Y ANALISIS</t>
  </si>
  <si>
    <t>Recuento</t>
  </si>
  <si>
    <t>Suma</t>
  </si>
  <si>
    <t>Media</t>
  </si>
  <si>
    <t>CIENCIAS Y ARTES PARA EL DISEÑO</t>
  </si>
  <si>
    <t>BIOLOGIA DE LA REPRODUCCION</t>
  </si>
  <si>
    <t>Total Lerma</t>
  </si>
  <si>
    <t>Tasa de crecimiento</t>
  </si>
  <si>
    <t>CAC</t>
  </si>
  <si>
    <t>CAEC</t>
  </si>
  <si>
    <t>CAEF</t>
  </si>
  <si>
    <t>CAC: Cuerpo Académico Consolidado</t>
  </si>
  <si>
    <t>CAEC:  Cuerpo Académico en Consolidación</t>
  </si>
  <si>
    <t>CAEF: Cuerpo Académico en Formación</t>
  </si>
  <si>
    <r>
      <rPr>
        <b/>
        <u/>
        <sz val="11"/>
        <color rgb="FF000000"/>
        <rFont val="Calibri"/>
        <family val="2"/>
        <scheme val="minor"/>
      </rPr>
      <t>49:30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</si>
  <si>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r>
      <rPr>
        <b/>
        <u/>
        <sz val="11"/>
        <color rgb="FF000000"/>
        <rFont val="Calibri"/>
        <family val="2"/>
        <scheme val="minor"/>
      </rPr>
      <t>34:40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sz val="11"/>
        <color rgb="FF000000"/>
        <rFont val="Calibri"/>
        <family val="2"/>
        <scheme val="minor"/>
      </rPr>
      <t xml:space="preserve"> horas de transmisión semanales.</t>
    </r>
  </si>
  <si>
    <r>
      <rPr>
        <b/>
        <u/>
        <sz val="11"/>
        <color rgb="FF000000"/>
        <rFont val="Calibri"/>
        <family val="2"/>
        <scheme val="minor"/>
      </rPr>
      <t>35</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entre</t>
    </r>
    <r>
      <rPr>
        <b/>
        <u/>
        <sz val="11"/>
        <color rgb="FF000000"/>
        <rFont val="Calibri"/>
        <family val="2"/>
        <scheme val="minor"/>
      </rPr>
      <t xml:space="preserve"> 168</t>
    </r>
    <r>
      <rPr>
        <sz val="11"/>
        <color rgb="FF000000"/>
        <rFont val="Calibri"/>
        <family val="2"/>
        <scheme val="minor"/>
      </rPr>
      <t xml:space="preserve"> horas de transmisión semanales.</t>
    </r>
  </si>
  <si>
    <r>
      <t>Horas de transmisión en programas hablados (</t>
    </r>
    <r>
      <rPr>
        <b/>
        <u/>
        <sz val="11"/>
        <rFont val="Calibri"/>
        <family val="2"/>
        <scheme val="minor"/>
      </rPr>
      <t>52</t>
    </r>
    <r>
      <rPr>
        <sz val="11"/>
        <rFont val="Calibri"/>
        <family val="2"/>
        <scheme val="minor"/>
      </rPr>
      <t xml:space="preserve"> A LA SEMANA) entre horas de transmisión radiofónica (</t>
    </r>
    <r>
      <rPr>
        <b/>
        <u/>
        <sz val="11"/>
        <rFont val="Calibri"/>
        <family val="2"/>
        <scheme val="minor"/>
      </rPr>
      <t>168</t>
    </r>
    <r>
      <rPr>
        <sz val="11"/>
        <rFont val="Calibri"/>
        <family val="2"/>
        <scheme val="minor"/>
      </rPr>
      <t xml:space="preserve"> HORAS A LA SEMANA)* 100.</t>
    </r>
  </si>
  <si>
    <t>Resultados</t>
  </si>
  <si>
    <t>Metas</t>
  </si>
  <si>
    <t>Principales  indicadores</t>
  </si>
  <si>
    <t>Descripción</t>
  </si>
  <si>
    <t>Fórmula</t>
  </si>
  <si>
    <r>
      <t>A4.23.</t>
    </r>
    <r>
      <rPr>
        <sz val="12"/>
        <color rgb="FFFF0000"/>
        <rFont val="Arial"/>
        <family val="2"/>
      </rPr>
      <t xml:space="preserve"> Grado de vivencia de los valores institucionales</t>
    </r>
  </si>
  <si>
    <t xml:space="preserve">Mide el grado de vivencia de los  valores institucionales en la comunidad universitaria. </t>
  </si>
  <si>
    <t>Encuesta de percepción del cultivo de valores en la comunidad universitaria.</t>
  </si>
  <si>
    <t>Mide el crecimiento real del subsidio federal en relación con el periodo inmediato anterior.</t>
  </si>
  <si>
    <t>Subsidio real en el año (n) sobre el subsidio real del año (n-1) - 1 por 100.</t>
  </si>
  <si>
    <t>Mide el total de ingresos adicionales al subsidio federal.</t>
  </si>
  <si>
    <t>Ingresos adicionales entre el subsidio federal * 100.</t>
  </si>
  <si>
    <t>Mide las horas que se destinan para cada trabajador al año a programas de capacitación.</t>
  </si>
  <si>
    <t>Número de horas persona en actividades destinadas a capacitación al año.</t>
  </si>
  <si>
    <t>.9 horas persona</t>
  </si>
  <si>
    <t>.8 horas persona</t>
  </si>
  <si>
    <t>1.1 horas persona</t>
  </si>
  <si>
    <t>.6 horas persona</t>
  </si>
  <si>
    <t>1.5 horas persona</t>
  </si>
  <si>
    <t>20 horas persona</t>
  </si>
  <si>
    <t>Mide la relación entre el personal que colabora en los procesos sustantivos en relación con el personal en los procesos de apoyo.</t>
  </si>
  <si>
    <t xml:space="preserve">Personal académico entre personal administrativo. </t>
  </si>
  <si>
    <t>Mide la proporción del presupuesto ejercido en equipamiento.</t>
  </si>
  <si>
    <t>Presupuesto ejercido en equipamiento en el año (n) entre el presupuesto total ajustado en otros gastos de operación, mantenimiento e inversión en el año (n) por 100.</t>
  </si>
  <si>
    <t>Mide la proporción del presupuesto ejercido en mantenimiento.</t>
  </si>
  <si>
    <t>Presupuesto ejercido en mantenimiento en el año (n) entre el presupuesto total ajustado en otros gastos de operación, mantenimiento e inversión en el año (n) por 100.</t>
  </si>
  <si>
    <t>Alumnos por computadora.</t>
  </si>
  <si>
    <t>Número de alumnos en el año (n) entre número de computadoras destinadas a los alumnos en el año (n).</t>
  </si>
  <si>
    <t>Personal académico por computadora.</t>
  </si>
  <si>
    <t>Número de personal académico en el año (n) entre el total de computadoras destinadas al personal académico en el año (n).</t>
  </si>
  <si>
    <t>Personal administrativo por computadora.</t>
  </si>
  <si>
    <t>Número de personal administrativo en el año (n) entre el total de computadoras destinadas a personal administrativo en el año (n).</t>
  </si>
  <si>
    <t>Ancho de banda en red.</t>
  </si>
  <si>
    <t>Suma de las salidas a internet e internet 2.</t>
  </si>
  <si>
    <t>136 MB</t>
  </si>
  <si>
    <t>544 MB</t>
  </si>
  <si>
    <t>700 MB</t>
  </si>
  <si>
    <t>810 MB</t>
  </si>
  <si>
    <t>1684 MB</t>
  </si>
  <si>
    <t>60 GB</t>
  </si>
  <si>
    <t>Mide el número de miembros de la comunidad que participan en programas de salud.</t>
  </si>
  <si>
    <t>Porcentaje de beneficiarios.</t>
  </si>
  <si>
    <t>Mide el número de torneos y actividades organizados para la práctica del deporte.</t>
  </si>
  <si>
    <t>Número de torneos y actividades deportivas.</t>
  </si>
  <si>
    <t>Mide el número de servicios proporcionados para la práctica diaria.</t>
  </si>
  <si>
    <t>Número de servicios diarios proporcionados  a la comunidad universitaria por usuario atendido.</t>
  </si>
  <si>
    <t>Webometrics.</t>
  </si>
  <si>
    <t>SIR latinoamericano.</t>
  </si>
  <si>
    <t>Lugar.</t>
  </si>
  <si>
    <t>SIR universidades mexicanas.</t>
  </si>
  <si>
    <t>Mide la tasa de crecimiento de solicitudes de transparencia.</t>
  </si>
  <si>
    <t>Número de solicitudes de transparencia del año (n) entre el número de solicitudes de transparencia del año (n-1) - 1 por 100.</t>
  </si>
  <si>
    <t>Mide la tasa de crecimiento  de consultas de la información institucional.</t>
  </si>
  <si>
    <t>Número de consultas de información institucional en el año (n) entre el  número de consultas de información institucional en el año (n-1) - 1 por 100.</t>
  </si>
  <si>
    <t>EFICIENCIA TERMINAL DE ALUMNOS DE LICENCIATURA QUE INGRESARON EN EL PERÍODO 2003-2009</t>
  </si>
  <si>
    <t>EFICIENCIA TERMINAL EN LICENCIATURA POR PLAZO MÁXIMO REGLAMENTADO</t>
  </si>
  <si>
    <t>AGA Lic 2015-I 1a.Semana</t>
  </si>
  <si>
    <t>AGA Lic 2014-I 4a. Semana</t>
  </si>
  <si>
    <t>Criterio: (origenM=1 ó origenM=2) &amp; edo&lt;&gt;13 &amp; edo &lt;&gt;19 &amp; aing&gt;=2003 &amp; aing&lt;=2009</t>
  </si>
  <si>
    <t>Estado del Alumno</t>
  </si>
  <si>
    <t>Activo</t>
  </si>
  <si>
    <t>No Reinscrito</t>
  </si>
  <si>
    <t>Suspendido</t>
  </si>
  <si>
    <t>Baja Definitiva</t>
  </si>
  <si>
    <t>Titulado</t>
  </si>
  <si>
    <t>Egresado</t>
  </si>
  <si>
    <t>Baja Reglamentaria</t>
  </si>
  <si>
    <t>Egresado "A"</t>
  </si>
  <si>
    <t>Baja por Dictámen</t>
  </si>
  <si>
    <t>Inscrito en Blanco</t>
  </si>
  <si>
    <t>Créditos Cubiertos</t>
  </si>
  <si>
    <t>Abandono</t>
  </si>
  <si>
    <t>Admitido Lista Complementaria</t>
  </si>
  <si>
    <t>Nuevo Ingreso No Inscrito</t>
  </si>
  <si>
    <t>Cancelación de Trámite</t>
  </si>
  <si>
    <t>Egreso</t>
  </si>
  <si>
    <t>Docencia (D)</t>
  </si>
  <si>
    <t>Número de alumnos de licenciatura con 100% de créditos de acuerdo con su cohorte generacional entre el número total de alumnos de la misma cohorte por 100.</t>
  </si>
  <si>
    <t>Mide el porcentaje de alumnos de licenciatura que terminó con éxito sus estudios  dentro del plazo que permite el Reglamento de Estudios Superiores (entre 4 y 10 años).</t>
  </si>
  <si>
    <t>Número de alumnos que acreditaron el plan de estudios dentro del plazo máximo reglamentado  entre el total de alumnos cuyo ingreso se dio dentro del mismo plazo por 100.</t>
  </si>
  <si>
    <t>Mide el tiempo promedio que excede en trimestres la conclusión de los planes de estudio de licenciatura en relación con la duración normal establecida.</t>
  </si>
  <si>
    <t>Total de trimestres  realmente cursados por los egresados en el año entre el total de egresados en el año menos el número de trimestres establecidos en la duración normal prevista de cada plan de estudio.</t>
  </si>
  <si>
    <t>Número de alumnos de especialidad  con 100% de créditos de acuerdo a su cohorte generacional entre el numero total de alumnos de la misma cohorte por 100.</t>
  </si>
  <si>
    <t>Número de alumnos de maestría de la cohorte con 100% de créditos de acuerdo a su cohorte generacional entre el numero total de alumnos de la misma cohorte por 100.</t>
  </si>
  <si>
    <t>Número de alumnos de doctorado de la cohorte con 100% de créditos de acuerdo a su cohorte generacional entre el numero total de alumnos de la misma cohorte por 100.</t>
  </si>
  <si>
    <t>Total de trimestres  realmente cursados por los egresados de especialidad en el año entre el total de egresados de especialidad en el año menos el número de trimestres establecidos en la duración normal prevista de cada uno de los planes de estudio de esp</t>
  </si>
  <si>
    <t>Total de trimestres  realmente cursados por los egresados de maestría en el año entre el total de egresados de maestría en el año menos el número de trimestres establecidos en la duración normal prevista de cada uno de los planes de estudio de maestría.</t>
  </si>
  <si>
    <t>Total de trimestres  realmente cursados por los egresados de doctorado en el año entre el total de egresados de doctorado en el año menos el número de trimestres establecidos en la duración normal prevista de cada uno de los planes de estudio de doctorado</t>
  </si>
  <si>
    <t>Mide la tasa de inserción laboral al tercer y quinto año de egreso.</t>
  </si>
  <si>
    <t>Datos derivados de la encuesta a egresados sobre trayectoria laboral de la última generación de estudio (licenciatura).</t>
  </si>
  <si>
    <t>Datos derivados de la encuesta a egresados sobre trayectoria laboral de la última generación de estudio (posgrado).</t>
  </si>
  <si>
    <t>Mide el porcentaje de los planes de estudio de licenciatura considerados de calidad, respecto del total de los planes evaluables.</t>
  </si>
  <si>
    <t>Total de planes de estudio acreditados por COPAES y evaluados por CIEES Nivel 1 entre el total de planes evaluables  por 100 (licenciatura).</t>
  </si>
  <si>
    <t>Mide el porcentaje de los planes de estudio de posgrado considerados de calidad, respecto del total de los planes.</t>
  </si>
  <si>
    <t>Total de planes de estudio registrados en el PNPC entre el total de planes de estudio por 100 (posgrado).</t>
  </si>
  <si>
    <t xml:space="preserve">Mide el grado en el que se actualizan los planes de estudio de licenciatura. </t>
  </si>
  <si>
    <t>Número de planes de estudio de licenciatura con adecuaciones, modificaciones y de nueva creación  en los últimos 3 años entre el número total de planes de estudio por 100.</t>
  </si>
  <si>
    <t>Mide el grado en el que se actualizan los planes de estudio de posgrado.</t>
  </si>
  <si>
    <t>Número de planes de estudio de posgrado con adecuaciones, modificaciones y de nueva creación en los últimos 5 años entre el número total de planes de estudio por 100.</t>
  </si>
  <si>
    <t>Mide la capacidad académica de los profesores definitivos de tiempo completo.</t>
  </si>
  <si>
    <t xml:space="preserve">Número total de alumnos atendidos en el año (n). </t>
  </si>
  <si>
    <t>Mide la proporción de alumnos de posgrado respecto del total de la matrícula.</t>
  </si>
  <si>
    <t>Número de alumnos de posgrado en el año (n) entre el total de alumnos por 100.</t>
  </si>
  <si>
    <t>Número de alumnos que poseen al menos el nivel intermedio B1 del MCE  de Referencia para las Lenguas en el idioma inglés entre el número de alumnos inscritos con más de 75% de créditos aprobados de su plan de estudio por 100.</t>
  </si>
  <si>
    <t>Investigación (I)</t>
  </si>
  <si>
    <t>Número de profesores de tiempo completo inscritos en el (SNI) entre el total de profesores de tiempo completo por 100.</t>
  </si>
  <si>
    <t>Mide el número de citas promedio por artículo publicado.</t>
  </si>
  <si>
    <t>Número de citas a los artículos publicados entre el número de artículos publicados.</t>
  </si>
  <si>
    <t>Monto total del financiamiento externo a proyectos de investigación entre el monto total del presupuesto aprobado en Otros Gastos de Operación e Inversión del año (n) por 100.</t>
  </si>
  <si>
    <t>Mide el porcentaje del tiempo de transmisión radiofónica en programas hablados.</t>
  </si>
  <si>
    <t>Horas de transmisión en programas hablados entre horas de transmisión radiofónica por 100.</t>
  </si>
  <si>
    <t>Conteo simple.</t>
  </si>
  <si>
    <t>Indicadores y Metas</t>
  </si>
  <si>
    <t>x 100</t>
  </si>
  <si>
    <t>Número total de alumnos de la misma cohorte</t>
  </si>
  <si>
    <t>Número de alumnos con 100% de créditos de acuerdo con su cohorte generacional</t>
  </si>
  <si>
    <t>(</t>
  </si>
  <si>
    <t>)</t>
  </si>
  <si>
    <t>No considera alumnos con cero créditos</t>
  </si>
  <si>
    <t>2004 - 2010</t>
  </si>
  <si>
    <t>2003 - 2009</t>
  </si>
  <si>
    <t>2001 - 2007</t>
  </si>
  <si>
    <t>2000 - 2006</t>
  </si>
  <si>
    <t>EFICIENCIA TERMINAL SEGÚN EL TIEMPO MÁXIMO ESTABLECIDO EN LA NORMATIVIDAD VIGENTE</t>
  </si>
  <si>
    <r>
      <t xml:space="preserve">EFICIENCIA TERMINAL POR COHORTE GENERACIONAL </t>
    </r>
    <r>
      <rPr>
        <sz val="12"/>
        <color theme="1"/>
        <rFont val="Arial"/>
        <family val="2"/>
      </rPr>
      <t>(12 trimestres)</t>
    </r>
  </si>
  <si>
    <t>Total de alumnos cuyo ingreso se dio dentro del mismo plazo</t>
  </si>
  <si>
    <t>Número de alumnos que acreditaron el plan de estudios dentro del plazo máximo reglamentado</t>
  </si>
  <si>
    <t>Número de alumnos que acreditaron el plan de estudios</t>
  </si>
  <si>
    <t>Número de alumnos incritos de nuevo ingreso</t>
  </si>
  <si>
    <t>Número de alumnos con 100% de créditos de acuerdo con su cohorte generacional más dos trimestres</t>
  </si>
  <si>
    <t>Número total de alumnos de la misma cohorte más dos trimestres</t>
  </si>
  <si>
    <t>No. Casos</t>
  </si>
  <si>
    <t>Diferencia</t>
  </si>
  <si>
    <t>Trimestres del plan</t>
  </si>
  <si>
    <t>Trimestres excedentes</t>
  </si>
  <si>
    <t>NTRC: Número de trimestres realmente cursados</t>
  </si>
  <si>
    <t>FUENTE: Información del AGA de la primera semana del 2011-I</t>
  </si>
  <si>
    <t>EFICIENCIA TERMINAL EN POSGRADO POR COHORTE DE INGRESO</t>
  </si>
  <si>
    <t>EFICIENCIA TERMINAL CON RESULTADOS AL TRIMESTRE 2013-O DE LOS ALUMNOS DE ESPECIALIDAD QUE INGRESARON EN 2012</t>
  </si>
  <si>
    <t>EFICIENCIA TERMINAL DE LOS ALUMNOS DE ESPECIALIDAD (*)</t>
  </si>
  <si>
    <r>
      <rPr>
        <b/>
        <i/>
        <sz val="11"/>
        <color rgb="FFFF0000"/>
        <rFont val="Arial"/>
        <family val="2"/>
      </rPr>
      <t>NIVEL ESPECIALIZACIÓN</t>
    </r>
    <r>
      <rPr>
        <b/>
        <i/>
        <sz val="11"/>
        <rFont val="Arial"/>
        <family val="2"/>
      </rPr>
      <t xml:space="preserve"> AÑO DE INGRESO 2010</t>
    </r>
  </si>
  <si>
    <t>AGA Posg 2014-I 4a. Semana</t>
  </si>
  <si>
    <t>INGRESO 2011 - RESULTADOS AL 2012-O</t>
  </si>
  <si>
    <t xml:space="preserve">SIN ESTADO 13* Y CRÉDITOS &gt; 0 </t>
  </si>
  <si>
    <t xml:space="preserve">NIVEL ESPECIALIZACIÓN AÑO DE INGRESO 2009 SIN ESTADOS 13* Y CRÉDITOS &gt; 0 </t>
  </si>
  <si>
    <t>AGA Posg 2015-I 1a.Semana</t>
  </si>
  <si>
    <t>CRITERIO:  aing_n = 2012 &amp; pla &lt; 500 &amp; niv = 1 &amp; edo ~= 13</t>
  </si>
  <si>
    <t>ntrc</t>
  </si>
  <si>
    <t>Ntrc</t>
  </si>
  <si>
    <t>NTRC</t>
  </si>
  <si>
    <t>Eficiencia</t>
  </si>
  <si>
    <t>Estado del Alumno 2011-I</t>
  </si>
  <si>
    <t>Alumnos que concluyeron en tiempo establecido el Plan de Estudios</t>
  </si>
  <si>
    <t>Alumnos con Diploma</t>
  </si>
  <si>
    <t>Esp en Acupuntura y Fitoterapia (**)</t>
  </si>
  <si>
    <t>Azc</t>
  </si>
  <si>
    <t>Izt</t>
  </si>
  <si>
    <t>Xoch</t>
  </si>
  <si>
    <t>NIVEL ESPECIALIZACIÓN AÑO DE INGRESO 2009 SIN ESTADOS 13* Y CRÉDITOS &gt; 0 POR UNIDAD</t>
  </si>
  <si>
    <t>(*) Plan de Estudios de dos años</t>
  </si>
  <si>
    <t>fuente: AGA 2013-I  de la 2a. Sem</t>
  </si>
  <si>
    <t>(*) Para el nivel de Especialización se consideran 4 trimestres para egresar</t>
  </si>
  <si>
    <t>*ESTADO 13: Nuevo ingreso no inscrito</t>
  </si>
  <si>
    <t>(**) Plan de estudios de 2 años.</t>
  </si>
  <si>
    <t>Para el nivel especialización se consideran 4 trimestres para egresar</t>
  </si>
  <si>
    <t>FUENTE: Información del AGA de la 3a. semana del 2012-I</t>
  </si>
  <si>
    <t>ALUMNOS DE MAESTRÍA QUE INGRESARON EN 2012 Y ACREDITARON PLAN DE ESTUDIOS EN 2014</t>
  </si>
  <si>
    <t>EFICIENCIA TERMINAL CON RESULTADOS AL TRIMESTRE 2013-O DE LOS ALUMNOS DE MAESTRÍA QUE INGRESARON EN 2011</t>
  </si>
  <si>
    <t>EFICIENCIA TERMINAL DE LOS ALUMNOS DE MAESTRÍA</t>
  </si>
  <si>
    <r>
      <rPr>
        <b/>
        <i/>
        <sz val="11"/>
        <color rgb="FFFF0000"/>
        <rFont val="Arial"/>
        <family val="2"/>
      </rPr>
      <t>NIVEL MAESTRÍA</t>
    </r>
    <r>
      <rPr>
        <b/>
        <i/>
        <sz val="11"/>
        <rFont val="Arial"/>
        <family val="2"/>
      </rPr>
      <t xml:space="preserve"> AÑO DE INGRESO 2009</t>
    </r>
  </si>
  <si>
    <t>INGRESO 2010 - RESULTADOS AL 2012-O</t>
  </si>
  <si>
    <t xml:space="preserve">NIVEL MAESTRÍA AÑO DE INGRESO 2008 SIN ESTADOS 13* Y CRÉDITOS &gt; 0 </t>
  </si>
  <si>
    <t>CRITERIO:  aing_n = 2011 &amp; pla &lt; 500 &amp; niv = 2 &amp; edo ~= 13</t>
  </si>
  <si>
    <t>Azcapotazalco</t>
  </si>
  <si>
    <t>Alumno con Grado</t>
  </si>
  <si>
    <t>Mtría en Ciencias y Tecnologías de la Información</t>
  </si>
  <si>
    <t>Mtría en Derecho Económico</t>
  </si>
  <si>
    <t>Fuente: AGA 2013-I  de la 2a. Sem</t>
  </si>
  <si>
    <t>Para el nivel de Maestría se consideran 8 trimestres para egresar</t>
  </si>
  <si>
    <t>ALUMNOS DE DOCTORADO QUE INGRESARON EN 2010 Y ACREDITARON PLAN DE ESTUDIOS EN 2014</t>
  </si>
  <si>
    <t>EFICIENCIA TERMINAL CON RESULTADOS AL TRIMESTRE 2013-O DE LOS ALUMNOS DE DOCTORADO QUE INGRESARON EN 2009</t>
  </si>
  <si>
    <t>EFICIENCIA TERMINAL DE LOS ALUMNOS DE DOCTORADO</t>
  </si>
  <si>
    <r>
      <rPr>
        <b/>
        <i/>
        <sz val="11"/>
        <color rgb="FFFF0000"/>
        <rFont val="Arial"/>
        <family val="2"/>
      </rPr>
      <t>NIVEL DOCTORADO</t>
    </r>
    <r>
      <rPr>
        <b/>
        <i/>
        <sz val="11"/>
        <rFont val="Arial"/>
        <family val="2"/>
      </rPr>
      <t xml:space="preserve"> AÑO DE INGRESO 2007</t>
    </r>
  </si>
  <si>
    <t>INGRESO 2008 - RESULTADOS AL 2012-O</t>
  </si>
  <si>
    <t>NIVEL DOCTORADO AÑO DE INGRESO 2006 SIN ESTADOS 13* Y CRÉDITOS &gt; 0</t>
  </si>
  <si>
    <t>CRITERIO:  aing_n = 2009 &amp; pla &lt; 500 &amp; niv = 3 &amp; edo ~= 13</t>
  </si>
  <si>
    <t>Para el nivel de Doctorado se consideran 14 trimestres para egresar</t>
  </si>
  <si>
    <t>TRIMESTRES REALMENTE CURSADOS PARA ACREDITAR PLAN DE ESTUDIOS EN 2013</t>
  </si>
  <si>
    <t xml:space="preserve">TRIMESTRES CURSADOS PROMEDIO UTILIZADOS PARA ACREDITA PLAN DE ESTUDIOS </t>
  </si>
  <si>
    <t>TIEMPO  PROMEDIO EXCEDENTE PARA CONCLUIR ESTUDIOS DE POSGRADO</t>
  </si>
  <si>
    <t>PROMEDIO DE TRIMESTRES REALMENTE CURSADOS PARA ACREDITAR PLAN DE ESTUDIOS DE ESPECIALIDAD 2014</t>
  </si>
  <si>
    <t>POSGRADO NIVEL ESPECIALIDAD</t>
  </si>
  <si>
    <t xml:space="preserve"> ESPECIALIDAD 2012</t>
  </si>
  <si>
    <r>
      <t xml:space="preserve">ALUMNOS QUE CONCLUYERON EN 2011 EL </t>
    </r>
    <r>
      <rPr>
        <b/>
        <sz val="10"/>
        <color rgb="FFFF0000"/>
        <rFont val="Arial"/>
        <family val="2"/>
      </rPr>
      <t>NIVEL DE ESPECIALIDAD</t>
    </r>
  </si>
  <si>
    <t>AGA Posg 2015-I 1a. Semana</t>
  </si>
  <si>
    <t>AGA Posg. 2014-I 4a. Semana</t>
  </si>
  <si>
    <t>N</t>
  </si>
  <si>
    <t>Desv. típ.</t>
  </si>
  <si>
    <t>Media NTRC</t>
  </si>
  <si>
    <t>Media NTRI</t>
  </si>
  <si>
    <t>Promedio de Trimestres Naturales</t>
  </si>
  <si>
    <t>No. Trimestres del Plan</t>
  </si>
  <si>
    <t>Total Cuajimalapa</t>
  </si>
  <si>
    <t>(*) Plan de estudios de 2 años.</t>
  </si>
  <si>
    <t>FUENTE: AGA de la cuarta semana del 2011-I</t>
  </si>
  <si>
    <t>Realmente cursados</t>
  </si>
  <si>
    <t>Totales por División: se obtiene un promedio multiplicando el número de casos N por la diferencia de cada plan de estudio, se suman y se dividen sobre el total de casos por División.</t>
  </si>
  <si>
    <t>Totales por Unidad: se obtiene un promedio multiplicando el número de casos N por la diferencia de cada División, se suman y se dividen sobre el total de casos por Unidad.</t>
  </si>
  <si>
    <t>PROMEDIO DE TRIMESTRES REALMENTE CURSADOS PARA ACREDITAR PLAN DE ESTUDIOS DE MAESTRÍA 2014</t>
  </si>
  <si>
    <t>Mtría en Filosofía de la Ciencia</t>
  </si>
  <si>
    <t>Mtría en Sociología del Trabajo</t>
  </si>
  <si>
    <t>PROMEDIO DE TRIMESTRES REALMENTE CURSADOS PARA ACREDITAR PLAN DE ESTUDIOS DE DOCTORADO 2014</t>
  </si>
  <si>
    <t>POSGRADO NIVEL DOCTORADO</t>
  </si>
  <si>
    <t xml:space="preserve"> DOCTORADO 2012</t>
  </si>
  <si>
    <t>ALUMNOS QUE CONCLUYERON EN 2011 EL NIVEL DE DOCTORADO</t>
  </si>
  <si>
    <t>Doc.</t>
  </si>
  <si>
    <t>Doc en Ciencias</t>
  </si>
  <si>
    <t>Divisiones</t>
  </si>
  <si>
    <t>Media de trimestres  realmente cursados por los egresados en el año</t>
  </si>
  <si>
    <t xml:space="preserve"> Número de trimestres establecidos en la duración normal prevista de cada plan de estudio.</t>
  </si>
  <si>
    <r>
      <t>ALUMNOS DE ESPECIALIZACIÓN QUE INGRESARON EN 2013 Y ACREDITARON PLAN DE ESTUDIOS EN</t>
    </r>
    <r>
      <rPr>
        <b/>
        <sz val="12"/>
        <color rgb="FFCC9900"/>
        <rFont val="Calibri"/>
        <family val="2"/>
        <scheme val="minor"/>
      </rPr>
      <t xml:space="preserve"> 2014</t>
    </r>
  </si>
  <si>
    <t>Numero total de alumnos de la misma cohorte</t>
  </si>
  <si>
    <t xml:space="preserve">Número de alumnos de especialización  con 100% de créditos de acuerdo a su cohorte generacional </t>
  </si>
  <si>
    <t xml:space="preserve">Número de alumnos de maestría  con 100% de créditos de acuerdo a su cohorte generacional </t>
  </si>
  <si>
    <t xml:space="preserve">Número de alumnos de doctorado  con 100% de créditos de acuerdo a su cohorte generacional </t>
  </si>
  <si>
    <t>Media de trimestres  realmente cursados por los egresados de especialización en el año</t>
  </si>
  <si>
    <t xml:space="preserve"> Número de trimestres establecidos en la duración normal prevista de cada uno de los planes de estudio de especialización</t>
  </si>
  <si>
    <t>Media de trimestres  realmente cursados por los egresados de maestría en el año</t>
  </si>
  <si>
    <t xml:space="preserve"> Número de trimestres establecidos en la duración normal prevista de cada uno de los planes de estudio de maestría</t>
  </si>
  <si>
    <t>Media de trimestres  realmente cursados por los egresados de doctorado en el año</t>
  </si>
  <si>
    <t xml:space="preserve"> Número de trimestres establecidos en la duración normal prevista de cada uno de los planes de estudio de doctorado</t>
  </si>
  <si>
    <t>Total de planes evaluables</t>
  </si>
  <si>
    <t>Total de planes de estudio de licenciatura acreditados por COPAES y evaluados por CIEES Nivel 1</t>
  </si>
  <si>
    <t>Total de planes de estudio de posgrado registrados en el PNPC</t>
  </si>
  <si>
    <t>Total de planes de estudio</t>
  </si>
  <si>
    <t xml:space="preserve"> número total de planes de estudio</t>
  </si>
  <si>
    <t>Número de planes de estudio de licenciatura con adecuaciones, modificaciones y de nueva creación  en los últimos 3 años</t>
  </si>
  <si>
    <t xml:space="preserve">Número de planes de estudio de posgrado con adecuaciones, modificaciones y de nueva creación en los últimos 5 años </t>
  </si>
  <si>
    <t>Número de alumnos de posgrado en el año (n)</t>
  </si>
  <si>
    <t>Total de alumnos por 100.</t>
  </si>
  <si>
    <t>Número de alumnos en programas de movilidad</t>
  </si>
  <si>
    <t xml:space="preserve">Matrícula  elegible </t>
  </si>
  <si>
    <t>Número de alumnos que poseen al menos el nivel intermedio B1 del MCE  de Referencia para las Lenguas en el idioma inglés</t>
  </si>
  <si>
    <t>Alumnos inscritos con más de 75% de créditos aprobados de su plan de estudio</t>
  </si>
  <si>
    <t>Número de profesores definitivos de tiempo completo con especialidad, maestría y doctorado</t>
  </si>
  <si>
    <t>Total de profesores definitivos de tiempo completo</t>
  </si>
  <si>
    <t>Número de profesores definitivos de tiempo completo con doctorado</t>
  </si>
  <si>
    <t>Mide el porcentaje de Profesores en el  S N I en relación al Personal Académico Definitivo de Tiempo Completo con Doctorado</t>
  </si>
  <si>
    <t>Mide la proporción del financiamiento externo a proyectos de investigación en relación con el  presupuesto aprobado en Otros Gastos de Operación e Inversión del año (n).</t>
  </si>
  <si>
    <t>Mide el número de libros editados por la Universidad en el año (n).</t>
  </si>
  <si>
    <t>Mide la tasa de crecimiento de las actividades artísticas y culturales</t>
  </si>
  <si>
    <t>Número de profesores de tiempo completo inscritos en el (SNI)</t>
  </si>
  <si>
    <t>Total de profesores de tiempo completo</t>
  </si>
  <si>
    <t>Total de profesores de tiempo completo con Doctorado</t>
  </si>
  <si>
    <t>Mide el porcentaje de Profesores en el S N I nivel 2 y 3 en relación con profesores S N I nivel 1 y Candidato</t>
  </si>
  <si>
    <t>Número de profesores de tiempo completo inscritos en el (SNI) niveles 2 y 3</t>
  </si>
  <si>
    <t>Número de profesores de tiempo completo inscritos en el (SNI) niveles 1 y candidato</t>
  </si>
  <si>
    <t>Número de citas a los artículos publicados</t>
  </si>
  <si>
    <t>Número de artículos publicados.</t>
  </si>
  <si>
    <t>Monto total del financiamiento externo a proyectos de investigación</t>
  </si>
  <si>
    <t>Monto  total del presupuesto aprobado en Otros Gastos de Operación e Inversión del año (n)</t>
  </si>
  <si>
    <t>Puntaje 3300</t>
  </si>
  <si>
    <t>Mide el porcentaje de alumnos de especialización que terminó con éxito sus estudios por cohorte generacional.</t>
  </si>
  <si>
    <t>Mide el porcentaje de alumnos de maestría que terminó con éxito sus estudios por cohorte generacional.</t>
  </si>
  <si>
    <t>Mide el porcentaje de alumnos de doctorado que terminó con éxito sus estudios por cohorte generacional.</t>
  </si>
  <si>
    <t>Mide la matrícula de alumnos inscritos y reinscritos de licenciatura y posgrado en el año (n).</t>
  </si>
  <si>
    <t>Mide el porcentaje de alumnos con más de 75% de créditos aprobados en su plan de estudios de licenciatura que poseen al menos el nivel intermedio B1 del Marco Común Europeo (MCE) de Referencia para las Lenguas, recomendado para estudiantes egresados del n</t>
  </si>
  <si>
    <t>Mide la capacidad académica de los profesores definitivos de tiempo completo con doctorado.</t>
  </si>
  <si>
    <t>Número de Artículos especializados de investigación</t>
  </si>
  <si>
    <t>Número de Artículos especializados de investigación con puntaje de 3300</t>
  </si>
  <si>
    <t>Mide la proporción de los artículos especializados de investigación en relación al  Personal Académico Definitivo de tiempo completo</t>
  </si>
  <si>
    <t>Mide la proporción de los artículos especializados con puntaje de 3300 en relación al  Personal Académico Definitivo de tiempo completo</t>
  </si>
  <si>
    <t>Mide la proporción de los artículos especializados con puntaje de 3300 en relación con el total de los artículos especializados de investigación</t>
  </si>
  <si>
    <t>Media de puntos por profesor del año n</t>
  </si>
  <si>
    <t xml:space="preserve">Horas de transmisión en programas hablados </t>
  </si>
  <si>
    <t>Horas de transmisión radiofónica</t>
  </si>
  <si>
    <t>Conteo simple</t>
  </si>
  <si>
    <t>Total de asistentes</t>
  </si>
  <si>
    <r>
      <t>Número total de actividades</t>
    </r>
    <r>
      <rPr>
        <i/>
        <sz val="14"/>
        <color theme="1"/>
        <rFont val="Arial"/>
        <family val="2"/>
      </rPr>
      <t xml:space="preserve"> * </t>
    </r>
    <r>
      <rPr>
        <sz val="10"/>
        <color theme="1"/>
        <rFont val="Arial"/>
        <family val="2"/>
      </rPr>
      <t>Duración de                                                  cada una</t>
    </r>
  </si>
  <si>
    <t>TASA DE CRECIMIENTO DE ACTIVIDADES ARTÍSTICAS Y CULTURALES REALIZADAS</t>
  </si>
  <si>
    <t>Media de puntos por profesor del año anterior</t>
  </si>
  <si>
    <t>Número de eventos cuturales en el año n</t>
  </si>
  <si>
    <t>DIFUSIÓN CULTURAL</t>
  </si>
  <si>
    <t>APOYO INST.</t>
  </si>
  <si>
    <r>
      <rPr>
        <b/>
        <sz val="11"/>
        <color theme="1"/>
        <rFont val="Arial"/>
        <family val="2"/>
      </rPr>
      <t xml:space="preserve"> -</t>
    </r>
    <r>
      <rPr>
        <sz val="10"/>
        <color theme="1"/>
        <rFont val="Arial"/>
        <family val="2"/>
      </rPr>
      <t xml:space="preserve"> 1 x 100</t>
    </r>
  </si>
  <si>
    <t>Subsidio real en el año (n)</t>
  </si>
  <si>
    <t>Subsidio real del año (n-1)</t>
  </si>
  <si>
    <t>Ingresos adicionales</t>
  </si>
  <si>
    <t>Subsidio federal</t>
  </si>
  <si>
    <t>Personal académico</t>
  </si>
  <si>
    <t>Personal administrativo</t>
  </si>
  <si>
    <t>Presupuesto ejercido en equipamiento en el año (n)</t>
  </si>
  <si>
    <t>Presupuesto total ajustado en otros gastos de operación, mantenimiento e inversión en el año (n)</t>
  </si>
  <si>
    <t>Presupuesto ejercido en mantenimiento en el año (n)</t>
  </si>
  <si>
    <t>Número de alumnos en el año (n)</t>
  </si>
  <si>
    <t>Número de personal académico en el año (n)</t>
  </si>
  <si>
    <t>Total de computadoras destinadas a los alumnos en el año (n)</t>
  </si>
  <si>
    <t>Total de computadoras destinadas al personal académico en el año (n).</t>
  </si>
  <si>
    <t>Total de computadoras destinadas a personal administrativo en el año (n).</t>
  </si>
  <si>
    <t>Número de personal admvo. en el año (n)</t>
  </si>
  <si>
    <t>Lugar</t>
  </si>
  <si>
    <t>Número de beneficiarios</t>
  </si>
  <si>
    <t>Número de solicitudes de transparencia del año (n)</t>
  </si>
  <si>
    <t>Número de solicitudes de transparencia del año (n-1)</t>
  </si>
  <si>
    <t>Número de consultas de información institucional en el año (n)</t>
  </si>
  <si>
    <t>Número de consultas de información institucional en el año (n-1)</t>
  </si>
  <si>
    <t>Número de servicios diarios proporcionados  a la comunidad universitaria</t>
  </si>
  <si>
    <t>Mide el porcentaje de profesores inscritos en el S N I en relación al Personal Académico Definitivo de Tiempo Completo</t>
  </si>
  <si>
    <t>Clasificación</t>
  </si>
  <si>
    <t xml:space="preserve"> (columna a quitar)</t>
  </si>
  <si>
    <t>EFICIENCIA TERMINAL DE ALUMNOS DE LICENCIATURA QUE INGRESARON ENTRE 2004 y 2010</t>
  </si>
  <si>
    <r>
      <t>GENERACIONES DE INGRESO 2002 A 2008 CON RESULTADOS AL TRIMESTRE</t>
    </r>
    <r>
      <rPr>
        <b/>
        <sz val="11"/>
        <color rgb="FFFF0000"/>
        <rFont val="Calibri"/>
        <family val="2"/>
        <scheme val="minor"/>
      </rPr>
      <t xml:space="preserve"> 2012</t>
    </r>
    <r>
      <rPr>
        <b/>
        <sz val="11"/>
        <color theme="1"/>
        <rFont val="Calibri"/>
        <family val="2"/>
        <scheme val="minor"/>
      </rPr>
      <t>-O (AGA 2013-I 2a. Semana)</t>
    </r>
  </si>
  <si>
    <r>
      <t>GENERACIONES DE INGRESO 2001 A 2007 CON RESULTADOS AL TRIMESTRE</t>
    </r>
    <r>
      <rPr>
        <b/>
        <sz val="11"/>
        <color rgb="FFFF0000"/>
        <rFont val="Calibri"/>
        <family val="2"/>
        <scheme val="minor"/>
      </rPr>
      <t xml:space="preserve"> 2011</t>
    </r>
    <r>
      <rPr>
        <b/>
        <sz val="11"/>
        <color theme="1"/>
        <rFont val="Calibri"/>
        <family val="2"/>
        <scheme val="minor"/>
      </rPr>
      <t>-O (AGA 2012-I 3a. Semana)</t>
    </r>
  </si>
  <si>
    <r>
      <t xml:space="preserve">GENERACIONES DE INGRESO 2000 A 2006 CON RESULTADOS AL TRIMESTRE </t>
    </r>
    <r>
      <rPr>
        <b/>
        <i/>
        <sz val="12"/>
        <color rgb="FFFF0000"/>
        <rFont val="Calibri"/>
        <family val="2"/>
        <scheme val="minor"/>
      </rPr>
      <t>2010</t>
    </r>
    <r>
      <rPr>
        <b/>
        <i/>
        <sz val="12"/>
        <color theme="1"/>
        <rFont val="Calibri"/>
        <family val="2"/>
        <scheme val="minor"/>
      </rPr>
      <t>-O (AGA 2011-I 1a. Semana)</t>
    </r>
  </si>
  <si>
    <r>
      <t>Estado del Alumno en</t>
    </r>
    <r>
      <rPr>
        <b/>
        <sz val="9"/>
        <color rgb="FFFF0000"/>
        <rFont val="Calibri"/>
        <family val="2"/>
        <scheme val="minor"/>
      </rPr>
      <t xml:space="preserve"> 2013</t>
    </r>
    <r>
      <rPr>
        <b/>
        <sz val="9"/>
        <color indexed="8"/>
        <rFont val="Calibri"/>
        <family val="2"/>
        <scheme val="minor"/>
      </rPr>
      <t>-O</t>
    </r>
  </si>
  <si>
    <r>
      <t>Estado del Alumno en</t>
    </r>
    <r>
      <rPr>
        <b/>
        <sz val="11"/>
        <color rgb="FFFF0000"/>
        <rFont val="Calibri"/>
        <family val="2"/>
        <scheme val="minor"/>
      </rPr>
      <t xml:space="preserve"> 2012</t>
    </r>
    <r>
      <rPr>
        <b/>
        <sz val="11"/>
        <color indexed="8"/>
        <rFont val="Calibri"/>
        <family val="2"/>
        <scheme val="minor"/>
      </rPr>
      <t>-O</t>
    </r>
  </si>
  <si>
    <r>
      <t>Estado del Alumno en</t>
    </r>
    <r>
      <rPr>
        <b/>
        <sz val="12"/>
        <color rgb="FFFF0000"/>
        <rFont val="Calibri"/>
        <family val="2"/>
        <scheme val="minor"/>
      </rPr>
      <t xml:space="preserve"> 2011</t>
    </r>
    <r>
      <rPr>
        <b/>
        <sz val="12"/>
        <color theme="1"/>
        <rFont val="Calibri"/>
        <family val="2"/>
        <scheme val="minor"/>
      </rPr>
      <t>-O  (AGA 2012-I 3a.Semana)</t>
    </r>
  </si>
  <si>
    <t>Eficiencia Terminal  al 2014</t>
  </si>
  <si>
    <r>
      <t>Estado del Alumno en</t>
    </r>
    <r>
      <rPr>
        <b/>
        <sz val="9"/>
        <color rgb="FFFF0000"/>
        <rFont val="Calibri"/>
        <family val="2"/>
        <scheme val="minor"/>
      </rPr>
      <t xml:space="preserve"> 2012</t>
    </r>
    <r>
      <rPr>
        <b/>
        <sz val="9"/>
        <color indexed="8"/>
        <rFont val="Calibri"/>
        <family val="2"/>
        <scheme val="minor"/>
      </rPr>
      <t>-O</t>
    </r>
  </si>
  <si>
    <r>
      <t xml:space="preserve">Estado del Alumno en </t>
    </r>
    <r>
      <rPr>
        <b/>
        <sz val="9"/>
        <color rgb="FFFF0000"/>
        <rFont val="Calibri"/>
        <family val="2"/>
        <scheme val="minor"/>
      </rPr>
      <t>2011</t>
    </r>
    <r>
      <rPr>
        <b/>
        <sz val="9"/>
        <color theme="1"/>
        <rFont val="Calibri"/>
        <family val="2"/>
        <scheme val="minor"/>
      </rPr>
      <t>-O  (AGA 2012-I 3a.Semana)</t>
    </r>
  </si>
  <si>
    <t>Mide el porcentaje de alumnos de licenciatura que terminó con éxito sus estudios por cohorte generacional (no considera alumnos con cero créditos).</t>
  </si>
  <si>
    <t>Mide el tiempo promedio que excede en trimestres la conclusión de los planes de estudio de especialización en relación con la duración normal establecida.</t>
  </si>
  <si>
    <t>Mide el tiempo promedio que excede en trimestres la conclusión de los planes de estudio de maestría en relación con la duración normal establecida.</t>
  </si>
  <si>
    <t>Mide el tiempo promedio que excede en trimestres la conclusión de los planes de estudio de doctorado en relación con la duración normal establecida.</t>
  </si>
  <si>
    <t>Mide la tasa de crecimiento del Puntaje  acumulado de las actividades académicas evaluables</t>
  </si>
  <si>
    <t>CAC / Total</t>
  </si>
  <si>
    <t>Mide la proporción de Cuerpos Académicos consolidados respecto al total de cuerpos académicos reconocidos</t>
  </si>
  <si>
    <t>Número de cuerpos académicos consolidados</t>
  </si>
  <si>
    <t>Número de cuerpos académicos reconocidos</t>
  </si>
  <si>
    <t>Número de eventos cuturales del año (n-1)</t>
  </si>
  <si>
    <t xml:space="preserve">Plan </t>
  </si>
  <si>
    <t>¿Tiene Empleo actualmente? (%)</t>
  </si>
  <si>
    <t>Relación de su actividad laboral con los estudios de posgrado que realizó (%)</t>
  </si>
  <si>
    <t>Nula</t>
  </si>
  <si>
    <t>Baja</t>
  </si>
  <si>
    <t xml:space="preserve">Mediana </t>
  </si>
  <si>
    <t>Alta</t>
  </si>
  <si>
    <t xml:space="preserve">ESPECIALIZACIÓN EN CIENCIAS E INGENIERÍA </t>
  </si>
  <si>
    <t>ESPECIALIDAD</t>
  </si>
  <si>
    <t>MAESTRÍA EN CIENCIAS DE LA COMPUTACIÓN</t>
  </si>
  <si>
    <t>MAESTRIA</t>
  </si>
  <si>
    <t xml:space="preserve">MAESTRÍA EN CIENCIAS E INGENIERÍA </t>
  </si>
  <si>
    <t>MAESTRÍA EN INGENIERÍA ESTRUCTURAL</t>
  </si>
  <si>
    <t xml:space="preserve">DOCTORADO EN CIENCIAS E INGENIERÍA </t>
  </si>
  <si>
    <t>DOCTORADO</t>
  </si>
  <si>
    <t>DOCTORADO EN INGENIERÍA ESTRUCTURAL</t>
  </si>
  <si>
    <t>ESPECIALIZACIÓN EN LITERATURA MEXICANA DEL SIGLO XX</t>
  </si>
  <si>
    <t xml:space="preserve">ESPECIALIZACIÓN EN SOCIOLOGÍA DE LA EDUCACIÓN </t>
  </si>
  <si>
    <t>MAESTRÍA EN PLANEACIÓN Y POLÍTICAS METROPOLITANAS</t>
  </si>
  <si>
    <t>MAESTRÍA EN ECONOMÍA</t>
  </si>
  <si>
    <t>MAESTRÍA EN HISTORIOGRAFÍA DE MÉXICO</t>
  </si>
  <si>
    <t>MAESTRÍA EN CIENCIAS ECONÓMICAS (COMPARTIDO)</t>
  </si>
  <si>
    <t xml:space="preserve">POSGRADO EN HISTORIOGRAFÍA </t>
  </si>
  <si>
    <t xml:space="preserve">DOCTORADO EN CIENCIAS ECONÓMICAS </t>
  </si>
  <si>
    <t xml:space="preserve">DOCTORADO EN SOCIOLOGÍA </t>
  </si>
  <si>
    <t>ESPECIALIDAD EN DISEÑO AMBIENTAL</t>
  </si>
  <si>
    <t xml:space="preserve">ESPECIALIDAD EN DISEÑO </t>
  </si>
  <si>
    <t>MAESTRÍA EN DISEÑO</t>
  </si>
  <si>
    <t>MAESTRÍA EN REUTILIZACIÓN DEL PATRIMONIO EDIFICADO</t>
  </si>
  <si>
    <t xml:space="preserve">DOCTORADO EN DISEÑO </t>
  </si>
  <si>
    <t>ESPECIALIDAD EN CIENCIAS ANTROPOLÓGICAS</t>
  </si>
  <si>
    <t>ESPECIALIDAD EN BIOTECNOLOGÍA</t>
  </si>
  <si>
    <t xml:space="preserve">ESPECIALIDAD EN ACUPUNTURA Y FITOTERAPIA </t>
  </si>
  <si>
    <t>MAESTRÍA EN FÍSICA</t>
  </si>
  <si>
    <t>MAESTRÍA EN QUÍMICA</t>
  </si>
  <si>
    <t>MAESTRÍA EN MATEMÁTICAS</t>
  </si>
  <si>
    <t>MAESTRÍA EN INGENIERÍA QUÍMICA</t>
  </si>
  <si>
    <t>MAESTRÍA EN INGENIERÍA BIOMÉDICA</t>
  </si>
  <si>
    <t>MAESTRÍA EN HISTORIA</t>
  </si>
  <si>
    <t xml:space="preserve">MAESTRÍA EN FILOSOFÍA DE LA CIENCIA </t>
  </si>
  <si>
    <t>MAESTRÍA EN SOCIOLOGÍA DEL TRABAJO</t>
  </si>
  <si>
    <t>MAESTRÍA EN CIENCIAS ANTROPOLÓGICAS</t>
  </si>
  <si>
    <t>MAESTRÍA EN BIOLOGÍA EXPERIMENTAL</t>
  </si>
  <si>
    <t xml:space="preserve">MAESTRÍA EN BIOLOGÍA DE LA REPRODUCCIÓN ANIMAL </t>
  </si>
  <si>
    <t>MAESTRÍA EN INVESTIGACIÓN EN SALUD PÚBLICA</t>
  </si>
  <si>
    <t>POSGRADO EN BIOTECNOLOGÍA</t>
  </si>
  <si>
    <t>MAESTRÍA EN ESTUDIOS ORGANIZACIONALES</t>
  </si>
  <si>
    <t xml:space="preserve">MAESTRÍA EN HUMANIDADES </t>
  </si>
  <si>
    <t xml:space="preserve">MAESTRÍA EN ESTUDIOS SOCIALES </t>
  </si>
  <si>
    <t>POSGRADO EN FÍSICA</t>
  </si>
  <si>
    <t>POSGRADO EN MATEMÁTICAS</t>
  </si>
  <si>
    <t>POSGRADO EN QUÍMICA</t>
  </si>
  <si>
    <t>POSGRADO EN INGENIERÍA QUÍMICA</t>
  </si>
  <si>
    <t>POSGRADO EN INGENIERÍA BIOMÉDICA</t>
  </si>
  <si>
    <t xml:space="preserve">POSGRADO EN BIOLOGÍA EXPERIMENTAL </t>
  </si>
  <si>
    <t xml:space="preserve">MAESTRÍA EN BIOLOGÍA </t>
  </si>
  <si>
    <t>MAESTRÍA EN CIENCIAS Y TECNOLOGÍAS DE LA INFORMACIÓN</t>
  </si>
  <si>
    <t>POSGRADO EN CIENCIAS Y TECNOLOGÍAS DE LA INFORMACIÓN</t>
  </si>
  <si>
    <t>DOCTORADO EN CIENCIAS</t>
  </si>
  <si>
    <t xml:space="preserve">DOCTORADO EN CIENCIAS ANTROPOLÓGICAS </t>
  </si>
  <si>
    <t>DOCTORADO EN CIENCIAS BIOLÓGICAS (COMPARTIDO)</t>
  </si>
  <si>
    <t xml:space="preserve">DOCTORADO EN ESTUDIOS ORGANIZACIONALES </t>
  </si>
  <si>
    <t>DOCTORADO EN HUMANIDADES</t>
  </si>
  <si>
    <t>DOCTORADO EN ESTUDIOS SOCIALES</t>
  </si>
  <si>
    <t>ESPECIALIDAD EN MEDICINA SOCIAL</t>
  </si>
  <si>
    <t>ESPECIALIZACIÓN EN DIAGNÓSTICO INTEGRAL Y PATOLOGÍA BUCAL</t>
  </si>
  <si>
    <t>ESPECIALIZACIÓN EN ESTUDIOS DE LA MUJER</t>
  </si>
  <si>
    <t>POSGRADO EN DESARROLLO RURAL</t>
  </si>
  <si>
    <t xml:space="preserve">ESPECIALIZACIÓN EN PATOLOGÍA Y MEDICINA  BUCAL </t>
  </si>
  <si>
    <t>MAESTRÍA EN DERECHO ECONÓMICO</t>
  </si>
  <si>
    <t>MAESTRÍA EN DESARROLLO RURAL</t>
  </si>
  <si>
    <t>MAESTRÍA EN PLANEACIÓN DE LA EDUCACIÓN</t>
  </si>
  <si>
    <t xml:space="preserve">MAESTRÍA EN ECONOMÍA Y GESTIÓN DEL CAMBIO TECNOLÓGICO </t>
  </si>
  <si>
    <t xml:space="preserve">MAESTRÍA EN MEDICINA SOCIAL </t>
  </si>
  <si>
    <t>MAESTRÍA EN REHABILITACIÓN NEUROLÓGICA</t>
  </si>
  <si>
    <t xml:space="preserve">MAESTRÍA EN CIENCIAS DE LA SALUD EN EL TRABAJO </t>
  </si>
  <si>
    <t xml:space="preserve">MAESTRÍA EN ESTUDIOS DE LA MUJER </t>
  </si>
  <si>
    <t xml:space="preserve">MAESTRÍA EN PSICOLOGÍA SOCIAL EN GRUPOS E INSTITUCIONES </t>
  </si>
  <si>
    <t xml:space="preserve">MAESTRÍA EN ADMINISTRACIÓN DEL TRABAJO </t>
  </si>
  <si>
    <t xml:space="preserve">MAESTRÍA EN POLÍTICAS PÚBLICAS </t>
  </si>
  <si>
    <t>MAESTRÍA EN POBLACIÓN EN SALUD</t>
  </si>
  <si>
    <t>MAESTRÍA EN COMUNICACIÓN Y POLÍTICA</t>
  </si>
  <si>
    <t xml:space="preserve">MAESTRÍA EN CIENCIAS FARMACÉUTICAS </t>
  </si>
  <si>
    <t xml:space="preserve">MAESTRÍA EN CIENCIAS Y ARTES PARA EL DISEÑO </t>
  </si>
  <si>
    <t xml:space="preserve">MAESTRÍA EN CIENCIAS AGROPECUARIAS </t>
  </si>
  <si>
    <t xml:space="preserve">MAESTRÍA EN RELACIONES INTERNACIONALES </t>
  </si>
  <si>
    <t xml:space="preserve">DOCTORADO EN CIENCIAS SOCIALES </t>
  </si>
  <si>
    <t xml:space="preserve">DOCTORADO EN CIENCIAS Y ARTES PARA EL DISEÑO </t>
  </si>
  <si>
    <t>DOCTORADO EN CIENCIAS ECONÓMICAS  (COMPARTIDO)</t>
  </si>
  <si>
    <t>POSGRADO EN CIENCIAS SOCIALES Y HUMANIDADES</t>
  </si>
  <si>
    <t>Elaboración: Dirección de Planeación.</t>
  </si>
  <si>
    <t>DEPARTAMENTO</t>
  </si>
  <si>
    <t>DIVISION</t>
  </si>
  <si>
    <t>SUBTOTAL CBI</t>
  </si>
  <si>
    <t>SUBTOTAL CSH</t>
  </si>
  <si>
    <t>EVALUACION DEL DISEÑO EN EL TIEMPO</t>
  </si>
  <si>
    <t>INVESTIGACIÓN Y CONOCIMIENTO DEL DISEÑO</t>
  </si>
  <si>
    <t>PROCESOS Y TECNICAS DE REALIZACION</t>
  </si>
  <si>
    <t>SUBTOTAL CYAD</t>
  </si>
  <si>
    <t>SUBTOTAL CCD</t>
  </si>
  <si>
    <t>SUBTOTAL CNI</t>
  </si>
  <si>
    <t>SUBTOTAL CBS</t>
  </si>
  <si>
    <t>Porcentaje de respuesta por año de egreso</t>
  </si>
  <si>
    <t xml:space="preserve">Año de egreso </t>
  </si>
  <si>
    <t>Variable: Último año de actividad académica (ua_aa2)</t>
  </si>
  <si>
    <t>¿En qué medida coincide su actividad laboral con los estudios de licenciatura?</t>
  </si>
  <si>
    <t>Licenciatura</t>
  </si>
  <si>
    <t>Nula coincidencia</t>
  </si>
  <si>
    <t>Baja coincidencia</t>
  </si>
  <si>
    <t>Coincidencia</t>
  </si>
  <si>
    <t>Total coincidencia</t>
  </si>
  <si>
    <t>Sociologia</t>
  </si>
  <si>
    <t>Diseño de la comunicación gráfica</t>
  </si>
  <si>
    <t>Ing. Energía</t>
  </si>
  <si>
    <t>Antropología social</t>
  </si>
  <si>
    <t>Letras hispánicas</t>
  </si>
  <si>
    <t>Ciencia política</t>
  </si>
  <si>
    <t>Biología experimental</t>
  </si>
  <si>
    <t>Producción animal</t>
  </si>
  <si>
    <t>Ing de los Alimentos</t>
  </si>
  <si>
    <t>Comunicación social</t>
  </si>
  <si>
    <t>Enfermeria</t>
  </si>
  <si>
    <t>Química farmacéutica biológica</t>
  </si>
  <si>
    <t>Medicina veterinaria y zootecnia</t>
  </si>
  <si>
    <t>Nutrición humana</t>
  </si>
  <si>
    <t>Diseño industrial</t>
  </si>
  <si>
    <t>Planeacion territorial</t>
  </si>
  <si>
    <t>Politica y gestion social</t>
  </si>
  <si>
    <t>Total de matrícula de planes evaluables</t>
  </si>
  <si>
    <t>Total de matrícula de planes de estudio de licenciatura acreditados por COPAES y evaluados por CIEES Nivel 1</t>
  </si>
  <si>
    <t>Total de matrícula de planes de estudio de posgrado registrados en el PNPC</t>
  </si>
  <si>
    <t>Total de matrícula de planes de estudio</t>
  </si>
  <si>
    <t>S N I - 2015</t>
  </si>
  <si>
    <t>Ing. Recursos Hídricos</t>
  </si>
  <si>
    <t xml:space="preserve"> 11P-15I</t>
  </si>
  <si>
    <t>11O-15P</t>
  </si>
  <si>
    <t>2005-2011</t>
  </si>
  <si>
    <t>Posgrado en Diseño, Planificación y Conservación de Paisajes y Jardines</t>
  </si>
  <si>
    <t>Posgrado en Diseño Bioclimático</t>
  </si>
  <si>
    <t>Posgrado en Diseño y Desarrollo de Productos</t>
  </si>
  <si>
    <t>Posgrado en Diseño y Estudios Urbanos</t>
  </si>
  <si>
    <t>Posgrado en Diseño y Visualización de la Información</t>
  </si>
  <si>
    <r>
      <t xml:space="preserve">Fuente: </t>
    </r>
    <r>
      <rPr>
        <sz val="8"/>
        <color theme="1"/>
        <rFont val="Calibri"/>
        <family val="2"/>
        <scheme val="minor"/>
      </rPr>
      <t xml:space="preserve">Sistema de Información de Estudiantes, Egresados y Empleadores (sieee). </t>
    </r>
  </si>
  <si>
    <r>
      <t>Empleo de los egresados:  E</t>
    </r>
    <r>
      <rPr>
        <sz val="8"/>
        <color theme="1"/>
        <rFont val="Calibri"/>
        <family val="2"/>
        <scheme val="minor"/>
      </rPr>
      <t>studio sobre la trayectoria profesional de los egresados de posgrado. Se apoya en una encuesta que debe ser aplicada a todos los egresados de los programas de posgrado, es decir, se trata de un censo.</t>
    </r>
  </si>
  <si>
    <r>
      <rPr>
        <b/>
        <sz val="8"/>
        <color theme="1"/>
        <rFont val="Calibri"/>
        <family val="2"/>
        <scheme val="minor"/>
      </rPr>
      <t>Nota metodológica</t>
    </r>
    <r>
      <rPr>
        <sz val="8"/>
        <color theme="1"/>
        <rFont val="Calibri"/>
        <family val="2"/>
        <scheme val="minor"/>
      </rPr>
      <t>: El universo de estudio fue extraíodo del Archivo General de Alumnos (AGA) generado en la semana 11 del trimestre Otoño 2015 a partir de la variable: Último año de actividad académica (ua_aa2). A continuación se señalan en color los planes que no cumplen ni con el porcentaje de la representatividad estadística.</t>
    </r>
  </si>
  <si>
    <t>D1. Eficiencia terminal en licenciatura</t>
  </si>
  <si>
    <t>D2. Trimestres excedentes (licenciatura)</t>
  </si>
  <si>
    <t>D3. Eficiencia terminal en posgrado</t>
  </si>
  <si>
    <t>D4. Tiempo promedio para concluir estudios de posgrado</t>
  </si>
  <si>
    <t>D5. Empleo de los egresados</t>
  </si>
  <si>
    <t>D.1.1 Cohorte generacional</t>
  </si>
  <si>
    <t>D.2.3 Tiempo  promedio excedente para concluir estudios de licenciatura</t>
  </si>
  <si>
    <t>D.1.2 Plazo máximo reglamentado</t>
  </si>
  <si>
    <t>D.3.4 Especialización</t>
  </si>
  <si>
    <t>D.5.5 Maestría</t>
  </si>
  <si>
    <t>D.3.6 Doctorado</t>
  </si>
  <si>
    <t>D.4.8 Maestría</t>
  </si>
  <si>
    <t>D.4.7 Especialización</t>
  </si>
  <si>
    <t>D.4.9 Doctorado</t>
  </si>
  <si>
    <t>D.5.10 Licenciatura</t>
  </si>
  <si>
    <t>D.5.11 Posgrado</t>
  </si>
  <si>
    <t>D.6.12. Planes de Licenciatura</t>
  </si>
  <si>
    <t>D.6.13 Planes de Posgrado</t>
  </si>
  <si>
    <t>*Trim. de operación en que entrará vigente la última actualización y fecha de sesión Colegio Académico en que se aprobó:</t>
  </si>
  <si>
    <t>15-I</t>
  </si>
  <si>
    <t>15-P</t>
  </si>
  <si>
    <t>15-O</t>
  </si>
  <si>
    <t>16-I</t>
  </si>
  <si>
    <t>A 383</t>
  </si>
  <si>
    <t>A 263</t>
  </si>
  <si>
    <t>A 294    A 292</t>
  </si>
  <si>
    <t>16-P</t>
  </si>
  <si>
    <t>A 377</t>
  </si>
  <si>
    <t>A 381</t>
  </si>
  <si>
    <t xml:space="preserve">AP 369.4 / A 369 </t>
  </si>
  <si>
    <t>M 369..9</t>
  </si>
  <si>
    <t>M 378.11</t>
  </si>
  <si>
    <t>AP 272.5</t>
  </si>
  <si>
    <t>AP 274.5 AP 281.13</t>
  </si>
  <si>
    <t>AP 284.6</t>
  </si>
  <si>
    <t>A 382</t>
  </si>
  <si>
    <t>AP 280.4</t>
  </si>
  <si>
    <t>AP 294.8</t>
  </si>
  <si>
    <t>A 306</t>
  </si>
  <si>
    <t>A 325</t>
  </si>
  <si>
    <t>AP 272</t>
  </si>
  <si>
    <t>AP 280</t>
  </si>
  <si>
    <t xml:space="preserve">A 292,  M294.9                                            </t>
  </si>
  <si>
    <t>A 315.5</t>
  </si>
  <si>
    <r>
      <t xml:space="preserve">Lic. en Biología Ambiental  </t>
    </r>
    <r>
      <rPr>
        <sz val="11"/>
        <color rgb="FFFF0000"/>
        <rFont val="Calibri"/>
        <family val="2"/>
        <scheme val="minor"/>
      </rPr>
      <t>(C, 24-02-11, Sesión 331.5)</t>
    </r>
  </si>
  <si>
    <t>*Donde no hay fecha de sesión, no se indica el trimestre en que opera la actualñización en Colegio Académico.</t>
  </si>
  <si>
    <t>*Trim. en que entra en operación la  última actualización marcada por Colegio Academ. y fecha de sesion :</t>
  </si>
  <si>
    <t>A383</t>
  </si>
  <si>
    <t>C 252.4</t>
  </si>
  <si>
    <t>15-O y 17-O</t>
  </si>
  <si>
    <t>M378.9</t>
  </si>
  <si>
    <t>Diseño, Planificación y Conservación de Paisajes y Jardines (Especialidad)</t>
  </si>
  <si>
    <t>C378.9</t>
  </si>
  <si>
    <t xml:space="preserve">Diseño, Planificación y Conservación de Paisajes y Jardines (Maestría) </t>
  </si>
  <si>
    <t>17-O</t>
  </si>
  <si>
    <t>Diseño y Estudios Urbanos  (Maestría)</t>
  </si>
  <si>
    <t>Diseño y Estudios Urbanos  (Doctorado)</t>
  </si>
  <si>
    <t>Diseño Bioclimático (Maestría)</t>
  </si>
  <si>
    <t>Diseño Bioclimático (Doctorado)</t>
  </si>
  <si>
    <t>Diseño y  Desarrollo de Productos (Maestría)                  (M,09-10-86, Sesión 70.23)</t>
  </si>
  <si>
    <t>Diseño y Visualización de la Información (Maestría)</t>
  </si>
  <si>
    <t>Diseño y Visualización de la Información (Doctorado)</t>
  </si>
  <si>
    <t xml:space="preserve">Diseño para la Rehabilitación, Recuperación y Conservación del Patrimonio  Construido (Maestría) </t>
  </si>
  <si>
    <t>C 346.7</t>
  </si>
  <si>
    <t>A381</t>
  </si>
  <si>
    <r>
      <t xml:space="preserve">Maestría en  Estudios Sociales </t>
    </r>
    <r>
      <rPr>
        <sz val="11"/>
        <color rgb="FFFF0000"/>
        <rFont val="Calibri"/>
        <family val="2"/>
        <scheme val="minor"/>
      </rPr>
      <t>(A, 99-O, Sesión 206)</t>
    </r>
  </si>
  <si>
    <t>M 369.5</t>
  </si>
  <si>
    <r>
      <t xml:space="preserve">Doctorado en  Estudios Sociales </t>
    </r>
    <r>
      <rPr>
        <sz val="11"/>
        <color rgb="FFFF0000"/>
        <rFont val="Calibri"/>
        <family val="2"/>
        <scheme val="minor"/>
      </rPr>
      <t>(A, 99-O, Sesión 206)</t>
    </r>
  </si>
  <si>
    <t>A 243</t>
  </si>
  <si>
    <t>A 354</t>
  </si>
  <si>
    <t>Maestría  en Biología de la Reproducción Animal (A, 99-P, Sesión 204)</t>
  </si>
  <si>
    <t>M381</t>
  </si>
  <si>
    <t>C 309</t>
  </si>
  <si>
    <t>D7. Actualización de planes de estudio</t>
  </si>
  <si>
    <t>D.7.14 Licenciatura</t>
  </si>
  <si>
    <t>D.7.15 Posgrado</t>
  </si>
  <si>
    <t>D8. Planta académica</t>
  </si>
  <si>
    <t>D.8.16 Grado académico</t>
  </si>
  <si>
    <t>D.8.17 Doctorado</t>
  </si>
  <si>
    <t>D9. Matrícula</t>
  </si>
  <si>
    <t>D.9.18 Matrícula total</t>
  </si>
  <si>
    <t>D.9.19 Matrícula de posgrado en relación con la matrícula total</t>
  </si>
  <si>
    <t>Posgrado en Diseño para la Rehabilitación, Recuperación y Conservación del Patrimonio Construido</t>
  </si>
  <si>
    <t>D10. Inglés</t>
  </si>
  <si>
    <t>D.10.20 Alumnos de licenciatura con nivel intermedio en el idioma inglés</t>
  </si>
  <si>
    <t>I11. Sistema Nacional de Investigadores (SNI)</t>
  </si>
  <si>
    <t>I12. Citas promedio</t>
  </si>
  <si>
    <t>2011-2015</t>
  </si>
  <si>
    <t>Articulos (2016/03/02)</t>
  </si>
  <si>
    <t>Citas  (2016/03/02)</t>
  </si>
  <si>
    <t>I13. Financiamiento</t>
  </si>
  <si>
    <t>I.11.21 Relación con  Personal Académico Definitivo de Tiempo Completo</t>
  </si>
  <si>
    <t>I.11.22 Relación con  Personal Académico Definitivo de Tiempo Completo con Doctorado</t>
  </si>
  <si>
    <t>I.11.23 Relación de profesores en el S N I nivel 2 y 3 con profesores nivel 1 y Candidato</t>
  </si>
  <si>
    <t>I.13.25 Financiamiento externo a proyectos de investigación</t>
  </si>
  <si>
    <t>I.12.24 Citas promedio por artículo publicado.</t>
  </si>
  <si>
    <t>I.14.26 Por profesor</t>
  </si>
  <si>
    <t>I.14.27 Puntaje de 3300 por profesor</t>
  </si>
  <si>
    <t>I.14.28  Relación de puntaje de 3300 y total</t>
  </si>
  <si>
    <t>I15. Puntaje acumulado</t>
  </si>
  <si>
    <t>I14. Artículos especializados de investigación</t>
  </si>
  <si>
    <t>I16. Cuerpos académicos</t>
  </si>
  <si>
    <t>I.15.29 Tasa de crecimiento del puntaje acumulado en las actividades académicas evaluables</t>
  </si>
  <si>
    <t>C17. Radio UAM</t>
  </si>
  <si>
    <t>C18. Libros</t>
  </si>
  <si>
    <t>I.16.30 Cuerpos académicos consolidados</t>
  </si>
  <si>
    <t>C.17.31 Horas de transmisión de eventos culturales por radio y videoconferencia</t>
  </si>
  <si>
    <t>C.18.32 Producción editorial</t>
  </si>
  <si>
    <t>No. de horas por persona (B / F)</t>
  </si>
  <si>
    <t>FUENTE: Base de Datos de Nómina, Quincena 20 de 2015. Incluye Mandos Medios Académicos, Mandos Medios Administrativos con Base Académica y Funcionarios Académicos.</t>
  </si>
  <si>
    <t>Presupuesto ejercido 2015</t>
  </si>
  <si>
    <t>PARTICIPANTES</t>
  </si>
  <si>
    <t>ESPECTADORES</t>
  </si>
  <si>
    <t>Atletismo</t>
  </si>
  <si>
    <t xml:space="preserve"> Ajedrez Tableros</t>
  </si>
  <si>
    <t>Yoga</t>
  </si>
  <si>
    <t>Zumba</t>
  </si>
  <si>
    <t>ENERO DE 2016</t>
  </si>
  <si>
    <t>http://www.webometrics.info/en/Latin_America/Mexico</t>
  </si>
  <si>
    <t>Lugar Latinoamerica 2015</t>
  </si>
  <si>
    <t>UNIVERSIDADES</t>
  </si>
  <si>
    <t>PUNTAJE OBTENIDO</t>
  </si>
  <si>
    <t>Universidad Nacional Autónoma de México (UNAM)</t>
  </si>
  <si>
    <t>Instituto Tecnológico y de Estudios Superiores de Monterrey  (ITESM)</t>
  </si>
  <si>
    <t>Universidad Iberoamericana (UIA)</t>
  </si>
  <si>
    <t>Instituto Politécnico Nacional (IPN)</t>
  </si>
  <si>
    <t>Universidad Autónoma Metropolitana (UAM)</t>
  </si>
  <si>
    <t>Instituto Tecnológico Autónomo de México (ITAM)</t>
  </si>
  <si>
    <t>Universidad de Guadalajara (UDG)</t>
  </si>
  <si>
    <t>Universidad Anahuac</t>
  </si>
  <si>
    <t>Universidad de las Américas Puebla (UDLAP)</t>
  </si>
  <si>
    <t>Universidad Autónoma de Nuevo León (UANL)</t>
  </si>
  <si>
    <t>universidad de Monterrey (UDEM)</t>
  </si>
  <si>
    <t>Universidad Panamericana</t>
  </si>
  <si>
    <t>Lugar México 2015</t>
  </si>
  <si>
    <t>551-600</t>
  </si>
  <si>
    <t>601-650</t>
  </si>
  <si>
    <t>651-700</t>
  </si>
  <si>
    <t>Universidad ANAHUAC</t>
  </si>
  <si>
    <t>Universidad Panamericana (UP)</t>
  </si>
  <si>
    <t>701+</t>
  </si>
  <si>
    <t>Universidad Autonoma de Nuevo Leon (UANL)</t>
  </si>
  <si>
    <t>Universidad Autónoma del Estado de Mexico (UAEMex)</t>
  </si>
  <si>
    <t>Universidad de Monterrey (UDEM)</t>
  </si>
  <si>
    <t>http://www.topuniversities.com/university-rankings/world-university-rankings/2015?utm_source=tu_house&amp;utm_medium=web_banner&amp;utm_campaign=WUR-2015#sorting=rank+region=213+country=241+faculty=+stars=false+search=</t>
  </si>
  <si>
    <t>Apoyo Institucional (A)</t>
  </si>
  <si>
    <t>10 GB</t>
  </si>
  <si>
    <t>A.25.46. Posición de la UAM en contexto nacional e internacional</t>
  </si>
  <si>
    <t>A.25.47 Transparencia</t>
  </si>
  <si>
    <t>Preservación y Difusión de la Cultura (C)</t>
  </si>
  <si>
    <t>C19. Actividades culturales</t>
  </si>
  <si>
    <t>A20. Presupuesto</t>
  </si>
  <si>
    <t>A21. Recursos Humanos</t>
  </si>
  <si>
    <t>A22. Infraestructura</t>
  </si>
  <si>
    <t>A23. Índice de cobertura de las TIC</t>
  </si>
  <si>
    <t>A24. Servicios universitarios</t>
  </si>
  <si>
    <t>A25. Rendición de cuentas</t>
  </si>
  <si>
    <t>C.19.33 Actividades Artísticas y Culturales</t>
  </si>
  <si>
    <t>A.20.34 Crecimiento real del subsidio federal</t>
  </si>
  <si>
    <t>A.20.35 Ingresos diferentes al subsidio federal</t>
  </si>
  <si>
    <t>A.21.36 Capacitación</t>
  </si>
  <si>
    <t>A.21.37 Estructura de personal en unidades académicas</t>
  </si>
  <si>
    <t>A.22.38 Crecimiento en equipamiento</t>
  </si>
  <si>
    <t>A.22.39 Mantenimiento</t>
  </si>
  <si>
    <t>A.23.40 Alumnos por Computadoras</t>
  </si>
  <si>
    <t>A.23.41 Personal académico por Computadoras</t>
  </si>
  <si>
    <t>A.23.42 personal administrativo por Computadoras</t>
  </si>
  <si>
    <t>A.23.43 Red</t>
  </si>
  <si>
    <t>A.24.44. Programa de salud</t>
  </si>
  <si>
    <t>A.24.45. Programa de actividades deportivas</t>
  </si>
  <si>
    <r>
      <rPr>
        <b/>
        <sz val="11"/>
        <color rgb="FF000000"/>
        <rFont val="Calibri"/>
        <family val="2"/>
        <scheme val="minor"/>
      </rPr>
      <t>50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</si>
  <si>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t>Ciencias Atmosféricas</t>
  </si>
  <si>
    <t>Especialización en Física Médica Clínica</t>
  </si>
  <si>
    <t>Total Licenciatura</t>
  </si>
  <si>
    <t>Matrícula Total</t>
  </si>
  <si>
    <t>S N I - 2016</t>
  </si>
  <si>
    <t>14.3 GB</t>
  </si>
  <si>
    <t>Comunidad Universitaria susceptible de beneficiarse con los programas salud*</t>
  </si>
  <si>
    <t>* Activos de Licenciatura y Posgrado + pnal. Académico y pnal. Admvo.</t>
  </si>
  <si>
    <t>GB</t>
  </si>
  <si>
    <t>Basquetbol Tercias</t>
  </si>
  <si>
    <t>Balonmano</t>
  </si>
  <si>
    <t>Pesas</t>
  </si>
  <si>
    <t>Karate Do</t>
  </si>
  <si>
    <t>Halterofilia</t>
  </si>
  <si>
    <t>Torneo de fuerza</t>
  </si>
  <si>
    <t>Rally de bienvenida</t>
  </si>
  <si>
    <t>Tae kwon Do</t>
  </si>
  <si>
    <t>Areas verdes</t>
  </si>
  <si>
    <t>Baloncesto y canchas de basquetbol</t>
  </si>
  <si>
    <t>Crossfit y gimnasio de Crossfit</t>
  </si>
  <si>
    <t>Danza acrobática</t>
  </si>
  <si>
    <t>Entrenamientos deportivos</t>
  </si>
  <si>
    <t>Festivales, rallys de bienvenida y concursos</t>
  </si>
  <si>
    <t>Gimnasio urbano</t>
  </si>
  <si>
    <t>Participación en eventos de la Universidad</t>
  </si>
  <si>
    <t>Préstamo de balones</t>
  </si>
  <si>
    <t>Préstamo de instalaciones</t>
  </si>
  <si>
    <t>Préstamo de material deportivo</t>
  </si>
  <si>
    <t>PIVU CYAD</t>
  </si>
  <si>
    <t>Senderismo</t>
  </si>
  <si>
    <t>Tae Bo</t>
  </si>
  <si>
    <t>Tenis (canchas)</t>
  </si>
  <si>
    <t>Tenis de Mesa y raquetas</t>
  </si>
  <si>
    <t>Torneos internos y externos</t>
  </si>
  <si>
    <t>Sep, Oct, Nov, Dic</t>
  </si>
  <si>
    <t>No. de eventos culturales</t>
  </si>
  <si>
    <t xml:space="preserve"> 12P-16I</t>
  </si>
  <si>
    <t>12O-16P</t>
  </si>
  <si>
    <t>EFICIENCIA TERMINAL DE ALUMNOS QUE INGRESARON ENTRE 2005 Y 2011</t>
  </si>
  <si>
    <t>AGA Lic 2016-I 1a Sem</t>
  </si>
  <si>
    <t>Criterio: (origen_mat = 1 | origen_mat = 2) &amp; cre_acum &gt; 0 &amp;  aing&gt; 2004 &amp; aing&lt;2012</t>
  </si>
  <si>
    <t>Inscripción Cancelada</t>
  </si>
  <si>
    <t>Eficiencia Terminal al 2015</t>
  </si>
  <si>
    <t>(*) Plan de 5 años, el ingreso es de un año anterior</t>
  </si>
  <si>
    <t>2006-2012</t>
  </si>
  <si>
    <t>EFICIENCIA TERMINAL DE ALUMNOS QUE INGRESARON ENTRE 2006 Y 2012</t>
  </si>
  <si>
    <t>AGA Lic 2017-I 1a Sem</t>
  </si>
  <si>
    <t>AGA Posg 2016-I 1a Sem</t>
  </si>
  <si>
    <t>Criterio: aing_n = 2014 &amp; pla &lt; 500 &amp; niv = 1 &amp; edo ~= 13</t>
  </si>
  <si>
    <t>Aceptado Nuevo Ingreso</t>
  </si>
  <si>
    <r>
      <t>EFICIENCIA TERMINAL DE ALUMNOS DE ESPECIALIDAD QUE INGRESARON EN</t>
    </r>
    <r>
      <rPr>
        <b/>
        <sz val="12"/>
        <color rgb="FFFF0000"/>
        <rFont val="Calibri"/>
        <family val="2"/>
        <scheme val="minor"/>
      </rPr>
      <t xml:space="preserve"> 2015</t>
    </r>
  </si>
  <si>
    <t>EFICIENCIA TERMINAL DE ALUMNOS DE MAESTRÍA QUE INGRESARON EN 2013</t>
  </si>
  <si>
    <t>Criterio: aing_n = 2013 &amp; pla &lt; 500 &amp; niv = 2 &amp; edo ~= 13</t>
  </si>
  <si>
    <t>EFICIENCIA TERMINAL DE ALUMNOS DE DOCTORADO QUE INGRESARON EN 2011</t>
  </si>
  <si>
    <t>Criterio: aing_n = 2011 &amp; pla &lt; 500 &amp; niv = 3 &amp; edo ~= 13</t>
  </si>
  <si>
    <t>AGA Posg 2016-I 1a. Sem</t>
  </si>
  <si>
    <t>Prom TRC</t>
  </si>
  <si>
    <t>(*) Plan de 6 trimestres</t>
  </si>
  <si>
    <t>PROMEDIO DE TRIMESTRES REALMENTE CURSADOS PARA ACREDITAR PLAN DE ESTUDIOS DE ESPECIALIDAD 2015</t>
  </si>
  <si>
    <t>PROMEDIO DE TRIMESTRES REALMENTE CURSADOS PARA ACREDITAR PLAN DE ESTUDIOS DE MAESTRÍA 2015</t>
  </si>
  <si>
    <t>PROMEDIO DE TRIMESTRES REALMENTE CURSADOS PARA ACREDITAR PLAN DE ESTUDIOS DE DOCTORADO 2015</t>
  </si>
  <si>
    <t>Egreso 2015</t>
  </si>
  <si>
    <t>Egreso 2014</t>
  </si>
  <si>
    <t>Egreso 2013</t>
  </si>
  <si>
    <t>Egreso 2012</t>
  </si>
  <si>
    <t>Egreso 2011</t>
  </si>
  <si>
    <t>Egreso en 2010</t>
  </si>
  <si>
    <t>Trim Prom</t>
  </si>
  <si>
    <t>NTRC Media</t>
  </si>
  <si>
    <t>Trim Cursados Promedio</t>
  </si>
  <si>
    <t>Fuente: AGA Lic 2015-I 1a. Sem</t>
  </si>
  <si>
    <t>México</t>
  </si>
  <si>
    <t>ENERO DE 2017</t>
  </si>
  <si>
    <t>Centro de Investigación y de Estudios Avanzados del IPN CINVESTAV</t>
  </si>
  <si>
    <t>Tecnológico de Monterrey</t>
  </si>
  <si>
    <t xml:space="preserve">Clasificación por país: México,  QS Ranking Latin America 2016, Universidades Mexicanas. </t>
  </si>
  <si>
    <t>Lugar Latinoamerica</t>
  </si>
  <si>
    <r>
      <t xml:space="preserve">Esp en Acupuntura y Fitoterapia </t>
    </r>
    <r>
      <rPr>
        <b/>
        <sz val="9"/>
        <color rgb="FFFF0000"/>
        <rFont val="Calibri"/>
        <family val="2"/>
        <scheme val="minor"/>
      </rPr>
      <t>(*)</t>
    </r>
  </si>
  <si>
    <r>
      <rPr>
        <b/>
        <sz val="9"/>
        <color rgb="FFFF0000"/>
        <rFont val="Calibri"/>
        <family val="2"/>
        <scheme val="minor"/>
      </rPr>
      <t>(*)</t>
    </r>
    <r>
      <rPr>
        <sz val="9"/>
        <color theme="1"/>
        <rFont val="Calibri"/>
        <family val="2"/>
        <scheme val="minor"/>
      </rPr>
      <t xml:space="preserve"> Plan de dos años, el ingreso es de un año anterior</t>
    </r>
  </si>
  <si>
    <t>Para el nivel de Especialización se consideran 4 trimestres para egresar</t>
  </si>
  <si>
    <t>Criterio: (origen_mat = 1 | origen_mat = 2) &amp; cre_acum &gt; 0 &amp;  aing&gt; 2005 &amp; aing&lt;2013</t>
  </si>
  <si>
    <r>
      <rPr>
        <b/>
        <sz val="8"/>
        <color rgb="FFFF0000"/>
        <rFont val="Calibri"/>
        <family val="2"/>
        <scheme val="minor"/>
      </rPr>
      <t>(*)</t>
    </r>
    <r>
      <rPr>
        <sz val="8"/>
        <color theme="1"/>
        <rFont val="Calibri"/>
        <family val="2"/>
        <scheme val="minor"/>
      </rPr>
      <t xml:space="preserve"> Plan de 5 años, el ingreso es de un año anterior</t>
    </r>
  </si>
  <si>
    <t>16-O</t>
  </si>
  <si>
    <t>A 398</t>
  </si>
  <si>
    <t>C 396.3</t>
  </si>
  <si>
    <t>Lic. Ciencias Atmosféricas</t>
  </si>
  <si>
    <t>A 387</t>
  </si>
  <si>
    <t>A 402</t>
  </si>
  <si>
    <t>M 390.6</t>
  </si>
  <si>
    <r>
      <t xml:space="preserve">Diseño para la Rehabilitación, Recuperación y Conservación del Patrimonio  Construido                           </t>
    </r>
    <r>
      <rPr>
        <b/>
        <i/>
        <sz val="11"/>
        <rFont val="Calibri"/>
        <family val="2"/>
        <scheme val="minor"/>
      </rPr>
      <t xml:space="preserve">(Doctorado) </t>
    </r>
    <r>
      <rPr>
        <b/>
        <sz val="11"/>
        <rFont val="Calibri"/>
        <family val="2"/>
        <scheme val="minor"/>
      </rPr>
      <t>Se ofrecerá a partir de 2017-O, No se cuenta</t>
    </r>
  </si>
  <si>
    <r>
      <t xml:space="preserve">Especialidad en Diseño (A, 02-0, Sesión 238) </t>
    </r>
    <r>
      <rPr>
        <b/>
        <i/>
        <sz val="11"/>
        <rFont val="Calibri"/>
        <family val="2"/>
        <scheme val="minor"/>
      </rPr>
      <t>Ya no se cuentan como vigentes</t>
    </r>
  </si>
  <si>
    <r>
      <t>Maestría en Diseño (A, 02-0, Sesión 238)</t>
    </r>
    <r>
      <rPr>
        <b/>
        <i/>
        <sz val="11"/>
        <rFont val="Calibri"/>
        <family val="2"/>
        <scheme val="minor"/>
      </rPr>
      <t>Ya no se cuentan como vigentes</t>
    </r>
  </si>
  <si>
    <r>
      <t xml:space="preserve">Doctorado en Diseño (A, 02-0, Sesión 238) </t>
    </r>
    <r>
      <rPr>
        <b/>
        <i/>
        <sz val="11"/>
        <rFont val="Calibri"/>
        <family val="2"/>
        <scheme val="minor"/>
      </rPr>
      <t>Ya no se cuentan como vigentes</t>
    </r>
  </si>
  <si>
    <t>Maestría en Literatura Mexicana Contemporánea</t>
  </si>
  <si>
    <r>
      <t>Posgrado en Optimización-Maestría</t>
    </r>
    <r>
      <rPr>
        <sz val="11"/>
        <color rgb="FFFF0000"/>
        <rFont val="Calibri"/>
        <family val="2"/>
        <scheme val="minor"/>
      </rPr>
      <t xml:space="preserve"> </t>
    </r>
  </si>
  <si>
    <r>
      <t>Posgrado en Optimización-Doctorado</t>
    </r>
    <r>
      <rPr>
        <sz val="11"/>
        <color rgb="FFFF0000"/>
        <rFont val="Calibri"/>
        <family val="2"/>
        <scheme val="minor"/>
      </rPr>
      <t xml:space="preserve"> </t>
    </r>
  </si>
  <si>
    <t>Posgrado en Ingeniería de Procesos-Maestría</t>
  </si>
  <si>
    <t>Posgrado en Ingeniería de Procesos-Doctorado</t>
  </si>
  <si>
    <r>
      <t xml:space="preserve"> Especialización en Física Médica Clínica</t>
    </r>
    <r>
      <rPr>
        <b/>
        <i/>
        <sz val="11"/>
        <rFont val="Calibri"/>
        <family val="2"/>
      </rPr>
      <t xml:space="preserve"> </t>
    </r>
  </si>
  <si>
    <t>C 387.6</t>
  </si>
  <si>
    <t>C 402.9</t>
  </si>
  <si>
    <t xml:space="preserve"> Especialización en Física Médica Clínica. </t>
  </si>
  <si>
    <t>17-I</t>
  </si>
  <si>
    <t>C390.5</t>
  </si>
  <si>
    <t>C398.3</t>
  </si>
  <si>
    <t>A398</t>
  </si>
  <si>
    <t>A402</t>
  </si>
  <si>
    <t>A357</t>
  </si>
  <si>
    <t>C 387.5</t>
  </si>
  <si>
    <t>Eficiencia Terminal al 2016 de alumnos que ingresaron en 2006-2012</t>
  </si>
  <si>
    <t>PROMEDIO DE TRIMESTRES REALMENTE CURSADOS PARA ACREDITAR PLAN DE ESTUDIOS</t>
  </si>
  <si>
    <t>EGRESADOS EN 2016</t>
  </si>
  <si>
    <t>AGA Lic 2017-I 1a. Sem</t>
  </si>
  <si>
    <t>Egreso 2016</t>
  </si>
  <si>
    <t>AGA Posg 2017-I 1a Sem</t>
  </si>
  <si>
    <t>Criterio: aing_n = 2015 &amp; pla &lt; 500 &amp; niv = 1 &amp; edo ~= 13</t>
  </si>
  <si>
    <t>EFICIENCIA TERMINAL DE ALUMNOS DE ESPECIALIDAD QUE INGRESARON EN 2016</t>
  </si>
  <si>
    <t>EFICIENCIA TERMINAL DE ALUMNOS DE MAESTRÏA QUE INGRESARON EN 2014</t>
  </si>
  <si>
    <t>Criterio: aing_n = 2014 &amp; pla &lt; 500 &amp; niv = 2 &amp; edo ~= 13</t>
  </si>
  <si>
    <t>Total Iztapalpa</t>
  </si>
  <si>
    <t>Mtría en Economía, Gestión y Política de Innovación</t>
  </si>
  <si>
    <t>Mtría en Ecología Aplicada</t>
  </si>
  <si>
    <t>EFICIENCIA TERMINAL DE ALUMNOS DE DOCTORADO QUE INGRESARON EN 2012</t>
  </si>
  <si>
    <t>Criterio: aing_n = 2012 &amp; pla &lt; 500 &amp; niv = 3 &amp; edo ~= 13</t>
  </si>
  <si>
    <t>Trámite Cancelado</t>
  </si>
  <si>
    <t>PROMEDIO DE TRIMESTRES REALMENTE CURSADOS PARA APROBAR EL PLAN DE ESTUDIOS DE ESPECIALIDAD 2016</t>
  </si>
  <si>
    <t>AGA Posg 2017-I 1a. Sem</t>
  </si>
  <si>
    <t>Prom Ntrc</t>
  </si>
  <si>
    <r>
      <t xml:space="preserve">Esp en Acupuntura y Fitoterapia </t>
    </r>
    <r>
      <rPr>
        <sz val="9"/>
        <color rgb="FFFF0000"/>
        <rFont val="Calibri"/>
        <family val="2"/>
        <scheme val="minor"/>
      </rPr>
      <t>(*)</t>
    </r>
  </si>
  <si>
    <r>
      <rPr>
        <sz val="8"/>
        <color rgb="FFFF0000"/>
        <rFont val="Calibri"/>
        <family val="2"/>
        <scheme val="minor"/>
      </rPr>
      <t>(*)</t>
    </r>
    <r>
      <rPr>
        <sz val="8"/>
        <color theme="1"/>
        <rFont val="Calibri"/>
        <family val="2"/>
        <scheme val="minor"/>
      </rPr>
      <t xml:space="preserve"> Plan de dos años</t>
    </r>
  </si>
  <si>
    <t>PROMEDIO DE TRIMESTRES REALMENTE CURSADOS PARA APROBAR EL PLAN DE ESTUDIOS DE MAESTRÍA 2016</t>
  </si>
  <si>
    <t>PROMEDIO DE TRIMESTRES REALMENTE CURSADOS PARA APROBAR EL PLAN DE ESTUDIOS DE DOCTORADO 2016</t>
  </si>
  <si>
    <t>Doc en Ciencias Agropecuarias</t>
  </si>
  <si>
    <t>Total de presupuesto  ajustado 2016 de otros gastos de operación, mantenimiento e inversión</t>
  </si>
  <si>
    <t>Total de presupuesto ejercido 2016 de otros gastos de operación, mantenimiento e inversión</t>
  </si>
  <si>
    <t>Presupuesto ejercido 2016</t>
  </si>
  <si>
    <t>Total de presupuesto ejercido 2015 de otros gastos de operación, mantenimiento e inversión</t>
  </si>
  <si>
    <t>UAM-C</t>
  </si>
  <si>
    <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u/>
        <sz val="11"/>
        <color rgb="FF000000"/>
        <rFont val="Calibri"/>
        <family val="2"/>
        <scheme val="minor"/>
      </rPr>
      <t xml:space="preserve"> </t>
    </r>
    <r>
      <rPr>
        <sz val="11"/>
        <color rgb="FF000000"/>
        <rFont val="Calibri"/>
        <family val="2"/>
        <scheme val="minor"/>
      </rPr>
      <t>horas de transmisión semanales.</t>
    </r>
  </si>
  <si>
    <t>Cua. 23 Sept.</t>
  </si>
  <si>
    <t>Ler. 1 Oct.</t>
  </si>
  <si>
    <t>Azc. 16 Oct.</t>
  </si>
  <si>
    <t>Corriendo por la UAM</t>
  </si>
  <si>
    <t>Xoc. 30 Oct.</t>
  </si>
  <si>
    <t>Basquetbol Tercias y Two Ball</t>
  </si>
  <si>
    <t>Izt. 13 Nov.</t>
  </si>
  <si>
    <t>Dominó</t>
  </si>
  <si>
    <t>Ajedrez,Baloncesto, Fútbol Asociación, Fútbol Bardas, Halterofilia, karate Do, Tae kwon do, Tenis, Tenis de mesa, Voleibol de playa y Voleibol de sala</t>
  </si>
  <si>
    <t>Octubre</t>
  </si>
  <si>
    <t>Paseo Ciclista</t>
  </si>
  <si>
    <t>Interdivisional</t>
  </si>
  <si>
    <t>Marathón de Sustentabilidad</t>
  </si>
  <si>
    <t>Rally de Bienvenida</t>
  </si>
  <si>
    <t>Rally Recreativo de CNI</t>
  </si>
  <si>
    <t>Remo y Remo Bajo Techo</t>
  </si>
  <si>
    <t>Vencidas</t>
  </si>
  <si>
    <t xml:space="preserve">    Voleibol de Playa</t>
  </si>
  <si>
    <t>Voleibol Tercias</t>
  </si>
  <si>
    <t>Baloncesto</t>
  </si>
  <si>
    <t>Colchonetas</t>
  </si>
  <si>
    <t>Crossfit</t>
  </si>
  <si>
    <t>Fútbol Americano</t>
  </si>
  <si>
    <t>Gimnasio de Duela</t>
  </si>
  <si>
    <r>
      <t xml:space="preserve">Nivel 1:  Al interior de las Unidades Académicas </t>
    </r>
    <r>
      <rPr>
        <b/>
        <sz val="12"/>
        <color rgb="FFFF0000"/>
        <rFont val="Calibri"/>
        <family val="2"/>
        <scheme val="minor"/>
      </rPr>
      <t>2015</t>
    </r>
  </si>
  <si>
    <r>
      <t xml:space="preserve">Nivel 2: Entre las Unidades académicas </t>
    </r>
    <r>
      <rPr>
        <b/>
        <sz val="12"/>
        <color rgb="FFFF0000"/>
        <rFont val="Calibri"/>
        <family val="2"/>
        <scheme val="minor"/>
      </rPr>
      <t>2015</t>
    </r>
  </si>
  <si>
    <t>No. de benefiviarios</t>
  </si>
  <si>
    <t>Espectadores</t>
  </si>
  <si>
    <t>FestiUAM</t>
  </si>
  <si>
    <t>Septiembre - Diciembre</t>
  </si>
  <si>
    <t>Simultáneas de Ajedrez, Dominó, Fútbol Coladeritas, Voleibol de Pasto, Juegos de Destreza, Tenis de Mesa y Karaoke</t>
  </si>
  <si>
    <t>Damas Españolas</t>
  </si>
  <si>
    <t>Olimpiada UAM 2011</t>
  </si>
  <si>
    <t>Septiembre y Octubre</t>
  </si>
  <si>
    <t>Competencia de Fuerza, Voleibol de Playa, Tenis, Ajedrez, Fútbol de Bardas, Baloncesto, Fútbol Asociación y Tenis de Mesa</t>
  </si>
  <si>
    <t>Intradivisional CyAD</t>
  </si>
  <si>
    <t>Ler. 12 Sept.</t>
  </si>
  <si>
    <t>Cua. 18 Sept</t>
  </si>
  <si>
    <t>Azc. 10 Oct.</t>
  </si>
  <si>
    <t>Xoc. 24 Oct.</t>
  </si>
  <si>
    <t>Izt. 14 Nov.</t>
  </si>
  <si>
    <t>Fútbol Asociación, Baloncesto, Voleibol, Fútbol Bardas, Karate do, Tae kwon do</t>
  </si>
  <si>
    <t>Capoeira</t>
  </si>
  <si>
    <t>Danza Acrobática</t>
  </si>
  <si>
    <t>Hapkido</t>
  </si>
  <si>
    <t>Karaoke</t>
  </si>
  <si>
    <t>Tableros de Ajedrez</t>
  </si>
  <si>
    <r>
      <t xml:space="preserve">Nivel 1:  Al interior de las Unidades Académicas </t>
    </r>
    <r>
      <rPr>
        <b/>
        <sz val="12"/>
        <color rgb="FFFF0000"/>
        <rFont val="Calibri"/>
        <family val="2"/>
        <scheme val="minor"/>
      </rPr>
      <t>2014</t>
    </r>
  </si>
  <si>
    <r>
      <t xml:space="preserve">Nivel 2: Entre las Unidades académicas </t>
    </r>
    <r>
      <rPr>
        <b/>
        <sz val="12"/>
        <color rgb="FFFF0000"/>
        <rFont val="Calibri"/>
        <family val="2"/>
        <scheme val="minor"/>
      </rPr>
      <t>2014</t>
    </r>
  </si>
  <si>
    <r>
      <t>Nivel 1:  Al interior de las Unidades Académicas</t>
    </r>
    <r>
      <rPr>
        <b/>
        <sz val="12"/>
        <color rgb="FFFF0000"/>
        <rFont val="Calibri"/>
        <family val="2"/>
        <scheme val="minor"/>
      </rPr>
      <t xml:space="preserve"> 2014</t>
    </r>
  </si>
  <si>
    <t>No. DE TORNEOS</t>
  </si>
  <si>
    <t>No. PARTICIPANTES</t>
  </si>
  <si>
    <t>Convivencia Deportiva 2013</t>
  </si>
  <si>
    <t>Junio, Septiembre y Octubre 2013</t>
  </si>
  <si>
    <t xml:space="preserve">Paticipan los equipos representativos de las 5 Unidades Académicas de la UAM en los siguientes deportes: </t>
  </si>
  <si>
    <t>Sede de los eventos: Las instalaciones de las Unidades Académicas</t>
  </si>
  <si>
    <t>Basquetbol Tercias                              Relámpago y Two Ball</t>
  </si>
  <si>
    <t>1.- Ajedrez   2.- Atletismo    3.- Baloncesto 4.- Fútbol Asociación 5.- Fútbol Rápido 6.- Karate Do 7.- Lev. Olímpico de Pesas 8.- Tae Kwon Do 9.- Tenis 10.- Tenis de Mesa 11.- Voleibol de Playa 12.- Voleibol de Sala</t>
  </si>
  <si>
    <t>Canotaje</t>
  </si>
  <si>
    <t>Grupo de Animación</t>
  </si>
  <si>
    <t>Serial Atlético "Corriendo por la UAM" 2013</t>
  </si>
  <si>
    <t>Lerma 4 de Septiembre</t>
  </si>
  <si>
    <t>Cuajimalpa 13 de Septiembre</t>
  </si>
  <si>
    <t>Serial Atlético "Caminando por la UAM" 2013</t>
  </si>
  <si>
    <t>Azcapotzalco 27 de Septiembre</t>
  </si>
  <si>
    <t>Xochimilco 11 de Octubre</t>
  </si>
  <si>
    <t>Iztapalapa 25 de Octubre</t>
  </si>
  <si>
    <t>Tae kwon do</t>
  </si>
  <si>
    <t>No. DE SERVICIOS</t>
  </si>
  <si>
    <t xml:space="preserve">      Acondicionamiento Físico</t>
  </si>
  <si>
    <t>Actividades Diversas **</t>
  </si>
  <si>
    <t xml:space="preserve">     Baile</t>
  </si>
  <si>
    <t>Box</t>
  </si>
  <si>
    <t xml:space="preserve">      Capoeira</t>
  </si>
  <si>
    <t>Danza</t>
  </si>
  <si>
    <t>Dominó (juegos de destreza)</t>
  </si>
  <si>
    <t>Full Contact</t>
  </si>
  <si>
    <t>Gap</t>
  </si>
  <si>
    <t>Gimnasio de Duela ***</t>
  </si>
  <si>
    <t>Lacrosse</t>
  </si>
  <si>
    <t>Parkour</t>
  </si>
  <si>
    <t>Pláticas de Juego Limpio</t>
  </si>
  <si>
    <t>Voleibol</t>
  </si>
  <si>
    <r>
      <t xml:space="preserve">Nivel 1:  Al interior de las Unidades Académicas </t>
    </r>
    <r>
      <rPr>
        <b/>
        <sz val="12"/>
        <color rgb="FFFF0000"/>
        <rFont val="Calibri"/>
        <family val="2"/>
        <scheme val="minor"/>
      </rPr>
      <t>2013</t>
    </r>
  </si>
  <si>
    <r>
      <t xml:space="preserve">Nivel 2: Entre las Unidades académicas </t>
    </r>
    <r>
      <rPr>
        <b/>
        <sz val="12"/>
        <color rgb="FFFF0000"/>
        <rFont val="Calibri"/>
        <family val="2"/>
        <scheme val="minor"/>
      </rPr>
      <t>2013</t>
    </r>
  </si>
  <si>
    <r>
      <t xml:space="preserve">Nivel 1:  Al interior de las Unidades Académicas </t>
    </r>
    <r>
      <rPr>
        <b/>
        <sz val="11"/>
        <color rgb="FFFF0000"/>
        <rFont val="Calibri"/>
        <family val="2"/>
        <scheme val="minor"/>
      </rPr>
      <t>2013</t>
    </r>
  </si>
  <si>
    <t>Convivencia Deportiva 2012</t>
  </si>
  <si>
    <t>Julio 2012</t>
  </si>
  <si>
    <t>Basquetbol Tercias: Relámpago y Two Ball</t>
  </si>
  <si>
    <t>Fisicoconstructivismo</t>
  </si>
  <si>
    <t>Fútbolito</t>
  </si>
  <si>
    <t>Olimpiada UAM 2012</t>
  </si>
  <si>
    <t>Septiembre - Octubre 2012</t>
  </si>
  <si>
    <t>Participan equipos de alumnos de las 5 Unidades Académicas en los siguientes deportes: 1.- Ajedrez  2.- Baloncesto 3.- Fisicoconstructivismo 4.- Fútbol Asociación 5.- Fútbol Rápido 6.- Levantamiento de Potencia 7.- Tenis de Mesa 8.- Voliebol de Playa</t>
  </si>
  <si>
    <t>Interdivisional CBI, CSH y CyAD</t>
  </si>
  <si>
    <t>Serial Atlético "Corriendo por la UAM" 2012</t>
  </si>
  <si>
    <t>Cuajimalpa 11 de Octubre</t>
  </si>
  <si>
    <t>Azcapotzalco 26 de Octubre</t>
  </si>
  <si>
    <t>Serial Atlético "Caminando por la UAM" 2012</t>
  </si>
  <si>
    <t>Xochimilco 9 de Noviembre</t>
  </si>
  <si>
    <t>Lerma 16 de Noviembre</t>
  </si>
  <si>
    <t>Iztapalapa 23 de Noviembre</t>
  </si>
  <si>
    <t>Artes Marciales</t>
  </si>
  <si>
    <t>Campamento Deportivo</t>
  </si>
  <si>
    <t>Prog. Diversificación Acts. Deportivas</t>
  </si>
  <si>
    <t>Gimnasia</t>
  </si>
  <si>
    <t>** Se reporta en bloque ya que son varias actividades con poca participación</t>
  </si>
  <si>
    <r>
      <t xml:space="preserve">Nivel 1:  Al interior de las Unidades Académicas </t>
    </r>
    <r>
      <rPr>
        <b/>
        <sz val="12"/>
        <color rgb="FFFF0000"/>
        <rFont val="Calibri"/>
        <family val="2"/>
        <scheme val="minor"/>
      </rPr>
      <t>2012</t>
    </r>
  </si>
  <si>
    <r>
      <t xml:space="preserve">Nivel 2: Entre las Unidades académicas </t>
    </r>
    <r>
      <rPr>
        <b/>
        <sz val="12"/>
        <color rgb="FFFF0000"/>
        <rFont val="Calibri"/>
        <family val="2"/>
        <scheme val="minor"/>
      </rPr>
      <t>2012</t>
    </r>
  </si>
  <si>
    <r>
      <t>Nivel 1:  Al interior de las Unidades Académicas</t>
    </r>
    <r>
      <rPr>
        <b/>
        <sz val="11"/>
        <color rgb="FFFF0000"/>
        <rFont val="Calibri"/>
        <family val="2"/>
        <scheme val="minor"/>
      </rPr>
      <t xml:space="preserve"> 2012</t>
    </r>
  </si>
  <si>
    <t>Anual</t>
  </si>
  <si>
    <t>Artes Marciales Mixtas</t>
  </si>
  <si>
    <t>4 carreras por año</t>
  </si>
  <si>
    <t>4 eventos por año</t>
  </si>
  <si>
    <t>Caminata por la Salud</t>
  </si>
  <si>
    <t>Clase abierta de Zumba</t>
  </si>
  <si>
    <t>Fútbol Rápido Tercias</t>
  </si>
  <si>
    <t>Graficar "G 34"</t>
  </si>
  <si>
    <t xml:space="preserve">    Voleibol</t>
  </si>
  <si>
    <t xml:space="preserve">      Actividades Diversas</t>
  </si>
  <si>
    <t>Danza Árabe y Polinesia</t>
  </si>
  <si>
    <t>Jazz</t>
  </si>
  <si>
    <t>Tahitiano y Hawwaiano</t>
  </si>
  <si>
    <t>Graficar "B 67"</t>
  </si>
  <si>
    <r>
      <t xml:space="preserve">Nivel 1:  Al interior de las Unidades Académicas </t>
    </r>
    <r>
      <rPr>
        <b/>
        <sz val="12"/>
        <color rgb="FFFF0000"/>
        <rFont val="Calibri"/>
        <family val="2"/>
        <scheme val="minor"/>
      </rPr>
      <t>2011</t>
    </r>
  </si>
  <si>
    <r>
      <t xml:space="preserve">Nivel 2: Entre las Unidades académicas </t>
    </r>
    <r>
      <rPr>
        <b/>
        <sz val="12"/>
        <color rgb="FFFF0000"/>
        <rFont val="Calibri"/>
        <family val="2"/>
        <scheme val="minor"/>
      </rPr>
      <t>2011</t>
    </r>
  </si>
  <si>
    <t>Olimpiada UAM 2010</t>
  </si>
  <si>
    <t>Caminata por el Día Mundial del Medio Ambiente</t>
  </si>
  <si>
    <t>Competencia de Pesas</t>
  </si>
  <si>
    <t>Concurso de Karaoke</t>
  </si>
  <si>
    <t>Damas españolas</t>
  </si>
  <si>
    <t>Fútbol Sala</t>
  </si>
  <si>
    <t>Remo bajo Techo</t>
  </si>
  <si>
    <t>Tochito Flag (Mixto)</t>
  </si>
  <si>
    <t>Fitness</t>
  </si>
  <si>
    <t>Tochito Bandera</t>
  </si>
  <si>
    <r>
      <t xml:space="preserve">Nivel 1:  Al interior de las Unidades Académicas </t>
    </r>
    <r>
      <rPr>
        <b/>
        <sz val="12"/>
        <color rgb="FFFF0000"/>
        <rFont val="Calibri"/>
        <family val="2"/>
        <scheme val="minor"/>
      </rPr>
      <t>2010</t>
    </r>
  </si>
  <si>
    <r>
      <t xml:space="preserve">Nivel 2: Entre las Unidades académicas  </t>
    </r>
    <r>
      <rPr>
        <b/>
        <sz val="12"/>
        <color rgb="FFFF0000"/>
        <rFont val="Calibri"/>
        <family val="2"/>
        <scheme val="minor"/>
      </rPr>
      <t>2010</t>
    </r>
  </si>
  <si>
    <r>
      <t xml:space="preserve">Nivel 1:  Al interior de las Unidades Académicas </t>
    </r>
    <r>
      <rPr>
        <b/>
        <sz val="12"/>
        <color rgb="FFFF0000"/>
        <rFont val="Calibri"/>
        <family val="2"/>
        <scheme val="minor"/>
      </rPr>
      <t>2016</t>
    </r>
  </si>
  <si>
    <r>
      <t>Nivel 2: Entre las Unidades académicas</t>
    </r>
    <r>
      <rPr>
        <b/>
        <sz val="11"/>
        <color rgb="FFFF0000"/>
        <rFont val="Calibri"/>
        <family val="2"/>
        <scheme val="minor"/>
      </rPr>
      <t xml:space="preserve"> 2016</t>
    </r>
  </si>
  <si>
    <r>
      <t>Nivel 1:  Al interior de las Unidades Académicas</t>
    </r>
    <r>
      <rPr>
        <b/>
        <sz val="12"/>
        <color rgb="FFFF0000"/>
        <rFont val="Calibri"/>
        <family val="2"/>
        <scheme val="minor"/>
      </rPr>
      <t xml:space="preserve"> 2016</t>
    </r>
  </si>
  <si>
    <t>SISTEMAS DE INFORMACION Y COMUNICACION</t>
  </si>
  <si>
    <t>La cohorte de seguimiento está constituida por egresados en el año 2012, cuyo ingreso y transito al mercado laboral es relativamente reciente, útil para valorar y  comparar el impacto inmediato de la formación profesional recibida en la institución. Cabe señalar que en el Esquema Básico para Estudios de Egresados en Educación Superior, publicado por ANUIES, se recomienda enfocar la atención a las generaciones que tengan cuando menos tres años en el mercado laboral.</t>
  </si>
  <si>
    <t>Para el cálculo del tamaño de la muestra se utilizó un muestreo aleatorio proporcional por estratos (estrato por carrera) y se consideró que en las subpoblaciones menores a 30 registros no se estimaría muestra si no que se buscaría el censo a fin de mantener una representatividad confiable. Cabe señalar que en las licenciaturas comarcadas con un asterisco no se logró cumplir con la muestra estadística debido a que no fue posible aplicar el cuestionario a todos los egresados seleccionados en el proceso aleatorio.</t>
  </si>
  <si>
    <t>Universo (N)</t>
  </si>
  <si>
    <t>Muestra (n)</t>
  </si>
  <si>
    <t>Cuestionarios aplicados</t>
  </si>
  <si>
    <t>Representatividad %</t>
  </si>
  <si>
    <t>Porcentaje de respuesta por Unidad</t>
  </si>
  <si>
    <t>Unidades</t>
  </si>
  <si>
    <t>Encuestados</t>
  </si>
  <si>
    <t>% de efectividad</t>
  </si>
  <si>
    <t>Porcentaje total</t>
  </si>
  <si>
    <t>De los egresados que declararon no laborar actualmente, el 42.7% continuó con sus estudios. En casos específicos como la licenciatura en Química de la Unidad Iztapalapa, el 88.9% continuó con sus estudios.</t>
  </si>
  <si>
    <t>Egresados (N)</t>
  </si>
  <si>
    <t>Egresados encuestados</t>
  </si>
  <si>
    <t>Porcentaje de respuesta</t>
  </si>
  <si>
    <t>*Ingeniería Física</t>
  </si>
  <si>
    <t>*Ingeniería Metalúrgica</t>
  </si>
  <si>
    <t>*Arquitectura</t>
  </si>
  <si>
    <t>Diseño de la Comunicación Grafica</t>
  </si>
  <si>
    <t>Diseño  Industrial</t>
  </si>
  <si>
    <t>*Física</t>
  </si>
  <si>
    <t>*Ingeniería Biomédica</t>
  </si>
  <si>
    <t>*Ingeniería Electrónica</t>
  </si>
  <si>
    <t>*Ingeniería en Energía</t>
  </si>
  <si>
    <t>*Ingeniería Hidrológica</t>
  </si>
  <si>
    <t>*Ingeniería Química</t>
  </si>
  <si>
    <t>*Matemáticas</t>
  </si>
  <si>
    <t>*Química</t>
  </si>
  <si>
    <t>*Administración</t>
  </si>
  <si>
    <t>*Filosofía</t>
  </si>
  <si>
    <t>*Lingüística</t>
  </si>
  <si>
    <t>*Sociología</t>
  </si>
  <si>
    <t>*Geografía Humana</t>
  </si>
  <si>
    <t>*Biología</t>
  </si>
  <si>
    <t>*Hidrobiología</t>
  </si>
  <si>
    <t>*Ingeniería Bioquímica Industrial</t>
  </si>
  <si>
    <t>*Producción Animal</t>
  </si>
  <si>
    <t>*Estudios Socioterritoriales</t>
  </si>
  <si>
    <t>*Humanidades</t>
  </si>
  <si>
    <t>*Diseño</t>
  </si>
  <si>
    <t>Tecnologías y Sistemas de la Información</t>
  </si>
  <si>
    <t>*Ciencias de la Comunicación</t>
  </si>
  <si>
    <t>*Ingeniería en Computación</t>
  </si>
  <si>
    <t>*Matemáticas Aplicadas</t>
  </si>
  <si>
    <r>
      <t xml:space="preserve">Fuente: </t>
    </r>
    <r>
      <rPr>
        <sz val="8"/>
        <color theme="1"/>
        <rFont val="Arial"/>
        <family val="2"/>
      </rPr>
      <t>Estudio de Seguimiento de Egresados de Licenciatura: Generación 2012</t>
    </r>
  </si>
  <si>
    <r>
      <t xml:space="preserve">Empleo de los egresados: </t>
    </r>
    <r>
      <rPr>
        <sz val="8"/>
        <color theme="1"/>
        <rFont val="Calibri"/>
        <family val="2"/>
        <scheme val="minor"/>
      </rPr>
      <t>Mide la tasa de inserción laboral al tercer año de egreso</t>
    </r>
  </si>
  <si>
    <r>
      <t>Fuente:</t>
    </r>
    <r>
      <rPr>
        <sz val="8"/>
        <color theme="1"/>
        <rFont val="Calibri"/>
        <family val="2"/>
        <scheme val="minor"/>
      </rPr>
      <t xml:space="preserve"> Estudio de seguimiento de egresados de las generaciones 2005 y 2008 publicado en septiembre de 2013</t>
    </r>
  </si>
  <si>
    <r>
      <t xml:space="preserve">Empleo de los egresados: </t>
    </r>
    <r>
      <rPr>
        <sz val="8"/>
        <color theme="1"/>
        <rFont val="Calibri"/>
        <family val="2"/>
        <scheme val="minor"/>
      </rPr>
      <t>Mide la tasa de inserción laboral al tercer y quinto año de egreso</t>
    </r>
  </si>
  <si>
    <r>
      <t xml:space="preserve">Nota metodológica: </t>
    </r>
    <r>
      <rPr>
        <sz val="8"/>
        <color theme="1"/>
        <rFont val="Arial"/>
        <family val="2"/>
      </rPr>
      <t xml:space="preserve">La población total de la generación 2012 asciende a 4744 egresados. Para efectos del presente estudio se obtuvo la información del Archivo General de Alumnos correspondiente al trimestre 2015-Invierno (AGA_2015I_9a_Sem). Para determinar el número de egresados (N) se utilizó la variable “último año de actividad académica” (ua_aa2). </t>
    </r>
    <r>
      <rPr>
        <b/>
        <sz val="8"/>
        <color theme="1"/>
        <rFont val="Arial"/>
        <family val="2"/>
      </rPr>
      <t xml:space="preserve">
</t>
    </r>
    <r>
      <rPr>
        <sz val="8"/>
        <color theme="1"/>
        <rFont val="Arial"/>
        <family val="2"/>
      </rPr>
      <t>De las cinco unidades universitarias, cuentan con la generación de estudio Azcapotzalco, Iztapalapa,  Xochimilco y Cuajimalpa; de ésta última las licenciaturas en Derecho y Biología Molecular no registraron egresados en 2012.</t>
    </r>
  </si>
  <si>
    <t xml:space="preserve">Fuente: </t>
  </si>
  <si>
    <t xml:space="preserve">Sistema de Información de Estudiantes, Egresados y Empleadores </t>
  </si>
  <si>
    <t>Estudio sobre la trayectoria profesional de los egresados de posgrado. Se apoya en una encuesta que debe ser aplicada a todos los egresados de los programas de posgrado, es decir, se trata de un censo.</t>
  </si>
  <si>
    <r>
      <rPr>
        <b/>
        <sz val="10"/>
        <color theme="1"/>
        <rFont val="Arial"/>
        <family val="2"/>
      </rPr>
      <t>Nota metodológica</t>
    </r>
    <r>
      <rPr>
        <sz val="10"/>
        <color theme="1"/>
        <rFont val="Arial"/>
        <family val="2"/>
      </rPr>
      <t>: El universo de estudio fue extraído del Archivo General de Alumnos (AGA) generado en la semana 4 del trimestre Otoño 2016 a partir de la variable: Último año de actividad académica (ua_aa2).</t>
    </r>
  </si>
  <si>
    <t>Número de egresados (N)</t>
  </si>
  <si>
    <t>Egresados encuestados (n)</t>
  </si>
  <si>
    <t>Porcentaje de respuesta (%)</t>
  </si>
  <si>
    <t>Clave Plan</t>
  </si>
  <si>
    <t xml:space="preserve">Nombre del Plan </t>
  </si>
  <si>
    <t>MAESTRÍA</t>
  </si>
  <si>
    <t>MAESTRÍA Y DOCTORADO EN INGENIERÍA ESTRUCTURAL</t>
  </si>
  <si>
    <t>POSGRADO EN INGENIERÍA DE PROCESOS</t>
  </si>
  <si>
    <t>POSGRADO EN OPTIMIZACIÓN</t>
  </si>
  <si>
    <t>POSGRADO EN CIENCIAS E INGENIERÍA (AMBIENTALES, DE MATERIALES)</t>
  </si>
  <si>
    <t>ESPECIALIZACIÓN</t>
  </si>
  <si>
    <t>ESPECIALIZACIÓN EN LITERATURA MEXICANA SIGLO XX</t>
  </si>
  <si>
    <t>ESPECIALIZACIÓN EN SOCIOLOGÍA DE LA EDUCACIÓN SUPERIOR</t>
  </si>
  <si>
    <t>MAESTRÍA EN PLANEACIÓN Y POLITÍCAS METROPOLITANAS</t>
  </si>
  <si>
    <t>MAESTRÍA EN ECONOMÍA (HISTORIA ECONÓMICA; EMPRESAS; FINANZAS E INNOVACIÓN)</t>
  </si>
  <si>
    <t>MAESTRÍA EN LITARATURA MEXICANA CONTEMPORANEA</t>
  </si>
  <si>
    <t>MAESTRÍA Y DOCTORADO EN SOCIOLOGÍA</t>
  </si>
  <si>
    <t>POSGRADO EN HISTORIOGRAFÍA</t>
  </si>
  <si>
    <t>ESPECIALIZACIÓN EN DISEÑO AMBIENTAL</t>
  </si>
  <si>
    <t>MAESTRÍA EN DESARROLLO DE PRODUCTOS</t>
  </si>
  <si>
    <t>ESPECIALIZACIÓN, MAESTRÍA Y DOCTORADO EN DISEÑO</t>
  </si>
  <si>
    <t>POSGRADO</t>
  </si>
  <si>
    <t>POSGRADO EN DISEÑO BIOCLIMÁTICO</t>
  </si>
  <si>
    <t>POSGRADO EN DISEÑO Y DESARROLLO DE PRODUCTOS</t>
  </si>
  <si>
    <t>POSGRADO EN DISEÑO Y ESTUDIOS URBANOS</t>
  </si>
  <si>
    <t>POSGRADO EN DISEÑO Y VISUALIZACIÓN DE LA INFORMACIÓN</t>
  </si>
  <si>
    <t>POSGRADO EN DISEÑO PARA LA REHABILITACIÓN Y CONSERVACIÓN DEL PATRIMONIO COSNTRUIDO</t>
  </si>
  <si>
    <t>POSGRADO EN DISEÑO, PLANIFICACIÓN Y CONSERVACIÓN DE PAISAJES Y JARDINES</t>
  </si>
  <si>
    <t>MAESTRÍA EN DISEÑO, INFORMACIÓN Y COMUNICACIÓN</t>
  </si>
  <si>
    <t>POSGRADO EN CIENCIAS NATURALES E INGENIERÍA</t>
  </si>
  <si>
    <t>POSGRADO EN INGENIERÍA EN QUÍMICA</t>
  </si>
  <si>
    <t>POSGRADO EN ENERGÍA Y MEDIO AMBIENTE</t>
  </si>
  <si>
    <t>MAESTRÍA EN HISTORÍA</t>
  </si>
  <si>
    <t>MAESTRÍA EN FILOSOFÍA DE LA CIENCIA</t>
  </si>
  <si>
    <t>DOCTORADO EN CIENCIAS ECONÓMICAS</t>
  </si>
  <si>
    <t>MAESTRÍA Y DOCTORADO EN ESTUDIOS ORGANIZACIONALES</t>
  </si>
  <si>
    <t>MAESTRÍA Y DOCTORADO EN HUMANIDADES</t>
  </si>
  <si>
    <t>MAESTRÍA Y DOCTORADO EN ESTUDIOS SOCIALES</t>
  </si>
  <si>
    <t>MAESTRÍA Y DOCTORADO EN CIENCIAS ECONÓMICAS</t>
  </si>
  <si>
    <t>ESPECIALIZACIÓN, MAESTRÍA Y DOCTORADO EN CIENCIAS ANTROPOLÓGICAS</t>
  </si>
  <si>
    <t>ESPECIALIZACIÓN EN BIOTECNOLOGÍA</t>
  </si>
  <si>
    <t>ESPECIALIZACIÓN EN ACUPUNTURA Y FITOTERAPÍA</t>
  </si>
  <si>
    <t>MAESTRÍA EN BIOLOGÍA DE LA REPRODUCCIÓN ANIMAL</t>
  </si>
  <si>
    <t xml:space="preserve">MAESTRÍA EN BIOLOGÍA  </t>
  </si>
  <si>
    <t>DOCTORADO EN CIENCIAS BIOLÓGICAS Y DE LA SALUD</t>
  </si>
  <si>
    <t>POSGRADO EN BIOLOGÍA EXPERIMENTAL</t>
  </si>
  <si>
    <t>68*</t>
  </si>
  <si>
    <t>MAESTRÍA EN DESARROLLO Y PLANEACIÓN DE LA EDUCACIÓN</t>
  </si>
  <si>
    <t>90*</t>
  </si>
  <si>
    <t>ESPECIALIZACIÓN Y MAESTRÍA EN ESTUDIOS DE LA MUJER</t>
  </si>
  <si>
    <t>MAESTRÍA EN PSICOLOGÍA SOCIAL DE GRUPOS E INSTITUCIONES</t>
  </si>
  <si>
    <t>MAESTRÍA EN POLÍTICAS PÚBLICAS</t>
  </si>
  <si>
    <t>MAESTRÍA EN RELACIONES INTERNACIONALES</t>
  </si>
  <si>
    <t>MAESTRÍA EN ESTUDIOS DE LA MUJER</t>
  </si>
  <si>
    <t>MAESTRÍA EN ECONOMÍA, GESTIÓN Y POLÍTICAS DE INNOVACIÓN</t>
  </si>
  <si>
    <t>DOCTORADO EN CIENCIAS SOCIALES</t>
  </si>
  <si>
    <t xml:space="preserve">ESPECIALIZACIÓN, MAESTRÍA Y DOCTORADO EN DESARROLLO RURAL </t>
  </si>
  <si>
    <t>ESPECIALIZACIÓN EN POBLACIÓN Y SALUD (ÁREA PLANIFICACIÓN FAMILIAR)</t>
  </si>
  <si>
    <t>MAESTRÍA EN CIENCIAS EN SALUD DE LOS TRABAJADORES</t>
  </si>
  <si>
    <t>MAESTRÍA EN POBLACIÓN Y SALUD (ÁREA DE PLANIFICACIÓN FAMILIAR)</t>
  </si>
  <si>
    <t>MAESTRÍA EN CIENCIAS FARMACÉUTICAS</t>
  </si>
  <si>
    <t>MAESTRÍA EN CIENCIAS AGROPECUARIAS</t>
  </si>
  <si>
    <t>MAESTRÍA EN ECOLOGÍA APLICADA</t>
  </si>
  <si>
    <t>MAESTRÍA EN PATOLOGÍA Y MEDICINA BUCAL</t>
  </si>
  <si>
    <t>DOCTORADO EN CIENCIAS EN SALUD COLECTIVA</t>
  </si>
  <si>
    <t>DOCTORADO EN CIENCIAS AGROPECUARIAS</t>
  </si>
  <si>
    <t>MAESTRÍA Y ESPECIALIZACIÓN EN MEDICINA SOCIAL</t>
  </si>
  <si>
    <t>MAESTRÍA EN CIENCIAS Y ARTES PARA EL DISEÑO</t>
  </si>
  <si>
    <t>MAESTRÍA EN DISEÑO Y PRODUCCIÓN EDITORIAL</t>
  </si>
  <si>
    <t>DOCTORADO EN CIENCIAS Y ARTES PARA EL DISEÑO</t>
  </si>
  <si>
    <t>MAESTRÍA EN ADMINISTRACIÓN DEL TRABAJO</t>
  </si>
  <si>
    <t>PLANES QUE YA NO ESTÁN EN OPERACIÓN</t>
  </si>
  <si>
    <r>
      <t>Número de artículos publicados</t>
    </r>
    <r>
      <rPr>
        <vertAlign val="superscript"/>
        <sz val="11"/>
        <color theme="1"/>
        <rFont val="Calibri"/>
        <family val="2"/>
        <scheme val="minor"/>
      </rPr>
      <t>[1]</t>
    </r>
  </si>
  <si>
    <t>[1] El número de artículos varía respecto a lo reportado en años anteriores sobre todo debido a que el número de revistas y libros incluidos en el sistema ISI Web of Science se va incrementando en el tiempo.</t>
  </si>
  <si>
    <t>2012-2016</t>
  </si>
  <si>
    <t>Citas a artículos publicados por personal académico de la UAM</t>
  </si>
  <si>
    <t>PRODUCCIÓN, CITAS E IMPACTO</t>
  </si>
  <si>
    <r>
      <t>Fuente</t>
    </r>
    <r>
      <rPr>
        <sz val="8"/>
        <color theme="1"/>
        <rFont val="Calibri"/>
        <family val="2"/>
        <scheme val="minor"/>
      </rPr>
      <t>: ISI Web of Science (</t>
    </r>
    <r>
      <rPr>
        <i/>
        <sz val="8"/>
        <color theme="1"/>
        <rFont val="Calibri"/>
        <family val="2"/>
        <scheme val="minor"/>
      </rPr>
      <t>https://webofknowledge.com/) consultado el día 20 de abril de 2017</t>
    </r>
  </si>
  <si>
    <r>
      <t xml:space="preserve">PRESUPUESTO AUTORIZADO TOTAL </t>
    </r>
    <r>
      <rPr>
        <b/>
        <sz val="11"/>
        <color rgb="FFFF0000"/>
        <rFont val="Calibri"/>
        <family val="2"/>
        <scheme val="minor"/>
      </rPr>
      <t>2015</t>
    </r>
  </si>
  <si>
    <r>
      <t xml:space="preserve">PRESUPUESTO AUTORIZADO TOTAL </t>
    </r>
    <r>
      <rPr>
        <b/>
        <sz val="11"/>
        <color rgb="FFFF0000"/>
        <rFont val="Calibri"/>
        <family val="2"/>
        <scheme val="minor"/>
      </rPr>
      <t>2014</t>
    </r>
  </si>
  <si>
    <r>
      <t xml:space="preserve">PRESUPUESTO AUTORIZADO TOTAL </t>
    </r>
    <r>
      <rPr>
        <b/>
        <sz val="11"/>
        <color rgb="FFFF0000"/>
        <rFont val="Calibri"/>
        <family val="2"/>
        <scheme val="minor"/>
      </rPr>
      <t>2013</t>
    </r>
  </si>
  <si>
    <r>
      <t>PRESUPUESTO AUTORIZADO TOTAL</t>
    </r>
    <r>
      <rPr>
        <b/>
        <sz val="11"/>
        <color rgb="FFFF0000"/>
        <rFont val="Calibri"/>
        <family val="2"/>
        <scheme val="minor"/>
      </rPr>
      <t xml:space="preserve"> 2012</t>
    </r>
  </si>
  <si>
    <r>
      <t xml:space="preserve">PRESUPUESTO AUTORIZADO TOTAL </t>
    </r>
    <r>
      <rPr>
        <b/>
        <sz val="11"/>
        <color rgb="FFFF0000"/>
        <rFont val="Calibri"/>
        <family val="2"/>
        <scheme val="minor"/>
      </rPr>
      <t>2011</t>
    </r>
  </si>
  <si>
    <r>
      <t xml:space="preserve">PRESUPUESTO AUTORIZADO TOTAL </t>
    </r>
    <r>
      <rPr>
        <b/>
        <sz val="11"/>
        <color rgb="FFFF0000"/>
        <rFont val="Calibri"/>
        <family val="2"/>
        <scheme val="minor"/>
      </rPr>
      <t xml:space="preserve">2010 </t>
    </r>
  </si>
  <si>
    <r>
      <t>PRESUPUESTO AUTORIZADO TOTAL</t>
    </r>
    <r>
      <rPr>
        <b/>
        <sz val="11"/>
        <color rgb="FFFF0000"/>
        <rFont val="Calibri"/>
        <family val="2"/>
        <scheme val="minor"/>
      </rPr>
      <t xml:space="preserve"> 2016</t>
    </r>
  </si>
  <si>
    <t>FINANCIAMIENTO EXTERNO A PROYECTOS DE INVESTIGACIÓN EN RELACIÓN AL PRESUPUESTO APROBADO</t>
  </si>
  <si>
    <r>
      <t>ocultar</t>
    </r>
    <r>
      <rPr>
        <b/>
        <sz val="11"/>
        <color rgb="FFFF0000"/>
        <rFont val="Calibri"/>
        <family val="2"/>
        <scheme val="minor"/>
      </rPr>
      <t xml:space="preserve"> </t>
    </r>
    <r>
      <rPr>
        <sz val="11"/>
        <color rgb="FFFF0000"/>
        <rFont val="Calibri"/>
        <family val="2"/>
        <scheme val="minor"/>
      </rPr>
      <t>no hubo respuesta del área</t>
    </r>
  </si>
  <si>
    <t>Lugar Latinoamerica 2014</t>
  </si>
  <si>
    <t>Tecnológico de Monterrey (ITESM)</t>
  </si>
  <si>
    <t>Lugar Latinoamerica 2012</t>
  </si>
  <si>
    <t>Lugar Latinoamerica 2013</t>
  </si>
  <si>
    <t>Fuente: http://www.topuniversities.com/university-rankings/latin-american-university-rankings/2012</t>
  </si>
  <si>
    <t xml:space="preserve"> Fuente: http://www.topuniversities.com/university-rankings/latin-american-university-rankings/2012</t>
  </si>
  <si>
    <t>Fuente: http://www.topuniversities.com/university-rankings/latin-american-university-rankings/2014#sorting=rank+region=+country=241+faculty=+stars=false+search=</t>
  </si>
  <si>
    <t>Fuente:http://www.topuniversities.com/university-rankings/latin-american-university-rankings/2016#sorting=rank+region=+country=+faculty=+stars=false+search=</t>
  </si>
  <si>
    <t>Fuente: http://www.topuniversities.com/university-rankings/latam-university-rankings/2015#sorting=rank+region=+country=241+faculty=+stars=false+search=</t>
  </si>
  <si>
    <t>Fuente: www.topuniversities.com/university-rankings/latin-american-university-rankings/2011</t>
  </si>
  <si>
    <t>Lugar Latinoamerica 2011</t>
  </si>
  <si>
    <t>Fuente: http://www.scimagoir.com</t>
  </si>
  <si>
    <t>QS Ranking Latin America 2010, Universidades Mexicanas</t>
  </si>
  <si>
    <t>Lugar Latinoamerica 2010</t>
  </si>
  <si>
    <t>Universidad Nacional Autónoma de Mexico (UNAM)</t>
  </si>
  <si>
    <t>http://www.topuniversities.com/university-rankings/world-university-rankings/2014#sorting=rank+region=213+country=241+faculty=+stars=false+search=</t>
  </si>
  <si>
    <t>551- 600</t>
  </si>
  <si>
    <t>601-651</t>
  </si>
  <si>
    <t>Instituto Tecnológico Autonomo de México (ITAM)</t>
  </si>
  <si>
    <t>601+</t>
  </si>
  <si>
    <t>Universidad Autónoma de Nuevo León(UANL)</t>
  </si>
  <si>
    <t>306=</t>
  </si>
  <si>
    <t>501- 550</t>
  </si>
  <si>
    <t>N/A</t>
  </si>
  <si>
    <t>http://www.topuniversities.com/university-rankings/world-university-rankings/2012</t>
  </si>
  <si>
    <t>http://www.topuniversities.com/university-rankings/world-university-rankings/2013#sorting=rank+region=213+country=241+faculty=+stars=false+search=</t>
  </si>
  <si>
    <t xml:space="preserve"> QS World University, Ranking Mundial 2016, Clasificación por país: México.</t>
  </si>
  <si>
    <t xml:space="preserve"> QS World University, Ranking Mundial 2015, Clasificación por país: México.</t>
  </si>
  <si>
    <t xml:space="preserve"> QS World University, Ranking Mundial 2014, Clasificación por país: México.</t>
  </si>
  <si>
    <t xml:space="preserve"> QS World University, Ranking Mundial 2013, Clasificación por país: México.</t>
  </si>
  <si>
    <t xml:space="preserve"> QS World University, Ranking Mundial 2012, Clasificación por país: México.</t>
  </si>
  <si>
    <t xml:space="preserve">Clasificación por país: México,  QS Ranking Latin America 2015, Universidades Mexicanas. </t>
  </si>
  <si>
    <t xml:space="preserve">Clasificación por país: México,  QS Ranking Latin America 2014, Universidades Mexicanas. </t>
  </si>
  <si>
    <t xml:space="preserve">Clasificación por país: México,  QS Ranking Latin America 2013, Universidades Mexicanas. </t>
  </si>
  <si>
    <t xml:space="preserve">Clasificación por país: México,  QS Ranking Latin America 2012, Universidades Mexicanas. </t>
  </si>
  <si>
    <t xml:space="preserve">Clasificación por país: México,  QS Ranking Latin America 2011, Universidades Mexicanas. </t>
  </si>
  <si>
    <t>Indicador omitido en modulo del 2016 por falta de información del área</t>
  </si>
  <si>
    <t>Ingeniería en Recursos Hídricos</t>
  </si>
  <si>
    <t>Ingeniería en Computación y Telecomunicaciones</t>
  </si>
  <si>
    <t>Psicología Biomédica</t>
  </si>
  <si>
    <t>Mtría en Derecho</t>
  </si>
  <si>
    <t>Posgrado Integral en Ciencias Administrativas</t>
  </si>
  <si>
    <t>Especialización en Diseño Ambiental</t>
  </si>
  <si>
    <t>Doctorado en ciencias</t>
  </si>
  <si>
    <t>Mtría y Doc en Psicología Social</t>
  </si>
  <si>
    <t>Maestría en Economía, Gestión y Políticas de Innovación</t>
  </si>
  <si>
    <t>Mtría. en Sociedades Sustentables</t>
  </si>
  <si>
    <t>Doc en Humanidades</t>
  </si>
  <si>
    <t>PLAN DE ESTUDIOS</t>
  </si>
  <si>
    <t>NIVEL PNPC</t>
  </si>
  <si>
    <t>OBSERVACIONES</t>
  </si>
  <si>
    <t>Ciencias Básicas e Ingeniería (CBI)</t>
  </si>
  <si>
    <t>Maestría en Optimización</t>
  </si>
  <si>
    <t>Maestría en Ingeniería de Procesos</t>
  </si>
  <si>
    <t>Doctorado en Optimización</t>
  </si>
  <si>
    <t>Doctorado en Ingeniería de Procesos</t>
  </si>
  <si>
    <t>Ciencias Sociales y Humanidades (CSH)</t>
  </si>
  <si>
    <t xml:space="preserve">Especialización en Historiografía </t>
  </si>
  <si>
    <t>Especialización en Literatura Mexicana del Siglo XX</t>
  </si>
  <si>
    <t>Maestría en Historiografía</t>
  </si>
  <si>
    <t>Maestría  en Sociología</t>
  </si>
  <si>
    <r>
      <t xml:space="preserve">Compartido: </t>
    </r>
    <r>
      <rPr>
        <sz val="11"/>
        <color rgb="FFCD032E"/>
        <rFont val="Calibri"/>
        <family val="2"/>
        <scheme val="minor"/>
      </rPr>
      <t>Azcapotzalco</t>
    </r>
    <r>
      <rPr>
        <sz val="11"/>
        <rFont val="Calibri"/>
        <family val="2"/>
        <scheme val="minor"/>
      </rPr>
      <t xml:space="preserve">, </t>
    </r>
    <r>
      <rPr>
        <sz val="11"/>
        <color rgb="FF57A519"/>
        <rFont val="Calibri"/>
        <family val="2"/>
        <scheme val="minor"/>
      </rPr>
      <t>Iztapalapa</t>
    </r>
    <r>
      <rPr>
        <sz val="11"/>
        <rFont val="Calibri"/>
        <family val="2"/>
        <scheme val="minor"/>
      </rPr>
      <t xml:space="preserve"> y </t>
    </r>
    <r>
      <rPr>
        <sz val="11"/>
        <color rgb="FF0072CE"/>
        <rFont val="Calibri"/>
        <family val="2"/>
        <scheme val="minor"/>
      </rPr>
      <t>Xochimilco</t>
    </r>
  </si>
  <si>
    <t>Maestría en Derecho</t>
  </si>
  <si>
    <t>Doctorado en Historiografía</t>
  </si>
  <si>
    <t>Ciencias y Artes para el Diseño (CAD)</t>
  </si>
  <si>
    <t>Ciencias de la Comunicación y Diseño (CCD)</t>
  </si>
  <si>
    <t>Ciencias Naturales e Ingeniería (CNI)</t>
  </si>
  <si>
    <t>Especialización en Ciencias Naturales e Ingeniería</t>
  </si>
  <si>
    <t>Maestría en Ciencias Naturales e Ingeniería</t>
  </si>
  <si>
    <t>Doctorado en Ciencias Naturales e Ingeniería</t>
  </si>
  <si>
    <t>Compartido con CBS</t>
  </si>
  <si>
    <t>Maestría en Ciencias (Física)</t>
  </si>
  <si>
    <t>Maestría en Ciencias (Matemáticas)</t>
  </si>
  <si>
    <t>Maestría en Ciencias (Ingeniería Química)</t>
  </si>
  <si>
    <t>Maestría en Ciencias (Ingeniería Biomédica)</t>
  </si>
  <si>
    <t>Maestría en Ciencias (Química)</t>
  </si>
  <si>
    <t>Maestría en Energía y Medio Ambiente</t>
  </si>
  <si>
    <t>Doctorado en Ciencias (Física)</t>
  </si>
  <si>
    <t>Doctorado en Ciencias (Matemáticas)</t>
  </si>
  <si>
    <t>Doctorado en Ciencias (Ingeniería Química)</t>
  </si>
  <si>
    <t>Doctorado en Ciencias (Ingeniería Biomédica)</t>
  </si>
  <si>
    <t>Doctorado en Ciencias (Química)</t>
  </si>
  <si>
    <t>Doctorado en Energía y Medio Ambiente</t>
  </si>
  <si>
    <t>Ciencias Biológicas y de la Salud (CBS)</t>
  </si>
  <si>
    <t>Compartido con CBI</t>
  </si>
  <si>
    <t>Maestría en Biología Experimental</t>
  </si>
  <si>
    <t>Doctorado en Biología Experimental</t>
  </si>
  <si>
    <t xml:space="preserve">Especialización en Desarrollo Rural </t>
  </si>
  <si>
    <t xml:space="preserve">Maestría en Comunicación y Política </t>
  </si>
  <si>
    <t>Competencia Internacional</t>
  </si>
  <si>
    <t xml:space="preserve">Maestría en Desarrollo Rural </t>
  </si>
  <si>
    <t>Maestría en Relaciones Internacionales</t>
  </si>
  <si>
    <t>Maestría en Sociedades Sustentables</t>
  </si>
  <si>
    <t>Especialización en Población y Salud</t>
  </si>
  <si>
    <t>Maestría en Patología y Medicina Bucal</t>
  </si>
  <si>
    <t>Maestría en Ciencias en Salud de los trabajadores</t>
  </si>
  <si>
    <t>Maestría en Reutilización del Patrimonio Edificado</t>
  </si>
  <si>
    <t>Maestría en Diseño y Producción Editorial</t>
  </si>
  <si>
    <t>CBS y CNI</t>
  </si>
  <si>
    <t>VIGENCIA</t>
  </si>
  <si>
    <t xml:space="preserve">Ingeniería Ambiental </t>
  </si>
  <si>
    <t>CACEI</t>
  </si>
  <si>
    <t xml:space="preserve">Ingeniería Civil </t>
  </si>
  <si>
    <t xml:space="preserve">Ingeniería Eléctrica </t>
  </si>
  <si>
    <t xml:space="preserve">Ingeniería Física </t>
  </si>
  <si>
    <t xml:space="preserve">Ingeniería Industrial </t>
  </si>
  <si>
    <t xml:space="preserve">Ingeniería Mecánica </t>
  </si>
  <si>
    <t xml:space="preserve">Ingeniería Metalúrgica </t>
  </si>
  <si>
    <t xml:space="preserve">Ingeniería Química </t>
  </si>
  <si>
    <t xml:space="preserve">Ingeniería Electrónica </t>
  </si>
  <si>
    <t>CIEES</t>
  </si>
  <si>
    <t>ACCECISO</t>
  </si>
  <si>
    <t>ANPADEH</t>
  </si>
  <si>
    <t>COMAPROD</t>
  </si>
  <si>
    <t xml:space="preserve">CACEI: Consejo de Acreditación de la Enseñanza de la Ingeniería, A.C. </t>
  </si>
  <si>
    <t xml:space="preserve">ACCECISO: Asociación para la Acreditación y Certificación en Ciencias Sociales, A.C. </t>
  </si>
  <si>
    <t>ANPADEH: Acreditadora Nacional de Programas de Arquitectura y Disciplinas del Espacio Habitable, A. C.</t>
  </si>
  <si>
    <t>COMAPROD: Consejo Mexicano para la Acreditación de Programas de Diseño, A. C.</t>
  </si>
  <si>
    <t xml:space="preserve">Administración </t>
  </si>
  <si>
    <t xml:space="preserve">Estudios Socioterritoriales </t>
  </si>
  <si>
    <t xml:space="preserve">Tecnologías y Sistemas de Información </t>
  </si>
  <si>
    <t xml:space="preserve">Ingeniería en Computación </t>
  </si>
  <si>
    <t>CONAIC</t>
  </si>
  <si>
    <t xml:space="preserve">Ingeniería Biológica </t>
  </si>
  <si>
    <t>CACEB</t>
  </si>
  <si>
    <t>10 febrero,2022</t>
  </si>
  <si>
    <t>CACEB: Comité de Acreditación y Certificación de la Licenciatura en Biología, A.C.</t>
  </si>
  <si>
    <t xml:space="preserve">Ingeniería Biomédica </t>
  </si>
  <si>
    <t xml:space="preserve">Ingeniería Hidrológica </t>
  </si>
  <si>
    <t> CONAECQ</t>
  </si>
  <si>
    <t xml:space="preserve">Matemáticas  </t>
  </si>
  <si>
    <t>Ciencias Sociales y Humanidades CSH)</t>
  </si>
  <si>
    <t xml:space="preserve">Lingüística </t>
  </si>
  <si>
    <t xml:space="preserve">Geografía Humana </t>
  </si>
  <si>
    <t xml:space="preserve">Biología Experimental </t>
  </si>
  <si>
    <t xml:space="preserve">CONAIC: Consejo Nacional de Acreditación en Informática y Computación, A.C. </t>
  </si>
  <si>
    <t xml:space="preserve">Ingeniería en Recursos Hidrícos </t>
  </si>
  <si>
    <t xml:space="preserve">Políticas Públicas </t>
  </si>
  <si>
    <r>
      <rPr>
        <b/>
        <sz val="8"/>
        <rFont val="Calibri"/>
        <family val="2"/>
      </rPr>
      <t>FUENTE:</t>
    </r>
    <r>
      <rPr>
        <sz val="8"/>
        <rFont val="Calibri"/>
        <family val="2"/>
      </rPr>
      <t xml:space="preserve"> Colegio Académico</t>
    </r>
  </si>
  <si>
    <t xml:space="preserve">Psicología </t>
  </si>
  <si>
    <t>COMACE</t>
  </si>
  <si>
    <t>Estomatología (Odontología)</t>
  </si>
  <si>
    <t>Química Farmaceútica Biológica</t>
  </si>
  <si>
    <t>COMAEF</t>
  </si>
  <si>
    <t>Medicina (Médico Cirujano)</t>
  </si>
  <si>
    <t>COMAEM</t>
  </si>
  <si>
    <t>CONCAPREN</t>
  </si>
  <si>
    <t xml:space="preserve">Planeación Territorial </t>
  </si>
  <si>
    <t xml:space="preserve">COMACE: Consejo Mexicano para la  Acreditación y Certificación de la Enfermería, A.C. </t>
  </si>
  <si>
    <t xml:space="preserve">COMAEM: Consejo Mexicano para la Acreditación de la Educación Médica, A.C. </t>
  </si>
  <si>
    <t>CONCAPREN: Consejo Nacional para la Calidad de Programas Educativos en Nutriología, A.C.</t>
  </si>
  <si>
    <t xml:space="preserve">ANPADEH: Acreditadora Nacional de Programas de Arquitectura y Disciplinas del Espacio Habitable, A. C. </t>
  </si>
  <si>
    <t xml:space="preserve">COMAEF: Consejo Mexicano para la Acreditación de la Educación Farmacéutica </t>
  </si>
  <si>
    <t>FUENTE: Base de Datos de Nómina, Quincena 20 de 2016. Incluye Mandos Medios Académicos, Mandos Medios Administrativos con Base Académica y Funcionarios Académicos.</t>
  </si>
  <si>
    <t>FUENTE: Base de Datos de Nómina, Quincena 20 de 2017. Incluye Mandos Medios Académicos, Mandos Medios Administrativos con Base Académica y Funcionarios Académicos.</t>
  </si>
  <si>
    <t>S N I - 2017</t>
  </si>
  <si>
    <t>17-P</t>
  </si>
  <si>
    <t>Lic. en Psicología Biomédica</t>
  </si>
  <si>
    <t>Lic. en Computación y Telecomunicaciones</t>
  </si>
  <si>
    <t>18-P</t>
  </si>
  <si>
    <t>no indica</t>
  </si>
  <si>
    <t xml:space="preserve">Maestría en Ciencias e Ingeniería Electrómagnética </t>
  </si>
  <si>
    <t>18-O</t>
  </si>
  <si>
    <t>En AGA aparece un nuevo Posgrado en Ciencias e Ingeniería ( Ambientales, Materiales) con clave 180 y los marcados en verde tienen otra clave que es la 105.</t>
  </si>
  <si>
    <t xml:space="preserve">Maestría en Derecho </t>
  </si>
  <si>
    <t xml:space="preserve">Diseño, Planificación y Conservación de Paisajes y Jardines (Doctorado) </t>
  </si>
  <si>
    <t>Diseño y Desarrollo de Productos (Doctorado)</t>
  </si>
  <si>
    <t xml:space="preserve">Maestría en Psicología Social </t>
  </si>
  <si>
    <t>Doctorado en Psicología Social</t>
  </si>
  <si>
    <t xml:space="preserve">Doctorado en  Estudios Organizacionales </t>
  </si>
  <si>
    <t>Doctorado en Estudios Feministas</t>
  </si>
  <si>
    <t>18-I</t>
  </si>
  <si>
    <t>A 429</t>
  </si>
  <si>
    <t>C419.10</t>
  </si>
  <si>
    <t>Maestría en Ciencias Odontológicas</t>
  </si>
  <si>
    <t>C 432.9</t>
  </si>
  <si>
    <t>A 420</t>
  </si>
  <si>
    <t>A 423</t>
  </si>
  <si>
    <t>Posgrado Integral en Ciencias Administrativas (Maestría)</t>
  </si>
  <si>
    <t>Posgrado Integral en Ciencias Administrativas (Doctorado)</t>
  </si>
  <si>
    <t>A 412.7</t>
  </si>
  <si>
    <t>A 419</t>
  </si>
  <si>
    <t>C 432.8</t>
  </si>
  <si>
    <t>A 411</t>
  </si>
  <si>
    <t>A 432</t>
  </si>
  <si>
    <t>A 412</t>
  </si>
  <si>
    <t>C 419.9</t>
  </si>
  <si>
    <t>C412.8</t>
  </si>
  <si>
    <t xml:space="preserve">Clasificación por país: México,  QS Ranking Latin America 2018, Universidades Mexicanas. </t>
  </si>
  <si>
    <t>801-1000</t>
  </si>
  <si>
    <t>QS Ranking Mundial 2018, Clasificación por país: México.</t>
  </si>
  <si>
    <t>751-800</t>
  </si>
  <si>
    <t>EMPLEO DE LOS EGRESADOS Y TASA DE RESPUESTA POR UNIDAD</t>
  </si>
  <si>
    <t>¿Trabaja actualmente? (%)</t>
  </si>
  <si>
    <t>¿En qué medida coincide su actividad laboral con los estudios de licenciatura? (%)</t>
  </si>
  <si>
    <t>% de respuesta</t>
  </si>
  <si>
    <t>Ciencias Básica e Ingeniería</t>
  </si>
  <si>
    <t>Ciencias Sociales y Humanidades</t>
  </si>
  <si>
    <t>Ciencias y Artes para el Diseño</t>
  </si>
  <si>
    <t>Ciencias Biológicas y de la Salud</t>
  </si>
  <si>
    <t>Ciencias de la Comunicación y Diseño</t>
  </si>
  <si>
    <t>Ciencias Naturales e Ingeniería</t>
  </si>
  <si>
    <t>Ciencias Básicas e Ingeniería</t>
  </si>
  <si>
    <t>Ingeniería en Recursos Hidricos</t>
  </si>
  <si>
    <t>El universo de estudio corresponde a los egresados de licenciatura en el año 2012 (Unidad Azcapotzalco, Cujimalpa, Iztapalapa y Xochimilco) y de egresados en 2015 y en 2016 de la Unidad Lerma; que tienen una inserción reciente al mercado laboral, util para valorar el impacto inmediato de la formación profesional recibida en la institución. Se realizó un muestreo aleatorio proporcional por estratos. Para las licenciaturas menores a 30 registros se tomó el total de egresados con la finalidad de contar con una representatividad confiable.</t>
  </si>
  <si>
    <t>La información se obtuvo a partir de los Estudios sobre la Trayectoria Profesional de los Egresados de Posgrado, el cual se apoya en una encuesta que debe ser aplicada a todos los egresados de los programas de posgrado, es decir, se trata de un censo. El método de aplicación de la encuesta se realizó por vía telefónica y correo electrónico.</t>
  </si>
  <si>
    <t>Fecha de corte de la base de datos: 04 de enero del 2018</t>
  </si>
  <si>
    <t>A continuación se presenta el porcentaje de respuesta por Unidad:</t>
  </si>
  <si>
    <t>¿Tiene empleo actualmente? (%)</t>
  </si>
  <si>
    <t>Mediana</t>
  </si>
  <si>
    <t>Plan</t>
  </si>
  <si>
    <t>Especialización, Maestría y Doctorado en Ciencias e Ingeniería</t>
  </si>
  <si>
    <t xml:space="preserve">Posgrado en Historiografía </t>
  </si>
  <si>
    <t xml:space="preserve">Maestría y Doctorado en Ciencias Económicas </t>
  </si>
  <si>
    <t>Especialización en Diseño</t>
  </si>
  <si>
    <t>Maestría en Diseño</t>
  </si>
  <si>
    <t>Doctorado en Diseño</t>
  </si>
  <si>
    <t>Maestría en Física</t>
  </si>
  <si>
    <t>Maestría en Química</t>
  </si>
  <si>
    <t>Maestría en Matemáticas</t>
  </si>
  <si>
    <t>Maestría en Ingeniería Química</t>
  </si>
  <si>
    <t>Maestría en Ingeniería Biomédica</t>
  </si>
  <si>
    <t xml:space="preserve">Posgrado en Matemáticas </t>
  </si>
  <si>
    <t xml:space="preserve">Posgrado en Química </t>
  </si>
  <si>
    <t xml:space="preserve">Posgrado en Ingeniería Química </t>
  </si>
  <si>
    <t xml:space="preserve">Posgrado en Ingeniería Biomédica </t>
  </si>
  <si>
    <t xml:space="preserve">Posgrado en Ciencias y Tecnologías de la Información </t>
  </si>
  <si>
    <t>Doctorado en Ciencias</t>
  </si>
  <si>
    <t xml:space="preserve">Especialización, Maestría y Doctorado en Ciencias Antropológicas </t>
  </si>
  <si>
    <t>Maestría en Historia</t>
  </si>
  <si>
    <t>Maestría en Sociología del Trabajo</t>
  </si>
  <si>
    <t xml:space="preserve">Especialización, Maestría y Doctorado en Ciencias Antropológicas  </t>
  </si>
  <si>
    <t xml:space="preserve">Maestría y Doctorado en Estudios Organizacionales </t>
  </si>
  <si>
    <t xml:space="preserve">Maestría y Doctorado en Humanidades </t>
  </si>
  <si>
    <t xml:space="preserve">Maestría y Doctorado en Estudios Sociales </t>
  </si>
  <si>
    <t xml:space="preserve">Maestría y Doctorado en Ciencias Económicas  </t>
  </si>
  <si>
    <t>Especialización, Maestría y Doctorado en Ciencias Antropológicas</t>
  </si>
  <si>
    <t>Maestría y Doctorado en Estudios Organizacionales</t>
  </si>
  <si>
    <t>Maestría y Doctorado en Humanidades</t>
  </si>
  <si>
    <t>Maestría y Doctorado en Estudios Sociales</t>
  </si>
  <si>
    <t xml:space="preserve">Maestría y Doctorado en Ciencias Económicas    </t>
  </si>
  <si>
    <t>Maestría en Biología de la Repreducción Animal</t>
  </si>
  <si>
    <t>Maestría en Investigación en Salud Pública</t>
  </si>
  <si>
    <t xml:space="preserve">Posgrado en Biotecnología </t>
  </si>
  <si>
    <t xml:space="preserve">Posgrado en Biología Experimental </t>
  </si>
  <si>
    <t xml:space="preserve">Especialización y Maestría en Estudios de la Mujer </t>
  </si>
  <si>
    <t xml:space="preserve">Especialización, Maestría y Doctorado en Desarrollo Rural </t>
  </si>
  <si>
    <t>Maestría en Derecho Económico</t>
  </si>
  <si>
    <t>Maestría en Economía y Gestión del Cambio Tecnológico</t>
  </si>
  <si>
    <t>Especialización y Maestría en Estudios de la Mujer</t>
  </si>
  <si>
    <t>Maestría en Administración del Trabajo</t>
  </si>
  <si>
    <t xml:space="preserve">Maestría y Doctorado en Ciencias Económicas      </t>
  </si>
  <si>
    <t xml:space="preserve">Especialización, Maestría y Doctorado en Desarrollo Rural   </t>
  </si>
  <si>
    <t>Maestría y Doctorado en Ciencias Económicas</t>
  </si>
  <si>
    <t>Especialización, Maestría y Doctorado en Desarrollo Rural</t>
  </si>
  <si>
    <t xml:space="preserve">Maestría y Especialización en Medicina Bucal </t>
  </si>
  <si>
    <t>Curso de Especialización en Patología y Medicina Bucal</t>
  </si>
  <si>
    <t>Especialización y Maestría en Patología y Medicina Bucal</t>
  </si>
  <si>
    <t>Maestría y Especialización en Medicina Bucal</t>
  </si>
  <si>
    <t xml:space="preserve">Posgrado en Ciencias Sociales y Humanidades </t>
  </si>
  <si>
    <t xml:space="preserve">Posgrado en Ciencias Naturales e Ingeniería  </t>
  </si>
  <si>
    <t xml:space="preserve">Basquetbol Tercias                              </t>
  </si>
  <si>
    <t xml:space="preserve">Carreras o Caminatas </t>
  </si>
  <si>
    <t>Desfile cívico</t>
  </si>
  <si>
    <t xml:space="preserve">   Torneos Representativos de Unidad</t>
  </si>
  <si>
    <t>Actividades Diversas</t>
  </si>
  <si>
    <t>Gimnasio Urbano</t>
  </si>
  <si>
    <t>Préstamo de instalaciones deportivas</t>
  </si>
  <si>
    <t xml:space="preserve">Tochito bandera </t>
  </si>
  <si>
    <t>Ultimate</t>
  </si>
  <si>
    <t>Voleibol Playa</t>
  </si>
  <si>
    <t>No. de beneficiarios</t>
  </si>
  <si>
    <t xml:space="preserve"> Septiembre a Diciembre</t>
  </si>
  <si>
    <t>Septiembre a Diciembre</t>
  </si>
  <si>
    <r>
      <t xml:space="preserve">Nivel 1:  Al interior de las Unidades Académicas </t>
    </r>
    <r>
      <rPr>
        <b/>
        <sz val="12"/>
        <color rgb="FFFF0000"/>
        <rFont val="Calibri"/>
        <family val="2"/>
        <scheme val="minor"/>
      </rPr>
      <t>2017</t>
    </r>
  </si>
  <si>
    <r>
      <t>Nivel 2: Entre las Unidades académicas</t>
    </r>
    <r>
      <rPr>
        <b/>
        <sz val="12"/>
        <color rgb="FFFF0000"/>
        <rFont val="Calibri"/>
        <family val="2"/>
        <scheme val="minor"/>
      </rPr>
      <t xml:space="preserve"> 2017</t>
    </r>
  </si>
  <si>
    <t>Ediciones del Lirio</t>
  </si>
  <si>
    <t>UNAM</t>
  </si>
  <si>
    <t>Juan Pablos Editor</t>
  </si>
  <si>
    <t xml:space="preserve"> 13P-17I</t>
  </si>
  <si>
    <t>13O-17P</t>
  </si>
  <si>
    <t>EFICIENCIA TERMINAL SEGÚN EL TIEMPO MÁXIMO ESTABLECIDO EN LA NORMATIVIDAD VIGENTE (Entre 4 y 10 años)</t>
  </si>
  <si>
    <t>Eficiencia terminal 2007 - 2013</t>
  </si>
  <si>
    <t>Fuente: AGA Lic 2018-I 1a. Sem</t>
  </si>
  <si>
    <t>2007-2013</t>
  </si>
  <si>
    <t>Trimestres Promedio P/Egresar</t>
  </si>
  <si>
    <t>Núm Casos</t>
  </si>
  <si>
    <t>NÚMERO DE TRIMESTRES REALMENTE CURSADOS PARA ACREDITA EL PLAN DE ESTUDIOS 2017</t>
  </si>
  <si>
    <t>Egreso 2017</t>
  </si>
  <si>
    <r>
      <t xml:space="preserve">Manual de Puestos Administrativos de Base </t>
    </r>
    <r>
      <rPr>
        <i/>
        <sz val="9"/>
        <rFont val="Calibri"/>
        <family val="2"/>
        <scheme val="minor"/>
      </rPr>
      <t>(se agrego el rubro a partir de mayo del 2017)</t>
    </r>
  </si>
  <si>
    <r>
      <t>PRESUPUESTO AUTORIZADO TOTAL</t>
    </r>
    <r>
      <rPr>
        <b/>
        <sz val="11"/>
        <color rgb="FFFF0000"/>
        <rFont val="Calibri"/>
        <family val="2"/>
        <scheme val="minor"/>
      </rPr>
      <t xml:space="preserve"> 2017</t>
    </r>
  </si>
  <si>
    <t>AGA Posg 2018-I 1a Sem</t>
  </si>
  <si>
    <t>Criterio: aing_n = 2016 &amp; niv = 1 &amp; edo ~= 13</t>
  </si>
  <si>
    <t>(4 trimestre máximo para acreditar plan de estudios)</t>
  </si>
  <si>
    <t>Cubrió Requisitos para Cambiar de Nivel</t>
  </si>
  <si>
    <t>Esp en Física Médica Clínica (*)</t>
  </si>
  <si>
    <t>(*) Planes de dos años, el ingreso debe ser un año antes; para Acupuntura y Fitoterapia no hubo nuevo ingreso en 2015 y Física Médica Clínica todavía no cumple dos años la primera generación</t>
  </si>
  <si>
    <t>EFICIENCIA TERMINAL DE ALUMNOS DE MAESTRÏA QUE INGRESARON EN 2015</t>
  </si>
  <si>
    <t>Criterio: aing_n = 2015 &amp; pla &lt; 500 &amp; niv = 2 &amp; edo ~= 13</t>
  </si>
  <si>
    <t>(Máximimo 8 trimestres para acreditar el plan de estudios)</t>
  </si>
  <si>
    <t>Posgrado en Ciencias e Ingeniería (Ambientales, de Materiales)</t>
  </si>
  <si>
    <t>Posgrado en Diseño para la Rehabilitación, Recuparación y Conservación del Patrimonio Construido</t>
  </si>
  <si>
    <t>Mtría en Medicina Social</t>
  </si>
  <si>
    <t>EFICIENCIA TERMINAL DE ALUMNOS DE DOCTORADO QUE INGRESARON EN 2013</t>
  </si>
  <si>
    <t>Criterio: aing_n = 2013 &amp; pla &lt; 500 &amp; niv = 3 &amp; edo ~= 13</t>
  </si>
  <si>
    <t>(Máximimo 14 trimestres para acreditar el plan de estudios)</t>
  </si>
  <si>
    <t>AGA Posg 2018-I 1a. Sem</t>
  </si>
  <si>
    <t>Criterio: ua_aa2 = 2017 &amp; (edo = 6 | edo = 12 | edo = 15) &amp; niv = 1</t>
  </si>
  <si>
    <t>NTRC Prom</t>
  </si>
  <si>
    <t>En el cálculo no se considera Esp en Acupuntura y Fitoterapia por ser plan de 2 años. Esto para que no afecte el promedio de División, Unidad y UAM</t>
  </si>
  <si>
    <r>
      <t xml:space="preserve">PROMEDIO DE TRIMESTRES REALMENTE CURSADOS PARA APROBAR EL PLAN DE ESTUDIOS DE ESPECIALIDAD </t>
    </r>
    <r>
      <rPr>
        <b/>
        <sz val="11"/>
        <color rgb="FFFF0000"/>
        <rFont val="Calibri"/>
        <family val="2"/>
        <scheme val="minor"/>
      </rPr>
      <t>2017</t>
    </r>
  </si>
  <si>
    <t>Criterio: ua_aa2 = 2017 &amp; (edo = 6 | edo = 12 | edo = 16) &amp; niv = 2</t>
  </si>
  <si>
    <r>
      <t>PROMEDIO DE TRIMESTRES REALMENTE CURSADOS PARA APROBAR EL PLAN DE ESTUDIOS DE MAESTRÍA</t>
    </r>
    <r>
      <rPr>
        <b/>
        <sz val="11"/>
        <color rgb="FFFF0000"/>
        <rFont val="Calibri"/>
        <family val="2"/>
        <scheme val="minor"/>
      </rPr>
      <t xml:space="preserve"> 2017</t>
    </r>
  </si>
  <si>
    <r>
      <t>TIEMPO  PROMEDIO EXCEDENTE PARA CONCLUIR ESTUDIOS DE POSGRADO ALUMNOS QUE CONCLUYERON EN 2011 EL</t>
    </r>
    <r>
      <rPr>
        <b/>
        <sz val="11"/>
        <color rgb="FFFF0000"/>
        <rFont val="Calibri"/>
        <family val="2"/>
        <scheme val="minor"/>
      </rPr>
      <t xml:space="preserve"> NIVEL DE MAESTRÍA</t>
    </r>
  </si>
  <si>
    <t xml:space="preserve"> TRIMESTRES CURSADOS PROMEDIO UTILIZADOS PARA ACREDITA PLAN DE ESTUDIOS MAESTRÍA 2012</t>
  </si>
  <si>
    <t>TRIMESTRES REALMENTE CURSADOS PARA ACREDITAR PLAN DE ESTUDIOS EN 2013 POSGRADO NIVEL MAESTRÍA</t>
  </si>
  <si>
    <t>Criterio: ua_aa2 = 2017 &amp; (edo = 6 | edo = 12 | edo = 16) &amp; niv = 3</t>
  </si>
  <si>
    <r>
      <t xml:space="preserve">PROMEDIO DE TRIMESTRES REALMENTE CURSADOS PARA APROBAR EL PLAN DE ESTUDIOS DE DOCTORADO </t>
    </r>
    <r>
      <rPr>
        <b/>
        <sz val="11"/>
        <color rgb="FFFF0000"/>
        <rFont val="Calibri"/>
        <family val="2"/>
        <scheme val="minor"/>
      </rPr>
      <t>2017</t>
    </r>
  </si>
  <si>
    <t>Datos del año anterior</t>
  </si>
  <si>
    <t>Presupuesto ejercido 2017</t>
  </si>
  <si>
    <t>Total de presupuesto ejercido 2017 de otros gastos de operación, mantenimiento e inversión</t>
  </si>
  <si>
    <r>
      <t xml:space="preserve">Información de artículos publicados y citados del personal académico de la UAM </t>
    </r>
    <r>
      <rPr>
        <b/>
        <vertAlign val="superscript"/>
        <sz val="12"/>
        <rFont val="Calibri"/>
        <family val="2"/>
        <scheme val="minor"/>
      </rPr>
      <t>[1]</t>
    </r>
  </si>
  <si>
    <t>2013-2017</t>
  </si>
  <si>
    <r>
      <t>Número de artículos publicados</t>
    </r>
    <r>
      <rPr>
        <vertAlign val="superscript"/>
        <sz val="11"/>
        <rFont val="Calibri"/>
        <family val="2"/>
        <scheme val="minor"/>
      </rPr>
      <t xml:space="preserve"> [2]</t>
    </r>
  </si>
  <si>
    <t>[1] Se refiere únicamente a artículos en revistas o capítulos de libros indizados por el sistema ISI Web of Science.</t>
  </si>
  <si>
    <t xml:space="preserve">[2] El número de artículos varía respecto a lo reportado en años anteriores sobre todo debido a que el número de revistas y libros incluidos en el sistema ISI Web of Science se va incrementando en el tiempo. </t>
  </si>
  <si>
    <t>Número artículos distintos donde se cita artículos publicados por personal académico de la UAM</t>
  </si>
  <si>
    <r>
      <t xml:space="preserve">citas a artículos publicados por personal académico de la UAM excluyendo autocitas </t>
    </r>
    <r>
      <rPr>
        <vertAlign val="superscript"/>
        <sz val="11"/>
        <rFont val="Calibri"/>
        <family val="2"/>
        <scheme val="minor"/>
      </rPr>
      <t>[3]</t>
    </r>
  </si>
  <si>
    <t>[3] Las autocitas son aquellas citas que realiza un autor a otros artículos publicados por él mismo</t>
  </si>
  <si>
    <r>
      <t>Fuente</t>
    </r>
    <r>
      <rPr>
        <sz val="11"/>
        <color theme="1"/>
        <rFont val="Calibri"/>
        <family val="2"/>
        <scheme val="minor"/>
      </rPr>
      <t>: ISI Web of Science (</t>
    </r>
    <r>
      <rPr>
        <i/>
        <sz val="11"/>
        <color theme="1"/>
        <rFont val="Calibri"/>
        <family val="2"/>
        <scheme val="minor"/>
      </rPr>
      <t>https://webofknowledge.com/) consultado el día 5 de enero de 2018</t>
    </r>
  </si>
  <si>
    <t>FUENTE: Bases de Nómina correspondientes a las quincenas 20 del año correspondiente</t>
  </si>
  <si>
    <t>Adaptaciones</t>
  </si>
  <si>
    <t xml:space="preserve">(*) Planes de dos años, el ingreso debe ser un año antes; para Acupuntura y Fitoterapia no hubo nuevo ingreso en 2015 y Física Médica Clínica todavía no cumple dos años la primera generación
</t>
  </si>
  <si>
    <t>(*) En el cálculo no se considera Esp en Acupuntura y Fitoterapia por ser plan de 2 años. Esto para que no afecte el promedio de División, Unidad y UAM</t>
  </si>
  <si>
    <t>Total de presupuesto  ajustado 2017 de otros gastos de operación, mantenimiento e inversión</t>
  </si>
  <si>
    <t>INPC (2010=100)</t>
  </si>
  <si>
    <t>Monto del subsidio federal a precios constantes de 2010</t>
  </si>
  <si>
    <t>Universiad Autónoma de Querétaro</t>
  </si>
  <si>
    <t>Universidad de las América de Puebla</t>
  </si>
  <si>
    <t>ENERO DE 2018</t>
  </si>
  <si>
    <t>* No considera el Fondo de Obras.</t>
  </si>
  <si>
    <t>No se cuenta</t>
  </si>
  <si>
    <t>PLANES DE ESTUDIO</t>
  </si>
  <si>
    <t xml:space="preserve">Ingeniería en Sistemas Mecatrónicos Industriales </t>
  </si>
  <si>
    <t>Educación y Tecnologías Digitales</t>
  </si>
  <si>
    <t>Ingeniería en Ciencia y Tecnología de Alimentos</t>
  </si>
  <si>
    <t>Maestría en Ciencias en Ing. Electromagnética</t>
  </si>
  <si>
    <t>Mtría en Ciencias Odontológicas</t>
  </si>
  <si>
    <t>DoC.</t>
  </si>
  <si>
    <t>S N I - 2018</t>
  </si>
  <si>
    <t>Unidad / División</t>
  </si>
  <si>
    <t>FUENTE: Base de Datos de Nómina, Quincena 18 de 2018.</t>
  </si>
  <si>
    <t>Total de presupuesto ejercido 2018 de otros gastos de operación, mantenimiento e inversión</t>
  </si>
  <si>
    <t>Presupuesto ejercido 2018</t>
  </si>
  <si>
    <r>
      <t>PRESUPUESTO AUTORIZADO TOTAL</t>
    </r>
    <r>
      <rPr>
        <b/>
        <sz val="11"/>
        <color rgb="FFFF0000"/>
        <rFont val="Calibri"/>
        <family val="2"/>
        <scheme val="minor"/>
      </rPr>
      <t xml:space="preserve"> 2018</t>
    </r>
  </si>
  <si>
    <t>División / Unidad</t>
  </si>
  <si>
    <t>No acreditados</t>
  </si>
  <si>
    <t>Evaluables</t>
  </si>
  <si>
    <t>No evaluables</t>
  </si>
  <si>
    <t>ORGANISMO ACREDITADOR</t>
  </si>
  <si>
    <t>Prorroga</t>
  </si>
  <si>
    <t>CACECA</t>
  </si>
  <si>
    <r>
      <rPr>
        <b/>
        <sz val="8"/>
        <rFont val="Calibri"/>
        <family val="2"/>
        <scheme val="minor"/>
      </rPr>
      <t>FUENTE:</t>
    </r>
    <r>
      <rPr>
        <sz val="8"/>
        <rFont val="Calibri"/>
        <family val="2"/>
        <scheme val="minor"/>
      </rPr>
      <t xml:space="preserve"> Consejo para la Acreditación de la Educación Superior (COPAES)</t>
    </r>
  </si>
  <si>
    <t>6 diciembre,2022</t>
  </si>
  <si>
    <t>CAPEM</t>
  </si>
  <si>
    <t>CONAECQ</t>
  </si>
  <si>
    <t>Ciencias Biológicas y de la Salud
(CBS)</t>
  </si>
  <si>
    <r>
      <t xml:space="preserve">CONAECQ: </t>
    </r>
    <r>
      <rPr>
        <sz val="8"/>
        <color theme="1"/>
        <rFont val="Calibri"/>
        <family val="2"/>
        <scheme val="minor"/>
      </rPr>
      <t>Consejo Nacional de la Enseñanza y del Ejercicio Profesional de las Ciencias Químicas, A.C.</t>
    </r>
  </si>
  <si>
    <t>CAPEM: Consejo de Acreditación de Programas Educativos en Matemáticas A.C.</t>
  </si>
  <si>
    <t>Nov 2018 - Dic 2021</t>
  </si>
  <si>
    <t>Nivel 1</t>
  </si>
  <si>
    <t>Ingeniería en Sistemas Mecatrónicos Industriales</t>
  </si>
  <si>
    <t>Ciencia y Tecnología de Alimentos</t>
  </si>
  <si>
    <t>CNEIP</t>
  </si>
  <si>
    <t>COMEAA</t>
  </si>
  <si>
    <t>Ciencias y Artes para el Diseño
(CAD)</t>
  </si>
  <si>
    <t>CNEIP: Consejo Nacional para la Enseñanza e Investigación en Psicología, A.C.</t>
  </si>
  <si>
    <t>COMEAA: Comité Mexicano de Acreditación de la Educación Agronómica, A. C.</t>
  </si>
  <si>
    <t>No incorporados</t>
  </si>
  <si>
    <t>CBI y CBS</t>
  </si>
  <si>
    <t>Interunidades</t>
  </si>
  <si>
    <r>
      <t xml:space="preserve">Posgrado en Ciencias e Ingeniería </t>
    </r>
    <r>
      <rPr>
        <i/>
        <sz val="9"/>
        <rFont val="Calibri"/>
        <family val="2"/>
        <scheme val="minor"/>
      </rPr>
      <t>(de Materiales)</t>
    </r>
  </si>
  <si>
    <r>
      <t xml:space="preserve">Posgrado en Ciencias e Ingeniería </t>
    </r>
    <r>
      <rPr>
        <i/>
        <sz val="9"/>
        <rFont val="Calibri"/>
        <family val="2"/>
        <scheme val="minor"/>
      </rPr>
      <t>(Ambientales)</t>
    </r>
  </si>
  <si>
    <r>
      <rPr>
        <b/>
        <sz val="9"/>
        <rFont val="Calibri"/>
        <family val="2"/>
        <scheme val="minor"/>
      </rPr>
      <t>FUENTE:</t>
    </r>
    <r>
      <rPr>
        <sz val="9"/>
        <rFont val="Calibri"/>
        <family val="2"/>
        <scheme val="minor"/>
      </rPr>
      <t xml:space="preserve"> Padrón del Programa Nacional de Posgrados de Calidad (PNPC) del CONACYT</t>
    </r>
  </si>
  <si>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Cuajimalpa</t>
    </r>
    <r>
      <rPr>
        <sz val="11"/>
        <rFont val="Calibri"/>
        <family val="2"/>
        <scheme val="minor"/>
      </rPr>
      <t xml:space="preserve"> y</t>
    </r>
    <r>
      <rPr>
        <sz val="11"/>
        <color rgb="FFF08200"/>
        <rFont val="Calibri"/>
        <family val="2"/>
        <scheme val="minor"/>
      </rPr>
      <t xml:space="preserve"> </t>
    </r>
    <r>
      <rPr>
        <sz val="11"/>
        <color rgb="FFAD25A8"/>
        <rFont val="Calibri"/>
        <family val="2"/>
        <scheme val="minor"/>
      </rPr>
      <t>Lerma</t>
    </r>
  </si>
  <si>
    <t>Maestría y Doctorado en Psicología Social</t>
  </si>
  <si>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 xml:space="preserve">Cuajimalpa </t>
    </r>
    <r>
      <rPr>
        <sz val="11"/>
        <rFont val="Calibri"/>
        <family val="2"/>
        <scheme val="minor"/>
      </rPr>
      <t>y</t>
    </r>
    <r>
      <rPr>
        <sz val="11"/>
        <color rgb="FFF08200"/>
        <rFont val="Calibri"/>
        <family val="2"/>
        <scheme val="minor"/>
      </rPr>
      <t xml:space="preserve"> </t>
    </r>
    <r>
      <rPr>
        <sz val="11"/>
        <color rgb="FFAD25A8"/>
        <rFont val="Calibri"/>
        <family val="2"/>
        <scheme val="minor"/>
      </rPr>
      <t>Lerma</t>
    </r>
  </si>
  <si>
    <t>El universo de estudio corresponde a los egresados que concluyeron sus estudios en 2016 y 2012 y que al momento de la encuesta tenían dos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 en ambos casos se empleó el software LimeSurvey.
Fuente: Sistema de Información de Estudiantes, Egresados y Empleadores (SIEEE).</t>
  </si>
  <si>
    <t>UNIVERSO DE ESTUDIO</t>
  </si>
  <si>
    <t>Cohorte</t>
  </si>
  <si>
    <t>* El estudio de la cohorte 2016 se encuentra en proceso de elaboración, el levantamiento de la información inició el 11 de octubre de 2018 y a la fecha se cuenta con 1860 encuestas aplicadas que representan el 80.4% de la muestra estimada.</t>
  </si>
  <si>
    <t>Clave</t>
  </si>
  <si>
    <t>Fecha de corte de la base de datos: 07 de enero de 2019</t>
  </si>
  <si>
    <t>Universo</t>
  </si>
  <si>
    <t>Maestría y Doctorado en Ingeniería Estructural</t>
  </si>
  <si>
    <t>Maestría y Doctorado en Sociología</t>
  </si>
  <si>
    <t>Especialización, Maestría y Doctorado en Diseño</t>
  </si>
  <si>
    <t>Maestría en Desarrollo de Productos</t>
  </si>
  <si>
    <t>A 447</t>
  </si>
  <si>
    <t>A 443</t>
  </si>
  <si>
    <t>A 451</t>
  </si>
  <si>
    <t>M 438.6</t>
  </si>
  <si>
    <t>A 449</t>
  </si>
  <si>
    <t>Licenciatura en Ingeniería en Sistemas Mecatrónicos Industriales</t>
  </si>
  <si>
    <t>Licenciatura en Ciencia y Tecnología de Alimentos</t>
  </si>
  <si>
    <t>Licenciatura en Educación y Tecnologías Digitales.</t>
  </si>
  <si>
    <t>C 442.11</t>
  </si>
  <si>
    <t>C 442.10</t>
  </si>
  <si>
    <t>C 404.7</t>
  </si>
  <si>
    <t>A 405</t>
  </si>
  <si>
    <t>A 442</t>
  </si>
  <si>
    <t>Especialización en Economía y Gestión del Agua</t>
  </si>
  <si>
    <t>19-P</t>
  </si>
  <si>
    <t>C 443.6</t>
  </si>
  <si>
    <t>M 443.7</t>
  </si>
  <si>
    <t>Fuente: Semanario de la UAM, programación de cada evento, páginas WEB de cada Unidad, agenda cultural UAM</t>
  </si>
  <si>
    <t>Universidad Iberoamericana IBERO</t>
  </si>
  <si>
    <t>El Colegio de México, A.C.</t>
  </si>
  <si>
    <t>581-590</t>
  </si>
  <si>
    <t>701-750</t>
  </si>
  <si>
    <t>https://www.topuniversities.com/university-rankings/world-university-rankings/2019</t>
  </si>
  <si>
    <t>Instituto Tecnológico y de Estudios Superiores de Monterrey (ITESM)</t>
  </si>
  <si>
    <t>Benemérita Universidad Autónoma de Puebla (BUAP)</t>
  </si>
  <si>
    <t>Universidad ANAHUAC (UA)</t>
  </si>
  <si>
    <t>https://www.topuniversities.com/university-rankings/latin-american-university-rankings/2019?utm_source=tu_house_banners&amp;utm_medium=web_banner</t>
  </si>
  <si>
    <t xml:space="preserve">Centro de Investigación y de Estudios Avanzados </t>
  </si>
  <si>
    <t>JULIO DE 2018</t>
  </si>
  <si>
    <t>Número de horas persona en actividades destinadas
 a capacitación al año.</t>
  </si>
  <si>
    <t>Unidad / División / Departamento</t>
  </si>
  <si>
    <t>ENERO DE 2019</t>
  </si>
  <si>
    <t>Citas totales</t>
  </si>
  <si>
    <t>Número de artículos publicados</t>
  </si>
  <si>
    <t>TOTAL
2014-2018</t>
  </si>
  <si>
    <t>Fuente: Departamento de Biblioteca Digital - CGFAyV</t>
  </si>
  <si>
    <t>* Activos de Licenciatura y Posgrado + pnal. Académico y pnal. Admvo. (ind. 37)</t>
  </si>
  <si>
    <r>
      <t xml:space="preserve">Obligaciones de Transparencia art. 70 y 75 LGTAIP </t>
    </r>
    <r>
      <rPr>
        <i/>
        <sz val="9"/>
        <rFont val="Calibri"/>
        <family val="2"/>
        <scheme val="minor"/>
      </rPr>
      <t xml:space="preserve">(se agrego el rubro a partir de abril 2018 ) </t>
    </r>
  </si>
  <si>
    <t>C 394.8</t>
  </si>
  <si>
    <t>S 429.6</t>
  </si>
  <si>
    <t>402.M</t>
  </si>
  <si>
    <t>11</t>
  </si>
  <si>
    <t>"Caminando por la UAM"</t>
  </si>
  <si>
    <t>Olimpiada UAM</t>
  </si>
  <si>
    <t>Fútbol Rápido Mixto</t>
  </si>
  <si>
    <t>Fútbol 5</t>
  </si>
  <si>
    <t xml:space="preserve">Handball </t>
  </si>
  <si>
    <t xml:space="preserve"> Remo Bajo Techo</t>
  </si>
  <si>
    <t>Ludoteca</t>
  </si>
  <si>
    <r>
      <t xml:space="preserve">Nivel 1:  Al interior de las Unidades Académicas </t>
    </r>
    <r>
      <rPr>
        <b/>
        <sz val="14"/>
        <color rgb="FFCD032E"/>
        <rFont val="Calibri"/>
        <family val="2"/>
        <scheme val="minor"/>
      </rPr>
      <t>2018</t>
    </r>
  </si>
  <si>
    <r>
      <t xml:space="preserve">Nivel 2: Entre las Unidades académicas </t>
    </r>
    <r>
      <rPr>
        <b/>
        <sz val="14"/>
        <color rgb="FFCD032E"/>
        <rFont val="Calibri"/>
        <family val="2"/>
        <scheme val="minor"/>
      </rPr>
      <t>2018</t>
    </r>
  </si>
  <si>
    <t>Núñez Rodríguez, Carlos Juan; Magallón Diez, María Teresa (coords.)</t>
  </si>
  <si>
    <t>Mata Rosas, Francisco (comp.)</t>
  </si>
  <si>
    <t>Editorial Itaca</t>
  </si>
  <si>
    <t>978-607-28-1528-5</t>
  </si>
  <si>
    <t xml:space="preserve"> 14P-18I</t>
  </si>
  <si>
    <t>14O-18P</t>
  </si>
  <si>
    <t>2008-2014</t>
  </si>
  <si>
    <t>Fuente: AGA Lic 2019-I 3a. Sem</t>
  </si>
  <si>
    <t>Egreso 2018</t>
  </si>
  <si>
    <t>Eficiencia Terminal Ingreso 2008-2014</t>
  </si>
  <si>
    <t>Lic. en Ciencia y Tecnología de Alimentos</t>
  </si>
  <si>
    <t>EFICIENCIA TERMINAL DE ALUMNOS DE ESPECIALIDAD QUE INGRESARON EN 2017</t>
  </si>
  <si>
    <t>AGA Posg 2019-I 1a Sem</t>
  </si>
  <si>
    <t>Criterio: aing_n = 2017 &amp; niv = 1 &amp; edo ~= 13</t>
  </si>
  <si>
    <t>(*) Plan de dos años, el ingreso es 2016 y plazo máximo para egresar 8 trimestres</t>
  </si>
  <si>
    <t>EFICIENCIA TERMINAL DE ALUMNOS DE MAESTRÍA QUE INGRESARON EN 2016</t>
  </si>
  <si>
    <t>Criterio: aing_n = 2016 &amp; niv = 2 &amp; edo ~= 13 &amp; plan &lt; 500</t>
  </si>
  <si>
    <t>(8 trimestre máximo para acreditar plan de estudios)</t>
  </si>
  <si>
    <t>UEA Requerida para Doctorado</t>
  </si>
  <si>
    <t>EFICIENCIA TERMINAL DE ALUMNOS DE DOCTORADO QUE INGRESARON EN 2014</t>
  </si>
  <si>
    <t>Criterio: aing_n = 2014 &amp; niv = 3 &amp; edo ~= 13 &amp; plan &lt; 500</t>
  </si>
  <si>
    <t>(14 trimestre máximo para acreditar plan de estudios)</t>
  </si>
  <si>
    <t>PROMEDIO DE TRIMESTRES REALMENTE CURSADOS PARA CREDITAR EL PLAN DE ESPECIALIZACIÓN</t>
  </si>
  <si>
    <r>
      <t xml:space="preserve">ALUMNOS DE ESPECIALIZACIÓN QUE CONCLUYERON EN </t>
    </r>
    <r>
      <rPr>
        <b/>
        <sz val="11"/>
        <color rgb="FFFF0000"/>
        <rFont val="Calibri"/>
        <family val="2"/>
        <scheme val="minor"/>
      </rPr>
      <t>2018</t>
    </r>
  </si>
  <si>
    <r>
      <t xml:space="preserve">PROMEDIO DE TRIMESTRES REALMENTE CURSADOS PARA CREDITAR EL PLAN DE MAESTRÍA_ALUMNOS DE MAESTRÍA QUE CONCLUYERON EN </t>
    </r>
    <r>
      <rPr>
        <b/>
        <sz val="12"/>
        <color rgb="FFFF0000"/>
        <rFont val="Calibri"/>
        <family val="2"/>
        <scheme val="minor"/>
      </rPr>
      <t>2018</t>
    </r>
  </si>
  <si>
    <t>PROMEDIO DE TRIMESTRES REALMENTE CURSADOS PARA CREDITAR EL PLAN DE DOCTORADO</t>
  </si>
  <si>
    <r>
      <t>ALUMNOS DE DOCTORADO QUE CONCLUYERON EN</t>
    </r>
    <r>
      <rPr>
        <b/>
        <sz val="11"/>
        <color rgb="FFFF0000"/>
        <rFont val="Calibri"/>
        <family val="2"/>
        <scheme val="minor"/>
      </rPr>
      <t xml:space="preserve"> 2018</t>
    </r>
  </si>
  <si>
    <t>0.8 horas persona</t>
  </si>
  <si>
    <t>1.4 horas persona</t>
  </si>
  <si>
    <t>1.3 horas persona</t>
  </si>
  <si>
    <r>
      <t xml:space="preserve">FUENTE: Módulo de Control de Otros Fondos y Presupuesto de ingresos y Egresos </t>
    </r>
    <r>
      <rPr>
        <i/>
        <sz val="8"/>
        <color theme="1"/>
        <rFont val="Calibri"/>
        <family val="2"/>
        <scheme val="minor"/>
      </rPr>
      <t xml:space="preserve"> (</t>
    </r>
    <r>
      <rPr>
        <i/>
        <u/>
        <sz val="8"/>
        <color theme="1"/>
        <rFont val="Calibri"/>
        <family val="2"/>
        <scheme val="minor"/>
      </rPr>
      <t>Anexo estadístico/Apoyo institucional/Recursos externos</t>
    </r>
    <r>
      <rPr>
        <i/>
        <sz val="8"/>
        <color theme="1"/>
        <rFont val="Calibri"/>
        <family val="2"/>
        <scheme val="minor"/>
      </rPr>
      <t>)</t>
    </r>
  </si>
  <si>
    <t>Criterio: (origen_mat = 1 | origen_mat = 2) &amp; cre_acum &gt; 0 &amp;  aing&gt; 2006 &amp; aing&lt;2014</t>
  </si>
  <si>
    <t>ALUMNOS QUE INGRESARON ENTRE 2007 Y 2013</t>
  </si>
  <si>
    <t>ALUMNOS QUE INGRESARON ENTRE 2008 Y 2014</t>
  </si>
  <si>
    <t>Criterio: (origen_mat = 1 | origen_mat = 2) &amp; cre_acum &gt; 0 &amp;  aing&gt; 2007 &amp; aing&lt;2015</t>
  </si>
  <si>
    <t>Tiempo de dedicación</t>
  </si>
  <si>
    <t>Tipo de contratación</t>
  </si>
  <si>
    <r>
      <t xml:space="preserve">Total
</t>
    </r>
    <r>
      <rPr>
        <sz val="10"/>
        <color theme="1"/>
        <rFont val="Arial"/>
        <family val="2"/>
      </rPr>
      <t>(A)</t>
    </r>
  </si>
  <si>
    <r>
      <t xml:space="preserve">Total
</t>
    </r>
    <r>
      <rPr>
        <sz val="10"/>
        <color theme="1"/>
        <rFont val="Arial"/>
        <family val="2"/>
      </rPr>
      <t>(B)</t>
    </r>
  </si>
  <si>
    <t>FUENTE: Base de Datos de Nómina, Quincena 17 de 2019.</t>
  </si>
  <si>
    <t>Sría. y Rect.</t>
  </si>
  <si>
    <t>Unidad / División/ Planes de Estudios</t>
  </si>
  <si>
    <t>Unidad / División / Planes de Estudios</t>
  </si>
  <si>
    <t>Computadoras actualizadas</t>
  </si>
  <si>
    <t>Computadoras</t>
  </si>
  <si>
    <t>Número</t>
  </si>
  <si>
    <t>Cobertura</t>
  </si>
  <si>
    <t>Relación</t>
  </si>
  <si>
    <t>en MB</t>
  </si>
  <si>
    <t>1 GB=1.024 MB</t>
  </si>
  <si>
    <t>1 MB=.000977 GB</t>
  </si>
  <si>
    <t>TASA DE CRECIMIENTO  DE CONSULTAS
DE LA INFORMACIÓN INSTITUCIONAL</t>
  </si>
  <si>
    <t>Capacidad académica de los profesores definitivos</t>
  </si>
  <si>
    <r>
      <t>EFICIENCIA TERMINAL DE ALUMNOS DE</t>
    </r>
    <r>
      <rPr>
        <b/>
        <sz val="12"/>
        <color rgb="FFCC3300"/>
        <rFont val="Arial"/>
        <family val="2"/>
      </rPr>
      <t xml:space="preserve"> ESPECIALIDAD</t>
    </r>
  </si>
  <si>
    <r>
      <t xml:space="preserve">EFICIENCIA TERMINAL DE ALUMNOS DE </t>
    </r>
    <r>
      <rPr>
        <b/>
        <sz val="12"/>
        <color rgb="FFCC3300"/>
        <rFont val="Arial"/>
        <family val="2"/>
      </rPr>
      <t xml:space="preserve">MAESTRÍA </t>
    </r>
  </si>
  <si>
    <r>
      <t xml:space="preserve">EFICIENCIA TERMINAL DE ALUMNOS DE </t>
    </r>
    <r>
      <rPr>
        <b/>
        <sz val="12"/>
        <color rgb="FFCC3300"/>
        <rFont val="Arial"/>
        <family val="2"/>
      </rPr>
      <t>DOCTORADO</t>
    </r>
    <r>
      <rPr>
        <b/>
        <sz val="12"/>
        <color theme="1"/>
        <rFont val="Arial"/>
        <family val="2"/>
      </rPr>
      <t xml:space="preserve"> </t>
    </r>
  </si>
  <si>
    <r>
      <t>TIEMPO PROMEDIO EXCEDENTE DE TRIMESTRES REALMENTE CURSADOS PARA ACREDITAR PLAN DE ESTUDIOS DE</t>
    </r>
    <r>
      <rPr>
        <b/>
        <sz val="12"/>
        <color rgb="FFCC3300"/>
        <rFont val="Arial"/>
        <family val="2"/>
      </rPr>
      <t xml:space="preserve"> ESPECIALIZACIÓN</t>
    </r>
  </si>
  <si>
    <r>
      <t xml:space="preserve">TIEMPO PROMEDIO EXCEDENTE DE TRIMESTRES REALMENTE CURSADOS PARA ACREDITAR PLAN DE ESTUDIOS DE </t>
    </r>
    <r>
      <rPr>
        <b/>
        <sz val="12"/>
        <color rgb="FFCC3300"/>
        <rFont val="Arial"/>
        <family val="2"/>
      </rPr>
      <t>MAESTRÍA</t>
    </r>
  </si>
  <si>
    <r>
      <t xml:space="preserve">TIEMPO PROMEDIO EXCEDENTE DE TRIMESTRES REALMENTE CURSADOS PARA ACREDITAR PLAN DE ESTUDIOS DE </t>
    </r>
    <r>
      <rPr>
        <b/>
        <sz val="12"/>
        <color rgb="FFCC3300"/>
        <rFont val="Arial"/>
        <family val="2"/>
      </rPr>
      <t>DOCTORADO</t>
    </r>
  </si>
  <si>
    <r>
      <t xml:space="preserve">ACTUALIZACIÓN DE PLANES DE ESTUDIO DE </t>
    </r>
    <r>
      <rPr>
        <b/>
        <sz val="12"/>
        <color rgb="FFFF0000"/>
        <rFont val="Arial"/>
        <family val="2"/>
      </rPr>
      <t>LICENCIATURA</t>
    </r>
  </si>
  <si>
    <r>
      <t xml:space="preserve">ACTUALIZACIÓN DE PLANES DE ESTUDIO DE </t>
    </r>
    <r>
      <rPr>
        <b/>
        <sz val="12"/>
        <color rgb="FFFF0000"/>
        <rFont val="Arial"/>
        <family val="2"/>
      </rPr>
      <t>POSGRADO</t>
    </r>
  </si>
  <si>
    <r>
      <t>PLANES  DE ESTUDIO DE</t>
    </r>
    <r>
      <rPr>
        <b/>
        <sz val="12"/>
        <color rgb="FFFF0000"/>
        <rFont val="Arial"/>
        <family val="2"/>
      </rPr>
      <t xml:space="preserve"> LICENCIATURA</t>
    </r>
  </si>
  <si>
    <r>
      <rPr>
        <b/>
        <sz val="12"/>
        <rFont val="Arial"/>
        <family val="2"/>
      </rPr>
      <t>PLANES DE ESTUDIOS DE</t>
    </r>
    <r>
      <rPr>
        <b/>
        <sz val="12"/>
        <color indexed="8"/>
        <rFont val="Arial"/>
        <family val="2"/>
      </rPr>
      <t xml:space="preserve"> </t>
    </r>
    <r>
      <rPr>
        <b/>
        <sz val="12"/>
        <color indexed="10"/>
        <rFont val="Arial"/>
        <family val="2"/>
      </rPr>
      <t>POSGRADO</t>
    </r>
  </si>
  <si>
    <r>
      <t xml:space="preserve">MATRÍCULA TOTAL  </t>
    </r>
    <r>
      <rPr>
        <sz val="12"/>
        <color theme="1"/>
        <rFont val="Arial"/>
        <family val="2"/>
      </rPr>
      <t>Y SU DISTRIBUCIÓN DE LA MATRÍCULA DE POSGRADO EN RELACIÓN CON LA MATRÍCULA TOTAL</t>
    </r>
    <r>
      <rPr>
        <b/>
        <sz val="12"/>
        <color theme="1"/>
        <rFont val="Arial"/>
        <family val="2"/>
      </rPr>
      <t xml:space="preserve">
</t>
    </r>
  </si>
  <si>
    <r>
      <t>PROFESORES EN EL</t>
    </r>
    <r>
      <rPr>
        <sz val="12"/>
        <color indexed="8"/>
        <rFont val="Arial"/>
        <family val="2"/>
      </rPr>
      <t xml:space="preserve"> S N I</t>
    </r>
    <r>
      <rPr>
        <b/>
        <sz val="12"/>
        <color indexed="8"/>
        <rFont val="Arial"/>
        <family val="2"/>
      </rPr>
      <t xml:space="preserve"> CON RESPECTO AL PERSONAL ACADÉMICO DEFINITIVO DE TIEMPO COMPLETO</t>
    </r>
  </si>
  <si>
    <r>
      <t>PROFESORES EN EL</t>
    </r>
    <r>
      <rPr>
        <sz val="12"/>
        <rFont val="Arial"/>
        <family val="2"/>
      </rPr>
      <t xml:space="preserve"> S N I</t>
    </r>
    <r>
      <rPr>
        <b/>
        <sz val="12"/>
        <rFont val="Arial"/>
        <family val="2"/>
      </rPr>
      <t xml:space="preserve"> EN RELACIÓN AL PERSONAL ACADÉMICO DEFINITIVO DE TIEMPO COMPLETO</t>
    </r>
    <r>
      <rPr>
        <sz val="12"/>
        <rFont val="Arial"/>
        <family val="2"/>
      </rPr>
      <t xml:space="preserve"> (PADTC)</t>
    </r>
    <r>
      <rPr>
        <b/>
        <sz val="12"/>
        <rFont val="Arial"/>
        <family val="2"/>
      </rPr>
      <t xml:space="preserve"> CON DOCTORADO</t>
    </r>
  </si>
  <si>
    <r>
      <t xml:space="preserve">PROFESORES EN EL </t>
    </r>
    <r>
      <rPr>
        <sz val="12"/>
        <rFont val="Arial"/>
        <family val="2"/>
      </rPr>
      <t>S N I</t>
    </r>
    <r>
      <rPr>
        <b/>
        <sz val="12"/>
        <rFont val="Arial"/>
        <family val="2"/>
      </rPr>
      <t xml:space="preserve"> NIVEL 2 Y 3 EN RELACIÓN CON PROFESORES</t>
    </r>
    <r>
      <rPr>
        <sz val="12"/>
        <rFont val="Arial"/>
        <family val="2"/>
      </rPr>
      <t xml:space="preserve"> S N I </t>
    </r>
    <r>
      <rPr>
        <b/>
        <sz val="12"/>
        <rFont val="Arial"/>
        <family val="2"/>
      </rPr>
      <t>NIVEL 1 Y CANDIDATO</t>
    </r>
  </si>
  <si>
    <r>
      <t>ARTÍCULOS ESPECIALES DE INVESTIGACIÓN</t>
    </r>
    <r>
      <rPr>
        <sz val="12"/>
        <color theme="1"/>
        <rFont val="Arial"/>
        <family val="2"/>
      </rPr>
      <t xml:space="preserve"> (PUNTAJE = 3300)</t>
    </r>
    <r>
      <rPr>
        <b/>
        <sz val="12"/>
        <color theme="1"/>
        <rFont val="Arial"/>
        <family val="2"/>
      </rPr>
      <t xml:space="preserve"> EN RELACIÓN AL  PERSONAL ACADÉMICO DEFINITIVO DE TIEMPO COMPLETO</t>
    </r>
  </si>
  <si>
    <r>
      <t>ARTÍCULOS ESPECIALES DE INVESTIGACIÓN</t>
    </r>
    <r>
      <rPr>
        <sz val="12"/>
        <color theme="1"/>
        <rFont val="Arial"/>
        <family val="2"/>
      </rPr>
      <t xml:space="preserve"> (PUNTAJE = 3300)</t>
    </r>
    <r>
      <rPr>
        <b/>
        <sz val="12"/>
        <color theme="1"/>
        <rFont val="Arial"/>
        <family val="2"/>
      </rPr>
      <t xml:space="preserve"> EN RELACIÓN CON ARTÍCULOS ESPECIALIZADOS DE INVESTIGACIÓN</t>
    </r>
  </si>
  <si>
    <t>PUNTOS ACUMULADOS</t>
  </si>
  <si>
    <t>CUERPOS ACADÉMICOS</t>
  </si>
  <si>
    <t>CRECIMIENTO REAL DEL SUBSIDIO FEDERAL</t>
  </si>
  <si>
    <r>
      <t xml:space="preserve">QS RANKING MUNDIAL
</t>
    </r>
    <r>
      <rPr>
        <sz val="10"/>
        <rFont val="Arial"/>
        <family val="2"/>
      </rPr>
      <t>CLASIFICACIÓN POR PAÍS: MÉXICO</t>
    </r>
  </si>
  <si>
    <t>2018
Universidad</t>
  </si>
  <si>
    <r>
      <t xml:space="preserve">QS RANKING LATIN AMERICA
</t>
    </r>
    <r>
      <rPr>
        <sz val="10"/>
        <color theme="1"/>
        <rFont val="Arial"/>
        <family val="2"/>
      </rPr>
      <t>CLASIFICACIÓN POR PAÍS: MÉXICO</t>
    </r>
  </si>
  <si>
    <t>2018
UNIVERSIDADES</t>
  </si>
  <si>
    <t xml:space="preserve"> 15P-19I</t>
  </si>
  <si>
    <t>15O-19P</t>
  </si>
  <si>
    <t>2009-2015</t>
  </si>
  <si>
    <r>
      <t xml:space="preserve">Unidad / División
Planes de Estudios        </t>
    </r>
    <r>
      <rPr>
        <sz val="11"/>
        <color indexed="8"/>
        <rFont val="Calibri"/>
        <family val="2"/>
        <scheme val="minor"/>
      </rPr>
      <t xml:space="preserve"> año de ingreso</t>
    </r>
  </si>
  <si>
    <r>
      <t>RELACIÓN</t>
    </r>
    <r>
      <rPr>
        <sz val="11"/>
        <color indexed="8"/>
        <rFont val="Calibri"/>
        <family val="2"/>
        <scheme val="minor"/>
      </rPr>
      <t xml:space="preserve"> (A/B)</t>
    </r>
  </si>
  <si>
    <r>
      <t xml:space="preserve">Total
</t>
    </r>
    <r>
      <rPr>
        <sz val="11"/>
        <color theme="1"/>
        <rFont val="Calibri"/>
        <family val="2"/>
        <scheme val="minor"/>
      </rPr>
      <t>(A)</t>
    </r>
  </si>
  <si>
    <r>
      <t xml:space="preserve">Total
</t>
    </r>
    <r>
      <rPr>
        <sz val="11"/>
        <color theme="1"/>
        <rFont val="Calibri"/>
        <family val="2"/>
        <scheme val="minor"/>
      </rPr>
      <t>(B)</t>
    </r>
  </si>
  <si>
    <t>S N I - 2019</t>
  </si>
  <si>
    <r>
      <t>PRESUPUESTO AUTORIZADO TOTAL</t>
    </r>
    <r>
      <rPr>
        <b/>
        <sz val="11"/>
        <color rgb="FFFF0000"/>
        <rFont val="Calibri"/>
        <family val="2"/>
        <scheme val="minor"/>
      </rPr>
      <t xml:space="preserve"> 2019</t>
    </r>
  </si>
  <si>
    <t>Presupuesto ejercido 2019</t>
  </si>
  <si>
    <r>
      <rPr>
        <vertAlign val="superscript"/>
        <sz val="8"/>
        <rFont val="Calibri"/>
        <family val="2"/>
        <scheme val="minor"/>
      </rPr>
      <t xml:space="preserve">2 </t>
    </r>
    <r>
      <rPr>
        <sz val="8"/>
        <rFont val="Calibri"/>
        <family val="2"/>
        <scheme val="minor"/>
      </rPr>
      <t>UNICAMENTE CONSIDERA PERSONAL ADMINISTRATIVO DE CONFIANZA y BASE (indicador A.37.)</t>
    </r>
  </si>
  <si>
    <t>19-I</t>
  </si>
  <si>
    <t>M 463.7</t>
  </si>
  <si>
    <t>M 465.8</t>
  </si>
  <si>
    <t>A 458</t>
  </si>
  <si>
    <t>A 464</t>
  </si>
  <si>
    <t>A 461</t>
  </si>
  <si>
    <t>Diseño Ambiental (Especialidad)</t>
  </si>
  <si>
    <t>M429.6</t>
  </si>
  <si>
    <t>1.0 horas persona</t>
  </si>
  <si>
    <t>2006
a
2010</t>
  </si>
  <si>
    <t xml:space="preserve"> 2007
a
2011</t>
  </si>
  <si>
    <t>2008
a
2012</t>
  </si>
  <si>
    <t>2009
a
2013</t>
  </si>
  <si>
    <t>2010
a
2014</t>
  </si>
  <si>
    <t>2011
a
2015</t>
  </si>
  <si>
    <t>2012
a
2016</t>
  </si>
  <si>
    <t>2013
a
2017</t>
  </si>
  <si>
    <t>2014
a
2018</t>
  </si>
  <si>
    <t>2015
a
2019</t>
  </si>
  <si>
    <t>2008
a
2010</t>
  </si>
  <si>
    <t>2009
a
2011</t>
  </si>
  <si>
    <t>2010
a
2012</t>
  </si>
  <si>
    <t>2011
a
2013</t>
  </si>
  <si>
    <t>2012
a
2014</t>
  </si>
  <si>
    <t>2013
a
2015</t>
  </si>
  <si>
    <t>2014
a
2016</t>
  </si>
  <si>
    <t>2015
a
2017</t>
  </si>
  <si>
    <t>2016
a
2018</t>
  </si>
  <si>
    <t>2017
a
2019</t>
  </si>
  <si>
    <t>A 133</t>
  </si>
  <si>
    <t>Acreditados / Evaluados</t>
  </si>
  <si>
    <t>CACECA: Consejo de Acreditación de Ciencias Administrativas, Contables y Afines
, A.C.</t>
  </si>
  <si>
    <t>ORGANISMO ACREDITADOR O EVALUADOR</t>
  </si>
  <si>
    <r>
      <t>OBSERVACIONES</t>
    </r>
    <r>
      <rPr>
        <sz val="11"/>
        <rFont val="Calibri"/>
        <family val="2"/>
        <scheme val="minor"/>
      </rPr>
      <t xml:space="preserve"> (Fecha de creación)</t>
    </r>
  </si>
  <si>
    <t>CIEES: Comités Interinstitucionales para la Evaluación de la Educación Superior</t>
  </si>
  <si>
    <t>PLANES DE ESTUDIOS</t>
  </si>
  <si>
    <t>Especialización</t>
  </si>
  <si>
    <r>
      <rPr>
        <b/>
        <sz val="11"/>
        <color indexed="8"/>
        <rFont val="Calibri"/>
        <family val="2"/>
        <scheme val="minor"/>
      </rPr>
      <t>FUENTE:</t>
    </r>
    <r>
      <rPr>
        <sz val="11"/>
        <color indexed="8"/>
        <rFont val="Calibri"/>
        <family val="2"/>
        <scheme val="minor"/>
      </rPr>
      <t xml:space="preserve"> Programa Nacional de Posgrados de Calidad (PNPC)</t>
    </r>
  </si>
  <si>
    <t>2015-2019</t>
  </si>
  <si>
    <r>
      <t xml:space="preserve">Número de artículos publicados </t>
    </r>
    <r>
      <rPr>
        <sz val="8"/>
        <color theme="1"/>
        <rFont val="Calibri"/>
        <family val="2"/>
        <scheme val="minor"/>
      </rPr>
      <t>[1]</t>
    </r>
  </si>
  <si>
    <r>
      <rPr>
        <b/>
        <sz val="11"/>
        <rFont val="Calibri"/>
        <family val="2"/>
        <scheme val="minor"/>
      </rPr>
      <t>Porcentaje</t>
    </r>
    <r>
      <rPr>
        <b/>
        <sz val="11"/>
        <color rgb="FFCD032E"/>
        <rFont val="Calibri"/>
        <family val="2"/>
        <scheme val="minor"/>
      </rPr>
      <t xml:space="preserve"> 2019</t>
    </r>
  </si>
  <si>
    <r>
      <rPr>
        <b/>
        <sz val="11"/>
        <rFont val="Calibri"/>
        <family val="2"/>
        <scheme val="minor"/>
      </rPr>
      <t>Porcentaje</t>
    </r>
    <r>
      <rPr>
        <b/>
        <sz val="11"/>
        <color rgb="FFCD032E"/>
        <rFont val="Calibri"/>
        <family val="2"/>
        <scheme val="minor"/>
      </rPr>
      <t xml:space="preserve"> 2018</t>
    </r>
  </si>
  <si>
    <r>
      <rPr>
        <b/>
        <sz val="11"/>
        <rFont val="Calibri"/>
        <family val="2"/>
        <scheme val="minor"/>
      </rPr>
      <t>Porcentaje</t>
    </r>
    <r>
      <rPr>
        <b/>
        <sz val="11"/>
        <color rgb="FFCD032E"/>
        <rFont val="Calibri"/>
        <family val="2"/>
        <scheme val="minor"/>
      </rPr>
      <t xml:space="preserve"> 2017</t>
    </r>
  </si>
  <si>
    <r>
      <rPr>
        <b/>
        <sz val="11"/>
        <rFont val="Calibri"/>
        <family val="2"/>
        <scheme val="minor"/>
      </rPr>
      <t>Porcentaje</t>
    </r>
    <r>
      <rPr>
        <b/>
        <sz val="11"/>
        <color rgb="FFCD032E"/>
        <rFont val="Calibri"/>
        <family val="2"/>
        <scheme val="minor"/>
      </rPr>
      <t xml:space="preserve"> 2016</t>
    </r>
  </si>
  <si>
    <r>
      <rPr>
        <b/>
        <sz val="11"/>
        <rFont val="Calibri"/>
        <family val="2"/>
        <scheme val="minor"/>
      </rPr>
      <t>Porcentaje</t>
    </r>
    <r>
      <rPr>
        <b/>
        <sz val="11"/>
        <color rgb="FFCD032E"/>
        <rFont val="Calibri"/>
        <family val="2"/>
        <scheme val="minor"/>
      </rPr>
      <t xml:space="preserve"> 2015</t>
    </r>
  </si>
  <si>
    <r>
      <rPr>
        <b/>
        <sz val="11"/>
        <rFont val="Calibri"/>
        <family val="2"/>
        <scheme val="minor"/>
      </rPr>
      <t>Porcentaje</t>
    </r>
    <r>
      <rPr>
        <b/>
        <sz val="11"/>
        <color rgb="FFCD032E"/>
        <rFont val="Calibri"/>
        <family val="2"/>
        <scheme val="minor"/>
      </rPr>
      <t xml:space="preserve"> 2014</t>
    </r>
  </si>
  <si>
    <r>
      <rPr>
        <b/>
        <sz val="11"/>
        <rFont val="Calibri"/>
        <family val="2"/>
        <scheme val="minor"/>
      </rPr>
      <t>Porcentaje</t>
    </r>
    <r>
      <rPr>
        <b/>
        <sz val="11"/>
        <color rgb="FFCD032E"/>
        <rFont val="Calibri"/>
        <family val="2"/>
        <scheme val="minor"/>
      </rPr>
      <t xml:space="preserve"> 2013</t>
    </r>
  </si>
  <si>
    <r>
      <rPr>
        <b/>
        <sz val="11"/>
        <rFont val="Calibri"/>
        <family val="2"/>
        <scheme val="minor"/>
      </rPr>
      <t>Porcentaje</t>
    </r>
    <r>
      <rPr>
        <b/>
        <sz val="11"/>
        <color rgb="FFCD032E"/>
        <rFont val="Calibri"/>
        <family val="2"/>
        <scheme val="minor"/>
      </rPr>
      <t xml:space="preserve"> 2012</t>
    </r>
  </si>
  <si>
    <r>
      <rPr>
        <b/>
        <sz val="11"/>
        <rFont val="Calibri"/>
        <family val="2"/>
        <scheme val="minor"/>
      </rPr>
      <t>Porcentaje</t>
    </r>
    <r>
      <rPr>
        <b/>
        <sz val="11"/>
        <color rgb="FFCD032E"/>
        <rFont val="Calibri"/>
        <family val="2"/>
        <scheme val="minor"/>
      </rPr>
      <t xml:space="preserve"> 2011</t>
    </r>
  </si>
  <si>
    <t xml:space="preserve"> (edo = 1 | edo = 10) &amp; plan &lt;500 &amp; tri_ubica</t>
  </si>
  <si>
    <t>978-607-28-1742-5</t>
  </si>
  <si>
    <t xml:space="preserve">Martínez Martínez, Rodrigo </t>
  </si>
  <si>
    <t>978-607-28-1672-5</t>
  </si>
  <si>
    <t>Diccionario sobre temas socioterritoriales</t>
  </si>
  <si>
    <t>978-607-28-1717-3</t>
  </si>
  <si>
    <t>978-607-28-1718-0</t>
  </si>
  <si>
    <t>Materia en fuga</t>
  </si>
  <si>
    <t>978-607-28-1693-0</t>
  </si>
  <si>
    <t>978-607-28-1666-4</t>
  </si>
  <si>
    <t>978-607-28-1657-2</t>
  </si>
  <si>
    <t>UAM-I</t>
  </si>
  <si>
    <t>Gedisa Editorial</t>
  </si>
  <si>
    <t>Veraza Urtuzuastegui Jorge</t>
  </si>
  <si>
    <t>978-607-28-1697-8</t>
  </si>
  <si>
    <t>978-607-28-1670-1</t>
  </si>
  <si>
    <t>978-607-28-1729-6</t>
  </si>
  <si>
    <t>978-607-28-1645-9</t>
  </si>
  <si>
    <t>978-607-28-1646-6</t>
  </si>
  <si>
    <t>978-607-28-1638-1</t>
  </si>
  <si>
    <t>978-607-28-1781-4</t>
  </si>
  <si>
    <t>978-607-28-1674-9</t>
  </si>
  <si>
    <t>Bonilla Artigas Editores</t>
  </si>
  <si>
    <t>UAM-X</t>
  </si>
  <si>
    <t>978-607-28-1692-3</t>
  </si>
  <si>
    <t>978-607-28-1599-5</t>
  </si>
  <si>
    <t>978-607-28-1636-7</t>
  </si>
  <si>
    <t>Pérez Cortés, Francisco</t>
  </si>
  <si>
    <t>978-607-28-1617-6</t>
  </si>
  <si>
    <t>978-607-28-1714-2</t>
  </si>
  <si>
    <t>978-607-28-1767-8</t>
  </si>
  <si>
    <t>978-607-477-388-0</t>
  </si>
  <si>
    <t>978-607-477-406-1</t>
  </si>
  <si>
    <t>978-607-477-538-9</t>
  </si>
  <si>
    <t>978-607-28-1715-9</t>
  </si>
  <si>
    <t>978-607-477-773-4</t>
  </si>
  <si>
    <t>978-607-28-1792-0</t>
  </si>
  <si>
    <t>978-607-28-1673-2</t>
  </si>
  <si>
    <t>978-607-28-1694-7</t>
  </si>
  <si>
    <t>978-607-28-1713-5</t>
  </si>
  <si>
    <t>978-607-28-1684-8</t>
  </si>
  <si>
    <t>978-607-28-1675-6</t>
  </si>
  <si>
    <t>978-607-28-0897-3</t>
  </si>
  <si>
    <t>978-607-28-1734-0</t>
  </si>
  <si>
    <t>978-607-28-1756-2</t>
  </si>
  <si>
    <t>978-607-28-1602-2</t>
  </si>
  <si>
    <t>978-607-28-1676-3</t>
  </si>
  <si>
    <t>978-607-28-1685-5</t>
  </si>
  <si>
    <t>978-607-28-1761-6</t>
  </si>
  <si>
    <t>EDITORIAL O COEDITOR</t>
  </si>
  <si>
    <t>Cacofónicos y disléxicos</t>
  </si>
  <si>
    <t>7</t>
  </si>
  <si>
    <t>FESTIUAM 45 AÑOS</t>
  </si>
  <si>
    <t>Octubre a Diciembre</t>
  </si>
  <si>
    <r>
      <t xml:space="preserve">Nivel 1:  Al interior de las Unidades Académicas </t>
    </r>
    <r>
      <rPr>
        <b/>
        <sz val="14"/>
        <color rgb="FFCD032E"/>
        <rFont val="Calibri"/>
        <family val="2"/>
        <scheme val="minor"/>
      </rPr>
      <t>2019</t>
    </r>
  </si>
  <si>
    <r>
      <t xml:space="preserve">Nivel 2: Entre las Unidades académicas </t>
    </r>
    <r>
      <rPr>
        <b/>
        <sz val="14"/>
        <color rgb="FFCD032E"/>
        <rFont val="Calibri"/>
        <family val="2"/>
        <scheme val="minor"/>
      </rPr>
      <t>2019</t>
    </r>
  </si>
  <si>
    <r>
      <t>Nivel 1:  Al interior de las Unidades Académicas</t>
    </r>
    <r>
      <rPr>
        <b/>
        <sz val="14"/>
        <color rgb="FFCD032E"/>
        <rFont val="Calibri"/>
        <family val="2"/>
        <scheme val="minor"/>
      </rPr>
      <t xml:space="preserve"> 2019</t>
    </r>
  </si>
  <si>
    <t>Indicador incorporado en revisión 2015</t>
  </si>
  <si>
    <t>2020
UNIVERSIDADES</t>
  </si>
  <si>
    <t>561-570</t>
  </si>
  <si>
    <r>
      <t xml:space="preserve">LA UAM EN EL RANKING MUNDIAL DE UNIVERSIDADES EN LA WEB
</t>
    </r>
    <r>
      <rPr>
        <b/>
        <i/>
        <sz val="11"/>
        <color theme="1"/>
        <rFont val="Arial"/>
        <family val="2"/>
      </rPr>
      <t>(Universidades en  México)</t>
    </r>
  </si>
  <si>
    <t>ENERO DE 2020</t>
  </si>
  <si>
    <t>Total personal Administrativo*</t>
  </si>
  <si>
    <t>* Indicador A.37</t>
  </si>
  <si>
    <t>Flores Flores, Ociel</t>
  </si>
  <si>
    <t>Dragas en rebeldía</t>
  </si>
  <si>
    <t>978-607-28-1680-0</t>
  </si>
  <si>
    <t>978-607-28-1740-1</t>
  </si>
  <si>
    <t>978-607-28-1766-1</t>
  </si>
  <si>
    <t>978-607-28-1741-8</t>
  </si>
  <si>
    <t>Entre dos fuegos
Naturalización e invisibilidad de la violencia de género contra migrantes en territorio mexicano</t>
  </si>
  <si>
    <t>978-607-28-1598-8</t>
  </si>
  <si>
    <t>978-607-28-1733-3</t>
  </si>
  <si>
    <t>978-607-28-1730-2</t>
  </si>
  <si>
    <t>Siglo XXI Editores</t>
  </si>
  <si>
    <t>978-607-28-1681-7</t>
  </si>
  <si>
    <t>978-607-28-1710-4</t>
  </si>
  <si>
    <t>Novilunio</t>
  </si>
  <si>
    <t>978-607-28-1689-3</t>
  </si>
  <si>
    <t>Se abren los caminos</t>
  </si>
  <si>
    <t>978-607-28-1669-5</t>
  </si>
  <si>
    <t>Miles de pesos</t>
  </si>
  <si>
    <t>Ingresos diferentes al Subsidio Federal *</t>
  </si>
  <si>
    <t>(*) En el cálculo no se considera Esp. en Acupuntura y Fitoterapia por ser plan de 2 años. Esto para que no afecte el promedio de División, Unidad y UAM</t>
  </si>
  <si>
    <t>El universo de estudio corresponde a los egresados que concluyeron sus estudios en 2016 y 2012 y que al momento de la encuesta tenían dos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t>
  </si>
  <si>
    <t xml:space="preserve">* La información de las cohortes de egreso corresponde al estudio sobre el "Empleo y desempeño profesional de los egresados de nivel licenciatura. Generación 2016" publicado en noviembre de 2019 y al "Estudio de seguimiento de egresados. Generación 2012" publicado en noviembre de 2017. </t>
  </si>
  <si>
    <t>La información se obtuvo a partir del "Estudio sobre la Trayectoria Profesional de los Egresados de Posgrado", el cuales se apoyan en una encuesta que debe ser aplicada a los egresados de los programas de posgrado que se evaluan para su ingreso o permanencia al Programa Nacional de Posgrados de Calidad. Fundamentalmente se trata de lograr un censo y, en caso justificado donde esto no sea posible, la representatividad o tasa mínima de respuesta será de por lo menos el 30% del total de egresados, con énfasis en las últimas tres o cinco generaciones dependiendo de la antigüedad y el histórico de cada programa.</t>
  </si>
  <si>
    <t>Fecha de corte de la base de datos: 10 de febrero de 2020</t>
  </si>
  <si>
    <r>
      <rPr>
        <b/>
        <sz val="8"/>
        <color theme="1"/>
        <rFont val="Arial"/>
        <family val="2"/>
      </rPr>
      <t>*</t>
    </r>
    <r>
      <rPr>
        <sz val="8"/>
        <color theme="1"/>
        <rFont val="Arial"/>
        <family val="2"/>
      </rPr>
      <t>Ingeniería Civil</t>
    </r>
  </si>
  <si>
    <r>
      <rPr>
        <b/>
        <sz val="8"/>
        <color theme="1"/>
        <rFont val="Arial"/>
        <family val="2"/>
      </rPr>
      <t>*</t>
    </r>
    <r>
      <rPr>
        <sz val="8"/>
        <color theme="1"/>
        <rFont val="Arial"/>
        <family val="2"/>
      </rPr>
      <t>Ingeniería Eléctrica</t>
    </r>
  </si>
  <si>
    <t>EFICIENCIA TERMINAL DE LICENCIATURA CONSIDERANDO EL TIEMPO MÁXIMO ESTIPULADO EN LA LEGISLACIÓN (ENTRE 4 Y 10 AÑOS)</t>
  </si>
  <si>
    <t>AGA Lic 2019-O 1a. Sem</t>
  </si>
  <si>
    <t>Faltan resultados del trimestre 2019-O</t>
  </si>
  <si>
    <t>Eficiencia Terminal 10 Años Máximo</t>
  </si>
  <si>
    <t>NÚMERO DE TRIMESTRES REALMENTE CURSADOS PARA ACREDITAR EL PLAN DE ESTUDIOS DE LICENCIATURA</t>
  </si>
  <si>
    <t>AGA Lic 2019-O 1a Sem</t>
  </si>
  <si>
    <t>NÚMERO DE TRIMESTRES REALMENTE CURSADOS PARA ACREDITA EL PLAN DE ESTUDIOS 2018</t>
  </si>
  <si>
    <t>Egreso 2019</t>
  </si>
  <si>
    <t>EFICIENCIA TERMINAL DE ALUMNOS DE ESPECIALIDAD QUE INGRESARON EN 2018</t>
  </si>
  <si>
    <t>(*) Especialidades de dos años, se toma un año anterior de ingreso</t>
  </si>
  <si>
    <t>Mtría en Ciencias en Salud de los Trabajadores</t>
  </si>
  <si>
    <t>EFICIENCIA TERMINAL DE ALUMNOS DE DOCTORADO QUE INGRESARON EN 2015</t>
  </si>
  <si>
    <t>Criterio: aing_n = 2015 &amp; niv = 3 &amp; edo ~= 13 &amp; pla &lt; 500</t>
  </si>
  <si>
    <t>El nuevo sitio de Transparencia se encuentra alojado en un servidor virtual el cual utiliza la herramienta Google Analitycs como contador de accesos, estos se realizan a partir de páginas principales, mismas que corresponden a los apartados definidos en el Portal. El conteo por peticiones ya no se lleva a cabo a partir de la implementación del nuevo sitio en 2019</t>
  </si>
  <si>
    <t>CONSULTAS EN LA PAGINA DE TRANSPARENCIA</t>
  </si>
  <si>
    <t>APARTADOS</t>
  </si>
  <si>
    <t>Inicio</t>
  </si>
  <si>
    <t>Obligaciones de Transparencia</t>
  </si>
  <si>
    <t>Casa Abierta y Transparente</t>
  </si>
  <si>
    <t>Solicitud de Informacion</t>
  </si>
  <si>
    <t>Transparencia Proactiva</t>
  </si>
  <si>
    <t>Contraloria Social</t>
  </si>
  <si>
    <t>PROMEDIO DE TRIMESTRES REALMENTE CURSADOS PARA ACREDITAR PLAN DE ESPECIALIDAD 2019</t>
  </si>
  <si>
    <t>AGA 2019-O 4a. Sem</t>
  </si>
  <si>
    <t>PROM NTRC</t>
  </si>
  <si>
    <t>(*) Plan de dos años</t>
  </si>
  <si>
    <t>PROMEDIO DE TRIMESTRES REALMENTE CURSADOS PARA ACREDITAR PLAN DE MAESTRÍA 2019</t>
  </si>
  <si>
    <t>Mtría-Doc en Psicología Social</t>
  </si>
  <si>
    <t>* Datos del año pasado, falto infomación de la unidad</t>
  </si>
  <si>
    <t>OTO*</t>
  </si>
  <si>
    <t>* Datos del año pasado</t>
  </si>
  <si>
    <t>2016*</t>
  </si>
  <si>
    <t>*Datos del año pasado, falto infomación de la unidad</t>
  </si>
  <si>
    <t>2017*</t>
  </si>
  <si>
    <t>Pesos</t>
  </si>
  <si>
    <t>Total de presupuesto ejercido 2019 de otros gastos de operación, mantenimiento e inversión</t>
  </si>
  <si>
    <t>Criterio: aing_n = 2017 &amp; niv = 2 &amp; edo ~= 13 &amp; pla &lt; 500</t>
  </si>
  <si>
    <t>Criterio: aing_n = 2018 &amp; niv = 1 &amp; edo ~= 13</t>
  </si>
  <si>
    <t>AGA Lic 2020-I 1a. Sem</t>
  </si>
  <si>
    <t>ALUMNOS QUE INGRESARON ENTRE 2009 Y 2015</t>
  </si>
  <si>
    <t>Planes de estudio</t>
  </si>
  <si>
    <t>Eficiencia Terminal Tiempo Máximo 2019</t>
  </si>
  <si>
    <r>
      <rPr>
        <b/>
        <sz val="8"/>
        <rFont val="Calibri"/>
        <family val="2"/>
        <scheme val="minor"/>
      </rPr>
      <t xml:space="preserve">ALUMNOS QUE CONCLUYERON EN 2019 </t>
    </r>
    <r>
      <rPr>
        <b/>
        <sz val="8"/>
        <color rgb="FFFF0000"/>
        <rFont val="Calibri"/>
        <family val="2"/>
        <scheme val="minor"/>
      </rPr>
      <t>- falta otoño 2019</t>
    </r>
  </si>
  <si>
    <t>AGA Lic 2020-I 1a Sem</t>
  </si>
  <si>
    <r>
      <t xml:space="preserve">ALUMNOS QUE CONCLUYERON EN 2019 - </t>
    </r>
    <r>
      <rPr>
        <b/>
        <sz val="10"/>
        <color rgb="FFFF0000"/>
        <rFont val="Calibri"/>
        <family val="2"/>
        <scheme val="minor"/>
      </rPr>
      <t>Completo</t>
    </r>
  </si>
  <si>
    <t>AGA 2020-I 2a. Sem</t>
  </si>
  <si>
    <r>
      <t>AGA 2019-O 4a. Sem -</t>
    </r>
    <r>
      <rPr>
        <b/>
        <sz val="8"/>
        <color rgb="FFFF0000"/>
        <rFont val="Calibri"/>
        <family val="2"/>
        <scheme val="minor"/>
      </rPr>
      <t>FALTA OTOÑO</t>
    </r>
  </si>
  <si>
    <r>
      <t xml:space="preserve">PROMEDIO DE TRIMESTRES REALMENTE CURSADOS PARA CREDITAR EL PLAN DE MAESTRÍA_ALUMNOS DE MAESTRÍA QUE CONCLUYERON EN </t>
    </r>
    <r>
      <rPr>
        <b/>
        <sz val="12"/>
        <color rgb="FFFF0000"/>
        <rFont val="Calibri"/>
        <family val="2"/>
        <scheme val="minor"/>
      </rPr>
      <t>2019</t>
    </r>
  </si>
  <si>
    <r>
      <t xml:space="preserve">AGA 2019-O 4a. Sem </t>
    </r>
    <r>
      <rPr>
        <b/>
        <sz val="8"/>
        <color rgb="FFFF0000"/>
        <rFont val="Calibri"/>
        <family val="2"/>
        <scheme val="minor"/>
      </rPr>
      <t>FALTA OTOÑO</t>
    </r>
  </si>
  <si>
    <r>
      <t xml:space="preserve">AGA 2020-I 2a. Sem </t>
    </r>
    <r>
      <rPr>
        <b/>
        <sz val="12"/>
        <color rgb="FFFF0000"/>
        <rFont val="Calibri"/>
        <family val="2"/>
        <scheme val="minor"/>
      </rPr>
      <t>COMPLETO</t>
    </r>
  </si>
  <si>
    <t>Criterio: (origen_mat = 1 | origen_mat = 2) &amp; cre_acum &gt; 0 &amp;  aing&gt; 2008 &amp; aing&lt;2016 &amp; Plan &lt;500</t>
  </si>
  <si>
    <t>Nuevo Ingreso N.P.</t>
  </si>
  <si>
    <t>Esp en Física Médica Clínica</t>
  </si>
  <si>
    <t>EFICIENCIA TERMINAL DE ALUMNOS DE ESPECIALIDAD QUE INGRESARON EN 2019</t>
  </si>
  <si>
    <t>AGA Posg 2020-I 2a. Sem</t>
  </si>
  <si>
    <r>
      <t xml:space="preserve">AGA Posg 2019-O 4a. Sem </t>
    </r>
    <r>
      <rPr>
        <b/>
        <sz val="8"/>
        <color rgb="FFFF0000"/>
        <rFont val="Calibri"/>
        <family val="2"/>
        <scheme val="minor"/>
      </rPr>
      <t>FALTA OTOÑO</t>
    </r>
  </si>
  <si>
    <t>Criterio: aing_n = 2019 &amp; niv = 1 &amp; edo ~= 13</t>
  </si>
  <si>
    <r>
      <t xml:space="preserve">AGA Posg 2019-O 4a Sem </t>
    </r>
    <r>
      <rPr>
        <b/>
        <sz val="8"/>
        <color rgb="FFFF0000"/>
        <rFont val="Arial"/>
        <family val="2"/>
      </rPr>
      <t>FALTA OTOÑO</t>
    </r>
  </si>
  <si>
    <t>AGA Posg 2020-I 2a Sem</t>
  </si>
  <si>
    <t>(Egresado +Créditos cubiertos+Alumno con grado) / (Total)</t>
  </si>
  <si>
    <t>(Egresado +Créditos cubiertos+Alumno con grado) / (Total-Nuevo ingreso no presentado)</t>
  </si>
  <si>
    <t>(Egresado +Créditos cubiertos+Alumno con diploma) / (Total-Nuevo ingreso no presentado)</t>
  </si>
  <si>
    <t>19-O</t>
  </si>
  <si>
    <t>20-I</t>
  </si>
  <si>
    <t>20-P</t>
  </si>
  <si>
    <t>20-O</t>
  </si>
  <si>
    <t>A 466</t>
  </si>
  <si>
    <t>2018
a
2020</t>
  </si>
  <si>
    <t>A 473</t>
  </si>
  <si>
    <t>A 480</t>
  </si>
  <si>
    <t>M 477.16</t>
  </si>
  <si>
    <t>M 466.9</t>
  </si>
  <si>
    <t>A 477</t>
  </si>
  <si>
    <t>2016
 a
2020</t>
  </si>
  <si>
    <t xml:space="preserve">Doctorado en Intervención en las Organizaciones </t>
  </si>
  <si>
    <t>C 448.7</t>
  </si>
  <si>
    <t>A 485</t>
  </si>
  <si>
    <t>M 466.10</t>
  </si>
  <si>
    <t>485.A</t>
  </si>
  <si>
    <t>483.A</t>
  </si>
  <si>
    <t>427.MA</t>
  </si>
  <si>
    <t>Planes trim. 20-O</t>
  </si>
  <si>
    <t>UNIDAD AZCAPOTZALCO 2020</t>
  </si>
  <si>
    <t>CONACE</t>
  </si>
  <si>
    <t>26 febrero, 20025</t>
  </si>
  <si>
    <t>nuevo</t>
  </si>
  <si>
    <t>UNIDAD CUAJIMALPA 2020</t>
  </si>
  <si>
    <t>UNIDAD IZTAPALAPA 2020</t>
  </si>
  <si>
    <t>UNIDAD LERMA 2020</t>
  </si>
  <si>
    <t>UNIDAD XOCHIMILCO 2020</t>
  </si>
  <si>
    <t>Planes de estudios de posgrado</t>
  </si>
  <si>
    <t>Incorporados en el PNPC por nivel Conacyt</t>
  </si>
  <si>
    <t>doc.</t>
  </si>
  <si>
    <t>UAM 2019</t>
  </si>
  <si>
    <t>Salió</t>
  </si>
  <si>
    <t>nuevo 2020-P</t>
  </si>
  <si>
    <t>INTER-UNIDADES 2020</t>
  </si>
  <si>
    <t>FUENTE: Base de Datos de Nómina, Quincena 20 de 2020.</t>
  </si>
  <si>
    <t>El universo de estudio corresponde a los egresados que concluyeron sus estudios en 2015, 2016 y 2018 y que al momento de la encuesta tenían entre dos y cinco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t>
  </si>
  <si>
    <t>Cohortes*</t>
  </si>
  <si>
    <t>2015-2018**</t>
  </si>
  <si>
    <t xml:space="preserve">* La información de las cohortes de egreso corresponde al estudio sobre el "Empleo y desempeño profesional de los egresados de nivel licenciatura. Generación 2016" publicado en noviembre de 2019 y al "Estudio de seguimiento de egresados. Generaciones 2015-2018" (en proceso 2020). </t>
  </si>
  <si>
    <t>** Corte de la base de datos: 18 de diciembre de 2020</t>
  </si>
  <si>
    <t>…</t>
  </si>
  <si>
    <t>...</t>
  </si>
  <si>
    <t>Medicina Veterinaria y Zootécnia</t>
  </si>
  <si>
    <t>Fecha de corte de la base de datos: 18 de diciembre de 2020</t>
  </si>
  <si>
    <t>Tabla cruzada Unidad Académica*33.- De acuerdo con una escala de 1 a 5, donde 1 es nula coincidencia y 5 es total coincidencia señale la relación de su</t>
  </si>
  <si>
    <t>% dentro de Unidad Académica</t>
  </si>
  <si>
    <t/>
  </si>
  <si>
    <t>33.- De acuerdo con una escala de 1 a 5, donde 1 es nula coincidencia y 5 es total coincidencia señale la relación de su</t>
  </si>
  <si>
    <t>1 Nula coincidencia</t>
  </si>
  <si>
    <t>2</t>
  </si>
  <si>
    <t>3</t>
  </si>
  <si>
    <t>4</t>
  </si>
  <si>
    <t>5 Total coincidencia</t>
  </si>
  <si>
    <t>Unidad Académica</t>
  </si>
  <si>
    <t>Especialización, Maestría y Doctorado en Ciencias e Ingeniería (Ambientales, de Materiales)</t>
  </si>
  <si>
    <t>Maestría en Economía (Historia Económica; Empresas, Finanzas e Innovación)</t>
  </si>
  <si>
    <t>Maestría en Literatura Mexicana Contemporanea</t>
  </si>
  <si>
    <t>Maestría en Física (F/O)</t>
  </si>
  <si>
    <t>Maestría en Química (F/O)</t>
  </si>
  <si>
    <t>Maestría en Matemáticas (F/O)</t>
  </si>
  <si>
    <t>Maestría en Ingeniería Biomédica (F/O)</t>
  </si>
  <si>
    <t>Maestría y Doctorado en Estudios Sociales (Estudios Laborales, Procesos Políticos, Economía Sociale)</t>
  </si>
  <si>
    <t>Maestría en Psicología Social</t>
  </si>
  <si>
    <t>Maestría en Biología Experimental (F/O)</t>
  </si>
  <si>
    <t>Maestría en Investigación en Salud Pública (F/O)</t>
  </si>
  <si>
    <t>Mestría en Derecho Económico</t>
  </si>
  <si>
    <t>Maestría en Desarrollo Rural (F/O)</t>
  </si>
  <si>
    <t>Maestría en Administración del Trabajo (F/O)</t>
  </si>
  <si>
    <t>Maestría en Sociedade Sustentables</t>
  </si>
  <si>
    <t>Maestría y Especialización en Medicina Social</t>
  </si>
  <si>
    <t>Especialización en Diagnóstico Integral y Patología Bucal (F/O)</t>
  </si>
  <si>
    <t>571-580</t>
  </si>
  <si>
    <t>Universidad Autónoma de Chapingo</t>
  </si>
  <si>
    <t>2019
UNIVERSIDADES</t>
  </si>
  <si>
    <t>2020
Universidad</t>
  </si>
  <si>
    <t>2019
Universidad</t>
  </si>
  <si>
    <t>Universiad Panamericana (UP)</t>
  </si>
  <si>
    <t>Universidad de Monterrey</t>
  </si>
  <si>
    <t>PROFESORES: QUINCENA 20 DE CADA AÑO (colores)</t>
  </si>
  <si>
    <t>Actualizado</t>
  </si>
  <si>
    <r>
      <rPr>
        <b/>
        <sz val="11"/>
        <rFont val="Calibri"/>
        <family val="2"/>
        <scheme val="minor"/>
      </rPr>
      <t>Porcentaje</t>
    </r>
    <r>
      <rPr>
        <b/>
        <sz val="11"/>
        <color rgb="FFCD032E"/>
        <rFont val="Calibri"/>
        <family val="2"/>
        <scheme val="minor"/>
      </rPr>
      <t xml:space="preserve"> 2020</t>
    </r>
  </si>
  <si>
    <t>checar datos</t>
  </si>
  <si>
    <t>1</t>
  </si>
  <si>
    <t>Carrera en Bicicleta</t>
  </si>
  <si>
    <t>Tae Kwon Do (exhibición)</t>
  </si>
  <si>
    <t>Entrenamiento Funcional</t>
  </si>
  <si>
    <t>Gimnasio de Crossfit y Spinning</t>
  </si>
  <si>
    <t>10, 553</t>
  </si>
  <si>
    <r>
      <t xml:space="preserve">Nivel 1:  Al interior de las Unidades Académicas </t>
    </r>
    <r>
      <rPr>
        <b/>
        <sz val="14"/>
        <color rgb="FFFF0000"/>
        <rFont val="Calibri"/>
        <family val="2"/>
        <scheme val="minor"/>
      </rPr>
      <t>2020</t>
    </r>
  </si>
  <si>
    <r>
      <t xml:space="preserve">Nivel 2: Entre las Unidades académicas </t>
    </r>
    <r>
      <rPr>
        <b/>
        <sz val="14"/>
        <color rgb="FFFF0000"/>
        <rFont val="Calibri"/>
        <family val="2"/>
        <scheme val="minor"/>
      </rPr>
      <t>2020</t>
    </r>
  </si>
  <si>
    <r>
      <t>Maestría  en Ciencias e Ingeniería</t>
    </r>
    <r>
      <rPr>
        <i/>
        <sz val="8"/>
        <color rgb="FF000000"/>
        <rFont val="Calibri"/>
        <family val="2"/>
        <scheme val="minor"/>
      </rPr>
      <t xml:space="preserve"> (ambientales, de materiales)</t>
    </r>
  </si>
  <si>
    <r>
      <t>Posgrado en Ciencias e Ingeniería</t>
    </r>
    <r>
      <rPr>
        <i/>
        <sz val="8"/>
        <rFont val="Calibri"/>
        <family val="2"/>
        <scheme val="minor"/>
      </rPr>
      <t xml:space="preserve"> (Ambientales, Materiales)</t>
    </r>
  </si>
  <si>
    <r>
      <t xml:space="preserve">Doctorado en Ciencias e Ingeniería </t>
    </r>
    <r>
      <rPr>
        <i/>
        <sz val="8"/>
        <color rgb="FF000000"/>
        <rFont val="Calibri"/>
        <family val="2"/>
        <scheme val="minor"/>
      </rPr>
      <t>(ambientales, de materiales)</t>
    </r>
  </si>
  <si>
    <t>S N I - 2020</t>
  </si>
  <si>
    <t>Alternativas Bioclimáticas para Construir un Futuro Sostenible en la Arquitectura</t>
  </si>
  <si>
    <t>José Roberto García  Chávez</t>
  </si>
  <si>
    <t>978-607-28-1794-4</t>
  </si>
  <si>
    <t>Avances de las Mujeres en las Ciencias las Humanidades y todas las Disciplinas</t>
  </si>
  <si>
    <t>MARCO ANTONIO MARIN ALVAREZ</t>
  </si>
  <si>
    <t>978-607-28-1763-0</t>
  </si>
  <si>
    <t>Bioconstrucción para la Vivienda</t>
  </si>
  <si>
    <t>978-607-633-148-4</t>
  </si>
  <si>
    <t>BIONICA E DESIGN</t>
  </si>
  <si>
    <t>GUERITOT FABRICE DOMINIQUE VANDEN BROECK GUÉRITOT</t>
  </si>
  <si>
    <t>978-85-8039-421-4</t>
  </si>
  <si>
    <t xml:space="preserve">DE LOS METODOS Y LAS MANERAS. </t>
  </si>
  <si>
    <t>JOSE GUSTAVO IVAN GARMENDIA RAMÍREZ</t>
  </si>
  <si>
    <t>978-607-28-1785-2</t>
  </si>
  <si>
    <t>Diseminación de resultados de investigación Universitaria</t>
  </si>
  <si>
    <t>MAURICIO ALAN GAY GONZALEZ</t>
  </si>
  <si>
    <t>978-1-939982-61-2</t>
  </si>
  <si>
    <t>Diseño de publicaciones: un análisis de los conceptos y elementos formales de los formatos impresos y electrónicos</t>
  </si>
  <si>
    <t>ADRIANA ACERO GUTIERREZ</t>
  </si>
  <si>
    <t>ESTUDIOS DE ARQUITECTURA BIOCLIMATICA XV</t>
  </si>
  <si>
    <t>ANIBAL FIGUEROA FIGUEROA</t>
  </si>
  <si>
    <t>ISSN 2448802X</t>
  </si>
  <si>
    <t>Juego en la calle, El
Tiempo de recreación</t>
  </si>
  <si>
    <t>Rodríguez García, Humberto; Sandoval Martiñón, María de Lourdes</t>
  </si>
  <si>
    <t>978-607-28-1600-8</t>
  </si>
  <si>
    <t>La calidad y el diseño</t>
  </si>
  <si>
    <t>JORGE RODRIGUEZ MARTINEZ</t>
  </si>
  <si>
    <t>978-607-28-1899-6</t>
  </si>
  <si>
    <t>LA MODERNIZACIÓN PROCELOSA DE LA CIUDAD DE MÉXICO EN EL PORFIRIATO</t>
  </si>
  <si>
    <t>MARIA ESTHER SANCHEZ MARTINEZ</t>
  </si>
  <si>
    <t>978-84-1352-094-0</t>
  </si>
  <si>
    <t>Legislación y paisaje
Un debate abierto en México</t>
  </si>
  <si>
    <t>Alonso Navarrete, Armando; Checa-Artasu, Martín (coords.)</t>
  </si>
  <si>
    <t>978-607-28-1751-7</t>
  </si>
  <si>
    <t xml:space="preserve">MEXICO-BRASIL PAISAGEME JARDIM COMO PATRIMONIO CULTURAL </t>
  </si>
  <si>
    <t>SAUL ALCANTARA ONOFRE</t>
  </si>
  <si>
    <t>978-65-5820-149-6</t>
  </si>
  <si>
    <t>Paisaje y jardín como patrimonio cultural</t>
  </si>
  <si>
    <t>Alonso Navarrete, Armando; Martínez Sánchez, Félix;
Alcántara Onofre, Saúl (coords.)</t>
  </si>
  <si>
    <t>978-607-28-1744-9</t>
  </si>
  <si>
    <t>Paisaje y jardín como patrimonio cultural.</t>
  </si>
  <si>
    <t>ARMANDO ALONSO NAVARRETE</t>
  </si>
  <si>
    <t>978-607-28-1743-2</t>
  </si>
  <si>
    <t xml:space="preserve">Procesos urbanos en América Latina en el paso del siglo XIX al XX </t>
  </si>
  <si>
    <t>GERARDO GUADALUPE SANCHEZ RUIZ</t>
  </si>
  <si>
    <t xml:space="preserve"> 978-607-711-596-0</t>
  </si>
  <si>
    <t>Racrufi: arte de alta energía</t>
  </si>
  <si>
    <t>María Itzel Sainz González</t>
  </si>
  <si>
    <t>978-84-9743-889-6</t>
  </si>
  <si>
    <t>Sistema modular para la conformación de escultura cerámica monumental</t>
  </si>
  <si>
    <t>MANUEL MARTÍN CLAVÉ ALMEIDA</t>
  </si>
  <si>
    <t>978-620-0-41238-6</t>
  </si>
  <si>
    <t>Transgresión en la historia, la arquitectura, los objetos y la comunicación</t>
  </si>
  <si>
    <t>LUIS CARLOS HERRERA  GUTIERREZ DE VELASCO</t>
  </si>
  <si>
    <t>978-607-28-1874-3</t>
  </si>
  <si>
    <t>Ecuaciones diferenciales y análisis de Fourier</t>
  </si>
  <si>
    <t>Navarro Fuentes, Jaime</t>
  </si>
  <si>
    <t>Física III</t>
  </si>
  <si>
    <t>García Cruz, Luz María; Luna García, Héctor; Navarrete González, Tomás</t>
  </si>
  <si>
    <t>Alfaomega</t>
  </si>
  <si>
    <t>978-607-28-1778-4</t>
  </si>
  <si>
    <t>Lenguajes y autómatas
Teoría de grupos. Teoría de anillos. Bases de Grobner</t>
  </si>
  <si>
    <t>Díaz Leal Guzmán, Héctor</t>
  </si>
  <si>
    <t>978-607-28-1819-4</t>
  </si>
  <si>
    <t>Matemáticas discretas</t>
  </si>
  <si>
    <t>978-607-28-1851-4</t>
  </si>
  <si>
    <t>Prácticas de ergonomía industrial</t>
  </si>
  <si>
    <t>Rodríguez Alvarado, Lisaura Walkiria; Loyo Quijada, Jesús;
Hernández González, Mariana et al.</t>
  </si>
  <si>
    <t>978-607-28-1721-0</t>
  </si>
  <si>
    <t>Prácticas de laboratorio del estudio de la medición del trabajo</t>
  </si>
  <si>
    <t xml:space="preserve">Loyo Quijada, Jesús; Rodríguez Alvarado, Lisaura Walkiria;
López Ontiveros, Miguel Ángel et al. </t>
  </si>
  <si>
    <t>978-607-28-1963-4</t>
  </si>
  <si>
    <t>Prácticas de seguridad e higiene industrial</t>
  </si>
  <si>
    <t>Zavala Osorio, Yadira; Lechuga Pérez, Eurídice</t>
  </si>
  <si>
    <t>978-607-28-1722-7</t>
  </si>
  <si>
    <t>Prácticas de Tratamientos Térmicos</t>
  </si>
  <si>
    <t>Ita de la Torre, Antonio de</t>
  </si>
  <si>
    <t>978-607-28-1940-5</t>
  </si>
  <si>
    <t>Prácticas para el muestreo de contaminantes atmosféricos</t>
  </si>
  <si>
    <t>Juárez Nájera, Margarita</t>
  </si>
  <si>
    <t>978-607-28-1955-9</t>
  </si>
  <si>
    <t>Química Orgánica I en 11 semanas</t>
  </si>
  <si>
    <t>García Martínez, Cirilo</t>
  </si>
  <si>
    <t>978-607-28-1818-7</t>
  </si>
  <si>
    <t>Segundo curso de ecuaciones diferenciales
Con introducción a las ecuaciones en derivadas parciales</t>
  </si>
  <si>
    <t>978-607-28-1836-1</t>
  </si>
  <si>
    <t>Texto para la UEA Introducción a la Electrostática y Magnetostática con estrategias para resolver problemas</t>
  </si>
  <si>
    <t xml:space="preserve">Pérez Ricárdez, Alejandro; Bastién Montoya, Gustavo Mauricio;
Becerril Hernández, Hugo Sergio et al. </t>
  </si>
  <si>
    <t>978-607-28-1859-0</t>
  </si>
  <si>
    <t>A cien días del gobierno del cambio: de la campaña a la institucionalización con Andrés Manuel López Obrador</t>
  </si>
  <si>
    <t>Carlos Juan Núñez Rodríguez y María Teresa Magallón Diéz   (Coordinadores)</t>
  </si>
  <si>
    <t>978-607-28-1910-8</t>
  </si>
  <si>
    <t>Acerca del sistema procesal penal adversarial  mexicano. Reflexión y crítica</t>
  </si>
  <si>
    <t>Alicia Beatríz Azozlini Bincaz (Coordinadora)</t>
  </si>
  <si>
    <t>978-607-28-1927-6</t>
  </si>
  <si>
    <t>Caminos de la movilidad social, Los
Destinos y recorridos de estudio y trabajo de los mexicanos
en el extranjero</t>
  </si>
  <si>
    <t>Grediaga Kuri, Rocío; Gérard, Etienne (coords.)</t>
  </si>
  <si>
    <t>Caminos, rutas y veredas: el paso por la universidad de estudiantes diversos</t>
  </si>
  <si>
    <t>Dinorah Gabriela Miller Flores (Coordinadora)</t>
  </si>
  <si>
    <t>978-607-28-1929-0</t>
  </si>
  <si>
    <t>Cruce de fronteras:
La influencia de los Estados Unidos y América Latina en los proyectos de nación católicos en México, siglo XX</t>
  </si>
  <si>
    <t>Matthew Butler, Camille Foulard e Yves Bernardo Roger Solís Nicot</t>
  </si>
  <si>
    <t>Coedición con El Colegio de Jalisco, Centro de Estudios Mexicanos y Centroamericanos (CEMCA-Dependiente de la Embajada de Francia en México)</t>
  </si>
  <si>
    <t>978-607-28-1936-8</t>
  </si>
  <si>
    <t>Marquet Montiel, Antonio</t>
  </si>
  <si>
    <t>Elementos teóricos-conceptuales en relación a la naturaleza, dinámica y funcionamiento de las organizaciones  en el contexto latinoamericano y del Caribe</t>
  </si>
  <si>
    <t>Carlos Juan Núñez Rodríguez y Rosiluz Ceballos Povedano   (Coordinadores)</t>
  </si>
  <si>
    <t>978-607-28-1952-8</t>
  </si>
  <si>
    <t>En la frontera de la propiedad intelectual
A 20 años del acuerdo sobre los adpic (trip’s)</t>
  </si>
  <si>
    <t>Pérez Miranda, Rafael J.; Becerra Ramírez, Manuel (coords.)</t>
  </si>
  <si>
    <t>Biblioteca de Ciencias Sociales y Humanidades.
Colección Derecho. Serie Estudios</t>
  </si>
  <si>
    <t>Asakura, Hiroko; Torres Falcón, Marta W. (coords.)</t>
  </si>
  <si>
    <t>Publicaciones de la Casa Chata
CIESAS</t>
  </si>
  <si>
    <t>Estancamiento y recuperación: once años después</t>
  </si>
  <si>
    <t>Fernando Carlos Jeannot Rossi (Coordinador)</t>
  </si>
  <si>
    <t>978-607-28-1809-5</t>
  </si>
  <si>
    <t>Genealogía del Estado desde América Latina III. La construcción de la subjetividad moderna, una interpretación desde el necropoder</t>
  </si>
  <si>
    <t>Carlos Juan Núñez Rodríguez</t>
  </si>
  <si>
    <t>978-607-28-1944-3</t>
  </si>
  <si>
    <t>Inventando a Hayden White. Imaginación y narrativas</t>
  </si>
  <si>
    <t>María Norma Durán Rodríguez Arana (Coordinadora)</t>
  </si>
  <si>
    <t>978-607-28-1951-1</t>
  </si>
  <si>
    <t>La evolución del proyecto de nación sinarquista:
Del autoritarismo conservador a la
democracia cristiana. (1949 - 1971)</t>
  </si>
  <si>
    <t>Austreberto Martínez Villegas</t>
  </si>
  <si>
    <t>978-607-28-1945-0</t>
  </si>
  <si>
    <t>La naturaleza contradictoria del capitalismo contemporáneo: 
Ensayos de Economía Política</t>
  </si>
  <si>
    <t>Sergio Cámara Izquierdo (Coordinador)</t>
  </si>
  <si>
    <t>978-607-28-1813-2</t>
  </si>
  <si>
    <t>La privatización de la naturaleza viva y el Derecho Económico Internacional. De la soberanía de las naciones sobre sus recursos genéticos a la apropiación de la vida por las corporaciones</t>
  </si>
  <si>
    <t>Rafael Julio Pérez Miranda</t>
  </si>
  <si>
    <t>978-607-28-1812-5</t>
  </si>
  <si>
    <t>México 2018: Elecciones, partidos y nuevos clivajes sociales</t>
  </si>
  <si>
    <t>Esperanza Isabel Palma Cabrera y Sergio Tamayo Flores Alatorre</t>
  </si>
  <si>
    <t>978-607-28-1930-6</t>
  </si>
  <si>
    <t xml:space="preserve">Música, sociedad y cultura
Rutas para el análisis socioantropológico de la música
</t>
  </si>
  <si>
    <t>Granados Sevilla, Alan Edmundo; Hernández Prado, José (coords.)</t>
  </si>
  <si>
    <t>Nombrar el silencio
La palabra ausente en la obra de Octavio Paz: diálogo entre Occidente y Oriente</t>
  </si>
  <si>
    <t>Libros del Laberinto. Ensayos</t>
  </si>
  <si>
    <t>Peralta Vélez, Abraham</t>
  </si>
  <si>
    <t>Proyecto Literal, UAM-A</t>
  </si>
  <si>
    <t>Primero los hacen pobres y luego los encarcelan. Procesos de criminalización y nacimiento de la criminología en el México del Siglo XIX</t>
  </si>
  <si>
    <t>Gerardo González Ascencio</t>
  </si>
  <si>
    <t>978-607-28-1803-3</t>
  </si>
  <si>
    <t>Pulso de la economía mundial, El</t>
  </si>
  <si>
    <t>Buzo de la Peña, Ricardo Marcos;
Sánchez Daza, José Alfredo (coords.)</t>
  </si>
  <si>
    <t>Biblioteca de Ciencias Sociales y Humanidades.
Colección Economía. Serie Estudios</t>
  </si>
  <si>
    <t>Retos del Estado mexicano ante el inicio del nuevo sexenio (2018-2024), Los Una mirada desde la administración y los estudios críticos de la administración</t>
  </si>
  <si>
    <t>Biblioteca de Ciencias Sociales y Humanidades. Colección Administración. Serie Estudios</t>
  </si>
  <si>
    <t>Chávez Barroso, Manuel</t>
  </si>
  <si>
    <t>Textofilia, UAM-A</t>
  </si>
  <si>
    <t>Taller de fotografía. Un libro para estudiantes universitarios</t>
  </si>
  <si>
    <t>González Aragón, Gerardo; León Galicia, Alejandro</t>
  </si>
  <si>
    <t>978-607-28-1838-5</t>
  </si>
  <si>
    <t>Teoría Económica Aplicada</t>
  </si>
  <si>
    <t>Enrique R. Casares y Leobardo Plata (Coordinadores)</t>
  </si>
  <si>
    <t>978-607-28-1953-5</t>
  </si>
  <si>
    <t>A seis años de la Ley Federal de Telecomunicaciones y Radiodifusión: análisis y propuestas</t>
  </si>
  <si>
    <t>Gómez García Rodrigo (autor y redactor)</t>
  </si>
  <si>
    <t>Tintable, DCCD  UAM Cuajimalpa, AMEDI</t>
  </si>
  <si>
    <t>978-607-8346-51-6</t>
  </si>
  <si>
    <t>978-607-8346-52-3</t>
  </si>
  <si>
    <t>BAUEN. Hacia la construcción del diseño desde 
una visión social y humanista</t>
  </si>
  <si>
    <t>Bedolla Pereda Deyanira
Caballero Quiroz Aarón J.
(Coordinadores)</t>
  </si>
  <si>
    <t>DCCD UAM Cuajimalpa</t>
  </si>
  <si>
    <t>978-607-28-1848-4</t>
  </si>
  <si>
    <t>978-607-28-1849-1</t>
  </si>
  <si>
    <t>Cine y forma. Fundamentos para conjeturar la visualidad fílmica</t>
  </si>
  <si>
    <t xml:space="preserve">Coedición Universidad Autonóma Metropolitana_x000D_, UNAM
</t>
  </si>
  <si>
    <t>978-607-28-1701-2
978-607-28-1802-6</t>
  </si>
  <si>
    <t>Alfie Cohen, Miriam; Galindo Monteagudo, Jorge;
González Arellano, Salomón (coords.)</t>
  </si>
  <si>
    <t>Evaluación para el aprendizaje. Reinventar la evaluación en el aula.</t>
  </si>
  <si>
    <t>Moreno Olivos Tiburcio</t>
  </si>
  <si>
    <t>Reimpresión 
DCCD UAM CUAJIMALPA</t>
  </si>
  <si>
    <t>978-607-28-0762-4</t>
  </si>
  <si>
    <t>Instagram y la imagen contemporánea</t>
  </si>
  <si>
    <t>Manovich Lev</t>
  </si>
  <si>
    <t>978-607-28-1817-0</t>
  </si>
  <si>
    <t>La expansión de lo público. Indagaciones tecnopolíticas  de la sociedad hiperconectada</t>
  </si>
  <si>
    <t>Rodríguez Cano César Augusto</t>
  </si>
  <si>
    <t>978-607-28-1954-2</t>
  </si>
  <si>
    <t>978-607-28-1997-9</t>
  </si>
  <si>
    <t>Breve manual del libro fantástico</t>
  </si>
  <si>
    <t>Abad, Roberto</t>
  </si>
  <si>
    <t>978-607-28-1866-8</t>
  </si>
  <si>
    <t>Cambio climático y agua en ciudades: impactos en la Ciudad de México
Aspectos científicos y políticas públicas</t>
  </si>
  <si>
    <t>Soto Montes de Oca, Gloria; Herrera Pantoja, Marina</t>
  </si>
  <si>
    <t>Cine digital y teoría del autor
Reflexiones semióticas y estéticas de la autoría
en la era de Emmanuel Lubezki</t>
  </si>
  <si>
    <t>Castellanos Cerda, Vicente; García Aguilar, Raúl;
Martínez Martínez, Rodrigo (coords.)</t>
  </si>
  <si>
    <t>Investigaciones Contemporáneas sobre Cine
UAM-C</t>
  </si>
  <si>
    <t>978-607-28-1706-7</t>
  </si>
  <si>
    <t>Contenido y fenomenología de la percepción
Aproximaciones filosóficas</t>
  </si>
  <si>
    <t>Peláez Cedrés, Álvaro; Cervieri Lores, Ignacio (comps.)</t>
  </si>
  <si>
    <t>Coronalibro</t>
  </si>
  <si>
    <t>978-607-28-1839-2</t>
  </si>
  <si>
    <t>Das Kapital
Marx, actualidad y crítica</t>
  </si>
  <si>
    <t>Aroch Fugellie, Paulina; Gallegos Camacho, Enrique; Sampaio de
Madureira, Miriam; Victoriano Serrano, Felipe (coords.)</t>
  </si>
  <si>
    <t>978-607-28-1770-8</t>
  </si>
  <si>
    <t>Economía heterodoxa. Fuentes de diseño de políticas de emprendimiento basado en innovación</t>
  </si>
  <si>
    <t>Lizbeth Martínez Ramírez, Jaime Muñoz Flores y Arturo Torres Vargas</t>
  </si>
  <si>
    <t>DCSH</t>
  </si>
  <si>
    <t>978-607-28-1830-9</t>
  </si>
  <si>
    <t>Histeria e historia. Un relato sobre el siglo XIX mexicano</t>
  </si>
  <si>
    <t>Frida Gorbach</t>
  </si>
  <si>
    <t>978-607-28-1831-6</t>
  </si>
  <si>
    <t>La vida privada de las bibliotecas: rastros de colecciones novohispanas, 1700-1800</t>
  </si>
  <si>
    <t>Idalia García</t>
  </si>
  <si>
    <t>DCSH / Universidad del Rosario</t>
  </si>
  <si>
    <t>978-607-28-1798-2</t>
  </si>
  <si>
    <t>La violencia y sus sombra. Aproximaciones desde Colombia y México</t>
  </si>
  <si>
    <t>María Victoria Uribe y Rodrigo Parrini (Edits.)</t>
  </si>
  <si>
    <t>978-607-28-2015-9</t>
  </si>
  <si>
    <t>Libro multiplicado, El
Prácticas editoriales y de lectura en el México del Siglo XX</t>
  </si>
  <si>
    <t xml:space="preserve">Bello Baños, Kenya; Garone Gravier, Marina (coords.) </t>
  </si>
  <si>
    <t>Colección Académica, UAM-C</t>
  </si>
  <si>
    <t>Gallegos Camacho, Enrique G.</t>
  </si>
  <si>
    <t>Monopolios del Conocimiento, Big Data
y Conocimiento Abierto</t>
  </si>
  <si>
    <t>Elizondo Martínez, Jesús Octavio</t>
  </si>
  <si>
    <t>978-607-28-1641-1</t>
  </si>
  <si>
    <t>Mundos habitados
Espacios de arquitectura, diseño y música en la Ciudad de México</t>
  </si>
  <si>
    <t>Guadarrama Olivera, Rocío; Moreno Carranco, María</t>
  </si>
  <si>
    <t>978-607-28-1571-1</t>
  </si>
  <si>
    <t>Cuerpo contra cuerpo</t>
  </si>
  <si>
    <t>Margo Glantz</t>
  </si>
  <si>
    <t>UAM Cuajimalpa / Sexto Piso</t>
  </si>
  <si>
    <t>978-607-28-1856-9</t>
  </si>
  <si>
    <t>El palacio</t>
  </si>
  <si>
    <t>Mario Bellatin</t>
  </si>
  <si>
    <t>UAM-Cuajimalpa / Sexto Piso</t>
  </si>
  <si>
    <t>978-607-28-1855-2</t>
  </si>
  <si>
    <t>Tsunami 2</t>
  </si>
  <si>
    <t>Gabriela Jáuregui (coordinadora)</t>
  </si>
  <si>
    <t>978-607-28-1881-1</t>
  </si>
  <si>
    <t>Geometrìa Analìtica a travès de problemas, actividades y uso de TIC</t>
  </si>
  <si>
    <t>Gabriel Lòpez Garza</t>
  </si>
  <si>
    <t>en tràmite</t>
  </si>
  <si>
    <t xml:space="preserve">Teorìa de Funciones de una Variable Compleja </t>
  </si>
  <si>
    <t>Laura Hidalgo</t>
  </si>
  <si>
    <t>en trámite</t>
  </si>
  <si>
    <t>Aspectos moleculares del desarrollo de las angiospermas:
Morfogénesis de la raíz</t>
  </si>
  <si>
    <t>Díaz Pontones, David Manuel; Corona Carrillo, José Isaac</t>
  </si>
  <si>
    <t>CBS UAM-I</t>
  </si>
  <si>
    <t xml:space="preserve">Ejercicios para el Taller de Diseño Experimental </t>
  </si>
  <si>
    <t>Castillo Morales, Alberto; Cuervo López, Flor de María; González Robles, Rosa Obdulia</t>
  </si>
  <si>
    <t>978-607-28-1306-9</t>
  </si>
  <si>
    <t xml:space="preserve">Ficología aplicada
</t>
  </si>
  <si>
    <t>Rodríguez Palacio, Mónica Cristina; Lozano Ramírez, Cruz;
Álvarez Hernández, Sergio Humberto</t>
  </si>
  <si>
    <t>978-607-28-1309-0</t>
  </si>
  <si>
    <t>Laboratorio Integral de Química Orgánica</t>
  </si>
  <si>
    <t>Dr. Sergio Andrés Alatorre Santamaría, Dra. Yenizey Merit Álvarez Cisneros, Dra. Rosa María Galicia Cabrera, Dr. Francisco Cruz Sosa, M.en.C. Jorge Armando Haro Castellanos y M.en.C. Ignacio López y Celis</t>
  </si>
  <si>
    <t>En trámite</t>
  </si>
  <si>
    <t>150 años de la publicación del tomo uno del Capital de Marx</t>
  </si>
  <si>
    <t>Itaca</t>
  </si>
  <si>
    <t>En tramite</t>
  </si>
  <si>
    <t>Académicos mexicanos ante las reformas universitarias, Los
Las experiencias de cuatro universidades</t>
  </si>
  <si>
    <t>Rodríguez Lagunas, Javier (coord.)</t>
  </si>
  <si>
    <t>978-607-28-1777-7</t>
  </si>
  <si>
    <t>Activismo, diversidad y género. Derechos de las mujeres indigenas y afromexicanas en tiempos de violencias en México</t>
  </si>
  <si>
    <t>Laura R. Valladares de la Cruz y Gema Tabares Merino (Corrdinadoras)</t>
  </si>
  <si>
    <t>UAM/Juan Pablos</t>
  </si>
  <si>
    <t>978-607-28-1923-8</t>
  </si>
  <si>
    <t>Activismo, diversidad y género. Derechos de las mujeres indigenas y afromexicanas en tiempos de violencias en México (Versión digital)</t>
  </si>
  <si>
    <t>978-607-28-1991-7</t>
  </si>
  <si>
    <t>Agro-Biocombustibles (abc) en disputa: simulaciones
desarrollistas en Chiapas</t>
  </si>
  <si>
    <t>Gaitán Tolosa, Daniel Felipe</t>
  </si>
  <si>
    <t>UNAM, INAH, El Colegio México, CIESAS y Universidad Iberoamericana.</t>
  </si>
  <si>
    <t>978-607-30-1031-3</t>
  </si>
  <si>
    <t>Ángel Palerm. Un siglo después</t>
  </si>
  <si>
    <t>Carmen Bueno Castellanos y Osmany Suárez Rivero (Coordinadores)</t>
  </si>
  <si>
    <t>UAM/UIA/CIESAS/COLMICH</t>
  </si>
  <si>
    <t>978-607-28-1919-1</t>
  </si>
  <si>
    <t>Antropólog@s del milenio. Desigualdad, precarizacióny heterogeneidad en las condiciones laborales de la antropología en México</t>
  </si>
  <si>
    <t>Reygadas Robles Gil, Luis</t>
  </si>
  <si>
    <t>INAH, CIESAS, UIA y CEAS</t>
  </si>
  <si>
    <t>Carlos A. Madrazo: Pensamiento y acción para tiempos inciertos</t>
  </si>
  <si>
    <t xml:space="preserve">Pedro Fernando Castro Martínez </t>
  </si>
  <si>
    <t>Cines latinoamericanos en circulación: en busca del público perdido</t>
  </si>
  <si>
    <t>Ana María Rosas Mantecón y Leandro González (Cordinadores)</t>
  </si>
  <si>
    <t>978-607-28-1921-4</t>
  </si>
  <si>
    <t>Colección de distintivos de partidos políticos registrados durante los años 1926-1928</t>
  </si>
  <si>
    <t>Mac Gregor Campuzano, Javier; Guzmán Guajardo, Javier (pres.)</t>
  </si>
  <si>
    <t>978-607-28-1737-1</t>
  </si>
  <si>
    <t>Conocimiento, ambiente y poder
Perspectivas desde la ecología política</t>
  </si>
  <si>
    <t>Guzmán Chávez, Mauricio Genet; Tyrtania Geidt, Leonardo;
Garibay Orozco, Claudio (coords.)</t>
  </si>
  <si>
    <t>Colsan, UNAM Y CIESAS</t>
  </si>
  <si>
    <t>978-607-28-1469-1</t>
  </si>
  <si>
    <t>Consideraciones teóricas y metodológicas de las escrituras académicas en nivel superior
Un enfoque desde la reflexividad</t>
  </si>
  <si>
    <t>Hernández Rodríguez, Ernesto</t>
  </si>
  <si>
    <t>978-607-28-1739-5</t>
  </si>
  <si>
    <t>De belleza y misoginia. Los afeites en las literaturas medieval, áurea y virreinal</t>
  </si>
  <si>
    <t>María José Rodilla León</t>
  </si>
  <si>
    <t>UAM/Iberoamericana Vervuert</t>
  </si>
  <si>
    <t>978-3-96869-112-1</t>
  </si>
  <si>
    <t>Democratizar desde la Ciudad</t>
  </si>
  <si>
    <t>Armando Rendon Corona</t>
  </si>
  <si>
    <t>Depatamento de Sociología</t>
  </si>
  <si>
    <t xml:space="preserve">El análisis organizacional en desarrollo local. </t>
  </si>
  <si>
    <t>Juan Manuel Herrera Caballero</t>
  </si>
  <si>
    <t>CIDE</t>
  </si>
  <si>
    <t>978-994-280-232-3</t>
  </si>
  <si>
    <t>El culto a la derrota. Narrativas del fracaso en la novela histórica mexicana</t>
  </si>
  <si>
    <t>Brian Price</t>
  </si>
  <si>
    <t>UAM/Ediciones del Lirio</t>
  </si>
  <si>
    <t>Elecciones y partidos políticos en México 2015</t>
  </si>
  <si>
    <t>Coord. Manuel Larrosa Haro</t>
  </si>
  <si>
    <t xml:space="preserve"> 978-607-28-1901-6 </t>
  </si>
  <si>
    <t>Escritos sobre la filosofía política de György Lukács</t>
  </si>
  <si>
    <t>Velázquez Delgado, Jorge; Reyes Camargo, Raúl (coords.)</t>
  </si>
  <si>
    <t>Bonilla Artiga Editores</t>
  </si>
  <si>
    <t>978-607-28-1565-0</t>
  </si>
  <si>
    <t>Espacios, géneros y sexualidades. Reflexiones feministas sobre las relaciones espaciales</t>
  </si>
  <si>
    <t>Coord. Paula Soto Villagrán</t>
  </si>
  <si>
    <t xml:space="preserve">978-607-28-1903-0 </t>
  </si>
  <si>
    <t>Estudios transnacionales
Claves desde la antropología</t>
  </si>
  <si>
    <t>Besserer Alatorre, Federico</t>
  </si>
  <si>
    <t>Estudios Transnacionales
Juan Pablos Editor</t>
  </si>
  <si>
    <t>Estudios transnacionales. Claves desde la antropología (Versión digital)</t>
  </si>
  <si>
    <t>José Federico Besserer Alatorre</t>
  </si>
  <si>
    <t>978-607-28-1922-1</t>
  </si>
  <si>
    <t>Evocar para no olvidar. A cien años de la creación de la Secretaría de educación Pública (1921-2021)</t>
  </si>
  <si>
    <t>Alberto  Enriquez Perea (coord.)</t>
  </si>
  <si>
    <t>Extrañezas íntimas
Inquietudes en torno a Das Unheimliche en la sociedad y el arte</t>
  </si>
  <si>
    <t>Warren Johnson, Anne; Díaz Cruz, Rodrigo;
Guzmán Vázquez, Adriana (coords.)</t>
  </si>
  <si>
    <t>Cladema. Antropología
Gedisa Editorial</t>
  </si>
  <si>
    <t>978-607-28-1395-3</t>
  </si>
  <si>
    <t>Feíta, una chicuela indómita y extravagante</t>
  </si>
  <si>
    <t xml:space="preserve">Alma Mejía González </t>
  </si>
  <si>
    <t>Fray Francisco de Afrojin. Viajero por la Nueva España</t>
  </si>
  <si>
    <t>Ana Margarita Ramírez Sánchez</t>
  </si>
  <si>
    <t xml:space="preserve">Geografías de la electrificación </t>
  </si>
  <si>
    <t>Pedro Sunyer Martín</t>
  </si>
  <si>
    <t>Instituto de Geografía de la UNAM -Instituto Mora</t>
  </si>
  <si>
    <t>970-322-976-X</t>
  </si>
  <si>
    <t>Inmigración, trabajo, movilización y sociabilidad laboral. México y América Latina siglos XVI a XX</t>
  </si>
  <si>
    <t>Sonia Pérez Toledo (coord.)</t>
  </si>
  <si>
    <t>Juan José Arreola. Las mil y una invenciones</t>
  </si>
  <si>
    <t>Luz Elena Zamudio Rodríguez y Alfredo Pavón (coords.)</t>
  </si>
  <si>
    <t>Justicia Electoral y resolución de conflictos en las elecciones</t>
  </si>
  <si>
    <t>Coord. Luis Eduardo Medina Torres</t>
  </si>
  <si>
    <t>Instituto Electoral del Edo. De México</t>
  </si>
  <si>
    <t>978-607-949-686-9</t>
  </si>
  <si>
    <t>La elección federal de 2018 en México una nueva reconfiguración del poder político</t>
  </si>
  <si>
    <t>Coords. Alberto Escamilla Cadena, Laura del Alizal Arriaga</t>
  </si>
  <si>
    <t xml:space="preserve"> 978-607-28-1905-4</t>
  </si>
  <si>
    <t xml:space="preserve"> 978-607-8708</t>
  </si>
  <si>
    <t>978-607-28-1902-3</t>
  </si>
  <si>
    <t>La ficción en Juan José Saer y Ricardo Piglia. Lecturas contra el colonialismo y la industria cultura</t>
  </si>
  <si>
    <t>Alfonso Macedo Rodríguez</t>
  </si>
  <si>
    <t>México 2012-2018
¿Erosión de la democracia?</t>
  </si>
  <si>
    <t>Guillén Rodríguez, Diana; Monsiváis Carrillo, Alejandro; Tejera Gaona,
Héctor (coords.)</t>
  </si>
  <si>
    <t>Instituto de Investigaciones Dr. José María Luis Mora y Juan Pablos Editor</t>
  </si>
  <si>
    <t>Neoliberal (urbanismo -transformaciones): Luchas populares en Chile y México</t>
  </si>
  <si>
    <t>Coord. Adrian Hernández Cordero</t>
  </si>
  <si>
    <t>978-607-302-401-3</t>
  </si>
  <si>
    <t>Periferias Antropología en los límites de la ciudad y la cultura</t>
  </si>
  <si>
    <t>Portal Ariosa, María Ana; Zirión Pérez, Antonio (coords.)</t>
  </si>
  <si>
    <t>Biblioteca Iberoamericana del Pensamiento
Gedisa Editorial</t>
  </si>
  <si>
    <t>978-607-28-1384-7</t>
  </si>
  <si>
    <t>Planeación, desarrollo y experiencia de una investigación-intervención psicosocial con familias en comunidad</t>
  </si>
  <si>
    <t>Coord. Marisol Pérez Ramos</t>
  </si>
  <si>
    <t>UAM/CONACYT</t>
  </si>
  <si>
    <t>978-607-28-1846-0</t>
  </si>
  <si>
    <t>Reflexiones y representaciones de la maternidad. La ficción, el pensamiento y la imagen</t>
  </si>
  <si>
    <t>Alma Mejía González (coord.)</t>
  </si>
  <si>
    <t>Repensar la antropología mexicana del siglo xxi
Viejos problemas, nuevos desafíos</t>
  </si>
  <si>
    <t>Portal Ariosa, María Ana (coord.)</t>
  </si>
  <si>
    <t>Biblioteca de Alteridades (40)
Juan Pablos Editor</t>
  </si>
  <si>
    <t>Repensar la antropología mexicana del siglo XXI. Viejos problemas, nuevos desafíos. (Versión digital)</t>
  </si>
  <si>
    <t>María Ana Portal Ariosa (Coordinadora)</t>
  </si>
  <si>
    <t>978-607-28-1920-7</t>
  </si>
  <si>
    <t>Revista Alteridades número 59 (Versión electrónica)</t>
  </si>
  <si>
    <t>e-ISSN: 2448-850X</t>
  </si>
  <si>
    <t>Revista Alteridades número 60 (Versión electrónica)</t>
  </si>
  <si>
    <t>Toda la obra de Sade sobre sus pies…</t>
  </si>
  <si>
    <t>978-607-865-125-2</t>
  </si>
  <si>
    <t>Una Historia Mínima del Pensamiento Económico. Del Antiguo Testamento a la Nueva Economía Clasica</t>
  </si>
  <si>
    <t>Alejandro Toledo Patiño</t>
  </si>
  <si>
    <t>UAMI-Departamento de Economía</t>
  </si>
  <si>
    <t>978-607-28-1690-9</t>
  </si>
  <si>
    <t>Revista Alteridades número 59</t>
  </si>
  <si>
    <t>ISSN: 0188-7017</t>
  </si>
  <si>
    <t>Revista Alteridades número 60</t>
  </si>
  <si>
    <t xml:space="preserve">Configuraciones productivas y circulatorias en los servicios </t>
  </si>
  <si>
    <t>Marcela Adriana Hernández romo y Enrique de la Garza</t>
  </si>
  <si>
    <t>Novedades editoriales</t>
  </si>
  <si>
    <t>Identidad social individuos, personas y colectivos A.C.</t>
  </si>
  <si>
    <t xml:space="preserve">Angelica Bautista López </t>
  </si>
  <si>
    <t>UAM*A</t>
  </si>
  <si>
    <t>La renovación del mandato: reglas de operación, diseños institucionales y su aplicación en México</t>
  </si>
  <si>
    <t>Enrique Cuna Peréz y Alberto Escamilla Cadena</t>
  </si>
  <si>
    <t>Revista Mexicana de Estusios Electorales</t>
  </si>
  <si>
    <t>Legislación y paisaje. Un debate abierto en México</t>
  </si>
  <si>
    <t>Coord. Martín Manuel Checa Artasu</t>
  </si>
  <si>
    <t>Políticas Públicas y Cambio de Régimen</t>
  </si>
  <si>
    <t>Juan Mendoza y José Ma. Martinelli</t>
  </si>
  <si>
    <t>Empleo de las trans-receptor AD936x y una plataforma Soc, como banco de prueba, para el desarrollo de aplicaciones Software Defined Radio</t>
  </si>
  <si>
    <t>Dr. Gerardo Abel Laguna Sánchez</t>
  </si>
  <si>
    <t>Consejo Editorial de la DCBI de la 
UAM Lerma</t>
  </si>
  <si>
    <t>978-607-28-1957-3</t>
  </si>
  <si>
    <t>Manual de prácticas: Laboratorio  para el curso sistemas basados en Microcontroladores</t>
  </si>
  <si>
    <t>Dr. Gerardo Abel Laguna Sánchez, 
Dr. Celso Sánchez Márquez</t>
  </si>
  <si>
    <t>978-607-28-1958-0</t>
  </si>
  <si>
    <t>Alfabetizaciones digitales críticas
De las herramientas a la gestión de la comunicación</t>
  </si>
  <si>
    <t>Garay Cruz, Luz María; Hernández Gutiérrez, Daniel (coords.)</t>
  </si>
  <si>
    <t xml:space="preserve"> Juan Pablos Editor</t>
  </si>
  <si>
    <t xml:space="preserve">Espacio inmersividad: miradas desde la transversalidad filosofía-arte-ciencia-tecnología </t>
  </si>
  <si>
    <t>Olivares Soria, Edmat; Mosqueda Gómez, Claudia (coords.)</t>
  </si>
  <si>
    <t>978-607-28-1896-5</t>
  </si>
  <si>
    <t>Formación ciudadana en estudiantes universitarios</t>
  </si>
  <si>
    <t>Ortiz Henderson, Gladys (coord.)</t>
  </si>
  <si>
    <t>Editorial Terracota</t>
  </si>
  <si>
    <t>978-607-28-1969-6</t>
  </si>
  <si>
    <t>Formas de resistencia: siete experiencias de escucha
y denuncia en las prácticas artísticas</t>
  </si>
  <si>
    <t>Sánchez Cardona, Luz María; Sánchez-Cardona, Ana Paula (coords.)</t>
  </si>
  <si>
    <t>978-607-28-1897-2</t>
  </si>
  <si>
    <t>Futuros digitales
Exploraciones socioculturales de las TIC</t>
  </si>
  <si>
    <t>Hernández Gutiérrez, Daniel; Ortiz Henderson, Gladys;
Nájera Espinosa, Ozziel (coords.)</t>
  </si>
  <si>
    <t>Máquinas para descomponer la mirada. Estudios sobre la historia de las artes electrónicas y digitales en México</t>
  </si>
  <si>
    <t>Jesús Fernando Monreal Ramírez</t>
  </si>
  <si>
    <t>UAM Lerma y Juan Pablos Editores</t>
  </si>
  <si>
    <t>978-607-28-1800-2</t>
  </si>
  <si>
    <t>Mujeres, conocimiento y poder
Genealogía vindicativa en los medios de comunicación y las academias</t>
  </si>
  <si>
    <t>Güereca Torres, Raquel</t>
  </si>
  <si>
    <t>Políticas públicas con perspectiva territorial</t>
  </si>
  <si>
    <t>Rosa Rodríguez, José Javier de la; García Yagüe, Sofía; León Calderón,
Alma Patricia de (coords.)</t>
  </si>
  <si>
    <t>978-607-28-1677-0</t>
  </si>
  <si>
    <t>Ciudad en disputa
Política urbana, movilización iudadana y nuevas desigualdades urbanas</t>
  </si>
  <si>
    <t>Torre Galindo, Francisco Javier de la;
Ramírez Velázquez, Blanca Rebeca (coords.)</t>
  </si>
  <si>
    <t>978-607-28-1845-3</t>
  </si>
  <si>
    <t>Diseño, procesos tecnológicos y transhumanismo</t>
  </si>
  <si>
    <t>Ensayos sobre retórica y diseño</t>
  </si>
  <si>
    <t>Rivera Díaz, Luis Antonio (comp.)</t>
  </si>
  <si>
    <t>Antologías</t>
  </si>
  <si>
    <t>Ensayos urbanos 
La Ciudad de México en el siglo XIX</t>
  </si>
  <si>
    <t>Morales Martínez, María Dolores</t>
  </si>
  <si>
    <t>Antologías, UAM-X</t>
  </si>
  <si>
    <t>UAM Xochimilco</t>
  </si>
  <si>
    <t>978-607-28-2070-8</t>
  </si>
  <si>
    <t>Esquinas, Las
Lugar y habitabilidad</t>
  </si>
  <si>
    <t>González Riquelme, Alicia Paz; Basurto Salazar, Eduardo</t>
  </si>
  <si>
    <t>Estudios y restauración del patrimonio arquitectónico y urbano</t>
  </si>
  <si>
    <t>Díaz-Berrio Fernández, Salvador</t>
  </si>
  <si>
    <t xml:space="preserve"> Antologías</t>
  </si>
  <si>
    <t>Formas de habitar
Arquitectura y vivienda popular</t>
  </si>
  <si>
    <t>Andrade Narváez, Jorge Iván</t>
  </si>
  <si>
    <t>Ganarse la letra</t>
  </si>
  <si>
    <t>Fontana, Rubén</t>
  </si>
  <si>
    <t>Introducción a los métodos cuantitativos en la planeación territorial</t>
  </si>
  <si>
    <t>Olaizola Arizmendi, Iñaqui de; Aguilar Méndez, Fernando Antonio</t>
  </si>
  <si>
    <t xml:space="preserve">Investigación y diseño vol. 5 </t>
  </si>
  <si>
    <t>Blanca Rebeca Ramírez Velázquez (varios autores)</t>
  </si>
  <si>
    <t>Volumen: 978-607-28-0400-5. Obra completa: 978-607-28-1844-6</t>
  </si>
  <si>
    <t>Juventud actual, universidad futura</t>
  </si>
  <si>
    <t>Luis Porter Galetar</t>
  </si>
  <si>
    <t>978-607-28-1986-3</t>
  </si>
  <si>
    <t>Mejoramiento, remozamiento y animación barrial
Propuesta estética gozosa</t>
  </si>
  <si>
    <t>Guzmán Ríos, Vicente</t>
  </si>
  <si>
    <t>978-607-28-1842-2</t>
  </si>
  <si>
    <t>Micro urbanismo. Al rescate del peatón en los espacios urbanos</t>
  </si>
  <si>
    <t xml:space="preserve">Trillas </t>
  </si>
  <si>
    <t>978-607-174-001-4</t>
  </si>
  <si>
    <t xml:space="preserve">Pensamiento, lenguaje y composición arquitectónica </t>
  </si>
  <si>
    <t xml:space="preserve">Horacio Sánchez Sánchez y Rafael Ramírez Priego </t>
  </si>
  <si>
    <t>978-607-28-1960-3</t>
  </si>
  <si>
    <t>Prefiguración y configuración mediante ejercicios de dibujo</t>
  </si>
  <si>
    <t>Anzaldúa Uribe, Enrique</t>
  </si>
  <si>
    <t>Repensar la Metrópoli III (Tomo 1)</t>
  </si>
  <si>
    <t>Roberto Eibenschutz Hartman y Laura Olivia Carrillo (coords.)</t>
  </si>
  <si>
    <t>ANUIES, CRAM, UAM</t>
  </si>
  <si>
    <t>978-607-451-155-0</t>
  </si>
  <si>
    <t>Repensar la Metrópoli III (Tomo 2)</t>
  </si>
  <si>
    <t>978-607-451-156-7</t>
  </si>
  <si>
    <t>Bases de la química heterocíclica aplicada a la obtención de compuestos orgánicos de interés
farmacéutico</t>
  </si>
  <si>
    <t>Soria Arteche, Olivia; Pérez Villanueva, Jaime et al.</t>
  </si>
  <si>
    <t>978-607-28-1887-3</t>
  </si>
  <si>
    <t>Biodiversidad de Barra de Potosí, Guerrero, México
Hacia una interacción entre conservación y turismo</t>
  </si>
  <si>
    <t>Meléndez Estrada, Alejandro; Chimal Hernández, Aurora;
Figueroa Fernández, Ana I. et al.</t>
  </si>
  <si>
    <t>978-607-28-1628-2</t>
  </si>
  <si>
    <t>Características biológicas del pez ángel (Pterophyllum scalare;
Lichtenstein 1823) para su producción</t>
  </si>
  <si>
    <t>Bustamante González, Jesús D.; González Rentería, Mariela;
Ávalos Rodríguez, Alejandro et al.</t>
  </si>
  <si>
    <t>978-607-28-1699-2</t>
  </si>
  <si>
    <t>Caracterización de materiales de interés farmacéutico. Vol. 1 Tamaño de partícula</t>
  </si>
  <si>
    <t>Quirino Barreda, Carlos Tomás; Noguez Méndez, Norma Angélica et al.</t>
  </si>
  <si>
    <t>978-607-28-1886-6</t>
  </si>
  <si>
    <t>Caracterización de materiales de interés farmacéutico. Vol. 2 Potencial zeta</t>
  </si>
  <si>
    <t>978-607-28-1885-9</t>
  </si>
  <si>
    <t>Criterios básicos de un sistema de gestión de la calidad
para la industria farmacéutica en México</t>
  </si>
  <si>
    <t>Ortega Almanza, Leticia; Amaro Mejía, Mauricio;
Salazar García, Alfredo</t>
  </si>
  <si>
    <t>Desarrollo de probióticos para peces dulceacuícolas</t>
  </si>
  <si>
    <t>Ramírez Torres, José; Orozco Rojas, Dafne;
Monroy Dosta, Ma. del Carmen et al.</t>
  </si>
  <si>
    <t>978-607-28-1643-5</t>
  </si>
  <si>
    <t>Elaboración y análisis de una encuesta utilizando el paquete estadístico SPSS como ejercicio
de investigación modular</t>
  </si>
  <si>
    <t>Ortíz Hernández, Luis; Pérez Salgado, Diana</t>
  </si>
  <si>
    <t>978-607-28-1888-0</t>
  </si>
  <si>
    <t>Enfermedad de Alzheimer. Aspectos clínicos, genéticos, diagnósticos, terapéuticos y bioéticos</t>
  </si>
  <si>
    <t>López López, Marisol; Zúñiga Santamaría, Tirso (Coord.)</t>
  </si>
  <si>
    <t>978-607-28-1883-5</t>
  </si>
  <si>
    <t>Ensayos sobre ética de la salud. Aspectos clínicos y biomédicos</t>
  </si>
  <si>
    <t>Álvarez Díaz, Jorge Alberto.; López Moreno, Sergio (Coord.)</t>
  </si>
  <si>
    <t>978-607-28-1889-7</t>
  </si>
  <si>
    <t>Ensayos sobre ética de la salud. Investigación</t>
  </si>
  <si>
    <t>978-607-28-1890-3</t>
  </si>
  <si>
    <t>Estrategias didácticas en entornos de aprendizaje enriquecidos con tecnología (antes del Covid-19)</t>
  </si>
  <si>
    <t>Sánchez Martínez, María Cristina; Martínez Durán, José Luis et al.</t>
  </si>
  <si>
    <t>978-607-28-1815-6</t>
  </si>
  <si>
    <t xml:space="preserve">Guía de auxiliares de diagnóstico y aparatología ortodóncica preventiva e interceptiva </t>
  </si>
  <si>
    <t xml:space="preserve">Garcilazo Gómez, Alfredo; López González, Lorena </t>
  </si>
  <si>
    <t>CBS (58) UAM-X</t>
  </si>
  <si>
    <t>978-607-28-1610-7</t>
  </si>
  <si>
    <t>Guía de los ácaros e insectos herbívoros de México. Vol. 4 Ácaros e insectos antófagos y carpófagos de importancia agrícola y forestal</t>
  </si>
  <si>
    <t>Cervantes Mayagoitia, José Francisco; Huacuja Zamudio, Aurea Hilda</t>
  </si>
  <si>
    <t>978-607-28-1814-9</t>
  </si>
  <si>
    <t>Las aventuras de Dulce Clarita</t>
  </si>
  <si>
    <t>Ríos Cortázar, Víctor México; Gasca García, Alejandra et al.</t>
  </si>
  <si>
    <t>UAM-SEP-INSP</t>
  </si>
  <si>
    <t>978-607-28-1861-3</t>
  </si>
  <si>
    <t>Manual de prácticas orientado a la enseñanza quirúrgica en medicina veterinaria y zootecnia</t>
  </si>
  <si>
    <t>Pérez Rivero Cruz y Celis, Juan José; Gutierrez Cruz, Michelle et al.</t>
  </si>
  <si>
    <t>978-607-28-1850-7</t>
  </si>
  <si>
    <t>Manual de prácticas para el módulo calidad de los productos de origen animal</t>
  </si>
  <si>
    <t>González Sánchez, José Fernando; Barrera Olguín, Anais Michelle et al.</t>
  </si>
  <si>
    <t>978-607-28-1891-0</t>
  </si>
  <si>
    <t>Manual práctico de histotecnología general</t>
  </si>
  <si>
    <t>Sida Martínez, Elodia; Rodríguez Mata, Verónica;
Trinidad Bibiano, Héctor et al.</t>
  </si>
  <si>
    <t>978-607-28-1754-8</t>
  </si>
  <si>
    <t>Movimientos elementales complejos. Su empleo en el diagnóstico temprano de alteraciones en el neurodesarrollo</t>
  </si>
  <si>
    <t>Correa Ramírez, Alicia; Sánchez Pérez, María del Carmen et al.</t>
  </si>
  <si>
    <t>978-607-28-1892-7</t>
  </si>
  <si>
    <t>Narcisismo y fenómenos fronterizos
en la clínica psicoanalítica</t>
  </si>
  <si>
    <t>García Alcaraz, Alma; Monroy Solís, María Regina;
Martínez González, Marcela de la A.</t>
  </si>
  <si>
    <t>978-607-28-1642-8</t>
  </si>
  <si>
    <t>Perspectivas multidimensionales del VIH</t>
  </si>
  <si>
    <t>Robles Aguirre, Bernardo Adrián; Granados Cosme, José Arturo (Coord.)</t>
  </si>
  <si>
    <t>978-607-28-1894-1</t>
  </si>
  <si>
    <t>Preparación y mantenimiento de alimento vivo para peces de ornato. Manual ilustrativo</t>
  </si>
  <si>
    <t>Torres Ortega, Carlos Alberto; Martínez Espinosa, David Alberto et al.</t>
  </si>
  <si>
    <t>978-607-28-1882-8</t>
  </si>
  <si>
    <t>Ser médico
Relatos, historias y reflexiones en búsqueda de su elusiva esencia</t>
  </si>
  <si>
    <t>Chapela Mendoza, Ma. del Consuelo (ed.)</t>
  </si>
  <si>
    <t>978-607-28-1609-1</t>
  </si>
  <si>
    <t>Temas selectos en vacunación animal</t>
  </si>
  <si>
    <t>Sánchez Castilleja, Yolanda Margarita; González García, Ulises Alejandro et al.</t>
  </si>
  <si>
    <t>978-607-28-1893-4</t>
  </si>
  <si>
    <t>Valoración de la persona adulta mayor con enfoque en el autocuidado</t>
  </si>
  <si>
    <t>Rivas Espinosa, Juan Gabriel; Bailón Baltazar, Emmanuel Jesús et al.</t>
  </si>
  <si>
    <t>978-607-28-1884-2</t>
  </si>
  <si>
    <t>#Radio Comunitaria
Participación ciudadana sin límites</t>
  </si>
  <si>
    <t>Ortega Ramírez, Patricia; Repoll, Jerónimo (coords.)</t>
  </si>
  <si>
    <t>¡Porqué Ayutla es de los libres! La disputa por la autonomía municipal en Guerrero</t>
  </si>
  <si>
    <t>David Benítez (coord.)</t>
  </si>
  <si>
    <t>978-607-28-1994-8</t>
  </si>
  <si>
    <t>¿Cómo comprender lo social para colaborar en un cambio?</t>
  </si>
  <si>
    <t>Roberto Serafín Diego Quintana</t>
  </si>
  <si>
    <t>UAM / Bonilla distribución y edición</t>
  </si>
  <si>
    <t>978-607-28-1987-0</t>
  </si>
  <si>
    <t>A hombros de gigantes
Competencias humanas desde la mirada sociohistórica constructivista</t>
  </si>
  <si>
    <t>Río Lugo, Norma del</t>
  </si>
  <si>
    <t>Abordajes metodológicos para el análisis de conflictos</t>
  </si>
  <si>
    <t>José Luis Cisneros (coord.)</t>
  </si>
  <si>
    <t>UAM / Ediciones Eón</t>
  </si>
  <si>
    <t>978-607-28-1939-9</t>
  </si>
  <si>
    <t>Acompañando a los migrantes en su derecho a la salud.</t>
  </si>
  <si>
    <t>Alejandro Cerda García</t>
  </si>
  <si>
    <t>978-607-28-1937-5</t>
  </si>
  <si>
    <t>Activismo católico, Acuerdos de Paz y Modus Vivendi en México</t>
  </si>
  <si>
    <t>Gabriela Contreras Pérez (coord.)</t>
  </si>
  <si>
    <t>978-607-28-1950-4</t>
  </si>
  <si>
    <t xml:space="preserve">Antropologías feministas </t>
  </si>
  <si>
    <t>Mary Goldsmith Connelly (coord.)</t>
  </si>
  <si>
    <t>UAM / CEICH-UNAM / Bonilla distribución y edición</t>
  </si>
  <si>
    <t>978-607-28-1847-7</t>
  </si>
  <si>
    <t>Biorrefinerías y Economía Circular</t>
  </si>
  <si>
    <t>Carrillo González, Graciela; Torres Bustillos, Luis G. (coords.)</t>
  </si>
  <si>
    <t>Bordes de(l) lenguaje. Juego lingüístico y lazo de discurso</t>
  </si>
  <si>
    <t xml:space="preserve">Hans Seatel </t>
  </si>
  <si>
    <t>978-607-28-2071-5</t>
  </si>
  <si>
    <t xml:space="preserve">Ciudad de México: Procesos políticos, representación vecinal y participación </t>
  </si>
  <si>
    <t>Yolanda Massieu Trigo (coord.)</t>
  </si>
  <si>
    <t>978-607-28-2005-0</t>
  </si>
  <si>
    <t>Comunidades emocionales
Resistiendo a las violencias en América Latina</t>
  </si>
  <si>
    <t>Macleod, Morna; Marinis, Natalia De (coords.)</t>
  </si>
  <si>
    <t>Instituto Colombiano de Antropología e Historia</t>
  </si>
  <si>
    <t xml:space="preserve">Con la vida en un bolso. Facetas emergentes del retorno, la deportación y el refugio en la salud de los migrantes en México </t>
  </si>
  <si>
    <t>UAM /Editorial Terracota</t>
  </si>
  <si>
    <t>978-607-28-1876-7</t>
  </si>
  <si>
    <t>Contexto institucional para la innovación</t>
  </si>
  <si>
    <t>Daniel Villavicencio y Graciela Carrillo (coords.)</t>
  </si>
  <si>
    <t>UAM / Editorial Itaca</t>
  </si>
  <si>
    <t>978-607-28-1968-9</t>
  </si>
  <si>
    <t>Coyuntura
Cuestiones teóricas y políticas</t>
  </si>
  <si>
    <t>Osorio Urbina, Jaime S.</t>
  </si>
  <si>
    <t>Cuarta Transformación de la República: sus impactos sobre
el gobierno fallido de la megalópolis, La</t>
  </si>
  <si>
    <t>Rosique Cañas, José Antonio</t>
  </si>
  <si>
    <t>Cuerpos, representaciones y Poder, volumen I</t>
  </si>
  <si>
    <t>Elsa Muñiz García</t>
  </si>
  <si>
    <t>978-607-28-2061-6</t>
  </si>
  <si>
    <t>De intervenciones y quehaceres institucionales</t>
  </si>
  <si>
    <t>Sofía de la Mora y  Alicia Izquierdo Rivera (coords.)</t>
  </si>
  <si>
    <t>978-607-28-2059-3</t>
  </si>
  <si>
    <t>Defender los territorios frente al despojo</t>
  </si>
  <si>
    <t>Carlos Rodríguez Wallenius</t>
  </si>
  <si>
    <t>978-607-28-2053-1</t>
  </si>
  <si>
    <t>El capital rumbo al mar</t>
  </si>
  <si>
    <t>Violeta Núñez</t>
  </si>
  <si>
    <t>978-607-28-2007-4</t>
  </si>
  <si>
    <t xml:space="preserve">El desastre y sus fronteras  </t>
  </si>
  <si>
    <t>Alejandra Toscana Aparicio y Liliana López Levi (coords.)</t>
  </si>
  <si>
    <t>978-607-28-1985-6</t>
  </si>
  <si>
    <t xml:space="preserve">El sueño del ángel. Veinte años de política social en la Ciudad de México </t>
  </si>
  <si>
    <t xml:space="preserve"> Munuel Canto Chac </t>
  </si>
  <si>
    <t>978-607-28-2044-9</t>
  </si>
  <si>
    <t>En el umbral
Segundo Concurso de Cuento Universitario Elena Garro</t>
  </si>
  <si>
    <t>Chavarría Rodríguez, Jesús Atonatiuh; Solano Borja, Jesús Alonso;
Gómez Mendoza, Rafael et al.</t>
  </si>
  <si>
    <t>Gato Encerrado, UAM-X</t>
  </si>
  <si>
    <t>978-607-28-1904-7</t>
  </si>
  <si>
    <t xml:space="preserve">Estrategias campesinas de reproducción social en la región de los Altos de Morelos </t>
  </si>
  <si>
    <t>Beatriz Canabal Cristiani</t>
  </si>
  <si>
    <t>978-607-28-1989-4</t>
  </si>
  <si>
    <t>Estudios y argumentaciones hermenéuticas, vol. V</t>
  </si>
  <si>
    <t xml:space="preserve"> Humberto Guerra Huerta (coord.)</t>
  </si>
  <si>
    <t>978-607-28-2030-2</t>
  </si>
  <si>
    <t xml:space="preserve">Figura del demiurgo en el pensamiento de Platón y su presencia en el arte medieval, La  </t>
  </si>
  <si>
    <t>Montes de Oca Hernández, Francisco Javier</t>
  </si>
  <si>
    <t>978-607-28-1843-9</t>
  </si>
  <si>
    <t>Gramsci en México</t>
  </si>
  <si>
    <t>Diana Fuentes y Masimo Modonessi (coords.)</t>
  </si>
  <si>
    <t>UAM / FCPyS-UNAM / Editorial Itaca</t>
  </si>
  <si>
    <t>978-607-28-2008-1</t>
  </si>
  <si>
    <t>Horizontes digitales. Rupturas e interrogaciones en la reconfiguración sociodigital contemporánea</t>
  </si>
  <si>
    <t>Mauricio Andión (coordinador)</t>
  </si>
  <si>
    <t>UAM / Gedisa mexicana</t>
  </si>
  <si>
    <t>978-607-28-2037-1</t>
  </si>
  <si>
    <t>Huella posible, La
Poetas que escriben la ruta I</t>
  </si>
  <si>
    <t>Guerrero Reyes, Maricela; Huntington, Tanya;
Pineda Santiago, Irma et al.</t>
  </si>
  <si>
    <t>978-607-28-1908-5</t>
  </si>
  <si>
    <t>Interculturalidad y diversidad en la educación
Concepciones, políticas y prácticas</t>
  </si>
  <si>
    <t>Comboni Salinas, Sonia; Juárez Núñez, José Manuel (coords.)</t>
  </si>
  <si>
    <t>Introducción al estudio de las funciones de una variable real</t>
  </si>
  <si>
    <t>José de Jesús Gutiérrez Ramírez</t>
  </si>
  <si>
    <t>978-607-28-1852-1</t>
  </si>
  <si>
    <t xml:space="preserve">Invitación al pensamiento crítico </t>
  </si>
  <si>
    <t>Roberto Escorcia Romo (coord.)</t>
  </si>
  <si>
    <t>Izquierda mexicana y el régimen político, La</t>
  </si>
  <si>
    <t>Vidal, Godofredo (coord.)</t>
  </si>
  <si>
    <t>La autosuficiencia alimentaria en el gobierno de la 4T</t>
  </si>
  <si>
    <t>Blanca Olivia Acuña Rodarte y Miguel Meza (coords.)</t>
  </si>
  <si>
    <t>978-607-28-2050-0</t>
  </si>
  <si>
    <t>La diversidad en el sistema mundial capitalista</t>
  </si>
  <si>
    <t>Jaime Osorio Urbina / Cristobal Reyes Núñez</t>
  </si>
  <si>
    <t>978-607-28-2038-8</t>
  </si>
  <si>
    <t>La medida de una nación</t>
  </si>
  <si>
    <t xml:space="preserve"> Hugo Aboites Aguilar</t>
  </si>
  <si>
    <t>978-607-28-1959-7</t>
  </si>
  <si>
    <t xml:space="preserve">La nueva Europa: retos internos y externos </t>
  </si>
  <si>
    <t>Nadia Beatriz Pérez Rodríguez, Ana Teresa Gutiérrez del Cid y Cuauhtémoc V. Pérez Llanas (coords.)</t>
  </si>
  <si>
    <t>978-607-28-2069-2</t>
  </si>
  <si>
    <t xml:space="preserve">La sociedad civil en el gobierno de la 4T </t>
  </si>
  <si>
    <t xml:space="preserve">Alfonso León Pérez </t>
  </si>
  <si>
    <t>978-607-28-1992-4</t>
  </si>
  <si>
    <t xml:space="preserve">La solemnidad del poder y sus fisuras en el fotoperiodismo de Christa Cowrie </t>
  </si>
  <si>
    <t>Elsie Mc Phail Fanger</t>
  </si>
  <si>
    <t>978-607-28-1961-0</t>
  </si>
  <si>
    <t>Logros, retos y contradicciones de la 4T</t>
  </si>
  <si>
    <t xml:space="preserve"> Ana Lau Jaiven, Mónica Cejas y Angélica Rosas (coord.)</t>
  </si>
  <si>
    <t>978-607-28-1966-5</t>
  </si>
  <si>
    <t xml:space="preserve">Los proyectos católicos de nación en el México del siglo XX. Actores, ideologías y prácticas </t>
  </si>
  <si>
    <t>Gabriela Aguiirre Cristiani (coord.)</t>
  </si>
  <si>
    <t>978-607-28-1947-4</t>
  </si>
  <si>
    <t>Los sueños de aserrín 2</t>
  </si>
  <si>
    <t>José Antonio Rosique Cañas</t>
  </si>
  <si>
    <t>978-607-28-1879-8</t>
  </si>
  <si>
    <t>Metodología de la investigación en ciencias de la salud</t>
  </si>
  <si>
    <t>Sánchez Pérez, Leonor; Alfaro Moctezuma, Patricia;
Díaz García, Rafael</t>
  </si>
  <si>
    <t>Serie Académicos (141), UAM-X</t>
  </si>
  <si>
    <t>978-607-28-1597-1</t>
  </si>
  <si>
    <t>México 2018: ¿Por qué cambió el país? (Crisis sistémica, elecciones y estrategia de comunicación política)</t>
  </si>
  <si>
    <t>Francisco Javier Esteinou Madrid</t>
  </si>
  <si>
    <t>978-607-28-1949-8</t>
  </si>
  <si>
    <t>México ante el Covid 19:  acciones y retos</t>
  </si>
  <si>
    <t>Abigail Rodríguez Nava (coord.)</t>
  </si>
  <si>
    <t>UAM / Cámara de Diputados</t>
  </si>
  <si>
    <t>978-607-28-1878-1</t>
  </si>
  <si>
    <t>Mezcalla
Tradición y cultura del mezcal michoacano</t>
  </si>
  <si>
    <t>Delgado Lemus, América (coord.)</t>
  </si>
  <si>
    <t>978-607-28-1906-1</t>
  </si>
  <si>
    <t>Monarca, el ciudadano y el excluido, El
Hacia una crítica de lo político</t>
  </si>
  <si>
    <t>Ávalos Tenorio, Gerardo</t>
  </si>
  <si>
    <t>Nietzsche y la crítica radical a la política
La contribución nietzscheana al debate sociopolítico de la segunda
mitad del siglo XIX</t>
  </si>
  <si>
    <t>Velázquez Becerril, César Arturo</t>
  </si>
  <si>
    <t>Nuestro cónsul en Lima
Diplomacia estadounidense durante el Congreso anfictiónico de Panamá y Tacubaya (1824-1828</t>
  </si>
  <si>
    <t>Reza, Germán A. de la</t>
  </si>
  <si>
    <t>978-607-8636-50-1</t>
  </si>
  <si>
    <t>Pensamiento y Práxis en la investigación social</t>
  </si>
  <si>
    <t>Verónica Gil, Angélica Rosas y Joel Flores (coords.)</t>
  </si>
  <si>
    <t>978-607-28-2023-4</t>
  </si>
  <si>
    <t>Política y violencia. Aproximaciones desde la psicología social</t>
  </si>
  <si>
    <t xml:space="preserve"> Valeria Fallati y Edgar Juárez (coords.)</t>
  </si>
  <si>
    <t>978-607-28-1875-0</t>
  </si>
  <si>
    <t>Políticas educativas en México: problemas y desafíos, Las</t>
  </si>
  <si>
    <t>Mejía Montes de Oca, Pablo; Gallegos Cárdenas, Miguel Ángel (coords.)</t>
  </si>
  <si>
    <t xml:space="preserve">Primera Constitución Política de la Ciudad de México 2017. Testimonios de su discusión y aprobación </t>
  </si>
  <si>
    <t>Patricia Couturier y Luciano Concheiro</t>
  </si>
  <si>
    <t>978-607-28-2051-7</t>
  </si>
  <si>
    <t>Procesos de reconstitución comunitaria en las luchas por la defensa de los bienes comunes contra el extractivismo en América Latina</t>
  </si>
  <si>
    <t>Fabiola Escárzaga (coord.)</t>
  </si>
  <si>
    <t>978-607-28-2046-3</t>
  </si>
  <si>
    <t>Pueblos mágicos. Vol. IV
Una visión interdisciplinaria</t>
  </si>
  <si>
    <t>López Levi, Liliana; Valverde Valverde, Carmen;
Figueroa Díaz, María Elena (coords.)</t>
  </si>
  <si>
    <t>Puntas de luz
Poetas que escriben la ruta II</t>
  </si>
  <si>
    <t>Segura Vera, Yolanda; Zapata Morales, Isabel;
Rodríguez Mega, Martha et al.</t>
  </si>
  <si>
    <t>978-607-28-1907-8</t>
  </si>
  <si>
    <t>Reconfiguraciones socioterritoriales
Entre el despojo capitalista y las resistencias comunitarias</t>
  </si>
  <si>
    <t>Espinosa Damián, Gisela; Meza Velarde, Alejandra (coords.)</t>
  </si>
  <si>
    <t>BUAP</t>
  </si>
  <si>
    <t xml:space="preserve">Reflexiones sobre la violencia en América Latina y México </t>
  </si>
  <si>
    <t>Juan José Carrillo Nieto (coord.)</t>
  </si>
  <si>
    <t>978-607-28-2045-6</t>
  </si>
  <si>
    <t>Reflexiones sobre México y su entorno internacional ante el
cambio de gobierno en 2018</t>
  </si>
  <si>
    <t>Carrillo Luvianos, Mario Alejandro; Toscana Aparicio, Alejandra; Pérez
Rodríguez, Beatriz Nadia (coords.)</t>
  </si>
  <si>
    <t>978-607-28-1782-1</t>
  </si>
  <si>
    <t xml:space="preserve">Rehacer el mundo. Abajo y a la izquierda </t>
  </si>
  <si>
    <t>Arturo Anguiano Orozco</t>
  </si>
  <si>
    <t>978-607-28-1862-0</t>
  </si>
  <si>
    <t>Resistencias  sociales y alternativas</t>
  </si>
  <si>
    <t xml:space="preserve">Aleida Azamar Alonso </t>
  </si>
  <si>
    <t>978-607-28-1877-4</t>
  </si>
  <si>
    <t>Sembrando el corazón de nuestra palabra
Las lenguas indígenas como objetos de estudio.
Propuesta educativa intercultural para Primaria Indígena. México</t>
  </si>
  <si>
    <t>Quinteros, Graciela Beatriz</t>
  </si>
  <si>
    <t>Subjetividad, vínculos y violencia
El neoliberalismo y las consecuencias psíquicas de las nuevas formas de dominación</t>
  </si>
  <si>
    <t>Campuzano Montoya, Mario</t>
  </si>
  <si>
    <t>978-607-28-1656-5</t>
  </si>
  <si>
    <t>Te buscaré hasta encontrarte
Ilustradores con Ayotzinapa</t>
  </si>
  <si>
    <t xml:space="preserve">Poniatowska, Elena; Grecko, Témoris; Huerta Bravo, David;
Martínez, Paris et al. </t>
  </si>
  <si>
    <t>978-607-28-1895-8</t>
  </si>
  <si>
    <t>Tendiendo puentes para una sustentabilidad integral</t>
  </si>
  <si>
    <t>Azamar Alonso, Aleida; Matus Parada, Jaime (coords.</t>
  </si>
  <si>
    <t>Universidad Nodo
Modelo para la formación de comunicadores en la era digital</t>
  </si>
  <si>
    <t>Andión Gamboa, Mauricio</t>
  </si>
  <si>
    <t>Viralidad
Política y estética de las imágenes digitales</t>
  </si>
  <si>
    <t>Sánchez Martínez, José Alberto; Martínez Noriega, Dulce A. (coords.)</t>
  </si>
  <si>
    <t>Vivirlo para contarlo. Diario de un sociólogo en campo</t>
  </si>
  <si>
    <t>Bruno Lutz</t>
  </si>
  <si>
    <t>978-607-28-1998-6</t>
  </si>
  <si>
    <t>Voces latinoamericanas: mercantilización de la naturaleza y resistencia social</t>
  </si>
  <si>
    <t>Griselda Günther (coord.)</t>
  </si>
  <si>
    <t>978-607-28-2064-7</t>
  </si>
  <si>
    <t>Y la lechuza sale a cazar</t>
  </si>
  <si>
    <t>Rodríguez Diego, Jesús G.</t>
  </si>
  <si>
    <t>978-607-28-1529-2</t>
  </si>
  <si>
    <t>Avatares, para la digitalización en la formación universitaria</t>
  </si>
  <si>
    <t>Eduardo A. Peñalosa Castro, Esther Morales Franco, Aureola Quiñónez Salcido, Sandra Alejandra Carrillo Andrés, Mariana Moranchel Pocaterra (coords.)</t>
  </si>
  <si>
    <t xml:space="preserve">978-607-28-1854-5  </t>
  </si>
  <si>
    <t>Fuentes Aburto, Moisés Elías</t>
  </si>
  <si>
    <t>El Pez en el Agua. Serie Poesía, UAM-RG</t>
  </si>
  <si>
    <t>978-607-28-1660-2</t>
  </si>
  <si>
    <t>Comer bien para vivir mejor</t>
  </si>
  <si>
    <t>Adolfo Chávez Villasana</t>
  </si>
  <si>
    <t xml:space="preserve">978-607-28-1880-4 </t>
  </si>
  <si>
    <t>Contratas de sangre y algunas noticias imaginarias</t>
  </si>
  <si>
    <t>Jorge Ruiz Dueñas</t>
  </si>
  <si>
    <t xml:space="preserve">978-607-28-1864-4 </t>
  </si>
  <si>
    <t>El amante y el artefacto soviético</t>
  </si>
  <si>
    <t>Vladimiro Rivas Iturralde</t>
  </si>
  <si>
    <t>La prensa transnacional. Fundamentos para una metodología histórica</t>
  </si>
  <si>
    <t>Arnulfo Uriel de Santiago Gómez (coord.)</t>
  </si>
  <si>
    <t xml:space="preserve">978-607-28-1870-5 </t>
  </si>
  <si>
    <t>978-607-28-1926-9</t>
  </si>
  <si>
    <t>La UAM: una visión a 45 años Vol. 3</t>
  </si>
  <si>
    <t>Oscar González Cuevas / Romualdo López Zárate</t>
  </si>
  <si>
    <t>978-607-28-1835-4</t>
  </si>
  <si>
    <t>La UAM: una visión a 45 años Vol.1</t>
  </si>
  <si>
    <t>978-607-28-1833-0</t>
  </si>
  <si>
    <t>La UAM: una visión a 45 años Vol.2</t>
  </si>
  <si>
    <t>978-607-28-1834-7</t>
  </si>
  <si>
    <t>Repensar la metrópoli III. Tomo I, Planeación y gestión</t>
  </si>
  <si>
    <t>Roberto Eibenschutz y Laura O. Carrillo (coordinadores)</t>
  </si>
  <si>
    <t>ANUIES</t>
  </si>
  <si>
    <t>978-607-28-1972-6</t>
  </si>
  <si>
    <t>Repensar la metrópoli III. Tomo II, Participación social</t>
  </si>
  <si>
    <t>978-607-28-1973-3</t>
  </si>
  <si>
    <t>Repertorio literario</t>
  </si>
  <si>
    <t xml:space="preserve">978-607-28-1869-9 </t>
  </si>
  <si>
    <r>
      <t xml:space="preserve">978-607-28-1872-9 </t>
    </r>
    <r>
      <rPr>
        <b/>
        <sz val="8"/>
        <rFont val="Calibri"/>
        <family val="2"/>
        <scheme val="minor"/>
      </rPr>
      <t xml:space="preserve"> </t>
    </r>
  </si>
  <si>
    <t>.5
horas persona</t>
  </si>
  <si>
    <t>Jan Bazant y Sánchez</t>
  </si>
  <si>
    <t>Espacios distantes aún vivos. Las salas cinematográficas de la Ciudad de México. Tercera edición, bilingüe.</t>
  </si>
  <si>
    <t>Alejandro Ochoa Vega en coautoría con Francisco Haroldo Alafaro Salazar</t>
  </si>
  <si>
    <r>
      <t>PRESUPUESTO AUTORIZADO TOTAL</t>
    </r>
    <r>
      <rPr>
        <b/>
        <sz val="11"/>
        <color rgb="FFFF0000"/>
        <rFont val="Calibri"/>
        <family val="2"/>
        <scheme val="minor"/>
      </rPr>
      <t xml:space="preserve"> 2020</t>
    </r>
  </si>
  <si>
    <t>2016-2020</t>
  </si>
  <si>
    <t>Fuente: ISI Web of Science (https://webofknowledge.com/) consultado el día XX de enero de 2020</t>
  </si>
  <si>
    <t xml:space="preserve"> 16P-20I</t>
  </si>
  <si>
    <t xml:space="preserve"> 16O-20P</t>
  </si>
  <si>
    <t>Lic. en Ciencias Atmosféricas</t>
  </si>
  <si>
    <t>(*)  No incluye resutados del trimestre 20-O</t>
  </si>
  <si>
    <t>2020  (*)</t>
  </si>
  <si>
    <t>2020 (*)</t>
  </si>
  <si>
    <t>Mtría en Ciencias en Ingeniería Electromagnética</t>
  </si>
  <si>
    <t>Mtría en Ciencias Odontologicas</t>
  </si>
  <si>
    <t>Tecnológico Nacional de México</t>
  </si>
  <si>
    <t>ENERO DE 2021</t>
  </si>
  <si>
    <r>
      <t xml:space="preserve">ocultar </t>
    </r>
    <r>
      <rPr>
        <sz val="14"/>
        <color rgb="FFFF0000"/>
        <rFont val="Calibri"/>
        <family val="2"/>
        <scheme val="minor"/>
      </rPr>
      <t>no hubo respuesta del área</t>
    </r>
  </si>
  <si>
    <t>CEU_SPDE</t>
  </si>
  <si>
    <t>"A la mujer, el hombre la ha de hacer". Imagen e identidad femeninas en el siglo XIX mexicano</t>
  </si>
  <si>
    <t>Margarita Alegría y Alejandra Castillo</t>
  </si>
  <si>
    <t>978-607-28-2019-7</t>
  </si>
  <si>
    <t>Antología de Haijines. Viento que florece</t>
  </si>
  <si>
    <t>UAM-A/CyAD</t>
  </si>
  <si>
    <t>978-607-28-2012-8</t>
  </si>
  <si>
    <t>Autonomía e inclusión. Relatos autobiográficos de sillistas</t>
  </si>
  <si>
    <t>Enrique Mancera</t>
  </si>
  <si>
    <t xml:space="preserve">978-607-28-1943-6 </t>
  </si>
  <si>
    <t>Diario Histórico de México. Carlos María de Bustamante, 1822-1848</t>
  </si>
  <si>
    <t>Cuauhtémoc Hernández, coord</t>
  </si>
  <si>
    <t>Ciesas + Colmex</t>
  </si>
  <si>
    <t>Plataforma digital</t>
  </si>
  <si>
    <t>Diversidad: culturas e identidades en confluencia</t>
  </si>
  <si>
    <t>Lucía Tomasini y Guillermo Atilano, coords.</t>
  </si>
  <si>
    <t>UAM-A/CSH</t>
  </si>
  <si>
    <t>978-607-28-1917-7</t>
  </si>
  <si>
    <t>978-607-28-1918-4</t>
  </si>
  <si>
    <t>La experiencia surrealista en la poesía hispanoamericana</t>
  </si>
  <si>
    <t>Gabriel Ramos</t>
  </si>
  <si>
    <t>978-607-28-1977-1</t>
  </si>
  <si>
    <t>Mis adioses</t>
  </si>
  <si>
    <t>Vicente Francisco Torres</t>
  </si>
  <si>
    <t>978-607-28-2018-0</t>
  </si>
  <si>
    <t>Noches de Ópera</t>
  </si>
  <si>
    <t>Vladimiro Rivas</t>
  </si>
  <si>
    <t>978-607-28-2014-2</t>
  </si>
  <si>
    <t>Permanente fugacidad. Ensayos sobre minificción</t>
  </si>
  <si>
    <t>Adriana Azucena Rodríguez</t>
  </si>
  <si>
    <t>978-607-28-1931-3</t>
  </si>
  <si>
    <t>Severino Salazar: Catedral de cristal / El Mayate</t>
  </si>
  <si>
    <t>Ivonne Murillo y Edilberta Manzano, coords.</t>
  </si>
  <si>
    <t>CyAD + Instituto Zacatecano de Cultura "Ramón López Velarde"</t>
  </si>
  <si>
    <t>978-607-28-2039-5</t>
  </si>
  <si>
    <t>Severino Salazar: Jesús, que mi gozo perdure / Libro corazón</t>
  </si>
  <si>
    <t>978-607-28-2042-5</t>
  </si>
  <si>
    <t>Severino Salazar: Mecanismos de luz / Con alas blancas</t>
  </si>
  <si>
    <t>978-607-28-2041-8</t>
  </si>
  <si>
    <t>Severino Salazar: También hay inviernos fértiles / Yalula, la mujer de fuego</t>
  </si>
  <si>
    <t>978-607-28-2043-2</t>
  </si>
  <si>
    <t>Severino Salazar: Tepetongo en la azotea</t>
  </si>
  <si>
    <t>978-607-28-2040-1</t>
  </si>
  <si>
    <r>
      <t xml:space="preserve">Ivonne Murillo </t>
    </r>
    <r>
      <rPr>
        <i/>
        <sz val="8"/>
        <color theme="1"/>
        <rFont val="Calibri"/>
        <family val="2"/>
        <scheme val="minor"/>
      </rPr>
      <t>et. al.</t>
    </r>
  </si>
  <si>
    <t>ARTÍCULO ESPECIALIZADO DE INVESTIGACIÓN EN RELACIÓN AL PERSONAL ACADÉMICO DEFINITIVO DE TIEMPO COMPLETO</t>
  </si>
  <si>
    <t>Media
NTRC</t>
  </si>
  <si>
    <t>NÚMERO DE TRIMESTRES REALMENTE CURSADOS PARA ACREDITAR EL PLAN DE ESTUDIOS LICENCIATURA</t>
  </si>
  <si>
    <t>2020(*)</t>
  </si>
  <si>
    <t>Total de presupuesto ejercido 2020 de otros gastos de operación, mantenimiento e inversión</t>
  </si>
  <si>
    <t>Presupuesto ejercido 2020</t>
  </si>
  <si>
    <t>Esp. en Economía y Gestión del Agua</t>
  </si>
  <si>
    <t>Esp en Física Médica Clínica (2 años)</t>
  </si>
  <si>
    <t>Mtría-Doc en Ciencias Farmaceuticas</t>
  </si>
  <si>
    <t>NÚMERO DE TRIMESTRES REALMENTE CURSADOS PARA ACREDITAR EL PLAN DE ESTUDIOS MAESTRÍA</t>
  </si>
  <si>
    <t>PROMEDIO DE TRIMESTRES REALMENTE CURSADOS PARA ACREDITAR PLAN DE DOCTORADO2019</t>
  </si>
  <si>
    <t>PROMEDIO DE TRIMESTRES REALMENTE CURSADOS PARA ACREDITAR PLAN DE DOCTORADO 2019</t>
  </si>
  <si>
    <t>NÚMERO DE TRIMESTRES REALMENTE CURSADOS PARA ACREDITAR EL PLAN DE ESTUDIOS ESPECIALIDAD</t>
  </si>
  <si>
    <t>Falta otoño 2020</t>
  </si>
  <si>
    <t>NÚMERO DE TRIMESTRES REALMENTE CURSADOS PARA ACREDITAR EL PLAN DE ESTUDIOS DOCTORADO</t>
  </si>
  <si>
    <t>Incorporados en el PNPC por grado académico</t>
  </si>
  <si>
    <r>
      <t xml:space="preserve">Total
</t>
    </r>
    <r>
      <rPr>
        <b/>
        <sz val="11"/>
        <color rgb="FFFF0000"/>
        <rFont val="Calibri"/>
        <family val="2"/>
        <scheme val="minor"/>
      </rPr>
      <t>2020</t>
    </r>
  </si>
  <si>
    <t>UNIDAD CUAJIMALPA 2019</t>
  </si>
  <si>
    <t>Maestría y Doctorado en Ciencias Farmacéuticas</t>
  </si>
  <si>
    <t>2010-2016</t>
  </si>
  <si>
    <t>D6. Tasa de planes de estudio evaluables considerados de calidad</t>
  </si>
  <si>
    <t>Lic en Psicología Biomédica</t>
  </si>
  <si>
    <t>EFICIENCIA TERMINAL DE ALUMNOS DE LICENCIATURA EN EL PLAZO MÁXIMO ESTIPULADO EN LA LEGISLACIÓN (4 A 10 AÑOS)</t>
  </si>
  <si>
    <t>(Ingreso de alumnos de 2010 a 2016 y créditos mayor a cero)</t>
  </si>
  <si>
    <t>Falta el Trimestre 2020-O</t>
  </si>
  <si>
    <t>64893</t>
  </si>
  <si>
    <t>Total
Mio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</si>
</sst>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4" formatCode="_-&quot;$&quot;* #,##0.00_-;\-&quot;$&quot;* #,##0.00_-;_-&quot;$&quot;* &quot;-&quot;??_-;_-@_-"/>
    <numFmt numFmtId="43" formatCode="_-* #,##0.00_-;\-* #,##0.00_-;_-* &quot;-&quot;??_-;_-@_-"/>
    <numFmt numFmtId="164" formatCode="_([$€-2]* #,##0.00_);_([$€-2]* \(#,##0.00\);_([$€-2]* &quot;-&quot;??_)"/>
    <numFmt numFmtId="165" formatCode="_(* #,##0.00_);_(* \(#,##0.00\);_(* &quot;-&quot;??_);_(@_)"/>
    <numFmt numFmtId="166" formatCode="_(&quot;$&quot;* #,##0.00_);_(&quot;$&quot;* \(#,##0.00\);_(&quot;$&quot;* &quot;-&quot;??_);_(@_)"/>
    <numFmt numFmtId="167" formatCode="_(* #,##0_);_(* \(#,##0\);_(* &quot;-&quot;??_);_(@_)"/>
    <numFmt numFmtId="168" formatCode="0.0%"/>
    <numFmt numFmtId="169" formatCode="_-* #,##0_-;\-* #,##0_-;_-* &quot;-&quot;??_-;_-@_-"/>
    <numFmt numFmtId="170" formatCode="0_);\(0\)"/>
    <numFmt numFmtId="171" formatCode="0.0"/>
    <numFmt numFmtId="172" formatCode="#,##0_ ;\-#,##0\ "/>
    <numFmt numFmtId="173" formatCode="\ \ \ \ \ @"/>
    <numFmt numFmtId="174" formatCode="&quot;$&quot;#.00"/>
    <numFmt numFmtId="175" formatCode="&quot;$&quot;#,##0_);[Red]\(&quot;$&quot;#,##0\)"/>
    <numFmt numFmtId="176" formatCode="m\o\n\th\ d\,\ \y\y\y\y"/>
    <numFmt numFmtId="177" formatCode="#.00"/>
    <numFmt numFmtId="178" formatCode="#."/>
    <numFmt numFmtId="179" formatCode="%#.00"/>
    <numFmt numFmtId="180" formatCode="#,##0.0"/>
    <numFmt numFmtId="181" formatCode="_-* #,##0.0_-;\-* #,##0.0_-;_-* &quot;-&quot;??_-;_-@_-"/>
    <numFmt numFmtId="182" formatCode="###0"/>
    <numFmt numFmtId="183" formatCode="###0.0"/>
    <numFmt numFmtId="184" formatCode="####.0"/>
    <numFmt numFmtId="185" formatCode="###0.00"/>
    <numFmt numFmtId="186" formatCode="###0.000"/>
    <numFmt numFmtId="187" formatCode="####.000"/>
    <numFmt numFmtId="188" formatCode="####.00"/>
    <numFmt numFmtId="189" formatCode="[$-409]General"/>
    <numFmt numFmtId="190" formatCode="[$-1540A]dd\ mmmm\,\ yyyy;@"/>
    <numFmt numFmtId="191" formatCode="###0.0%"/>
    <numFmt numFmtId="192" formatCode="####.0%"/>
  </numFmts>
  <fonts count="320">
    <font>
      <sz val="11"/>
      <color theme="1"/>
      <name val="Calibri"/>
      <family val="2"/>
      <scheme val="minor"/>
    </font>
    <font>
      <sz val="10"/>
      <name val="Arial"/>
      <family val="2"/>
    </font>
    <font>
      <b/>
      <sz val="12"/>
      <name val="Arial"/>
      <family val="2"/>
    </font>
    <font>
      <b/>
      <sz val="12"/>
      <color indexed="8"/>
      <name val="Arial"/>
      <family val="2"/>
    </font>
    <font>
      <sz val="10"/>
      <name val="Arial"/>
      <family val="2"/>
    </font>
    <font>
      <b/>
      <sz val="10"/>
      <name val="Arial"/>
      <family val="2"/>
    </font>
    <font>
      <b/>
      <sz val="11"/>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color indexed="8"/>
      <name val="Arial"/>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0"/>
      <color indexed="8"/>
      <name val="Arial"/>
      <family val="2"/>
    </font>
    <font>
      <b/>
      <sz val="12"/>
      <color indexed="8"/>
      <name val="Calibri"/>
      <family val="2"/>
    </font>
    <font>
      <sz val="10"/>
      <color indexed="8"/>
      <name val="Calibri"/>
      <family val="2"/>
    </font>
    <font>
      <sz val="8"/>
      <color indexed="8"/>
      <name val="Arial"/>
      <family val="2"/>
    </font>
    <font>
      <sz val="11"/>
      <color indexed="8"/>
      <name val="Arial"/>
      <family val="2"/>
    </font>
    <font>
      <sz val="8"/>
      <name val="Arial"/>
      <family val="2"/>
    </font>
    <font>
      <b/>
      <sz val="10"/>
      <name val="Gill Sans"/>
      <family val="2"/>
    </font>
    <font>
      <sz val="10"/>
      <name val="Book Antiqua"/>
      <family val="1"/>
    </font>
    <font>
      <sz val="9"/>
      <name val="Arial"/>
      <family val="2"/>
    </font>
    <font>
      <sz val="1"/>
      <color indexed="8"/>
      <name val="Courier"/>
      <family val="3"/>
    </font>
    <font>
      <sz val="10"/>
      <name val="MS Sans Serif"/>
      <family val="2"/>
    </font>
    <font>
      <b/>
      <sz val="1"/>
      <color indexed="8"/>
      <name val="Courier"/>
      <family val="3"/>
    </font>
    <font>
      <b/>
      <sz val="8"/>
      <name val="Arial"/>
      <family val="2"/>
    </font>
    <font>
      <sz val="10"/>
      <name val="Arial"/>
      <family val="2"/>
    </font>
    <font>
      <sz val="11"/>
      <color theme="1"/>
      <name val="Calibri"/>
      <family val="2"/>
      <scheme val="minor"/>
    </font>
    <font>
      <u/>
      <sz val="8.8000000000000007"/>
      <color rgb="FF0000FF"/>
      <name val="Calibri"/>
      <family val="2"/>
    </font>
    <font>
      <b/>
      <sz val="11"/>
      <color theme="1"/>
      <name val="Calibri"/>
      <family val="2"/>
      <scheme val="minor"/>
    </font>
    <font>
      <sz val="10"/>
      <name val="Calibri"/>
      <family val="2"/>
      <scheme val="minor"/>
    </font>
    <font>
      <sz val="11"/>
      <name val="Calibri"/>
      <family val="2"/>
      <scheme val="minor"/>
    </font>
    <font>
      <b/>
      <sz val="11"/>
      <name val="Calibri"/>
      <family val="2"/>
      <scheme val="minor"/>
    </font>
    <font>
      <sz val="10"/>
      <color theme="1"/>
      <name val="Arial"/>
      <family val="2"/>
    </font>
    <font>
      <b/>
      <sz val="10"/>
      <color theme="1"/>
      <name val="Arial"/>
      <family val="2"/>
    </font>
    <font>
      <sz val="8"/>
      <color theme="1"/>
      <name val="Arial"/>
      <family val="2"/>
    </font>
    <font>
      <sz val="10"/>
      <color rgb="FFFF0000"/>
      <name val="Arial"/>
      <family val="2"/>
    </font>
    <font>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sz val="12"/>
      <color theme="1"/>
      <name val="Calibri"/>
      <family val="2"/>
      <scheme val="minor"/>
    </font>
    <font>
      <sz val="11"/>
      <color rgb="FF000000"/>
      <name val="Calibri"/>
      <family val="2"/>
    </font>
    <font>
      <b/>
      <sz val="11"/>
      <color rgb="FF000000"/>
      <name val="Calibri"/>
      <family val="2"/>
    </font>
    <font>
      <sz val="11"/>
      <color indexed="8"/>
      <name val="Calibri"/>
      <family val="2"/>
      <scheme val="minor"/>
    </font>
    <font>
      <b/>
      <sz val="12"/>
      <color theme="1"/>
      <name val="Arial"/>
      <family val="2"/>
    </font>
    <font>
      <b/>
      <sz val="8"/>
      <color indexed="8"/>
      <name val="Arial"/>
      <family val="2"/>
    </font>
    <font>
      <sz val="11"/>
      <color rgb="FF000000"/>
      <name val="Calibri"/>
      <family val="2"/>
      <scheme val="minor"/>
    </font>
    <font>
      <b/>
      <sz val="11"/>
      <color rgb="FF000000"/>
      <name val="Calibri"/>
      <family val="2"/>
      <scheme val="minor"/>
    </font>
    <font>
      <sz val="9"/>
      <color theme="1"/>
      <name val="Arial"/>
      <family val="2"/>
    </font>
    <font>
      <sz val="9"/>
      <name val="Calibri"/>
      <family val="2"/>
      <scheme val="minor"/>
    </font>
    <font>
      <b/>
      <sz val="11"/>
      <color theme="1"/>
      <name val="Arial"/>
      <family val="2"/>
    </font>
    <font>
      <sz val="10"/>
      <color rgb="FFFF0000"/>
      <name val="Calibri"/>
      <family val="2"/>
      <scheme val="minor"/>
    </font>
    <font>
      <sz val="10"/>
      <color rgb="FF000000"/>
      <name val="Arial"/>
      <family val="2"/>
    </font>
    <font>
      <sz val="11"/>
      <name val="Arial"/>
      <family val="2"/>
    </font>
    <font>
      <sz val="14"/>
      <color theme="1"/>
      <name val="Calibri"/>
      <family val="2"/>
      <scheme val="minor"/>
    </font>
    <font>
      <sz val="8"/>
      <color theme="1"/>
      <name val="Calibri"/>
      <family val="2"/>
      <scheme val="minor"/>
    </font>
    <font>
      <sz val="10"/>
      <name val="Arial"/>
      <family val="2"/>
    </font>
    <font>
      <b/>
      <i/>
      <sz val="12"/>
      <name val="Arial"/>
      <family val="2"/>
    </font>
    <font>
      <b/>
      <sz val="14"/>
      <color theme="1"/>
      <name val="Arial"/>
      <family val="2"/>
    </font>
    <font>
      <sz val="14"/>
      <color theme="1"/>
      <name val="Arial"/>
      <family val="2"/>
    </font>
    <font>
      <b/>
      <sz val="11"/>
      <color indexed="8"/>
      <name val="Arial"/>
      <family val="2"/>
    </font>
    <font>
      <sz val="9"/>
      <color indexed="8"/>
      <name val="Arial"/>
      <family val="2"/>
    </font>
    <font>
      <sz val="9"/>
      <color indexed="8"/>
      <name val="Calibri"/>
      <family val="2"/>
      <scheme val="minor"/>
    </font>
    <font>
      <b/>
      <sz val="10"/>
      <color theme="1"/>
      <name val="Calibri"/>
      <family val="2"/>
      <scheme val="minor"/>
    </font>
    <font>
      <i/>
      <sz val="10"/>
      <color theme="1"/>
      <name val="Calibri"/>
      <family val="2"/>
      <scheme val="minor"/>
    </font>
    <font>
      <sz val="10"/>
      <name val="Arial"/>
      <family val="2"/>
    </font>
    <font>
      <b/>
      <sz val="10"/>
      <color rgb="FFFF0000"/>
      <name val="Arial"/>
      <family val="2"/>
    </font>
    <font>
      <b/>
      <i/>
      <sz val="10"/>
      <color theme="1"/>
      <name val="Calibri"/>
      <family val="2"/>
      <scheme val="minor"/>
    </font>
    <font>
      <b/>
      <sz val="11"/>
      <color indexed="8"/>
      <name val="Calibri"/>
      <family val="2"/>
      <scheme val="minor"/>
    </font>
    <font>
      <i/>
      <sz val="8"/>
      <name val="Arial"/>
      <family val="2"/>
    </font>
    <font>
      <b/>
      <sz val="10"/>
      <color rgb="FF000000"/>
      <name val="Arial"/>
      <family val="2"/>
    </font>
    <font>
      <b/>
      <sz val="11"/>
      <color theme="0"/>
      <name val="Calibri"/>
      <family val="2"/>
      <scheme val="minor"/>
    </font>
    <font>
      <sz val="10"/>
      <name val="Arial"/>
      <family val="2"/>
    </font>
    <font>
      <b/>
      <i/>
      <sz val="12"/>
      <color theme="1"/>
      <name val="Arial"/>
      <family val="2"/>
    </font>
    <font>
      <b/>
      <sz val="14"/>
      <color theme="1"/>
      <name val="Calibri"/>
      <family val="2"/>
      <scheme val="minor"/>
    </font>
    <font>
      <sz val="8"/>
      <name val="Calibri"/>
      <family val="2"/>
      <scheme val="minor"/>
    </font>
    <font>
      <sz val="11"/>
      <color rgb="FFFF0000"/>
      <name val="Calibri"/>
      <family val="2"/>
      <scheme val="minor"/>
    </font>
    <font>
      <b/>
      <sz val="9"/>
      <name val="Calibri"/>
      <family val="2"/>
      <scheme val="minor"/>
    </font>
    <font>
      <b/>
      <sz val="10"/>
      <name val="Calibri"/>
      <family val="2"/>
      <scheme val="minor"/>
    </font>
    <font>
      <sz val="11"/>
      <color rgb="FF984806"/>
      <name val="Calibri"/>
      <family val="2"/>
      <scheme val="minor"/>
    </font>
    <font>
      <b/>
      <sz val="11"/>
      <color rgb="FFFF0000"/>
      <name val="Arial"/>
      <family val="2"/>
    </font>
    <font>
      <b/>
      <i/>
      <sz val="12"/>
      <color theme="1"/>
      <name val="Calibri"/>
      <family val="2"/>
      <scheme val="minor"/>
    </font>
    <font>
      <b/>
      <sz val="11"/>
      <color theme="5"/>
      <name val="Calibri"/>
      <family val="2"/>
      <scheme val="minor"/>
    </font>
    <font>
      <i/>
      <sz val="10"/>
      <name val="Calibri"/>
      <family val="2"/>
      <scheme val="minor"/>
    </font>
    <font>
      <sz val="10"/>
      <color indexed="8"/>
      <name val="Calibri"/>
      <family val="2"/>
      <scheme val="minor"/>
    </font>
    <font>
      <b/>
      <sz val="9"/>
      <color theme="1"/>
      <name val="Calibri"/>
      <family val="2"/>
      <scheme val="minor"/>
    </font>
    <font>
      <sz val="9"/>
      <color rgb="FF000000"/>
      <name val="Calibri"/>
      <family val="2"/>
      <scheme val="minor"/>
    </font>
    <font>
      <b/>
      <sz val="9"/>
      <color indexed="8"/>
      <name val="Calibri"/>
      <family val="2"/>
      <scheme val="minor"/>
    </font>
    <font>
      <u/>
      <sz val="11"/>
      <color theme="10"/>
      <name val="Calibri"/>
      <family val="2"/>
      <scheme val="minor"/>
    </font>
    <font>
      <b/>
      <sz val="14"/>
      <color rgb="FFFF0000"/>
      <name val="Calibri"/>
      <family val="2"/>
      <scheme val="minor"/>
    </font>
    <font>
      <b/>
      <sz val="12"/>
      <color rgb="FFFF0000"/>
      <name val="Calibri"/>
      <family val="2"/>
      <scheme val="minor"/>
    </font>
    <font>
      <b/>
      <sz val="11"/>
      <color rgb="FFFF0000"/>
      <name val="Calibri"/>
      <family val="2"/>
      <scheme val="minor"/>
    </font>
    <font>
      <b/>
      <sz val="8"/>
      <name val="Calibri"/>
      <family val="2"/>
      <scheme val="minor"/>
    </font>
    <font>
      <b/>
      <sz val="12"/>
      <color indexed="8"/>
      <name val="Calibri"/>
      <family val="2"/>
      <scheme val="minor"/>
    </font>
    <font>
      <b/>
      <sz val="11"/>
      <color rgb="FFF08200"/>
      <name val="Calibri"/>
      <family val="2"/>
      <scheme val="minor"/>
    </font>
    <font>
      <b/>
      <sz val="11"/>
      <color rgb="FFCD032E"/>
      <name val="Calibri"/>
      <family val="2"/>
      <scheme val="minor"/>
    </font>
    <font>
      <sz val="11"/>
      <color rgb="FFCD032E"/>
      <name val="Calibri"/>
      <family val="2"/>
      <scheme val="minor"/>
    </font>
    <font>
      <b/>
      <sz val="11"/>
      <color rgb="FFAD25A8"/>
      <name val="Calibri"/>
      <family val="2"/>
      <scheme val="minor"/>
    </font>
    <font>
      <sz val="11"/>
      <color rgb="FFF08200"/>
      <name val="Calibri"/>
      <family val="2"/>
      <scheme val="minor"/>
    </font>
    <font>
      <b/>
      <sz val="11"/>
      <color rgb="FF57A519"/>
      <name val="Calibri"/>
      <family val="2"/>
      <scheme val="minor"/>
    </font>
    <font>
      <sz val="11"/>
      <color rgb="FF57A519"/>
      <name val="Calibri"/>
      <family val="2"/>
      <scheme val="minor"/>
    </font>
    <font>
      <sz val="11"/>
      <color rgb="FFAD25A8"/>
      <name val="Calibri"/>
      <family val="2"/>
      <scheme val="minor"/>
    </font>
    <font>
      <b/>
      <sz val="11"/>
      <color rgb="FF0072CE"/>
      <name val="Calibri"/>
      <family val="2"/>
      <scheme val="minor"/>
    </font>
    <font>
      <sz val="11"/>
      <color rgb="FF0072CE"/>
      <name val="Calibri"/>
      <family val="2"/>
      <scheme val="minor"/>
    </font>
    <font>
      <b/>
      <sz val="12"/>
      <color rgb="FFCD032E"/>
      <name val="Calibri"/>
      <family val="2"/>
      <scheme val="minor"/>
    </font>
    <font>
      <b/>
      <sz val="12"/>
      <color rgb="FFCD032E"/>
      <name val="Arial"/>
      <family val="2"/>
    </font>
    <font>
      <sz val="11"/>
      <color rgb="FF0070C0"/>
      <name val="Calibri"/>
      <family val="2"/>
      <scheme val="minor"/>
    </font>
    <font>
      <b/>
      <i/>
      <sz val="11"/>
      <color theme="1"/>
      <name val="Calibri"/>
      <family val="2"/>
      <scheme val="minor"/>
    </font>
    <font>
      <sz val="8"/>
      <color rgb="FF000000"/>
      <name val="Calibri"/>
      <family val="2"/>
      <scheme val="minor"/>
    </font>
    <font>
      <b/>
      <sz val="12"/>
      <color rgb="FFFF0000"/>
      <name val="Arial"/>
      <family val="2"/>
    </font>
    <font>
      <b/>
      <sz val="8"/>
      <color theme="1"/>
      <name val="Calibri"/>
      <family val="2"/>
      <scheme val="minor"/>
    </font>
    <font>
      <sz val="10"/>
      <color theme="9" tint="-0.249977111117893"/>
      <name val="Calibri"/>
      <family val="2"/>
      <scheme val="minor"/>
    </font>
    <font>
      <b/>
      <sz val="11"/>
      <color theme="0" tint="-0.499984740745262"/>
      <name val="Calibri"/>
      <family val="2"/>
      <scheme val="minor"/>
    </font>
    <font>
      <i/>
      <u/>
      <sz val="10"/>
      <color rgb="FFFF0000"/>
      <name val="Calibri"/>
      <family val="2"/>
      <scheme val="minor"/>
    </font>
    <font>
      <sz val="8"/>
      <color indexed="8"/>
      <name val="Calibri"/>
      <family val="2"/>
      <scheme val="minor"/>
    </font>
    <font>
      <b/>
      <i/>
      <sz val="9"/>
      <color theme="1"/>
      <name val="Calibri"/>
      <family val="2"/>
      <scheme val="minor"/>
    </font>
    <font>
      <b/>
      <sz val="10"/>
      <color theme="5" tint="-0.499984740745262"/>
      <name val="Arial"/>
      <family val="2"/>
    </font>
    <font>
      <b/>
      <i/>
      <sz val="12"/>
      <color rgb="FFFF0000"/>
      <name val="Arial"/>
      <family val="2"/>
    </font>
    <font>
      <b/>
      <i/>
      <sz val="12"/>
      <color indexed="8"/>
      <name val="Arial"/>
      <family val="2"/>
    </font>
    <font>
      <i/>
      <sz val="10"/>
      <color theme="1"/>
      <name val="Arial"/>
      <family val="2"/>
    </font>
    <font>
      <sz val="12"/>
      <color theme="1"/>
      <name val="Arial"/>
      <family val="2"/>
    </font>
    <font>
      <sz val="12"/>
      <color rgb="FFFF0000"/>
      <name val="Arial"/>
      <family val="2"/>
    </font>
    <font>
      <b/>
      <sz val="9"/>
      <color indexed="8"/>
      <name val="Arial"/>
      <family val="2"/>
    </font>
    <font>
      <sz val="11"/>
      <color theme="0"/>
      <name val="Calibri"/>
      <family val="2"/>
      <scheme val="minor"/>
    </font>
    <font>
      <b/>
      <i/>
      <sz val="11"/>
      <color rgb="FFFF0000"/>
      <name val="Calibri"/>
      <family val="2"/>
      <scheme val="minor"/>
    </font>
    <font>
      <b/>
      <i/>
      <sz val="11"/>
      <name val="Calibri"/>
      <family val="2"/>
      <scheme val="minor"/>
    </font>
    <font>
      <b/>
      <i/>
      <sz val="11"/>
      <color rgb="FF00B050"/>
      <name val="Calibri"/>
      <family val="2"/>
      <scheme val="minor"/>
    </font>
    <font>
      <sz val="11"/>
      <color rgb="FF00B050"/>
      <name val="Calibri"/>
      <family val="2"/>
      <scheme val="minor"/>
    </font>
    <font>
      <sz val="11"/>
      <color rgb="FF4F81BD"/>
      <name val="Calibri"/>
      <family val="2"/>
      <scheme val="minor"/>
    </font>
    <font>
      <b/>
      <sz val="11"/>
      <color rgb="FF00B050"/>
      <name val="Calibri"/>
      <family val="2"/>
      <scheme val="minor"/>
    </font>
    <font>
      <b/>
      <sz val="11"/>
      <color rgb="FF0070C0"/>
      <name val="Calibri"/>
      <family val="2"/>
      <scheme val="minor"/>
    </font>
    <font>
      <sz val="11"/>
      <color theme="0" tint="-0.499984740745262"/>
      <name val="Calibri"/>
      <family val="2"/>
      <scheme val="minor"/>
    </font>
    <font>
      <sz val="8"/>
      <color rgb="FF57A519"/>
      <name val="Calibri"/>
      <family val="2"/>
      <scheme val="minor"/>
    </font>
    <font>
      <vertAlign val="superscript"/>
      <sz val="11"/>
      <name val="Calibri"/>
      <family val="2"/>
      <scheme val="minor"/>
    </font>
    <font>
      <vertAlign val="superscript"/>
      <sz val="8"/>
      <name val="Calibri"/>
      <family val="2"/>
      <scheme val="minor"/>
    </font>
    <font>
      <u/>
      <sz val="11"/>
      <color rgb="FF000000"/>
      <name val="Calibri"/>
      <family val="2"/>
      <scheme val="minor"/>
    </font>
    <font>
      <b/>
      <sz val="14"/>
      <color rgb="FFFF0000"/>
      <name val="Arial"/>
      <family val="2"/>
    </font>
    <font>
      <sz val="11"/>
      <color theme="1"/>
      <name val="Calibri"/>
      <family val="2"/>
      <charset val="1"/>
      <scheme val="minor"/>
    </font>
    <font>
      <sz val="11"/>
      <color rgb="FF000000"/>
      <name val="Calibri"/>
      <family val="2"/>
      <charset val="1"/>
    </font>
    <font>
      <sz val="9"/>
      <color rgb="FF0070C0"/>
      <name val="Calibri"/>
      <family val="2"/>
      <scheme val="minor"/>
    </font>
    <font>
      <b/>
      <sz val="8"/>
      <color theme="1"/>
      <name val="Arial"/>
      <family val="2"/>
    </font>
    <font>
      <sz val="9"/>
      <color rgb="FF000000"/>
      <name val="Arial"/>
      <family val="2"/>
    </font>
    <font>
      <i/>
      <sz val="10"/>
      <color rgb="FF000000"/>
      <name val="Arial"/>
      <family val="2"/>
    </font>
    <font>
      <b/>
      <sz val="14"/>
      <name val="Arial"/>
      <family val="2"/>
    </font>
    <font>
      <sz val="8"/>
      <color indexed="63"/>
      <name val="Arial"/>
      <family val="2"/>
    </font>
    <font>
      <i/>
      <sz val="9"/>
      <color indexed="8"/>
      <name val="Arial"/>
      <family val="2"/>
    </font>
    <font>
      <sz val="12"/>
      <name val="Arial"/>
      <family val="2"/>
    </font>
    <font>
      <b/>
      <sz val="18"/>
      <color indexed="8"/>
      <name val="Calibri"/>
      <family val="2"/>
      <scheme val="minor"/>
    </font>
    <font>
      <i/>
      <sz val="8"/>
      <color rgb="FF222222"/>
      <name val="Calibri"/>
      <family val="2"/>
      <scheme val="minor"/>
    </font>
    <font>
      <b/>
      <sz val="9"/>
      <name val="Arial"/>
      <family val="2"/>
    </font>
    <font>
      <b/>
      <sz val="11"/>
      <color rgb="FFCD032E"/>
      <name val="Calibri"/>
      <family val="2"/>
    </font>
    <font>
      <b/>
      <sz val="11"/>
      <color rgb="FFF08200"/>
      <name val="Calibri"/>
      <family val="2"/>
    </font>
    <font>
      <b/>
      <sz val="11"/>
      <color rgb="FF57A519"/>
      <name val="Calibri"/>
      <family val="2"/>
    </font>
    <font>
      <b/>
      <sz val="11"/>
      <color rgb="FFAD25A8"/>
      <name val="Calibri"/>
      <family val="2"/>
    </font>
    <font>
      <b/>
      <sz val="11"/>
      <color rgb="FF0072CE"/>
      <name val="Calibri"/>
      <family val="2"/>
    </font>
    <font>
      <u/>
      <sz val="10"/>
      <color indexed="12"/>
      <name val="Arial"/>
      <family val="2"/>
    </font>
    <font>
      <b/>
      <u/>
      <sz val="11"/>
      <color rgb="FF000000"/>
      <name val="Calibri"/>
      <family val="2"/>
      <scheme val="minor"/>
    </font>
    <font>
      <b/>
      <u/>
      <sz val="11"/>
      <name val="Calibri"/>
      <family val="2"/>
      <scheme val="minor"/>
    </font>
    <font>
      <sz val="8"/>
      <name val="Helv"/>
    </font>
    <font>
      <sz val="11"/>
      <color theme="5" tint="-0.499984740745262"/>
      <name val="Calibri"/>
      <family val="2"/>
      <scheme val="minor"/>
    </font>
    <font>
      <b/>
      <i/>
      <sz val="16"/>
      <color theme="1"/>
      <name val="Arial"/>
      <family val="2"/>
    </font>
    <font>
      <b/>
      <sz val="14"/>
      <color rgb="FFCD032E"/>
      <name val="Arial"/>
      <family val="2"/>
    </font>
    <font>
      <u/>
      <sz val="12"/>
      <color theme="10"/>
      <name val="Arial"/>
      <family val="2"/>
    </font>
    <font>
      <sz val="12"/>
      <color theme="0"/>
      <name val="Arial"/>
      <family val="2"/>
    </font>
    <font>
      <b/>
      <sz val="9"/>
      <color theme="1"/>
      <name val="Arial"/>
      <family val="2"/>
    </font>
    <font>
      <b/>
      <i/>
      <sz val="11"/>
      <name val="Arial"/>
      <family val="2"/>
    </font>
    <font>
      <b/>
      <i/>
      <sz val="9"/>
      <name val="Arial"/>
      <family val="2"/>
    </font>
    <font>
      <sz val="36"/>
      <color theme="1"/>
      <name val="Calibri Light"/>
      <family val="2"/>
    </font>
    <font>
      <sz val="24"/>
      <color theme="1"/>
      <name val="Calibri Light"/>
      <family val="2"/>
    </font>
    <font>
      <sz val="48"/>
      <color theme="1"/>
      <name val="Calibri Light"/>
      <family val="2"/>
    </font>
    <font>
      <b/>
      <i/>
      <sz val="10"/>
      <name val="Arial"/>
      <family val="2"/>
    </font>
    <font>
      <b/>
      <sz val="9"/>
      <color rgb="FFFF0000"/>
      <name val="Calibri"/>
      <family val="2"/>
      <scheme val="minor"/>
    </font>
    <font>
      <b/>
      <i/>
      <sz val="9"/>
      <name val="Calibri"/>
      <family val="2"/>
      <scheme val="minor"/>
    </font>
    <font>
      <b/>
      <sz val="12"/>
      <name val="Calibri"/>
      <family val="2"/>
      <scheme val="minor"/>
    </font>
    <font>
      <b/>
      <sz val="12"/>
      <color rgb="FFCC9900"/>
      <name val="Calibri"/>
      <family val="2"/>
      <scheme val="minor"/>
    </font>
    <font>
      <b/>
      <i/>
      <sz val="11"/>
      <color rgb="FFFF0000"/>
      <name val="Arial"/>
      <family val="2"/>
    </font>
    <font>
      <sz val="9"/>
      <color indexed="8"/>
      <name val="Arial Bold"/>
    </font>
    <font>
      <b/>
      <i/>
      <sz val="10"/>
      <name val="Calibri"/>
      <family val="2"/>
      <scheme val="minor"/>
    </font>
    <font>
      <b/>
      <sz val="9"/>
      <color indexed="8"/>
      <name val="Arial Bold"/>
    </font>
    <font>
      <b/>
      <sz val="9"/>
      <color rgb="FFC00000"/>
      <name val="Calibri"/>
      <family val="2"/>
      <scheme val="minor"/>
    </font>
    <font>
      <sz val="22"/>
      <color theme="1"/>
      <name val="Wingdings 3"/>
      <family val="1"/>
      <charset val="2"/>
    </font>
    <font>
      <sz val="11"/>
      <color theme="5" tint="-0.499984740745262"/>
      <name val="Arial"/>
      <family val="2"/>
    </font>
    <font>
      <i/>
      <sz val="14"/>
      <color theme="1"/>
      <name val="Arial"/>
      <family val="2"/>
    </font>
    <font>
      <b/>
      <i/>
      <sz val="12"/>
      <color rgb="FFFF0000"/>
      <name val="Calibri"/>
      <family val="2"/>
      <scheme val="minor"/>
    </font>
    <font>
      <u/>
      <sz val="11"/>
      <color theme="10"/>
      <name val="Calibri"/>
      <family val="2"/>
    </font>
    <font>
      <sz val="12"/>
      <color indexed="8"/>
      <name val="Verdana"/>
      <family val="2"/>
    </font>
    <font>
      <sz val="8"/>
      <color rgb="FFFF0000"/>
      <name val="Calibri"/>
      <family val="2"/>
      <scheme val="minor"/>
    </font>
    <font>
      <b/>
      <sz val="9"/>
      <color rgb="FF0072CE"/>
      <name val="Calibri"/>
      <family val="2"/>
      <scheme val="minor"/>
    </font>
    <font>
      <u/>
      <sz val="8"/>
      <color theme="10"/>
      <name val="Calibri"/>
      <family val="2"/>
      <scheme val="minor"/>
    </font>
    <font>
      <b/>
      <sz val="11"/>
      <color rgb="FF353535"/>
      <name val="Calibri"/>
      <family val="2"/>
      <scheme val="minor"/>
    </font>
    <font>
      <b/>
      <sz val="10"/>
      <color rgb="FFFF0000"/>
      <name val="Calibri"/>
      <family val="2"/>
      <scheme val="minor"/>
    </font>
    <font>
      <b/>
      <sz val="9"/>
      <color rgb="FFFF0000"/>
      <name val="Arial"/>
      <family val="2"/>
    </font>
    <font>
      <sz val="12"/>
      <color rgb="FFFF0000"/>
      <name val="Calibri"/>
      <family val="2"/>
      <scheme val="minor"/>
    </font>
    <font>
      <sz val="9"/>
      <color rgb="FFFF0000"/>
      <name val="Calibri"/>
      <family val="2"/>
      <scheme val="minor"/>
    </font>
    <font>
      <b/>
      <i/>
      <sz val="11"/>
      <color theme="1"/>
      <name val="Arial"/>
      <family val="2"/>
    </font>
    <font>
      <b/>
      <i/>
      <sz val="10"/>
      <color theme="1"/>
      <name val="Arial"/>
      <family val="2"/>
    </font>
    <font>
      <sz val="11"/>
      <color theme="0" tint="-0.34998626667073579"/>
      <name val="Calibri"/>
      <family val="2"/>
      <scheme val="minor"/>
    </font>
    <font>
      <b/>
      <sz val="14"/>
      <color indexed="8"/>
      <name val="Calibri"/>
      <family val="2"/>
      <scheme val="minor"/>
    </font>
    <font>
      <sz val="12"/>
      <color theme="0" tint="-0.499984740745262"/>
      <name val="Arial"/>
      <family val="2"/>
    </font>
    <font>
      <b/>
      <sz val="8"/>
      <color rgb="FFFF0000"/>
      <name val="Arial"/>
      <family val="2"/>
    </font>
    <font>
      <b/>
      <sz val="8"/>
      <color rgb="FFFF0000"/>
      <name val="Calibri"/>
      <family val="2"/>
      <scheme val="minor"/>
    </font>
    <font>
      <sz val="9"/>
      <color theme="0"/>
      <name val="Calibri"/>
      <family val="2"/>
      <scheme val="minor"/>
    </font>
    <font>
      <b/>
      <sz val="9"/>
      <color theme="0"/>
      <name val="Calibri"/>
      <family val="2"/>
      <scheme val="minor"/>
    </font>
    <font>
      <b/>
      <i/>
      <sz val="11"/>
      <name val="Calibri"/>
      <family val="2"/>
    </font>
    <font>
      <sz val="8"/>
      <color rgb="FFAD25A8"/>
      <name val="Calibri"/>
      <family val="2"/>
      <scheme val="minor"/>
    </font>
    <font>
      <i/>
      <sz val="10"/>
      <color indexed="8"/>
      <name val="Arial"/>
      <family val="2"/>
    </font>
    <font>
      <b/>
      <sz val="10"/>
      <name val="Gill Sans"/>
    </font>
    <font>
      <sz val="10"/>
      <name val="Gill Sans"/>
      <family val="2"/>
    </font>
    <font>
      <sz val="9"/>
      <name val="Gill Sans"/>
      <family val="2"/>
    </font>
    <font>
      <sz val="10"/>
      <name val="Gill Sans"/>
    </font>
    <font>
      <sz val="12"/>
      <color theme="1"/>
      <name val="Calibri"/>
      <family val="2"/>
    </font>
    <font>
      <sz val="8"/>
      <name val="Gill Sans"/>
      <family val="2"/>
    </font>
    <font>
      <b/>
      <sz val="14"/>
      <color theme="0"/>
      <name val="Arial"/>
      <family val="2"/>
    </font>
    <font>
      <b/>
      <sz val="12"/>
      <color theme="0"/>
      <name val="Arial"/>
      <family val="2"/>
    </font>
    <font>
      <sz val="8"/>
      <color rgb="FF000000"/>
      <name val="Arial"/>
      <family val="2"/>
    </font>
    <font>
      <vertAlign val="superscript"/>
      <sz val="11"/>
      <color theme="1"/>
      <name val="Calibri"/>
      <family val="2"/>
      <scheme val="minor"/>
    </font>
    <font>
      <i/>
      <sz val="8"/>
      <color theme="1"/>
      <name val="Calibri"/>
      <family val="2"/>
      <scheme val="minor"/>
    </font>
    <font>
      <sz val="11"/>
      <color rgb="FF353535"/>
      <name val="Calibri"/>
      <family val="2"/>
      <scheme val="minor"/>
    </font>
    <font>
      <b/>
      <sz val="14"/>
      <name val="Calibri"/>
      <family val="2"/>
      <scheme val="minor"/>
    </font>
    <font>
      <i/>
      <sz val="9"/>
      <name val="Calibri"/>
      <family val="2"/>
      <scheme val="minor"/>
    </font>
    <font>
      <i/>
      <sz val="11"/>
      <name val="Calibri"/>
      <family val="2"/>
      <scheme val="minor"/>
    </font>
    <font>
      <sz val="11"/>
      <color theme="6" tint="-0.249977111117893"/>
      <name val="Calibri"/>
      <family val="2"/>
      <scheme val="minor"/>
    </font>
    <font>
      <i/>
      <sz val="9"/>
      <color rgb="FF0072CE"/>
      <name val="Calibri"/>
      <family val="2"/>
      <scheme val="minor"/>
    </font>
    <font>
      <i/>
      <sz val="10"/>
      <color rgb="FF0072CE"/>
      <name val="Calibri"/>
      <family val="2"/>
      <scheme val="minor"/>
    </font>
    <font>
      <sz val="8"/>
      <name val="Calibri"/>
      <family val="2"/>
    </font>
    <font>
      <b/>
      <sz val="8"/>
      <name val="Calibri"/>
      <family val="2"/>
    </font>
    <font>
      <i/>
      <sz val="9"/>
      <color indexed="8"/>
      <name val="Calibri"/>
      <family val="2"/>
      <scheme val="minor"/>
    </font>
    <font>
      <i/>
      <sz val="9"/>
      <color theme="1"/>
      <name val="Calibri"/>
      <family val="2"/>
      <scheme val="minor"/>
    </font>
    <font>
      <i/>
      <sz val="11"/>
      <color theme="1"/>
      <name val="Calibri"/>
      <family val="2"/>
      <scheme val="minor"/>
    </font>
    <font>
      <sz val="11"/>
      <color theme="0" tint="-0.249977111117893"/>
      <name val="Calibri"/>
      <family val="2"/>
      <scheme val="minor"/>
    </font>
    <font>
      <sz val="11"/>
      <name val="Calibri"/>
      <family val="2"/>
    </font>
    <font>
      <i/>
      <sz val="8"/>
      <color theme="2" tint="-0.499984740745262"/>
      <name val="Calibri"/>
      <family val="2"/>
      <scheme val="minor"/>
    </font>
    <font>
      <b/>
      <i/>
      <sz val="12"/>
      <color rgb="FF353535"/>
      <name val="Calibri"/>
      <family val="2"/>
      <scheme val="minor"/>
    </font>
    <font>
      <b/>
      <sz val="9"/>
      <color rgb="FF000000"/>
      <name val="Arial"/>
      <family val="2"/>
    </font>
    <font>
      <b/>
      <sz val="9"/>
      <color rgb="FF000000"/>
      <name val="Calibri"/>
      <family val="2"/>
      <scheme val="minor"/>
    </font>
    <font>
      <b/>
      <sz val="10"/>
      <color indexed="8"/>
      <name val="Calibri"/>
      <family val="2"/>
      <scheme val="minor"/>
    </font>
    <font>
      <sz val="9"/>
      <name val="Gill Sans MT"/>
      <family val="2"/>
    </font>
    <font>
      <sz val="10"/>
      <name val="Verdana"/>
      <family val="2"/>
    </font>
    <font>
      <sz val="8"/>
      <color rgb="FF0070C0"/>
      <name val="Calibri"/>
      <family val="2"/>
      <scheme val="minor"/>
    </font>
    <font>
      <b/>
      <sz val="11"/>
      <color rgb="FFC00000"/>
      <name val="Arial"/>
      <family val="2"/>
    </font>
    <font>
      <b/>
      <vertAlign val="superscript"/>
      <sz val="12"/>
      <name val="Calibri"/>
      <family val="2"/>
      <scheme val="minor"/>
    </font>
    <font>
      <b/>
      <sz val="12"/>
      <name val="Calibri"/>
      <family val="2"/>
    </font>
    <font>
      <b/>
      <sz val="9"/>
      <name val="Calibri"/>
      <family val="2"/>
    </font>
    <font>
      <b/>
      <i/>
      <sz val="12"/>
      <color rgb="FFCD032E"/>
      <name val="Calibri"/>
      <family val="2"/>
      <scheme val="minor"/>
    </font>
    <font>
      <i/>
      <sz val="9"/>
      <color rgb="FFCD032E"/>
      <name val="Calibri"/>
      <family val="2"/>
      <scheme val="minor"/>
    </font>
    <font>
      <b/>
      <i/>
      <sz val="12"/>
      <color rgb="FFF08200"/>
      <name val="Calibri"/>
      <family val="2"/>
      <scheme val="minor"/>
    </font>
    <font>
      <i/>
      <sz val="9"/>
      <color rgb="FFF08200"/>
      <name val="Calibri"/>
      <family val="2"/>
      <scheme val="minor"/>
    </font>
    <font>
      <i/>
      <sz val="9"/>
      <color theme="9" tint="-0.249977111117893"/>
      <name val="Calibri"/>
      <family val="2"/>
      <scheme val="minor"/>
    </font>
    <font>
      <b/>
      <i/>
      <sz val="12"/>
      <color rgb="FF57A519"/>
      <name val="Calibri"/>
      <family val="2"/>
      <scheme val="minor"/>
    </font>
    <font>
      <sz val="10"/>
      <color rgb="FFAD25A8"/>
      <name val="Arial"/>
      <family val="2"/>
    </font>
    <font>
      <b/>
      <i/>
      <sz val="12"/>
      <color rgb="FFAD25A8"/>
      <name val="Calibri"/>
      <family val="2"/>
      <scheme val="minor"/>
    </font>
    <font>
      <b/>
      <i/>
      <sz val="12"/>
      <color rgb="FF0072CE"/>
      <name val="Calibri"/>
      <family val="2"/>
      <scheme val="minor"/>
    </font>
    <font>
      <sz val="12"/>
      <color rgb="FF000000"/>
      <name val="Calibri"/>
      <family val="2"/>
    </font>
    <font>
      <i/>
      <sz val="11"/>
      <color indexed="8"/>
      <name val="Calibri"/>
      <family val="2"/>
      <scheme val="minor"/>
    </font>
    <font>
      <b/>
      <i/>
      <sz val="11"/>
      <color theme="9" tint="-0.249977111117893"/>
      <name val="Calibri"/>
      <family val="2"/>
      <scheme val="minor"/>
    </font>
    <font>
      <i/>
      <sz val="9"/>
      <color theme="1" tint="0.34998626667073579"/>
      <name val="Calibri"/>
      <family val="2"/>
      <scheme val="minor"/>
    </font>
    <font>
      <b/>
      <sz val="12"/>
      <color theme="0"/>
      <name val="Calibri"/>
      <family val="2"/>
      <scheme val="minor"/>
    </font>
    <font>
      <sz val="10"/>
      <color rgb="FF57A519"/>
      <name val="Arial"/>
      <family val="2"/>
    </font>
    <font>
      <b/>
      <i/>
      <sz val="12"/>
      <color theme="1" tint="0.34998626667073579"/>
      <name val="Calibri"/>
      <family val="2"/>
      <scheme val="minor"/>
    </font>
    <font>
      <b/>
      <u/>
      <sz val="14"/>
      <color theme="1"/>
      <name val="Calibri"/>
      <family val="2"/>
      <scheme val="minor"/>
    </font>
    <font>
      <b/>
      <sz val="11"/>
      <color theme="1" tint="0.499984740745262"/>
      <name val="Arial"/>
      <family val="2"/>
    </font>
    <font>
      <b/>
      <i/>
      <sz val="14"/>
      <color theme="1"/>
      <name val="Calibri"/>
      <family val="2"/>
      <scheme val="minor"/>
    </font>
    <font>
      <sz val="12"/>
      <color rgb="FFCD032E"/>
      <name val="Calibri"/>
      <family val="2"/>
      <scheme val="minor"/>
    </font>
    <font>
      <b/>
      <i/>
      <sz val="20"/>
      <color theme="1"/>
      <name val="Arial"/>
      <family val="2"/>
    </font>
    <font>
      <b/>
      <sz val="14"/>
      <color rgb="FFCD032E"/>
      <name val="Calibri"/>
      <family val="2"/>
      <scheme val="minor"/>
    </font>
    <font>
      <sz val="8"/>
      <color rgb="FF0072CE"/>
      <name val="Calibri"/>
      <family val="2"/>
      <scheme val="minor"/>
    </font>
    <font>
      <b/>
      <sz val="10"/>
      <color rgb="FFC00000"/>
      <name val="Calibri"/>
      <family val="2"/>
      <scheme val="minor"/>
    </font>
    <font>
      <i/>
      <u/>
      <sz val="8"/>
      <color theme="1"/>
      <name val="Calibri"/>
      <family val="2"/>
      <scheme val="minor"/>
    </font>
    <font>
      <b/>
      <sz val="11"/>
      <color rgb="FFFF9900"/>
      <name val="Calibri"/>
      <family val="2"/>
      <scheme val="minor"/>
    </font>
    <font>
      <i/>
      <sz val="11"/>
      <color rgb="FFAD25A8"/>
      <name val="Calibri"/>
      <family val="2"/>
      <scheme val="minor"/>
    </font>
    <font>
      <i/>
      <sz val="11"/>
      <color rgb="FF0072CE"/>
      <name val="Calibri"/>
      <family val="2"/>
      <scheme val="minor"/>
    </font>
    <font>
      <b/>
      <sz val="12"/>
      <color rgb="FFCC3300"/>
      <name val="Arial"/>
      <family val="2"/>
    </font>
    <font>
      <b/>
      <sz val="12"/>
      <color indexed="10"/>
      <name val="Arial"/>
      <family val="2"/>
    </font>
    <font>
      <i/>
      <sz val="10"/>
      <name val="Arial"/>
      <family val="2"/>
    </font>
    <font>
      <sz val="12"/>
      <color indexed="8"/>
      <name val="Arial"/>
      <family val="2"/>
    </font>
    <font>
      <i/>
      <sz val="9"/>
      <color rgb="FFFF0000"/>
      <name val="Calibri"/>
      <family val="2"/>
      <scheme val="minor"/>
    </font>
    <font>
      <b/>
      <sz val="8"/>
      <color rgb="FF0072CE"/>
      <name val="Calibri"/>
      <family val="2"/>
      <scheme val="minor"/>
    </font>
    <font>
      <b/>
      <sz val="8"/>
      <color rgb="FFAD25A8"/>
      <name val="Calibri"/>
      <family val="2"/>
      <scheme val="minor"/>
    </font>
    <font>
      <b/>
      <sz val="8"/>
      <color rgb="FF57A519"/>
      <name val="Calibri"/>
      <family val="2"/>
      <scheme val="minor"/>
    </font>
    <font>
      <b/>
      <sz val="8"/>
      <color theme="9" tint="-0.249977111117893"/>
      <name val="Calibri"/>
      <family val="2"/>
      <scheme val="minor"/>
    </font>
    <font>
      <b/>
      <sz val="8"/>
      <color rgb="FF000000"/>
      <name val="Calibri"/>
      <family val="2"/>
      <scheme val="minor"/>
    </font>
    <font>
      <sz val="9"/>
      <name val="Gill Sans"/>
    </font>
    <font>
      <b/>
      <sz val="8"/>
      <color rgb="FFCD032E"/>
      <name val="Calibri"/>
      <family val="2"/>
      <scheme val="minor"/>
    </font>
    <font>
      <b/>
      <sz val="8"/>
      <color rgb="FF000000"/>
      <name val="Arial"/>
      <family val="2"/>
    </font>
    <font>
      <i/>
      <sz val="8"/>
      <color rgb="FFAD25A8"/>
      <name val="Calibri"/>
      <family val="2"/>
      <scheme val="minor"/>
    </font>
    <font>
      <i/>
      <sz val="8"/>
      <color rgb="FF57A519"/>
      <name val="Calibri"/>
      <family val="2"/>
      <scheme val="minor"/>
    </font>
    <font>
      <i/>
      <sz val="8"/>
      <color rgb="FF0072CE"/>
      <name val="Calibri"/>
      <family val="2"/>
      <scheme val="minor"/>
    </font>
    <font>
      <i/>
      <sz val="8"/>
      <color rgb="FFCD032E"/>
      <name val="Calibri"/>
      <family val="2"/>
      <scheme val="minor"/>
    </font>
    <font>
      <sz val="8"/>
      <color rgb="FFF08200"/>
      <name val="Calibri"/>
      <family val="2"/>
      <scheme val="minor"/>
    </font>
    <font>
      <b/>
      <i/>
      <sz val="8"/>
      <name val="Calibri"/>
      <family val="2"/>
      <scheme val="minor"/>
    </font>
    <font>
      <b/>
      <sz val="8"/>
      <color rgb="FFC00000"/>
      <name val="Calibri"/>
      <family val="2"/>
      <scheme val="minor"/>
    </font>
    <font>
      <b/>
      <sz val="8"/>
      <color indexed="8"/>
      <name val="Calibri"/>
      <family val="2"/>
      <scheme val="minor"/>
    </font>
    <font>
      <b/>
      <sz val="9"/>
      <color indexed="81"/>
      <name val="Tahoma"/>
      <family val="2"/>
    </font>
    <font>
      <sz val="9"/>
      <color indexed="81"/>
      <name val="Tahoma"/>
      <family val="2"/>
    </font>
    <font>
      <b/>
      <i/>
      <sz val="9"/>
      <color rgb="FF57A519"/>
      <name val="Calibri"/>
      <family val="2"/>
      <scheme val="minor"/>
    </font>
    <font>
      <sz val="12"/>
      <name val="Calibri"/>
      <family val="2"/>
      <scheme val="minor"/>
    </font>
    <font>
      <b/>
      <sz val="16"/>
      <color rgb="FFFF0000"/>
      <name val="Arial"/>
      <family val="2"/>
    </font>
    <font>
      <b/>
      <sz val="12"/>
      <color rgb="FF353535"/>
      <name val="Calibri"/>
      <family val="2"/>
      <scheme val="minor"/>
    </font>
    <font>
      <i/>
      <sz val="8"/>
      <color rgb="FF000000"/>
      <name val="Calibri"/>
      <family val="2"/>
      <scheme val="minor"/>
    </font>
    <font>
      <i/>
      <sz val="8"/>
      <name val="Calibri"/>
      <family val="2"/>
      <scheme val="minor"/>
    </font>
    <font>
      <b/>
      <sz val="8"/>
      <color rgb="FFF08200"/>
      <name val="Calibri"/>
      <family val="2"/>
      <scheme val="minor"/>
    </font>
    <font>
      <sz val="8"/>
      <color rgb="FFCD032E"/>
      <name val="Calibri"/>
      <family val="2"/>
      <scheme val="minor"/>
    </font>
    <font>
      <sz val="8"/>
      <color theme="1"/>
      <name val="Calibri"/>
      <family val="2"/>
    </font>
    <font>
      <sz val="8"/>
      <color indexed="8"/>
      <name val="Calibri"/>
      <family val="2"/>
    </font>
    <font>
      <sz val="14"/>
      <color rgb="FFFF0000"/>
      <name val="Calibri"/>
      <family val="2"/>
      <scheme val="minor"/>
    </font>
    <font>
      <sz val="14"/>
      <color rgb="FFCD032E"/>
      <name val="Calibri"/>
      <family val="2"/>
      <scheme val="minor"/>
    </font>
    <font>
      <sz val="9"/>
      <color indexed="8"/>
      <name val="Calibri"/>
      <family val="2"/>
    </font>
    <font>
      <b/>
      <sz val="9"/>
      <color indexed="8"/>
      <name val="Calibri"/>
      <family val="2"/>
    </font>
  </fonts>
  <fills count="63">
    <fill>
      <patternFill patternType="none"/>
    </fill>
    <fill>
      <patternFill patternType="gray125"/>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D9D9D9"/>
        <bgColor indexed="64"/>
      </patternFill>
    </fill>
    <fill>
      <patternFill patternType="solid">
        <fgColor rgb="FFFFFF66"/>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theme="4" tint="0.79998168889431442"/>
      </patternFill>
    </fill>
    <fill>
      <patternFill patternType="solid">
        <fgColor theme="0" tint="-4.9989318521683403E-2"/>
        <bgColor indexed="64"/>
      </patternFill>
    </fill>
    <fill>
      <patternFill patternType="solid">
        <fgColor rgb="FFFFFFFF"/>
        <bgColor indexed="64"/>
      </patternFill>
    </fill>
    <fill>
      <patternFill patternType="solid">
        <fgColor rgb="FFCD032E"/>
        <bgColor indexed="64"/>
      </patternFill>
    </fill>
    <fill>
      <patternFill patternType="solid">
        <fgColor rgb="FFF08200"/>
        <bgColor indexed="64"/>
      </patternFill>
    </fill>
    <fill>
      <patternFill patternType="solid">
        <fgColor rgb="FF57A519"/>
        <bgColor indexed="64"/>
      </patternFill>
    </fill>
    <fill>
      <patternFill patternType="solid">
        <fgColor rgb="FFAD25A8"/>
        <bgColor indexed="64"/>
      </patternFill>
    </fill>
    <fill>
      <patternFill patternType="solid">
        <fgColor rgb="FF0072CE"/>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C00000"/>
        <bgColor indexed="64"/>
      </patternFill>
    </fill>
    <fill>
      <patternFill patternType="solid">
        <fgColor rgb="FFFFFFCC"/>
      </patternFill>
    </fill>
    <fill>
      <patternFill patternType="solid">
        <fgColor theme="1"/>
        <bgColor indexed="64"/>
      </patternFill>
    </fill>
    <fill>
      <patternFill patternType="solid">
        <fgColor indexed="9"/>
        <bgColor indexed="64"/>
      </patternFill>
    </fill>
    <fill>
      <patternFill patternType="solid">
        <fgColor theme="0" tint="-0.14996795556505021"/>
        <bgColor indexed="64"/>
      </patternFill>
    </fill>
    <fill>
      <patternFill patternType="solid">
        <fgColor rgb="FFFFFF00"/>
        <bgColor indexed="64"/>
      </patternFill>
    </fill>
    <fill>
      <patternFill patternType="solid">
        <fgColor theme="4"/>
        <bgColor indexed="64"/>
      </patternFill>
    </fill>
    <fill>
      <patternFill patternType="solid">
        <fgColor rgb="FFFF9900"/>
        <bgColor indexed="64"/>
      </patternFill>
    </fill>
    <fill>
      <patternFill patternType="solid">
        <fgColor indexed="31"/>
        <bgColor indexed="64"/>
      </patternFill>
    </fill>
    <fill>
      <patternFill patternType="solid">
        <fgColor theme="7"/>
        <bgColor indexed="64"/>
      </patternFill>
    </fill>
    <fill>
      <patternFill patternType="solid">
        <fgColor rgb="FFFFFFFF"/>
        <bgColor rgb="FFFFFFFF"/>
      </patternFill>
    </fill>
  </fills>
  <borders count="3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right/>
      <top style="thin">
        <color indexed="64"/>
      </top>
      <bottom style="thin">
        <color theme="0" tint="-0.2499465926084170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style="thin">
        <color auto="1"/>
      </left>
      <right style="thin">
        <color auto="1"/>
      </right>
      <top/>
      <bottom style="thin">
        <color auto="1"/>
      </bottom>
      <diagonal/>
    </border>
    <border>
      <left/>
      <right/>
      <top style="thin">
        <color indexed="64"/>
      </top>
      <bottom style="medium">
        <color indexed="64"/>
      </bottom>
      <diagonal/>
    </border>
    <border>
      <left/>
      <right/>
      <top style="thin">
        <color auto="1"/>
      </top>
      <bottom/>
      <diagonal/>
    </border>
    <border>
      <left/>
      <right/>
      <top/>
      <bottom style="thick">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medium">
        <color indexed="64"/>
      </left>
      <right style="thin">
        <color indexed="22"/>
      </right>
      <top style="thin">
        <color indexed="22"/>
      </top>
      <bottom style="thin">
        <color indexed="22"/>
      </bottom>
      <diagonal/>
    </border>
    <border>
      <left style="medium">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medium">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medium">
        <color indexed="64"/>
      </left>
      <right style="thin">
        <color indexed="22"/>
      </right>
      <top/>
      <bottom style="thin">
        <color indexed="22"/>
      </bottom>
      <diagonal/>
    </border>
    <border>
      <left style="medium">
        <color indexed="64"/>
      </left>
      <right style="thin">
        <color indexed="22"/>
      </right>
      <top/>
      <bottom style="thin">
        <color indexed="64"/>
      </bottom>
      <diagonal/>
    </border>
    <border>
      <left/>
      <right style="thin">
        <color indexed="64"/>
      </right>
      <top style="thin">
        <color auto="1"/>
      </top>
      <bottom/>
      <diagonal/>
    </border>
    <border>
      <left style="medium">
        <color indexed="64"/>
      </left>
      <right style="thin">
        <color indexed="22"/>
      </right>
      <top style="thin">
        <color indexed="22"/>
      </top>
      <bottom/>
      <diagonal/>
    </border>
    <border>
      <left style="thin">
        <color indexed="22"/>
      </left>
      <right style="thin">
        <color indexed="22"/>
      </right>
      <top style="thin">
        <color indexed="22"/>
      </top>
      <bottom/>
      <diagonal/>
    </border>
    <border>
      <left/>
      <right/>
      <top/>
      <bottom style="thin">
        <color indexed="64"/>
      </bottom>
      <diagonal/>
    </border>
    <border>
      <left/>
      <right/>
      <top style="thin">
        <color indexed="64"/>
      </top>
      <bottom/>
      <diagonal/>
    </border>
    <border>
      <left style="medium">
        <color indexed="64"/>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right style="thin">
        <color theme="0" tint="-0.24994659260841701"/>
      </right>
      <top/>
      <bottom/>
      <diagonal/>
    </border>
    <border>
      <left/>
      <right style="thin">
        <color theme="0" tint="-0.24994659260841701"/>
      </right>
      <top/>
      <bottom style="thin">
        <color indexed="64"/>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auto="1"/>
      </left>
      <right style="thin">
        <color auto="1"/>
      </right>
      <top style="medium">
        <color theme="0" tint="-0.499984740745262"/>
      </top>
      <bottom style="thin">
        <color auto="1"/>
      </bottom>
      <diagonal/>
    </border>
    <border>
      <left style="thin">
        <color auto="1"/>
      </left>
      <right style="thin">
        <color auto="1"/>
      </right>
      <top style="medium">
        <color theme="0" tint="-0.499984740745262"/>
      </top>
      <bottom/>
      <diagonal/>
    </border>
    <border>
      <left style="thin">
        <color indexed="64"/>
      </left>
      <right style="thin">
        <color indexed="64"/>
      </right>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style="thin">
        <color theme="0"/>
      </right>
      <top style="thin">
        <color indexed="64"/>
      </top>
      <bottom style="thin">
        <color indexed="64"/>
      </bottom>
      <diagonal/>
    </border>
    <border>
      <left style="medium">
        <color theme="0"/>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right style="medium">
        <color theme="0" tint="-0.24994659260841701"/>
      </right>
      <top/>
      <bottom/>
      <diagonal/>
    </border>
    <border>
      <left style="medium">
        <color theme="0" tint="-0.24994659260841701"/>
      </left>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style="thin">
        <color theme="0" tint="-0.24994659260841701"/>
      </top>
      <bottom/>
      <diagonal/>
    </border>
    <border>
      <left style="thin">
        <color theme="0" tint="-0.24994659260841701"/>
      </left>
      <right/>
      <top/>
      <bottom style="medium">
        <color indexed="64"/>
      </bottom>
      <diagonal/>
    </border>
    <border>
      <left/>
      <right/>
      <top/>
      <bottom style="medium">
        <color rgb="FFCD032E"/>
      </bottom>
      <diagonal/>
    </border>
    <border>
      <left style="thin">
        <color theme="0" tint="-0.24994659260841701"/>
      </left>
      <right style="thin">
        <color theme="0" tint="-0.24994659260841701"/>
      </right>
      <top style="medium">
        <color rgb="FFCD032E"/>
      </top>
      <bottom/>
      <diagonal/>
    </border>
    <border>
      <left/>
      <right/>
      <top/>
      <bottom style="medium">
        <color rgb="FFF08200"/>
      </bottom>
      <diagonal/>
    </border>
    <border>
      <left style="thin">
        <color theme="0" tint="-0.24994659260841701"/>
      </left>
      <right style="thin">
        <color theme="0" tint="-0.24994659260841701"/>
      </right>
      <top style="medium">
        <color rgb="FFF08200"/>
      </top>
      <bottom style="thin">
        <color theme="0" tint="-0.24994659260841701"/>
      </bottom>
      <diagonal/>
    </border>
    <border>
      <left/>
      <right/>
      <top/>
      <bottom style="medium">
        <color rgb="FF57A519"/>
      </bottom>
      <diagonal/>
    </border>
    <border>
      <left/>
      <right/>
      <top/>
      <bottom style="medium">
        <color rgb="FFAD25A8"/>
      </bottom>
      <diagonal/>
    </border>
    <border>
      <left style="thin">
        <color theme="0" tint="-0.24994659260841701"/>
      </left>
      <right style="thin">
        <color theme="0" tint="-0.24994659260841701"/>
      </right>
      <top style="thin">
        <color theme="0" tint="-0.499984740745262"/>
      </top>
      <bottom style="thin">
        <color indexed="64"/>
      </bottom>
      <diagonal/>
    </border>
    <border>
      <left/>
      <right/>
      <top/>
      <bottom style="medium">
        <color rgb="FF0072CE"/>
      </bottom>
      <diagonal/>
    </border>
    <border>
      <left/>
      <right/>
      <top/>
      <bottom style="medium">
        <color theme="1" tint="0.34998626667073579"/>
      </bottom>
      <diagonal/>
    </border>
    <border>
      <left/>
      <right/>
      <top style="medium">
        <color indexed="64"/>
      </top>
      <bottom style="thin">
        <color theme="0" tint="-0.24994659260841701"/>
      </bottom>
      <diagonal/>
    </border>
    <border>
      <left/>
      <right style="thin">
        <color theme="0"/>
      </right>
      <top style="thin">
        <color indexed="64"/>
      </top>
      <bottom/>
      <diagonal/>
    </border>
    <border>
      <left style="medium">
        <color theme="0"/>
      </left>
      <right/>
      <top style="thin">
        <color auto="1"/>
      </top>
      <bottom/>
      <diagonal/>
    </border>
    <border>
      <left style="thin">
        <color theme="0" tint="-0.24994659260841701"/>
      </left>
      <right style="thin">
        <color theme="0" tint="-0.24994659260841701"/>
      </right>
      <top/>
      <bottom style="medium">
        <color indexed="64"/>
      </bottom>
      <diagonal/>
    </border>
    <border>
      <left style="thin">
        <color auto="1"/>
      </left>
      <right style="thin">
        <color theme="0" tint="-0.24994659260841701"/>
      </right>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indexed="22"/>
      </left>
      <right/>
      <top/>
      <bottom style="thin">
        <color indexed="22"/>
      </bottom>
      <diagonal/>
    </border>
    <border>
      <left/>
      <right/>
      <top/>
      <bottom style="thin">
        <color indexed="22"/>
      </bottom>
      <diagonal/>
    </border>
    <border>
      <left style="thin">
        <color theme="0" tint="-0.24994659260841701"/>
      </left>
      <right style="thin">
        <color theme="0" tint="-0.24994659260841701"/>
      </right>
      <top/>
      <bottom style="thin">
        <color indexed="22"/>
      </bottom>
      <diagonal/>
    </border>
    <border>
      <left/>
      <right style="thin">
        <color auto="1"/>
      </right>
      <top/>
      <bottom style="thin">
        <color auto="1"/>
      </bottom>
      <diagonal/>
    </border>
    <border>
      <left/>
      <right/>
      <top/>
      <bottom style="thin">
        <color auto="1"/>
      </bottom>
      <diagonal/>
    </border>
    <border>
      <left style="thin">
        <color indexed="64"/>
      </left>
      <right/>
      <top/>
      <bottom style="thin">
        <color auto="1"/>
      </bottom>
      <diagonal/>
    </border>
    <border>
      <left style="thin">
        <color theme="0" tint="-0.24994659260841701"/>
      </left>
      <right style="thin">
        <color theme="0" tint="-0.24994659260841701"/>
      </right>
      <top/>
      <bottom style="thin">
        <color auto="1"/>
      </bottom>
      <diagonal/>
    </border>
    <border>
      <left style="thin">
        <color indexed="22"/>
      </left>
      <right/>
      <top style="thin">
        <color indexed="22"/>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0" tint="-0.24994659260841701"/>
      </left>
      <right style="thin">
        <color theme="0" tint="-0.24994659260841701"/>
      </right>
      <top/>
      <bottom style="thin">
        <color indexed="64"/>
      </bottom>
      <diagonal/>
    </border>
    <border>
      <left/>
      <right style="thin">
        <color theme="0" tint="-0.24994659260841701"/>
      </right>
      <top style="medium">
        <color indexed="64"/>
      </top>
      <bottom style="thin">
        <color theme="0" tint="-0.24994659260841701"/>
      </bottom>
      <diagonal/>
    </border>
    <border>
      <left style="medium">
        <color theme="0" tint="-0.24994659260841701"/>
      </left>
      <right/>
      <top style="medium">
        <color indexed="64"/>
      </top>
      <bottom/>
      <diagonal/>
    </border>
    <border>
      <left style="medium">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64"/>
      </left>
      <right style="thin">
        <color indexed="64"/>
      </right>
      <top/>
      <bottom style="thin">
        <color indexed="64"/>
      </bottom>
      <diagonal/>
    </border>
    <border>
      <left style="medium">
        <color indexed="64"/>
      </left>
      <right/>
      <top style="medium">
        <color theme="0" tint="-0.14996795556505021"/>
      </top>
      <bottom/>
      <diagonal/>
    </border>
    <border>
      <left/>
      <right/>
      <top style="medium">
        <color theme="0" tint="-0.14996795556505021"/>
      </top>
      <bottom/>
      <diagonal/>
    </border>
    <border>
      <left style="thin">
        <color indexed="64"/>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64"/>
      </bottom>
      <diagonal/>
    </border>
    <border>
      <left style="thin">
        <color indexed="22"/>
      </left>
      <right/>
      <top style="thin">
        <color indexed="64"/>
      </top>
      <bottom style="thin">
        <color indexed="22"/>
      </bottom>
      <diagonal/>
    </border>
    <border>
      <left/>
      <right/>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style="thin">
        <color theme="0" tint="-0.24994659260841701"/>
      </left>
      <right style="thin">
        <color theme="0" tint="-0.24994659260841701"/>
      </right>
      <top style="medium">
        <color indexed="64"/>
      </top>
      <bottom style="thin">
        <color indexed="22"/>
      </bottom>
      <diagonal/>
    </border>
    <border>
      <left style="thin">
        <color theme="0" tint="-0.24994659260841701"/>
      </left>
      <right/>
      <top style="medium">
        <color indexed="64"/>
      </top>
      <bottom/>
      <diagonal/>
    </border>
    <border>
      <left style="thin">
        <color theme="0" tint="-0.24994659260841701"/>
      </left>
      <right style="thin">
        <color theme="0" tint="-0.24994659260841701"/>
      </right>
      <top/>
      <bottom style="thin">
        <color indexed="22"/>
      </bottom>
      <diagonal/>
    </border>
    <border>
      <left style="thin">
        <color theme="0" tint="-0.24994659260841701"/>
      </left>
      <right/>
      <top/>
      <bottom style="thin">
        <color indexed="64"/>
      </bottom>
      <diagonal/>
    </border>
    <border>
      <left style="thin">
        <color theme="0" tint="-0.24994659260841701"/>
      </left>
      <right style="thin">
        <color theme="0" tint="-0.24994659260841701"/>
      </right>
      <top style="thin">
        <color indexed="22"/>
      </top>
      <bottom style="thin">
        <color indexed="22"/>
      </bottom>
      <diagonal/>
    </border>
    <border>
      <left/>
      <right style="medium">
        <color theme="0" tint="-0.24994659260841701"/>
      </right>
      <top style="medium">
        <color indexed="64"/>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theme="0" tint="-0.24994659260841701"/>
      </left>
      <right/>
      <top style="thin">
        <color theme="0" tint="-0.24994659260841701"/>
      </top>
      <bottom/>
      <diagonal/>
    </border>
    <border>
      <left/>
      <right style="medium">
        <color theme="0" tint="-0.24994659260841701"/>
      </right>
      <top style="thin">
        <color theme="0" tint="-0.24994659260841701"/>
      </top>
      <bottom/>
      <diagonal/>
    </border>
    <border>
      <left/>
      <right style="medium">
        <color theme="0" tint="-0.24994659260841701"/>
      </right>
      <top/>
      <bottom style="thin">
        <color indexed="64"/>
      </bottom>
      <diagonal/>
    </border>
    <border>
      <left style="medium">
        <color theme="0" tint="-0.24994659260841701"/>
      </left>
      <right/>
      <top/>
      <bottom style="thin">
        <color indexed="64"/>
      </bottom>
      <diagonal/>
    </border>
    <border>
      <left/>
      <right style="medium">
        <color theme="0" tint="-0.24994659260841701"/>
      </right>
      <top style="thin">
        <color indexed="64"/>
      </top>
      <bottom style="thin">
        <color theme="0" tint="-0.24994659260841701"/>
      </bottom>
      <diagonal/>
    </border>
    <border>
      <left/>
      <right style="medium">
        <color theme="0" tint="-0.24994659260841701"/>
      </right>
      <top/>
      <bottom style="thin">
        <color theme="0" tint="-0.24994659260841701"/>
      </bottom>
      <diagonal/>
    </border>
    <border>
      <left/>
      <right/>
      <top style="thin">
        <color indexed="22"/>
      </top>
      <bottom style="thin">
        <color indexed="22"/>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auto="1"/>
      </bottom>
      <diagonal/>
    </border>
    <border>
      <left style="thin">
        <color auto="1"/>
      </left>
      <right style="thin">
        <color auto="1"/>
      </right>
      <top style="thin">
        <color auto="1"/>
      </top>
      <bottom/>
      <diagonal/>
    </border>
    <border>
      <left/>
      <right style="medium">
        <color theme="0"/>
      </right>
      <top style="thin">
        <color auto="1"/>
      </top>
      <bottom/>
      <diagonal/>
    </border>
    <border>
      <left style="medium">
        <color theme="0"/>
      </left>
      <right/>
      <top style="thin">
        <color auto="1"/>
      </top>
      <bottom style="thin">
        <color auto="1"/>
      </bottom>
      <diagonal/>
    </border>
    <border>
      <left/>
      <right style="medium">
        <color theme="0"/>
      </right>
      <top style="thin">
        <color auto="1"/>
      </top>
      <bottom style="thin">
        <color auto="1"/>
      </bottom>
      <diagonal/>
    </border>
    <border>
      <left/>
      <right style="thin">
        <color auto="1"/>
      </right>
      <top/>
      <bottom style="medium">
        <color indexed="64"/>
      </bottom>
      <diagonal/>
    </border>
    <border>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right style="thin">
        <color theme="0" tint="-0.24994659260841701"/>
      </right>
      <top style="thin">
        <color indexed="64"/>
      </top>
      <bottom/>
      <diagonal/>
    </border>
    <border>
      <left style="thin">
        <color theme="0" tint="-0.24994659260841701"/>
      </left>
      <right/>
      <top style="thin">
        <color indexed="64"/>
      </top>
      <bottom/>
      <diagonal/>
    </border>
    <border>
      <left/>
      <right style="thin">
        <color theme="0" tint="-0.24994659260841701"/>
      </right>
      <top style="thin">
        <color indexed="64"/>
      </top>
      <bottom style="thin">
        <color indexed="64"/>
      </bottom>
      <diagonal/>
    </border>
    <border>
      <left/>
      <right style="thin">
        <color auto="1"/>
      </right>
      <top style="thin">
        <color auto="1"/>
      </top>
      <bottom/>
      <diagonal/>
    </border>
    <border>
      <left style="thin">
        <color indexed="64"/>
      </left>
      <right style="thin">
        <color auto="1"/>
      </right>
      <top style="thin">
        <color auto="1"/>
      </top>
      <bottom/>
      <diagonal/>
    </border>
    <border>
      <left style="thin">
        <color theme="0" tint="-0.24994659260841701"/>
      </left>
      <right/>
      <top style="medium">
        <color indexed="64"/>
      </top>
      <bottom style="thin">
        <color theme="0" tint="-0.24994659260841701"/>
      </bottom>
      <diagonal/>
    </border>
    <border>
      <left/>
      <right style="thin">
        <color auto="1"/>
      </right>
      <top style="medium">
        <color indexed="64"/>
      </top>
      <bottom style="thin">
        <color theme="0" tint="-0.24994659260841701"/>
      </bottom>
      <diagonal/>
    </border>
    <border>
      <left style="thin">
        <color indexed="64"/>
      </left>
      <right style="thin">
        <color indexed="64"/>
      </right>
      <top style="medium">
        <color indexed="64"/>
      </top>
      <bottom style="thin">
        <color theme="0" tint="-0.24994659260841701"/>
      </bottom>
      <diagonal/>
    </border>
    <border>
      <left style="thin">
        <color indexed="64"/>
      </left>
      <right/>
      <top style="medium">
        <color indexed="64"/>
      </top>
      <bottom style="thin">
        <color theme="0" tint="-0.24994659260841701"/>
      </bottom>
      <diagonal/>
    </border>
    <border>
      <left/>
      <right/>
      <top style="thin">
        <color auto="1"/>
      </top>
      <bottom style="thin">
        <color theme="0" tint="-0.24994659260841701"/>
      </bottom>
      <diagonal/>
    </border>
    <border>
      <left style="thin">
        <color auto="1"/>
      </left>
      <right/>
      <top style="thin">
        <color theme="0" tint="-0.24994659260841701"/>
      </top>
      <bottom style="medium">
        <color theme="0" tint="-0.499984740745262"/>
      </bottom>
      <diagonal/>
    </border>
    <border>
      <left/>
      <right style="thin">
        <color indexed="64"/>
      </right>
      <top/>
      <bottom style="thin">
        <color indexed="64"/>
      </bottom>
      <diagonal/>
    </border>
    <border>
      <left style="thin">
        <color indexed="64"/>
      </left>
      <right style="thin">
        <color auto="1"/>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auto="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indexed="64"/>
      </right>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auto="1"/>
      </left>
      <right style="thin">
        <color theme="0" tint="-0.24994659260841701"/>
      </right>
      <top/>
      <bottom style="thin">
        <color auto="1"/>
      </bottom>
      <diagonal/>
    </border>
    <border>
      <left style="thin">
        <color theme="0" tint="-0.24994659260841701"/>
      </left>
      <right style="thin">
        <color auto="1"/>
      </right>
      <top/>
      <bottom style="thin">
        <color auto="1"/>
      </bottom>
      <diagonal/>
    </border>
    <border>
      <left/>
      <right/>
      <top style="medium">
        <color indexed="64"/>
      </top>
      <bottom style="thin">
        <color indexed="22"/>
      </bottom>
      <diagonal/>
    </border>
    <border>
      <left/>
      <right/>
      <top style="thin">
        <color indexed="22"/>
      </top>
      <bottom/>
      <diagonal/>
    </border>
    <border>
      <left/>
      <right/>
      <top/>
      <bottom style="thin">
        <color indexed="22"/>
      </bottom>
      <diagonal/>
    </border>
    <border>
      <left/>
      <right/>
      <top/>
      <bottom style="thin">
        <color indexed="64"/>
      </bottom>
      <diagonal/>
    </border>
    <border>
      <left/>
      <right/>
      <top style="thin">
        <color indexed="64"/>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right/>
      <top style="thin">
        <color indexed="22"/>
      </top>
      <bottom/>
      <diagonal/>
    </border>
    <border>
      <left style="thin">
        <color theme="0" tint="-0.24994659260841701"/>
      </left>
      <right/>
      <top/>
      <bottom style="thin">
        <color auto="1"/>
      </bottom>
      <diagonal/>
    </border>
    <border>
      <left style="thin">
        <color indexed="64"/>
      </left>
      <right/>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right style="thin">
        <color theme="0" tint="-0.24994659260841701"/>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indexed="64"/>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auto="1"/>
      </bottom>
      <diagonal/>
    </border>
    <border>
      <left/>
      <right/>
      <top style="thin">
        <color auto="1"/>
      </top>
      <bottom style="thin">
        <color auto="1"/>
      </bottom>
      <diagonal/>
    </border>
    <border>
      <left style="medium">
        <color theme="0"/>
      </left>
      <right/>
      <top style="thin">
        <color auto="1"/>
      </top>
      <bottom/>
      <diagonal/>
    </border>
    <border>
      <left style="thin">
        <color theme="0"/>
      </left>
      <right style="thin">
        <color indexed="64"/>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3"/>
      </right>
      <top/>
      <bottom/>
      <diagonal/>
    </border>
    <border>
      <left style="thin">
        <color indexed="63"/>
      </left>
      <right style="thin">
        <color indexed="63"/>
      </right>
      <top/>
      <bottom/>
      <diagonal/>
    </border>
    <border>
      <left style="thin">
        <color indexed="63"/>
      </left>
      <right/>
      <top/>
      <bottom/>
      <diagonal/>
    </border>
    <border>
      <left/>
      <right/>
      <top/>
      <bottom style="thin">
        <color indexed="61"/>
      </bottom>
      <diagonal/>
    </border>
    <border>
      <left/>
      <right style="thin">
        <color indexed="63"/>
      </right>
      <top/>
      <bottom style="thin">
        <color indexed="61"/>
      </bottom>
      <diagonal/>
    </border>
    <border>
      <left style="thin">
        <color indexed="63"/>
      </left>
      <right style="thin">
        <color indexed="63"/>
      </right>
      <top/>
      <bottom style="thin">
        <color indexed="61"/>
      </bottom>
      <diagonal/>
    </border>
    <border>
      <left style="thin">
        <color indexed="63"/>
      </left>
      <right/>
      <top/>
      <bottom style="thin">
        <color indexed="61"/>
      </bottom>
      <diagonal/>
    </border>
    <border>
      <left/>
      <right/>
      <top style="thin">
        <color indexed="61"/>
      </top>
      <bottom style="thin">
        <color indexed="22"/>
      </bottom>
      <diagonal/>
    </border>
    <border>
      <left/>
      <right style="thin">
        <color indexed="63"/>
      </right>
      <top style="thin">
        <color indexed="61"/>
      </top>
      <bottom style="thin">
        <color indexed="22"/>
      </bottom>
      <diagonal/>
    </border>
    <border>
      <left style="thin">
        <color indexed="63"/>
      </left>
      <right style="thin">
        <color indexed="63"/>
      </right>
      <top style="thin">
        <color indexed="61"/>
      </top>
      <bottom style="thin">
        <color indexed="22"/>
      </bottom>
      <diagonal/>
    </border>
    <border>
      <left style="thin">
        <color indexed="63"/>
      </left>
      <right/>
      <top style="thin">
        <color indexed="61"/>
      </top>
      <bottom style="thin">
        <color indexed="22"/>
      </bottom>
      <diagonal/>
    </border>
    <border>
      <left/>
      <right/>
      <top style="thin">
        <color indexed="22"/>
      </top>
      <bottom style="thin">
        <color indexed="22"/>
      </bottom>
      <diagonal/>
    </border>
    <border>
      <left/>
      <right style="thin">
        <color indexed="63"/>
      </right>
      <top style="thin">
        <color indexed="22"/>
      </top>
      <bottom style="thin">
        <color indexed="22"/>
      </bottom>
      <diagonal/>
    </border>
    <border>
      <left style="thin">
        <color indexed="63"/>
      </left>
      <right style="thin">
        <color indexed="63"/>
      </right>
      <top style="thin">
        <color indexed="22"/>
      </top>
      <bottom style="thin">
        <color indexed="22"/>
      </bottom>
      <diagonal/>
    </border>
    <border>
      <left style="thin">
        <color indexed="63"/>
      </left>
      <right/>
      <top style="thin">
        <color indexed="22"/>
      </top>
      <bottom style="thin">
        <color indexed="22"/>
      </bottom>
      <diagonal/>
    </border>
    <border>
      <left/>
      <right/>
      <top style="thin">
        <color indexed="22"/>
      </top>
      <bottom/>
      <diagonal/>
    </border>
    <border>
      <left/>
      <right/>
      <top style="medium">
        <color indexed="64"/>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style="thin">
        <color indexed="64"/>
      </bottom>
      <diagonal/>
    </border>
    <border>
      <left style="thin">
        <color theme="0" tint="-0.24994659260841701"/>
      </left>
      <right style="thin">
        <color indexed="64"/>
      </right>
      <top/>
      <bottom style="thin">
        <color auto="1"/>
      </bottom>
      <diagonal/>
    </border>
    <border>
      <left/>
      <right/>
      <top/>
      <bottom style="thin">
        <color theme="0" tint="-0.14996795556505021"/>
      </bottom>
      <diagonal/>
    </border>
    <border>
      <left/>
      <right/>
      <top style="thin">
        <color theme="0" tint="-0.24994659260841701"/>
      </top>
      <bottom style="thin">
        <color theme="0" tint="-0.14996795556505021"/>
      </bottom>
      <diagonal/>
    </border>
    <border>
      <left/>
      <right style="thin">
        <color auto="1"/>
      </right>
      <top/>
      <bottom style="thin">
        <color auto="1"/>
      </bottom>
      <diagonal/>
    </border>
    <border>
      <left style="thin">
        <color theme="0" tint="-0.24994659260841701"/>
      </left>
      <right style="thin">
        <color theme="0" tint="-0.24994659260841701"/>
      </right>
      <top style="thin">
        <color indexed="64"/>
      </top>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s>
  <cellStyleXfs count="3796">
    <xf numFmtId="0" fontId="0"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8"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1" applyNumberFormat="0" applyAlignment="0" applyProtection="0"/>
    <xf numFmtId="0" fontId="11" fillId="14" borderId="2" applyNumberFormat="0" applyAlignment="0" applyProtection="0"/>
    <xf numFmtId="0" fontId="12" fillId="0" borderId="3" applyNumberFormat="0" applyFill="0" applyAlignment="0" applyProtection="0"/>
    <xf numFmtId="4" fontId="33" fillId="0" borderId="0">
      <protection locked="0"/>
    </xf>
    <xf numFmtId="38" fontId="34" fillId="0" borderId="0" applyFont="0" applyFill="0" applyBorder="0" applyAlignment="0" applyProtection="0"/>
    <xf numFmtId="174" fontId="33" fillId="0" borderId="0">
      <protection locked="0"/>
    </xf>
    <xf numFmtId="175" fontId="34" fillId="0" borderId="0" applyFont="0" applyFill="0" applyBorder="0" applyAlignment="0" applyProtection="0"/>
    <xf numFmtId="176" fontId="33" fillId="0" borderId="0">
      <protection locked="0"/>
    </xf>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1" applyNumberFormat="0" applyAlignment="0" applyProtection="0"/>
    <xf numFmtId="164" fontId="4" fillId="0" borderId="0" applyFont="0" applyFill="0" applyBorder="0" applyAlignment="0" applyProtection="0"/>
    <xf numFmtId="177" fontId="33" fillId="0" borderId="0">
      <protection locked="0"/>
    </xf>
    <xf numFmtId="178" fontId="35" fillId="0" borderId="0">
      <protection locked="0"/>
    </xf>
    <xf numFmtId="178" fontId="35" fillId="0" borderId="0">
      <protection locked="0"/>
    </xf>
    <xf numFmtId="0" fontId="39" fillId="0" borderId="0" applyNumberFormat="0" applyFill="0" applyBorder="0" applyAlignment="0" applyProtection="0">
      <alignment vertical="top"/>
      <protection locked="0"/>
    </xf>
    <xf numFmtId="0" fontId="15" fillId="6"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6" fillId="9" borderId="0" applyNumberFormat="0" applyBorder="0" applyAlignment="0" applyProtection="0"/>
    <xf numFmtId="0" fontId="38" fillId="0" borderId="0"/>
    <xf numFmtId="0" fontId="38" fillId="0" borderId="0"/>
    <xf numFmtId="0" fontId="1" fillId="0" borderId="0"/>
    <xf numFmtId="0" fontId="31" fillId="0" borderId="0"/>
    <xf numFmtId="0" fontId="37" fillId="0" borderId="0"/>
    <xf numFmtId="0" fontId="4" fillId="0" borderId="0"/>
    <xf numFmtId="0" fontId="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38" fillId="0" borderId="0"/>
    <xf numFmtId="0" fontId="3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4" fillId="0" borderId="0"/>
    <xf numFmtId="0" fontId="38" fillId="0" borderId="0"/>
    <xf numFmtId="0" fontId="4" fillId="0" borderId="0"/>
    <xf numFmtId="0" fontId="38" fillId="0" borderId="0"/>
    <xf numFmtId="0" fontId="17" fillId="0" borderId="0"/>
    <xf numFmtId="0" fontId="4" fillId="5" borderId="4" applyNumberFormat="0" applyFont="0" applyAlignment="0" applyProtection="0"/>
    <xf numFmtId="179" fontId="33" fillId="0" borderId="0">
      <protection locked="0"/>
    </xf>
    <xf numFmtId="9" fontId="3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0" fontId="18" fillId="13" borderId="5"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9" applyNumberFormat="0" applyFill="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5"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68" fillId="0" borderId="0" applyFont="0" applyFill="0" applyBorder="0" applyAlignment="0" applyProtection="0"/>
    <xf numFmtId="0" fontId="1" fillId="0" borderId="0"/>
    <xf numFmtId="0" fontId="1" fillId="0" borderId="0"/>
    <xf numFmtId="0" fontId="10" fillId="13" borderId="32" applyNumberFormat="0" applyAlignment="0" applyProtection="0"/>
    <xf numFmtId="0" fontId="14" fillId="9" borderId="32" applyNumberFormat="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38" fillId="0" borderId="0"/>
    <xf numFmtId="0" fontId="1" fillId="0" borderId="0"/>
    <xf numFmtId="0" fontId="1" fillId="5" borderId="33" applyNumberFormat="0" applyFont="0" applyAlignment="0" applyProtection="0"/>
    <xf numFmtId="9" fontId="38" fillId="0" borderId="0" applyFont="0" applyFill="0" applyBorder="0" applyAlignment="0" applyProtection="0"/>
    <xf numFmtId="9" fontId="1" fillId="0" borderId="0" applyFont="0" applyFill="0" applyBorder="0" applyAlignment="0" applyProtection="0"/>
    <xf numFmtId="0" fontId="18" fillId="13" borderId="34" applyNumberFormat="0" applyAlignment="0" applyProtection="0"/>
    <xf numFmtId="0" fontId="23" fillId="0" borderId="35" applyNumberFormat="0" applyFill="0" applyAlignment="0" applyProtection="0"/>
    <xf numFmtId="0" fontId="1" fillId="5" borderId="33" applyNumberFormat="0" applyFont="0" applyAlignment="0" applyProtection="0"/>
    <xf numFmtId="0" fontId="1" fillId="0" borderId="0"/>
    <xf numFmtId="9" fontId="1" fillId="0" borderId="0" applyFont="0" applyFill="0" applyBorder="0" applyAlignment="0" applyProtection="0"/>
    <xf numFmtId="0" fontId="1" fillId="0" borderId="0"/>
    <xf numFmtId="0" fontId="10" fillId="13" borderId="32" applyNumberFormat="0" applyAlignment="0" applyProtection="0"/>
    <xf numFmtId="0" fontId="14" fillId="9" borderId="32" applyNumberFormat="0" applyAlignment="0" applyProtection="0"/>
    <xf numFmtId="0" fontId="18" fillId="13" borderId="34" applyNumberFormat="0" applyAlignment="0" applyProtection="0"/>
    <xf numFmtId="0" fontId="23" fillId="0" borderId="35" applyNumberFormat="0" applyFill="0" applyAlignment="0" applyProtection="0"/>
    <xf numFmtId="0" fontId="77" fillId="0" borderId="0"/>
    <xf numFmtId="43" fontId="7" fillId="0" borderId="0" applyFont="0" applyFill="0" applyBorder="0" applyAlignment="0" applyProtection="0"/>
    <xf numFmtId="0" fontId="84" fillId="0" borderId="0"/>
    <xf numFmtId="9" fontId="84" fillId="0" borderId="0" applyFont="0" applyFill="0" applyBorder="0" applyAlignment="0" applyProtection="0"/>
    <xf numFmtId="0" fontId="17" fillId="0" borderId="0"/>
    <xf numFmtId="0" fontId="17" fillId="0" borderId="0"/>
    <xf numFmtId="0" fontId="10" fillId="13" borderId="36" applyNumberFormat="0" applyAlignment="0" applyProtection="0"/>
    <xf numFmtId="0" fontId="10" fillId="13" borderId="36" applyNumberFormat="0" applyAlignment="0" applyProtection="0"/>
    <xf numFmtId="0" fontId="10" fillId="13" borderId="36" applyNumberFormat="0" applyAlignment="0" applyProtection="0"/>
    <xf numFmtId="0" fontId="14" fillId="9" borderId="36" applyNumberFormat="0" applyAlignment="0" applyProtection="0"/>
    <xf numFmtId="0" fontId="14" fillId="9" borderId="36" applyNumberFormat="0" applyAlignment="0" applyProtection="0"/>
    <xf numFmtId="0" fontId="14" fillId="9" borderId="36" applyNumberFormat="0" applyAlignment="0" applyProtection="0"/>
    <xf numFmtId="0" fontId="1" fillId="0" borderId="0"/>
    <xf numFmtId="0" fontId="1" fillId="0" borderId="0"/>
    <xf numFmtId="0" fontId="1" fillId="5" borderId="37" applyNumberFormat="0" applyFont="0" applyAlignment="0" applyProtection="0"/>
    <xf numFmtId="0" fontId="1" fillId="5" borderId="37" applyNumberFormat="0" applyFont="0" applyAlignment="0" applyProtection="0"/>
    <xf numFmtId="0" fontId="1" fillId="5" borderId="37" applyNumberFormat="0" applyFont="0" applyAlignment="0" applyProtection="0"/>
    <xf numFmtId="0" fontId="1" fillId="5" borderId="37" applyNumberFormat="0" applyFont="0" applyAlignment="0" applyProtection="0"/>
    <xf numFmtId="9" fontId="1" fillId="0" borderId="0" applyFont="0" applyFill="0" applyBorder="0" applyAlignment="0" applyProtection="0"/>
    <xf numFmtId="0" fontId="18" fillId="13" borderId="38" applyNumberFormat="0" applyAlignment="0" applyProtection="0"/>
    <xf numFmtId="0" fontId="18" fillId="13" borderId="38" applyNumberFormat="0" applyAlignment="0" applyProtection="0"/>
    <xf numFmtId="0" fontId="18" fillId="13" borderId="38" applyNumberFormat="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14" fillId="9" borderId="40" applyNumberFormat="0" applyAlignment="0" applyProtection="0"/>
    <xf numFmtId="0" fontId="14" fillId="9" borderId="40" applyNumberFormat="0" applyAlignment="0" applyProtection="0"/>
    <xf numFmtId="0" fontId="10" fillId="13" borderId="40" applyNumberFormat="0" applyAlignment="0" applyProtection="0"/>
    <xf numFmtId="0" fontId="10" fillId="13" borderId="40" applyNumberFormat="0" applyAlignment="0" applyProtection="0"/>
    <xf numFmtId="0" fontId="1" fillId="5" borderId="41" applyNumberFormat="0" applyFont="0" applyAlignment="0" applyProtection="0"/>
    <xf numFmtId="0" fontId="23" fillId="0" borderId="43" applyNumberFormat="0" applyFill="0" applyAlignment="0" applyProtection="0"/>
    <xf numFmtId="0" fontId="18" fillId="13" borderId="42" applyNumberFormat="0" applyAlignment="0" applyProtection="0"/>
    <xf numFmtId="0" fontId="1" fillId="5" borderId="41" applyNumberFormat="0" applyFont="0" applyAlignment="0" applyProtection="0"/>
    <xf numFmtId="0" fontId="14" fillId="9" borderId="40" applyNumberFormat="0" applyAlignment="0" applyProtection="0"/>
    <xf numFmtId="0" fontId="10" fillId="13" borderId="40" applyNumberFormat="0" applyAlignment="0" applyProtection="0"/>
    <xf numFmtId="0" fontId="14" fillId="9" borderId="52" applyNumberFormat="0" applyAlignment="0" applyProtection="0"/>
    <xf numFmtId="0" fontId="10" fillId="13" borderId="52" applyNumberForma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1" applyNumberFormat="0" applyFont="0" applyAlignment="0" applyProtection="0"/>
    <xf numFmtId="0" fontId="1" fillId="5" borderId="41" applyNumberFormat="0" applyFont="0" applyAlignment="0" applyProtection="0"/>
    <xf numFmtId="0" fontId="18" fillId="13" borderId="42" applyNumberFormat="0" applyAlignment="0" applyProtection="0"/>
    <xf numFmtId="0" fontId="18" fillId="13" borderId="42" applyNumberFormat="0" applyAlignment="0" applyProtection="0"/>
    <xf numFmtId="0" fontId="23" fillId="0" borderId="43" applyNumberFormat="0" applyFill="0" applyAlignment="0" applyProtection="0"/>
    <xf numFmtId="0" fontId="23" fillId="0" borderId="43" applyNumberFormat="0" applyFill="0" applyAlignment="0" applyProtection="0"/>
    <xf numFmtId="0" fontId="10" fillId="13" borderId="52" applyNumberFormat="0" applyAlignment="0" applyProtection="0"/>
    <xf numFmtId="0" fontId="1" fillId="5" borderId="57" applyNumberFormat="0" applyFont="0" applyAlignment="0" applyProtection="0"/>
    <xf numFmtId="0" fontId="10" fillId="13" borderId="44" applyNumberFormat="0" applyAlignment="0" applyProtection="0"/>
    <xf numFmtId="0" fontId="14" fillId="9" borderId="44" applyNumberFormat="0" applyAlignment="0" applyProtection="0"/>
    <xf numFmtId="0" fontId="1" fillId="5" borderId="45" applyNumberFormat="0" applyFont="0" applyAlignment="0" applyProtection="0"/>
    <xf numFmtId="0" fontId="18" fillId="13" borderId="46" applyNumberFormat="0" applyAlignment="0" applyProtection="0"/>
    <xf numFmtId="0" fontId="23" fillId="0" borderId="47" applyNumberFormat="0" applyFill="0" applyAlignment="0" applyProtection="0"/>
    <xf numFmtId="0" fontId="1" fillId="5" borderId="45" applyNumberFormat="0" applyFont="0" applyAlignment="0" applyProtection="0"/>
    <xf numFmtId="0" fontId="10" fillId="13" borderId="44" applyNumberFormat="0" applyAlignment="0" applyProtection="0"/>
    <xf numFmtId="0" fontId="10" fillId="13" borderId="44" applyNumberFormat="0" applyAlignment="0" applyProtection="0"/>
    <xf numFmtId="0" fontId="14" fillId="9" borderId="44" applyNumberFormat="0" applyAlignment="0" applyProtection="0"/>
    <xf numFmtId="0" fontId="14" fillId="9" borderId="44" applyNumberFormat="0" applyAlignment="0" applyProtection="0"/>
    <xf numFmtId="0" fontId="1" fillId="5" borderId="45" applyNumberFormat="0" applyFont="0" applyAlignment="0" applyProtection="0"/>
    <xf numFmtId="0" fontId="1" fillId="5" borderId="45" applyNumberFormat="0" applyFont="0" applyAlignment="0" applyProtection="0"/>
    <xf numFmtId="0" fontId="18" fillId="13" borderId="46" applyNumberFormat="0" applyAlignment="0" applyProtection="0"/>
    <xf numFmtId="0" fontId="18" fillId="13" borderId="46" applyNumberFormat="0" applyAlignment="0" applyProtection="0"/>
    <xf numFmtId="0" fontId="23" fillId="0" borderId="47" applyNumberFormat="0" applyFill="0" applyAlignment="0" applyProtection="0"/>
    <xf numFmtId="0" fontId="23" fillId="0" borderId="47" applyNumberFormat="0" applyFill="0" applyAlignment="0" applyProtection="0"/>
    <xf numFmtId="0" fontId="10" fillId="13" borderId="56" applyNumberFormat="0" applyAlignment="0" applyProtection="0"/>
    <xf numFmtId="0" fontId="1" fillId="5" borderId="57" applyNumberFormat="0" applyFont="0" applyAlignment="0" applyProtection="0"/>
    <xf numFmtId="0" fontId="18" fillId="13" borderId="58" applyNumberFormat="0" applyAlignment="0" applyProtection="0"/>
    <xf numFmtId="0" fontId="18" fillId="13" borderId="54" applyNumberFormat="0" applyAlignment="0" applyProtection="0"/>
    <xf numFmtId="0" fontId="23" fillId="0" borderId="55" applyNumberFormat="0" applyFill="0" applyAlignment="0" applyProtection="0"/>
    <xf numFmtId="0" fontId="14" fillId="9" borderId="56" applyNumberFormat="0" applyAlignment="0" applyProtection="0"/>
    <xf numFmtId="0" fontId="23" fillId="0" borderId="59" applyNumberFormat="0" applyFill="0" applyAlignment="0" applyProtection="0"/>
    <xf numFmtId="0" fontId="1" fillId="5" borderId="53" applyNumberFormat="0" applyFont="0" applyAlignment="0" applyProtection="0"/>
    <xf numFmtId="0" fontId="14" fillId="9" borderId="52" applyNumberFormat="0" applyAlignment="0" applyProtection="0"/>
    <xf numFmtId="0" fontId="1" fillId="5" borderId="53" applyNumberFormat="0" applyFont="0" applyAlignment="0" applyProtection="0"/>
    <xf numFmtId="0" fontId="18" fillId="13" borderId="54" applyNumberFormat="0" applyAlignment="0" applyProtection="0"/>
    <xf numFmtId="0" fontId="10" fillId="13" borderId="52" applyNumberFormat="0" applyAlignment="0" applyProtection="0"/>
    <xf numFmtId="0" fontId="14" fillId="9" borderId="52" applyNumberFormat="0" applyAlignment="0" applyProtection="0"/>
    <xf numFmtId="0" fontId="18" fillId="13" borderId="54" applyNumberFormat="0" applyAlignment="0" applyProtection="0"/>
    <xf numFmtId="0" fontId="1" fillId="5" borderId="53" applyNumberFormat="0" applyFont="0" applyAlignment="0" applyProtection="0"/>
    <xf numFmtId="0" fontId="1" fillId="5" borderId="53" applyNumberFormat="0" applyFont="0" applyAlignment="0" applyProtection="0"/>
    <xf numFmtId="0" fontId="10" fillId="13" borderId="48" applyNumberFormat="0" applyAlignment="0" applyProtection="0"/>
    <xf numFmtId="0" fontId="14" fillId="9" borderId="48" applyNumberFormat="0" applyAlignment="0" applyProtection="0"/>
    <xf numFmtId="0" fontId="1" fillId="5" borderId="49" applyNumberFormat="0" applyFont="0" applyAlignment="0" applyProtection="0"/>
    <xf numFmtId="0" fontId="18" fillId="13" borderId="50" applyNumberFormat="0" applyAlignment="0" applyProtection="0"/>
    <xf numFmtId="0" fontId="23" fillId="0" borderId="51" applyNumberFormat="0" applyFill="0" applyAlignment="0" applyProtection="0"/>
    <xf numFmtId="0" fontId="1" fillId="5" borderId="49" applyNumberFormat="0" applyFont="0" applyAlignment="0" applyProtection="0"/>
    <xf numFmtId="0" fontId="10" fillId="13" borderId="48" applyNumberFormat="0" applyAlignment="0" applyProtection="0"/>
    <xf numFmtId="0" fontId="10" fillId="13" borderId="48" applyNumberFormat="0" applyAlignment="0" applyProtection="0"/>
    <xf numFmtId="0" fontId="14" fillId="9" borderId="48" applyNumberFormat="0" applyAlignment="0" applyProtection="0"/>
    <xf numFmtId="0" fontId="14" fillId="9" borderId="48" applyNumberFormat="0" applyAlignment="0" applyProtection="0"/>
    <xf numFmtId="0" fontId="1" fillId="5" borderId="49" applyNumberFormat="0" applyFont="0" applyAlignment="0" applyProtection="0"/>
    <xf numFmtId="0" fontId="1" fillId="5" borderId="49" applyNumberFormat="0" applyFont="0" applyAlignment="0" applyProtection="0"/>
    <xf numFmtId="0" fontId="18" fillId="13" borderId="50" applyNumberFormat="0" applyAlignment="0" applyProtection="0"/>
    <xf numFmtId="0" fontId="18" fillId="13" borderId="50" applyNumberFormat="0" applyAlignment="0" applyProtection="0"/>
    <xf numFmtId="0" fontId="23" fillId="0" borderId="51" applyNumberFormat="0" applyFill="0" applyAlignment="0" applyProtection="0"/>
    <xf numFmtId="0" fontId="23" fillId="0" borderId="51"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10" fillId="13" borderId="56" applyNumberFormat="0" applyAlignment="0" applyProtection="0"/>
    <xf numFmtId="0" fontId="10" fillId="13" borderId="56" applyNumberFormat="0" applyAlignment="0" applyProtection="0"/>
    <xf numFmtId="0" fontId="14" fillId="9" borderId="56" applyNumberFormat="0" applyAlignment="0" applyProtection="0"/>
    <xf numFmtId="0" fontId="14" fillId="9" borderId="56" applyNumberFormat="0" applyAlignment="0" applyProtection="0"/>
    <xf numFmtId="0" fontId="1" fillId="5" borderId="57" applyNumberFormat="0" applyFont="0" applyAlignment="0" applyProtection="0"/>
    <xf numFmtId="0" fontId="1" fillId="5" borderId="57" applyNumberFormat="0" applyFont="0" applyAlignment="0" applyProtection="0"/>
    <xf numFmtId="0" fontId="18" fillId="13" borderId="58" applyNumberFormat="0" applyAlignment="0" applyProtection="0"/>
    <xf numFmtId="0" fontId="18" fillId="13" borderId="58" applyNumberFormat="0" applyAlignment="0" applyProtection="0"/>
    <xf numFmtId="0" fontId="23" fillId="0" borderId="59" applyNumberFormat="0" applyFill="0" applyAlignment="0" applyProtection="0"/>
    <xf numFmtId="0" fontId="23" fillId="0" borderId="59" applyNumberFormat="0" applyFill="0" applyAlignment="0" applyProtection="0"/>
    <xf numFmtId="0" fontId="10" fillId="13" borderId="60" applyNumberFormat="0" applyAlignment="0" applyProtection="0"/>
    <xf numFmtId="0" fontId="14" fillId="9" borderId="60" applyNumberFormat="0" applyAlignment="0" applyProtection="0"/>
    <xf numFmtId="0" fontId="1" fillId="5" borderId="61" applyNumberFormat="0" applyFont="0" applyAlignment="0" applyProtection="0"/>
    <xf numFmtId="0" fontId="18" fillId="13" borderId="62" applyNumberFormat="0" applyAlignment="0" applyProtection="0"/>
    <xf numFmtId="0" fontId="23" fillId="0" borderId="63" applyNumberFormat="0" applyFill="0" applyAlignment="0" applyProtection="0"/>
    <xf numFmtId="0" fontId="1" fillId="5" borderId="61" applyNumberFormat="0" applyFont="0" applyAlignment="0" applyProtection="0"/>
    <xf numFmtId="0" fontId="10" fillId="13" borderId="60" applyNumberFormat="0" applyAlignment="0" applyProtection="0"/>
    <xf numFmtId="0" fontId="10" fillId="13" borderId="60" applyNumberFormat="0" applyAlignment="0" applyProtection="0"/>
    <xf numFmtId="0" fontId="14" fillId="9" borderId="60" applyNumberFormat="0" applyAlignment="0" applyProtection="0"/>
    <xf numFmtId="0" fontId="14" fillId="9" borderId="60" applyNumberFormat="0" applyAlignment="0" applyProtection="0"/>
    <xf numFmtId="0" fontId="1" fillId="5" borderId="61" applyNumberFormat="0" applyFont="0" applyAlignment="0" applyProtection="0"/>
    <xf numFmtId="0" fontId="1" fillId="5" borderId="61" applyNumberFormat="0" applyFont="0" applyAlignment="0" applyProtection="0"/>
    <xf numFmtId="0" fontId="18" fillId="13" borderId="62" applyNumberFormat="0" applyAlignment="0" applyProtection="0"/>
    <xf numFmtId="0" fontId="18" fillId="13" borderId="62" applyNumberFormat="0" applyAlignment="0" applyProtection="0"/>
    <xf numFmtId="0" fontId="23" fillId="0" borderId="63" applyNumberFormat="0" applyFill="0" applyAlignment="0" applyProtection="0"/>
    <xf numFmtId="0" fontId="23" fillId="0" borderId="63" applyNumberFormat="0" applyFill="0" applyAlignment="0" applyProtection="0"/>
    <xf numFmtId="0" fontId="10" fillId="13" borderId="64" applyNumberFormat="0" applyAlignment="0" applyProtection="0"/>
    <xf numFmtId="0" fontId="14" fillId="9" borderId="64" applyNumberFormat="0" applyAlignment="0" applyProtection="0"/>
    <xf numFmtId="0" fontId="1" fillId="5" borderId="65" applyNumberFormat="0" applyFont="0" applyAlignment="0" applyProtection="0"/>
    <xf numFmtId="0" fontId="18" fillId="13" borderId="66" applyNumberFormat="0" applyAlignment="0" applyProtection="0"/>
    <xf numFmtId="0" fontId="23" fillId="0" borderId="67" applyNumberFormat="0" applyFill="0" applyAlignment="0" applyProtection="0"/>
    <xf numFmtId="0" fontId="1" fillId="5" borderId="65" applyNumberFormat="0" applyFont="0" applyAlignment="0" applyProtection="0"/>
    <xf numFmtId="0" fontId="10" fillId="13" borderId="64" applyNumberFormat="0" applyAlignment="0" applyProtection="0"/>
    <xf numFmtId="0" fontId="10" fillId="13" borderId="64" applyNumberFormat="0" applyAlignment="0" applyProtection="0"/>
    <xf numFmtId="0" fontId="14" fillId="9" borderId="64" applyNumberFormat="0" applyAlignment="0" applyProtection="0"/>
    <xf numFmtId="0" fontId="14" fillId="9" borderId="64" applyNumberFormat="0" applyAlignment="0" applyProtection="0"/>
    <xf numFmtId="0" fontId="1" fillId="5" borderId="65" applyNumberFormat="0" applyFont="0" applyAlignment="0" applyProtection="0"/>
    <xf numFmtId="0" fontId="1" fillId="5" borderId="65" applyNumberFormat="0" applyFont="0" applyAlignment="0" applyProtection="0"/>
    <xf numFmtId="0" fontId="18" fillId="13" borderId="66" applyNumberFormat="0" applyAlignment="0" applyProtection="0"/>
    <xf numFmtId="0" fontId="18" fillId="13" borderId="66" applyNumberFormat="0" applyAlignment="0" applyProtection="0"/>
    <xf numFmtId="0" fontId="23" fillId="0" borderId="67" applyNumberFormat="0" applyFill="0" applyAlignment="0" applyProtection="0"/>
    <xf numFmtId="0" fontId="23" fillId="0" borderId="67" applyNumberFormat="0" applyFill="0" applyAlignment="0" applyProtection="0"/>
    <xf numFmtId="0" fontId="100" fillId="0" borderId="0" applyNumberFormat="0" applyFill="0" applyBorder="0" applyAlignment="0" applyProtection="0"/>
    <xf numFmtId="44"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3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5" borderId="75" applyNumberFormat="0" applyFont="0" applyAlignment="0" applyProtection="0"/>
    <xf numFmtId="0" fontId="1" fillId="5" borderId="71" applyNumberFormat="0" applyFont="0" applyAlignment="0" applyProtection="0"/>
    <xf numFmtId="0" fontId="14" fillId="9" borderId="70" applyNumberFormat="0" applyAlignment="0" applyProtection="0"/>
    <xf numFmtId="0" fontId="10" fillId="13" borderId="70" applyNumberFormat="0" applyAlignment="0" applyProtection="0"/>
    <xf numFmtId="0" fontId="18" fillId="13" borderId="76" applyNumberFormat="0" applyAlignment="0" applyProtection="0"/>
    <xf numFmtId="0" fontId="18" fillId="13" borderId="69" applyNumberFormat="0" applyAlignment="0" applyProtection="0"/>
    <xf numFmtId="0" fontId="23" fillId="0" borderId="73" applyNumberFormat="0" applyFill="0" applyAlignment="0" applyProtection="0"/>
    <xf numFmtId="0" fontId="10" fillId="13" borderId="74" applyNumberFormat="0" applyAlignment="0" applyProtection="0"/>
    <xf numFmtId="0" fontId="7" fillId="0" borderId="0"/>
    <xf numFmtId="0" fontId="1" fillId="0" borderId="0"/>
    <xf numFmtId="0" fontId="38" fillId="0" borderId="0"/>
    <xf numFmtId="43" fontId="7" fillId="0" borderId="0" applyFont="0" applyFill="0" applyBorder="0" applyAlignment="0" applyProtection="0"/>
    <xf numFmtId="0" fontId="10" fillId="13" borderId="70" applyNumberFormat="0" applyAlignment="0" applyProtection="0"/>
    <xf numFmtId="0" fontId="10" fillId="13" borderId="70" applyNumberFormat="0" applyAlignment="0" applyProtection="0"/>
    <xf numFmtId="0" fontId="14" fillId="9" borderId="70" applyNumberFormat="0" applyAlignment="0" applyProtection="0"/>
    <xf numFmtId="0" fontId="14" fillId="9" borderId="70" applyNumberFormat="0" applyAlignment="0" applyProtection="0"/>
    <xf numFmtId="0" fontId="23" fillId="0" borderId="68" applyNumberFormat="0" applyFill="0" applyAlignment="0" applyProtection="0"/>
    <xf numFmtId="0" fontId="18" fillId="13" borderId="72" applyNumberFormat="0" applyAlignment="0" applyProtection="0"/>
    <xf numFmtId="0" fontId="14" fillId="9" borderId="74" applyNumberFormat="0" applyAlignment="0" applyProtection="0"/>
    <xf numFmtId="0" fontId="1" fillId="5" borderId="71" applyNumberFormat="0" applyFont="0" applyAlignment="0" applyProtection="0"/>
    <xf numFmtId="0" fontId="23" fillId="0" borderId="68" applyNumberFormat="0" applyFill="0" applyAlignment="0" applyProtection="0"/>
    <xf numFmtId="0" fontId="23" fillId="0" borderId="68" applyNumberFormat="0" applyFill="0" applyAlignment="0" applyProtection="0"/>
    <xf numFmtId="0" fontId="18" fillId="13" borderId="69" applyNumberFormat="0" applyAlignment="0" applyProtection="0"/>
    <xf numFmtId="0" fontId="18" fillId="13" borderId="69" applyNumberFormat="0" applyAlignment="0" applyProtection="0"/>
    <xf numFmtId="0" fontId="1" fillId="5" borderId="71" applyNumberFormat="0" applyFont="0" applyAlignment="0" applyProtection="0"/>
    <xf numFmtId="0" fontId="1" fillId="5" borderId="71" applyNumberFormat="0" applyFont="0" applyAlignment="0" applyProtection="0"/>
    <xf numFmtId="0" fontId="18" fillId="13" borderId="72" applyNumberFormat="0" applyAlignment="0" applyProtection="0"/>
    <xf numFmtId="0" fontId="18" fillId="13" borderId="72" applyNumberFormat="0" applyAlignment="0" applyProtection="0"/>
    <xf numFmtId="0" fontId="23" fillId="0" borderId="73" applyNumberFormat="0" applyFill="0" applyAlignment="0" applyProtection="0"/>
    <xf numFmtId="0" fontId="23" fillId="0" borderId="73" applyNumberFormat="0" applyFill="0" applyAlignment="0" applyProtection="0"/>
    <xf numFmtId="0" fontId="23" fillId="0" borderId="77" applyNumberFormat="0" applyFill="0" applyAlignment="0" applyProtection="0"/>
    <xf numFmtId="0" fontId="1" fillId="5" borderId="75" applyNumberFormat="0" applyFont="0" applyAlignment="0" applyProtection="0"/>
    <xf numFmtId="0" fontId="10" fillId="13" borderId="74" applyNumberFormat="0" applyAlignment="0" applyProtection="0"/>
    <xf numFmtId="0" fontId="10" fillId="13" borderId="74" applyNumberFormat="0" applyAlignment="0" applyProtection="0"/>
    <xf numFmtId="0" fontId="14" fillId="9" borderId="74" applyNumberFormat="0" applyAlignment="0" applyProtection="0"/>
    <xf numFmtId="0" fontId="14" fillId="9" borderId="74" applyNumberFormat="0" applyAlignment="0" applyProtection="0"/>
    <xf numFmtId="0" fontId="1" fillId="5" borderId="75" applyNumberFormat="0" applyFont="0" applyAlignment="0" applyProtection="0"/>
    <xf numFmtId="0" fontId="1" fillId="5" borderId="75" applyNumberFormat="0" applyFont="0" applyAlignment="0" applyProtection="0"/>
    <xf numFmtId="0" fontId="18" fillId="13" borderId="76" applyNumberFormat="0" applyAlignment="0" applyProtection="0"/>
    <xf numFmtId="0" fontId="18" fillId="13" borderId="76" applyNumberFormat="0" applyAlignment="0" applyProtection="0"/>
    <xf numFmtId="0" fontId="23" fillId="0" borderId="77" applyNumberFormat="0" applyFill="0" applyAlignment="0" applyProtection="0"/>
    <xf numFmtId="0" fontId="23" fillId="0" borderId="77" applyNumberFormat="0" applyFill="0" applyAlignment="0" applyProtection="0"/>
    <xf numFmtId="0" fontId="1" fillId="0" borderId="0"/>
    <xf numFmtId="0" fontId="1" fillId="0" borderId="0">
      <alignment horizontal="left" wrapText="1"/>
    </xf>
    <xf numFmtId="0" fontId="17"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43" fontId="38" fillId="0" borderId="0" applyFont="0" applyFill="0" applyBorder="0" applyAlignment="0" applyProtection="0"/>
    <xf numFmtId="0" fontId="1" fillId="0" borderId="0"/>
    <xf numFmtId="0" fontId="38" fillId="0" borderId="0"/>
    <xf numFmtId="0" fontId="38" fillId="0" borderId="0"/>
    <xf numFmtId="0" fontId="149" fillId="0" borderId="0"/>
    <xf numFmtId="0" fontId="38" fillId="0" borderId="0"/>
    <xf numFmtId="0" fontId="38" fillId="0" borderId="0"/>
    <xf numFmtId="0" fontId="38" fillId="0" borderId="0"/>
    <xf numFmtId="0" fontId="38" fillId="0" borderId="0"/>
    <xf numFmtId="0" fontId="38" fillId="0" borderId="0"/>
    <xf numFmtId="0" fontId="1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85" applyNumberFormat="0" applyAlignment="0" applyProtection="0"/>
    <xf numFmtId="0" fontId="10" fillId="13" borderId="85" applyNumberFormat="0" applyAlignment="0" applyProtection="0"/>
    <xf numFmtId="0" fontId="11" fillId="14"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85" applyNumberFormat="0" applyAlignment="0" applyProtection="0"/>
    <xf numFmtId="0" fontId="14" fillId="9" borderId="85" applyNumberFormat="0" applyAlignment="0" applyProtection="0"/>
    <xf numFmtId="0" fontId="15" fillId="6"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1" fillId="0" borderId="0" applyFont="0" applyFill="0" applyBorder="0" applyAlignment="0" applyProtection="0"/>
    <xf numFmtId="165" fontId="38" fillId="0" borderId="0" applyFont="0" applyFill="0" applyBorder="0" applyAlignment="0" applyProtection="0"/>
    <xf numFmtId="0" fontId="16" fillId="9"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 fillId="0" borderId="0"/>
    <xf numFmtId="0" fontId="5" fillId="0" borderId="0"/>
    <xf numFmtId="0" fontId="38" fillId="0" borderId="0"/>
    <xf numFmtId="0" fontId="38" fillId="0" borderId="0"/>
    <xf numFmtId="0" fontId="5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38" fillId="0" borderId="0"/>
    <xf numFmtId="0" fontId="1" fillId="0" borderId="0"/>
    <xf numFmtId="0" fontId="1" fillId="5" borderId="86" applyNumberFormat="0" applyFont="0" applyAlignment="0" applyProtection="0"/>
    <xf numFmtId="0" fontId="1" fillId="5" borderId="8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0" fontId="18" fillId="13" borderId="87" applyNumberFormat="0" applyAlignment="0" applyProtection="0"/>
    <xf numFmtId="0" fontId="18" fillId="13" borderId="87"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88" applyNumberFormat="0" applyFill="0" applyAlignment="0" applyProtection="0"/>
    <xf numFmtId="0" fontId="23" fillId="0" borderId="88" applyNumberFormat="0" applyFill="0" applyAlignment="0" applyProtection="0"/>
    <xf numFmtId="0" fontId="1" fillId="0" borderId="0"/>
    <xf numFmtId="0" fontId="1" fillId="0" borderId="0"/>
    <xf numFmtId="0" fontId="1" fillId="0" borderId="0"/>
    <xf numFmtId="0" fontId="1" fillId="0" borderId="0"/>
    <xf numFmtId="0" fontId="7" fillId="0" borderId="0" applyFill="0" applyProtection="0"/>
    <xf numFmtId="0" fontId="7" fillId="0" borderId="0" applyFill="0" applyProtection="0"/>
    <xf numFmtId="0" fontId="1" fillId="0" borderId="0"/>
    <xf numFmtId="0" fontId="17" fillId="0" borderId="0"/>
    <xf numFmtId="0" fontId="1" fillId="0" borderId="0"/>
    <xf numFmtId="0" fontId="167" fillId="0" borderId="0" applyNumberFormat="0" applyFill="0" applyBorder="0" applyAlignment="0" applyProtection="0">
      <alignment vertical="top"/>
      <protection locked="0"/>
    </xf>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 fillId="0" borderId="0"/>
    <xf numFmtId="0" fontId="38" fillId="0" borderId="0"/>
    <xf numFmtId="0" fontId="38" fillId="0" borderId="0"/>
    <xf numFmtId="0" fontId="17" fillId="0" borderId="0"/>
    <xf numFmtId="0" fontId="17" fillId="0" borderId="0"/>
    <xf numFmtId="0" fontId="1" fillId="0" borderId="0"/>
    <xf numFmtId="0" fontId="1" fillId="0" borderId="0"/>
    <xf numFmtId="0" fontId="1" fillId="0" borderId="0"/>
    <xf numFmtId="0" fontId="52"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38" fontId="34" fillId="0" borderId="0" applyFont="0" applyFill="0" applyBorder="0" applyAlignment="0" applyProtection="0"/>
    <xf numFmtId="4" fontId="33" fillId="0" borderId="0">
      <protection locked="0"/>
    </xf>
    <xf numFmtId="43" fontId="7" fillId="0" borderId="0" applyFont="0" applyFill="0" applyBorder="0" applyAlignment="0" applyProtection="0"/>
    <xf numFmtId="4" fontId="33" fillId="0" borderId="0">
      <protection locked="0"/>
    </xf>
    <xf numFmtId="4" fontId="33" fillId="0" borderId="0">
      <protection locked="0"/>
    </xf>
    <xf numFmtId="4" fontId="33" fillId="0" borderId="0">
      <protection locked="0"/>
    </xf>
    <xf numFmtId="175" fontId="34" fillId="0" borderId="0" applyFont="0" applyFill="0" applyBorder="0" applyAlignment="0" applyProtection="0"/>
    <xf numFmtId="174" fontId="33" fillId="0" borderId="0">
      <protection locked="0"/>
    </xf>
    <xf numFmtId="44" fontId="7" fillId="0" borderId="0" applyFont="0" applyFill="0" applyBorder="0" applyAlignment="0" applyProtection="0"/>
    <xf numFmtId="174" fontId="33" fillId="0" borderId="0">
      <protection locked="0"/>
    </xf>
    <xf numFmtId="44" fontId="1" fillId="0" borderId="0" applyFont="0" applyFill="0" applyBorder="0" applyAlignment="0" applyProtection="0"/>
    <xf numFmtId="174" fontId="33" fillId="0" borderId="0">
      <protection locked="0"/>
    </xf>
    <xf numFmtId="174" fontId="33" fillId="0" borderId="0">
      <protection locked="0"/>
    </xf>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189" fontId="44" fillId="0" borderId="0"/>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5"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197" fillId="0" borderId="0" applyNumberFormat="0" applyFill="0" applyBorder="0" applyProtection="0">
      <alignment vertical="top" wrapText="1"/>
    </xf>
    <xf numFmtId="0" fontId="197" fillId="0" borderId="0" applyNumberFormat="0" applyFill="0" applyBorder="0" applyProtection="0">
      <alignment vertical="top" wrapText="1"/>
    </xf>
    <xf numFmtId="0" fontId="197" fillId="0" borderId="0" applyNumberFormat="0" applyFill="0" applyBorder="0" applyProtection="0">
      <alignment vertical="top" wrapText="1"/>
    </xf>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1" fillId="0" borderId="0"/>
    <xf numFmtId="0" fontId="1" fillId="0" borderId="0"/>
    <xf numFmtId="0" fontId="7"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179" fontId="33" fillId="0" borderId="0">
      <protection locked="0"/>
    </xf>
    <xf numFmtId="9" fontId="7" fillId="0" borderId="0" applyFont="0" applyFill="0" applyBorder="0" applyAlignment="0" applyProtection="0"/>
    <xf numFmtId="179" fontId="33" fillId="0" borderId="0">
      <protection locked="0"/>
    </xf>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1" fillId="0" borderId="0"/>
    <xf numFmtId="0" fontId="1" fillId="0" borderId="0"/>
    <xf numFmtId="189" fontId="1" fillId="0" borderId="0"/>
    <xf numFmtId="189"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249" fillId="53" borderId="176" applyNumberFormat="0" applyFont="0" applyAlignment="0" applyProtection="0"/>
    <xf numFmtId="0" fontId="38" fillId="0" borderId="0"/>
    <xf numFmtId="0" fontId="1" fillId="0" borderId="0"/>
    <xf numFmtId="0" fontId="1" fillId="0" borderId="0"/>
    <xf numFmtId="0" fontId="1" fillId="0" borderId="0"/>
    <xf numFmtId="0" fontId="1" fillId="0" borderId="0"/>
    <xf numFmtId="0" fontId="38" fillId="53" borderId="176" applyNumberFormat="0" applyFont="0" applyAlignment="0" applyProtection="0"/>
    <xf numFmtId="0" fontId="17" fillId="0" borderId="0"/>
  </cellStyleXfs>
  <cellXfs count="6294">
    <xf numFmtId="0" fontId="0" fillId="0" borderId="0" xfId="0"/>
    <xf numFmtId="0" fontId="0" fillId="0" borderId="0" xfId="0" applyAlignment="1">
      <alignment vertical="center"/>
    </xf>
    <xf numFmtId="3" fontId="0" fillId="0" borderId="0" xfId="0" applyNumberFormat="1"/>
    <xf numFmtId="0" fontId="0" fillId="0" borderId="0" xfId="0" applyAlignment="1">
      <alignment horizontal="right"/>
    </xf>
    <xf numFmtId="168" fontId="0" fillId="0" borderId="0" xfId="0" applyNumberFormat="1"/>
    <xf numFmtId="0" fontId="17" fillId="0" borderId="0" xfId="0" applyFont="1" applyAlignment="1">
      <alignment horizontal="center"/>
    </xf>
    <xf numFmtId="0" fontId="46" fillId="0" borderId="0" xfId="0" applyFont="1" applyAlignment="1">
      <alignment vertical="center"/>
    </xf>
    <xf numFmtId="0" fontId="44" fillId="0" borderId="0" xfId="0" applyFont="1" applyAlignment="1">
      <alignment vertical="center"/>
    </xf>
    <xf numFmtId="9" fontId="38" fillId="0" borderId="0" xfId="180" applyFont="1"/>
    <xf numFmtId="0" fontId="3" fillId="0" borderId="0" xfId="0" applyFont="1"/>
    <xf numFmtId="0" fontId="52" fillId="0" borderId="0" xfId="0" applyFont="1"/>
    <xf numFmtId="9" fontId="38" fillId="0" borderId="0" xfId="176"/>
    <xf numFmtId="3" fontId="44" fillId="0" borderId="14" xfId="0" applyNumberFormat="1" applyFont="1" applyBorder="1" applyAlignment="1">
      <alignment horizontal="center" vertical="center"/>
    </xf>
    <xf numFmtId="3" fontId="44" fillId="0" borderId="0" xfId="0" applyNumberFormat="1" applyFont="1" applyAlignment="1">
      <alignment horizontal="center" vertical="center"/>
    </xf>
    <xf numFmtId="171" fontId="44" fillId="0" borderId="11" xfId="0" applyNumberFormat="1" applyFont="1" applyBorder="1" applyAlignment="1">
      <alignment horizontal="center" vertical="center"/>
    </xf>
    <xf numFmtId="171" fontId="44" fillId="0" borderId="12" xfId="0" applyNumberFormat="1" applyFont="1" applyBorder="1" applyAlignment="1">
      <alignment horizontal="center" vertical="center"/>
    </xf>
    <xf numFmtId="0" fontId="44" fillId="0" borderId="13" xfId="0" applyFont="1" applyBorder="1" applyAlignment="1">
      <alignment vertical="center"/>
    </xf>
    <xf numFmtId="0" fontId="44" fillId="0" borderId="13" xfId="0" applyFont="1" applyBorder="1" applyAlignment="1">
      <alignment vertical="center" wrapText="1"/>
    </xf>
    <xf numFmtId="0" fontId="17" fillId="0" borderId="0" xfId="0" applyFont="1"/>
    <xf numFmtId="0" fontId="17" fillId="0" borderId="0" xfId="0" applyFont="1" applyAlignment="1">
      <alignment horizontal="center" vertical="top" wrapText="1"/>
    </xf>
    <xf numFmtId="0" fontId="17" fillId="0" borderId="0" xfId="0" applyFont="1" applyAlignment="1">
      <alignment horizontal="left" vertical="top" wrapText="1"/>
    </xf>
    <xf numFmtId="9" fontId="7" fillId="0" borderId="0" xfId="180"/>
    <xf numFmtId="0" fontId="56" fillId="0" borderId="0" xfId="0" applyFont="1"/>
    <xf numFmtId="0" fontId="17" fillId="0" borderId="0" xfId="0" applyFont="1" applyAlignment="1">
      <alignment vertical="center"/>
    </xf>
    <xf numFmtId="0" fontId="0" fillId="0" borderId="0" xfId="0" applyAlignment="1">
      <alignment horizontal="left"/>
    </xf>
    <xf numFmtId="3" fontId="40" fillId="0" borderId="0" xfId="0" applyNumberFormat="1" applyFont="1"/>
    <xf numFmtId="0" fontId="1" fillId="0" borderId="0" xfId="0" applyFont="1" applyAlignment="1">
      <alignment vertical="center"/>
    </xf>
    <xf numFmtId="0" fontId="42" fillId="0" borderId="0" xfId="0" applyFont="1"/>
    <xf numFmtId="168" fontId="0" fillId="0" borderId="0" xfId="176" applyNumberFormat="1" applyFont="1"/>
    <xf numFmtId="169" fontId="0" fillId="0" borderId="0" xfId="0" applyNumberFormat="1"/>
    <xf numFmtId="10" fontId="0" fillId="0" borderId="0" xfId="176" applyNumberFormat="1" applyFont="1"/>
    <xf numFmtId="0" fontId="48" fillId="0" borderId="0" xfId="0" applyFont="1"/>
    <xf numFmtId="0" fontId="40" fillId="0" borderId="0" xfId="0" applyFont="1"/>
    <xf numFmtId="0" fontId="2" fillId="0" borderId="0" xfId="149" applyFont="1" applyAlignment="1">
      <alignment wrapText="1"/>
    </xf>
    <xf numFmtId="0" fontId="65" fillId="0" borderId="0" xfId="149" applyFont="1"/>
    <xf numFmtId="0" fontId="6" fillId="0" borderId="0" xfId="149" applyFont="1"/>
    <xf numFmtId="0" fontId="1" fillId="0" borderId="0" xfId="149"/>
    <xf numFmtId="0" fontId="67" fillId="0" borderId="0" xfId="0" applyFont="1"/>
    <xf numFmtId="0" fontId="42" fillId="0" borderId="0" xfId="0" applyFont="1" applyAlignment="1">
      <alignment horizontal="left" vertical="justify"/>
    </xf>
    <xf numFmtId="0" fontId="2" fillId="0" borderId="0" xfId="0" applyFont="1" applyAlignment="1">
      <alignment vertical="justify"/>
    </xf>
    <xf numFmtId="43" fontId="0" fillId="0" borderId="0" xfId="0" applyNumberFormat="1"/>
    <xf numFmtId="0" fontId="51" fillId="0" borderId="0" xfId="0" applyFont="1"/>
    <xf numFmtId="0" fontId="50" fillId="0" borderId="0" xfId="0" applyFont="1"/>
    <xf numFmtId="0" fontId="46" fillId="0" borderId="0" xfId="0" applyFont="1"/>
    <xf numFmtId="0" fontId="67" fillId="0" borderId="0" xfId="0" applyFont="1" applyAlignment="1">
      <alignment vertical="center"/>
    </xf>
    <xf numFmtId="0" fontId="0" fillId="0" borderId="0" xfId="0" applyAlignment="1">
      <alignment vertical="center" wrapText="1"/>
    </xf>
    <xf numFmtId="0" fontId="40" fillId="0" borderId="0" xfId="0" applyFont="1" applyAlignment="1">
      <alignment horizontal="center" vertical="center" wrapText="1"/>
    </xf>
    <xf numFmtId="0" fontId="51" fillId="0" borderId="0" xfId="0" applyFont="1" applyAlignment="1">
      <alignment vertical="center"/>
    </xf>
    <xf numFmtId="0" fontId="30" fillId="0" borderId="0" xfId="149" applyFont="1" applyAlignment="1">
      <alignment horizontal="center" vertical="center"/>
    </xf>
    <xf numFmtId="0" fontId="1" fillId="0" borderId="0" xfId="149" applyAlignment="1">
      <alignment vertical="center"/>
    </xf>
    <xf numFmtId="0" fontId="46" fillId="0" borderId="0" xfId="0" applyFont="1" applyAlignment="1">
      <alignment vertical="top"/>
    </xf>
    <xf numFmtId="171" fontId="0" fillId="0" borderId="0" xfId="0" applyNumberFormat="1" applyAlignment="1">
      <alignment horizontal="center"/>
    </xf>
    <xf numFmtId="2" fontId="0" fillId="0" borderId="0" xfId="0" applyNumberFormat="1"/>
    <xf numFmtId="0" fontId="50" fillId="0" borderId="16" xfId="0" applyFont="1" applyBorder="1" applyAlignment="1">
      <alignment horizontal="center" vertical="center" wrapText="1"/>
    </xf>
    <xf numFmtId="0" fontId="75" fillId="0" borderId="16" xfId="0" applyFont="1" applyBorder="1" applyAlignment="1">
      <alignment horizontal="center" vertical="center" wrapText="1"/>
    </xf>
    <xf numFmtId="0" fontId="70" fillId="0" borderId="0" xfId="0" applyFont="1" applyAlignment="1">
      <alignment vertical="center"/>
    </xf>
    <xf numFmtId="0" fontId="44" fillId="0" borderId="0" xfId="0" applyFont="1"/>
    <xf numFmtId="0" fontId="44" fillId="0" borderId="0" xfId="0" applyFont="1" applyAlignment="1">
      <alignment horizontal="center"/>
    </xf>
    <xf numFmtId="0" fontId="50" fillId="0" borderId="0" xfId="0" applyFont="1" applyAlignment="1">
      <alignment vertical="center"/>
    </xf>
    <xf numFmtId="0" fontId="45" fillId="27" borderId="13" xfId="0" applyFont="1" applyFill="1" applyBorder="1" applyAlignment="1">
      <alignment vertical="center"/>
    </xf>
    <xf numFmtId="3" fontId="45" fillId="27" borderId="0" xfId="0" applyNumberFormat="1" applyFont="1" applyFill="1" applyAlignment="1">
      <alignment horizontal="center" vertical="center"/>
    </xf>
    <xf numFmtId="171" fontId="45" fillId="27" borderId="11" xfId="0" applyNumberFormat="1" applyFont="1" applyFill="1" applyBorder="1" applyAlignment="1">
      <alignment horizontal="center" vertical="center"/>
    </xf>
    <xf numFmtId="1" fontId="0" fillId="0" borderId="0" xfId="0" applyNumberFormat="1" applyAlignment="1">
      <alignment vertical="center"/>
    </xf>
    <xf numFmtId="0" fontId="56" fillId="0" borderId="0" xfId="0" applyFont="1" applyAlignment="1">
      <alignment vertical="center" wrapText="1"/>
    </xf>
    <xf numFmtId="168" fontId="38" fillId="0" borderId="0" xfId="176" applyNumberFormat="1" applyAlignment="1">
      <alignment vertical="center"/>
    </xf>
    <xf numFmtId="3" fontId="65" fillId="0" borderId="0" xfId="149" applyNumberFormat="1" applyFont="1" applyAlignment="1">
      <alignment horizontal="right" indent="1"/>
    </xf>
    <xf numFmtId="168" fontId="65" fillId="0" borderId="0" xfId="176" applyNumberFormat="1" applyFont="1" applyAlignment="1">
      <alignment horizontal="right" indent="1"/>
    </xf>
    <xf numFmtId="0" fontId="56" fillId="0" borderId="0" xfId="0" applyFont="1" applyAlignment="1">
      <alignment horizontal="center" wrapText="1"/>
    </xf>
    <xf numFmtId="0" fontId="88" fillId="0" borderId="0" xfId="0" applyFont="1"/>
    <xf numFmtId="0" fontId="50" fillId="0" borderId="0" xfId="0" applyFont="1" applyAlignment="1">
      <alignment horizontal="right"/>
    </xf>
    <xf numFmtId="0" fontId="50" fillId="0" borderId="0" xfId="0" applyFont="1" applyAlignment="1">
      <alignment horizontal="center"/>
    </xf>
    <xf numFmtId="3" fontId="67" fillId="0" borderId="0" xfId="0" applyNumberFormat="1" applyFont="1" applyAlignment="1">
      <alignment vertical="top"/>
    </xf>
    <xf numFmtId="0" fontId="47" fillId="0" borderId="0" xfId="0" applyFont="1" applyAlignment="1">
      <alignment horizontal="left" vertical="center"/>
    </xf>
    <xf numFmtId="0" fontId="50" fillId="0" borderId="0" xfId="0" applyFont="1" applyAlignment="1">
      <alignment vertical="center" wrapText="1"/>
    </xf>
    <xf numFmtId="171" fontId="88" fillId="0" borderId="0" xfId="0" applyNumberFormat="1" applyFont="1"/>
    <xf numFmtId="171" fontId="88" fillId="0" borderId="0" xfId="0" applyNumberFormat="1" applyFont="1" applyAlignment="1">
      <alignment vertical="center"/>
    </xf>
    <xf numFmtId="0" fontId="88" fillId="0" borderId="0" xfId="0" applyFont="1" applyAlignment="1">
      <alignment horizontal="center"/>
    </xf>
    <xf numFmtId="0" fontId="42" fillId="0" borderId="0" xfId="149" applyFont="1" applyAlignment="1">
      <alignment vertical="center"/>
    </xf>
    <xf numFmtId="0" fontId="53" fillId="0" borderId="18" xfId="0" applyFont="1" applyBorder="1" applyAlignment="1">
      <alignment horizontal="center" vertical="center" wrapText="1" readingOrder="1"/>
    </xf>
    <xf numFmtId="0" fontId="0" fillId="0" borderId="18" xfId="0" applyBorder="1" applyAlignment="1">
      <alignment horizontal="center" vertical="center" wrapText="1" readingOrder="1"/>
    </xf>
    <xf numFmtId="0" fontId="0" fillId="0" borderId="18" xfId="0" applyBorder="1" applyAlignment="1">
      <alignment horizontal="center" vertical="center" readingOrder="1"/>
    </xf>
    <xf numFmtId="0" fontId="0" fillId="0" borderId="24" xfId="0" applyBorder="1" applyAlignment="1">
      <alignment horizontal="center" vertical="center" readingOrder="1"/>
    </xf>
    <xf numFmtId="0" fontId="0" fillId="0" borderId="27" xfId="0" applyBorder="1" applyAlignment="1">
      <alignment horizontal="center" vertical="center" readingOrder="1"/>
    </xf>
    <xf numFmtId="171" fontId="0" fillId="0" borderId="28" xfId="0" applyNumberFormat="1" applyBorder="1" applyAlignment="1">
      <alignment horizontal="center" vertical="center" readingOrder="1"/>
    </xf>
    <xf numFmtId="171" fontId="0" fillId="0" borderId="22" xfId="0" applyNumberFormat="1" applyBorder="1" applyAlignment="1">
      <alignment horizontal="center" vertical="center" readingOrder="1"/>
    </xf>
    <xf numFmtId="171" fontId="0" fillId="0" borderId="25" xfId="0" applyNumberFormat="1" applyBorder="1" applyAlignment="1">
      <alignment horizontal="center" vertical="center" readingOrder="1"/>
    </xf>
    <xf numFmtId="171" fontId="0" fillId="0" borderId="29" xfId="0" applyNumberFormat="1" applyBorder="1" applyAlignment="1">
      <alignment horizontal="center" vertical="center" readingOrder="1"/>
    </xf>
    <xf numFmtId="171" fontId="0" fillId="0" borderId="19" xfId="0" applyNumberFormat="1" applyBorder="1" applyAlignment="1">
      <alignment horizontal="center" vertical="center" readingOrder="1"/>
    </xf>
    <xf numFmtId="171" fontId="0" fillId="0" borderId="26" xfId="0" applyNumberFormat="1" applyBorder="1" applyAlignment="1">
      <alignment horizontal="center" vertical="center" readingOrder="1"/>
    </xf>
    <xf numFmtId="0" fontId="44" fillId="0" borderId="0" xfId="0" applyFont="1" applyAlignment="1">
      <alignment horizontal="center" vertical="center" wrapText="1"/>
    </xf>
    <xf numFmtId="0" fontId="72" fillId="0" borderId="0" xfId="0" applyFont="1"/>
    <xf numFmtId="0" fontId="38" fillId="0" borderId="0" xfId="142"/>
    <xf numFmtId="0" fontId="55" fillId="0" borderId="0" xfId="142" applyFont="1"/>
    <xf numFmtId="3" fontId="55" fillId="0" borderId="0" xfId="142" applyNumberFormat="1" applyFont="1" applyAlignment="1">
      <alignment horizontal="center"/>
    </xf>
    <xf numFmtId="0" fontId="38" fillId="0" borderId="0" xfId="142" applyAlignment="1">
      <alignment horizontal="center"/>
    </xf>
    <xf numFmtId="0" fontId="50" fillId="0" borderId="0" xfId="0" applyFont="1" applyAlignment="1">
      <alignment horizontal="center" vertical="center"/>
    </xf>
    <xf numFmtId="0" fontId="97" fillId="0" borderId="0" xfId="0" applyFont="1" applyAlignment="1">
      <alignment horizontal="center"/>
    </xf>
    <xf numFmtId="0" fontId="0" fillId="0" borderId="0" xfId="0" applyAlignment="1">
      <alignment horizontal="center" vertical="center" wrapText="1"/>
    </xf>
    <xf numFmtId="0" fontId="101" fillId="0" borderId="0" xfId="0" applyFont="1" applyAlignment="1">
      <alignment vertical="center"/>
    </xf>
    <xf numFmtId="0" fontId="38" fillId="0" borderId="0" xfId="0" applyFont="1"/>
    <xf numFmtId="9" fontId="0" fillId="0" borderId="0" xfId="176" applyFont="1"/>
    <xf numFmtId="168" fontId="38" fillId="0" borderId="29" xfId="176" applyNumberFormat="1" applyBorder="1" applyAlignment="1">
      <alignment horizontal="center" vertical="center" readingOrder="1"/>
    </xf>
    <xf numFmtId="168" fontId="38" fillId="0" borderId="19" xfId="176" applyNumberFormat="1" applyBorder="1" applyAlignment="1">
      <alignment horizontal="center" vertical="center" readingOrder="1"/>
    </xf>
    <xf numFmtId="168" fontId="38" fillId="0" borderId="21" xfId="176" applyNumberFormat="1" applyBorder="1" applyAlignment="1">
      <alignment horizontal="center" vertical="center" readingOrder="1"/>
    </xf>
    <xf numFmtId="0" fontId="62" fillId="0" borderId="0" xfId="0" applyFont="1"/>
    <xf numFmtId="0" fontId="51" fillId="0" borderId="0" xfId="0" applyFont="1" applyAlignment="1">
      <alignment horizontal="center"/>
    </xf>
    <xf numFmtId="0" fontId="93" fillId="0" borderId="0" xfId="0" applyFont="1" applyAlignment="1">
      <alignment vertical="center"/>
    </xf>
    <xf numFmtId="0" fontId="51" fillId="0" borderId="0" xfId="0" applyFont="1" applyAlignment="1">
      <alignment horizontal="center" vertical="center"/>
    </xf>
    <xf numFmtId="3" fontId="28" fillId="0" borderId="0" xfId="173" applyNumberFormat="1" applyFont="1"/>
    <xf numFmtId="3" fontId="28" fillId="0" borderId="0" xfId="428" applyNumberFormat="1" applyFont="1" applyAlignment="1">
      <alignment horizontal="right"/>
    </xf>
    <xf numFmtId="180" fontId="1" fillId="0" borderId="0" xfId="149" applyNumberFormat="1"/>
    <xf numFmtId="3" fontId="28" fillId="0" borderId="0" xfId="173" applyNumberFormat="1" applyFont="1" applyAlignment="1">
      <alignment horizontal="right"/>
    </xf>
    <xf numFmtId="3" fontId="28" fillId="0" borderId="0" xfId="430" applyNumberFormat="1" applyFont="1" applyAlignment="1">
      <alignment horizontal="right"/>
    </xf>
    <xf numFmtId="0" fontId="29" fillId="0" borderId="0" xfId="149" applyFont="1"/>
    <xf numFmtId="0" fontId="29" fillId="0" borderId="0" xfId="429" applyFont="1" applyAlignment="1"/>
    <xf numFmtId="0" fontId="29" fillId="0" borderId="0" xfId="0" applyFont="1"/>
    <xf numFmtId="0" fontId="24" fillId="20" borderId="14" xfId="149" applyFont="1" applyFill="1" applyBorder="1" applyAlignment="1">
      <alignment horizontal="center" vertical="center"/>
    </xf>
    <xf numFmtId="3" fontId="1" fillId="0" borderId="0" xfId="0" applyNumberFormat="1" applyFont="1" applyAlignment="1">
      <alignment vertical="center"/>
    </xf>
    <xf numFmtId="171" fontId="1" fillId="0" borderId="0" xfId="0" applyNumberFormat="1" applyFont="1" applyAlignment="1">
      <alignment horizontal="center" vertical="center"/>
    </xf>
    <xf numFmtId="3" fontId="5" fillId="30" borderId="0" xfId="0" applyNumberFormat="1" applyFont="1" applyFill="1" applyAlignment="1">
      <alignment vertical="center"/>
    </xf>
    <xf numFmtId="171" fontId="5" fillId="30" borderId="0" xfId="0" applyNumberFormat="1" applyFont="1" applyFill="1" applyAlignment="1">
      <alignment horizontal="center" vertical="center"/>
    </xf>
    <xf numFmtId="0" fontId="1" fillId="0" borderId="14" xfId="149" applyBorder="1" applyAlignment="1">
      <alignment vertical="center"/>
    </xf>
    <xf numFmtId="3" fontId="1" fillId="0" borderId="14" xfId="0" applyNumberFormat="1" applyFont="1" applyBorder="1" applyAlignment="1">
      <alignment vertical="center"/>
    </xf>
    <xf numFmtId="171" fontId="1" fillId="0" borderId="14" xfId="0" applyNumberFormat="1" applyFont="1" applyBorder="1" applyAlignment="1">
      <alignment horizontal="center" vertical="center"/>
    </xf>
    <xf numFmtId="0" fontId="50" fillId="0" borderId="0" xfId="0" applyFont="1" applyAlignment="1">
      <alignment horizontal="left" vertical="center" wrapText="1"/>
    </xf>
    <xf numFmtId="0" fontId="67" fillId="0" borderId="0" xfId="0" applyFont="1" applyAlignment="1">
      <alignment horizontal="right"/>
    </xf>
    <xf numFmtId="169" fontId="0" fillId="0" borderId="0" xfId="107" applyNumberFormat="1" applyFont="1"/>
    <xf numFmtId="172" fontId="0" fillId="0" borderId="0" xfId="0" applyNumberFormat="1"/>
    <xf numFmtId="0" fontId="62" fillId="0" borderId="0" xfId="0" applyFont="1" applyAlignment="1">
      <alignment horizontal="center" vertical="center"/>
    </xf>
    <xf numFmtId="0" fontId="0" fillId="0" borderId="0" xfId="0" applyAlignment="1">
      <alignment horizontal="center"/>
    </xf>
    <xf numFmtId="0" fontId="2" fillId="0" borderId="0" xfId="0" applyFont="1" applyAlignment="1">
      <alignment horizontal="center" vertical="justify"/>
    </xf>
    <xf numFmtId="0" fontId="67" fillId="0" borderId="0" xfId="0" applyFont="1" applyAlignment="1">
      <alignment vertical="top"/>
    </xf>
    <xf numFmtId="0" fontId="0" fillId="0" borderId="0" xfId="0" applyAlignment="1">
      <alignment wrapText="1"/>
    </xf>
    <xf numFmtId="0" fontId="41" fillId="0" borderId="0" xfId="0" applyFont="1"/>
    <xf numFmtId="0" fontId="61" fillId="0" borderId="0" xfId="0" applyFont="1"/>
    <xf numFmtId="14" fontId="51" fillId="0" borderId="0" xfId="0" applyNumberFormat="1" applyFont="1" applyAlignment="1">
      <alignment horizontal="left"/>
    </xf>
    <xf numFmtId="0" fontId="0" fillId="44" borderId="0" xfId="0" applyFill="1"/>
    <xf numFmtId="0" fontId="123" fillId="0" borderId="0" xfId="0" applyFont="1" applyAlignment="1">
      <alignment horizontal="center" vertical="center"/>
    </xf>
    <xf numFmtId="0" fontId="6" fillId="0" borderId="0" xfId="0" applyFont="1" applyAlignment="1">
      <alignment vertical="justify"/>
    </xf>
    <xf numFmtId="0" fontId="87" fillId="0" borderId="0" xfId="0" applyFont="1" applyAlignment="1">
      <alignment vertical="center"/>
    </xf>
    <xf numFmtId="0" fontId="42" fillId="22" borderId="0" xfId="0" applyFont="1" applyFill="1" applyAlignment="1">
      <alignment vertical="center"/>
    </xf>
    <xf numFmtId="0" fontId="42" fillId="22" borderId="0" xfId="0" applyFont="1" applyFill="1"/>
    <xf numFmtId="10" fontId="42" fillId="22" borderId="0" xfId="0" applyNumberFormat="1" applyFont="1" applyFill="1"/>
    <xf numFmtId="3" fontId="50" fillId="0" borderId="0" xfId="0" applyNumberFormat="1" applyFont="1"/>
    <xf numFmtId="2" fontId="51" fillId="0" borderId="0" xfId="0" applyNumberFormat="1" applyFont="1" applyAlignment="1">
      <alignment horizontal="center" vertical="center"/>
    </xf>
    <xf numFmtId="0" fontId="97" fillId="0" borderId="0" xfId="0" applyFont="1" applyAlignment="1">
      <alignment horizontal="center" vertical="center"/>
    </xf>
    <xf numFmtId="0" fontId="128" fillId="30" borderId="0" xfId="149" applyFont="1" applyFill="1" applyAlignment="1">
      <alignment vertical="center"/>
    </xf>
    <xf numFmtId="0" fontId="129" fillId="0" borderId="0" xfId="0" applyFont="1" applyAlignment="1">
      <alignment vertical="center"/>
    </xf>
    <xf numFmtId="0" fontId="129" fillId="0" borderId="0" xfId="0" applyFont="1" applyAlignment="1">
      <alignment horizontal="right" vertical="center" wrapText="1"/>
    </xf>
    <xf numFmtId="9" fontId="70" fillId="0" borderId="0" xfId="176" applyFont="1" applyAlignment="1">
      <alignment vertical="center"/>
    </xf>
    <xf numFmtId="0" fontId="85" fillId="0" borderId="0" xfId="0" applyFont="1" applyAlignment="1">
      <alignment vertical="center"/>
    </xf>
    <xf numFmtId="3" fontId="0" fillId="0" borderId="0" xfId="0" applyNumberFormat="1" applyAlignment="1">
      <alignment horizontal="center" vertical="center" wrapText="1"/>
    </xf>
    <xf numFmtId="0" fontId="0" fillId="43" borderId="0" xfId="0" applyFill="1" applyAlignment="1">
      <alignment vertical="center"/>
    </xf>
    <xf numFmtId="3" fontId="0" fillId="43" borderId="0" xfId="0" applyNumberFormat="1" applyFill="1" applyAlignment="1">
      <alignment horizontal="center" vertical="center" wrapText="1"/>
    </xf>
    <xf numFmtId="0" fontId="0" fillId="43" borderId="0" xfId="0" applyFill="1" applyAlignment="1">
      <alignment horizontal="center" vertical="center" wrapText="1"/>
    </xf>
    <xf numFmtId="0" fontId="0" fillId="0" borderId="14" xfId="0" applyBorder="1" applyAlignment="1">
      <alignment vertical="center"/>
    </xf>
    <xf numFmtId="3" fontId="0" fillId="0" borderId="14" xfId="0" applyNumberFormat="1" applyBorder="1" applyAlignment="1">
      <alignment horizontal="center" vertical="center" wrapText="1"/>
    </xf>
    <xf numFmtId="0" fontId="0" fillId="0" borderId="14" xfId="0" applyBorder="1" applyAlignment="1">
      <alignment horizontal="center" vertical="center" wrapText="1"/>
    </xf>
    <xf numFmtId="0" fontId="130" fillId="0" borderId="0" xfId="0" applyFont="1" applyAlignment="1">
      <alignment vertical="center"/>
    </xf>
    <xf numFmtId="0" fontId="40" fillId="0" borderId="0" xfId="0" applyFont="1" applyAlignment="1">
      <alignment wrapText="1"/>
    </xf>
    <xf numFmtId="0" fontId="44" fillId="0" borderId="0" xfId="0" applyFont="1" applyAlignment="1">
      <alignment horizontal="left" vertical="top" wrapText="1"/>
    </xf>
    <xf numFmtId="17" fontId="78" fillId="0" borderId="0" xfId="0" applyNumberFormat="1" applyFont="1" applyAlignment="1">
      <alignment vertical="center" wrapText="1"/>
    </xf>
    <xf numFmtId="0" fontId="88" fillId="0" borderId="0" xfId="0" applyFont="1" applyAlignment="1">
      <alignment vertical="center" wrapText="1"/>
    </xf>
    <xf numFmtId="0" fontId="44" fillId="0" borderId="0" xfId="0" applyFont="1" applyAlignment="1">
      <alignment vertical="top" wrapText="1"/>
    </xf>
    <xf numFmtId="14" fontId="51" fillId="0" borderId="0" xfId="0" applyNumberFormat="1" applyFont="1" applyAlignment="1">
      <alignment wrapText="1"/>
    </xf>
    <xf numFmtId="14" fontId="51" fillId="0" borderId="0" xfId="0" applyNumberFormat="1" applyFont="1" applyAlignment="1">
      <alignment vertical="center" wrapText="1"/>
    </xf>
    <xf numFmtId="0" fontId="44" fillId="0" borderId="0" xfId="0" applyFont="1" applyAlignment="1">
      <alignment vertical="center" wrapText="1"/>
    </xf>
    <xf numFmtId="0" fontId="0" fillId="0" borderId="0" xfId="0" applyAlignment="1">
      <alignment horizontal="center" vertical="center"/>
    </xf>
    <xf numFmtId="0" fontId="43" fillId="43" borderId="0" xfId="246" applyFont="1" applyFill="1" applyAlignment="1">
      <alignment horizontal="center" vertical="center" wrapText="1"/>
    </xf>
    <xf numFmtId="0" fontId="42" fillId="0" borderId="0" xfId="0" applyFont="1" applyAlignment="1">
      <alignment wrapText="1"/>
    </xf>
    <xf numFmtId="0" fontId="40" fillId="24" borderId="83" xfId="0" applyFont="1" applyFill="1" applyBorder="1" applyAlignment="1">
      <alignment horizontal="center" vertical="center" wrapText="1"/>
    </xf>
    <xf numFmtId="0" fontId="38" fillId="0" borderId="0" xfId="0" applyFont="1" applyAlignment="1">
      <alignment horizontal="center" vertical="center" wrapText="1"/>
    </xf>
    <xf numFmtId="0" fontId="42" fillId="0" borderId="0" xfId="246" applyFont="1" applyAlignment="1">
      <alignment wrapText="1"/>
    </xf>
    <xf numFmtId="0" fontId="42" fillId="0" borderId="0" xfId="246" applyFont="1" applyAlignment="1">
      <alignment horizontal="center" vertical="center" wrapText="1"/>
    </xf>
    <xf numFmtId="0" fontId="144" fillId="0" borderId="0" xfId="0" applyFont="1"/>
    <xf numFmtId="0" fontId="117" fillId="0" borderId="0" xfId="0" applyFont="1" applyAlignment="1">
      <alignment vertical="center"/>
    </xf>
    <xf numFmtId="0" fontId="87" fillId="0" borderId="0" xfId="0" applyFont="1" applyAlignment="1">
      <alignment horizontal="left" vertical="justify"/>
    </xf>
    <xf numFmtId="0" fontId="85" fillId="0" borderId="0" xfId="0" applyFont="1"/>
    <xf numFmtId="172" fontId="119" fillId="0" borderId="0" xfId="0" applyNumberFormat="1" applyFont="1" applyAlignment="1">
      <alignment vertical="center"/>
    </xf>
    <xf numFmtId="0" fontId="87" fillId="0" borderId="0" xfId="0" applyFont="1" applyAlignment="1">
      <alignment vertical="justify"/>
    </xf>
    <xf numFmtId="0" fontId="59" fillId="34" borderId="83" xfId="0" applyFont="1" applyFill="1" applyBorder="1" applyAlignment="1">
      <alignment horizontal="left" vertical="center" wrapText="1"/>
    </xf>
    <xf numFmtId="0" fontId="58" fillId="34" borderId="83" xfId="0" applyFont="1" applyFill="1" applyBorder="1" applyAlignment="1">
      <alignment horizontal="left" vertical="center" wrapText="1"/>
    </xf>
    <xf numFmtId="9" fontId="49" fillId="43" borderId="83" xfId="176" applyFont="1" applyFill="1" applyBorder="1" applyAlignment="1">
      <alignment horizontal="center" vertical="center"/>
    </xf>
    <xf numFmtId="0" fontId="43" fillId="0" borderId="0" xfId="246" applyFont="1" applyAlignment="1">
      <alignment horizontal="center" vertical="center" wrapText="1"/>
    </xf>
    <xf numFmtId="0" fontId="40" fillId="20" borderId="83" xfId="0" applyFont="1" applyFill="1" applyBorder="1" applyAlignment="1">
      <alignment horizontal="center" vertical="center" wrapText="1"/>
    </xf>
    <xf numFmtId="0" fontId="58" fillId="0" borderId="83" xfId="0" applyFont="1" applyBorder="1" applyAlignment="1">
      <alignment horizontal="left" vertical="center" wrapText="1"/>
    </xf>
    <xf numFmtId="0" fontId="0" fillId="0" borderId="83" xfId="0" applyBorder="1" applyAlignment="1">
      <alignment horizontal="center" vertical="center"/>
    </xf>
    <xf numFmtId="0" fontId="0" fillId="0" borderId="83" xfId="0" applyBorder="1" applyAlignment="1">
      <alignment horizontal="center" vertical="center" wrapText="1"/>
    </xf>
    <xf numFmtId="0" fontId="0" fillId="0" borderId="83" xfId="0" applyBorder="1" applyAlignment="1">
      <alignment horizontal="left" vertical="center" wrapText="1"/>
    </xf>
    <xf numFmtId="0" fontId="40" fillId="20" borderId="83" xfId="0" applyFont="1" applyFill="1" applyBorder="1" applyAlignment="1">
      <alignment horizontal="center" vertical="center"/>
    </xf>
    <xf numFmtId="0" fontId="0" fillId="0" borderId="83" xfId="0" applyBorder="1" applyAlignment="1">
      <alignment vertical="center"/>
    </xf>
    <xf numFmtId="0" fontId="0" fillId="0" borderId="83" xfId="0" applyBorder="1" applyAlignment="1">
      <alignment horizontal="center"/>
    </xf>
    <xf numFmtId="0" fontId="44" fillId="0" borderId="83" xfId="0" applyFont="1" applyBorder="1" applyAlignment="1">
      <alignment horizontal="center"/>
    </xf>
    <xf numFmtId="3" fontId="1" fillId="0" borderId="83" xfId="0" applyNumberFormat="1" applyFont="1" applyBorder="1" applyAlignment="1">
      <alignment horizontal="center" vertical="center"/>
    </xf>
    <xf numFmtId="0" fontId="40" fillId="0" borderId="0" xfId="0" applyFont="1" applyAlignment="1">
      <alignment vertical="center"/>
    </xf>
    <xf numFmtId="0" fontId="126" fillId="0" borderId="0" xfId="0" applyFont="1" applyAlignment="1">
      <alignment horizontal="center" vertical="center"/>
    </xf>
    <xf numFmtId="0" fontId="102" fillId="0" borderId="0" xfId="0" applyFont="1"/>
    <xf numFmtId="0" fontId="0" fillId="24" borderId="83" xfId="0" applyFill="1" applyBorder="1" applyAlignment="1">
      <alignment horizontal="center" vertical="center" wrapText="1"/>
    </xf>
    <xf numFmtId="1" fontId="0" fillId="0" borderId="83" xfId="0" applyNumberFormat="1" applyBorder="1" applyAlignment="1">
      <alignment horizontal="center" vertical="center" wrapText="1"/>
    </xf>
    <xf numFmtId="0" fontId="40" fillId="43" borderId="83" xfId="0" applyFont="1" applyFill="1" applyBorder="1" applyAlignment="1">
      <alignment horizontal="center" vertical="center" wrapText="1"/>
    </xf>
    <xf numFmtId="1" fontId="40" fillId="43" borderId="83" xfId="0" applyNumberFormat="1" applyFont="1" applyFill="1" applyBorder="1" applyAlignment="1">
      <alignment horizontal="center" vertical="center" wrapText="1"/>
    </xf>
    <xf numFmtId="0" fontId="40" fillId="0" borderId="83" xfId="0" applyFont="1" applyBorder="1" applyAlignment="1">
      <alignment horizontal="center" vertical="center" wrapText="1"/>
    </xf>
    <xf numFmtId="0" fontId="0" fillId="43" borderId="83" xfId="0" applyFill="1" applyBorder="1" applyAlignment="1">
      <alignment horizontal="left" vertical="center" wrapText="1"/>
    </xf>
    <xf numFmtId="14" fontId="137" fillId="0" borderId="0" xfId="246" applyNumberFormat="1" applyFont="1" applyAlignment="1">
      <alignment vertical="center" wrapText="1"/>
    </xf>
    <xf numFmtId="0" fontId="43" fillId="0" borderId="0" xfId="246" applyFont="1"/>
    <xf numFmtId="0" fontId="42" fillId="25" borderId="0" xfId="246" applyFont="1" applyFill="1"/>
    <xf numFmtId="0" fontId="42" fillId="23" borderId="0" xfId="246" applyFont="1" applyFill="1"/>
    <xf numFmtId="0" fontId="42" fillId="26" borderId="0" xfId="246" applyFont="1" applyFill="1"/>
    <xf numFmtId="0" fontId="135" fillId="28" borderId="0" xfId="246" applyFont="1" applyFill="1" applyAlignment="1">
      <alignment wrapText="1"/>
    </xf>
    <xf numFmtId="0" fontId="103" fillId="0" borderId="0" xfId="0" applyFont="1" applyAlignment="1">
      <alignment horizontal="center" vertical="center"/>
    </xf>
    <xf numFmtId="0" fontId="40" fillId="43" borderId="83" xfId="0" applyFont="1" applyFill="1" applyBorder="1" applyAlignment="1">
      <alignment horizontal="center" vertical="center"/>
    </xf>
    <xf numFmtId="168" fontId="40" fillId="0" borderId="0" xfId="176" applyNumberFormat="1" applyFont="1" applyAlignment="1">
      <alignment horizontal="center" vertical="center"/>
    </xf>
    <xf numFmtId="0" fontId="42" fillId="0" borderId="0" xfId="246" applyFont="1" applyAlignment="1">
      <alignment horizontal="center" vertical="center"/>
    </xf>
    <xf numFmtId="0" fontId="42" fillId="0" borderId="0" xfId="246" applyFont="1"/>
    <xf numFmtId="0" fontId="42" fillId="0" borderId="0" xfId="246" applyFont="1" applyAlignment="1">
      <alignment horizontal="left"/>
    </xf>
    <xf numFmtId="0" fontId="42" fillId="0" borderId="0" xfId="246" applyFont="1" applyAlignment="1">
      <alignment vertical="center"/>
    </xf>
    <xf numFmtId="0" fontId="42" fillId="0" borderId="0" xfId="0" applyFont="1" applyAlignment="1">
      <alignment horizontal="center" vertical="center"/>
    </xf>
    <xf numFmtId="0" fontId="51" fillId="0" borderId="83" xfId="0" applyFont="1" applyBorder="1" applyAlignment="1">
      <alignment horizontal="center" vertical="center"/>
    </xf>
    <xf numFmtId="0" fontId="61" fillId="0" borderId="0" xfId="246" applyFont="1" applyAlignment="1">
      <alignment horizontal="center" vertical="center"/>
    </xf>
    <xf numFmtId="0" fontId="42" fillId="0" borderId="0" xfId="246" applyFont="1" applyAlignment="1">
      <alignment horizontal="left" vertical="center"/>
    </xf>
    <xf numFmtId="0" fontId="43" fillId="0" borderId="0" xfId="246" applyFont="1" applyAlignment="1">
      <alignment vertical="center" wrapText="1"/>
    </xf>
    <xf numFmtId="0" fontId="42" fillId="25" borderId="0" xfId="246" applyFont="1" applyFill="1" applyAlignment="1">
      <alignment vertical="center" wrapText="1"/>
    </xf>
    <xf numFmtId="0" fontId="42" fillId="23" borderId="0" xfId="246" applyFont="1" applyFill="1" applyAlignment="1">
      <alignment vertical="center" wrapText="1"/>
    </xf>
    <xf numFmtId="0" fontId="42" fillId="0" borderId="0" xfId="0" applyFont="1" applyAlignment="1">
      <alignment vertical="center"/>
    </xf>
    <xf numFmtId="0" fontId="42" fillId="26" borderId="0" xfId="246" applyFont="1" applyFill="1" applyAlignment="1">
      <alignment vertical="center" wrapText="1"/>
    </xf>
    <xf numFmtId="0" fontId="135" fillId="28" borderId="0" xfId="246" applyFont="1" applyFill="1" applyAlignment="1">
      <alignment vertical="center" wrapText="1"/>
    </xf>
    <xf numFmtId="0" fontId="135" fillId="46" borderId="0" xfId="246" applyFont="1" applyFill="1" applyAlignment="1">
      <alignment vertical="center" wrapText="1"/>
    </xf>
    <xf numFmtId="0" fontId="62" fillId="0" borderId="0" xfId="0" applyFont="1" applyAlignment="1">
      <alignment horizontal="center"/>
    </xf>
    <xf numFmtId="0" fontId="56" fillId="0" borderId="0" xfId="0" applyFont="1" applyAlignment="1">
      <alignment horizontal="center"/>
    </xf>
    <xf numFmtId="0" fontId="56" fillId="0" borderId="0" xfId="0" applyFont="1" applyAlignment="1">
      <alignment horizontal="center" vertical="center" wrapText="1"/>
    </xf>
    <xf numFmtId="0" fontId="49" fillId="0" borderId="0" xfId="0" applyFont="1" applyAlignment="1">
      <alignment horizontal="center" vertical="center"/>
    </xf>
    <xf numFmtId="0" fontId="85" fillId="0" borderId="0" xfId="0" applyFont="1" applyAlignment="1">
      <alignment horizontal="center" vertical="center"/>
    </xf>
    <xf numFmtId="0" fontId="85" fillId="0" borderId="0" xfId="0" applyFont="1" applyAlignment="1">
      <alignment horizontal="center"/>
    </xf>
    <xf numFmtId="0" fontId="86" fillId="0" borderId="0" xfId="0" applyFont="1" applyAlignment="1">
      <alignment horizontal="center" vertical="center"/>
    </xf>
    <xf numFmtId="0" fontId="56" fillId="0" borderId="0" xfId="0" applyFont="1" applyAlignment="1">
      <alignment vertical="center"/>
    </xf>
    <xf numFmtId="0" fontId="50" fillId="0" borderId="83" xfId="0" applyFont="1" applyBorder="1" applyAlignment="1">
      <alignment horizontal="center" vertical="center" wrapText="1"/>
    </xf>
    <xf numFmtId="9" fontId="67" fillId="0" borderId="0" xfId="176" applyFont="1" applyAlignment="1">
      <alignment vertical="center"/>
    </xf>
    <xf numFmtId="0" fontId="6" fillId="0" borderId="0" xfId="0" applyFont="1"/>
    <xf numFmtId="0" fontId="6" fillId="0" borderId="0" xfId="0" applyFont="1" applyAlignment="1">
      <alignment horizontal="center"/>
    </xf>
    <xf numFmtId="0" fontId="82" fillId="20" borderId="91" xfId="0" applyFont="1" applyFill="1" applyBorder="1" applyAlignment="1">
      <alignment horizontal="center" vertical="center" wrapText="1"/>
    </xf>
    <xf numFmtId="0" fontId="64" fillId="34" borderId="93" xfId="0" applyFont="1" applyFill="1" applyBorder="1" applyAlignment="1">
      <alignment horizontal="center" vertical="center" wrapText="1"/>
    </xf>
    <xf numFmtId="10" fontId="64" fillId="34" borderId="96" xfId="0" applyNumberFormat="1" applyFont="1" applyFill="1" applyBorder="1" applyAlignment="1">
      <alignment horizontal="center" vertical="center" wrapText="1"/>
    </xf>
    <xf numFmtId="10" fontId="64" fillId="43" borderId="91" xfId="0" applyNumberFormat="1" applyFont="1" applyFill="1" applyBorder="1" applyAlignment="1">
      <alignment horizontal="center" vertical="center" wrapText="1"/>
    </xf>
    <xf numFmtId="9" fontId="64" fillId="34" borderId="82" xfId="0" applyNumberFormat="1" applyFont="1" applyFill="1" applyBorder="1" applyAlignment="1">
      <alignment horizontal="center" vertical="center" wrapText="1"/>
    </xf>
    <xf numFmtId="10" fontId="64" fillId="34" borderId="81" xfId="0" applyNumberFormat="1" applyFont="1" applyFill="1" applyBorder="1" applyAlignment="1">
      <alignment horizontal="center" vertical="center" wrapText="1"/>
    </xf>
    <xf numFmtId="0" fontId="153" fillId="0" borderId="0" xfId="0" applyFont="1"/>
    <xf numFmtId="0" fontId="2" fillId="0" borderId="0" xfId="0" applyFont="1" applyAlignment="1">
      <alignment horizontal="center"/>
    </xf>
    <xf numFmtId="0" fontId="45" fillId="0" borderId="0" xfId="0" applyFont="1"/>
    <xf numFmtId="0" fontId="5" fillId="0" borderId="0" xfId="0" applyFont="1" applyAlignment="1">
      <alignment horizontal="center"/>
    </xf>
    <xf numFmtId="0" fontId="45" fillId="0" borderId="0" xfId="0" applyFont="1" applyAlignment="1">
      <alignment horizontal="left"/>
    </xf>
    <xf numFmtId="0" fontId="64" fillId="0" borderId="93" xfId="0" applyFont="1" applyBorder="1" applyAlignment="1">
      <alignment horizontal="center" vertical="center" wrapText="1"/>
    </xf>
    <xf numFmtId="10" fontId="64" fillId="0" borderId="92" xfId="0" applyNumberFormat="1" applyFont="1" applyBorder="1" applyAlignment="1">
      <alignment horizontal="center" vertical="center" wrapText="1"/>
    </xf>
    <xf numFmtId="10" fontId="154" fillId="43" borderId="92" xfId="0" applyNumberFormat="1" applyFont="1" applyFill="1" applyBorder="1" applyAlignment="1">
      <alignment horizontal="center" vertical="center" wrapText="1"/>
    </xf>
    <xf numFmtId="10" fontId="64" fillId="34" borderId="92" xfId="0" applyNumberFormat="1" applyFont="1" applyFill="1" applyBorder="1" applyAlignment="1">
      <alignment horizontal="center" vertical="center" wrapText="1"/>
    </xf>
    <xf numFmtId="2" fontId="0" fillId="0" borderId="0" xfId="0" applyNumberFormat="1" applyAlignment="1">
      <alignment vertical="center"/>
    </xf>
    <xf numFmtId="0" fontId="64" fillId="34" borderId="96" xfId="0" applyFont="1" applyFill="1" applyBorder="1" applyAlignment="1">
      <alignment horizontal="center" vertical="center" wrapText="1"/>
    </xf>
    <xf numFmtId="0" fontId="64" fillId="34" borderId="91" xfId="0" applyFont="1" applyFill="1" applyBorder="1" applyAlignment="1">
      <alignment horizontal="center" vertical="center" wrapText="1"/>
    </xf>
    <xf numFmtId="168" fontId="64" fillId="34" borderId="82" xfId="0" applyNumberFormat="1" applyFont="1" applyFill="1" applyBorder="1" applyAlignment="1">
      <alignment horizontal="center" vertical="center" wrapText="1"/>
    </xf>
    <xf numFmtId="168" fontId="64" fillId="21" borderId="81" xfId="0" applyNumberFormat="1" applyFont="1" applyFill="1" applyBorder="1" applyAlignment="1">
      <alignment horizontal="center" vertical="center" wrapText="1"/>
    </xf>
    <xf numFmtId="168" fontId="64" fillId="34" borderId="81" xfId="0" applyNumberFormat="1" applyFont="1" applyFill="1" applyBorder="1" applyAlignment="1">
      <alignment horizontal="center" vertical="center" wrapText="1"/>
    </xf>
    <xf numFmtId="10" fontId="64" fillId="21" borderId="81" xfId="0" applyNumberFormat="1" applyFont="1" applyFill="1" applyBorder="1" applyAlignment="1">
      <alignment horizontal="center" vertical="center" wrapText="1"/>
    </xf>
    <xf numFmtId="0" fontId="155" fillId="0" borderId="0" xfId="0" applyFont="1"/>
    <xf numFmtId="0" fontId="24" fillId="20" borderId="92" xfId="0" applyFont="1" applyFill="1" applyBorder="1" applyAlignment="1">
      <alignment horizontal="center" vertical="center" wrapText="1"/>
    </xf>
    <xf numFmtId="0" fontId="24" fillId="20" borderId="92" xfId="0" applyFont="1" applyFill="1" applyBorder="1" applyAlignment="1">
      <alignment horizontal="center" vertical="center"/>
    </xf>
    <xf numFmtId="0" fontId="0" fillId="0" borderId="92" xfId="0" applyBorder="1" applyAlignment="1">
      <alignment horizontal="center" vertical="center" wrapText="1"/>
    </xf>
    <xf numFmtId="168" fontId="58" fillId="0" borderId="92" xfId="0" applyNumberFormat="1" applyFont="1" applyBorder="1" applyAlignment="1">
      <alignment horizontal="center"/>
    </xf>
    <xf numFmtId="168" fontId="58" fillId="21" borderId="92" xfId="0" applyNumberFormat="1" applyFont="1" applyFill="1" applyBorder="1" applyAlignment="1">
      <alignment horizontal="center"/>
    </xf>
    <xf numFmtId="0" fontId="27" fillId="0" borderId="0" xfId="0" applyFont="1" applyAlignment="1">
      <alignment horizontal="left" vertical="center" indent="1"/>
    </xf>
    <xf numFmtId="0" fontId="57" fillId="0" borderId="0" xfId="0" applyFont="1" applyAlignment="1">
      <alignment vertical="center"/>
    </xf>
    <xf numFmtId="0" fontId="45" fillId="0" borderId="0" xfId="0" applyFont="1" applyAlignment="1">
      <alignment horizontal="center"/>
    </xf>
    <xf numFmtId="0" fontId="148" fillId="0" borderId="0" xfId="0" applyFont="1" applyAlignment="1">
      <alignment horizontal="center"/>
    </xf>
    <xf numFmtId="2" fontId="45" fillId="0" borderId="0" xfId="0" applyNumberFormat="1" applyFont="1" applyAlignment="1">
      <alignment horizontal="center"/>
    </xf>
    <xf numFmtId="0" fontId="45" fillId="0" borderId="0" xfId="0" applyFont="1" applyAlignment="1">
      <alignment vertical="center"/>
    </xf>
    <xf numFmtId="2" fontId="50" fillId="0" borderId="0" xfId="0" applyNumberFormat="1" applyFont="1" applyAlignment="1">
      <alignment vertical="center"/>
    </xf>
    <xf numFmtId="0" fontId="45" fillId="20" borderId="92" xfId="0" applyFont="1" applyFill="1" applyBorder="1" applyAlignment="1">
      <alignment horizontal="center" vertical="center" wrapText="1"/>
    </xf>
    <xf numFmtId="0" fontId="82" fillId="20" borderId="92" xfId="0" applyFont="1" applyFill="1" applyBorder="1" applyAlignment="1">
      <alignment horizontal="center" vertical="center" wrapText="1"/>
    </xf>
    <xf numFmtId="2" fontId="82" fillId="20" borderId="92" xfId="0" applyNumberFormat="1" applyFont="1" applyFill="1" applyBorder="1" applyAlignment="1">
      <alignment horizontal="center" vertical="center" wrapText="1"/>
    </xf>
    <xf numFmtId="0" fontId="64" fillId="34" borderId="92" xfId="0" applyFont="1" applyFill="1" applyBorder="1" applyAlignment="1">
      <alignment horizontal="center" vertical="center" wrapText="1"/>
    </xf>
    <xf numFmtId="2" fontId="64" fillId="34" borderId="92" xfId="176" applyNumberFormat="1" applyFont="1" applyFill="1" applyBorder="1" applyAlignment="1">
      <alignment horizontal="center" vertical="center" wrapText="1"/>
    </xf>
    <xf numFmtId="2" fontId="64" fillId="43" borderId="92" xfId="176" applyNumberFormat="1" applyFont="1" applyFill="1" applyBorder="1" applyAlignment="1">
      <alignment horizontal="center" vertical="center" wrapText="1"/>
    </xf>
    <xf numFmtId="2" fontId="64" fillId="0" borderId="92" xfId="176" applyNumberFormat="1" applyFont="1" applyBorder="1" applyAlignment="1">
      <alignment horizontal="center" vertical="center" wrapText="1"/>
    </xf>
    <xf numFmtId="0" fontId="82" fillId="34" borderId="92" xfId="0" applyFont="1" applyFill="1" applyBorder="1" applyAlignment="1">
      <alignment horizontal="center" vertical="center" wrapText="1"/>
    </xf>
    <xf numFmtId="0" fontId="45" fillId="0" borderId="0" xfId="0" applyFont="1" applyAlignment="1">
      <alignment vertical="center" wrapText="1"/>
    </xf>
    <xf numFmtId="182" fontId="73" fillId="0" borderId="92" xfId="802" applyNumberFormat="1" applyFont="1" applyBorder="1" applyAlignment="1">
      <alignment horizontal="center" vertical="center"/>
    </xf>
    <xf numFmtId="183" fontId="73" fillId="0" borderId="92" xfId="802" applyNumberFormat="1" applyFont="1" applyBorder="1" applyAlignment="1">
      <alignment horizontal="center" vertical="center"/>
    </xf>
    <xf numFmtId="168" fontId="157" fillId="43" borderId="92" xfId="176" applyNumberFormat="1" applyFont="1" applyFill="1" applyBorder="1" applyAlignment="1">
      <alignment horizontal="center" vertical="center"/>
    </xf>
    <xf numFmtId="183" fontId="73" fillId="43" borderId="92" xfId="802" applyNumberFormat="1" applyFont="1" applyFill="1" applyBorder="1" applyAlignment="1">
      <alignment horizontal="center" vertical="center"/>
    </xf>
    <xf numFmtId="0" fontId="82" fillId="34" borderId="93" xfId="0" applyFont="1" applyFill="1" applyBorder="1" applyAlignment="1">
      <alignment horizontal="center" vertical="center" wrapText="1"/>
    </xf>
    <xf numFmtId="184" fontId="73" fillId="0" borderId="92" xfId="802" applyNumberFormat="1" applyFont="1" applyBorder="1" applyAlignment="1">
      <alignment horizontal="center" vertical="center"/>
    </xf>
    <xf numFmtId="9" fontId="44" fillId="34" borderId="92" xfId="176" applyFont="1" applyFill="1" applyBorder="1" applyAlignment="1">
      <alignment horizontal="center" vertical="center" wrapText="1"/>
    </xf>
    <xf numFmtId="9" fontId="45" fillId="34" borderId="92" xfId="176" applyFont="1" applyFill="1" applyBorder="1" applyAlignment="1">
      <alignment horizontal="center" vertical="center" wrapText="1"/>
    </xf>
    <xf numFmtId="10" fontId="64" fillId="34" borderId="92" xfId="176" applyNumberFormat="1" applyFont="1" applyFill="1" applyBorder="1" applyAlignment="1">
      <alignment horizontal="center" vertical="center" wrapText="1"/>
    </xf>
    <xf numFmtId="168" fontId="82" fillId="21" borderId="92" xfId="176" applyNumberFormat="1" applyFont="1" applyFill="1" applyBorder="1" applyAlignment="1">
      <alignment horizontal="center" vertical="center" wrapText="1"/>
    </xf>
    <xf numFmtId="168" fontId="64" fillId="34" borderId="92" xfId="176" applyNumberFormat="1" applyFont="1" applyFill="1" applyBorder="1" applyAlignment="1">
      <alignment horizontal="center" vertical="center" wrapText="1"/>
    </xf>
    <xf numFmtId="171" fontId="64" fillId="34" borderId="92" xfId="176" applyNumberFormat="1" applyFont="1" applyFill="1" applyBorder="1" applyAlignment="1">
      <alignment horizontal="center" vertical="center" wrapText="1"/>
    </xf>
    <xf numFmtId="9" fontId="82" fillId="34" borderId="92" xfId="176" applyFont="1" applyFill="1" applyBorder="1" applyAlignment="1">
      <alignment horizontal="center" vertical="center" wrapText="1"/>
    </xf>
    <xf numFmtId="10" fontId="64" fillId="21" borderId="92" xfId="176" applyNumberFormat="1" applyFont="1" applyFill="1" applyBorder="1" applyAlignment="1">
      <alignment horizontal="center" vertical="center" wrapText="1"/>
    </xf>
    <xf numFmtId="0" fontId="45" fillId="0" borderId="0" xfId="0" applyFont="1" applyAlignment="1">
      <alignment horizontal="center" vertical="center"/>
    </xf>
    <xf numFmtId="0" fontId="44" fillId="0" borderId="0" xfId="0" applyFont="1" applyAlignment="1">
      <alignment horizontal="right"/>
    </xf>
    <xf numFmtId="0" fontId="82" fillId="0" borderId="0" xfId="0" applyFont="1"/>
    <xf numFmtId="0" fontId="82" fillId="0" borderId="0" xfId="0" applyFont="1" applyAlignment="1">
      <alignment wrapText="1"/>
    </xf>
    <xf numFmtId="0" fontId="5" fillId="20" borderId="92" xfId="0" applyFont="1" applyFill="1" applyBorder="1" applyAlignment="1">
      <alignment horizontal="center" vertical="top" wrapText="1"/>
    </xf>
    <xf numFmtId="0" fontId="5" fillId="20" borderId="92" xfId="0" applyFont="1" applyFill="1" applyBorder="1" applyAlignment="1">
      <alignment horizontal="center" vertical="top"/>
    </xf>
    <xf numFmtId="0" fontId="44" fillId="0" borderId="0" xfId="0" applyFont="1" applyAlignment="1">
      <alignment horizontal="justify" wrapText="1"/>
    </xf>
    <xf numFmtId="0" fontId="5" fillId="20" borderId="92" xfId="0" applyFont="1" applyFill="1" applyBorder="1" applyAlignment="1">
      <alignment horizontal="right" vertical="top" wrapText="1"/>
    </xf>
    <xf numFmtId="171" fontId="5" fillId="21" borderId="92" xfId="0" applyNumberFormat="1" applyFont="1" applyFill="1" applyBorder="1" applyAlignment="1">
      <alignment horizontal="center" vertical="top" wrapText="1"/>
    </xf>
    <xf numFmtId="171" fontId="5" fillId="20" borderId="92" xfId="0" applyNumberFormat="1" applyFont="1" applyFill="1" applyBorder="1" applyAlignment="1">
      <alignment horizontal="center" vertical="top" wrapText="1"/>
    </xf>
    <xf numFmtId="10" fontId="64" fillId="34" borderId="93" xfId="0" applyNumberFormat="1" applyFont="1" applyFill="1" applyBorder="1" applyAlignment="1">
      <alignment horizontal="center" vertical="center" wrapText="1"/>
    </xf>
    <xf numFmtId="0" fontId="1" fillId="0" borderId="0" xfId="149" applyAlignment="1">
      <alignment horizontal="center" vertical="center"/>
    </xf>
    <xf numFmtId="0" fontId="2" fillId="0" borderId="0" xfId="149" applyFont="1" applyAlignment="1">
      <alignment vertical="center"/>
    </xf>
    <xf numFmtId="0" fontId="159" fillId="0" borderId="0" xfId="801" applyFont="1" applyAlignment="1">
      <alignment horizontal="left" vertical="center"/>
    </xf>
    <xf numFmtId="0" fontId="55" fillId="0" borderId="0" xfId="801" applyFont="1" applyAlignment="1">
      <alignment vertical="center"/>
    </xf>
    <xf numFmtId="0" fontId="160" fillId="0" borderId="0" xfId="801" applyFont="1" applyAlignment="1">
      <alignment vertical="center"/>
    </xf>
    <xf numFmtId="0" fontId="99" fillId="0" borderId="0" xfId="801" applyFont="1" applyAlignment="1">
      <alignment vertical="center"/>
    </xf>
    <xf numFmtId="0" fontId="40" fillId="20" borderId="95" xfId="0" applyFont="1" applyFill="1" applyBorder="1" applyAlignment="1">
      <alignment horizontal="center" vertical="center"/>
    </xf>
    <xf numFmtId="171" fontId="44" fillId="0" borderId="0" xfId="0" applyNumberFormat="1" applyFont="1"/>
    <xf numFmtId="0" fontId="40" fillId="20" borderId="94" xfId="0" applyFont="1" applyFill="1" applyBorder="1" applyAlignment="1">
      <alignment horizontal="center" vertical="center" wrapText="1"/>
    </xf>
    <xf numFmtId="0" fontId="45" fillId="20" borderId="83" xfId="0" applyFont="1" applyFill="1" applyBorder="1" applyAlignment="1">
      <alignment horizontal="center" vertical="center"/>
    </xf>
    <xf numFmtId="0" fontId="44" fillId="0" borderId="91" xfId="0" applyFont="1" applyBorder="1" applyAlignment="1">
      <alignment vertical="center" wrapText="1"/>
    </xf>
    <xf numFmtId="3" fontId="44" fillId="0" borderId="90" xfId="0" applyNumberFormat="1" applyFont="1" applyBorder="1" applyAlignment="1">
      <alignment horizontal="center" vertical="center"/>
    </xf>
    <xf numFmtId="171" fontId="44" fillId="0" borderId="89" xfId="0" applyNumberFormat="1" applyFont="1" applyBorder="1" applyAlignment="1">
      <alignment horizontal="center" vertical="center"/>
    </xf>
    <xf numFmtId="0" fontId="44" fillId="0" borderId="81" xfId="0" applyFont="1" applyBorder="1" applyAlignment="1">
      <alignment vertical="center"/>
    </xf>
    <xf numFmtId="0" fontId="102" fillId="0" borderId="0" xfId="0" applyFont="1" applyAlignment="1">
      <alignment horizontal="center" vertical="center"/>
    </xf>
    <xf numFmtId="0" fontId="0" fillId="0" borderId="0" xfId="0" applyAlignment="1">
      <alignment horizontal="centerContinuous" vertical="center"/>
    </xf>
    <xf numFmtId="167" fontId="0" fillId="0" borderId="0" xfId="0" applyNumberFormat="1"/>
    <xf numFmtId="0" fontId="155" fillId="0" borderId="0" xfId="167" applyFont="1" applyAlignment="1">
      <alignment horizontal="center" vertical="center"/>
    </xf>
    <xf numFmtId="0" fontId="86" fillId="0" borderId="0" xfId="167" applyFont="1" applyAlignment="1">
      <alignment vertical="center"/>
    </xf>
    <xf numFmtId="0" fontId="38" fillId="0" borderId="0" xfId="167" applyAlignment="1">
      <alignment vertical="center"/>
    </xf>
    <xf numFmtId="0" fontId="6" fillId="0" borderId="0" xfId="167" applyFont="1" applyAlignment="1">
      <alignment horizontal="center" vertical="center"/>
    </xf>
    <xf numFmtId="0" fontId="38" fillId="0" borderId="0" xfId="167" applyAlignment="1">
      <alignment horizontal="center" vertical="center"/>
    </xf>
    <xf numFmtId="0" fontId="42" fillId="0" borderId="22" xfId="167" applyFont="1" applyBorder="1" applyAlignment="1">
      <alignment horizontal="right" vertical="center" indent="1"/>
    </xf>
    <xf numFmtId="0" fontId="42" fillId="0" borderId="0" xfId="167" applyFont="1" applyAlignment="1">
      <alignment horizontal="left" vertical="center"/>
    </xf>
    <xf numFmtId="0" fontId="67" fillId="0" borderId="0" xfId="167" applyFont="1" applyAlignment="1">
      <alignment vertical="center"/>
    </xf>
    <xf numFmtId="0" fontId="32" fillId="0" borderId="0" xfId="805" applyFont="1" applyAlignment="1" applyProtection="1">
      <alignment horizontal="left" vertical="center"/>
    </xf>
    <xf numFmtId="0" fontId="32" fillId="0" borderId="0" xfId="167" applyFont="1" applyAlignment="1">
      <alignment horizontal="left" vertical="center"/>
    </xf>
    <xf numFmtId="0" fontId="92" fillId="20" borderId="83" xfId="0" applyFont="1" applyFill="1" applyBorder="1" applyAlignment="1">
      <alignment horizontal="center" vertical="center"/>
    </xf>
    <xf numFmtId="9" fontId="49" fillId="20" borderId="83" xfId="176" applyFont="1" applyFill="1" applyBorder="1" applyAlignment="1">
      <alignment horizontal="center" vertical="center"/>
    </xf>
    <xf numFmtId="0" fontId="59" fillId="0" borderId="83" xfId="0" applyFont="1" applyBorder="1" applyAlignment="1">
      <alignment horizontal="left" vertical="center" wrapText="1"/>
    </xf>
    <xf numFmtId="0" fontId="42" fillId="0" borderId="83" xfId="0" applyFont="1" applyBorder="1" applyAlignment="1">
      <alignment horizontal="left" vertical="center" wrapText="1"/>
    </xf>
    <xf numFmtId="0" fontId="40" fillId="0" borderId="0" xfId="0" applyFont="1" applyAlignment="1">
      <alignment horizontal="center" vertical="center"/>
    </xf>
    <xf numFmtId="9" fontId="171" fillId="0" borderId="0" xfId="176" applyFont="1"/>
    <xf numFmtId="0" fontId="132" fillId="0" borderId="0" xfId="0" applyFont="1"/>
    <xf numFmtId="0" fontId="132" fillId="0" borderId="0" xfId="0" applyFont="1" applyAlignment="1">
      <alignment horizontal="center" vertical="center"/>
    </xf>
    <xf numFmtId="0" fontId="132" fillId="0" borderId="83" xfId="0" applyFont="1" applyBorder="1" applyAlignment="1">
      <alignment horizontal="left" vertical="center" wrapText="1"/>
    </xf>
    <xf numFmtId="0" fontId="121" fillId="0" borderId="103" xfId="0" applyFont="1" applyBorder="1" applyAlignment="1">
      <alignment vertical="center" wrapText="1"/>
    </xf>
    <xf numFmtId="9" fontId="132" fillId="0" borderId="13" xfId="0" applyNumberFormat="1" applyFont="1" applyBorder="1" applyAlignment="1">
      <alignment horizontal="center" vertical="center" wrapText="1"/>
    </xf>
    <xf numFmtId="0" fontId="132" fillId="0" borderId="83" xfId="0" applyFont="1" applyBorder="1" applyAlignment="1">
      <alignment vertical="center" wrapText="1"/>
    </xf>
    <xf numFmtId="168" fontId="132" fillId="0" borderId="93" xfId="0" applyNumberFormat="1" applyFont="1" applyBorder="1" applyAlignment="1">
      <alignment horizontal="center" vertical="center" wrapText="1"/>
    </xf>
    <xf numFmtId="168" fontId="158" fillId="0" borderId="93" xfId="0" applyNumberFormat="1" applyFont="1" applyBorder="1" applyAlignment="1">
      <alignment horizontal="center" vertical="center" wrapText="1"/>
    </xf>
    <xf numFmtId="9" fontId="132" fillId="0" borderId="83" xfId="0" applyNumberFormat="1" applyFont="1" applyBorder="1" applyAlignment="1">
      <alignment horizontal="center" vertical="center" wrapText="1"/>
    </xf>
    <xf numFmtId="3" fontId="132" fillId="0" borderId="93" xfId="0" applyNumberFormat="1" applyFont="1" applyBorder="1" applyAlignment="1">
      <alignment horizontal="center" vertical="center" wrapText="1"/>
    </xf>
    <xf numFmtId="3" fontId="132" fillId="0" borderId="104" xfId="0" applyNumberFormat="1" applyFont="1" applyBorder="1" applyAlignment="1">
      <alignment horizontal="center" vertical="center" wrapText="1"/>
    </xf>
    <xf numFmtId="3" fontId="158" fillId="0" borderId="104" xfId="0" applyNumberFormat="1" applyFont="1" applyBorder="1" applyAlignment="1">
      <alignment horizontal="center" vertical="center" wrapText="1"/>
    </xf>
    <xf numFmtId="171" fontId="132" fillId="0" borderId="93" xfId="0" applyNumberFormat="1" applyFont="1" applyBorder="1" applyAlignment="1">
      <alignment horizontal="center" vertical="center" wrapText="1"/>
    </xf>
    <xf numFmtId="171" fontId="158" fillId="0" borderId="93" xfId="0" applyNumberFormat="1" applyFont="1" applyBorder="1" applyAlignment="1">
      <alignment horizontal="center" vertical="center" wrapText="1"/>
    </xf>
    <xf numFmtId="0" fontId="132" fillId="0" borderId="83" xfId="0" applyFont="1" applyBorder="1" applyAlignment="1">
      <alignment horizontal="center" vertical="center" wrapText="1"/>
    </xf>
    <xf numFmtId="168" fontId="132" fillId="0" borderId="95" xfId="0" applyNumberFormat="1" applyFont="1" applyBorder="1" applyAlignment="1">
      <alignment horizontal="center" vertical="center" wrapText="1"/>
    </xf>
    <xf numFmtId="171" fontId="132" fillId="0" borderId="10" xfId="0" applyNumberFormat="1" applyFont="1" applyBorder="1" applyAlignment="1">
      <alignment horizontal="center" vertical="center" wrapText="1"/>
    </xf>
    <xf numFmtId="171" fontId="158" fillId="0" borderId="10" xfId="0" applyNumberFormat="1" applyFont="1" applyBorder="1" applyAlignment="1">
      <alignment horizontal="center" vertical="center" wrapText="1"/>
    </xf>
    <xf numFmtId="0" fontId="132" fillId="0" borderId="104" xfId="0" applyFont="1" applyBorder="1" applyAlignment="1">
      <alignment horizontal="center" vertical="center" wrapText="1"/>
    </xf>
    <xf numFmtId="0" fontId="158" fillId="0" borderId="104" xfId="0" applyFont="1" applyBorder="1" applyAlignment="1">
      <alignment horizontal="center" vertical="center" wrapText="1"/>
    </xf>
    <xf numFmtId="0" fontId="132" fillId="22" borderId="100" xfId="0" applyFont="1" applyFill="1" applyBorder="1" applyAlignment="1">
      <alignment vertical="center" wrapText="1"/>
    </xf>
    <xf numFmtId="168" fontId="132" fillId="0" borderId="93" xfId="176" applyNumberFormat="1" applyFont="1" applyBorder="1" applyAlignment="1">
      <alignment horizontal="center" vertical="center" wrapText="1"/>
    </xf>
    <xf numFmtId="168" fontId="158" fillId="0" borderId="93" xfId="176" applyNumberFormat="1" applyFont="1" applyBorder="1" applyAlignment="1">
      <alignment horizontal="center" vertical="center" wrapText="1"/>
    </xf>
    <xf numFmtId="3" fontId="132" fillId="0" borderId="0" xfId="0" applyNumberFormat="1" applyFont="1" applyAlignment="1">
      <alignment horizontal="center" vertical="center" wrapText="1"/>
    </xf>
    <xf numFmtId="3" fontId="132" fillId="0" borderId="100" xfId="0" applyNumberFormat="1" applyFont="1" applyBorder="1" applyAlignment="1">
      <alignment horizontal="center" vertical="center" wrapText="1"/>
    </xf>
    <xf numFmtId="3" fontId="158" fillId="0" borderId="100" xfId="0" applyNumberFormat="1" applyFont="1" applyBorder="1" applyAlignment="1">
      <alignment horizontal="center" vertical="center" wrapText="1"/>
    </xf>
    <xf numFmtId="3" fontId="132" fillId="0" borderId="83" xfId="0" applyNumberFormat="1" applyFont="1" applyBorder="1" applyAlignment="1">
      <alignment horizontal="center" vertical="center" wrapText="1"/>
    </xf>
    <xf numFmtId="3" fontId="132" fillId="0" borderId="95" xfId="0" applyNumberFormat="1" applyFont="1" applyBorder="1" applyAlignment="1">
      <alignment horizontal="center" vertical="center" wrapText="1"/>
    </xf>
    <xf numFmtId="3" fontId="158" fillId="0" borderId="83" xfId="0" applyNumberFormat="1" applyFont="1" applyBorder="1" applyAlignment="1">
      <alignment horizontal="center" vertical="center" wrapText="1"/>
    </xf>
    <xf numFmtId="0" fontId="132" fillId="0" borderId="93" xfId="0" applyFont="1" applyBorder="1" applyAlignment="1">
      <alignment horizontal="center" vertical="center" wrapText="1"/>
    </xf>
    <xf numFmtId="0" fontId="158" fillId="0" borderId="93" xfId="0" applyFont="1" applyBorder="1" applyAlignment="1">
      <alignment horizontal="center" vertical="center" wrapText="1"/>
    </xf>
    <xf numFmtId="9" fontId="132" fillId="0" borderId="93" xfId="0" applyNumberFormat="1" applyFont="1" applyBorder="1" applyAlignment="1">
      <alignment horizontal="center" vertical="center" wrapText="1"/>
    </xf>
    <xf numFmtId="3" fontId="1" fillId="0" borderId="83" xfId="0" applyNumberFormat="1" applyFont="1" applyBorder="1" applyAlignment="1">
      <alignment horizontal="left" vertical="center"/>
    </xf>
    <xf numFmtId="0" fontId="51" fillId="33" borderId="83" xfId="0" applyFont="1" applyFill="1" applyBorder="1" applyAlignment="1">
      <alignment horizontal="left" vertical="center" wrapText="1"/>
    </xf>
    <xf numFmtId="0" fontId="24" fillId="27" borderId="83" xfId="0" applyFont="1" applyFill="1" applyBorder="1" applyAlignment="1">
      <alignment horizontal="center" vertical="center" wrapText="1"/>
    </xf>
    <xf numFmtId="3" fontId="17" fillId="0" borderId="83" xfId="0" applyNumberFormat="1" applyFont="1" applyBorder="1" applyAlignment="1">
      <alignment horizontal="center" vertical="top" wrapText="1"/>
    </xf>
    <xf numFmtId="0" fontId="44" fillId="0" borderId="83" xfId="0" applyFont="1" applyBorder="1"/>
    <xf numFmtId="0" fontId="51" fillId="0" borderId="83" xfId="0" applyFont="1" applyBorder="1" applyAlignment="1">
      <alignment horizontal="center"/>
    </xf>
    <xf numFmtId="3" fontId="61" fillId="0" borderId="83" xfId="229" applyNumberFormat="1" applyFont="1" applyBorder="1" applyAlignment="1">
      <alignment horizontal="left" vertical="center"/>
    </xf>
    <xf numFmtId="3" fontId="74" fillId="0" borderId="83" xfId="0" applyNumberFormat="1" applyFont="1" applyBorder="1" applyAlignment="1">
      <alignment horizontal="center" vertical="top" wrapText="1"/>
    </xf>
    <xf numFmtId="3" fontId="89" fillId="30" borderId="83" xfId="0" applyNumberFormat="1" applyFont="1" applyFill="1" applyBorder="1" applyAlignment="1">
      <alignment horizontal="right" vertical="center" wrapText="1"/>
    </xf>
    <xf numFmtId="3" fontId="99" fillId="30" borderId="83" xfId="0" applyNumberFormat="1" applyFont="1" applyFill="1" applyBorder="1" applyAlignment="1">
      <alignment horizontal="center" vertical="top" wrapText="1"/>
    </xf>
    <xf numFmtId="3" fontId="24" fillId="30" borderId="83" xfId="0" applyNumberFormat="1" applyFont="1" applyFill="1" applyBorder="1" applyAlignment="1">
      <alignment horizontal="center" vertical="top" wrapText="1"/>
    </xf>
    <xf numFmtId="0" fontId="99" fillId="27" borderId="83" xfId="0" applyFont="1" applyFill="1" applyBorder="1" applyAlignment="1">
      <alignment horizontal="center" vertical="center" wrapText="1"/>
    </xf>
    <xf numFmtId="0" fontId="74" fillId="0" borderId="83" xfId="172" applyFont="1" applyBorder="1" applyAlignment="1">
      <alignment vertical="top" wrapText="1"/>
    </xf>
    <xf numFmtId="0" fontId="74" fillId="0" borderId="83" xfId="172" applyFont="1" applyBorder="1" applyAlignment="1">
      <alignment horizontal="center" vertical="top" wrapText="1"/>
    </xf>
    <xf numFmtId="0" fontId="96" fillId="0" borderId="83" xfId="172" applyFont="1" applyBorder="1" applyAlignment="1">
      <alignment horizontal="center" vertical="top" wrapText="1"/>
    </xf>
    <xf numFmtId="0" fontId="96" fillId="0" borderId="83" xfId="172" applyFont="1" applyBorder="1" applyAlignment="1">
      <alignment horizontal="center"/>
    </xf>
    <xf numFmtId="3" fontId="24" fillId="27" borderId="83" xfId="0" applyNumberFormat="1" applyFont="1" applyFill="1" applyBorder="1" applyAlignment="1">
      <alignment horizontal="center" vertical="top"/>
    </xf>
    <xf numFmtId="0" fontId="24" fillId="21" borderId="83" xfId="0" applyFont="1" applyFill="1" applyBorder="1" applyAlignment="1">
      <alignment horizontal="center" vertical="center" wrapText="1"/>
    </xf>
    <xf numFmtId="0" fontId="17" fillId="0" borderId="83" xfId="0" applyFont="1" applyBorder="1" applyAlignment="1">
      <alignment horizontal="center" vertical="center" wrapText="1"/>
    </xf>
    <xf numFmtId="0" fontId="44" fillId="0" borderId="83" xfId="0" applyFont="1" applyBorder="1" applyAlignment="1">
      <alignment vertical="center" wrapText="1"/>
    </xf>
    <xf numFmtId="0" fontId="44" fillId="0" borderId="83" xfId="0" applyFont="1" applyBorder="1" applyAlignment="1">
      <alignment horizontal="center" vertical="center" wrapText="1"/>
    </xf>
    <xf numFmtId="169" fontId="40" fillId="20" borderId="83" xfId="0" applyNumberFormat="1" applyFont="1" applyFill="1" applyBorder="1" applyAlignment="1">
      <alignment horizontal="center"/>
    </xf>
    <xf numFmtId="168" fontId="40" fillId="43" borderId="83" xfId="182" applyNumberFormat="1" applyFont="1" applyFill="1" applyBorder="1" applyAlignment="1">
      <alignment horizontal="right" indent="1"/>
    </xf>
    <xf numFmtId="0" fontId="87" fillId="0" borderId="90" xfId="0" applyFont="1" applyBorder="1" applyAlignment="1">
      <alignment vertical="justify"/>
    </xf>
    <xf numFmtId="0" fontId="0" fillId="0" borderId="83" xfId="0" applyBorder="1"/>
    <xf numFmtId="0" fontId="0" fillId="24" borderId="93" xfId="0" applyFill="1" applyBorder="1" applyAlignment="1">
      <alignment horizontal="center" vertical="center" wrapText="1"/>
    </xf>
    <xf numFmtId="0" fontId="40" fillId="20" borderId="93" xfId="0" applyFont="1" applyFill="1" applyBorder="1" applyAlignment="1">
      <alignment horizontal="center" vertical="center" wrapText="1"/>
    </xf>
    <xf numFmtId="0" fontId="40" fillId="20" borderId="95" xfId="0" applyFont="1" applyFill="1" applyBorder="1" applyAlignment="1">
      <alignment horizontal="center" vertical="center" wrapText="1"/>
    </xf>
    <xf numFmtId="0" fontId="75" fillId="0" borderId="105" xfId="0" applyFont="1" applyBorder="1" applyAlignment="1">
      <alignment horizontal="center" vertical="center" wrapText="1"/>
    </xf>
    <xf numFmtId="0" fontId="0" fillId="0" borderId="83" xfId="0" quotePrefix="1" applyBorder="1" applyAlignment="1">
      <alignment horizontal="center" vertical="center" wrapText="1"/>
    </xf>
    <xf numFmtId="0" fontId="0" fillId="0" borderId="99" xfId="0" applyBorder="1" applyAlignment="1">
      <alignment wrapText="1"/>
    </xf>
    <xf numFmtId="0" fontId="75" fillId="0" borderId="83" xfId="0" applyFont="1" applyBorder="1" applyAlignment="1">
      <alignment horizontal="center" vertical="center" wrapText="1"/>
    </xf>
    <xf numFmtId="3" fontId="0" fillId="0" borderId="83" xfId="0" applyNumberFormat="1" applyBorder="1" applyAlignment="1">
      <alignment horizontal="center" vertical="center" wrapText="1"/>
    </xf>
    <xf numFmtId="3" fontId="40" fillId="43" borderId="83" xfId="0" applyNumberFormat="1" applyFont="1" applyFill="1" applyBorder="1" applyAlignment="1">
      <alignment horizontal="center" vertical="center" wrapText="1"/>
    </xf>
    <xf numFmtId="0" fontId="24" fillId="0" borderId="99" xfId="0" applyFont="1" applyBorder="1" applyAlignment="1">
      <alignment vertical="center" wrapText="1" readingOrder="1"/>
    </xf>
    <xf numFmtId="0" fontId="43" fillId="32" borderId="83" xfId="0" applyFont="1" applyFill="1" applyBorder="1" applyAlignment="1">
      <alignment horizontal="center" vertical="center" wrapText="1" readingOrder="1"/>
    </xf>
    <xf numFmtId="0" fontId="54" fillId="20" borderId="93" xfId="0" applyFont="1" applyFill="1" applyBorder="1" applyAlignment="1">
      <alignment horizontal="center" vertical="center" wrapText="1" readingOrder="1"/>
    </xf>
    <xf numFmtId="0" fontId="54" fillId="20" borderId="94" xfId="0" applyFont="1" applyFill="1" applyBorder="1" applyAlignment="1">
      <alignment horizontal="center" vertical="center" wrapText="1" readingOrder="1"/>
    </xf>
    <xf numFmtId="0" fontId="54" fillId="20" borderId="83" xfId="0" applyFont="1" applyFill="1" applyBorder="1" applyAlignment="1">
      <alignment horizontal="center" vertical="center" wrapText="1" readingOrder="1"/>
    </xf>
    <xf numFmtId="3" fontId="54" fillId="20" borderId="93" xfId="0" applyNumberFormat="1" applyFont="1" applyFill="1" applyBorder="1" applyAlignment="1">
      <alignment horizontal="center" vertical="center" wrapText="1" readingOrder="1"/>
    </xf>
    <xf numFmtId="1" fontId="40" fillId="20" borderId="94" xfId="0" applyNumberFormat="1" applyFont="1" applyFill="1" applyBorder="1" applyAlignment="1">
      <alignment horizontal="center" vertical="center" readingOrder="1"/>
    </xf>
    <xf numFmtId="1" fontId="40" fillId="20" borderId="95" xfId="0" applyNumberFormat="1" applyFont="1" applyFill="1" applyBorder="1" applyAlignment="1">
      <alignment horizontal="center" vertical="center" readingOrder="1"/>
    </xf>
    <xf numFmtId="168" fontId="40" fillId="20" borderId="94" xfId="176" applyNumberFormat="1" applyFont="1" applyFill="1" applyBorder="1" applyAlignment="1">
      <alignment horizontal="center" vertical="center" readingOrder="1"/>
    </xf>
    <xf numFmtId="0" fontId="73" fillId="0" borderId="0" xfId="736" applyFont="1" applyAlignment="1">
      <alignment horizontal="left" vertical="center"/>
    </xf>
    <xf numFmtId="0" fontId="6" fillId="0" borderId="0" xfId="0" applyFont="1" applyAlignment="1">
      <alignment vertical="center"/>
    </xf>
    <xf numFmtId="0" fontId="177" fillId="0" borderId="0" xfId="0" applyFont="1" applyAlignment="1">
      <alignment vertical="center"/>
    </xf>
    <xf numFmtId="0" fontId="47" fillId="0" borderId="0" xfId="144" applyFont="1" applyAlignment="1">
      <alignment vertical="center"/>
    </xf>
    <xf numFmtId="0" fontId="32" fillId="0" borderId="0" xfId="227" applyFont="1" applyAlignment="1">
      <alignment vertical="center"/>
    </xf>
    <xf numFmtId="0" fontId="172" fillId="0" borderId="0" xfId="0" applyFont="1" applyAlignment="1">
      <alignment horizontal="center" vertical="center"/>
    </xf>
    <xf numFmtId="9" fontId="158" fillId="0" borderId="93" xfId="0" applyNumberFormat="1" applyFont="1" applyBorder="1" applyAlignment="1">
      <alignment horizontal="center" vertical="center" wrapText="1"/>
    </xf>
    <xf numFmtId="9" fontId="158" fillId="0" borderId="83" xfId="0" applyNumberFormat="1" applyFont="1" applyBorder="1" applyAlignment="1">
      <alignment horizontal="center" vertical="center" wrapText="1"/>
    </xf>
    <xf numFmtId="9" fontId="132" fillId="0" borderId="93" xfId="176" applyFont="1" applyBorder="1" applyAlignment="1">
      <alignment horizontal="center" vertical="center" wrapText="1"/>
    </xf>
    <xf numFmtId="0" fontId="132" fillId="0" borderId="100" xfId="0" applyFont="1" applyBorder="1" applyAlignment="1">
      <alignment vertical="center" wrapText="1"/>
    </xf>
    <xf numFmtId="3" fontId="158" fillId="0" borderId="93" xfId="0" applyNumberFormat="1" applyFont="1" applyBorder="1" applyAlignment="1">
      <alignment horizontal="center" vertical="center" wrapText="1"/>
    </xf>
    <xf numFmtId="0" fontId="158" fillId="0" borderId="83" xfId="0" applyFont="1" applyBorder="1" applyAlignment="1">
      <alignment horizontal="center" vertical="center" wrapText="1"/>
    </xf>
    <xf numFmtId="9" fontId="158" fillId="0" borderId="94" xfId="176" applyFont="1" applyBorder="1" applyAlignment="1">
      <alignment horizontal="center" vertical="center" wrapText="1"/>
    </xf>
    <xf numFmtId="9" fontId="132" fillId="0" borderId="104" xfId="0" applyNumberFormat="1" applyFont="1" applyBorder="1" applyAlignment="1">
      <alignment horizontal="center" vertical="center" wrapText="1"/>
    </xf>
    <xf numFmtId="9" fontId="158" fillId="0" borderId="104" xfId="0" applyNumberFormat="1" applyFont="1" applyBorder="1" applyAlignment="1">
      <alignment horizontal="center" vertical="center" wrapText="1"/>
    </xf>
    <xf numFmtId="171" fontId="132" fillId="0" borderId="83" xfId="0" applyNumberFormat="1" applyFont="1" applyBorder="1" applyAlignment="1">
      <alignment horizontal="center" vertical="center" wrapText="1"/>
    </xf>
    <xf numFmtId="171" fontId="158" fillId="0" borderId="83" xfId="0" applyNumberFormat="1" applyFont="1" applyBorder="1" applyAlignment="1">
      <alignment horizontal="center" vertical="center" wrapText="1"/>
    </xf>
    <xf numFmtId="168" fontId="132" fillId="0" borderId="83" xfId="0" applyNumberFormat="1" applyFont="1" applyBorder="1" applyAlignment="1">
      <alignment horizontal="center" vertical="center" wrapText="1"/>
    </xf>
    <xf numFmtId="168" fontId="158" fillId="0" borderId="83" xfId="0" applyNumberFormat="1" applyFont="1" applyBorder="1" applyAlignment="1">
      <alignment horizontal="center" vertical="center" wrapText="1"/>
    </xf>
    <xf numFmtId="0" fontId="132" fillId="0" borderId="0" xfId="0" applyFont="1" applyAlignment="1">
      <alignment vertical="center" wrapText="1"/>
    </xf>
    <xf numFmtId="9" fontId="132" fillId="0" borderId="0" xfId="0" applyNumberFormat="1" applyFont="1" applyAlignment="1">
      <alignment horizontal="center" vertical="center" wrapText="1"/>
    </xf>
    <xf numFmtId="9" fontId="132" fillId="22" borderId="100" xfId="0" applyNumberFormat="1" applyFont="1" applyFill="1" applyBorder="1" applyAlignment="1">
      <alignment horizontal="center" vertical="center" wrapText="1"/>
    </xf>
    <xf numFmtId="0" fontId="132" fillId="0" borderId="94" xfId="0" applyFont="1" applyBorder="1" applyAlignment="1">
      <alignment vertical="center" wrapText="1"/>
    </xf>
    <xf numFmtId="0" fontId="132" fillId="22" borderId="94" xfId="0" applyFont="1" applyFill="1" applyBorder="1" applyAlignment="1">
      <alignment vertical="center" wrapText="1"/>
    </xf>
    <xf numFmtId="0" fontId="132" fillId="0" borderId="101" xfId="0" applyFont="1" applyBorder="1" applyAlignment="1">
      <alignment vertical="center" wrapText="1"/>
    </xf>
    <xf numFmtId="0" fontId="158" fillId="0" borderId="102" xfId="0" applyFont="1" applyBorder="1" applyAlignment="1">
      <alignment vertical="center" wrapText="1"/>
    </xf>
    <xf numFmtId="0" fontId="133" fillId="0" borderId="102" xfId="0" applyFont="1" applyBorder="1" applyAlignment="1">
      <alignment vertical="center" wrapText="1"/>
    </xf>
    <xf numFmtId="0" fontId="132" fillId="22" borderId="101" xfId="0" applyFont="1" applyFill="1" applyBorder="1" applyAlignment="1">
      <alignment vertical="center" wrapText="1"/>
    </xf>
    <xf numFmtId="0" fontId="44" fillId="0" borderId="99" xfId="0" applyFont="1" applyBorder="1" applyAlignment="1">
      <alignment horizontal="center" vertical="center" wrapText="1"/>
    </xf>
    <xf numFmtId="0" fontId="60" fillId="0" borderId="0" xfId="0" applyFont="1" applyAlignment="1">
      <alignment vertical="center"/>
    </xf>
    <xf numFmtId="0" fontId="44" fillId="0" borderId="0" xfId="0" applyFont="1" applyAlignment="1">
      <alignment horizontal="left" vertical="center"/>
    </xf>
    <xf numFmtId="0" fontId="56"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center" vertical="center"/>
    </xf>
    <xf numFmtId="0" fontId="73" fillId="0" borderId="0" xfId="454" applyFont="1" applyAlignment="1">
      <alignment vertical="center"/>
    </xf>
    <xf numFmtId="0" fontId="32" fillId="0" borderId="0" xfId="454" applyFont="1" applyAlignment="1">
      <alignment vertical="center"/>
    </xf>
    <xf numFmtId="0" fontId="1" fillId="0" borderId="0" xfId="0" applyFont="1" applyAlignment="1">
      <alignment horizontal="left" vertical="center"/>
    </xf>
    <xf numFmtId="0" fontId="44" fillId="0" borderId="0" xfId="0" applyFont="1" applyAlignment="1">
      <alignment horizontal="center" vertical="center"/>
    </xf>
    <xf numFmtId="0" fontId="75" fillId="0" borderId="0" xfId="0" applyFont="1" applyAlignment="1">
      <alignment horizontal="center"/>
    </xf>
    <xf numFmtId="0" fontId="132" fillId="0" borderId="91" xfId="0" applyFont="1" applyBorder="1" applyAlignment="1">
      <alignment vertical="center" wrapText="1"/>
    </xf>
    <xf numFmtId="0" fontId="97" fillId="0" borderId="16" xfId="0" applyFont="1" applyBorder="1" applyAlignment="1">
      <alignment horizontal="center" vertical="center"/>
    </xf>
    <xf numFmtId="0" fontId="74" fillId="0" borderId="0" xfId="238" applyFont="1" applyAlignment="1">
      <alignment horizontal="left" vertical="top"/>
    </xf>
    <xf numFmtId="182" fontId="74" fillId="0" borderId="0" xfId="238" applyNumberFormat="1" applyFont="1" applyAlignment="1">
      <alignment horizontal="center" vertical="top"/>
    </xf>
    <xf numFmtId="185" fontId="74" fillId="0" borderId="0" xfId="238" applyNumberFormat="1" applyFont="1" applyAlignment="1">
      <alignment horizontal="center" vertical="top"/>
    </xf>
    <xf numFmtId="0" fontId="61" fillId="0" borderId="0" xfId="211" applyFont="1"/>
    <xf numFmtId="0" fontId="97" fillId="0" borderId="0" xfId="0" applyFont="1"/>
    <xf numFmtId="185" fontId="99" fillId="0" borderId="0" xfId="238" applyNumberFormat="1" applyFont="1" applyAlignment="1">
      <alignment horizontal="center" vertical="top"/>
    </xf>
    <xf numFmtId="182" fontId="99" fillId="0" borderId="0" xfId="238" applyNumberFormat="1" applyFont="1" applyAlignment="1">
      <alignment horizontal="center" vertical="top"/>
    </xf>
    <xf numFmtId="0" fontId="51" fillId="0" borderId="16" xfId="0" applyFont="1" applyBorder="1" applyAlignment="1">
      <alignment horizontal="center"/>
    </xf>
    <xf numFmtId="0" fontId="97" fillId="0" borderId="16" xfId="0" applyFont="1" applyBorder="1"/>
    <xf numFmtId="0" fontId="97" fillId="0" borderId="16" xfId="0" applyFont="1" applyBorder="1" applyAlignment="1">
      <alignment horizontal="center"/>
    </xf>
    <xf numFmtId="182" fontId="99" fillId="0" borderId="16" xfId="238" applyNumberFormat="1" applyFont="1" applyBorder="1" applyAlignment="1">
      <alignment horizontal="center" vertical="top"/>
    </xf>
    <xf numFmtId="185" fontId="99" fillId="0" borderId="16" xfId="238" applyNumberFormat="1" applyFont="1" applyBorder="1" applyAlignment="1">
      <alignment horizontal="center" vertical="top"/>
    </xf>
    <xf numFmtId="0" fontId="51" fillId="0" borderId="16" xfId="0" applyFont="1" applyBorder="1"/>
    <xf numFmtId="0" fontId="185" fillId="0" borderId="0" xfId="0" applyFont="1"/>
    <xf numFmtId="0" fontId="182" fillId="0" borderId="0" xfId="0" applyFont="1"/>
    <xf numFmtId="0" fontId="105" fillId="0" borderId="0" xfId="428" applyFont="1" applyAlignment="1">
      <alignment vertical="center"/>
    </xf>
    <xf numFmtId="0" fontId="188" fillId="0" borderId="0" xfId="451" applyFont="1" applyAlignment="1">
      <alignment vertical="center"/>
    </xf>
    <xf numFmtId="0" fontId="188" fillId="0" borderId="0" xfId="797" applyFont="1" applyAlignment="1">
      <alignment vertical="center"/>
    </xf>
    <xf numFmtId="0" fontId="1" fillId="0" borderId="0" xfId="797"/>
    <xf numFmtId="0" fontId="1" fillId="0" borderId="0" xfId="451" applyAlignment="1">
      <alignment vertical="center"/>
    </xf>
    <xf numFmtId="0" fontId="73" fillId="0" borderId="0" xfId="814" applyFont="1"/>
    <xf numFmtId="0" fontId="73" fillId="0" borderId="0" xfId="797" applyFont="1" applyAlignment="1">
      <alignment vertical="top"/>
    </xf>
    <xf numFmtId="0" fontId="134" fillId="0" borderId="0" xfId="451" applyFont="1" applyAlignment="1">
      <alignment vertical="center"/>
    </xf>
    <xf numFmtId="0" fontId="134" fillId="0" borderId="0" xfId="797" applyFont="1"/>
    <xf numFmtId="0" fontId="5" fillId="0" borderId="0" xfId="797" applyFont="1"/>
    <xf numFmtId="0" fontId="5" fillId="0" borderId="0" xfId="0" applyFont="1"/>
    <xf numFmtId="0" fontId="99" fillId="0" borderId="0" xfId="428" applyFont="1"/>
    <xf numFmtId="0" fontId="75" fillId="0" borderId="0" xfId="0" applyFont="1"/>
    <xf numFmtId="0" fontId="99" fillId="0" borderId="16" xfId="451" applyFont="1" applyBorder="1" applyAlignment="1">
      <alignment horizontal="center" vertical="center"/>
    </xf>
    <xf numFmtId="0" fontId="99" fillId="43" borderId="16" xfId="452" applyFont="1" applyFill="1" applyBorder="1" applyAlignment="1">
      <alignment horizontal="center" wrapText="1"/>
    </xf>
    <xf numFmtId="0" fontId="99" fillId="0" borderId="16" xfId="797" applyFont="1" applyBorder="1" applyAlignment="1">
      <alignment horizontal="center"/>
    </xf>
    <xf numFmtId="0" fontId="89" fillId="0" borderId="16" xfId="797" applyFont="1" applyBorder="1" applyAlignment="1">
      <alignment horizontal="center" vertical="center"/>
    </xf>
    <xf numFmtId="0" fontId="99" fillId="0" borderId="16" xfId="428" applyFont="1" applyBorder="1" applyAlignment="1">
      <alignment horizontal="center"/>
    </xf>
    <xf numFmtId="0" fontId="36" fillId="21" borderId="16" xfId="0" applyFont="1" applyFill="1" applyBorder="1" applyAlignment="1">
      <alignment horizontal="center" wrapText="1"/>
    </xf>
    <xf numFmtId="0" fontId="75" fillId="0" borderId="16" xfId="0" applyFont="1" applyBorder="1" applyAlignment="1">
      <alignment horizontal="center"/>
    </xf>
    <xf numFmtId="0" fontId="75" fillId="21" borderId="16" xfId="0" applyFont="1" applyFill="1" applyBorder="1" applyAlignment="1">
      <alignment horizontal="center" wrapText="1"/>
    </xf>
    <xf numFmtId="0" fontId="189" fillId="0" borderId="16" xfId="227" applyFont="1" applyBorder="1" applyAlignment="1">
      <alignment horizontal="center"/>
    </xf>
    <xf numFmtId="0" fontId="189" fillId="0" borderId="108" xfId="227" applyFont="1" applyBorder="1" applyAlignment="1">
      <alignment horizontal="center"/>
    </xf>
    <xf numFmtId="0" fontId="189" fillId="21" borderId="108" xfId="227" applyFont="1" applyFill="1" applyBorder="1" applyAlignment="1">
      <alignment horizontal="center" wrapText="1"/>
    </xf>
    <xf numFmtId="0" fontId="189" fillId="0" borderId="16" xfId="227" applyFont="1" applyBorder="1" applyAlignment="1">
      <alignment horizontal="center" wrapText="1"/>
    </xf>
    <xf numFmtId="0" fontId="74" fillId="0" borderId="0" xfId="451" applyFont="1" applyAlignment="1">
      <alignment horizontal="center" vertical="center"/>
    </xf>
    <xf numFmtId="0" fontId="74" fillId="0" borderId="0" xfId="451" applyFont="1" applyAlignment="1">
      <alignment vertical="center"/>
    </xf>
    <xf numFmtId="0" fontId="74" fillId="0" borderId="0" xfId="451" applyFont="1" applyAlignment="1">
      <alignment horizontal="left" vertical="center"/>
    </xf>
    <xf numFmtId="182" fontId="74" fillId="47" borderId="0" xfId="451" applyNumberFormat="1" applyFont="1" applyFill="1" applyAlignment="1">
      <alignment horizontal="center" vertical="center"/>
    </xf>
    <xf numFmtId="0" fontId="74" fillId="47" borderId="0" xfId="451" applyFont="1" applyFill="1" applyAlignment="1">
      <alignment horizontal="center" vertical="center"/>
    </xf>
    <xf numFmtId="182" fontId="74" fillId="0" borderId="0" xfId="451" applyNumberFormat="1" applyFont="1" applyAlignment="1">
      <alignment horizontal="center" vertical="center"/>
    </xf>
    <xf numFmtId="0" fontId="74" fillId="0" borderId="0" xfId="797" applyFont="1" applyAlignment="1">
      <alignment horizontal="center" vertical="center"/>
    </xf>
    <xf numFmtId="0" fontId="74" fillId="0" borderId="0" xfId="797" applyFont="1" applyAlignment="1">
      <alignment vertical="top"/>
    </xf>
    <xf numFmtId="0" fontId="74" fillId="0" borderId="0" xfId="797" applyFont="1" applyAlignment="1">
      <alignment horizontal="left" vertical="top"/>
    </xf>
    <xf numFmtId="182" fontId="74" fillId="48" borderId="0" xfId="797" applyNumberFormat="1" applyFont="1" applyFill="1" applyAlignment="1">
      <alignment horizontal="center" vertical="top"/>
    </xf>
    <xf numFmtId="0" fontId="74" fillId="48" borderId="0" xfId="797" applyFont="1" applyFill="1" applyAlignment="1">
      <alignment horizontal="center" vertical="top"/>
    </xf>
    <xf numFmtId="0" fontId="74" fillId="0" borderId="0" xfId="797" applyFont="1" applyAlignment="1">
      <alignment horizontal="center" vertical="top"/>
    </xf>
    <xf numFmtId="182" fontId="74" fillId="0" borderId="0" xfId="797" applyNumberFormat="1" applyFont="1" applyAlignment="1">
      <alignment horizontal="center" vertical="top"/>
    </xf>
    <xf numFmtId="10" fontId="89" fillId="0" borderId="0" xfId="176" applyNumberFormat="1" applyFont="1" applyAlignment="1">
      <alignment horizontal="center"/>
    </xf>
    <xf numFmtId="0" fontId="74" fillId="0" borderId="0" xfId="428" applyFont="1" applyAlignment="1">
      <alignment vertical="top"/>
    </xf>
    <xf numFmtId="0" fontId="74" fillId="0" borderId="0" xfId="428" applyFont="1" applyAlignment="1">
      <alignment horizontal="left" vertical="top"/>
    </xf>
    <xf numFmtId="0" fontId="74" fillId="0" borderId="0" xfId="428" applyFont="1" applyAlignment="1">
      <alignment horizontal="center" vertical="top"/>
    </xf>
    <xf numFmtId="182" fontId="74" fillId="0" borderId="0" xfId="428" applyNumberFormat="1" applyFont="1" applyAlignment="1">
      <alignment horizontal="center" vertical="top"/>
    </xf>
    <xf numFmtId="0" fontId="0" fillId="21" borderId="0" xfId="0" applyFill="1"/>
    <xf numFmtId="0" fontId="41" fillId="0" borderId="0" xfId="227" applyFont="1"/>
    <xf numFmtId="0" fontId="41" fillId="0" borderId="0" xfId="227" applyFont="1" applyAlignment="1">
      <alignment horizontal="center" vertical="center"/>
    </xf>
    <xf numFmtId="0" fontId="189" fillId="0" borderId="0" xfId="227" applyFont="1" applyAlignment="1">
      <alignment horizontal="center"/>
    </xf>
    <xf numFmtId="0" fontId="189" fillId="0" borderId="0" xfId="227" applyFont="1"/>
    <xf numFmtId="10" fontId="189" fillId="0" borderId="0" xfId="228" applyNumberFormat="1" applyFont="1"/>
    <xf numFmtId="0" fontId="99" fillId="0" borderId="0" xfId="451" applyFont="1" applyAlignment="1">
      <alignment vertical="center"/>
    </xf>
    <xf numFmtId="182" fontId="99" fillId="47" borderId="0" xfId="451" applyNumberFormat="1" applyFont="1" applyFill="1" applyAlignment="1">
      <alignment horizontal="center" vertical="center"/>
    </xf>
    <xf numFmtId="0" fontId="99" fillId="47" borderId="0" xfId="451" applyFont="1" applyFill="1" applyAlignment="1">
      <alignment horizontal="center" vertical="center"/>
    </xf>
    <xf numFmtId="0" fontId="99" fillId="0" borderId="0" xfId="451" applyFont="1" applyAlignment="1">
      <alignment horizontal="center" vertical="center"/>
    </xf>
    <xf numFmtId="182" fontId="99" fillId="0" borderId="0" xfId="451" applyNumberFormat="1" applyFont="1" applyAlignment="1">
      <alignment horizontal="center" vertical="center"/>
    </xf>
    <xf numFmtId="10" fontId="99" fillId="0" borderId="0" xfId="176" applyNumberFormat="1" applyFont="1" applyAlignment="1">
      <alignment horizontal="center" vertical="center"/>
    </xf>
    <xf numFmtId="0" fontId="99" fillId="0" borderId="0" xfId="797" applyFont="1" applyAlignment="1">
      <alignment vertical="top"/>
    </xf>
    <xf numFmtId="182" fontId="99" fillId="48" borderId="0" xfId="797" applyNumberFormat="1" applyFont="1" applyFill="1" applyAlignment="1">
      <alignment horizontal="center" vertical="top"/>
    </xf>
    <xf numFmtId="0" fontId="99" fillId="48" borderId="0" xfId="797" applyFont="1" applyFill="1" applyAlignment="1">
      <alignment horizontal="center" vertical="top"/>
    </xf>
    <xf numFmtId="0" fontId="99" fillId="0" borderId="0" xfId="797" applyFont="1" applyAlignment="1">
      <alignment horizontal="center" vertical="top"/>
    </xf>
    <xf numFmtId="182" fontId="99" fillId="0" borderId="0" xfId="797" applyNumberFormat="1" applyFont="1" applyAlignment="1">
      <alignment horizontal="center" vertical="top"/>
    </xf>
    <xf numFmtId="0" fontId="99" fillId="0" borderId="0" xfId="428" applyFont="1" applyAlignment="1">
      <alignment vertical="top"/>
    </xf>
    <xf numFmtId="0" fontId="99" fillId="0" borderId="0" xfId="428" applyFont="1" applyAlignment="1">
      <alignment horizontal="center" vertical="top"/>
    </xf>
    <xf numFmtId="182" fontId="99" fillId="0" borderId="0" xfId="428" applyNumberFormat="1" applyFont="1" applyAlignment="1">
      <alignment horizontal="center" vertical="top"/>
    </xf>
    <xf numFmtId="10" fontId="89" fillId="21" borderId="0" xfId="176" applyNumberFormat="1" applyFont="1" applyFill="1" applyAlignment="1">
      <alignment horizontal="center"/>
    </xf>
    <xf numFmtId="10" fontId="75" fillId="0" borderId="0" xfId="176" applyNumberFormat="1" applyFont="1"/>
    <xf numFmtId="10" fontId="74" fillId="0" borderId="0" xfId="176" applyNumberFormat="1" applyFont="1" applyAlignment="1">
      <alignment horizontal="center" vertical="center"/>
    </xf>
    <xf numFmtId="9" fontId="75" fillId="0" borderId="0" xfId="176" applyFont="1"/>
    <xf numFmtId="0" fontId="189" fillId="0" borderId="16" xfId="227" applyFont="1" applyBorder="1"/>
    <xf numFmtId="0" fontId="189" fillId="0" borderId="16" xfId="227" applyFont="1" applyBorder="1" applyAlignment="1">
      <alignment horizontal="center" vertical="center"/>
    </xf>
    <xf numFmtId="10" fontId="189" fillId="0" borderId="16" xfId="228" applyNumberFormat="1" applyFont="1" applyBorder="1"/>
    <xf numFmtId="0" fontId="50" fillId="0" borderId="16" xfId="0" applyFont="1" applyBorder="1" applyAlignment="1">
      <alignment horizontal="center"/>
    </xf>
    <xf numFmtId="0" fontId="50" fillId="0" borderId="16" xfId="0" applyFont="1" applyBorder="1"/>
    <xf numFmtId="0" fontId="75" fillId="0" borderId="16" xfId="0" applyFont="1" applyBorder="1"/>
    <xf numFmtId="9" fontId="75" fillId="0" borderId="16" xfId="176" applyFont="1" applyBorder="1"/>
    <xf numFmtId="0" fontId="74" fillId="40" borderId="0" xfId="451" applyFont="1" applyFill="1" applyAlignment="1">
      <alignment vertical="center"/>
    </xf>
    <xf numFmtId="0" fontId="74" fillId="40" borderId="0" xfId="451" applyFont="1" applyFill="1" applyAlignment="1">
      <alignment horizontal="left" vertical="center"/>
    </xf>
    <xf numFmtId="182" fontId="74" fillId="40" borderId="0" xfId="451" applyNumberFormat="1" applyFont="1" applyFill="1" applyAlignment="1">
      <alignment horizontal="center" vertical="center"/>
    </xf>
    <xf numFmtId="0" fontId="51" fillId="40" borderId="0" xfId="0" applyFont="1" applyFill="1"/>
    <xf numFmtId="0" fontId="99" fillId="40" borderId="0" xfId="451" applyFont="1" applyFill="1" applyAlignment="1">
      <alignment vertical="center"/>
    </xf>
    <xf numFmtId="182" fontId="99" fillId="40" borderId="0" xfId="451" applyNumberFormat="1" applyFont="1" applyFill="1" applyAlignment="1">
      <alignment horizontal="center" vertical="center"/>
    </xf>
    <xf numFmtId="9" fontId="99" fillId="40" borderId="0" xfId="176" applyFont="1" applyFill="1" applyAlignment="1">
      <alignment horizontal="center" vertical="center"/>
    </xf>
    <xf numFmtId="0" fontId="74" fillId="0" borderId="16" xfId="428" applyFont="1" applyBorder="1" applyAlignment="1">
      <alignment vertical="top"/>
    </xf>
    <xf numFmtId="0" fontId="99" fillId="0" borderId="16" xfId="428" applyFont="1" applyBorder="1" applyAlignment="1">
      <alignment vertical="top"/>
    </xf>
    <xf numFmtId="182" fontId="99" fillId="0" borderId="16" xfId="428" applyNumberFormat="1" applyFont="1" applyBorder="1" applyAlignment="1">
      <alignment horizontal="center" vertical="top"/>
    </xf>
    <xf numFmtId="0" fontId="99" fillId="0" borderId="16" xfId="428" applyFont="1" applyBorder="1" applyAlignment="1">
      <alignment horizontal="center" vertical="top"/>
    </xf>
    <xf numFmtId="10" fontId="89" fillId="21" borderId="16" xfId="176" applyNumberFormat="1" applyFont="1" applyFill="1" applyBorder="1" applyAlignment="1">
      <alignment horizontal="center"/>
    </xf>
    <xf numFmtId="0" fontId="99" fillId="0" borderId="16" xfId="428" applyFont="1" applyBorder="1" applyAlignment="1">
      <alignment horizontal="center" vertical="center"/>
    </xf>
    <xf numFmtId="0" fontId="36" fillId="21" borderId="16" xfId="0" applyFont="1" applyFill="1" applyBorder="1" applyAlignment="1">
      <alignment horizontal="center" vertical="center" wrapText="1"/>
    </xf>
    <xf numFmtId="0" fontId="75" fillId="0" borderId="16" xfId="0" applyFont="1" applyBorder="1" applyAlignment="1">
      <alignment horizontal="center" wrapText="1"/>
    </xf>
    <xf numFmtId="0" fontId="189" fillId="0" borderId="16" xfId="227" applyFont="1" applyBorder="1" applyAlignment="1">
      <alignment vertical="center" wrapText="1"/>
    </xf>
    <xf numFmtId="0" fontId="189" fillId="0" borderId="108" xfId="227" applyFont="1" applyBorder="1" applyAlignment="1">
      <alignment vertical="center" wrapText="1"/>
    </xf>
    <xf numFmtId="0" fontId="74" fillId="0" borderId="16" xfId="797" applyFont="1" applyBorder="1" applyAlignment="1">
      <alignment horizontal="center" vertical="center"/>
    </xf>
    <xf numFmtId="0" fontId="74" fillId="0" borderId="16" xfId="797" applyFont="1" applyBorder="1" applyAlignment="1">
      <alignment vertical="top"/>
    </xf>
    <xf numFmtId="0" fontId="99" fillId="0" borderId="16" xfId="797" applyFont="1" applyBorder="1" applyAlignment="1">
      <alignment vertical="top"/>
    </xf>
    <xf numFmtId="182" fontId="99" fillId="48" borderId="16" xfId="797" applyNumberFormat="1" applyFont="1" applyFill="1" applyBorder="1" applyAlignment="1">
      <alignment horizontal="center" vertical="top"/>
    </xf>
    <xf numFmtId="182" fontId="99" fillId="0" borderId="16" xfId="797" applyNumberFormat="1" applyFont="1" applyBorder="1" applyAlignment="1">
      <alignment horizontal="center" vertical="top"/>
    </xf>
    <xf numFmtId="10" fontId="89" fillId="43" borderId="16" xfId="176" applyNumberFormat="1" applyFont="1" applyFill="1" applyBorder="1" applyAlignment="1">
      <alignment horizontal="center"/>
    </xf>
    <xf numFmtId="0" fontId="189" fillId="0" borderId="16" xfId="227" applyFont="1" applyBorder="1" applyAlignment="1">
      <alignment horizontal="center" vertical="center" wrapText="1"/>
    </xf>
    <xf numFmtId="0" fontId="189" fillId="0" borderId="108" xfId="227" applyFont="1" applyBorder="1" applyAlignment="1">
      <alignment horizontal="center" vertical="center" wrapText="1"/>
    </xf>
    <xf numFmtId="10" fontId="75" fillId="0" borderId="0" xfId="0" applyNumberFormat="1" applyFont="1"/>
    <xf numFmtId="0" fontId="99" fillId="0" borderId="16" xfId="451" applyFont="1" applyBorder="1" applyAlignment="1">
      <alignment vertical="center"/>
    </xf>
    <xf numFmtId="182" fontId="99" fillId="47" borderId="16" xfId="451" applyNumberFormat="1" applyFont="1" applyFill="1" applyBorder="1" applyAlignment="1">
      <alignment horizontal="center" vertical="center"/>
    </xf>
    <xf numFmtId="182" fontId="99" fillId="0" borderId="16" xfId="451" applyNumberFormat="1" applyFont="1" applyBorder="1" applyAlignment="1">
      <alignment horizontal="center" vertical="center"/>
    </xf>
    <xf numFmtId="10" fontId="99" fillId="43" borderId="16" xfId="176" applyNumberFormat="1" applyFont="1" applyFill="1" applyBorder="1" applyAlignment="1">
      <alignment horizontal="center" vertical="center"/>
    </xf>
    <xf numFmtId="0" fontId="36" fillId="0" borderId="0" xfId="211" applyFont="1"/>
    <xf numFmtId="182" fontId="0" fillId="0" borderId="0" xfId="0" applyNumberFormat="1" applyAlignment="1">
      <alignment vertical="center"/>
    </xf>
    <xf numFmtId="10" fontId="75" fillId="0" borderId="16" xfId="0" applyNumberFormat="1" applyFont="1" applyBorder="1"/>
    <xf numFmtId="0" fontId="189" fillId="0" borderId="0" xfId="227" applyFont="1" applyAlignment="1">
      <alignment horizontal="center" vertical="center"/>
    </xf>
    <xf numFmtId="0" fontId="189" fillId="0" borderId="108" xfId="227" applyFont="1" applyBorder="1"/>
    <xf numFmtId="0" fontId="189" fillId="0" borderId="16" xfId="227" applyFont="1" applyBorder="1" applyAlignment="1">
      <alignment horizontal="right"/>
    </xf>
    <xf numFmtId="10" fontId="75" fillId="21" borderId="16" xfId="176" applyNumberFormat="1" applyFont="1" applyFill="1" applyBorder="1"/>
    <xf numFmtId="168" fontId="189" fillId="21" borderId="16" xfId="228" applyNumberFormat="1" applyFont="1" applyFill="1" applyBorder="1"/>
    <xf numFmtId="0" fontId="189" fillId="21" borderId="16" xfId="227" applyFont="1" applyFill="1" applyBorder="1" applyAlignment="1">
      <alignment horizontal="center"/>
    </xf>
    <xf numFmtId="0" fontId="90" fillId="0" borderId="0" xfId="211" applyFont="1"/>
    <xf numFmtId="0" fontId="104" fillId="0" borderId="0" xfId="0" applyFont="1"/>
    <xf numFmtId="0" fontId="41" fillId="0" borderId="0" xfId="211" applyFont="1"/>
    <xf numFmtId="0" fontId="49" fillId="0" borderId="0" xfId="0" applyFont="1"/>
    <xf numFmtId="0" fontId="188" fillId="0" borderId="0" xfId="453" applyFont="1" applyAlignment="1">
      <alignment vertical="center"/>
    </xf>
    <xf numFmtId="0" fontId="188" fillId="0" borderId="0" xfId="239" applyFont="1" applyAlignment="1">
      <alignment vertical="center"/>
    </xf>
    <xf numFmtId="0" fontId="1" fillId="0" borderId="0" xfId="453"/>
    <xf numFmtId="0" fontId="73" fillId="0" borderId="0" xfId="239" applyFont="1" applyAlignment="1">
      <alignment vertical="top"/>
    </xf>
    <xf numFmtId="0" fontId="134" fillId="0" borderId="0" xfId="453" applyFont="1"/>
    <xf numFmtId="0" fontId="134" fillId="0" borderId="0" xfId="239" applyFont="1"/>
    <xf numFmtId="0" fontId="99" fillId="0" borderId="0" xfId="173" applyFont="1"/>
    <xf numFmtId="0" fontId="99" fillId="0" borderId="16" xfId="453" applyFont="1" applyBorder="1" applyAlignment="1">
      <alignment horizontal="center" vertical="center"/>
    </xf>
    <xf numFmtId="0" fontId="99" fillId="43" borderId="16" xfId="452" applyFont="1" applyFill="1" applyBorder="1" applyAlignment="1">
      <alignment horizontal="center" vertical="center" wrapText="1"/>
    </xf>
    <xf numFmtId="0" fontId="99" fillId="0" borderId="16" xfId="239" applyFont="1" applyBorder="1" applyAlignment="1">
      <alignment horizontal="center"/>
    </xf>
    <xf numFmtId="0" fontId="183" fillId="43" borderId="16" xfId="797" applyFont="1" applyFill="1" applyBorder="1" applyAlignment="1">
      <alignment horizontal="center" vertical="center"/>
    </xf>
    <xf numFmtId="0" fontId="99" fillId="0" borderId="16" xfId="173" applyFont="1" applyBorder="1" applyAlignment="1">
      <alignment horizontal="center"/>
    </xf>
    <xf numFmtId="0" fontId="189" fillId="0" borderId="108" xfId="227" applyFont="1" applyBorder="1" applyAlignment="1">
      <alignment horizontal="center" wrapText="1"/>
    </xf>
    <xf numFmtId="0" fontId="74" fillId="0" borderId="0" xfId="453" applyFont="1" applyAlignment="1">
      <alignment horizontal="center" vertical="center"/>
    </xf>
    <xf numFmtId="0" fontId="74" fillId="0" borderId="0" xfId="453" applyFont="1" applyAlignment="1">
      <alignment vertical="top"/>
    </xf>
    <xf numFmtId="0" fontId="74" fillId="0" borderId="0" xfId="453" applyFont="1" applyAlignment="1">
      <alignment horizontal="left" vertical="top"/>
    </xf>
    <xf numFmtId="0" fontId="74" fillId="42" borderId="0" xfId="453" applyFont="1" applyFill="1" applyAlignment="1">
      <alignment horizontal="center" vertical="center"/>
    </xf>
    <xf numFmtId="182" fontId="74" fillId="42" borderId="0" xfId="453" applyNumberFormat="1" applyFont="1" applyFill="1" applyAlignment="1">
      <alignment horizontal="center" vertical="center"/>
    </xf>
    <xf numFmtId="182" fontId="74" fillId="0" borderId="0" xfId="453" applyNumberFormat="1" applyFont="1" applyAlignment="1">
      <alignment horizontal="center" vertical="center"/>
    </xf>
    <xf numFmtId="0" fontId="74" fillId="0" borderId="0" xfId="239" applyFont="1" applyAlignment="1">
      <alignment vertical="top"/>
    </xf>
    <xf numFmtId="0" fontId="74" fillId="0" borderId="0" xfId="239" applyFont="1" applyAlignment="1">
      <alignment horizontal="left" vertical="top"/>
    </xf>
    <xf numFmtId="0" fontId="74" fillId="48" borderId="0" xfId="239" applyFont="1" applyFill="1" applyAlignment="1">
      <alignment horizontal="center" vertical="top"/>
    </xf>
    <xf numFmtId="182" fontId="74" fillId="48" borderId="0" xfId="239" applyNumberFormat="1" applyFont="1" applyFill="1" applyAlignment="1">
      <alignment horizontal="center" vertical="top"/>
    </xf>
    <xf numFmtId="0" fontId="74" fillId="0" borderId="0" xfId="239" applyFont="1" applyAlignment="1">
      <alignment horizontal="center" vertical="top"/>
    </xf>
    <xf numFmtId="182" fontId="74" fillId="0" borderId="0" xfId="239" applyNumberFormat="1" applyFont="1" applyAlignment="1">
      <alignment horizontal="center" vertical="top"/>
    </xf>
    <xf numFmtId="10" fontId="99" fillId="0" borderId="0" xfId="176" applyNumberFormat="1" applyFont="1" applyAlignment="1">
      <alignment horizontal="center" vertical="top"/>
    </xf>
    <xf numFmtId="0" fontId="74" fillId="0" borderId="0" xfId="173" applyFont="1" applyAlignment="1">
      <alignment vertical="top"/>
    </xf>
    <xf numFmtId="0" fontId="74" fillId="0" borderId="0" xfId="173" applyFont="1" applyAlignment="1">
      <alignment horizontal="left" vertical="top"/>
    </xf>
    <xf numFmtId="0" fontId="74" fillId="0" borderId="0" xfId="173" applyFont="1" applyAlignment="1">
      <alignment horizontal="center" vertical="top"/>
    </xf>
    <xf numFmtId="182" fontId="74" fillId="0" borderId="0" xfId="173" applyNumberFormat="1" applyFont="1" applyAlignment="1">
      <alignment horizontal="center" vertical="top"/>
    </xf>
    <xf numFmtId="1" fontId="50" fillId="0" borderId="0" xfId="228" applyNumberFormat="1" applyFont="1" applyAlignment="1">
      <alignment horizontal="center"/>
    </xf>
    <xf numFmtId="0" fontId="99" fillId="0" borderId="0" xfId="239" applyFont="1" applyAlignment="1">
      <alignment vertical="top"/>
    </xf>
    <xf numFmtId="0" fontId="99" fillId="48" borderId="0" xfId="239" applyFont="1" applyFill="1" applyAlignment="1">
      <alignment horizontal="center" vertical="top"/>
    </xf>
    <xf numFmtId="182" fontId="99" fillId="48" borderId="0" xfId="239" applyNumberFormat="1" applyFont="1" applyFill="1" applyAlignment="1">
      <alignment horizontal="center" vertical="top"/>
    </xf>
    <xf numFmtId="0" fontId="99" fillId="0" borderId="0" xfId="239" applyFont="1" applyAlignment="1">
      <alignment horizontal="center" vertical="top"/>
    </xf>
    <xf numFmtId="182" fontId="99" fillId="0" borderId="0" xfId="239" applyNumberFormat="1" applyFont="1" applyAlignment="1">
      <alignment horizontal="center" vertical="top"/>
    </xf>
    <xf numFmtId="0" fontId="99" fillId="0" borderId="0" xfId="173" applyFont="1" applyAlignment="1">
      <alignment vertical="top"/>
    </xf>
    <xf numFmtId="0" fontId="99" fillId="0" borderId="0" xfId="173" applyFont="1" applyAlignment="1">
      <alignment horizontal="center" vertical="top"/>
    </xf>
    <xf numFmtId="182" fontId="99" fillId="0" borderId="0" xfId="173" applyNumberFormat="1" applyFont="1" applyAlignment="1">
      <alignment horizontal="center" vertical="top"/>
    </xf>
    <xf numFmtId="10" fontId="99" fillId="21" borderId="0" xfId="176" applyNumberFormat="1" applyFont="1" applyFill="1" applyAlignment="1">
      <alignment horizontal="center" vertical="top"/>
    </xf>
    <xf numFmtId="10" fontId="189" fillId="0" borderId="0" xfId="228" applyNumberFormat="1" applyFont="1" applyAlignment="1">
      <alignment horizontal="center"/>
    </xf>
    <xf numFmtId="0" fontId="99" fillId="0" borderId="0" xfId="453" applyFont="1" applyAlignment="1">
      <alignment vertical="top"/>
    </xf>
    <xf numFmtId="0" fontId="99" fillId="42" borderId="0" xfId="453" applyFont="1" applyFill="1" applyAlignment="1">
      <alignment horizontal="center" vertical="center"/>
    </xf>
    <xf numFmtId="182" fontId="99" fillId="42" borderId="0" xfId="453" applyNumberFormat="1" applyFont="1" applyFill="1" applyAlignment="1">
      <alignment horizontal="center" vertical="center"/>
    </xf>
    <xf numFmtId="0" fontId="99" fillId="0" borderId="0" xfId="453" applyFont="1" applyAlignment="1">
      <alignment horizontal="center" vertical="center"/>
    </xf>
    <xf numFmtId="182" fontId="99" fillId="0" borderId="0" xfId="453" applyNumberFormat="1" applyFont="1" applyAlignment="1">
      <alignment horizontal="center" vertical="center"/>
    </xf>
    <xf numFmtId="10" fontId="97" fillId="0" borderId="0" xfId="176" applyNumberFormat="1" applyFont="1" applyAlignment="1">
      <alignment horizontal="center"/>
    </xf>
    <xf numFmtId="0" fontId="41" fillId="0" borderId="16" xfId="227" applyFont="1" applyBorder="1"/>
    <xf numFmtId="10" fontId="189" fillId="0" borderId="16" xfId="228" applyNumberFormat="1" applyFont="1" applyBorder="1" applyAlignment="1">
      <alignment horizontal="center"/>
    </xf>
    <xf numFmtId="0" fontId="74" fillId="0" borderId="16" xfId="173" applyFont="1" applyBorder="1" applyAlignment="1">
      <alignment vertical="top"/>
    </xf>
    <xf numFmtId="0" fontId="99" fillId="0" borderId="16" xfId="173" applyFont="1" applyBorder="1" applyAlignment="1">
      <alignment vertical="top"/>
    </xf>
    <xf numFmtId="0" fontId="99" fillId="0" borderId="16" xfId="173" applyFont="1" applyBorder="1" applyAlignment="1">
      <alignment horizontal="center" vertical="top"/>
    </xf>
    <xf numFmtId="182" fontId="99" fillId="0" borderId="16" xfId="173" applyNumberFormat="1" applyFont="1" applyBorder="1" applyAlignment="1">
      <alignment horizontal="center" vertical="top"/>
    </xf>
    <xf numFmtId="10" fontId="99" fillId="21" borderId="16" xfId="176" applyNumberFormat="1" applyFont="1" applyFill="1" applyBorder="1" applyAlignment="1">
      <alignment horizontal="center" vertical="top"/>
    </xf>
    <xf numFmtId="10" fontId="75" fillId="0" borderId="16" xfId="176" applyNumberFormat="1" applyFont="1" applyBorder="1"/>
    <xf numFmtId="0" fontId="41" fillId="0" borderId="0" xfId="227" applyFont="1" applyAlignment="1">
      <alignment vertical="center" wrapText="1"/>
    </xf>
    <xf numFmtId="0" fontId="74" fillId="0" borderId="16" xfId="239" applyFont="1" applyBorder="1" applyAlignment="1">
      <alignment vertical="top"/>
    </xf>
    <xf numFmtId="0" fontId="99" fillId="0" borderId="16" xfId="239" applyFont="1" applyBorder="1" applyAlignment="1">
      <alignment vertical="top"/>
    </xf>
    <xf numFmtId="182" fontId="99" fillId="48" borderId="16" xfId="239" applyNumberFormat="1" applyFont="1" applyFill="1" applyBorder="1" applyAlignment="1">
      <alignment horizontal="center" vertical="top"/>
    </xf>
    <xf numFmtId="182" fontId="99" fillId="0" borderId="16" xfId="239" applyNumberFormat="1" applyFont="1" applyBorder="1" applyAlignment="1">
      <alignment horizontal="center" vertical="top"/>
    </xf>
    <xf numFmtId="10" fontId="99" fillId="43" borderId="16" xfId="176" applyNumberFormat="1" applyFont="1" applyFill="1" applyBorder="1" applyAlignment="1">
      <alignment horizontal="center" vertical="top"/>
    </xf>
    <xf numFmtId="0" fontId="99" fillId="0" borderId="16" xfId="173" applyFont="1" applyBorder="1" applyAlignment="1">
      <alignment horizontal="center" vertical="center"/>
    </xf>
    <xf numFmtId="0" fontId="75" fillId="0" borderId="16" xfId="0" applyFont="1" applyBorder="1" applyAlignment="1">
      <alignment vertical="center" wrapText="1"/>
    </xf>
    <xf numFmtId="0" fontId="74" fillId="0" borderId="0" xfId="173" applyFont="1" applyAlignment="1">
      <alignment horizontal="center" vertical="center"/>
    </xf>
    <xf numFmtId="0" fontId="36" fillId="0" borderId="0" xfId="211" applyFont="1" applyAlignment="1">
      <alignment horizontal="left"/>
    </xf>
    <xf numFmtId="0" fontId="90" fillId="0" borderId="0" xfId="211" applyFont="1" applyAlignment="1">
      <alignment horizontal="left"/>
    </xf>
    <xf numFmtId="0" fontId="1" fillId="0" borderId="0" xfId="227"/>
    <xf numFmtId="0" fontId="1" fillId="0" borderId="0" xfId="227" applyAlignment="1">
      <alignment horizontal="center" vertical="center"/>
    </xf>
    <xf numFmtId="0" fontId="74" fillId="0" borderId="16" xfId="453" applyFont="1" applyBorder="1" applyAlignment="1">
      <alignment horizontal="center" vertical="center"/>
    </xf>
    <xf numFmtId="0" fontId="74" fillId="0" borderId="16" xfId="453" applyFont="1" applyBorder="1" applyAlignment="1">
      <alignment vertical="top"/>
    </xf>
    <xf numFmtId="0" fontId="99" fillId="0" borderId="16" xfId="453" applyFont="1" applyBorder="1" applyAlignment="1">
      <alignment vertical="top"/>
    </xf>
    <xf numFmtId="182" fontId="99" fillId="42" borderId="16" xfId="453" applyNumberFormat="1" applyFont="1" applyFill="1" applyBorder="1" applyAlignment="1">
      <alignment horizontal="center" vertical="center"/>
    </xf>
    <xf numFmtId="182" fontId="99" fillId="0" borderId="16" xfId="453" applyNumberFormat="1" applyFont="1" applyBorder="1" applyAlignment="1">
      <alignment horizontal="center" vertical="center"/>
    </xf>
    <xf numFmtId="10" fontId="97" fillId="43" borderId="16" xfId="176" applyNumberFormat="1" applyFont="1" applyFill="1" applyBorder="1" applyAlignment="1">
      <alignment horizontal="center"/>
    </xf>
    <xf numFmtId="0" fontId="74" fillId="0" borderId="0" xfId="452" applyFont="1" applyAlignment="1">
      <alignment vertical="center"/>
    </xf>
    <xf numFmtId="0" fontId="188" fillId="0" borderId="0" xfId="428" applyFont="1" applyAlignment="1">
      <alignment vertical="center"/>
    </xf>
    <xf numFmtId="0" fontId="61" fillId="0" borderId="0" xfId="452" applyFont="1"/>
    <xf numFmtId="0" fontId="134" fillId="0" borderId="0" xfId="814" applyFont="1"/>
    <xf numFmtId="0" fontId="73" fillId="0" borderId="0" xfId="428" applyFont="1" applyAlignment="1">
      <alignment vertical="top"/>
    </xf>
    <xf numFmtId="0" fontId="99" fillId="0" borderId="0" xfId="452" applyFont="1"/>
    <xf numFmtId="0" fontId="89" fillId="0" borderId="0" xfId="0" applyFont="1"/>
    <xf numFmtId="0" fontId="99" fillId="0" borderId="0" xfId="238" applyFont="1"/>
    <xf numFmtId="0" fontId="99" fillId="0" borderId="16" xfId="452" applyFont="1" applyBorder="1" applyAlignment="1">
      <alignment horizontal="center" vertical="center"/>
    </xf>
    <xf numFmtId="0" fontId="99" fillId="0" borderId="16" xfId="238" applyFont="1" applyBorder="1" applyAlignment="1">
      <alignment horizontal="center"/>
    </xf>
    <xf numFmtId="0" fontId="89" fillId="21" borderId="16" xfId="0" applyFont="1" applyFill="1" applyBorder="1" applyAlignment="1">
      <alignment horizontal="center" wrapText="1"/>
    </xf>
    <xf numFmtId="0" fontId="97" fillId="21" borderId="16" xfId="0" applyFont="1" applyFill="1" applyBorder="1" applyAlignment="1">
      <alignment horizontal="center" wrapText="1"/>
    </xf>
    <xf numFmtId="0" fontId="184" fillId="0" borderId="108" xfId="227" applyFont="1" applyBorder="1" applyAlignment="1">
      <alignment horizontal="center"/>
    </xf>
    <xf numFmtId="0" fontId="184" fillId="0" borderId="108" xfId="227" applyFont="1" applyBorder="1" applyAlignment="1">
      <alignment horizontal="center" wrapText="1"/>
    </xf>
    <xf numFmtId="0" fontId="184" fillId="0" borderId="16" xfId="227" applyFont="1" applyBorder="1" applyAlignment="1">
      <alignment horizontal="center" wrapText="1"/>
    </xf>
    <xf numFmtId="0" fontId="74" fillId="0" borderId="0" xfId="452" applyFont="1" applyAlignment="1">
      <alignment vertical="top"/>
    </xf>
    <xf numFmtId="0" fontId="74" fillId="0" borderId="0" xfId="452" applyFont="1" applyAlignment="1">
      <alignment horizontal="left" vertical="top"/>
    </xf>
    <xf numFmtId="0" fontId="74" fillId="49" borderId="0" xfId="452" applyFont="1" applyFill="1" applyAlignment="1">
      <alignment horizontal="center" vertical="center"/>
    </xf>
    <xf numFmtId="182" fontId="74" fillId="49" borderId="0" xfId="452" applyNumberFormat="1" applyFont="1" applyFill="1" applyAlignment="1">
      <alignment horizontal="center" vertical="center"/>
    </xf>
    <xf numFmtId="0" fontId="74" fillId="0" borderId="0" xfId="452" applyFont="1" applyAlignment="1">
      <alignment horizontal="center" vertical="center"/>
    </xf>
    <xf numFmtId="182" fontId="74" fillId="0" borderId="0" xfId="452" applyNumberFormat="1" applyFont="1" applyAlignment="1">
      <alignment horizontal="center" vertical="center"/>
    </xf>
    <xf numFmtId="0" fontId="74" fillId="48" borderId="0" xfId="428" applyFont="1" applyFill="1" applyAlignment="1">
      <alignment horizontal="center"/>
    </xf>
    <xf numFmtId="182" fontId="74" fillId="48" borderId="0" xfId="428" applyNumberFormat="1" applyFont="1" applyFill="1" applyAlignment="1">
      <alignment horizontal="center"/>
    </xf>
    <xf numFmtId="0" fontId="74" fillId="0" borderId="0" xfId="428" applyFont="1" applyAlignment="1">
      <alignment horizontal="center"/>
    </xf>
    <xf numFmtId="182" fontId="74" fillId="0" borderId="0" xfId="428" applyNumberFormat="1" applyFont="1" applyAlignment="1">
      <alignment horizontal="center"/>
    </xf>
    <xf numFmtId="0" fontId="74" fillId="0" borderId="0" xfId="238" applyFont="1" applyAlignment="1">
      <alignment vertical="top"/>
    </xf>
    <xf numFmtId="0" fontId="74" fillId="0" borderId="0" xfId="238" applyFont="1" applyAlignment="1">
      <alignment horizontal="center" vertical="top"/>
    </xf>
    <xf numFmtId="0" fontId="51" fillId="21" borderId="0" xfId="0" applyFont="1" applyFill="1"/>
    <xf numFmtId="0" fontId="61" fillId="0" borderId="0" xfId="227" applyFont="1"/>
    <xf numFmtId="0" fontId="184" fillId="0" borderId="0" xfId="227" applyFont="1" applyAlignment="1">
      <alignment horizontal="center"/>
    </xf>
    <xf numFmtId="0" fontId="99" fillId="48" borderId="0" xfId="428" applyFont="1" applyFill="1" applyAlignment="1">
      <alignment horizontal="center"/>
    </xf>
    <xf numFmtId="182" fontId="99" fillId="48" borderId="0" xfId="428" applyNumberFormat="1" applyFont="1" applyFill="1" applyAlignment="1">
      <alignment horizontal="center"/>
    </xf>
    <xf numFmtId="0" fontId="99" fillId="0" borderId="0" xfId="428" applyFont="1" applyAlignment="1">
      <alignment horizontal="center"/>
    </xf>
    <xf numFmtId="182" fontId="99" fillId="0" borderId="0" xfId="428" applyNumberFormat="1" applyFont="1" applyAlignment="1">
      <alignment horizontal="center"/>
    </xf>
    <xf numFmtId="0" fontId="99" fillId="0" borderId="0" xfId="452" applyFont="1" applyAlignment="1">
      <alignment vertical="top"/>
    </xf>
    <xf numFmtId="0" fontId="99" fillId="49" borderId="0" xfId="452" applyFont="1" applyFill="1" applyAlignment="1">
      <alignment horizontal="center" vertical="center"/>
    </xf>
    <xf numFmtId="182" fontId="99" fillId="49" borderId="0" xfId="452" applyNumberFormat="1" applyFont="1" applyFill="1" applyAlignment="1">
      <alignment horizontal="center" vertical="center"/>
    </xf>
    <xf numFmtId="0" fontId="99" fillId="0" borderId="0" xfId="452" applyFont="1" applyAlignment="1">
      <alignment horizontal="center" vertical="center"/>
    </xf>
    <xf numFmtId="182" fontId="99" fillId="0" borderId="0" xfId="452" applyNumberFormat="1" applyFont="1" applyAlignment="1">
      <alignment horizontal="center" vertical="center"/>
    </xf>
    <xf numFmtId="0" fontId="184" fillId="0" borderId="0" xfId="227" applyFont="1"/>
    <xf numFmtId="10" fontId="184" fillId="0" borderId="0" xfId="228" applyNumberFormat="1" applyFont="1"/>
    <xf numFmtId="0" fontId="99" fillId="0" borderId="0" xfId="238" applyFont="1" applyAlignment="1">
      <alignment vertical="top"/>
    </xf>
    <xf numFmtId="0" fontId="99" fillId="0" borderId="0" xfId="238" applyFont="1" applyAlignment="1">
      <alignment horizontal="center" vertical="top"/>
    </xf>
    <xf numFmtId="10" fontId="97" fillId="0" borderId="0" xfId="176" applyNumberFormat="1" applyFont="1"/>
    <xf numFmtId="9" fontId="97" fillId="0" borderId="0" xfId="176" applyFont="1"/>
    <xf numFmtId="0" fontId="89" fillId="0" borderId="0" xfId="227" applyFont="1"/>
    <xf numFmtId="0" fontId="184" fillId="0" borderId="16" xfId="227" applyFont="1" applyBorder="1"/>
    <xf numFmtId="10" fontId="184" fillId="0" borderId="16" xfId="228" applyNumberFormat="1" applyFont="1" applyBorder="1"/>
    <xf numFmtId="0" fontId="184" fillId="0" borderId="16" xfId="227" applyFont="1" applyBorder="1" applyAlignment="1">
      <alignment horizontal="center"/>
    </xf>
    <xf numFmtId="0" fontId="74" fillId="0" borderId="16" xfId="238" applyFont="1" applyBorder="1" applyAlignment="1">
      <alignment vertical="top"/>
    </xf>
    <xf numFmtId="0" fontId="99" fillId="0" borderId="16" xfId="238" applyFont="1" applyBorder="1" applyAlignment="1">
      <alignment vertical="top"/>
    </xf>
    <xf numFmtId="0" fontId="99" fillId="0" borderId="16" xfId="238" applyFont="1" applyBorder="1" applyAlignment="1">
      <alignment horizontal="center" vertical="top"/>
    </xf>
    <xf numFmtId="9" fontId="97" fillId="0" borderId="16" xfId="176" applyFont="1" applyBorder="1"/>
    <xf numFmtId="0" fontId="99" fillId="0" borderId="16" xfId="238" applyFont="1" applyBorder="1" applyAlignment="1">
      <alignment horizontal="center" vertical="center" wrapText="1"/>
    </xf>
    <xf numFmtId="0" fontId="89" fillId="21" borderId="16" xfId="0" applyFont="1" applyFill="1" applyBorder="1" applyAlignment="1">
      <alignment horizontal="center" vertical="center" wrapText="1"/>
    </xf>
    <xf numFmtId="0" fontId="51" fillId="0" borderId="16" xfId="0" applyFont="1" applyBorder="1" applyAlignment="1">
      <alignment vertical="center" wrapText="1"/>
    </xf>
    <xf numFmtId="0" fontId="97" fillId="0" borderId="16" xfId="0" applyFont="1" applyBorder="1" applyAlignment="1">
      <alignment vertical="center" wrapText="1"/>
    </xf>
    <xf numFmtId="0" fontId="51" fillId="0" borderId="0" xfId="0" applyFont="1" applyAlignment="1">
      <alignment vertical="center" wrapText="1"/>
    </xf>
    <xf numFmtId="0" fontId="61" fillId="0" borderId="16" xfId="227" applyFont="1" applyBorder="1"/>
    <xf numFmtId="0" fontId="184" fillId="0" borderId="16" xfId="227" applyFont="1" applyBorder="1" applyAlignment="1">
      <alignment horizontal="center" vertical="center" wrapText="1"/>
    </xf>
    <xf numFmtId="0" fontId="184" fillId="0" borderId="108" xfId="227" applyFont="1" applyBorder="1" applyAlignment="1">
      <alignment horizontal="center" vertical="center" wrapText="1"/>
    </xf>
    <xf numFmtId="9" fontId="51" fillId="0" borderId="0" xfId="228" applyFont="1"/>
    <xf numFmtId="168" fontId="184" fillId="0" borderId="0" xfId="228" applyNumberFormat="1" applyFont="1"/>
    <xf numFmtId="0" fontId="74" fillId="0" borderId="0" xfId="238" applyFont="1" applyAlignment="1">
      <alignment vertical="center" wrapText="1"/>
    </xf>
    <xf numFmtId="0" fontId="51" fillId="0" borderId="16" xfId="0" applyFont="1" applyBorder="1" applyAlignment="1">
      <alignment horizontal="center" vertical="center" wrapText="1"/>
    </xf>
    <xf numFmtId="0" fontId="97" fillId="0" borderId="16" xfId="0" applyFont="1" applyBorder="1" applyAlignment="1">
      <alignment horizontal="center" vertical="center" wrapText="1"/>
    </xf>
    <xf numFmtId="0" fontId="74" fillId="0" borderId="16" xfId="452" applyFont="1" applyBorder="1" applyAlignment="1">
      <alignment vertical="top"/>
    </xf>
    <xf numFmtId="0" fontId="99" fillId="0" borderId="16" xfId="452" applyFont="1" applyBorder="1" applyAlignment="1">
      <alignment vertical="top"/>
    </xf>
    <xf numFmtId="182" fontId="99" fillId="49" borderId="16" xfId="452" applyNumberFormat="1" applyFont="1" applyFill="1" applyBorder="1" applyAlignment="1">
      <alignment horizontal="center" vertical="center"/>
    </xf>
    <xf numFmtId="182" fontId="99" fillId="0" borderId="16" xfId="452" applyNumberFormat="1" applyFont="1" applyBorder="1" applyAlignment="1">
      <alignment horizontal="center" vertical="center"/>
    </xf>
    <xf numFmtId="0" fontId="89" fillId="0" borderId="0" xfId="211" applyFont="1" applyAlignment="1">
      <alignment horizontal="left"/>
    </xf>
    <xf numFmtId="182" fontId="99" fillId="48" borderId="16" xfId="428" applyNumberFormat="1" applyFont="1" applyFill="1" applyBorder="1" applyAlignment="1">
      <alignment horizontal="center"/>
    </xf>
    <xf numFmtId="182" fontId="99" fillId="0" borderId="16" xfId="428" applyNumberFormat="1" applyFont="1" applyBorder="1" applyAlignment="1">
      <alignment horizontal="center"/>
    </xf>
    <xf numFmtId="10" fontId="97" fillId="0" borderId="16" xfId="176" applyNumberFormat="1" applyFont="1" applyBorder="1"/>
    <xf numFmtId="0" fontId="99" fillId="0" borderId="16" xfId="238" applyFont="1" applyBorder="1" applyAlignment="1">
      <alignment vertical="center" wrapText="1"/>
    </xf>
    <xf numFmtId="0" fontId="89" fillId="21" borderId="16" xfId="0" applyFont="1" applyFill="1" applyBorder="1" applyAlignment="1">
      <alignment vertical="center" wrapText="1"/>
    </xf>
    <xf numFmtId="0" fontId="184" fillId="0" borderId="108" xfId="227" applyFont="1" applyBorder="1" applyAlignment="1">
      <alignment horizontal="center" vertical="center"/>
    </xf>
    <xf numFmtId="0" fontId="61" fillId="0" borderId="0" xfId="227" applyFont="1" applyAlignment="1">
      <alignment horizontal="center"/>
    </xf>
    <xf numFmtId="10" fontId="97" fillId="21" borderId="16" xfId="176" applyNumberFormat="1" applyFont="1" applyFill="1" applyBorder="1"/>
    <xf numFmtId="168" fontId="184" fillId="21" borderId="16" xfId="228" applyNumberFormat="1" applyFont="1" applyFill="1" applyBorder="1"/>
    <xf numFmtId="0" fontId="184" fillId="21" borderId="16" xfId="227" applyFont="1" applyFill="1" applyBorder="1" applyAlignment="1">
      <alignment horizontal="center"/>
    </xf>
    <xf numFmtId="0" fontId="43" fillId="0" borderId="0" xfId="0" applyFont="1"/>
    <xf numFmtId="0" fontId="190" fillId="0" borderId="0" xfId="238" applyFont="1" applyAlignment="1">
      <alignment vertical="center"/>
    </xf>
    <xf numFmtId="0" fontId="103" fillId="0" borderId="0" xfId="0" applyFont="1"/>
    <xf numFmtId="0" fontId="183" fillId="0" borderId="0" xfId="0" applyFont="1"/>
    <xf numFmtId="0" fontId="5" fillId="0" borderId="0" xfId="455" applyFont="1"/>
    <xf numFmtId="0" fontId="69" fillId="0" borderId="0" xfId="0" applyFont="1" applyAlignment="1">
      <alignment horizontal="center"/>
    </xf>
    <xf numFmtId="0" fontId="73" fillId="0" borderId="0" xfId="238" applyFont="1" applyAlignment="1">
      <alignment vertical="top"/>
    </xf>
    <xf numFmtId="0" fontId="99" fillId="0" borderId="16" xfId="455" applyFont="1" applyBorder="1"/>
    <xf numFmtId="0" fontId="99" fillId="0" borderId="16" xfId="455" applyFont="1" applyBorder="1" applyAlignment="1">
      <alignment horizontal="center"/>
    </xf>
    <xf numFmtId="0" fontId="191" fillId="43" borderId="16" xfId="238" applyFont="1" applyFill="1" applyBorder="1" applyAlignment="1">
      <alignment horizontal="center" vertical="center"/>
    </xf>
    <xf numFmtId="0" fontId="99" fillId="0" borderId="16" xfId="173" applyFont="1" applyBorder="1" applyAlignment="1">
      <alignment horizontal="center" vertical="center" wrapText="1"/>
    </xf>
    <xf numFmtId="0" fontId="99" fillId="21" borderId="16" xfId="173" applyFont="1" applyFill="1" applyBorder="1" applyAlignment="1">
      <alignment horizontal="center" vertical="center" wrapText="1"/>
    </xf>
    <xf numFmtId="0" fontId="75" fillId="0" borderId="16" xfId="0" applyFont="1" applyBorder="1" applyAlignment="1">
      <alignment horizontal="center" vertical="center"/>
    </xf>
    <xf numFmtId="0" fontId="75" fillId="21" borderId="16" xfId="0" applyFont="1" applyFill="1" applyBorder="1" applyAlignment="1">
      <alignment horizontal="center" vertical="center" wrapText="1"/>
    </xf>
    <xf numFmtId="0" fontId="182" fillId="0" borderId="99" xfId="144" applyFont="1" applyBorder="1" applyAlignment="1">
      <alignment horizontal="center" vertical="center"/>
    </xf>
    <xf numFmtId="0" fontId="182" fillId="0" borderId="99" xfId="144" applyFont="1" applyBorder="1" applyAlignment="1">
      <alignment horizontal="center" vertical="center" wrapText="1"/>
    </xf>
    <xf numFmtId="0" fontId="5" fillId="0" borderId="99" xfId="144" applyFont="1" applyBorder="1" applyAlignment="1">
      <alignment horizontal="center" vertical="center" wrapText="1"/>
    </xf>
    <xf numFmtId="0" fontId="74" fillId="0" borderId="0" xfId="455" applyFont="1" applyAlignment="1">
      <alignment vertical="top"/>
    </xf>
    <xf numFmtId="0" fontId="74" fillId="0" borderId="0" xfId="455" applyFont="1" applyAlignment="1">
      <alignment horizontal="left" vertical="top"/>
    </xf>
    <xf numFmtId="185" fontId="74" fillId="0" borderId="0" xfId="455" applyNumberFormat="1" applyFont="1" applyAlignment="1">
      <alignment horizontal="center" vertical="center"/>
    </xf>
    <xf numFmtId="182" fontId="74" fillId="0" borderId="0" xfId="455" applyNumberFormat="1" applyFont="1" applyAlignment="1">
      <alignment horizontal="center" vertical="center"/>
    </xf>
    <xf numFmtId="186" fontId="74" fillId="0" borderId="0" xfId="238" applyNumberFormat="1" applyFont="1" applyAlignment="1">
      <alignment horizontal="center" vertical="top"/>
    </xf>
    <xf numFmtId="185" fontId="74" fillId="0" borderId="0" xfId="173" applyNumberFormat="1" applyFont="1" applyAlignment="1">
      <alignment horizontal="center" vertical="top"/>
    </xf>
    <xf numFmtId="185" fontId="74" fillId="0" borderId="0" xfId="0" applyNumberFormat="1" applyFont="1" applyAlignment="1">
      <alignment horizontal="center" vertical="top"/>
    </xf>
    <xf numFmtId="185" fontId="74" fillId="21" borderId="0" xfId="0" applyNumberFormat="1" applyFont="1" applyFill="1" applyAlignment="1">
      <alignment horizontal="center" vertical="top"/>
    </xf>
    <xf numFmtId="2" fontId="50" fillId="0" borderId="0" xfId="0" applyNumberFormat="1" applyFont="1" applyAlignment="1">
      <alignment horizontal="center"/>
    </xf>
    <xf numFmtId="0" fontId="1" fillId="0" borderId="0" xfId="144" applyAlignment="1">
      <alignment vertical="center"/>
    </xf>
    <xf numFmtId="0" fontId="1" fillId="0" borderId="0" xfId="144" applyAlignment="1">
      <alignment horizontal="center" vertical="center"/>
    </xf>
    <xf numFmtId="2" fontId="1" fillId="0" borderId="0" xfId="144" applyNumberFormat="1" applyAlignment="1">
      <alignment vertical="center"/>
    </xf>
    <xf numFmtId="1" fontId="1" fillId="0" borderId="0" xfId="144" applyNumberFormat="1" applyAlignment="1">
      <alignment horizontal="center" vertical="center"/>
    </xf>
    <xf numFmtId="171" fontId="1" fillId="0" borderId="0" xfId="144" applyNumberFormat="1" applyAlignment="1">
      <alignment vertical="center"/>
    </xf>
    <xf numFmtId="0" fontId="99" fillId="0" borderId="0" xfId="455" applyFont="1" applyAlignment="1">
      <alignment horizontal="left" vertical="top"/>
    </xf>
    <xf numFmtId="185" fontId="99" fillId="0" borderId="0" xfId="455" applyNumberFormat="1" applyFont="1" applyAlignment="1">
      <alignment horizontal="center" vertical="center"/>
    </xf>
    <xf numFmtId="182" fontId="99" fillId="0" borderId="0" xfId="455" applyNumberFormat="1" applyFont="1" applyAlignment="1">
      <alignment horizontal="center" vertical="center"/>
    </xf>
    <xf numFmtId="0" fontId="99" fillId="0" borderId="0" xfId="173" applyFont="1" applyAlignment="1">
      <alignment horizontal="left" vertical="top"/>
    </xf>
    <xf numFmtId="185" fontId="99" fillId="0" borderId="0" xfId="173" applyNumberFormat="1" applyFont="1" applyAlignment="1">
      <alignment horizontal="center" vertical="top"/>
    </xf>
    <xf numFmtId="185" fontId="99" fillId="0" borderId="0" xfId="0" applyNumberFormat="1" applyFont="1" applyAlignment="1">
      <alignment horizontal="center" vertical="top"/>
    </xf>
    <xf numFmtId="185" fontId="99" fillId="21" borderId="0" xfId="0" applyNumberFormat="1" applyFont="1" applyFill="1" applyAlignment="1">
      <alignment horizontal="center" vertical="top"/>
    </xf>
    <xf numFmtId="2" fontId="75" fillId="0" borderId="0" xfId="0" applyNumberFormat="1" applyFont="1" applyAlignment="1">
      <alignment horizontal="center"/>
    </xf>
    <xf numFmtId="2" fontId="40" fillId="0" borderId="0" xfId="0" applyNumberFormat="1" applyFont="1"/>
    <xf numFmtId="0" fontId="99" fillId="0" borderId="0" xfId="238" applyFont="1" applyAlignment="1">
      <alignment horizontal="left" vertical="top"/>
    </xf>
    <xf numFmtId="186" fontId="99" fillId="0" borderId="0" xfId="238" applyNumberFormat="1" applyFont="1" applyAlignment="1">
      <alignment horizontal="center" vertical="top"/>
    </xf>
    <xf numFmtId="0" fontId="182" fillId="0" borderId="0" xfId="144" applyFont="1" applyAlignment="1">
      <alignment vertical="center"/>
    </xf>
    <xf numFmtId="2" fontId="182" fillId="0" borderId="0" xfId="144" applyNumberFormat="1" applyFont="1" applyAlignment="1">
      <alignment vertical="center"/>
    </xf>
    <xf numFmtId="0" fontId="182" fillId="0" borderId="0" xfId="144" applyFont="1" applyAlignment="1">
      <alignment horizontal="center" vertical="center"/>
    </xf>
    <xf numFmtId="171" fontId="182" fillId="0" borderId="0" xfId="144" applyNumberFormat="1" applyFont="1" applyAlignment="1">
      <alignment vertical="center"/>
    </xf>
    <xf numFmtId="0" fontId="99" fillId="0" borderId="99" xfId="455" applyFont="1" applyBorder="1" applyAlignment="1">
      <alignment horizontal="left" vertical="top"/>
    </xf>
    <xf numFmtId="185" fontId="99" fillId="0" borderId="99" xfId="455" applyNumberFormat="1" applyFont="1" applyBorder="1" applyAlignment="1">
      <alignment horizontal="center" vertical="center"/>
    </xf>
    <xf numFmtId="182" fontId="99" fillId="0" borderId="99" xfId="455" applyNumberFormat="1" applyFont="1" applyBorder="1" applyAlignment="1">
      <alignment horizontal="center" vertical="center"/>
    </xf>
    <xf numFmtId="185" fontId="99" fillId="21" borderId="0" xfId="173" applyNumberFormat="1" applyFont="1" applyFill="1" applyAlignment="1">
      <alignment horizontal="center" vertical="top"/>
    </xf>
    <xf numFmtId="0" fontId="99" fillId="0" borderId="16" xfId="238" applyFont="1" applyBorder="1" applyAlignment="1">
      <alignment horizontal="left" vertical="top"/>
    </xf>
    <xf numFmtId="186" fontId="99" fillId="0" borderId="16" xfId="238" applyNumberFormat="1" applyFont="1" applyBorder="1" applyAlignment="1">
      <alignment horizontal="center" vertical="top"/>
    </xf>
    <xf numFmtId="185" fontId="99" fillId="0" borderId="16" xfId="173" applyNumberFormat="1" applyFont="1" applyBorder="1" applyAlignment="1">
      <alignment horizontal="center" vertical="top"/>
    </xf>
    <xf numFmtId="185" fontId="74" fillId="0" borderId="0" xfId="238" applyNumberFormat="1" applyFont="1" applyAlignment="1">
      <alignment horizontal="right" vertical="top"/>
    </xf>
    <xf numFmtId="182" fontId="74" fillId="0" borderId="0" xfId="238" applyNumberFormat="1" applyFont="1" applyAlignment="1">
      <alignment horizontal="right" vertical="top"/>
    </xf>
    <xf numFmtId="186" fontId="74" fillId="0" borderId="0" xfId="238" applyNumberFormat="1" applyFont="1" applyAlignment="1">
      <alignment horizontal="right" vertical="top"/>
    </xf>
    <xf numFmtId="0" fontId="99" fillId="0" borderId="16" xfId="173" applyFont="1" applyBorder="1" applyAlignment="1">
      <alignment horizontal="left" vertical="top"/>
    </xf>
    <xf numFmtId="185" fontId="99" fillId="0" borderId="16" xfId="0" applyNumberFormat="1" applyFont="1" applyBorder="1" applyAlignment="1">
      <alignment horizontal="center" vertical="top"/>
    </xf>
    <xf numFmtId="185" fontId="99" fillId="21" borderId="16" xfId="0" applyNumberFormat="1" applyFont="1" applyFill="1" applyBorder="1" applyAlignment="1">
      <alignment horizontal="center" vertical="top"/>
    </xf>
    <xf numFmtId="0" fontId="87" fillId="0" borderId="0" xfId="0" applyFont="1"/>
    <xf numFmtId="2" fontId="75" fillId="0" borderId="16" xfId="0" applyNumberFormat="1" applyFont="1" applyBorder="1" applyAlignment="1">
      <alignment horizontal="center"/>
    </xf>
    <xf numFmtId="0" fontId="1" fillId="0" borderId="99" xfId="144" applyBorder="1" applyAlignment="1">
      <alignment vertical="center"/>
    </xf>
    <xf numFmtId="0" fontId="1" fillId="0" borderId="99" xfId="144" applyBorder="1" applyAlignment="1">
      <alignment horizontal="center" vertical="center"/>
    </xf>
    <xf numFmtId="0" fontId="182" fillId="0" borderId="99" xfId="144" applyFont="1" applyBorder="1" applyAlignment="1">
      <alignment vertical="center"/>
    </xf>
    <xf numFmtId="2" fontId="182" fillId="0" borderId="99" xfId="144" applyNumberFormat="1" applyFont="1" applyBorder="1" applyAlignment="1">
      <alignment vertical="center"/>
    </xf>
    <xf numFmtId="1" fontId="1" fillId="0" borderId="99" xfId="144" applyNumberFormat="1" applyBorder="1" applyAlignment="1">
      <alignment horizontal="center" vertical="center"/>
    </xf>
    <xf numFmtId="171" fontId="182" fillId="21" borderId="99" xfId="144" applyNumberFormat="1" applyFont="1" applyFill="1" applyBorder="1" applyAlignment="1">
      <alignment vertical="center"/>
    </xf>
    <xf numFmtId="0" fontId="1" fillId="0" borderId="0" xfId="144"/>
    <xf numFmtId="0" fontId="1" fillId="0" borderId="0" xfId="144" applyAlignment="1">
      <alignment horizontal="center"/>
    </xf>
    <xf numFmtId="0" fontId="99" fillId="0" borderId="0" xfId="173" applyFont="1" applyAlignment="1">
      <alignment vertical="center"/>
    </xf>
    <xf numFmtId="0" fontId="74" fillId="0" borderId="16" xfId="238" applyFont="1" applyBorder="1" applyAlignment="1">
      <alignment horizontal="center"/>
    </xf>
    <xf numFmtId="186" fontId="99" fillId="0" borderId="16" xfId="238" applyNumberFormat="1" applyFont="1" applyBorder="1" applyAlignment="1">
      <alignment horizontal="center"/>
    </xf>
    <xf numFmtId="0" fontId="99" fillId="0" borderId="0" xfId="173" applyFont="1" applyAlignment="1">
      <alignment horizontal="center" vertical="center"/>
    </xf>
    <xf numFmtId="0" fontId="74" fillId="0" borderId="0" xfId="238" applyFont="1" applyAlignment="1">
      <alignment horizontal="center" vertical="center"/>
    </xf>
    <xf numFmtId="0" fontId="99" fillId="0" borderId="0" xfId="173" applyFont="1" applyAlignment="1">
      <alignment horizontal="center"/>
    </xf>
    <xf numFmtId="185" fontId="74" fillId="21" borderId="0" xfId="173" applyNumberFormat="1" applyFont="1" applyFill="1" applyAlignment="1">
      <alignment horizontal="center" vertical="top"/>
    </xf>
    <xf numFmtId="0" fontId="74" fillId="0" borderId="16" xfId="455" applyFont="1" applyBorder="1" applyAlignment="1">
      <alignment vertical="top"/>
    </xf>
    <xf numFmtId="0" fontId="99" fillId="0" borderId="16" xfId="455" applyFont="1" applyBorder="1" applyAlignment="1">
      <alignment horizontal="left" vertical="top"/>
    </xf>
    <xf numFmtId="185" fontId="99" fillId="0" borderId="106" xfId="455" applyNumberFormat="1" applyFont="1" applyBorder="1" applyAlignment="1">
      <alignment horizontal="center" vertical="center"/>
    </xf>
    <xf numFmtId="182" fontId="99" fillId="0" borderId="106" xfId="455" applyNumberFormat="1" applyFont="1" applyBorder="1" applyAlignment="1">
      <alignment horizontal="center" vertical="center"/>
    </xf>
    <xf numFmtId="185" fontId="97" fillId="43" borderId="106" xfId="455" applyNumberFormat="1" applyFont="1" applyFill="1" applyBorder="1" applyAlignment="1">
      <alignment horizontal="center" vertical="center"/>
    </xf>
    <xf numFmtId="0" fontId="74" fillId="0" borderId="0" xfId="173" applyFont="1" applyAlignment="1">
      <alignment horizontal="center"/>
    </xf>
    <xf numFmtId="185" fontId="99" fillId="43" borderId="16" xfId="173" applyNumberFormat="1" applyFont="1" applyFill="1" applyBorder="1" applyAlignment="1">
      <alignment horizontal="center" vertical="top"/>
    </xf>
    <xf numFmtId="185" fontId="99" fillId="21" borderId="16" xfId="173" applyNumberFormat="1" applyFont="1" applyFill="1" applyBorder="1" applyAlignment="1">
      <alignment horizontal="center" vertical="top"/>
    </xf>
    <xf numFmtId="0" fontId="73" fillId="0" borderId="0" xfId="238" applyFont="1" applyAlignment="1">
      <alignment horizontal="left" vertical="top"/>
    </xf>
    <xf numFmtId="185" fontId="73" fillId="0" borderId="0" xfId="238" applyNumberFormat="1" applyFont="1" applyAlignment="1">
      <alignment horizontal="right" vertical="top"/>
    </xf>
    <xf numFmtId="182" fontId="73" fillId="0" borderId="0" xfId="238" applyNumberFormat="1" applyFont="1" applyAlignment="1">
      <alignment horizontal="right" vertical="top"/>
    </xf>
    <xf numFmtId="186" fontId="73" fillId="0" borderId="0" xfId="238" applyNumberFormat="1" applyFont="1" applyAlignment="1">
      <alignment horizontal="right" vertical="top"/>
    </xf>
    <xf numFmtId="2" fontId="50" fillId="0" borderId="0" xfId="0" applyNumberFormat="1" applyFont="1"/>
    <xf numFmtId="2" fontId="75" fillId="21" borderId="16" xfId="0" applyNumberFormat="1" applyFont="1" applyFill="1" applyBorder="1" applyAlignment="1">
      <alignment horizontal="center"/>
    </xf>
    <xf numFmtId="0" fontId="1" fillId="0" borderId="0" xfId="211" applyAlignment="1">
      <alignment horizontal="left"/>
    </xf>
    <xf numFmtId="185" fontId="73" fillId="0" borderId="0" xfId="238" applyNumberFormat="1" applyFont="1" applyAlignment="1">
      <alignment horizontal="center" vertical="top"/>
    </xf>
    <xf numFmtId="182" fontId="73" fillId="0" borderId="0" xfId="238" applyNumberFormat="1" applyFont="1" applyAlignment="1">
      <alignment horizontal="center" vertical="top"/>
    </xf>
    <xf numFmtId="186" fontId="73" fillId="0" borderId="0" xfId="238" applyNumberFormat="1" applyFont="1" applyAlignment="1">
      <alignment horizontal="center" vertical="top"/>
    </xf>
    <xf numFmtId="0" fontId="74" fillId="0" borderId="0" xfId="456" applyFont="1" applyAlignment="1">
      <alignment vertical="center"/>
    </xf>
    <xf numFmtId="0" fontId="182" fillId="0" borderId="0" xfId="0" applyFont="1" applyAlignment="1">
      <alignment horizontal="center"/>
    </xf>
    <xf numFmtId="0" fontId="61" fillId="0" borderId="0" xfId="456" applyFont="1" applyAlignment="1">
      <alignment vertical="center"/>
    </xf>
    <xf numFmtId="0" fontId="74" fillId="0" borderId="0" xfId="798" applyFont="1" applyAlignment="1">
      <alignment horizontal="center" vertical="center" wrapText="1"/>
    </xf>
    <xf numFmtId="0" fontId="99" fillId="0" borderId="16" xfId="456" applyFont="1" applyBorder="1" applyAlignment="1">
      <alignment horizontal="center" vertical="center"/>
    </xf>
    <xf numFmtId="0" fontId="183" fillId="43" borderId="16" xfId="238" applyFont="1" applyFill="1" applyBorder="1" applyAlignment="1">
      <alignment horizontal="center" vertical="center"/>
    </xf>
    <xf numFmtId="0" fontId="99" fillId="0" borderId="16" xfId="238" applyFont="1" applyBorder="1"/>
    <xf numFmtId="0" fontId="99" fillId="0" borderId="16" xfId="798" applyFont="1" applyBorder="1" applyAlignment="1">
      <alignment horizontal="center" vertical="center" wrapText="1"/>
    </xf>
    <xf numFmtId="0" fontId="189" fillId="0" borderId="99" xfId="144" applyFont="1" applyBorder="1" applyAlignment="1">
      <alignment horizontal="center" vertical="center"/>
    </xf>
    <xf numFmtId="0" fontId="189" fillId="0" borderId="99" xfId="144" applyFont="1" applyBorder="1" applyAlignment="1">
      <alignment horizontal="center" vertical="center" wrapText="1"/>
    </xf>
    <xf numFmtId="0" fontId="189" fillId="0" borderId="99" xfId="144" applyFont="1" applyBorder="1" applyAlignment="1">
      <alignment horizontal="center" wrapText="1"/>
    </xf>
    <xf numFmtId="0" fontId="74" fillId="0" borderId="0" xfId="456" applyFont="1" applyAlignment="1">
      <alignment horizontal="center" vertical="center"/>
    </xf>
    <xf numFmtId="0" fontId="74" fillId="0" borderId="0" xfId="456" applyFont="1" applyAlignment="1">
      <alignment horizontal="left" vertical="center"/>
    </xf>
    <xf numFmtId="185" fontId="74" fillId="0" borderId="0" xfId="456" applyNumberFormat="1" applyFont="1" applyAlignment="1">
      <alignment horizontal="center" vertical="center"/>
    </xf>
    <xf numFmtId="182" fontId="74" fillId="0" borderId="0" xfId="456" applyNumberFormat="1" applyFont="1" applyAlignment="1">
      <alignment horizontal="center" vertical="center"/>
    </xf>
    <xf numFmtId="185" fontId="51" fillId="0" borderId="0" xfId="0" applyNumberFormat="1" applyFont="1" applyAlignment="1">
      <alignment horizontal="center" vertical="center"/>
    </xf>
    <xf numFmtId="2" fontId="74" fillId="0" borderId="0" xfId="238" applyNumberFormat="1" applyFont="1" applyAlignment="1">
      <alignment horizontal="center" vertical="top"/>
    </xf>
    <xf numFmtId="0" fontId="74" fillId="0" borderId="0" xfId="798" applyFont="1" applyAlignment="1">
      <alignment vertical="top"/>
    </xf>
    <xf numFmtId="0" fontId="74" fillId="0" borderId="0" xfId="798" applyFont="1" applyAlignment="1">
      <alignment horizontal="left" vertical="top"/>
    </xf>
    <xf numFmtId="185" fontId="74" fillId="0" borderId="0" xfId="798" applyNumberFormat="1" applyFont="1" applyAlignment="1">
      <alignment horizontal="center" vertical="top"/>
    </xf>
    <xf numFmtId="182" fontId="74" fillId="0" borderId="0" xfId="798" applyNumberFormat="1" applyFont="1" applyAlignment="1">
      <alignment horizontal="center" vertical="top"/>
    </xf>
    <xf numFmtId="0" fontId="41" fillId="0" borderId="0" xfId="144" applyFont="1"/>
    <xf numFmtId="0" fontId="41" fillId="0" borderId="0" xfId="144" applyFont="1" applyAlignment="1">
      <alignment horizontal="center"/>
    </xf>
    <xf numFmtId="2" fontId="41" fillId="0" borderId="0" xfId="144" applyNumberFormat="1" applyFont="1"/>
    <xf numFmtId="1" fontId="41" fillId="0" borderId="0" xfId="144" applyNumberFormat="1" applyFont="1" applyAlignment="1">
      <alignment horizontal="center"/>
    </xf>
    <xf numFmtId="185" fontId="99" fillId="0" borderId="0" xfId="798" applyNumberFormat="1" applyFont="1" applyAlignment="1">
      <alignment horizontal="center" vertical="top"/>
    </xf>
    <xf numFmtId="0" fontId="99" fillId="0" borderId="0" xfId="798" applyFont="1" applyAlignment="1">
      <alignment horizontal="left" vertical="top"/>
    </xf>
    <xf numFmtId="182" fontId="99" fillId="0" borderId="0" xfId="798" applyNumberFormat="1" applyFont="1" applyAlignment="1">
      <alignment horizontal="center" vertical="top"/>
    </xf>
    <xf numFmtId="171" fontId="75" fillId="0" borderId="0" xfId="0" applyNumberFormat="1" applyFont="1" applyAlignment="1">
      <alignment horizontal="center"/>
    </xf>
    <xf numFmtId="2" fontId="75" fillId="0" borderId="0" xfId="0" applyNumberFormat="1" applyFont="1"/>
    <xf numFmtId="2" fontId="41" fillId="0" borderId="0" xfId="144" applyNumberFormat="1" applyFont="1" applyAlignment="1">
      <alignment horizontal="center"/>
    </xf>
    <xf numFmtId="2" fontId="90" fillId="0" borderId="0" xfId="144" applyNumberFormat="1" applyFont="1"/>
    <xf numFmtId="187" fontId="74" fillId="0" borderId="0" xfId="238" applyNumberFormat="1" applyFont="1" applyAlignment="1">
      <alignment horizontal="center" vertical="top"/>
    </xf>
    <xf numFmtId="188" fontId="74" fillId="0" borderId="0" xfId="238" applyNumberFormat="1" applyFont="1" applyAlignment="1">
      <alignment horizontal="center" vertical="top"/>
    </xf>
    <xf numFmtId="0" fontId="99" fillId="0" borderId="0" xfId="456" applyFont="1" applyAlignment="1">
      <alignment horizontal="left" vertical="center"/>
    </xf>
    <xf numFmtId="185" fontId="99" fillId="0" borderId="0" xfId="456" applyNumberFormat="1" applyFont="1" applyAlignment="1">
      <alignment horizontal="center" vertical="center"/>
    </xf>
    <xf numFmtId="182" fontId="99" fillId="0" borderId="0" xfId="456" applyNumberFormat="1" applyFont="1" applyAlignment="1">
      <alignment horizontal="center" vertical="center"/>
    </xf>
    <xf numFmtId="185" fontId="97" fillId="0" borderId="0" xfId="0" applyNumberFormat="1" applyFont="1" applyAlignment="1">
      <alignment horizontal="center" vertical="center"/>
    </xf>
    <xf numFmtId="0" fontId="63" fillId="0" borderId="0" xfId="144" applyFont="1"/>
    <xf numFmtId="187" fontId="99" fillId="0" borderId="0" xfId="238" applyNumberFormat="1" applyFont="1" applyAlignment="1">
      <alignment horizontal="center" vertical="top"/>
    </xf>
    <xf numFmtId="0" fontId="99" fillId="0" borderId="99" xfId="238" applyFont="1" applyBorder="1" applyAlignment="1">
      <alignment horizontal="left" vertical="top"/>
    </xf>
    <xf numFmtId="185" fontId="99" fillId="0" borderId="99" xfId="238" applyNumberFormat="1" applyFont="1" applyBorder="1" applyAlignment="1">
      <alignment horizontal="center" vertical="top"/>
    </xf>
    <xf numFmtId="182" fontId="99" fillId="0" borderId="99" xfId="238" applyNumberFormat="1" applyFont="1" applyBorder="1" applyAlignment="1">
      <alignment horizontal="center" vertical="top"/>
    </xf>
    <xf numFmtId="186" fontId="99" fillId="0" borderId="99" xfId="238" applyNumberFormat="1" applyFont="1" applyBorder="1" applyAlignment="1">
      <alignment horizontal="center" vertical="top"/>
    </xf>
    <xf numFmtId="185" fontId="99" fillId="0" borderId="99" xfId="798" applyNumberFormat="1" applyFont="1" applyBorder="1" applyAlignment="1">
      <alignment horizontal="center" vertical="top"/>
    </xf>
    <xf numFmtId="0" fontId="74" fillId="0" borderId="99" xfId="798" applyFont="1" applyBorder="1" applyAlignment="1">
      <alignment vertical="top"/>
    </xf>
    <xf numFmtId="0" fontId="99" fillId="0" borderId="99" xfId="798" applyFont="1" applyBorder="1" applyAlignment="1">
      <alignment horizontal="left" vertical="top"/>
    </xf>
    <xf numFmtId="182" fontId="99" fillId="0" borderId="99" xfId="798" applyNumberFormat="1" applyFont="1" applyBorder="1" applyAlignment="1">
      <alignment horizontal="center" vertical="top"/>
    </xf>
    <xf numFmtId="0" fontId="50" fillId="0" borderId="99" xfId="0" applyFont="1" applyBorder="1" applyAlignment="1">
      <alignment horizontal="center"/>
    </xf>
    <xf numFmtId="0" fontId="75" fillId="0" borderId="99" xfId="0" applyFont="1" applyBorder="1"/>
    <xf numFmtId="0" fontId="75" fillId="0" borderId="99" xfId="0" applyFont="1" applyBorder="1" applyAlignment="1">
      <alignment horizontal="center"/>
    </xf>
    <xf numFmtId="2" fontId="75" fillId="0" borderId="99" xfId="0" applyNumberFormat="1" applyFont="1" applyBorder="1" applyAlignment="1">
      <alignment horizontal="center"/>
    </xf>
    <xf numFmtId="0" fontId="41" fillId="0" borderId="99" xfId="144" applyFont="1" applyBorder="1"/>
    <xf numFmtId="0" fontId="41" fillId="0" borderId="99" xfId="144" applyFont="1" applyBorder="1" applyAlignment="1">
      <alignment horizontal="center"/>
    </xf>
    <xf numFmtId="0" fontId="189" fillId="0" borderId="99" xfId="144" applyFont="1" applyBorder="1"/>
    <xf numFmtId="2" fontId="189" fillId="0" borderId="99" xfId="144" applyNumberFormat="1" applyFont="1" applyBorder="1"/>
    <xf numFmtId="0" fontId="189" fillId="0" borderId="99" xfId="144" applyFont="1" applyBorder="1" applyAlignment="1">
      <alignment horizontal="center"/>
    </xf>
    <xf numFmtId="1" fontId="41" fillId="0" borderId="99" xfId="144" applyNumberFormat="1" applyFont="1" applyBorder="1" applyAlignment="1">
      <alignment horizontal="center"/>
    </xf>
    <xf numFmtId="0" fontId="99" fillId="0" borderId="99" xfId="456" applyFont="1" applyBorder="1" applyAlignment="1">
      <alignment horizontal="left" vertical="center"/>
    </xf>
    <xf numFmtId="185" fontId="99" fillId="0" borderId="99" xfId="456" applyNumberFormat="1" applyFont="1" applyBorder="1" applyAlignment="1">
      <alignment horizontal="center" vertical="center"/>
    </xf>
    <xf numFmtId="182" fontId="99" fillId="0" borderId="99" xfId="456" applyNumberFormat="1" applyFont="1" applyBorder="1" applyAlignment="1">
      <alignment horizontal="center" vertical="center"/>
    </xf>
    <xf numFmtId="185" fontId="97" fillId="0" borderId="99" xfId="0" applyNumberFormat="1" applyFont="1" applyBorder="1" applyAlignment="1">
      <alignment horizontal="center" vertical="center"/>
    </xf>
    <xf numFmtId="187" fontId="99" fillId="0" borderId="99" xfId="238" applyNumberFormat="1" applyFont="1" applyBorder="1" applyAlignment="1">
      <alignment horizontal="center" vertical="top"/>
    </xf>
    <xf numFmtId="2" fontId="75" fillId="0" borderId="16" xfId="0" applyNumberFormat="1" applyFont="1" applyBorder="1" applyAlignment="1">
      <alignment horizontal="center" vertical="center"/>
    </xf>
    <xf numFmtId="0" fontId="189" fillId="0" borderId="0" xfId="144" applyFont="1"/>
    <xf numFmtId="2" fontId="189" fillId="0" borderId="0" xfId="144" applyNumberFormat="1" applyFont="1"/>
    <xf numFmtId="0" fontId="189" fillId="0" borderId="0" xfId="144" applyFont="1" applyAlignment="1">
      <alignment horizontal="center"/>
    </xf>
    <xf numFmtId="187" fontId="74" fillId="0" borderId="0" xfId="238" applyNumberFormat="1" applyFont="1" applyAlignment="1">
      <alignment horizontal="right" vertical="top"/>
    </xf>
    <xf numFmtId="0" fontId="74" fillId="0" borderId="16" xfId="798" applyFont="1" applyBorder="1" applyAlignment="1">
      <alignment vertical="top"/>
    </xf>
    <xf numFmtId="0" fontId="99" fillId="0" borderId="16" xfId="798" applyFont="1" applyBorder="1" applyAlignment="1">
      <alignment horizontal="left" vertical="top"/>
    </xf>
    <xf numFmtId="185" fontId="99" fillId="0" borderId="16" xfId="798" applyNumberFormat="1" applyFont="1" applyBorder="1" applyAlignment="1">
      <alignment horizontal="center" vertical="top"/>
    </xf>
    <xf numFmtId="182" fontId="99" fillId="0" borderId="16" xfId="798" applyNumberFormat="1" applyFont="1" applyBorder="1" applyAlignment="1">
      <alignment horizontal="center" vertical="top"/>
    </xf>
    <xf numFmtId="171" fontId="189" fillId="21" borderId="99" xfId="144" applyNumberFormat="1" applyFont="1" applyFill="1" applyBorder="1"/>
    <xf numFmtId="185" fontId="99" fillId="0" borderId="16" xfId="238" applyNumberFormat="1" applyFont="1" applyBorder="1" applyAlignment="1">
      <alignment horizontal="center"/>
    </xf>
    <xf numFmtId="2" fontId="50" fillId="0" borderId="0" xfId="0" applyNumberFormat="1" applyFont="1" applyAlignment="1">
      <alignment horizontal="center" vertical="center"/>
    </xf>
    <xf numFmtId="0" fontId="74" fillId="0" borderId="0" xfId="798" applyFont="1" applyAlignment="1">
      <alignment horizontal="center" vertical="center"/>
    </xf>
    <xf numFmtId="185" fontId="74" fillId="0" borderId="0" xfId="798" applyNumberFormat="1" applyFont="1" applyAlignment="1">
      <alignment horizontal="center" vertical="center"/>
    </xf>
    <xf numFmtId="182" fontId="74" fillId="0" borderId="0" xfId="798" applyNumberFormat="1" applyFont="1" applyAlignment="1">
      <alignment horizontal="center" vertical="center"/>
    </xf>
    <xf numFmtId="2" fontId="75" fillId="43" borderId="16" xfId="0" applyNumberFormat="1" applyFont="1" applyFill="1" applyBorder="1" applyAlignment="1">
      <alignment horizontal="center" vertical="center"/>
    </xf>
    <xf numFmtId="0" fontId="99" fillId="0" borderId="16" xfId="798" applyFont="1" applyBorder="1" applyAlignment="1">
      <alignment horizontal="center" vertical="center"/>
    </xf>
    <xf numFmtId="185" fontId="99" fillId="0" borderId="16" xfId="798" applyNumberFormat="1" applyFont="1" applyBorder="1" applyAlignment="1">
      <alignment horizontal="center" vertical="center"/>
    </xf>
    <xf numFmtId="2" fontId="75" fillId="21" borderId="16" xfId="0" applyNumberFormat="1" applyFont="1" applyFill="1" applyBorder="1" applyAlignment="1">
      <alignment horizontal="center" vertical="center"/>
    </xf>
    <xf numFmtId="182" fontId="99" fillId="0" borderId="16" xfId="798" applyNumberFormat="1" applyFont="1" applyBorder="1" applyAlignment="1">
      <alignment horizontal="center" vertical="center"/>
    </xf>
    <xf numFmtId="0" fontId="74" fillId="0" borderId="16" xfId="456" applyFont="1" applyBorder="1" applyAlignment="1">
      <alignment horizontal="center" vertical="center"/>
    </xf>
    <xf numFmtId="0" fontId="99" fillId="0" borderId="16" xfId="456" applyFont="1" applyBorder="1" applyAlignment="1">
      <alignment horizontal="left" vertical="center"/>
    </xf>
    <xf numFmtId="185" fontId="99" fillId="0" borderId="16" xfId="456" applyNumberFormat="1" applyFont="1" applyBorder="1" applyAlignment="1">
      <alignment horizontal="center" vertical="center"/>
    </xf>
    <xf numFmtId="182" fontId="99" fillId="0" borderId="16" xfId="456" applyNumberFormat="1" applyFont="1" applyBorder="1" applyAlignment="1">
      <alignment horizontal="center" vertical="center"/>
    </xf>
    <xf numFmtId="185" fontId="97" fillId="43" borderId="16" xfId="0" applyNumberFormat="1" applyFont="1" applyFill="1" applyBorder="1" applyAlignment="1">
      <alignment horizontal="center" vertical="center"/>
    </xf>
    <xf numFmtId="0" fontId="74" fillId="0" borderId="109" xfId="798" applyFont="1" applyBorder="1" applyAlignment="1">
      <alignment horizontal="left" vertical="top"/>
    </xf>
    <xf numFmtId="185" fontId="74" fillId="0" borderId="109" xfId="798" applyNumberFormat="1" applyFont="1" applyBorder="1" applyAlignment="1">
      <alignment horizontal="center" vertical="top"/>
    </xf>
    <xf numFmtId="182" fontId="74" fillId="0" borderId="109" xfId="798" applyNumberFormat="1" applyFont="1" applyBorder="1" applyAlignment="1">
      <alignment horizontal="center" vertical="top"/>
    </xf>
    <xf numFmtId="0" fontId="1" fillId="0" borderId="0" xfId="211" applyAlignment="1">
      <alignment horizontal="left" vertical="top"/>
    </xf>
    <xf numFmtId="0" fontId="75" fillId="0" borderId="0" xfId="0" applyFont="1" applyAlignment="1">
      <alignment horizontal="left" vertical="center"/>
    </xf>
    <xf numFmtId="0" fontId="40" fillId="0" borderId="0" xfId="0" applyFont="1" applyAlignment="1">
      <alignment horizontal="left"/>
    </xf>
    <xf numFmtId="0" fontId="73" fillId="0" borderId="0" xfId="238" applyFont="1" applyAlignment="1">
      <alignment horizontal="center" vertical="top"/>
    </xf>
    <xf numFmtId="0" fontId="190" fillId="0" borderId="0" xfId="238" applyFont="1" applyAlignment="1">
      <alignment horizontal="left" vertical="center"/>
    </xf>
    <xf numFmtId="0" fontId="188" fillId="0" borderId="0" xfId="456" applyFont="1" applyAlignment="1">
      <alignment horizontal="center" vertical="center"/>
    </xf>
    <xf numFmtId="0" fontId="188" fillId="0" borderId="0" xfId="456" applyFont="1" applyAlignment="1">
      <alignment vertical="center"/>
    </xf>
    <xf numFmtId="0" fontId="32" fillId="0" borderId="0" xfId="456" applyFont="1" applyAlignment="1">
      <alignment horizontal="center" vertical="center"/>
    </xf>
    <xf numFmtId="0" fontId="32" fillId="0" borderId="0" xfId="456" applyFont="1" applyAlignment="1">
      <alignment vertical="center"/>
    </xf>
    <xf numFmtId="0" fontId="99" fillId="0" borderId="16" xfId="238" applyFont="1" applyBorder="1" applyAlignment="1">
      <alignment horizontal="center" vertical="center"/>
    </xf>
    <xf numFmtId="0" fontId="99" fillId="0" borderId="16" xfId="799" applyFont="1" applyBorder="1" applyAlignment="1">
      <alignment horizontal="center" vertical="center"/>
    </xf>
    <xf numFmtId="0" fontId="99" fillId="0" borderId="16" xfId="799" applyFont="1" applyBorder="1" applyAlignment="1">
      <alignment horizontal="center" vertical="center" wrapText="1"/>
    </xf>
    <xf numFmtId="0" fontId="97" fillId="0" borderId="16" xfId="0" applyFont="1" applyBorder="1" applyAlignment="1">
      <alignment vertical="center"/>
    </xf>
    <xf numFmtId="0" fontId="97" fillId="21" borderId="16" xfId="0" applyFont="1" applyFill="1" applyBorder="1" applyAlignment="1">
      <alignment horizontal="center" vertical="center" wrapText="1"/>
    </xf>
    <xf numFmtId="0" fontId="184" fillId="0" borderId="99" xfId="144" applyFont="1" applyBorder="1" applyAlignment="1">
      <alignment horizontal="center" vertical="center"/>
    </xf>
    <xf numFmtId="0" fontId="184" fillId="0" borderId="99" xfId="144" applyFont="1" applyBorder="1" applyAlignment="1">
      <alignment horizontal="center" vertical="center" wrapText="1"/>
    </xf>
    <xf numFmtId="0" fontId="184" fillId="0" borderId="99" xfId="144" applyFont="1" applyBorder="1" applyAlignment="1">
      <alignment vertical="center" wrapText="1"/>
    </xf>
    <xf numFmtId="0" fontId="74" fillId="0" borderId="0" xfId="457" applyFont="1" applyAlignment="1">
      <alignment horizontal="center" vertical="center"/>
    </xf>
    <xf numFmtId="0" fontId="74" fillId="0" borderId="0" xfId="457" applyFont="1" applyAlignment="1">
      <alignment horizontal="left" vertical="center"/>
    </xf>
    <xf numFmtId="185" fontId="74" fillId="0" borderId="0" xfId="457" applyNumberFormat="1" applyFont="1" applyAlignment="1">
      <alignment horizontal="center" vertical="center"/>
    </xf>
    <xf numFmtId="182" fontId="74" fillId="0" borderId="0" xfId="457" applyNumberFormat="1" applyFont="1" applyAlignment="1">
      <alignment horizontal="center" vertical="center"/>
    </xf>
    <xf numFmtId="0" fontId="74" fillId="0" borderId="0" xfId="799" applyFont="1" applyAlignment="1">
      <alignment horizontal="center" vertical="center"/>
    </xf>
    <xf numFmtId="0" fontId="74" fillId="0" borderId="0" xfId="799" applyFont="1" applyAlignment="1">
      <alignment horizontal="left" vertical="top"/>
    </xf>
    <xf numFmtId="185" fontId="74" fillId="0" borderId="0" xfId="799" applyNumberFormat="1" applyFont="1" applyAlignment="1">
      <alignment horizontal="center" vertical="center"/>
    </xf>
    <xf numFmtId="182" fontId="74" fillId="0" borderId="0" xfId="799" applyNumberFormat="1" applyFont="1" applyAlignment="1">
      <alignment horizontal="center" vertical="center"/>
    </xf>
    <xf numFmtId="185" fontId="74" fillId="0" borderId="0" xfId="799" applyNumberFormat="1" applyFont="1" applyAlignment="1">
      <alignment horizontal="center" vertical="top"/>
    </xf>
    <xf numFmtId="185" fontId="74" fillId="21" borderId="0" xfId="799" applyNumberFormat="1" applyFont="1" applyFill="1" applyAlignment="1">
      <alignment horizontal="center" vertical="center"/>
    </xf>
    <xf numFmtId="0" fontId="61" fillId="0" borderId="0" xfId="144" applyFont="1" applyAlignment="1">
      <alignment vertical="center"/>
    </xf>
    <xf numFmtId="0" fontId="61" fillId="0" borderId="0" xfId="144" applyFont="1" applyAlignment="1">
      <alignment horizontal="center" vertical="center"/>
    </xf>
    <xf numFmtId="2" fontId="61" fillId="0" borderId="0" xfId="144" applyNumberFormat="1" applyFont="1" applyAlignment="1">
      <alignment vertical="center"/>
    </xf>
    <xf numFmtId="1" fontId="61" fillId="0" borderId="0" xfId="144" applyNumberFormat="1" applyFont="1" applyAlignment="1">
      <alignment horizontal="center" vertical="center"/>
    </xf>
    <xf numFmtId="0" fontId="99" fillId="0" borderId="0" xfId="457" applyFont="1" applyAlignment="1">
      <alignment horizontal="left" vertical="center"/>
    </xf>
    <xf numFmtId="185" fontId="99" fillId="0" borderId="0" xfId="457" applyNumberFormat="1" applyFont="1" applyAlignment="1">
      <alignment horizontal="center" vertical="center"/>
    </xf>
    <xf numFmtId="182" fontId="99" fillId="0" borderId="0" xfId="457" applyNumberFormat="1" applyFont="1" applyAlignment="1">
      <alignment horizontal="center" vertical="center"/>
    </xf>
    <xf numFmtId="185" fontId="99" fillId="0" borderId="0" xfId="799" applyNumberFormat="1" applyFont="1" applyAlignment="1">
      <alignment horizontal="center" vertical="center"/>
    </xf>
    <xf numFmtId="0" fontId="99" fillId="0" borderId="0" xfId="799" applyFont="1" applyAlignment="1">
      <alignment horizontal="left" vertical="top"/>
    </xf>
    <xf numFmtId="182" fontId="99" fillId="0" borderId="0" xfId="799" applyNumberFormat="1" applyFont="1" applyAlignment="1">
      <alignment horizontal="center" vertical="center"/>
    </xf>
    <xf numFmtId="185" fontId="99" fillId="0" borderId="0" xfId="799" applyNumberFormat="1" applyFont="1" applyAlignment="1">
      <alignment horizontal="center" vertical="top"/>
    </xf>
    <xf numFmtId="185" fontId="99" fillId="21" borderId="0" xfId="799" applyNumberFormat="1" applyFont="1" applyFill="1" applyAlignment="1">
      <alignment horizontal="center" vertical="center"/>
    </xf>
    <xf numFmtId="0" fontId="97" fillId="0" borderId="0" xfId="0" applyFont="1" applyAlignment="1">
      <alignment vertical="center"/>
    </xf>
    <xf numFmtId="2" fontId="97" fillId="0" borderId="0" xfId="0" applyNumberFormat="1" applyFont="1" applyAlignment="1">
      <alignment horizontal="center" vertical="center"/>
    </xf>
    <xf numFmtId="2" fontId="97" fillId="0" borderId="0" xfId="0" applyNumberFormat="1" applyFont="1" applyAlignment="1">
      <alignment vertical="center"/>
    </xf>
    <xf numFmtId="2" fontId="184" fillId="0" borderId="0" xfId="144" applyNumberFormat="1" applyFont="1" applyAlignment="1">
      <alignment vertical="center"/>
    </xf>
    <xf numFmtId="0" fontId="99" fillId="0" borderId="99" xfId="457" applyFont="1" applyBorder="1" applyAlignment="1">
      <alignment horizontal="left" vertical="center"/>
    </xf>
    <xf numFmtId="185" fontId="99" fillId="0" borderId="99" xfId="457" applyNumberFormat="1" applyFont="1" applyBorder="1" applyAlignment="1">
      <alignment horizontal="center" vertical="center"/>
    </xf>
    <xf numFmtId="182" fontId="99" fillId="0" borderId="99" xfId="457" applyNumberFormat="1" applyFont="1" applyBorder="1" applyAlignment="1">
      <alignment horizontal="center" vertical="center"/>
    </xf>
    <xf numFmtId="185" fontId="99" fillId="0" borderId="99" xfId="799" applyNumberFormat="1" applyFont="1" applyBorder="1" applyAlignment="1">
      <alignment horizontal="center" vertical="center"/>
    </xf>
    <xf numFmtId="0" fontId="74" fillId="0" borderId="99" xfId="799" applyFont="1" applyBorder="1" applyAlignment="1">
      <alignment horizontal="center" vertical="center"/>
    </xf>
    <xf numFmtId="0" fontId="51" fillId="0" borderId="99" xfId="0" applyFont="1" applyBorder="1"/>
    <xf numFmtId="0" fontId="51" fillId="0" borderId="99" xfId="0" applyFont="1" applyBorder="1" applyAlignment="1">
      <alignment vertical="center"/>
    </xf>
    <xf numFmtId="0" fontId="97" fillId="0" borderId="99" xfId="0" applyFont="1" applyBorder="1" applyAlignment="1">
      <alignment vertical="center"/>
    </xf>
    <xf numFmtId="0" fontId="97" fillId="0" borderId="99" xfId="0" applyFont="1" applyBorder="1" applyAlignment="1">
      <alignment horizontal="center" vertical="center"/>
    </xf>
    <xf numFmtId="2" fontId="97" fillId="0" borderId="99" xfId="0" applyNumberFormat="1" applyFont="1" applyBorder="1" applyAlignment="1">
      <alignment horizontal="center" vertical="center"/>
    </xf>
    <xf numFmtId="0" fontId="184" fillId="0" borderId="0" xfId="144" applyFont="1" applyAlignment="1">
      <alignment vertical="center"/>
    </xf>
    <xf numFmtId="0" fontId="184" fillId="0" borderId="0" xfId="144" applyFont="1" applyAlignment="1">
      <alignment horizontal="center" vertical="center"/>
    </xf>
    <xf numFmtId="0" fontId="74" fillId="0" borderId="16" xfId="238" applyFont="1" applyBorder="1" applyAlignment="1">
      <alignment horizontal="center" vertical="top"/>
    </xf>
    <xf numFmtId="185" fontId="99" fillId="0" borderId="16" xfId="799" applyNumberFormat="1" applyFont="1" applyBorder="1" applyAlignment="1">
      <alignment horizontal="center" vertical="center"/>
    </xf>
    <xf numFmtId="0" fontId="74" fillId="0" borderId="16" xfId="799" applyFont="1" applyBorder="1" applyAlignment="1">
      <alignment horizontal="center" vertical="center"/>
    </xf>
    <xf numFmtId="0" fontId="99" fillId="0" borderId="16" xfId="799" applyFont="1" applyBorder="1" applyAlignment="1">
      <alignment horizontal="left" vertical="top"/>
    </xf>
    <xf numFmtId="182" fontId="99" fillId="0" borderId="16" xfId="799" applyNumberFormat="1" applyFont="1" applyBorder="1" applyAlignment="1">
      <alignment horizontal="center" vertical="center"/>
    </xf>
    <xf numFmtId="185" fontId="99" fillId="0" borderId="16" xfId="799" applyNumberFormat="1" applyFont="1" applyBorder="1" applyAlignment="1">
      <alignment horizontal="center" vertical="top"/>
    </xf>
    <xf numFmtId="185" fontId="99" fillId="21" borderId="16" xfId="799" applyNumberFormat="1" applyFont="1" applyFill="1" applyBorder="1" applyAlignment="1">
      <alignment horizontal="center" vertical="center"/>
    </xf>
    <xf numFmtId="0" fontId="51" fillId="0" borderId="16" xfId="0" applyFont="1" applyBorder="1" applyAlignment="1">
      <alignment vertical="center"/>
    </xf>
    <xf numFmtId="2" fontId="97" fillId="0" borderId="16" xfId="0" applyNumberFormat="1" applyFont="1" applyBorder="1" applyAlignment="1">
      <alignment horizontal="center" vertical="center"/>
    </xf>
    <xf numFmtId="0" fontId="74" fillId="0" borderId="0" xfId="799" applyFont="1" applyAlignment="1">
      <alignment vertical="top"/>
    </xf>
    <xf numFmtId="0" fontId="61" fillId="0" borderId="0" xfId="799" applyFont="1"/>
    <xf numFmtId="0" fontId="184" fillId="0" borderId="99" xfId="144" applyFont="1" applyBorder="1" applyAlignment="1">
      <alignment vertical="center"/>
    </xf>
    <xf numFmtId="2" fontId="184" fillId="0" borderId="99" xfId="144" applyNumberFormat="1" applyFont="1" applyBorder="1" applyAlignment="1">
      <alignment vertical="center"/>
    </xf>
    <xf numFmtId="1" fontId="61" fillId="0" borderId="99" xfId="144" applyNumberFormat="1" applyFont="1" applyBorder="1" applyAlignment="1">
      <alignment horizontal="center" vertical="center"/>
    </xf>
    <xf numFmtId="171" fontId="184" fillId="21" borderId="99" xfId="144" applyNumberFormat="1" applyFont="1" applyFill="1" applyBorder="1" applyAlignment="1">
      <alignment vertical="center"/>
    </xf>
    <xf numFmtId="0" fontId="74" fillId="0" borderId="16" xfId="457" applyFont="1" applyBorder="1" applyAlignment="1">
      <alignment horizontal="center" vertical="center"/>
    </xf>
    <xf numFmtId="0" fontId="99" fillId="0" borderId="16" xfId="457" applyFont="1" applyBorder="1" applyAlignment="1">
      <alignment horizontal="left" vertical="center"/>
    </xf>
    <xf numFmtId="185" fontId="99" fillId="0" borderId="16" xfId="457" applyNumberFormat="1" applyFont="1" applyBorder="1" applyAlignment="1">
      <alignment horizontal="center" vertical="center"/>
    </xf>
    <xf numFmtId="182" fontId="99" fillId="0" borderId="16" xfId="457" applyNumberFormat="1" applyFont="1" applyBorder="1" applyAlignment="1">
      <alignment horizontal="center" vertical="center"/>
    </xf>
    <xf numFmtId="0" fontId="38" fillId="0" borderId="0" xfId="0" applyFont="1" applyAlignment="1">
      <alignment horizontal="center"/>
    </xf>
    <xf numFmtId="185" fontId="99" fillId="43" borderId="16" xfId="799" applyNumberFormat="1" applyFont="1" applyFill="1" applyBorder="1" applyAlignment="1">
      <alignment horizontal="center" vertical="top"/>
    </xf>
    <xf numFmtId="185" fontId="99" fillId="21" borderId="16" xfId="799" applyNumberFormat="1" applyFont="1" applyFill="1" applyBorder="1" applyAlignment="1">
      <alignment horizontal="center" vertical="top"/>
    </xf>
    <xf numFmtId="182" fontId="99" fillId="0" borderId="16" xfId="799" applyNumberFormat="1" applyFont="1" applyBorder="1" applyAlignment="1">
      <alignment horizontal="center" vertical="top"/>
    </xf>
    <xf numFmtId="2" fontId="51" fillId="0" borderId="0" xfId="0" applyNumberFormat="1" applyFont="1" applyAlignment="1">
      <alignment vertical="center"/>
    </xf>
    <xf numFmtId="2" fontId="97" fillId="21" borderId="16" xfId="0" applyNumberFormat="1" applyFont="1" applyFill="1" applyBorder="1" applyAlignment="1">
      <alignment horizontal="center" vertical="center"/>
    </xf>
    <xf numFmtId="0" fontId="61" fillId="0" borderId="0" xfId="211" applyFont="1" applyAlignment="1">
      <alignment vertical="center"/>
    </xf>
    <xf numFmtId="0" fontId="60" fillId="0" borderId="0" xfId="0" applyFont="1"/>
    <xf numFmtId="0" fontId="179" fillId="0" borderId="0" xfId="0" applyFont="1" applyAlignment="1">
      <alignment horizontal="center" vertical="top"/>
    </xf>
    <xf numFmtId="0" fontId="192" fillId="0" borderId="0" xfId="0" applyFont="1" applyAlignment="1">
      <alignment horizontal="center" vertical="center" wrapText="1"/>
    </xf>
    <xf numFmtId="0" fontId="62" fillId="0" borderId="0" xfId="0" applyFont="1" applyAlignment="1">
      <alignment horizontal="left" vertical="center"/>
    </xf>
    <xf numFmtId="0" fontId="60" fillId="0" borderId="0" xfId="0" applyFont="1" applyAlignment="1">
      <alignment horizontal="left" vertical="center"/>
    </xf>
    <xf numFmtId="0" fontId="28" fillId="0" borderId="0" xfId="455" applyFont="1" applyAlignment="1">
      <alignment vertical="center"/>
    </xf>
    <xf numFmtId="0" fontId="6" fillId="0" borderId="0" xfId="455" applyFont="1"/>
    <xf numFmtId="0" fontId="48" fillId="0" borderId="0" xfId="0" applyFont="1" applyAlignment="1">
      <alignment horizontal="left"/>
    </xf>
    <xf numFmtId="0" fontId="44" fillId="0" borderId="99" xfId="0" applyFont="1" applyBorder="1" applyAlignment="1">
      <alignment horizontal="center" vertical="center"/>
    </xf>
    <xf numFmtId="171" fontId="132" fillId="0" borderId="95" xfId="0" applyNumberFormat="1" applyFont="1" applyBorder="1" applyAlignment="1">
      <alignment horizontal="center" vertical="center" wrapText="1"/>
    </xf>
    <xf numFmtId="1" fontId="132" fillId="0" borderId="78" xfId="0" applyNumberFormat="1" applyFont="1" applyBorder="1" applyAlignment="1">
      <alignment horizontal="center" vertical="center" wrapText="1"/>
    </xf>
    <xf numFmtId="0" fontId="132" fillId="0" borderId="107" xfId="0" applyFont="1" applyBorder="1" applyAlignment="1">
      <alignment horizontal="center" vertical="center" wrapText="1"/>
    </xf>
    <xf numFmtId="0" fontId="132" fillId="0" borderId="78" xfId="0" applyFont="1" applyBorder="1" applyAlignment="1">
      <alignment horizontal="center" vertical="center" wrapText="1"/>
    </xf>
    <xf numFmtId="3" fontId="132" fillId="0" borderId="78" xfId="0" applyNumberFormat="1" applyFont="1" applyBorder="1" applyAlignment="1">
      <alignment horizontal="center" vertical="center" wrapText="1"/>
    </xf>
    <xf numFmtId="0" fontId="132" fillId="0" borderId="95" xfId="0" applyFont="1" applyBorder="1" applyAlignment="1">
      <alignment horizontal="center" vertical="center" wrapText="1"/>
    </xf>
    <xf numFmtId="9" fontId="132" fillId="0" borderId="95" xfId="0" applyNumberFormat="1" applyFont="1" applyBorder="1" applyAlignment="1">
      <alignment horizontal="center" vertical="center" wrapText="1"/>
    </xf>
    <xf numFmtId="0" fontId="193" fillId="0" borderId="0" xfId="0" applyFont="1"/>
    <xf numFmtId="0" fontId="62" fillId="0" borderId="0" xfId="0" applyFont="1" applyAlignment="1">
      <alignment horizontal="left" vertical="center" wrapText="1"/>
    </xf>
    <xf numFmtId="0" fontId="132" fillId="0" borderId="100" xfId="0" applyFont="1" applyBorder="1" applyAlignment="1">
      <alignment horizontal="left" vertical="center" wrapText="1"/>
    </xf>
    <xf numFmtId="0" fontId="173" fillId="0" borderId="94" xfId="0" applyFont="1" applyBorder="1" applyAlignment="1">
      <alignment horizontal="center" vertical="center" wrapText="1"/>
    </xf>
    <xf numFmtId="0" fontId="60" fillId="0" borderId="83" xfId="0" applyFont="1" applyBorder="1" applyAlignment="1">
      <alignment horizontal="center" vertical="center" wrapText="1"/>
    </xf>
    <xf numFmtId="0" fontId="44" fillId="0" borderId="0" xfId="0" applyFont="1" applyAlignment="1">
      <alignment horizontal="right" vertical="center" wrapText="1"/>
    </xf>
    <xf numFmtId="0" fontId="44" fillId="0" borderId="0" xfId="0" applyFont="1" applyAlignment="1">
      <alignment horizontal="left" vertical="center" wrapText="1"/>
    </xf>
    <xf numFmtId="0" fontId="44" fillId="0" borderId="0" xfId="0" applyFont="1" applyAlignment="1">
      <alignment horizontal="left"/>
    </xf>
    <xf numFmtId="0" fontId="44" fillId="0" borderId="99" xfId="0" applyFont="1" applyBorder="1" applyAlignment="1">
      <alignment wrapText="1"/>
    </xf>
    <xf numFmtId="0" fontId="132" fillId="0" borderId="0" xfId="0" applyFont="1" applyAlignment="1">
      <alignment horizontal="center"/>
    </xf>
    <xf numFmtId="0" fontId="100" fillId="0" borderId="83" xfId="377" applyBorder="1" applyAlignment="1">
      <alignment horizontal="center" vertical="center" wrapText="1"/>
    </xf>
    <xf numFmtId="0" fontId="132" fillId="0" borderId="0" xfId="0" applyFont="1" applyAlignment="1">
      <alignment horizontal="center" vertical="center" wrapText="1"/>
    </xf>
    <xf numFmtId="0" fontId="133" fillId="0" borderId="103" xfId="0" applyFont="1" applyBorder="1" applyAlignment="1">
      <alignment horizontal="center" vertical="center" wrapText="1"/>
    </xf>
    <xf numFmtId="0" fontId="52" fillId="0" borderId="0" xfId="0" applyFont="1" applyAlignment="1">
      <alignment horizontal="center"/>
    </xf>
    <xf numFmtId="0" fontId="60" fillId="0" borderId="94" xfId="0" applyFont="1" applyBorder="1" applyAlignment="1">
      <alignment horizontal="center" vertical="center" wrapText="1"/>
    </xf>
    <xf numFmtId="0" fontId="100" fillId="0" borderId="100" xfId="377" applyBorder="1" applyAlignment="1">
      <alignment horizontal="center" vertical="center" wrapText="1"/>
    </xf>
    <xf numFmtId="0" fontId="100" fillId="22" borderId="100" xfId="377" applyFill="1" applyBorder="1" applyAlignment="1">
      <alignment horizontal="center" vertical="center" wrapText="1"/>
    </xf>
    <xf numFmtId="0" fontId="51" fillId="33" borderId="83" xfId="0" applyFont="1" applyFill="1" applyBorder="1" applyAlignment="1">
      <alignment horizontal="center" vertical="center" wrapText="1"/>
    </xf>
    <xf numFmtId="0" fontId="52" fillId="33" borderId="83" xfId="0" applyFont="1" applyFill="1" applyBorder="1"/>
    <xf numFmtId="0" fontId="174" fillId="33" borderId="94" xfId="377" applyFont="1" applyFill="1" applyBorder="1" applyAlignment="1">
      <alignment vertical="center" wrapText="1"/>
    </xf>
    <xf numFmtId="0" fontId="49" fillId="0" borderId="0" xfId="0" applyFont="1" applyAlignment="1">
      <alignment horizontal="left" vertical="center"/>
    </xf>
    <xf numFmtId="0" fontId="74" fillId="0" borderId="0" xfId="454" applyFont="1" applyAlignment="1">
      <alignment horizontal="center" vertical="center"/>
    </xf>
    <xf numFmtId="0" fontId="74" fillId="0" borderId="0" xfId="454" applyFont="1" applyAlignment="1">
      <alignment vertical="center"/>
    </xf>
    <xf numFmtId="0" fontId="61" fillId="0" borderId="0" xfId="454" applyFont="1" applyAlignment="1">
      <alignment horizontal="center" vertical="center"/>
    </xf>
    <xf numFmtId="0" fontId="61" fillId="0" borderId="0" xfId="454" applyFont="1" applyAlignment="1">
      <alignment vertical="center"/>
    </xf>
    <xf numFmtId="0" fontId="99" fillId="0" borderId="0" xfId="454" applyFont="1" applyAlignment="1">
      <alignment horizontal="center" vertical="center"/>
    </xf>
    <xf numFmtId="0" fontId="99" fillId="0" borderId="0" xfId="454" applyFont="1" applyAlignment="1">
      <alignment vertical="center"/>
    </xf>
    <xf numFmtId="0" fontId="99" fillId="0" borderId="0" xfId="238" applyFont="1" applyAlignment="1">
      <alignment vertical="center"/>
    </xf>
    <xf numFmtId="0" fontId="99" fillId="0" borderId="16" xfId="454" applyFont="1" applyBorder="1" applyAlignment="1">
      <alignment horizontal="center" vertical="center"/>
    </xf>
    <xf numFmtId="0" fontId="99" fillId="0" borderId="16" xfId="454" applyFont="1" applyBorder="1" applyAlignment="1">
      <alignment vertical="center"/>
    </xf>
    <xf numFmtId="0" fontId="99" fillId="0" borderId="16" xfId="454" applyFont="1" applyBorder="1" applyAlignment="1">
      <alignment horizontal="center" vertical="center" wrapText="1"/>
    </xf>
    <xf numFmtId="0" fontId="191" fillId="43" borderId="16" xfId="0" applyFont="1" applyFill="1" applyBorder="1" applyAlignment="1">
      <alignment horizontal="center" vertical="center" wrapText="1"/>
    </xf>
    <xf numFmtId="0" fontId="99" fillId="21" borderId="16" xfId="238" applyFont="1" applyFill="1" applyBorder="1" applyAlignment="1">
      <alignment horizontal="center" vertical="center" wrapText="1"/>
    </xf>
    <xf numFmtId="0" fontId="178" fillId="0" borderId="16" xfId="227" applyFont="1" applyBorder="1" applyAlignment="1">
      <alignment horizontal="center" vertical="center" wrapText="1"/>
    </xf>
    <xf numFmtId="0" fontId="74" fillId="0" borderId="0" xfId="454" applyFont="1" applyAlignment="1">
      <alignment horizontal="left" vertical="center"/>
    </xf>
    <xf numFmtId="182" fontId="74" fillId="0" borderId="0" xfId="454" applyNumberFormat="1" applyFont="1" applyAlignment="1">
      <alignment horizontal="center" vertical="center"/>
    </xf>
    <xf numFmtId="0" fontId="74" fillId="0" borderId="0" xfId="173" applyFont="1" applyAlignment="1">
      <alignment horizontal="left" vertical="center"/>
    </xf>
    <xf numFmtId="182" fontId="74" fillId="0" borderId="0" xfId="173" applyNumberFormat="1" applyFont="1" applyAlignment="1">
      <alignment horizontal="center" vertical="center"/>
    </xf>
    <xf numFmtId="0" fontId="74" fillId="0" borderId="0" xfId="238" applyFont="1" applyAlignment="1">
      <alignment horizontal="left" vertical="center"/>
    </xf>
    <xf numFmtId="3" fontId="74" fillId="0" borderId="0" xfId="238" applyNumberFormat="1" applyFont="1" applyAlignment="1">
      <alignment horizontal="center" vertical="center"/>
    </xf>
    <xf numFmtId="10" fontId="51" fillId="21" borderId="0" xfId="176" applyNumberFormat="1" applyFont="1" applyFill="1" applyAlignment="1">
      <alignment horizontal="center" vertical="center"/>
    </xf>
    <xf numFmtId="10" fontId="51" fillId="0" borderId="0" xfId="176" applyNumberFormat="1" applyFont="1" applyAlignment="1">
      <alignment vertical="center"/>
    </xf>
    <xf numFmtId="3" fontId="32" fillId="0" borderId="0" xfId="227" applyNumberFormat="1" applyFont="1" applyAlignment="1">
      <alignment vertical="center"/>
    </xf>
    <xf numFmtId="10" fontId="51" fillId="0" borderId="0" xfId="228" applyNumberFormat="1" applyFont="1" applyAlignment="1">
      <alignment vertical="center"/>
    </xf>
    <xf numFmtId="0" fontId="99" fillId="20" borderId="0" xfId="454" applyFont="1" applyFill="1" applyAlignment="1">
      <alignment vertical="center"/>
    </xf>
    <xf numFmtId="182" fontId="99" fillId="20" borderId="0" xfId="454" applyNumberFormat="1" applyFont="1" applyFill="1" applyAlignment="1">
      <alignment horizontal="center" vertical="center"/>
    </xf>
    <xf numFmtId="0" fontId="99" fillId="20" borderId="0" xfId="454" applyFont="1" applyFill="1" applyAlignment="1">
      <alignment horizontal="center" vertical="center"/>
    </xf>
    <xf numFmtId="10" fontId="99" fillId="20" borderId="0" xfId="176" applyNumberFormat="1" applyFont="1" applyFill="1" applyAlignment="1">
      <alignment horizontal="center" vertical="center"/>
    </xf>
    <xf numFmtId="182" fontId="99" fillId="0" borderId="0" xfId="173" applyNumberFormat="1" applyFont="1" applyAlignment="1">
      <alignment horizontal="center" vertical="center"/>
    </xf>
    <xf numFmtId="3" fontId="99" fillId="0" borderId="0" xfId="238" applyNumberFormat="1" applyFont="1" applyAlignment="1">
      <alignment horizontal="center" vertical="center"/>
    </xf>
    <xf numFmtId="10" fontId="97" fillId="21" borderId="0" xfId="176" applyNumberFormat="1" applyFont="1" applyFill="1" applyAlignment="1">
      <alignment horizontal="center" vertical="center"/>
    </xf>
    <xf numFmtId="0" fontId="178" fillId="0" borderId="0" xfId="227" applyFont="1" applyAlignment="1">
      <alignment vertical="center"/>
    </xf>
    <xf numFmtId="3" fontId="178" fillId="0" borderId="0" xfId="227" applyNumberFormat="1" applyFont="1" applyAlignment="1">
      <alignment vertical="center"/>
    </xf>
    <xf numFmtId="10" fontId="178" fillId="0" borderId="0" xfId="228" applyNumberFormat="1" applyFont="1" applyAlignment="1">
      <alignment vertical="center"/>
    </xf>
    <xf numFmtId="0" fontId="74" fillId="0" borderId="99" xfId="238" applyFont="1" applyBorder="1" applyAlignment="1">
      <alignment horizontal="center" vertical="center"/>
    </xf>
    <xf numFmtId="0" fontId="99" fillId="0" borderId="99" xfId="238" applyFont="1" applyBorder="1" applyAlignment="1">
      <alignment vertical="center"/>
    </xf>
    <xf numFmtId="3" fontId="99" fillId="0" borderId="99" xfId="238" applyNumberFormat="1" applyFont="1" applyBorder="1" applyAlignment="1">
      <alignment horizontal="center" vertical="center"/>
    </xf>
    <xf numFmtId="10" fontId="97" fillId="21" borderId="99" xfId="176" applyNumberFormat="1" applyFont="1" applyFill="1" applyBorder="1" applyAlignment="1">
      <alignment horizontal="center" vertical="center"/>
    </xf>
    <xf numFmtId="0" fontId="99" fillId="0" borderId="99" xfId="454" applyFont="1" applyBorder="1" applyAlignment="1">
      <alignment vertical="center"/>
    </xf>
    <xf numFmtId="182" fontId="99" fillId="0" borderId="99" xfId="454" applyNumberFormat="1" applyFont="1" applyBorder="1" applyAlignment="1">
      <alignment horizontal="center" vertical="center"/>
    </xf>
    <xf numFmtId="0" fontId="99" fillId="0" borderId="99" xfId="454" applyFont="1" applyBorder="1" applyAlignment="1">
      <alignment horizontal="center" vertical="center"/>
    </xf>
    <xf numFmtId="10" fontId="99" fillId="0" borderId="99" xfId="176" applyNumberFormat="1" applyFont="1" applyBorder="1" applyAlignment="1">
      <alignment horizontal="center" vertical="center"/>
    </xf>
    <xf numFmtId="0" fontId="61" fillId="0" borderId="0" xfId="238" applyFont="1" applyAlignment="1">
      <alignment horizontal="left" vertical="center"/>
    </xf>
    <xf numFmtId="3" fontId="61" fillId="0" borderId="0" xfId="238" applyNumberFormat="1" applyFont="1" applyAlignment="1">
      <alignment horizontal="center" vertical="center"/>
    </xf>
    <xf numFmtId="10" fontId="61" fillId="21" borderId="0" xfId="176" applyNumberFormat="1" applyFont="1" applyFill="1" applyAlignment="1">
      <alignment horizontal="center" vertical="center"/>
    </xf>
    <xf numFmtId="0" fontId="32" fillId="0" borderId="16" xfId="227" applyFont="1" applyBorder="1" applyAlignment="1">
      <alignment vertical="center"/>
    </xf>
    <xf numFmtId="0" fontId="178" fillId="0" borderId="16" xfId="227" applyFont="1" applyBorder="1" applyAlignment="1">
      <alignment vertical="center"/>
    </xf>
    <xf numFmtId="3" fontId="178" fillId="0" borderId="16" xfId="227" applyNumberFormat="1" applyFont="1" applyBorder="1" applyAlignment="1">
      <alignment vertical="center"/>
    </xf>
    <xf numFmtId="10" fontId="178" fillId="0" borderId="16" xfId="228" applyNumberFormat="1" applyFont="1" applyBorder="1" applyAlignment="1">
      <alignment vertical="center"/>
    </xf>
    <xf numFmtId="0" fontId="74" fillId="0" borderId="16" xfId="238" applyFont="1" applyBorder="1" applyAlignment="1">
      <alignment horizontal="center" vertical="center"/>
    </xf>
    <xf numFmtId="0" fontId="99" fillId="0" borderId="16" xfId="238" applyFont="1" applyBorder="1" applyAlignment="1">
      <alignment vertical="center"/>
    </xf>
    <xf numFmtId="3" fontId="99" fillId="0" borderId="16" xfId="238" applyNumberFormat="1" applyFont="1" applyBorder="1" applyAlignment="1">
      <alignment horizontal="center" vertical="center"/>
    </xf>
    <xf numFmtId="10" fontId="97" fillId="21" borderId="16" xfId="176" applyNumberFormat="1" applyFont="1" applyFill="1" applyBorder="1" applyAlignment="1">
      <alignment horizontal="center" vertical="center"/>
    </xf>
    <xf numFmtId="0" fontId="51" fillId="0" borderId="16" xfId="0" applyFont="1" applyBorder="1" applyAlignment="1">
      <alignment horizontal="center" vertical="center"/>
    </xf>
    <xf numFmtId="10" fontId="51" fillId="0" borderId="16" xfId="176" applyNumberFormat="1" applyFont="1" applyBorder="1" applyAlignment="1">
      <alignment vertical="center"/>
    </xf>
    <xf numFmtId="0" fontId="178" fillId="0" borderId="16" xfId="227" applyFont="1" applyBorder="1" applyAlignment="1">
      <alignment horizontal="right" vertical="center"/>
    </xf>
    <xf numFmtId="0" fontId="74" fillId="0" borderId="16" xfId="454" applyFont="1" applyBorder="1" applyAlignment="1">
      <alignment horizontal="center" vertical="center"/>
    </xf>
    <xf numFmtId="182" fontId="99" fillId="0" borderId="16" xfId="454" applyNumberFormat="1" applyFont="1" applyBorder="1" applyAlignment="1">
      <alignment horizontal="center" vertical="center"/>
    </xf>
    <xf numFmtId="0" fontId="99" fillId="0" borderId="16" xfId="173" applyFont="1" applyBorder="1" applyAlignment="1">
      <alignment vertical="center"/>
    </xf>
    <xf numFmtId="182" fontId="99" fillId="0" borderId="16" xfId="173" applyNumberFormat="1" applyFont="1" applyBorder="1" applyAlignment="1">
      <alignment horizontal="center" vertical="center"/>
    </xf>
    <xf numFmtId="10" fontId="99" fillId="0" borderId="16" xfId="176" applyNumberFormat="1" applyFont="1" applyBorder="1" applyAlignment="1">
      <alignment horizontal="center" vertical="center"/>
    </xf>
    <xf numFmtId="168" fontId="51" fillId="0" borderId="0" xfId="228" applyNumberFormat="1" applyFont="1" applyAlignment="1">
      <alignment vertical="center"/>
    </xf>
    <xf numFmtId="0" fontId="74" fillId="0" borderId="0" xfId="173" applyFont="1" applyAlignment="1">
      <alignment vertical="center"/>
    </xf>
    <xf numFmtId="0" fontId="61" fillId="0" borderId="0" xfId="173" applyFont="1" applyAlignment="1">
      <alignment vertical="center"/>
    </xf>
    <xf numFmtId="10" fontId="97" fillId="21" borderId="16" xfId="176" applyNumberFormat="1" applyFont="1" applyFill="1" applyBorder="1" applyAlignment="1">
      <alignment vertical="center"/>
    </xf>
    <xf numFmtId="168" fontId="178" fillId="21" borderId="16" xfId="228" applyNumberFormat="1" applyFont="1" applyFill="1" applyBorder="1" applyAlignment="1">
      <alignment vertical="center"/>
    </xf>
    <xf numFmtId="0" fontId="89" fillId="0" borderId="0" xfId="173" applyFont="1" applyAlignment="1">
      <alignment vertical="center"/>
    </xf>
    <xf numFmtId="0" fontId="179" fillId="0" borderId="0" xfId="0" applyFont="1" applyAlignment="1">
      <alignment vertical="center"/>
    </xf>
    <xf numFmtId="171" fontId="132" fillId="0" borderId="83" xfId="0" applyNumberFormat="1" applyFont="1" applyBorder="1" applyAlignment="1">
      <alignment horizontal="center" vertical="center"/>
    </xf>
    <xf numFmtId="0" fontId="100" fillId="22" borderId="83" xfId="377" applyFill="1" applyBorder="1" applyAlignment="1">
      <alignment horizontal="center" vertical="center" wrapText="1"/>
    </xf>
    <xf numFmtId="0" fontId="78" fillId="20" borderId="83" xfId="0" applyFont="1" applyFill="1" applyBorder="1" applyAlignment="1">
      <alignment horizontal="center" vertical="center"/>
    </xf>
    <xf numFmtId="0" fontId="132" fillId="42" borderId="0" xfId="0" applyFont="1" applyFill="1"/>
    <xf numFmtId="9" fontId="132" fillId="42" borderId="83" xfId="0" applyNumberFormat="1" applyFont="1" applyFill="1" applyBorder="1" applyAlignment="1">
      <alignment horizontal="center" vertical="center" wrapText="1"/>
    </xf>
    <xf numFmtId="0" fontId="132" fillId="42" borderId="83" xfId="0" applyFont="1" applyFill="1" applyBorder="1" applyAlignment="1">
      <alignment horizontal="center" vertical="center" wrapText="1"/>
    </xf>
    <xf numFmtId="3" fontId="132" fillId="42" borderId="93" xfId="0" applyNumberFormat="1" applyFont="1" applyFill="1" applyBorder="1" applyAlignment="1">
      <alignment horizontal="center" vertical="center" wrapText="1"/>
    </xf>
    <xf numFmtId="9" fontId="158" fillId="42" borderId="94" xfId="0" applyNumberFormat="1" applyFont="1" applyFill="1" applyBorder="1" applyAlignment="1">
      <alignment horizontal="center" vertical="center" wrapText="1"/>
    </xf>
    <xf numFmtId="9" fontId="132" fillId="42" borderId="100" xfId="0" applyNumberFormat="1" applyFont="1" applyFill="1" applyBorder="1" applyAlignment="1">
      <alignment horizontal="center" vertical="center" wrapText="1"/>
    </xf>
    <xf numFmtId="3" fontId="132" fillId="42" borderId="100" xfId="0" applyNumberFormat="1" applyFont="1" applyFill="1" applyBorder="1" applyAlignment="1">
      <alignment horizontal="center" vertical="center" wrapText="1"/>
    </xf>
    <xf numFmtId="0" fontId="132" fillId="42" borderId="13" xfId="0" applyFont="1" applyFill="1" applyBorder="1" applyAlignment="1">
      <alignment horizontal="center" vertical="center" wrapText="1"/>
    </xf>
    <xf numFmtId="3" fontId="132" fillId="42" borderId="83" xfId="0" applyNumberFormat="1" applyFont="1" applyFill="1" applyBorder="1" applyAlignment="1">
      <alignment horizontal="center" vertical="center" wrapText="1"/>
    </xf>
    <xf numFmtId="0" fontId="132" fillId="42" borderId="100" xfId="0" applyFont="1" applyFill="1" applyBorder="1" applyAlignment="1">
      <alignment horizontal="center" vertical="center" wrapText="1"/>
    </xf>
    <xf numFmtId="0" fontId="52" fillId="42" borderId="0" xfId="0" applyFont="1" applyFill="1"/>
    <xf numFmtId="9" fontId="158" fillId="0" borderId="93" xfId="176" applyFont="1" applyBorder="1" applyAlignment="1">
      <alignment horizontal="center" vertical="center" wrapText="1"/>
    </xf>
    <xf numFmtId="9" fontId="158" fillId="0" borderId="83" xfId="176" applyFont="1" applyBorder="1" applyAlignment="1">
      <alignment horizontal="center" vertical="center" wrapText="1"/>
    </xf>
    <xf numFmtId="168" fontId="48" fillId="0" borderId="0" xfId="176" applyNumberFormat="1" applyFont="1"/>
    <xf numFmtId="168" fontId="158" fillId="0" borderId="83" xfId="176" applyNumberFormat="1" applyFont="1" applyBorder="1" applyAlignment="1">
      <alignment horizontal="center" vertical="center" wrapText="1"/>
    </xf>
    <xf numFmtId="0" fontId="7" fillId="0" borderId="98" xfId="173" applyFont="1" applyBorder="1" applyAlignment="1">
      <alignment vertical="center" wrapText="1"/>
    </xf>
    <xf numFmtId="0" fontId="7" fillId="0" borderId="111" xfId="173" applyFont="1" applyBorder="1" applyAlignment="1">
      <alignment vertical="center" wrapText="1"/>
    </xf>
    <xf numFmtId="0" fontId="7" fillId="0" borderId="112" xfId="173" applyFont="1" applyBorder="1" applyAlignment="1">
      <alignment vertical="center" wrapText="1"/>
    </xf>
    <xf numFmtId="167" fontId="23" fillId="20" borderId="22" xfId="109" applyNumberFormat="1" applyFont="1" applyFill="1" applyBorder="1" applyAlignment="1">
      <alignment horizontal="right" vertical="center" wrapText="1" indent="1"/>
    </xf>
    <xf numFmtId="0" fontId="38" fillId="0" borderId="0" xfId="0" applyFont="1" applyAlignment="1">
      <alignment vertical="center"/>
    </xf>
    <xf numFmtId="0" fontId="102" fillId="0" borderId="0" xfId="0" applyFont="1" applyAlignment="1">
      <alignment vertical="center"/>
    </xf>
    <xf numFmtId="0" fontId="55" fillId="0" borderId="80" xfId="173" applyFont="1" applyBorder="1" applyAlignment="1">
      <alignment horizontal="center" vertical="center" wrapText="1"/>
    </xf>
    <xf numFmtId="0" fontId="55" fillId="0" borderId="22" xfId="173" applyFont="1" applyBorder="1" applyAlignment="1">
      <alignment horizontal="center" vertical="center" wrapText="1"/>
    </xf>
    <xf numFmtId="0" fontId="80" fillId="20" borderId="22" xfId="173" applyFont="1" applyFill="1" applyBorder="1" applyAlignment="1">
      <alignment horizontal="center" vertical="center" wrapText="1"/>
    </xf>
    <xf numFmtId="0" fontId="80" fillId="20" borderId="25" xfId="173" applyFont="1" applyFill="1" applyBorder="1" applyAlignment="1">
      <alignment horizontal="center" vertical="center" wrapText="1"/>
    </xf>
    <xf numFmtId="0" fontId="55" fillId="0" borderId="28" xfId="173" applyFont="1" applyBorder="1" applyAlignment="1">
      <alignment horizontal="center" vertical="center" wrapText="1"/>
    </xf>
    <xf numFmtId="0" fontId="55" fillId="0" borderId="97" xfId="173" applyFont="1" applyBorder="1" applyAlignment="1">
      <alignment horizontal="center" vertical="center" wrapText="1"/>
    </xf>
    <xf numFmtId="0" fontId="55" fillId="0" borderId="4" xfId="173" applyFont="1" applyBorder="1" applyAlignment="1">
      <alignment horizontal="center" vertical="center" wrapText="1"/>
    </xf>
    <xf numFmtId="0" fontId="55" fillId="0" borderId="22" xfId="173" applyFont="1" applyBorder="1" applyAlignment="1">
      <alignment horizontal="center" vertical="center"/>
    </xf>
    <xf numFmtId="0" fontId="55" fillId="0" borderId="122" xfId="173" applyFont="1" applyBorder="1" applyAlignment="1">
      <alignment horizontal="center" vertical="center" wrapText="1"/>
    </xf>
    <xf numFmtId="0" fontId="55" fillId="0" borderId="115" xfId="173" applyFont="1" applyBorder="1" applyAlignment="1">
      <alignment horizontal="center" vertical="center" wrapText="1"/>
    </xf>
    <xf numFmtId="0" fontId="55" fillId="0" borderId="117" xfId="173" applyFont="1" applyBorder="1" applyAlignment="1">
      <alignment horizontal="center" vertical="center" wrapText="1"/>
    </xf>
    <xf numFmtId="0" fontId="55" fillId="0" borderId="80" xfId="173" applyFont="1" applyBorder="1" applyAlignment="1">
      <alignment horizontal="center" vertical="center"/>
    </xf>
    <xf numFmtId="0" fontId="80" fillId="20" borderId="22" xfId="173" applyFont="1" applyFill="1" applyBorder="1" applyAlignment="1">
      <alignment horizontal="center" vertical="center"/>
    </xf>
    <xf numFmtId="0" fontId="80" fillId="20" borderId="25" xfId="173" applyFont="1" applyFill="1" applyBorder="1" applyAlignment="1">
      <alignment horizontal="center" vertical="center"/>
    </xf>
    <xf numFmtId="0" fontId="55" fillId="0" borderId="80" xfId="173" applyFont="1" applyBorder="1" applyAlignment="1">
      <alignment horizontal="right" vertical="center" wrapText="1" indent="1"/>
    </xf>
    <xf numFmtId="0" fontId="55" fillId="0" borderId="22" xfId="173" applyFont="1" applyBorder="1" applyAlignment="1">
      <alignment horizontal="right" vertical="center" indent="1"/>
    </xf>
    <xf numFmtId="0" fontId="80" fillId="20" borderId="22" xfId="173" applyFont="1" applyFill="1" applyBorder="1" applyAlignment="1">
      <alignment horizontal="right" vertical="center" wrapText="1" indent="1"/>
    </xf>
    <xf numFmtId="0" fontId="55" fillId="0" borderId="22" xfId="173" applyFont="1" applyBorder="1" applyAlignment="1">
      <alignment horizontal="right" vertical="center" wrapText="1" indent="1"/>
    </xf>
    <xf numFmtId="0" fontId="55" fillId="0" borderId="80" xfId="173" applyFont="1" applyBorder="1" applyAlignment="1">
      <alignment horizontal="right" vertical="center" indent="1"/>
    </xf>
    <xf numFmtId="0" fontId="80" fillId="20" borderId="22" xfId="173" applyFont="1" applyFill="1" applyBorder="1" applyAlignment="1">
      <alignment horizontal="right" vertical="center" indent="1"/>
    </xf>
    <xf numFmtId="0" fontId="80" fillId="20" borderId="25" xfId="173" applyFont="1" applyFill="1" applyBorder="1" applyAlignment="1">
      <alignment horizontal="right" vertical="center" wrapText="1" indent="1"/>
    </xf>
    <xf numFmtId="0" fontId="55" fillId="0" borderId="28" xfId="173" applyFont="1" applyBorder="1" applyAlignment="1">
      <alignment horizontal="right" vertical="center" wrapText="1" indent="1"/>
    </xf>
    <xf numFmtId="0" fontId="80" fillId="20" borderId="25" xfId="173" applyFont="1" applyFill="1" applyBorder="1" applyAlignment="1">
      <alignment horizontal="right" vertical="center" indent="1"/>
    </xf>
    <xf numFmtId="0" fontId="55" fillId="0" borderId="118" xfId="173" applyFont="1" applyBorder="1" applyAlignment="1">
      <alignment horizontal="center" vertical="center" wrapText="1"/>
    </xf>
    <xf numFmtId="0" fontId="55" fillId="0" borderId="113" xfId="173" applyFont="1" applyBorder="1" applyAlignment="1">
      <alignment horizontal="center" vertical="center" wrapText="1"/>
    </xf>
    <xf numFmtId="0" fontId="55" fillId="0" borderId="121" xfId="173" applyFont="1" applyBorder="1" applyAlignment="1">
      <alignment horizontal="center" vertical="center" wrapText="1"/>
    </xf>
    <xf numFmtId="0" fontId="55" fillId="0" borderId="114" xfId="173" applyFont="1" applyBorder="1" applyAlignment="1">
      <alignment horizontal="center" vertical="center" wrapText="1"/>
    </xf>
    <xf numFmtId="0" fontId="55" fillId="0" borderId="116" xfId="173" applyFont="1" applyBorder="1" applyAlignment="1">
      <alignment horizontal="center" vertical="center" wrapText="1"/>
    </xf>
    <xf numFmtId="0" fontId="55" fillId="0" borderId="119" xfId="173" applyFont="1" applyBorder="1" applyAlignment="1">
      <alignment horizontal="center" vertical="center" wrapText="1"/>
    </xf>
    <xf numFmtId="0" fontId="0" fillId="0" borderId="0" xfId="0" applyAlignment="1">
      <alignment horizontal="center" wrapText="1"/>
    </xf>
    <xf numFmtId="0" fontId="82" fillId="0" borderId="0" xfId="0" applyFont="1" applyAlignment="1">
      <alignment horizontal="center" vertical="center" wrapText="1"/>
    </xf>
    <xf numFmtId="183" fontId="73" fillId="0" borderId="0" xfId="819" applyNumberFormat="1" applyFont="1" applyAlignment="1">
      <alignment horizontal="center" vertical="center"/>
    </xf>
    <xf numFmtId="0" fontId="40" fillId="20" borderId="127" xfId="0" applyFont="1" applyFill="1" applyBorder="1" applyAlignment="1">
      <alignment horizontal="center" vertical="center" wrapText="1"/>
    </xf>
    <xf numFmtId="0" fontId="80" fillId="0" borderId="0" xfId="820" applyFont="1" applyAlignment="1">
      <alignment horizontal="left" vertical="center" wrapText="1"/>
    </xf>
    <xf numFmtId="2" fontId="0" fillId="0" borderId="0" xfId="0" applyNumberFormat="1" applyAlignment="1">
      <alignment horizontal="center" vertical="center"/>
    </xf>
    <xf numFmtId="2" fontId="0" fillId="0" borderId="0" xfId="0" applyNumberFormat="1" applyAlignment="1">
      <alignment horizontal="center"/>
    </xf>
    <xf numFmtId="0" fontId="98" fillId="0" borderId="0" xfId="0" applyFont="1"/>
    <xf numFmtId="0" fontId="43" fillId="0" borderId="0" xfId="0" applyFont="1" applyAlignment="1">
      <alignment horizontal="center"/>
    </xf>
    <xf numFmtId="0" fontId="59" fillId="20" borderId="127" xfId="0" applyFont="1" applyFill="1" applyBorder="1" applyAlignment="1">
      <alignment horizontal="center" vertical="center" wrapText="1"/>
    </xf>
    <xf numFmtId="0" fontId="59" fillId="34" borderId="0" xfId="0" applyFont="1" applyFill="1" applyAlignment="1">
      <alignment horizontal="center" vertical="top" wrapText="1"/>
    </xf>
    <xf numFmtId="2" fontId="59" fillId="34" borderId="0" xfId="0" applyNumberFormat="1" applyFont="1" applyFill="1" applyAlignment="1">
      <alignment horizontal="center" vertical="top" wrapText="1"/>
    </xf>
    <xf numFmtId="183" fontId="55" fillId="0" borderId="0" xfId="819" applyNumberFormat="1" applyFont="1" applyAlignment="1">
      <alignment horizontal="center" vertical="center"/>
    </xf>
    <xf numFmtId="0" fontId="100" fillId="0" borderId="127" xfId="377" applyBorder="1" applyAlignment="1">
      <alignment horizontal="center" vertical="center" wrapText="1"/>
    </xf>
    <xf numFmtId="9" fontId="132" fillId="0" borderId="127" xfId="0" applyNumberFormat="1" applyFont="1" applyBorder="1" applyAlignment="1">
      <alignment horizontal="center" vertical="center" wrapText="1"/>
    </xf>
    <xf numFmtId="9" fontId="158" fillId="0" borderId="130" xfId="0" applyNumberFormat="1" applyFont="1" applyBorder="1" applyAlignment="1">
      <alignment horizontal="center" vertical="center" wrapText="1"/>
    </xf>
    <xf numFmtId="9" fontId="132" fillId="0" borderId="131" xfId="0" applyNumberFormat="1" applyFont="1" applyBorder="1" applyAlignment="1">
      <alignment horizontal="center" vertical="center" wrapText="1"/>
    </xf>
    <xf numFmtId="0" fontId="132" fillId="0" borderId="131" xfId="0" applyFont="1" applyBorder="1" applyAlignment="1">
      <alignment vertical="center" wrapText="1"/>
    </xf>
    <xf numFmtId="0" fontId="100" fillId="0" borderId="131" xfId="377" applyBorder="1" applyAlignment="1">
      <alignment horizontal="center" vertical="center" wrapText="1"/>
    </xf>
    <xf numFmtId="0" fontId="132" fillId="0" borderId="127" xfId="0" applyFont="1" applyBorder="1" applyAlignment="1">
      <alignment vertical="center" wrapText="1"/>
    </xf>
    <xf numFmtId="0" fontId="122" fillId="0" borderId="0" xfId="822" applyFont="1" applyAlignment="1">
      <alignment horizontal="left" vertical="center"/>
    </xf>
    <xf numFmtId="0" fontId="45" fillId="20" borderId="127" xfId="0" applyFont="1" applyFill="1" applyBorder="1" applyAlignment="1">
      <alignment horizontal="center" vertical="center" wrapText="1"/>
    </xf>
    <xf numFmtId="0" fontId="82" fillId="20" borderId="127" xfId="0" applyFont="1" applyFill="1" applyBorder="1" applyAlignment="1">
      <alignment horizontal="center" vertical="center" wrapText="1"/>
    </xf>
    <xf numFmtId="2" fontId="82" fillId="20" borderId="127" xfId="0" applyNumberFormat="1" applyFont="1" applyFill="1" applyBorder="1" applyAlignment="1">
      <alignment horizontal="center" vertical="center" wrapText="1"/>
    </xf>
    <xf numFmtId="0" fontId="64" fillId="34" borderId="127" xfId="0" applyFont="1" applyFill="1" applyBorder="1" applyAlignment="1">
      <alignment horizontal="center" vertical="center" wrapText="1"/>
    </xf>
    <xf numFmtId="2" fontId="64" fillId="34" borderId="127" xfId="176" applyNumberFormat="1" applyFont="1" applyFill="1" applyBorder="1" applyAlignment="1">
      <alignment horizontal="center" vertical="center" wrapText="1"/>
    </xf>
    <xf numFmtId="168" fontId="64" fillId="43" borderId="127" xfId="176" applyNumberFormat="1" applyFont="1" applyFill="1" applyBorder="1" applyAlignment="1">
      <alignment horizontal="center" vertical="center" wrapText="1"/>
    </xf>
    <xf numFmtId="168" fontId="64" fillId="0" borderId="127" xfId="176" applyNumberFormat="1" applyFont="1" applyBorder="1" applyAlignment="1">
      <alignment horizontal="center" vertical="center" wrapText="1"/>
    </xf>
    <xf numFmtId="0" fontId="32" fillId="0" borderId="0" xfId="246" applyFont="1" applyAlignment="1">
      <alignment horizontal="center" vertical="center"/>
    </xf>
    <xf numFmtId="0" fontId="32" fillId="0" borderId="0" xfId="246" applyFont="1"/>
    <xf numFmtId="0" fontId="42" fillId="0" borderId="0" xfId="246" applyFont="1" applyAlignment="1">
      <alignment horizontal="center" wrapText="1"/>
    </xf>
    <xf numFmtId="0" fontId="88" fillId="0" borderId="0" xfId="0" applyFont="1" applyAlignment="1">
      <alignment horizontal="center" vertical="center"/>
    </xf>
    <xf numFmtId="0" fontId="161" fillId="0" borderId="0" xfId="246" applyFont="1" applyAlignment="1">
      <alignment horizontal="center" vertical="center"/>
    </xf>
    <xf numFmtId="0" fontId="43" fillId="20" borderId="131" xfId="246" applyFont="1" applyFill="1" applyBorder="1" applyAlignment="1">
      <alignment horizontal="center" vertical="center" wrapText="1"/>
    </xf>
    <xf numFmtId="0" fontId="89" fillId="20" borderId="131" xfId="246" applyFont="1" applyFill="1" applyBorder="1" applyAlignment="1">
      <alignment horizontal="center" vertical="center" wrapText="1"/>
    </xf>
    <xf numFmtId="0" fontId="161" fillId="0" borderId="0" xfId="246" applyFont="1"/>
    <xf numFmtId="0" fontId="87" fillId="0" borderId="0" xfId="246" applyFont="1" applyAlignment="1">
      <alignment horizontal="center" vertical="center"/>
    </xf>
    <xf numFmtId="0" fontId="42" fillId="25" borderId="0" xfId="246" applyFont="1" applyFill="1" applyAlignment="1">
      <alignment horizontal="center" vertical="center" wrapText="1"/>
    </xf>
    <xf numFmtId="0" fontId="42" fillId="23" borderId="0" xfId="246" applyFont="1" applyFill="1" applyAlignment="1">
      <alignment horizontal="center" vertical="center" wrapText="1"/>
    </xf>
    <xf numFmtId="0" fontId="42" fillId="26" borderId="0" xfId="246" applyFont="1" applyFill="1" applyAlignment="1">
      <alignment horizontal="center" vertical="center" wrapText="1"/>
    </xf>
    <xf numFmtId="0" fontId="135" fillId="28" borderId="0" xfId="246" applyFont="1" applyFill="1" applyAlignment="1">
      <alignment horizontal="center" vertical="center" wrapText="1"/>
    </xf>
    <xf numFmtId="0" fontId="135" fillId="46" borderId="0" xfId="246" applyFont="1" applyFill="1" applyAlignment="1">
      <alignment horizontal="center" vertical="center" wrapText="1"/>
    </xf>
    <xf numFmtId="14" fontId="137" fillId="0" borderId="0" xfId="246" applyNumberFormat="1" applyFont="1" applyAlignment="1">
      <alignment vertical="center"/>
    </xf>
    <xf numFmtId="14" fontId="137" fillId="0" borderId="0" xfId="246" applyNumberFormat="1" applyFont="1" applyAlignment="1">
      <alignment horizontal="center" vertical="center"/>
    </xf>
    <xf numFmtId="14" fontId="43" fillId="0" borderId="0" xfId="246" applyNumberFormat="1" applyFont="1" applyAlignment="1">
      <alignment wrapText="1"/>
    </xf>
    <xf numFmtId="0" fontId="32" fillId="0" borderId="0" xfId="246" applyFont="1" applyAlignment="1">
      <alignment wrapText="1"/>
    </xf>
    <xf numFmtId="0" fontId="32" fillId="0" borderId="0" xfId="246" applyFont="1" applyAlignment="1">
      <alignment horizontal="center" wrapText="1"/>
    </xf>
    <xf numFmtId="0" fontId="32" fillId="0" borderId="0" xfId="246" applyFont="1" applyAlignment="1">
      <alignment horizontal="left"/>
    </xf>
    <xf numFmtId="0" fontId="42" fillId="50" borderId="0" xfId="246" applyFont="1" applyFill="1" applyAlignment="1">
      <alignment horizontal="center" vertical="center" wrapText="1"/>
    </xf>
    <xf numFmtId="0" fontId="61" fillId="0" borderId="0" xfId="246" applyFont="1" applyAlignment="1">
      <alignment horizontal="left" vertical="center" wrapText="1"/>
    </xf>
    <xf numFmtId="0" fontId="61" fillId="0" borderId="0" xfId="0" applyFont="1" applyAlignment="1">
      <alignment horizontal="left" vertical="center" wrapText="1"/>
    </xf>
    <xf numFmtId="0" fontId="87" fillId="0" borderId="0" xfId="246" applyFont="1" applyAlignment="1">
      <alignment vertical="center" wrapText="1"/>
    </xf>
    <xf numFmtId="0" fontId="132" fillId="0" borderId="138" xfId="0" applyFont="1" applyBorder="1" applyAlignment="1">
      <alignment vertical="center" wrapText="1"/>
    </xf>
    <xf numFmtId="9" fontId="132" fillId="42" borderId="84" xfId="0" applyNumberFormat="1" applyFont="1" applyFill="1" applyBorder="1" applyAlignment="1">
      <alignment horizontal="center" vertical="center" wrapText="1"/>
    </xf>
    <xf numFmtId="0" fontId="51" fillId="0" borderId="0" xfId="0" applyFont="1" applyAlignment="1">
      <alignment vertical="top"/>
    </xf>
    <xf numFmtId="0" fontId="100" fillId="0" borderId="0" xfId="377" applyAlignment="1">
      <alignment horizontal="center" vertical="center" wrapText="1"/>
    </xf>
    <xf numFmtId="0" fontId="0" fillId="0" borderId="139" xfId="0" applyBorder="1" applyAlignment="1">
      <alignment horizontal="center"/>
    </xf>
    <xf numFmtId="0" fontId="0" fillId="0" borderId="139" xfId="0" applyBorder="1" applyAlignment="1">
      <alignment horizontal="center" vertical="center" wrapText="1"/>
    </xf>
    <xf numFmtId="0" fontId="126" fillId="0" borderId="0" xfId="0" applyFont="1" applyAlignment="1">
      <alignment horizontal="left" vertical="center" wrapText="1"/>
    </xf>
    <xf numFmtId="3" fontId="30" fillId="43" borderId="139" xfId="149" applyNumberFormat="1" applyFont="1" applyFill="1" applyBorder="1" applyAlignment="1">
      <alignment horizontal="center" vertical="center"/>
    </xf>
    <xf numFmtId="0" fontId="46" fillId="0" borderId="0" xfId="0" applyFont="1" applyAlignment="1">
      <alignment horizontal="left" wrapText="1"/>
    </xf>
    <xf numFmtId="0" fontId="40" fillId="24" borderId="139" xfId="0" applyFont="1" applyFill="1" applyBorder="1" applyAlignment="1">
      <alignment horizontal="center" vertical="center" wrapText="1"/>
    </xf>
    <xf numFmtId="0" fontId="0" fillId="0" borderId="139" xfId="0" applyBorder="1" applyAlignment="1">
      <alignment horizontal="left" vertical="center" wrapText="1"/>
    </xf>
    <xf numFmtId="0" fontId="40" fillId="43" borderId="139" xfId="0" applyFont="1" applyFill="1" applyBorder="1" applyAlignment="1">
      <alignment horizontal="center" vertical="center" wrapText="1"/>
    </xf>
    <xf numFmtId="0" fontId="0" fillId="0" borderId="142" xfId="0" applyBorder="1" applyAlignment="1">
      <alignment horizontal="center" vertical="center" wrapText="1"/>
    </xf>
    <xf numFmtId="171" fontId="58" fillId="0" borderId="142" xfId="0" applyNumberFormat="1" applyFont="1" applyBorder="1" applyAlignment="1">
      <alignment horizontal="center" vertical="center" wrapText="1"/>
    </xf>
    <xf numFmtId="171" fontId="58" fillId="0" borderId="139" xfId="0" applyNumberFormat="1" applyFont="1" applyBorder="1" applyAlignment="1">
      <alignment horizontal="center" vertical="center" wrapText="1"/>
    </xf>
    <xf numFmtId="171" fontId="59" fillId="43" borderId="139" xfId="0" applyNumberFormat="1" applyFont="1" applyFill="1" applyBorder="1" applyAlignment="1">
      <alignment horizontal="center" vertical="center" wrapText="1"/>
    </xf>
    <xf numFmtId="171" fontId="0" fillId="0" borderId="139" xfId="0" applyNumberFormat="1" applyBorder="1" applyAlignment="1">
      <alignment horizontal="center"/>
    </xf>
    <xf numFmtId="171" fontId="58" fillId="0" borderId="13" xfId="0" applyNumberFormat="1" applyFont="1" applyBorder="1" applyAlignment="1">
      <alignment horizontal="center" vertical="center" wrapText="1"/>
    </xf>
    <xf numFmtId="0" fontId="200" fillId="0" borderId="0" xfId="377" applyFont="1"/>
    <xf numFmtId="171" fontId="58" fillId="0" borderId="0" xfId="0" applyNumberFormat="1" applyFont="1" applyAlignment="1">
      <alignment horizontal="center" vertical="center" wrapText="1"/>
    </xf>
    <xf numFmtId="0" fontId="201" fillId="20" borderId="139" xfId="0" applyFont="1" applyFill="1" applyBorder="1" applyAlignment="1">
      <alignment horizontal="center" vertical="center" wrapText="1"/>
    </xf>
    <xf numFmtId="0" fontId="43" fillId="20" borderId="139" xfId="0" applyFont="1" applyFill="1" applyBorder="1" applyAlignment="1">
      <alignment horizontal="center" vertical="center" wrapText="1"/>
    </xf>
    <xf numFmtId="0" fontId="42" fillId="34" borderId="139" xfId="377" applyFont="1" applyFill="1" applyBorder="1" applyAlignment="1">
      <alignment horizontal="left" vertical="center" wrapText="1"/>
    </xf>
    <xf numFmtId="0" fontId="201" fillId="0" borderId="139" xfId="0" applyFont="1" applyBorder="1" applyAlignment="1">
      <alignment horizontal="center" vertical="center" wrapText="1"/>
    </xf>
    <xf numFmtId="0" fontId="42" fillId="0" borderId="139" xfId="0" applyFont="1" applyBorder="1" applyAlignment="1">
      <alignment horizontal="left"/>
    </xf>
    <xf numFmtId="0" fontId="40" fillId="43" borderId="139" xfId="0" applyFont="1" applyFill="1" applyBorder="1" applyAlignment="1">
      <alignment horizontal="center"/>
    </xf>
    <xf numFmtId="0" fontId="40" fillId="43" borderId="139" xfId="0" applyFont="1" applyFill="1" applyBorder="1" applyAlignment="1">
      <alignment horizontal="left"/>
    </xf>
    <xf numFmtId="0" fontId="0" fillId="0" borderId="139" xfId="0" applyBorder="1" applyAlignment="1">
      <alignment horizontal="left"/>
    </xf>
    <xf numFmtId="0" fontId="54" fillId="20" borderId="139" xfId="0" applyFont="1" applyFill="1" applyBorder="1" applyAlignment="1">
      <alignment horizontal="center" vertical="center" wrapText="1" readingOrder="1"/>
    </xf>
    <xf numFmtId="3" fontId="54" fillId="20" borderId="140" xfId="0" applyNumberFormat="1" applyFont="1" applyFill="1" applyBorder="1" applyAlignment="1">
      <alignment horizontal="center" vertical="center" wrapText="1" readingOrder="1"/>
    </xf>
    <xf numFmtId="1" fontId="40" fillId="20" borderId="143" xfId="0" applyNumberFormat="1" applyFont="1" applyFill="1" applyBorder="1" applyAlignment="1">
      <alignment horizontal="center" vertical="center" readingOrder="1"/>
    </xf>
    <xf numFmtId="168" fontId="40" fillId="43" borderId="141" xfId="176" applyNumberFormat="1" applyFont="1" applyFill="1" applyBorder="1" applyAlignment="1">
      <alignment horizontal="center" vertical="center" readingOrder="1"/>
    </xf>
    <xf numFmtId="0" fontId="69" fillId="0" borderId="0" xfId="0" applyFont="1" applyAlignment="1">
      <alignment vertical="justify"/>
    </xf>
    <xf numFmtId="0" fontId="113" fillId="0" borderId="0" xfId="167" applyFont="1" applyAlignment="1">
      <alignment vertical="center"/>
    </xf>
    <xf numFmtId="171" fontId="158" fillId="0" borderId="127" xfId="0" applyNumberFormat="1" applyFont="1" applyBorder="1" applyAlignment="1">
      <alignment horizontal="center" vertical="center" wrapText="1"/>
    </xf>
    <xf numFmtId="9" fontId="158" fillId="0" borderId="127" xfId="0" applyNumberFormat="1" applyFont="1" applyBorder="1" applyAlignment="1">
      <alignment horizontal="center" vertical="center" wrapText="1"/>
    </xf>
    <xf numFmtId="168" fontId="158" fillId="0" borderId="127" xfId="0" applyNumberFormat="1" applyFont="1" applyBorder="1" applyAlignment="1">
      <alignment horizontal="center" vertical="center" wrapText="1"/>
    </xf>
    <xf numFmtId="9" fontId="132" fillId="0" borderId="128" xfId="0" applyNumberFormat="1" applyFont="1" applyBorder="1" applyAlignment="1">
      <alignment horizontal="center" vertical="center" wrapText="1"/>
    </xf>
    <xf numFmtId="0" fontId="158" fillId="0" borderId="127" xfId="0" applyFont="1" applyBorder="1" applyAlignment="1">
      <alignment horizontal="center" vertical="center" wrapText="1"/>
    </xf>
    <xf numFmtId="9" fontId="158" fillId="0" borderId="84" xfId="0" applyNumberFormat="1" applyFont="1" applyBorder="1" applyAlignment="1">
      <alignment horizontal="center" vertical="center" wrapText="1"/>
    </xf>
    <xf numFmtId="3" fontId="158" fillId="0" borderId="128" xfId="0" applyNumberFormat="1" applyFont="1" applyBorder="1" applyAlignment="1">
      <alignment horizontal="center" vertical="center" wrapText="1"/>
    </xf>
    <xf numFmtId="180" fontId="158" fillId="0" borderId="131" xfId="0" applyNumberFormat="1" applyFont="1" applyBorder="1" applyAlignment="1">
      <alignment horizontal="center" vertical="center" wrapText="1"/>
    </xf>
    <xf numFmtId="3" fontId="158" fillId="0" borderId="127" xfId="0" applyNumberFormat="1" applyFont="1" applyBorder="1" applyAlignment="1">
      <alignment horizontal="center" vertical="center" wrapText="1"/>
    </xf>
    <xf numFmtId="0" fontId="158" fillId="0" borderId="131" xfId="0" applyFont="1" applyBorder="1" applyAlignment="1">
      <alignment horizontal="center" vertical="center" wrapText="1"/>
    </xf>
    <xf numFmtId="168" fontId="158" fillId="0" borderId="127" xfId="176" applyNumberFormat="1" applyFont="1" applyBorder="1" applyAlignment="1">
      <alignment horizontal="center" vertical="center" wrapText="1"/>
    </xf>
    <xf numFmtId="0" fontId="55" fillId="0" borderId="145" xfId="173" applyFont="1" applyBorder="1" applyAlignment="1">
      <alignment horizontal="right" vertical="center" wrapText="1" indent="1"/>
    </xf>
    <xf numFmtId="0" fontId="55" fillId="0" borderId="146" xfId="173" applyFont="1" applyBorder="1" applyAlignment="1">
      <alignment horizontal="right" vertical="center" indent="1"/>
    </xf>
    <xf numFmtId="0" fontId="7" fillId="0" borderId="147" xfId="803" applyFont="1" applyBorder="1" applyAlignment="1">
      <alignment horizontal="right" vertical="center" wrapText="1" indent="1"/>
    </xf>
    <xf numFmtId="0" fontId="80" fillId="20" borderId="146" xfId="173" applyFont="1" applyFill="1" applyBorder="1" applyAlignment="1">
      <alignment horizontal="right" vertical="center" wrapText="1" indent="1"/>
    </xf>
    <xf numFmtId="167" fontId="23" fillId="20" borderId="148" xfId="109" applyNumberFormat="1" applyFont="1" applyFill="1" applyBorder="1" applyAlignment="1">
      <alignment horizontal="right" vertical="center" wrapText="1" indent="1"/>
    </xf>
    <xf numFmtId="0" fontId="55" fillId="0" borderId="146" xfId="173" applyFont="1" applyBorder="1" applyAlignment="1">
      <alignment horizontal="right" vertical="center" wrapText="1" indent="1"/>
    </xf>
    <xf numFmtId="0" fontId="7" fillId="22" borderId="147" xfId="173" applyFont="1" applyFill="1" applyBorder="1" applyAlignment="1">
      <alignment horizontal="right" vertical="center" wrapText="1" indent="1"/>
    </xf>
    <xf numFmtId="0" fontId="55" fillId="0" borderId="145" xfId="173" applyFont="1" applyBorder="1" applyAlignment="1">
      <alignment horizontal="right" vertical="center" indent="1"/>
    </xf>
    <xf numFmtId="0" fontId="80" fillId="20" borderId="146" xfId="173" applyFont="1" applyFill="1" applyBorder="1" applyAlignment="1">
      <alignment horizontal="right" vertical="center" indent="1"/>
    </xf>
    <xf numFmtId="0" fontId="80" fillId="20" borderId="152" xfId="173" applyFont="1" applyFill="1" applyBorder="1" applyAlignment="1">
      <alignment horizontal="right" vertical="center" wrapText="1" indent="1"/>
    </xf>
    <xf numFmtId="0" fontId="55" fillId="0" borderId="153" xfId="173" applyFont="1" applyBorder="1" applyAlignment="1">
      <alignment horizontal="right" vertical="center" wrapText="1" indent="1"/>
    </xf>
    <xf numFmtId="0" fontId="80" fillId="20" borderId="152" xfId="173" applyFont="1" applyFill="1" applyBorder="1" applyAlignment="1">
      <alignment horizontal="right" vertical="center" indent="1"/>
    </xf>
    <xf numFmtId="0" fontId="131" fillId="0" borderId="0" xfId="0" applyFont="1" applyAlignment="1">
      <alignment horizontal="center" vertical="center" wrapText="1"/>
    </xf>
    <xf numFmtId="3" fontId="67" fillId="0" borderId="107" xfId="0" applyNumberFormat="1" applyFont="1" applyBorder="1" applyAlignment="1">
      <alignment vertical="center"/>
    </xf>
    <xf numFmtId="3" fontId="67" fillId="0" borderId="107" xfId="0" applyNumberFormat="1" applyFont="1" applyBorder="1"/>
    <xf numFmtId="0" fontId="59" fillId="0" borderId="0" xfId="0" applyFont="1" applyAlignment="1">
      <alignment horizontal="center" vertical="center"/>
    </xf>
    <xf numFmtId="0" fontId="41" fillId="0" borderId="159" xfId="149" applyFont="1" applyBorder="1" applyAlignment="1">
      <alignment horizontal="center" vertical="center"/>
    </xf>
    <xf numFmtId="3" fontId="41" fillId="0" borderId="159" xfId="149" applyNumberFormat="1" applyFont="1" applyBorder="1" applyAlignment="1">
      <alignment horizontal="center" vertical="center"/>
    </xf>
    <xf numFmtId="3" fontId="41" fillId="0" borderId="159" xfId="0" applyNumberFormat="1" applyFont="1" applyBorder="1" applyAlignment="1">
      <alignment horizontal="center" vertical="center"/>
    </xf>
    <xf numFmtId="0" fontId="90" fillId="20" borderId="159" xfId="149" applyFont="1" applyFill="1" applyBorder="1" applyAlignment="1">
      <alignment horizontal="center" vertical="center"/>
    </xf>
    <xf numFmtId="3" fontId="90" fillId="20" borderId="159" xfId="149" applyNumberFormat="1" applyFont="1" applyFill="1" applyBorder="1" applyAlignment="1">
      <alignment horizontal="center" vertical="center"/>
    </xf>
    <xf numFmtId="0" fontId="42" fillId="0" borderId="159" xfId="149" applyFont="1" applyBorder="1" applyAlignment="1">
      <alignment horizontal="center" vertical="center"/>
    </xf>
    <xf numFmtId="3" fontId="42" fillId="0" borderId="159" xfId="149" applyNumberFormat="1" applyFont="1" applyBorder="1" applyAlignment="1">
      <alignment horizontal="center" vertical="center"/>
    </xf>
    <xf numFmtId="3" fontId="42" fillId="0" borderId="159" xfId="0" applyNumberFormat="1" applyFont="1" applyBorder="1" applyAlignment="1">
      <alignment horizontal="center" vertical="center"/>
    </xf>
    <xf numFmtId="0" fontId="43" fillId="20" borderId="159" xfId="149" applyFont="1" applyFill="1" applyBorder="1" applyAlignment="1">
      <alignment horizontal="center" vertical="center"/>
    </xf>
    <xf numFmtId="3" fontId="43" fillId="43" borderId="159" xfId="149" applyNumberFormat="1" applyFont="1" applyFill="1" applyBorder="1" applyAlignment="1">
      <alignment horizontal="center" vertical="center"/>
    </xf>
    <xf numFmtId="3" fontId="43" fillId="20" borderId="159" xfId="149" applyNumberFormat="1" applyFont="1" applyFill="1" applyBorder="1" applyAlignment="1">
      <alignment horizontal="center" vertical="center"/>
    </xf>
    <xf numFmtId="173" fontId="41" fillId="0" borderId="159" xfId="0" applyNumberFormat="1" applyFont="1" applyBorder="1" applyAlignment="1">
      <alignment horizontal="center" vertical="center" wrapText="1"/>
    </xf>
    <xf numFmtId="3" fontId="41" fillId="0" borderId="159" xfId="0" applyNumberFormat="1" applyFont="1" applyBorder="1" applyAlignment="1">
      <alignment horizontal="center"/>
    </xf>
    <xf numFmtId="173" fontId="41" fillId="0" borderId="159" xfId="0" applyNumberFormat="1" applyFont="1" applyBorder="1" applyAlignment="1">
      <alignment horizontal="center" vertical="center"/>
    </xf>
    <xf numFmtId="173" fontId="41" fillId="0" borderId="159" xfId="149" applyNumberFormat="1" applyFont="1" applyBorder="1" applyAlignment="1">
      <alignment horizontal="center" vertical="center"/>
    </xf>
    <xf numFmtId="0" fontId="0" fillId="0" borderId="159" xfId="0" applyBorder="1" applyAlignment="1">
      <alignment horizontal="center" vertical="center"/>
    </xf>
    <xf numFmtId="3" fontId="0" fillId="0" borderId="159" xfId="0" applyNumberFormat="1" applyBorder="1" applyAlignment="1">
      <alignment horizontal="center" vertical="center"/>
    </xf>
    <xf numFmtId="0" fontId="0" fillId="0" borderId="159" xfId="616" applyFont="1" applyBorder="1" applyAlignment="1">
      <alignment horizontal="center" vertical="center"/>
    </xf>
    <xf numFmtId="173" fontId="42" fillId="0" borderId="159" xfId="0" applyNumberFormat="1" applyFont="1" applyBorder="1" applyAlignment="1">
      <alignment horizontal="center" vertical="center" wrapText="1"/>
    </xf>
    <xf numFmtId="0" fontId="42" fillId="0" borderId="159" xfId="0" applyFont="1" applyBorder="1" applyAlignment="1">
      <alignment horizontal="center"/>
    </xf>
    <xf numFmtId="3" fontId="42" fillId="0" borderId="159" xfId="0" applyNumberFormat="1" applyFont="1" applyBorder="1" applyAlignment="1">
      <alignment horizontal="center"/>
    </xf>
    <xf numFmtId="173" fontId="42" fillId="0" borderId="159" xfId="0" applyNumberFormat="1" applyFont="1" applyBorder="1" applyAlignment="1">
      <alignment horizontal="center" vertical="center"/>
    </xf>
    <xf numFmtId="0" fontId="0" fillId="0" borderId="159" xfId="616" applyFont="1" applyBorder="1" applyAlignment="1">
      <alignment horizontal="center" vertical="center" wrapText="1"/>
    </xf>
    <xf numFmtId="3" fontId="0" fillId="0" borderId="159" xfId="616" applyNumberFormat="1" applyFont="1" applyBorder="1" applyAlignment="1">
      <alignment horizontal="center" vertical="center"/>
    </xf>
    <xf numFmtId="173" fontId="42" fillId="0" borderId="159" xfId="149" applyNumberFormat="1" applyFont="1" applyBorder="1" applyAlignment="1">
      <alignment horizontal="center" vertical="center"/>
    </xf>
    <xf numFmtId="0" fontId="90" fillId="20" borderId="15" xfId="149" applyFont="1" applyFill="1" applyBorder="1" applyAlignment="1">
      <alignment horizontal="center" vertical="center"/>
    </xf>
    <xf numFmtId="0" fontId="75" fillId="20" borderId="159" xfId="0" applyFont="1" applyFill="1" applyBorder="1" applyAlignment="1">
      <alignment horizontal="center"/>
    </xf>
    <xf numFmtId="3" fontId="41" fillId="0" borderId="159" xfId="149" applyNumberFormat="1" applyFont="1" applyBorder="1" applyAlignment="1">
      <alignment horizontal="center"/>
    </xf>
    <xf numFmtId="3" fontId="41" fillId="0" borderId="160" xfId="0" applyNumberFormat="1" applyFont="1" applyBorder="1" applyAlignment="1">
      <alignment horizontal="center"/>
    </xf>
    <xf numFmtId="0" fontId="38" fillId="0" borderId="0" xfId="616"/>
    <xf numFmtId="0" fontId="40" fillId="0" borderId="159" xfId="616" applyFont="1" applyBorder="1" applyAlignment="1">
      <alignment horizontal="center" vertical="center"/>
    </xf>
    <xf numFmtId="0" fontId="74" fillId="0" borderId="0" xfId="821" applyFont="1"/>
    <xf numFmtId="0" fontId="41" fillId="0" borderId="0" xfId="821" applyFont="1"/>
    <xf numFmtId="0" fontId="99" fillId="0" borderId="0" xfId="821" applyFont="1"/>
    <xf numFmtId="0" fontId="40" fillId="0" borderId="161" xfId="0" applyFont="1" applyBorder="1"/>
    <xf numFmtId="0" fontId="99" fillId="0" borderId="16" xfId="821" applyFont="1" applyBorder="1" applyAlignment="1">
      <alignment horizontal="center" vertical="center"/>
    </xf>
    <xf numFmtId="0" fontId="99" fillId="0" borderId="16" xfId="821" applyFont="1" applyBorder="1" applyAlignment="1">
      <alignment horizontal="center" vertical="center" wrapText="1"/>
    </xf>
    <xf numFmtId="0" fontId="99" fillId="0" borderId="162" xfId="821" applyFont="1" applyBorder="1" applyAlignment="1">
      <alignment horizontal="center" vertical="center"/>
    </xf>
    <xf numFmtId="0" fontId="99" fillId="43" borderId="16" xfId="821" applyFont="1" applyFill="1" applyBorder="1" applyAlignment="1">
      <alignment horizontal="center" vertical="center" wrapText="1"/>
    </xf>
    <xf numFmtId="0" fontId="74" fillId="0" borderId="0" xfId="821" applyFont="1" applyAlignment="1">
      <alignment horizontal="left"/>
    </xf>
    <xf numFmtId="182" fontId="74" fillId="0" borderId="0" xfId="821" applyNumberFormat="1" applyFont="1" applyAlignment="1">
      <alignment horizontal="center"/>
    </xf>
    <xf numFmtId="0" fontId="74" fillId="0" borderId="0" xfId="821" applyFont="1" applyAlignment="1">
      <alignment horizontal="center"/>
    </xf>
    <xf numFmtId="10" fontId="74" fillId="0" borderId="0" xfId="176" applyNumberFormat="1" applyFont="1" applyAlignment="1">
      <alignment horizontal="center"/>
    </xf>
    <xf numFmtId="182" fontId="99" fillId="0" borderId="0" xfId="821" applyNumberFormat="1" applyFont="1" applyAlignment="1">
      <alignment horizontal="center"/>
    </xf>
    <xf numFmtId="0" fontId="99" fillId="0" borderId="0" xfId="821" applyFont="1" applyAlignment="1">
      <alignment horizontal="center"/>
    </xf>
    <xf numFmtId="10" fontId="99" fillId="0" borderId="0" xfId="176" applyNumberFormat="1" applyFont="1" applyAlignment="1">
      <alignment horizontal="center"/>
    </xf>
    <xf numFmtId="0" fontId="99" fillId="0" borderId="0" xfId="821" applyFont="1" applyAlignment="1">
      <alignment vertical="center"/>
    </xf>
    <xf numFmtId="182" fontId="99" fillId="0" borderId="0" xfId="821" applyNumberFormat="1" applyFont="1" applyAlignment="1">
      <alignment horizontal="center" vertical="center"/>
    </xf>
    <xf numFmtId="0" fontId="99" fillId="0" borderId="0" xfId="821" applyFont="1" applyAlignment="1">
      <alignment horizontal="center" vertical="center"/>
    </xf>
    <xf numFmtId="0" fontId="74" fillId="0" borderId="16" xfId="821" applyFont="1" applyBorder="1"/>
    <xf numFmtId="0" fontId="99" fillId="0" borderId="16" xfId="821" applyFont="1" applyBorder="1"/>
    <xf numFmtId="182" fontId="99" fillId="0" borderId="16" xfId="821" applyNumberFormat="1" applyFont="1" applyBorder="1" applyAlignment="1">
      <alignment horizontal="center"/>
    </xf>
    <xf numFmtId="10" fontId="99" fillId="43" borderId="16" xfId="176" applyNumberFormat="1" applyFont="1" applyFill="1" applyBorder="1" applyAlignment="1">
      <alignment horizontal="center"/>
    </xf>
    <xf numFmtId="0" fontId="176" fillId="0" borderId="0" xfId="0" applyFont="1"/>
    <xf numFmtId="0" fontId="188" fillId="0" borderId="0" xfId="3783" applyFont="1"/>
    <xf numFmtId="0" fontId="1" fillId="0" borderId="0" xfId="3783"/>
    <xf numFmtId="0" fontId="99" fillId="0" borderId="0" xfId="3783" applyFont="1"/>
    <xf numFmtId="0" fontId="61" fillId="0" borderId="0" xfId="3783" applyFont="1"/>
    <xf numFmtId="0" fontId="99" fillId="0" borderId="16" xfId="3783" applyFont="1" applyBorder="1" applyAlignment="1">
      <alignment horizontal="center" vertical="center"/>
    </xf>
    <xf numFmtId="0" fontId="99" fillId="0" borderId="162" xfId="3783" applyFont="1" applyBorder="1" applyAlignment="1">
      <alignment horizontal="center" vertical="center"/>
    </xf>
    <xf numFmtId="0" fontId="99" fillId="43" borderId="16" xfId="821" applyFont="1" applyFill="1" applyBorder="1" applyAlignment="1">
      <alignment horizontal="center" wrapText="1"/>
    </xf>
    <xf numFmtId="0" fontId="74" fillId="0" borderId="0" xfId="3783" applyFont="1"/>
    <xf numFmtId="0" fontId="74" fillId="0" borderId="0" xfId="3783" applyFont="1" applyAlignment="1">
      <alignment horizontal="left"/>
    </xf>
    <xf numFmtId="0" fontId="74" fillId="40" borderId="0" xfId="3783" applyFont="1" applyFill="1" applyAlignment="1">
      <alignment horizontal="center"/>
    </xf>
    <xf numFmtId="182" fontId="74" fillId="40" borderId="0" xfId="3783" applyNumberFormat="1" applyFont="1" applyFill="1" applyAlignment="1">
      <alignment horizontal="center"/>
    </xf>
    <xf numFmtId="0" fontId="74" fillId="0" borderId="0" xfId="3783" applyFont="1" applyAlignment="1">
      <alignment horizontal="center"/>
    </xf>
    <xf numFmtId="182" fontId="74" fillId="0" borderId="0" xfId="3783" applyNumberFormat="1" applyFont="1" applyAlignment="1">
      <alignment horizontal="center"/>
    </xf>
    <xf numFmtId="0" fontId="99" fillId="40" borderId="0" xfId="3783" applyFont="1" applyFill="1" applyAlignment="1">
      <alignment horizontal="center"/>
    </xf>
    <xf numFmtId="182" fontId="99" fillId="40" borderId="0" xfId="3783" applyNumberFormat="1" applyFont="1" applyFill="1" applyAlignment="1">
      <alignment horizontal="center"/>
    </xf>
    <xf numFmtId="0" fontId="99" fillId="0" borderId="0" xfId="3783" applyFont="1" applyAlignment="1">
      <alignment horizontal="center"/>
    </xf>
    <xf numFmtId="182" fontId="99" fillId="0" borderId="0" xfId="3783" applyNumberFormat="1" applyFont="1" applyAlignment="1">
      <alignment horizontal="center"/>
    </xf>
    <xf numFmtId="0" fontId="74" fillId="0" borderId="16" xfId="3783" applyFont="1" applyBorder="1"/>
    <xf numFmtId="0" fontId="99" fillId="0" borderId="16" xfId="3783" applyFont="1" applyBorder="1"/>
    <xf numFmtId="182" fontId="99" fillId="40" borderId="16" xfId="3783" applyNumberFormat="1" applyFont="1" applyFill="1" applyBorder="1" applyAlignment="1">
      <alignment horizontal="center"/>
    </xf>
    <xf numFmtId="182" fontId="99" fillId="0" borderId="16" xfId="3783" applyNumberFormat="1" applyFont="1" applyBorder="1" applyAlignment="1">
      <alignment horizontal="center"/>
    </xf>
    <xf numFmtId="0" fontId="188" fillId="0" borderId="0" xfId="428" applyFont="1"/>
    <xf numFmtId="0" fontId="1" fillId="0" borderId="0" xfId="428"/>
    <xf numFmtId="0" fontId="99" fillId="0" borderId="0" xfId="428" applyFont="1" applyAlignment="1">
      <alignment horizontal="center" vertical="center"/>
    </xf>
    <xf numFmtId="0" fontId="99" fillId="0" borderId="162" xfId="428" applyFont="1" applyBorder="1" applyAlignment="1">
      <alignment horizontal="center" vertical="center"/>
    </xf>
    <xf numFmtId="0" fontId="74" fillId="0" borderId="0" xfId="428" applyFont="1" applyAlignment="1">
      <alignment horizontal="center" vertical="center"/>
    </xf>
    <xf numFmtId="0" fontId="74" fillId="0" borderId="0" xfId="428" applyFont="1"/>
    <xf numFmtId="0" fontId="74" fillId="0" borderId="0" xfId="428" applyFont="1" applyAlignment="1">
      <alignment horizontal="left"/>
    </xf>
    <xf numFmtId="0" fontId="74" fillId="42" borderId="0" xfId="428" applyFont="1" applyFill="1" applyAlignment="1">
      <alignment horizontal="center"/>
    </xf>
    <xf numFmtId="182" fontId="74" fillId="42" borderId="0" xfId="428" applyNumberFormat="1" applyFont="1" applyFill="1" applyAlignment="1">
      <alignment horizontal="center"/>
    </xf>
    <xf numFmtId="0" fontId="99" fillId="42" borderId="0" xfId="428" applyFont="1" applyFill="1" applyAlignment="1">
      <alignment horizontal="center"/>
    </xf>
    <xf numFmtId="182" fontId="99" fillId="42" borderId="0" xfId="428" applyNumberFormat="1" applyFont="1" applyFill="1" applyAlignment="1">
      <alignment horizontal="center"/>
    </xf>
    <xf numFmtId="0" fontId="74" fillId="0" borderId="16" xfId="428" applyFont="1" applyBorder="1" applyAlignment="1">
      <alignment horizontal="center" vertical="center"/>
    </xf>
    <xf numFmtId="0" fontId="74" fillId="0" borderId="16" xfId="428" applyFont="1" applyBorder="1"/>
    <xf numFmtId="0" fontId="99" fillId="0" borderId="16" xfId="428" applyFont="1" applyBorder="1"/>
    <xf numFmtId="182" fontId="99" fillId="42" borderId="16" xfId="428" applyNumberFormat="1" applyFont="1" applyFill="1" applyBorder="1" applyAlignment="1">
      <alignment horizontal="center"/>
    </xf>
    <xf numFmtId="0" fontId="74" fillId="0" borderId="0" xfId="3784" applyFont="1"/>
    <xf numFmtId="0" fontId="61" fillId="0" borderId="0" xfId="3784" applyFont="1"/>
    <xf numFmtId="0" fontId="99" fillId="0" borderId="0" xfId="3784" applyFont="1"/>
    <xf numFmtId="0" fontId="99" fillId="0" borderId="16" xfId="3784" applyFont="1" applyBorder="1" applyAlignment="1">
      <alignment horizontal="center" vertical="center"/>
    </xf>
    <xf numFmtId="0" fontId="99" fillId="0" borderId="162" xfId="3784" applyFont="1" applyBorder="1" applyAlignment="1">
      <alignment horizontal="center" vertical="center"/>
    </xf>
    <xf numFmtId="0" fontId="74" fillId="0" borderId="0" xfId="3784" applyFont="1" applyAlignment="1">
      <alignment horizontal="center" vertical="center"/>
    </xf>
    <xf numFmtId="0" fontId="74" fillId="0" borderId="0" xfId="3784" applyFont="1" applyAlignment="1">
      <alignment horizontal="left"/>
    </xf>
    <xf numFmtId="0" fontId="74" fillId="49" borderId="0" xfId="3784" applyFont="1" applyFill="1" applyAlignment="1">
      <alignment horizontal="center"/>
    </xf>
    <xf numFmtId="182" fontId="74" fillId="49" borderId="0" xfId="3784" applyNumberFormat="1" applyFont="1" applyFill="1" applyAlignment="1">
      <alignment horizontal="center"/>
    </xf>
    <xf numFmtId="0" fontId="74" fillId="0" borderId="0" xfId="3784" applyFont="1" applyAlignment="1">
      <alignment horizontal="center"/>
    </xf>
    <xf numFmtId="182" fontId="74" fillId="0" borderId="0" xfId="3784" applyNumberFormat="1" applyFont="1" applyAlignment="1">
      <alignment horizontal="center"/>
    </xf>
    <xf numFmtId="0" fontId="99" fillId="49" borderId="0" xfId="3784" applyFont="1" applyFill="1" applyAlignment="1">
      <alignment horizontal="center"/>
    </xf>
    <xf numFmtId="182" fontId="99" fillId="49" borderId="0" xfId="3784" applyNumberFormat="1" applyFont="1" applyFill="1" applyAlignment="1">
      <alignment horizontal="center"/>
    </xf>
    <xf numFmtId="0" fontId="99" fillId="0" borderId="0" xfId="3784" applyFont="1" applyAlignment="1">
      <alignment horizontal="center"/>
    </xf>
    <xf numFmtId="182" fontId="99" fillId="0" borderId="0" xfId="3784" applyNumberFormat="1" applyFont="1" applyAlignment="1">
      <alignment horizontal="center"/>
    </xf>
    <xf numFmtId="0" fontId="74" fillId="0" borderId="16" xfId="3784" applyFont="1" applyBorder="1" applyAlignment="1">
      <alignment horizontal="center" vertical="center"/>
    </xf>
    <xf numFmtId="0" fontId="99" fillId="0" borderId="16" xfId="3784" applyFont="1" applyBorder="1"/>
    <xf numFmtId="182" fontId="99" fillId="49" borderId="16" xfId="3784" applyNumberFormat="1" applyFont="1" applyFill="1" applyBorder="1" applyAlignment="1">
      <alignment horizontal="center"/>
    </xf>
    <xf numFmtId="182" fontId="99" fillId="0" borderId="16" xfId="3784" applyNumberFormat="1" applyFont="1" applyBorder="1" applyAlignment="1">
      <alignment horizontal="center"/>
    </xf>
    <xf numFmtId="0" fontId="203" fillId="0" borderId="0" xfId="0" applyFont="1"/>
    <xf numFmtId="0" fontId="204" fillId="0" borderId="0" xfId="0" applyFont="1"/>
    <xf numFmtId="185" fontId="74" fillId="0" borderId="0" xfId="238" applyNumberFormat="1" applyFont="1" applyAlignment="1">
      <alignment horizontal="center" vertical="center"/>
    </xf>
    <xf numFmtId="182" fontId="74" fillId="0" borderId="0" xfId="238" applyNumberFormat="1" applyFont="1" applyAlignment="1">
      <alignment horizontal="center" vertical="center"/>
    </xf>
    <xf numFmtId="2" fontId="74" fillId="0" borderId="0" xfId="238" applyNumberFormat="1" applyFont="1" applyAlignment="1">
      <alignment horizontal="center" vertical="center"/>
    </xf>
    <xf numFmtId="0" fontId="99" fillId="0" borderId="0" xfId="238" applyFont="1" applyAlignment="1">
      <alignment horizontal="left" vertical="center"/>
    </xf>
    <xf numFmtId="185" fontId="99" fillId="0" borderId="0" xfId="238" applyNumberFormat="1" applyFont="1" applyAlignment="1">
      <alignment horizontal="center" vertical="center"/>
    </xf>
    <xf numFmtId="182" fontId="99" fillId="0" borderId="0" xfId="238" applyNumberFormat="1" applyFont="1" applyAlignment="1">
      <alignment horizontal="center" vertical="center"/>
    </xf>
    <xf numFmtId="2" fontId="99" fillId="0" borderId="0" xfId="238" applyNumberFormat="1" applyFont="1" applyAlignment="1">
      <alignment horizontal="center" vertical="center"/>
    </xf>
    <xf numFmtId="0" fontId="74" fillId="0" borderId="155" xfId="238" applyFont="1" applyBorder="1" applyAlignment="1">
      <alignment horizontal="center" vertical="center"/>
    </xf>
    <xf numFmtId="0" fontId="99" fillId="0" borderId="155" xfId="238" applyFont="1" applyBorder="1" applyAlignment="1">
      <alignment horizontal="left" vertical="center"/>
    </xf>
    <xf numFmtId="185" fontId="99" fillId="0" borderId="155" xfId="238" applyNumberFormat="1" applyFont="1" applyBorder="1" applyAlignment="1">
      <alignment horizontal="center" vertical="center"/>
    </xf>
    <xf numFmtId="182" fontId="99" fillId="0" borderId="155" xfId="238" applyNumberFormat="1" applyFont="1" applyBorder="1" applyAlignment="1">
      <alignment horizontal="center" vertical="center"/>
    </xf>
    <xf numFmtId="2" fontId="99" fillId="0" borderId="155" xfId="238" applyNumberFormat="1" applyFont="1" applyBorder="1" applyAlignment="1">
      <alignment horizontal="center" vertical="center"/>
    </xf>
    <xf numFmtId="185" fontId="99" fillId="0" borderId="155" xfId="455" applyNumberFormat="1" applyFont="1" applyBorder="1" applyAlignment="1">
      <alignment horizontal="center" vertical="center"/>
    </xf>
    <xf numFmtId="0" fontId="74" fillId="0" borderId="107" xfId="238" applyFont="1" applyBorder="1" applyAlignment="1">
      <alignment horizontal="center" vertical="center"/>
    </xf>
    <xf numFmtId="0" fontId="74" fillId="0" borderId="107" xfId="238" applyFont="1" applyBorder="1" applyAlignment="1">
      <alignment horizontal="left" vertical="center"/>
    </xf>
    <xf numFmtId="185" fontId="74" fillId="0" borderId="107" xfId="238" applyNumberFormat="1" applyFont="1" applyBorder="1" applyAlignment="1">
      <alignment horizontal="center" vertical="center"/>
    </xf>
    <xf numFmtId="182" fontId="74" fillId="0" borderId="107" xfId="238" applyNumberFormat="1" applyFont="1" applyBorder="1" applyAlignment="1">
      <alignment horizontal="center" vertical="center"/>
    </xf>
    <xf numFmtId="2" fontId="74" fillId="0" borderId="107" xfId="238" applyNumberFormat="1" applyFont="1" applyBorder="1" applyAlignment="1">
      <alignment horizontal="center" vertical="center"/>
    </xf>
    <xf numFmtId="2" fontId="74" fillId="0" borderId="155" xfId="238" applyNumberFormat="1" applyFont="1" applyBorder="1" applyAlignment="1">
      <alignment horizontal="center" vertical="center"/>
    </xf>
    <xf numFmtId="0" fontId="99" fillId="0" borderId="16" xfId="238" applyFont="1" applyBorder="1" applyAlignment="1">
      <alignment horizontal="left" vertical="center"/>
    </xf>
    <xf numFmtId="185" fontId="99" fillId="0" borderId="16" xfId="238" applyNumberFormat="1" applyFont="1" applyBorder="1" applyAlignment="1">
      <alignment horizontal="center" vertical="center"/>
    </xf>
    <xf numFmtId="182" fontId="99" fillId="0" borderId="16" xfId="238" applyNumberFormat="1" applyFont="1" applyBorder="1" applyAlignment="1">
      <alignment horizontal="center" vertical="center"/>
    </xf>
    <xf numFmtId="0" fontId="38" fillId="0" borderId="0" xfId="0" applyFont="1" applyAlignment="1">
      <alignment horizontal="center" vertical="center"/>
    </xf>
    <xf numFmtId="0" fontId="74" fillId="0" borderId="0" xfId="238" applyFont="1" applyAlignment="1">
      <alignment horizontal="center"/>
    </xf>
    <xf numFmtId="185" fontId="74" fillId="0" borderId="0" xfId="238" applyNumberFormat="1" applyFont="1" applyAlignment="1">
      <alignment horizontal="center"/>
    </xf>
    <xf numFmtId="182" fontId="74" fillId="0" borderId="0" xfId="238" applyNumberFormat="1" applyFont="1" applyAlignment="1">
      <alignment horizontal="center"/>
    </xf>
    <xf numFmtId="185" fontId="74" fillId="0" borderId="0" xfId="173" applyNumberFormat="1" applyFont="1" applyAlignment="1">
      <alignment horizontal="center"/>
    </xf>
    <xf numFmtId="185" fontId="74" fillId="0" borderId="0" xfId="173" applyNumberFormat="1" applyFont="1" applyAlignment="1">
      <alignment horizontal="center" vertical="center"/>
    </xf>
    <xf numFmtId="182" fontId="99" fillId="0" borderId="16" xfId="238" applyNumberFormat="1" applyFont="1" applyBorder="1" applyAlignment="1">
      <alignment horizontal="center"/>
    </xf>
    <xf numFmtId="0" fontId="205" fillId="0" borderId="0" xfId="0" applyFont="1" applyAlignment="1">
      <alignment horizontal="left"/>
    </xf>
    <xf numFmtId="0" fontId="99" fillId="0" borderId="16" xfId="430" applyFont="1" applyBorder="1" applyAlignment="1">
      <alignment horizontal="center" vertical="center"/>
    </xf>
    <xf numFmtId="0" fontId="99" fillId="0" borderId="16" xfId="430" applyFont="1" applyBorder="1"/>
    <xf numFmtId="0" fontId="99" fillId="0" borderId="16" xfId="430" applyFont="1" applyBorder="1" applyAlignment="1">
      <alignment horizontal="center"/>
    </xf>
    <xf numFmtId="0" fontId="74" fillId="0" borderId="0" xfId="430" applyFont="1" applyAlignment="1">
      <alignment horizontal="center" vertical="center"/>
    </xf>
    <xf numFmtId="0" fontId="74" fillId="0" borderId="0" xfId="430" applyFont="1" applyAlignment="1">
      <alignment horizontal="left"/>
    </xf>
    <xf numFmtId="185" fontId="74" fillId="0" borderId="0" xfId="430" applyNumberFormat="1" applyFont="1" applyAlignment="1">
      <alignment horizontal="center"/>
    </xf>
    <xf numFmtId="182" fontId="74" fillId="0" borderId="0" xfId="430" applyNumberFormat="1" applyFont="1" applyAlignment="1">
      <alignment horizontal="center"/>
    </xf>
    <xf numFmtId="0" fontId="99" fillId="0" borderId="0" xfId="430" applyFont="1" applyAlignment="1">
      <alignment horizontal="left"/>
    </xf>
    <xf numFmtId="185" fontId="99" fillId="0" borderId="0" xfId="430" applyNumberFormat="1" applyFont="1" applyAlignment="1">
      <alignment horizontal="center"/>
    </xf>
    <xf numFmtId="182" fontId="99" fillId="0" borderId="0" xfId="430" applyNumberFormat="1" applyFont="1" applyAlignment="1">
      <alignment horizontal="center"/>
    </xf>
    <xf numFmtId="171" fontId="51" fillId="0" borderId="0" xfId="0" applyNumberFormat="1" applyFont="1" applyAlignment="1">
      <alignment horizontal="center" vertical="center"/>
    </xf>
    <xf numFmtId="0" fontId="74" fillId="0" borderId="107" xfId="430" applyFont="1" applyBorder="1" applyAlignment="1">
      <alignment horizontal="center" vertical="center"/>
    </xf>
    <xf numFmtId="0" fontId="74" fillId="0" borderId="107" xfId="430" applyFont="1" applyBorder="1" applyAlignment="1">
      <alignment horizontal="left"/>
    </xf>
    <xf numFmtId="185" fontId="74" fillId="0" borderId="107" xfId="430" applyNumberFormat="1" applyFont="1" applyBorder="1" applyAlignment="1">
      <alignment horizontal="center"/>
    </xf>
    <xf numFmtId="182" fontId="74" fillId="0" borderId="107" xfId="430" applyNumberFormat="1" applyFont="1" applyBorder="1" applyAlignment="1">
      <alignment horizontal="center"/>
    </xf>
    <xf numFmtId="2" fontId="51" fillId="0" borderId="107" xfId="0" applyNumberFormat="1" applyFont="1" applyBorder="1" applyAlignment="1">
      <alignment horizontal="center" vertical="center"/>
    </xf>
    <xf numFmtId="185" fontId="97" fillId="0" borderId="155" xfId="0" applyNumberFormat="1" applyFont="1" applyBorder="1" applyAlignment="1">
      <alignment horizontal="center" vertical="center"/>
    </xf>
    <xf numFmtId="0" fontId="99" fillId="0" borderId="0" xfId="430" applyFont="1" applyAlignment="1">
      <alignment horizontal="left" vertical="center"/>
    </xf>
    <xf numFmtId="185" fontId="99" fillId="0" borderId="0" xfId="430" applyNumberFormat="1" applyFont="1" applyAlignment="1">
      <alignment horizontal="center" vertical="center"/>
    </xf>
    <xf numFmtId="182" fontId="99" fillId="0" borderId="0" xfId="430" applyNumberFormat="1" applyFont="1" applyAlignment="1">
      <alignment horizontal="center" vertical="center"/>
    </xf>
    <xf numFmtId="0" fontId="74" fillId="0" borderId="16" xfId="430" applyFont="1" applyBorder="1" applyAlignment="1">
      <alignment horizontal="center" vertical="center"/>
    </xf>
    <xf numFmtId="0" fontId="99" fillId="0" borderId="106" xfId="430" applyFont="1" applyBorder="1" applyAlignment="1">
      <alignment horizontal="left" vertical="center"/>
    </xf>
    <xf numFmtId="185" fontId="99" fillId="0" borderId="106" xfId="430" applyNumberFormat="1" applyFont="1" applyBorder="1" applyAlignment="1">
      <alignment horizontal="center" vertical="center"/>
    </xf>
    <xf numFmtId="182" fontId="99" fillId="0" borderId="106" xfId="430" applyNumberFormat="1" applyFont="1" applyBorder="1" applyAlignment="1">
      <alignment horizontal="center" vertical="center"/>
    </xf>
    <xf numFmtId="0" fontId="73" fillId="0" borderId="0" xfId="430" applyFont="1"/>
    <xf numFmtId="0" fontId="73" fillId="0" borderId="0" xfId="430" applyFont="1" applyAlignment="1">
      <alignment horizontal="left"/>
    </xf>
    <xf numFmtId="185" fontId="73" fillId="0" borderId="0" xfId="430" applyNumberFormat="1" applyFont="1" applyAlignment="1">
      <alignment horizontal="center"/>
    </xf>
    <xf numFmtId="182" fontId="73" fillId="0" borderId="0" xfId="430" applyNumberFormat="1" applyFont="1" applyAlignment="1">
      <alignment horizontal="center"/>
    </xf>
    <xf numFmtId="185" fontId="74" fillId="0" borderId="0" xfId="430" applyNumberFormat="1" applyFont="1" applyAlignment="1">
      <alignment horizontal="center" vertical="center"/>
    </xf>
    <xf numFmtId="182" fontId="74" fillId="0" borderId="0" xfId="430" applyNumberFormat="1" applyFont="1" applyAlignment="1">
      <alignment horizontal="center" vertical="center"/>
    </xf>
    <xf numFmtId="185" fontId="99" fillId="0" borderId="16" xfId="430" applyNumberFormat="1" applyFont="1" applyBorder="1" applyAlignment="1">
      <alignment horizontal="center" vertical="center"/>
    </xf>
    <xf numFmtId="182" fontId="99" fillId="0" borderId="16" xfId="430" applyNumberFormat="1" applyFont="1" applyBorder="1" applyAlignment="1">
      <alignment horizontal="center" vertical="center"/>
    </xf>
    <xf numFmtId="0" fontId="88" fillId="0" borderId="0" xfId="0" applyFont="1" applyAlignment="1">
      <alignment vertical="center"/>
    </xf>
    <xf numFmtId="0" fontId="99" fillId="0" borderId="16" xfId="428" applyFont="1" applyBorder="1" applyAlignment="1">
      <alignment vertical="center"/>
    </xf>
    <xf numFmtId="0" fontId="74" fillId="0" borderId="0" xfId="428" applyFont="1" applyAlignment="1">
      <alignment horizontal="left" vertical="center"/>
    </xf>
    <xf numFmtId="185" fontId="74" fillId="0" borderId="0" xfId="428" applyNumberFormat="1" applyFont="1" applyAlignment="1">
      <alignment horizontal="center" vertical="center"/>
    </xf>
    <xf numFmtId="182" fontId="74" fillId="0" borderId="0" xfId="428" applyNumberFormat="1" applyFont="1" applyAlignment="1">
      <alignment horizontal="center" vertical="center"/>
    </xf>
    <xf numFmtId="0" fontId="99" fillId="0" borderId="0" xfId="428" applyFont="1" applyAlignment="1">
      <alignment horizontal="left" vertical="center"/>
    </xf>
    <xf numFmtId="185" fontId="99" fillId="0" borderId="0" xfId="428" applyNumberFormat="1" applyFont="1" applyAlignment="1">
      <alignment horizontal="center" vertical="center"/>
    </xf>
    <xf numFmtId="182" fontId="99" fillId="0" borderId="0" xfId="428" applyNumberFormat="1" applyFont="1" applyAlignment="1">
      <alignment horizontal="center" vertical="center"/>
    </xf>
    <xf numFmtId="0" fontId="74" fillId="0" borderId="107" xfId="428" applyFont="1" applyBorder="1" applyAlignment="1">
      <alignment horizontal="center" vertical="center"/>
    </xf>
    <xf numFmtId="0" fontId="74" fillId="0" borderId="107" xfId="428" applyFont="1" applyBorder="1" applyAlignment="1">
      <alignment horizontal="left" vertical="center"/>
    </xf>
    <xf numFmtId="185" fontId="74" fillId="0" borderId="107" xfId="428" applyNumberFormat="1" applyFont="1" applyBorder="1" applyAlignment="1">
      <alignment horizontal="center" vertical="center"/>
    </xf>
    <xf numFmtId="182" fontId="74" fillId="0" borderId="107" xfId="428" applyNumberFormat="1" applyFont="1" applyBorder="1" applyAlignment="1">
      <alignment horizontal="center" vertical="center"/>
    </xf>
    <xf numFmtId="0" fontId="74" fillId="0" borderId="16" xfId="428" applyFont="1" applyBorder="1" applyAlignment="1">
      <alignment vertical="center"/>
    </xf>
    <xf numFmtId="0" fontId="99" fillId="0" borderId="106" xfId="428" applyFont="1" applyBorder="1" applyAlignment="1">
      <alignment horizontal="left" vertical="center"/>
    </xf>
    <xf numFmtId="185" fontId="99" fillId="0" borderId="106" xfId="428" applyNumberFormat="1" applyFont="1" applyBorder="1" applyAlignment="1">
      <alignment horizontal="center" vertical="center"/>
    </xf>
    <xf numFmtId="182" fontId="99" fillId="0" borderId="106" xfId="428" applyNumberFormat="1" applyFont="1" applyBorder="1" applyAlignment="1">
      <alignment horizontal="center" vertical="center"/>
    </xf>
    <xf numFmtId="185" fontId="97" fillId="43" borderId="106" xfId="0" applyNumberFormat="1" applyFont="1" applyFill="1" applyBorder="1" applyAlignment="1">
      <alignment horizontal="center" vertical="center"/>
    </xf>
    <xf numFmtId="0" fontId="205" fillId="0" borderId="0" xfId="0" applyFont="1" applyAlignment="1">
      <alignment horizontal="left" vertical="center"/>
    </xf>
    <xf numFmtId="0" fontId="202" fillId="0" borderId="0" xfId="0" applyFont="1" applyAlignment="1">
      <alignment horizontal="left" vertical="center"/>
    </xf>
    <xf numFmtId="0" fontId="88" fillId="0" borderId="0" xfId="0" applyFont="1" applyAlignment="1">
      <alignment horizontal="left"/>
    </xf>
    <xf numFmtId="0" fontId="103" fillId="0" borderId="0" xfId="0" applyFont="1" applyAlignment="1">
      <alignment horizontal="left" vertical="center"/>
    </xf>
    <xf numFmtId="0" fontId="103" fillId="0" borderId="0" xfId="0" applyFont="1" applyAlignment="1">
      <alignment vertical="center"/>
    </xf>
    <xf numFmtId="0" fontId="206" fillId="0" borderId="0" xfId="0" applyFont="1"/>
    <xf numFmtId="0" fontId="207" fillId="0" borderId="0" xfId="0" applyFont="1"/>
    <xf numFmtId="0" fontId="47" fillId="0" borderId="0" xfId="144" applyFont="1"/>
    <xf numFmtId="0" fontId="182" fillId="0" borderId="0" xfId="211" applyFont="1" applyAlignment="1">
      <alignment horizontal="center"/>
    </xf>
    <xf numFmtId="0" fontId="182" fillId="0" borderId="0" xfId="211" applyFont="1"/>
    <xf numFmtId="0" fontId="183" fillId="43" borderId="16" xfId="0" applyFont="1" applyFill="1" applyBorder="1" applyAlignment="1">
      <alignment horizontal="center" vertical="center"/>
    </xf>
    <xf numFmtId="0" fontId="184" fillId="0" borderId="155" xfId="211" applyFont="1" applyBorder="1" applyAlignment="1">
      <alignment horizontal="center" vertical="center"/>
    </xf>
    <xf numFmtId="0" fontId="184" fillId="0" borderId="155" xfId="211" applyFont="1" applyBorder="1" applyAlignment="1">
      <alignment horizontal="center" vertical="center" wrapText="1"/>
    </xf>
    <xf numFmtId="0" fontId="184" fillId="21" borderId="155" xfId="211" applyFont="1" applyFill="1" applyBorder="1" applyAlignment="1">
      <alignment horizontal="center" vertical="center" wrapText="1"/>
    </xf>
    <xf numFmtId="0" fontId="74" fillId="0" borderId="0" xfId="238" applyFont="1" applyAlignment="1">
      <alignment horizontal="left"/>
    </xf>
    <xf numFmtId="183" fontId="74" fillId="0" borderId="0" xfId="238" applyNumberFormat="1" applyFont="1" applyAlignment="1">
      <alignment horizontal="center"/>
    </xf>
    <xf numFmtId="0" fontId="74" fillId="0" borderId="0" xfId="441" applyFont="1" applyAlignment="1">
      <alignment vertical="top"/>
    </xf>
    <xf numFmtId="0" fontId="74" fillId="0" borderId="0" xfId="441" applyFont="1" applyAlignment="1">
      <alignment horizontal="left" vertical="top"/>
    </xf>
    <xf numFmtId="182" fontId="74" fillId="0" borderId="0" xfId="441" applyNumberFormat="1" applyFont="1" applyAlignment="1">
      <alignment horizontal="center" vertical="center"/>
    </xf>
    <xf numFmtId="185" fontId="74" fillId="0" borderId="0" xfId="441" applyNumberFormat="1" applyFont="1" applyAlignment="1">
      <alignment horizontal="center" vertical="center"/>
    </xf>
    <xf numFmtId="0" fontId="74" fillId="0" borderId="0" xfId="796" applyFont="1" applyAlignment="1">
      <alignment horizontal="center" vertical="center"/>
    </xf>
    <xf numFmtId="171" fontId="74" fillId="0" borderId="0" xfId="796" applyNumberFormat="1" applyFont="1" applyAlignment="1">
      <alignment horizontal="center" vertical="top"/>
    </xf>
    <xf numFmtId="0" fontId="74" fillId="0" borderId="0" xfId="796" applyFont="1" applyAlignment="1">
      <alignment horizontal="left" vertical="top"/>
    </xf>
    <xf numFmtId="3" fontId="74" fillId="0" borderId="0" xfId="796" applyNumberFormat="1" applyFont="1" applyAlignment="1">
      <alignment horizontal="center" vertical="top"/>
    </xf>
    <xf numFmtId="2" fontId="74" fillId="0" borderId="0" xfId="796" applyNumberFormat="1" applyFont="1" applyAlignment="1">
      <alignment horizontal="center" vertical="top"/>
    </xf>
    <xf numFmtId="2" fontId="51" fillId="0" borderId="0" xfId="0" applyNumberFormat="1" applyFont="1" applyAlignment="1">
      <alignment horizontal="center"/>
    </xf>
    <xf numFmtId="171" fontId="51" fillId="0" borderId="0" xfId="0" applyNumberFormat="1" applyFont="1" applyAlignment="1">
      <alignment horizontal="center"/>
    </xf>
    <xf numFmtId="0" fontId="61" fillId="0" borderId="0" xfId="211" applyFont="1" applyAlignment="1">
      <alignment horizontal="center"/>
    </xf>
    <xf numFmtId="2" fontId="61" fillId="0" borderId="0" xfId="211" applyNumberFormat="1" applyFont="1" applyAlignment="1">
      <alignment horizontal="center"/>
    </xf>
    <xf numFmtId="1" fontId="61" fillId="0" borderId="0" xfId="211" applyNumberFormat="1" applyFont="1" applyAlignment="1">
      <alignment horizontal="center"/>
    </xf>
    <xf numFmtId="0" fontId="99" fillId="0" borderId="0" xfId="238" applyFont="1" applyAlignment="1">
      <alignment horizontal="left"/>
    </xf>
    <xf numFmtId="185" fontId="99" fillId="0" borderId="0" xfId="238" applyNumberFormat="1" applyFont="1" applyAlignment="1">
      <alignment horizontal="center"/>
    </xf>
    <xf numFmtId="182" fontId="99" fillId="0" borderId="0" xfId="238" applyNumberFormat="1" applyFont="1" applyAlignment="1">
      <alignment horizontal="center"/>
    </xf>
    <xf numFmtId="0" fontId="99" fillId="0" borderId="0" xfId="441" applyFont="1" applyAlignment="1">
      <alignment horizontal="left" vertical="top"/>
    </xf>
    <xf numFmtId="182" fontId="99" fillId="0" borderId="0" xfId="441" applyNumberFormat="1" applyFont="1" applyAlignment="1">
      <alignment horizontal="center" vertical="center"/>
    </xf>
    <xf numFmtId="185" fontId="99" fillId="0" borderId="0" xfId="441" applyNumberFormat="1" applyFont="1" applyAlignment="1">
      <alignment horizontal="center" vertical="center"/>
    </xf>
    <xf numFmtId="0" fontId="99" fillId="0" borderId="0" xfId="796" applyFont="1" applyAlignment="1">
      <alignment horizontal="left" vertical="top"/>
    </xf>
    <xf numFmtId="3" fontId="99" fillId="0" borderId="0" xfId="796" applyNumberFormat="1" applyFont="1" applyAlignment="1">
      <alignment horizontal="center" vertical="top"/>
    </xf>
    <xf numFmtId="2" fontId="99" fillId="0" borderId="0" xfId="796" applyNumberFormat="1" applyFont="1" applyAlignment="1">
      <alignment horizontal="center" vertical="top"/>
    </xf>
    <xf numFmtId="171" fontId="99" fillId="0" borderId="0" xfId="796" applyNumberFormat="1" applyFont="1" applyAlignment="1">
      <alignment horizontal="center" vertical="top"/>
    </xf>
    <xf numFmtId="2" fontId="97" fillId="0" borderId="0" xfId="0" applyNumberFormat="1" applyFont="1" applyAlignment="1">
      <alignment horizontal="center"/>
    </xf>
    <xf numFmtId="171" fontId="97" fillId="0" borderId="0" xfId="0" applyNumberFormat="1" applyFont="1" applyAlignment="1">
      <alignment horizontal="center"/>
    </xf>
    <xf numFmtId="0" fontId="184" fillId="0" borderId="0" xfId="211" applyFont="1"/>
    <xf numFmtId="0" fontId="184" fillId="0" borderId="0" xfId="211" applyFont="1" applyAlignment="1">
      <alignment horizontal="center"/>
    </xf>
    <xf numFmtId="2" fontId="184" fillId="0" borderId="0" xfId="211" applyNumberFormat="1" applyFont="1" applyAlignment="1">
      <alignment horizontal="center"/>
    </xf>
    <xf numFmtId="183" fontId="74" fillId="0" borderId="155" xfId="238" applyNumberFormat="1" applyFont="1" applyBorder="1" applyAlignment="1">
      <alignment horizontal="center"/>
    </xf>
    <xf numFmtId="0" fontId="74" fillId="0" borderId="155" xfId="441" applyFont="1" applyBorder="1" applyAlignment="1">
      <alignment vertical="top"/>
    </xf>
    <xf numFmtId="0" fontId="99" fillId="0" borderId="155" xfId="441" applyFont="1" applyBorder="1" applyAlignment="1">
      <alignment horizontal="left" vertical="top"/>
    </xf>
    <xf numFmtId="182" fontId="99" fillId="0" borderId="155" xfId="441" applyNumberFormat="1" applyFont="1" applyBorder="1" applyAlignment="1">
      <alignment horizontal="center" vertical="center"/>
    </xf>
    <xf numFmtId="185" fontId="99" fillId="0" borderId="155" xfId="441" applyNumberFormat="1" applyFont="1" applyBorder="1" applyAlignment="1">
      <alignment horizontal="center" vertical="center"/>
    </xf>
    <xf numFmtId="171" fontId="51" fillId="0" borderId="155" xfId="0" applyNumberFormat="1" applyFont="1" applyBorder="1" applyAlignment="1">
      <alignment horizontal="center" vertical="center"/>
    </xf>
    <xf numFmtId="0" fontId="51" fillId="0" borderId="155" xfId="0" applyFont="1" applyBorder="1" applyAlignment="1">
      <alignment horizontal="center"/>
    </xf>
    <xf numFmtId="0" fontId="97" fillId="0" borderId="155" xfId="0" applyFont="1" applyBorder="1"/>
    <xf numFmtId="0" fontId="97" fillId="0" borderId="155" xfId="0" applyFont="1" applyBorder="1" applyAlignment="1">
      <alignment horizontal="center"/>
    </xf>
    <xf numFmtId="2" fontId="97" fillId="0" borderId="155" xfId="0" applyNumberFormat="1" applyFont="1" applyBorder="1" applyAlignment="1">
      <alignment horizontal="center"/>
    </xf>
    <xf numFmtId="171" fontId="97" fillId="0" borderId="155" xfId="0" applyNumberFormat="1" applyFont="1" applyBorder="1" applyAlignment="1">
      <alignment horizontal="center"/>
    </xf>
    <xf numFmtId="0" fontId="61" fillId="0" borderId="155" xfId="211" applyFont="1" applyBorder="1" applyAlignment="1">
      <alignment horizontal="center"/>
    </xf>
    <xf numFmtId="0" fontId="184" fillId="0" borderId="155" xfId="211" applyFont="1" applyBorder="1"/>
    <xf numFmtId="0" fontId="184" fillId="0" borderId="155" xfId="211" applyFont="1" applyBorder="1" applyAlignment="1">
      <alignment horizontal="center"/>
    </xf>
    <xf numFmtId="2" fontId="184" fillId="0" borderId="155" xfId="211" applyNumberFormat="1" applyFont="1" applyBorder="1" applyAlignment="1">
      <alignment horizontal="center"/>
    </xf>
    <xf numFmtId="1" fontId="61" fillId="0" borderId="155" xfId="211" applyNumberFormat="1" applyFont="1" applyBorder="1" applyAlignment="1">
      <alignment horizontal="center"/>
    </xf>
    <xf numFmtId="0" fontId="74" fillId="0" borderId="107" xfId="238" applyFont="1" applyBorder="1" applyAlignment="1">
      <alignment horizontal="left"/>
    </xf>
    <xf numFmtId="185" fontId="74" fillId="0" borderId="107" xfId="238" applyNumberFormat="1" applyFont="1" applyBorder="1" applyAlignment="1">
      <alignment horizontal="center"/>
    </xf>
    <xf numFmtId="182" fontId="74" fillId="0" borderId="107" xfId="238" applyNumberFormat="1" applyFont="1" applyBorder="1" applyAlignment="1">
      <alignment horizontal="center"/>
    </xf>
    <xf numFmtId="0" fontId="74" fillId="0" borderId="107" xfId="796" applyFont="1" applyBorder="1" applyAlignment="1">
      <alignment horizontal="center" vertical="center"/>
    </xf>
    <xf numFmtId="0" fontId="74" fillId="0" borderId="107" xfId="796" applyFont="1" applyBorder="1" applyAlignment="1">
      <alignment horizontal="left" vertical="top"/>
    </xf>
    <xf numFmtId="3" fontId="74" fillId="0" borderId="107" xfId="796" applyNumberFormat="1" applyFont="1" applyBorder="1" applyAlignment="1">
      <alignment horizontal="center" vertical="top"/>
    </xf>
    <xf numFmtId="2" fontId="74" fillId="0" borderId="107" xfId="796" applyNumberFormat="1" applyFont="1" applyBorder="1" applyAlignment="1">
      <alignment horizontal="center" vertical="top"/>
    </xf>
    <xf numFmtId="171" fontId="74" fillId="0" borderId="107" xfId="796" applyNumberFormat="1" applyFont="1" applyBorder="1" applyAlignment="1">
      <alignment horizontal="center" vertical="top"/>
    </xf>
    <xf numFmtId="3" fontId="99" fillId="0" borderId="155" xfId="796" applyNumberFormat="1" applyFont="1" applyBorder="1" applyAlignment="1">
      <alignment horizontal="center" vertical="top"/>
    </xf>
    <xf numFmtId="2" fontId="99" fillId="0" borderId="155" xfId="796" applyNumberFormat="1" applyFont="1" applyBorder="1" applyAlignment="1">
      <alignment horizontal="center" vertical="top"/>
    </xf>
    <xf numFmtId="2" fontId="97" fillId="0" borderId="16" xfId="0" applyNumberFormat="1" applyFont="1" applyBorder="1" applyAlignment="1">
      <alignment horizontal="center"/>
    </xf>
    <xf numFmtId="171" fontId="97" fillId="0" borderId="16" xfId="0" applyNumberFormat="1" applyFont="1" applyBorder="1" applyAlignment="1">
      <alignment horizontal="center"/>
    </xf>
    <xf numFmtId="0" fontId="74" fillId="0" borderId="16" xfId="796" applyFont="1" applyBorder="1" applyAlignment="1">
      <alignment horizontal="center" vertical="center"/>
    </xf>
    <xf numFmtId="0" fontId="99" fillId="0" borderId="16" xfId="796" applyFont="1" applyBorder="1" applyAlignment="1">
      <alignment horizontal="left" vertical="top"/>
    </xf>
    <xf numFmtId="171" fontId="99" fillId="0" borderId="16" xfId="796" applyNumberFormat="1" applyFont="1" applyBorder="1" applyAlignment="1">
      <alignment horizontal="center" vertical="top"/>
    </xf>
    <xf numFmtId="3" fontId="99" fillId="0" borderId="16" xfId="796" applyNumberFormat="1" applyFont="1" applyBorder="1" applyAlignment="1">
      <alignment horizontal="center" vertical="top"/>
    </xf>
    <xf numFmtId="2" fontId="99" fillId="0" borderId="16" xfId="796" applyNumberFormat="1" applyFont="1" applyBorder="1" applyAlignment="1">
      <alignment horizontal="center" vertical="top"/>
    </xf>
    <xf numFmtId="2" fontId="61" fillId="0" borderId="0" xfId="211" applyNumberFormat="1" applyFont="1"/>
    <xf numFmtId="0" fontId="74" fillId="0" borderId="16" xfId="441" applyFont="1" applyBorder="1" applyAlignment="1">
      <alignment vertical="top"/>
    </xf>
    <xf numFmtId="0" fontId="99" fillId="0" borderId="16" xfId="441" applyFont="1" applyBorder="1" applyAlignment="1">
      <alignment horizontal="left" vertical="top"/>
    </xf>
    <xf numFmtId="182" fontId="99" fillId="0" borderId="16" xfId="441" applyNumberFormat="1" applyFont="1" applyBorder="1" applyAlignment="1">
      <alignment horizontal="center" vertical="center"/>
    </xf>
    <xf numFmtId="185" fontId="99" fillId="0" borderId="16" xfId="441" applyNumberFormat="1" applyFont="1" applyBorder="1" applyAlignment="1">
      <alignment horizontal="center" vertical="center"/>
    </xf>
    <xf numFmtId="171" fontId="51" fillId="0" borderId="16" xfId="0" applyNumberFormat="1" applyFont="1" applyBorder="1" applyAlignment="1">
      <alignment horizontal="center" vertical="center"/>
    </xf>
    <xf numFmtId="171" fontId="51" fillId="0" borderId="0" xfId="0" applyNumberFormat="1" applyFont="1"/>
    <xf numFmtId="0" fontId="51" fillId="0" borderId="107" xfId="0" applyFont="1" applyBorder="1" applyAlignment="1">
      <alignment horizontal="center"/>
    </xf>
    <xf numFmtId="3" fontId="51" fillId="0" borderId="107" xfId="0" applyNumberFormat="1" applyFont="1" applyBorder="1" applyAlignment="1">
      <alignment horizontal="center" vertical="center"/>
    </xf>
    <xf numFmtId="185" fontId="74" fillId="0" borderId="107" xfId="173" applyNumberFormat="1" applyFont="1" applyBorder="1" applyAlignment="1">
      <alignment horizontal="center" vertical="center"/>
    </xf>
    <xf numFmtId="0" fontId="51" fillId="0" borderId="107" xfId="0" applyFont="1" applyBorder="1" applyAlignment="1">
      <alignment horizontal="center" vertical="center"/>
    </xf>
    <xf numFmtId="2" fontId="51" fillId="0" borderId="107" xfId="0" applyNumberFormat="1" applyFont="1" applyBorder="1" applyAlignment="1">
      <alignment horizontal="center"/>
    </xf>
    <xf numFmtId="171" fontId="51" fillId="0" borderId="107" xfId="0" applyNumberFormat="1" applyFont="1" applyBorder="1" applyAlignment="1">
      <alignment horizontal="center"/>
    </xf>
    <xf numFmtId="0" fontId="61" fillId="0" borderId="107" xfId="211" applyFont="1" applyBorder="1" applyAlignment="1">
      <alignment horizontal="center"/>
    </xf>
    <xf numFmtId="2" fontId="61" fillId="0" borderId="107" xfId="211" applyNumberFormat="1" applyFont="1" applyBorder="1" applyAlignment="1">
      <alignment horizontal="center"/>
    </xf>
    <xf numFmtId="1" fontId="61" fillId="0" borderId="107" xfId="211" applyNumberFormat="1" applyFont="1" applyBorder="1" applyAlignment="1">
      <alignment horizontal="center"/>
    </xf>
    <xf numFmtId="3" fontId="51" fillId="0" borderId="0" xfId="0" applyNumberFormat="1" applyFont="1" applyAlignment="1">
      <alignment horizontal="center" vertical="center"/>
    </xf>
    <xf numFmtId="182" fontId="51" fillId="0" borderId="0" xfId="0" applyNumberFormat="1" applyFont="1" applyAlignment="1">
      <alignment horizontal="center" vertical="center"/>
    </xf>
    <xf numFmtId="0" fontId="99" fillId="0" borderId="16" xfId="238" applyFont="1" applyBorder="1" applyAlignment="1">
      <alignment horizontal="left"/>
    </xf>
    <xf numFmtId="0" fontId="99" fillId="0" borderId="16" xfId="441" applyFont="1" applyBorder="1" applyAlignment="1">
      <alignment vertical="top"/>
    </xf>
    <xf numFmtId="171" fontId="97" fillId="43" borderId="16" xfId="0" applyNumberFormat="1" applyFont="1" applyFill="1" applyBorder="1" applyAlignment="1">
      <alignment horizontal="center" vertical="center"/>
    </xf>
    <xf numFmtId="0" fontId="99" fillId="0" borderId="16" xfId="796" applyFont="1" applyBorder="1" applyAlignment="1">
      <alignment horizontal="center" vertical="center"/>
    </xf>
    <xf numFmtId="171" fontId="89" fillId="43" borderId="16" xfId="796" applyNumberFormat="1" applyFont="1" applyFill="1" applyBorder="1" applyAlignment="1">
      <alignment horizontal="center" vertical="top"/>
    </xf>
    <xf numFmtId="171" fontId="89" fillId="21" borderId="16" xfId="796" applyNumberFormat="1" applyFont="1" applyFill="1" applyBorder="1" applyAlignment="1">
      <alignment horizontal="center" vertical="top"/>
    </xf>
    <xf numFmtId="3" fontId="184" fillId="0" borderId="155" xfId="211" applyNumberFormat="1" applyFont="1" applyBorder="1" applyAlignment="1">
      <alignment horizontal="center"/>
    </xf>
    <xf numFmtId="1" fontId="184" fillId="0" borderId="155" xfId="211" applyNumberFormat="1" applyFont="1" applyBorder="1" applyAlignment="1">
      <alignment horizontal="center"/>
    </xf>
    <xf numFmtId="0" fontId="61" fillId="0" borderId="0" xfId="211" applyFont="1" applyAlignment="1">
      <alignment horizontal="left"/>
    </xf>
    <xf numFmtId="0" fontId="74" fillId="0" borderId="0" xfId="3785" applyFont="1" applyAlignment="1">
      <alignment horizontal="center" vertical="center"/>
    </xf>
    <xf numFmtId="185" fontId="74" fillId="0" borderId="0" xfId="3785" applyNumberFormat="1" applyFont="1" applyAlignment="1">
      <alignment horizontal="center"/>
    </xf>
    <xf numFmtId="182" fontId="74" fillId="0" borderId="0" xfId="3785" applyNumberFormat="1" applyFont="1" applyAlignment="1">
      <alignment horizontal="center"/>
    </xf>
    <xf numFmtId="183" fontId="74" fillId="0" borderId="0" xfId="3785" applyNumberFormat="1" applyFont="1" applyAlignment="1">
      <alignment horizontal="center"/>
    </xf>
    <xf numFmtId="185" fontId="99" fillId="0" borderId="16" xfId="3785" applyNumberFormat="1" applyFont="1" applyBorder="1" applyAlignment="1">
      <alignment horizontal="center"/>
    </xf>
    <xf numFmtId="182" fontId="99" fillId="0" borderId="16" xfId="3785" applyNumberFormat="1" applyFont="1" applyBorder="1" applyAlignment="1">
      <alignment horizontal="center"/>
    </xf>
    <xf numFmtId="183" fontId="99" fillId="43" borderId="16" xfId="238" applyNumberFormat="1" applyFont="1" applyFill="1" applyBorder="1" applyAlignment="1">
      <alignment horizontal="center"/>
    </xf>
    <xf numFmtId="0" fontId="55" fillId="0" borderId="22" xfId="142" applyFont="1" applyBorder="1" applyAlignment="1">
      <alignment horizontal="center"/>
    </xf>
    <xf numFmtId="168" fontId="38" fillId="0" borderId="0" xfId="142" applyNumberFormat="1"/>
    <xf numFmtId="0" fontId="55" fillId="0" borderId="0" xfId="142" applyFont="1" applyAlignment="1">
      <alignment horizontal="center"/>
    </xf>
    <xf numFmtId="0" fontId="80" fillId="0" borderId="0" xfId="142" applyFont="1" applyAlignment="1">
      <alignment horizontal="center"/>
    </xf>
    <xf numFmtId="0" fontId="40" fillId="24" borderId="159" xfId="0" applyFont="1" applyFill="1" applyBorder="1" applyAlignment="1">
      <alignment horizontal="center" vertical="center" wrapText="1"/>
    </xf>
    <xf numFmtId="0" fontId="0" fillId="0" borderId="159" xfId="0" applyBorder="1" applyAlignment="1">
      <alignment horizontal="center" vertical="center" wrapText="1"/>
    </xf>
    <xf numFmtId="0" fontId="0" fillId="0" borderId="160" xfId="0" applyBorder="1" applyAlignment="1">
      <alignment horizontal="center" vertical="center" wrapText="1"/>
    </xf>
    <xf numFmtId="171" fontId="58" fillId="0" borderId="160" xfId="0" applyNumberFormat="1" applyFont="1" applyBorder="1" applyAlignment="1">
      <alignment horizontal="center" vertical="center" wrapText="1"/>
    </xf>
    <xf numFmtId="171" fontId="58" fillId="0" borderId="159" xfId="0" applyNumberFormat="1" applyFont="1" applyBorder="1" applyAlignment="1">
      <alignment horizontal="center" vertical="center" wrapText="1"/>
    </xf>
    <xf numFmtId="0" fontId="42" fillId="43" borderId="159" xfId="0" applyFont="1" applyFill="1" applyBorder="1" applyAlignment="1">
      <alignment horizontal="center" vertical="center" wrapText="1"/>
    </xf>
    <xf numFmtId="171" fontId="42" fillId="43" borderId="159" xfId="0" applyNumberFormat="1" applyFont="1" applyFill="1" applyBorder="1" applyAlignment="1">
      <alignment horizontal="center" vertical="center" wrapText="1"/>
    </xf>
    <xf numFmtId="171" fontId="0" fillId="0" borderId="159" xfId="0" applyNumberFormat="1" applyBorder="1" applyAlignment="1">
      <alignment horizontal="center" vertical="center"/>
    </xf>
    <xf numFmtId="0" fontId="0" fillId="0" borderId="13" xfId="0" applyBorder="1" applyAlignment="1">
      <alignment horizontal="center" vertical="center" wrapText="1"/>
    </xf>
    <xf numFmtId="0" fontId="0" fillId="0" borderId="162" xfId="0" applyBorder="1" applyAlignment="1">
      <alignment horizontal="center" vertical="center" wrapText="1"/>
    </xf>
    <xf numFmtId="171" fontId="58" fillId="0" borderId="162" xfId="0" applyNumberFormat="1" applyFont="1" applyBorder="1" applyAlignment="1">
      <alignment horizontal="center" vertical="center" wrapText="1"/>
    </xf>
    <xf numFmtId="0" fontId="0" fillId="0" borderId="156" xfId="0" applyBorder="1" applyAlignment="1">
      <alignment vertical="center" wrapText="1"/>
    </xf>
    <xf numFmtId="0" fontId="0" fillId="0" borderId="166" xfId="0" applyBorder="1" applyAlignment="1">
      <alignment vertical="center" wrapText="1"/>
    </xf>
    <xf numFmtId="0" fontId="42" fillId="43" borderId="166" xfId="0" applyFont="1" applyFill="1" applyBorder="1" applyAlignment="1">
      <alignment vertical="center" wrapText="1"/>
    </xf>
    <xf numFmtId="0" fontId="0" fillId="0" borderId="166" xfId="0" applyBorder="1" applyAlignment="1">
      <alignment vertical="center"/>
    </xf>
    <xf numFmtId="0" fontId="0" fillId="0" borderId="154" xfId="0" applyBorder="1" applyAlignment="1">
      <alignment vertical="center" wrapText="1"/>
    </xf>
    <xf numFmtId="0" fontId="201" fillId="20" borderId="167" xfId="0" applyFont="1" applyFill="1" applyBorder="1" applyAlignment="1">
      <alignment horizontal="center" vertical="center" wrapText="1"/>
    </xf>
    <xf numFmtId="0" fontId="43" fillId="20" borderId="167" xfId="0" applyFont="1" applyFill="1" applyBorder="1" applyAlignment="1">
      <alignment horizontal="center" vertical="center" wrapText="1"/>
    </xf>
    <xf numFmtId="0" fontId="0" fillId="0" borderId="167" xfId="0" applyBorder="1" applyAlignment="1">
      <alignment horizontal="center"/>
    </xf>
    <xf numFmtId="0" fontId="42" fillId="34" borderId="167" xfId="377" applyFont="1" applyFill="1" applyBorder="1" applyAlignment="1">
      <alignment horizontal="left" vertical="center" wrapText="1"/>
    </xf>
    <xf numFmtId="0" fontId="201" fillId="0" borderId="167" xfId="0" applyFont="1" applyBorder="1" applyAlignment="1">
      <alignment horizontal="center" vertical="center" wrapText="1"/>
    </xf>
    <xf numFmtId="0" fontId="42" fillId="0" borderId="167" xfId="0" applyFont="1" applyBorder="1" applyAlignment="1">
      <alignment horizontal="left"/>
    </xf>
    <xf numFmtId="0" fontId="0" fillId="43" borderId="167" xfId="0" applyFill="1" applyBorder="1" applyAlignment="1">
      <alignment horizontal="center"/>
    </xf>
    <xf numFmtId="0" fontId="0" fillId="43" borderId="167" xfId="0" applyFill="1" applyBorder="1" applyAlignment="1">
      <alignment horizontal="left"/>
    </xf>
    <xf numFmtId="0" fontId="0" fillId="0" borderId="167" xfId="0" applyBorder="1" applyAlignment="1">
      <alignment horizontal="left"/>
    </xf>
    <xf numFmtId="3" fontId="7" fillId="0" borderId="147" xfId="803" applyNumberFormat="1" applyFont="1" applyBorder="1" applyAlignment="1">
      <alignment horizontal="right" vertical="center" wrapText="1" indent="1"/>
    </xf>
    <xf numFmtId="3" fontId="23" fillId="20" borderId="148" xfId="109" applyNumberFormat="1" applyFont="1" applyFill="1" applyBorder="1" applyAlignment="1">
      <alignment horizontal="right" vertical="center" wrapText="1" indent="1"/>
    </xf>
    <xf numFmtId="3" fontId="7" fillId="22" borderId="147" xfId="173" applyNumberFormat="1" applyFont="1" applyFill="1" applyBorder="1" applyAlignment="1">
      <alignment horizontal="right" vertical="center" wrapText="1" indent="1"/>
    </xf>
    <xf numFmtId="0" fontId="183" fillId="0" borderId="0" xfId="211" applyFont="1" applyAlignment="1">
      <alignment horizontal="left"/>
    </xf>
    <xf numFmtId="0" fontId="211" fillId="0" borderId="0" xfId="211" applyFont="1" applyAlignment="1">
      <alignment horizontal="left"/>
    </xf>
    <xf numFmtId="0" fontId="211" fillId="0" borderId="0" xfId="211" applyFont="1" applyAlignment="1">
      <alignment vertical="top"/>
    </xf>
    <xf numFmtId="0" fontId="87" fillId="0" borderId="0" xfId="246" applyFont="1" applyAlignment="1">
      <alignment horizontal="center" vertical="center" wrapText="1"/>
    </xf>
    <xf numFmtId="0" fontId="89" fillId="20" borderId="160" xfId="246" applyFont="1" applyFill="1" applyBorder="1" applyAlignment="1">
      <alignment horizontal="center" vertical="center" wrapText="1"/>
    </xf>
    <xf numFmtId="0" fontId="43" fillId="20" borderId="160" xfId="246" applyFont="1" applyFill="1" applyBorder="1" applyAlignment="1">
      <alignment horizontal="center" vertical="center"/>
    </xf>
    <xf numFmtId="0" fontId="137" fillId="20" borderId="160" xfId="246" applyFont="1" applyFill="1" applyBorder="1" applyAlignment="1">
      <alignment horizontal="center" vertical="center"/>
    </xf>
    <xf numFmtId="0" fontId="43" fillId="43" borderId="160" xfId="246" applyFont="1" applyFill="1" applyBorder="1" applyAlignment="1">
      <alignment horizontal="center" vertical="center"/>
    </xf>
    <xf numFmtId="0" fontId="43" fillId="43" borderId="167" xfId="246" applyFont="1" applyFill="1" applyBorder="1" applyAlignment="1">
      <alignment horizontal="center" vertical="center"/>
    </xf>
    <xf numFmtId="0" fontId="83" fillId="35" borderId="166" xfId="246" applyFont="1" applyFill="1" applyBorder="1" applyAlignment="1">
      <alignment horizontal="center" vertical="center" wrapText="1"/>
    </xf>
    <xf numFmtId="0" fontId="83" fillId="35" borderId="157" xfId="246" applyFont="1" applyFill="1" applyBorder="1" applyAlignment="1">
      <alignment horizontal="center" vertical="center" wrapText="1"/>
    </xf>
    <xf numFmtId="0" fontId="135" fillId="35" borderId="157" xfId="246" applyFont="1" applyFill="1" applyBorder="1" applyAlignment="1">
      <alignment vertical="center"/>
    </xf>
    <xf numFmtId="0" fontId="135" fillId="35" borderId="157" xfId="246" applyFont="1" applyFill="1" applyBorder="1" applyAlignment="1">
      <alignment horizontal="left" vertical="center"/>
    </xf>
    <xf numFmtId="0" fontId="135" fillId="35" borderId="157" xfId="246" applyFont="1" applyFill="1" applyBorder="1" applyAlignment="1">
      <alignment horizontal="center" vertical="center"/>
    </xf>
    <xf numFmtId="0" fontId="83" fillId="35" borderId="157" xfId="583" applyFont="1" applyFill="1" applyBorder="1" applyAlignment="1">
      <alignment vertical="center"/>
    </xf>
    <xf numFmtId="0" fontId="43" fillId="43" borderId="171" xfId="246" applyFont="1" applyFill="1" applyBorder="1" applyAlignment="1">
      <alignment horizontal="center" vertical="center"/>
    </xf>
    <xf numFmtId="0" fontId="43" fillId="43" borderId="172" xfId="246" applyFont="1" applyFill="1" applyBorder="1" applyAlignment="1">
      <alignment horizontal="center" vertical="center" wrapText="1"/>
    </xf>
    <xf numFmtId="0" fontId="42" fillId="52" borderId="0" xfId="246" applyFont="1" applyFill="1" applyAlignment="1">
      <alignment horizontal="center" vertical="center" wrapText="1"/>
    </xf>
    <xf numFmtId="0" fontId="135" fillId="52" borderId="0" xfId="0" applyFont="1" applyFill="1" applyAlignment="1">
      <alignment horizontal="center" vertical="center" wrapText="1"/>
    </xf>
    <xf numFmtId="0" fontId="83" fillId="52" borderId="166" xfId="246" applyFont="1" applyFill="1" applyBorder="1" applyAlignment="1">
      <alignment horizontal="center" vertical="center" wrapText="1"/>
    </xf>
    <xf numFmtId="0" fontId="83" fillId="52" borderId="157" xfId="246" applyFont="1" applyFill="1" applyBorder="1" applyAlignment="1">
      <alignment horizontal="center" vertical="center" wrapText="1"/>
    </xf>
    <xf numFmtId="0" fontId="135" fillId="52" borderId="157" xfId="246" applyFont="1" applyFill="1" applyBorder="1" applyAlignment="1">
      <alignment horizontal="center" vertical="center" wrapText="1"/>
    </xf>
    <xf numFmtId="0" fontId="135" fillId="52" borderId="157" xfId="0" applyFont="1" applyFill="1" applyBorder="1" applyAlignment="1">
      <alignment horizontal="center" vertical="center" wrapText="1"/>
    </xf>
    <xf numFmtId="0" fontId="135" fillId="52" borderId="0" xfId="246" applyFont="1" applyFill="1" applyAlignment="1">
      <alignment horizontal="center" vertical="center" wrapText="1"/>
    </xf>
    <xf numFmtId="0" fontId="135" fillId="52" borderId="0" xfId="246" applyFont="1" applyFill="1" applyAlignment="1">
      <alignment wrapText="1"/>
    </xf>
    <xf numFmtId="0" fontId="0" fillId="0" borderId="167" xfId="0" applyBorder="1" applyAlignment="1">
      <alignment vertical="center" wrapText="1"/>
    </xf>
    <xf numFmtId="0" fontId="42" fillId="0" borderId="167" xfId="0" applyFont="1" applyBorder="1" applyAlignment="1">
      <alignment horizontal="center" vertical="center" wrapText="1"/>
    </xf>
    <xf numFmtId="0" fontId="42" fillId="0" borderId="167" xfId="0" applyFont="1" applyBorder="1" applyAlignment="1">
      <alignment vertical="center" wrapText="1"/>
    </xf>
    <xf numFmtId="0" fontId="60" fillId="0" borderId="0" xfId="0" applyFont="1" applyAlignment="1">
      <alignment horizontal="center"/>
    </xf>
    <xf numFmtId="0" fontId="97" fillId="0" borderId="16" xfId="0" applyFont="1" applyBorder="1" applyAlignment="1">
      <alignment horizontal="center" wrapText="1"/>
    </xf>
    <xf numFmtId="10" fontId="51" fillId="0" borderId="0" xfId="176" applyNumberFormat="1" applyFont="1" applyAlignment="1">
      <alignment horizontal="center"/>
    </xf>
    <xf numFmtId="10" fontId="97" fillId="0" borderId="16" xfId="176" applyNumberFormat="1" applyFont="1" applyBorder="1" applyAlignment="1">
      <alignment horizontal="center"/>
    </xf>
    <xf numFmtId="0" fontId="97" fillId="0" borderId="173" xfId="0" applyFont="1" applyBorder="1" applyAlignment="1">
      <alignment horizontal="center"/>
    </xf>
    <xf numFmtId="0" fontId="199" fillId="0" borderId="16" xfId="0" applyFont="1" applyBorder="1" applyAlignment="1">
      <alignment horizontal="center"/>
    </xf>
    <xf numFmtId="0" fontId="199" fillId="0" borderId="16" xfId="0" applyFont="1" applyBorder="1" applyAlignment="1">
      <alignment horizontal="center" wrapText="1"/>
    </xf>
    <xf numFmtId="0" fontId="205" fillId="0" borderId="0" xfId="0" applyFont="1" applyAlignment="1">
      <alignment horizontal="center"/>
    </xf>
    <xf numFmtId="0" fontId="183" fillId="43" borderId="16" xfId="0" applyFont="1" applyFill="1" applyBorder="1" applyAlignment="1">
      <alignment horizontal="center"/>
    </xf>
    <xf numFmtId="183" fontId="99" fillId="0" borderId="16" xfId="238" applyNumberFormat="1" applyFont="1" applyBorder="1" applyAlignment="1">
      <alignment horizontal="center"/>
    </xf>
    <xf numFmtId="0" fontId="97" fillId="0" borderId="163" xfId="0" applyFont="1" applyBorder="1"/>
    <xf numFmtId="2" fontId="97" fillId="0" borderId="163" xfId="0" applyNumberFormat="1" applyFont="1" applyBorder="1" applyAlignment="1">
      <alignment horizontal="center"/>
    </xf>
    <xf numFmtId="0" fontId="97" fillId="0" borderId="163" xfId="0" applyFont="1" applyBorder="1" applyAlignment="1">
      <alignment horizontal="center"/>
    </xf>
    <xf numFmtId="183" fontId="99" fillId="0" borderId="0" xfId="238" applyNumberFormat="1" applyFont="1" applyAlignment="1">
      <alignment horizontal="center"/>
    </xf>
    <xf numFmtId="183" fontId="99" fillId="0" borderId="163" xfId="238" applyNumberFormat="1" applyFont="1" applyBorder="1" applyAlignment="1">
      <alignment horizontal="center"/>
    </xf>
    <xf numFmtId="0" fontId="51" fillId="0" borderId="163" xfId="0" applyFont="1" applyBorder="1" applyAlignment="1">
      <alignment horizontal="center"/>
    </xf>
    <xf numFmtId="0" fontId="97" fillId="49" borderId="16" xfId="0" applyFont="1" applyFill="1" applyBorder="1" applyAlignment="1">
      <alignment horizontal="center"/>
    </xf>
    <xf numFmtId="0" fontId="51" fillId="49" borderId="0" xfId="0" applyFont="1" applyFill="1" applyAlignment="1">
      <alignment horizontal="center"/>
    </xf>
    <xf numFmtId="0" fontId="97" fillId="49" borderId="0" xfId="0" applyFont="1" applyFill="1" applyAlignment="1">
      <alignment horizontal="center"/>
    </xf>
    <xf numFmtId="0" fontId="97" fillId="43" borderId="16" xfId="0" applyFont="1" applyFill="1" applyBorder="1" applyAlignment="1">
      <alignment horizontal="center" wrapText="1"/>
    </xf>
    <xf numFmtId="0" fontId="51" fillId="0" borderId="0" xfId="0" applyFont="1" applyAlignment="1">
      <alignment horizontal="left"/>
    </xf>
    <xf numFmtId="0" fontId="97" fillId="0" borderId="0" xfId="0" applyFont="1" applyAlignment="1">
      <alignment horizontal="left"/>
    </xf>
    <xf numFmtId="0" fontId="97" fillId="43" borderId="16" xfId="0" applyFont="1" applyFill="1" applyBorder="1" applyAlignment="1">
      <alignment horizontal="center" vertical="center" wrapText="1"/>
    </xf>
    <xf numFmtId="0" fontId="51" fillId="49" borderId="0" xfId="0" applyFont="1" applyFill="1"/>
    <xf numFmtId="0" fontId="97" fillId="49" borderId="0" xfId="0" applyFont="1" applyFill="1"/>
    <xf numFmtId="0" fontId="97" fillId="49" borderId="16" xfId="0" applyFont="1" applyFill="1" applyBorder="1"/>
    <xf numFmtId="1" fontId="97" fillId="0" borderId="0" xfId="0" applyNumberFormat="1" applyFont="1" applyAlignment="1">
      <alignment horizontal="center"/>
    </xf>
    <xf numFmtId="1" fontId="97" fillId="0" borderId="16" xfId="0" applyNumberFormat="1" applyFont="1" applyBorder="1" applyAlignment="1">
      <alignment horizontal="center"/>
    </xf>
    <xf numFmtId="0" fontId="67" fillId="0" borderId="0" xfId="0" applyFont="1" applyAlignment="1">
      <alignment horizontal="left" vertical="center"/>
    </xf>
    <xf numFmtId="2" fontId="99" fillId="0" borderId="163" xfId="238" applyNumberFormat="1" applyFont="1" applyBorder="1" applyAlignment="1">
      <alignment horizontal="center" vertical="center"/>
    </xf>
    <xf numFmtId="185" fontId="99" fillId="0" borderId="163" xfId="455" applyNumberFormat="1" applyFont="1" applyBorder="1" applyAlignment="1">
      <alignment horizontal="center" vertical="center"/>
    </xf>
    <xf numFmtId="0" fontId="97" fillId="0" borderId="163" xfId="0" applyFont="1" applyBorder="1" applyAlignment="1">
      <alignment vertical="center"/>
    </xf>
    <xf numFmtId="2" fontId="97" fillId="0" borderId="163" xfId="0" applyNumberFormat="1" applyFont="1" applyBorder="1" applyAlignment="1">
      <alignment horizontal="center" vertical="center"/>
    </xf>
    <xf numFmtId="0" fontId="97" fillId="0" borderId="163" xfId="0" applyFont="1" applyBorder="1" applyAlignment="1">
      <alignment horizontal="center" vertical="center"/>
    </xf>
    <xf numFmtId="0" fontId="51" fillId="0" borderId="163" xfId="0" applyFont="1" applyBorder="1" applyAlignment="1">
      <alignment horizontal="center" vertical="center"/>
    </xf>
    <xf numFmtId="185" fontId="97" fillId="0" borderId="163" xfId="0" applyNumberFormat="1" applyFont="1" applyBorder="1" applyAlignment="1">
      <alignment horizontal="center" vertical="center"/>
    </xf>
    <xf numFmtId="2" fontId="97" fillId="43" borderId="16" xfId="0" applyNumberFormat="1" applyFont="1" applyFill="1" applyBorder="1" applyAlignment="1">
      <alignment horizontal="center" vertical="center"/>
    </xf>
    <xf numFmtId="0" fontId="63" fillId="0" borderId="0" xfId="0" applyFont="1"/>
    <xf numFmtId="0" fontId="0" fillId="0" borderId="167" xfId="0" applyBorder="1" applyAlignment="1">
      <alignment horizontal="center" vertical="center"/>
    </xf>
    <xf numFmtId="0" fontId="144" fillId="0" borderId="0" xfId="0" applyFont="1" applyAlignment="1">
      <alignment horizontal="left" vertical="top"/>
    </xf>
    <xf numFmtId="0" fontId="216" fillId="0" borderId="0" xfId="0" applyFont="1" applyAlignment="1">
      <alignment horizontal="left" vertical="top"/>
    </xf>
    <xf numFmtId="0" fontId="130" fillId="0" borderId="0" xfId="0" applyFont="1"/>
    <xf numFmtId="0" fontId="217" fillId="0" borderId="0" xfId="0" applyFont="1" applyAlignment="1">
      <alignment vertical="center" readingOrder="1"/>
    </xf>
    <xf numFmtId="0" fontId="30" fillId="20" borderId="175" xfId="149" applyFont="1" applyFill="1" applyBorder="1" applyAlignment="1">
      <alignment horizontal="center" vertical="center"/>
    </xf>
    <xf numFmtId="0" fontId="40" fillId="20" borderId="167" xfId="0" applyFont="1" applyFill="1" applyBorder="1" applyAlignment="1">
      <alignment horizontal="center"/>
    </xf>
    <xf numFmtId="0" fontId="219" fillId="0" borderId="167" xfId="149" applyFont="1" applyBorder="1" applyAlignment="1">
      <alignment horizontal="center"/>
    </xf>
    <xf numFmtId="3" fontId="219" fillId="0" borderId="167" xfId="149" applyNumberFormat="1" applyFont="1" applyBorder="1" applyAlignment="1">
      <alignment horizontal="center"/>
    </xf>
    <xf numFmtId="3" fontId="0" fillId="0" borderId="174" xfId="0" applyNumberFormat="1" applyBorder="1" applyAlignment="1">
      <alignment horizontal="center"/>
    </xf>
    <xf numFmtId="173" fontId="1" fillId="0" borderId="167" xfId="149" applyNumberFormat="1" applyBorder="1" applyAlignment="1">
      <alignment horizontal="center" vertical="center"/>
    </xf>
    <xf numFmtId="0" fontId="1" fillId="0" borderId="167" xfId="149" applyBorder="1" applyAlignment="1">
      <alignment horizontal="center" vertical="center"/>
    </xf>
    <xf numFmtId="3" fontId="1" fillId="0" borderId="167" xfId="149" applyNumberFormat="1" applyBorder="1" applyAlignment="1">
      <alignment horizontal="center" vertical="center"/>
    </xf>
    <xf numFmtId="173" fontId="219" fillId="0" borderId="167" xfId="0" applyNumberFormat="1" applyFont="1" applyBorder="1" applyAlignment="1">
      <alignment horizontal="center" vertical="center"/>
    </xf>
    <xf numFmtId="173" fontId="1" fillId="0" borderId="167" xfId="0" applyNumberFormat="1" applyFont="1" applyBorder="1" applyAlignment="1">
      <alignment horizontal="center" vertical="center"/>
    </xf>
    <xf numFmtId="3" fontId="1" fillId="0" borderId="167" xfId="0" applyNumberFormat="1" applyFont="1" applyBorder="1" applyAlignment="1">
      <alignment horizontal="center" vertical="center"/>
    </xf>
    <xf numFmtId="173" fontId="218" fillId="0" borderId="167" xfId="149" applyNumberFormat="1" applyFont="1" applyBorder="1" applyAlignment="1">
      <alignment horizontal="center" vertical="center"/>
    </xf>
    <xf numFmtId="0" fontId="30" fillId="43" borderId="166" xfId="149" applyFont="1" applyFill="1" applyBorder="1" applyAlignment="1">
      <alignment horizontal="center" vertical="center"/>
    </xf>
    <xf numFmtId="0" fontId="30" fillId="20" borderId="167" xfId="149" applyFont="1" applyFill="1" applyBorder="1" applyAlignment="1">
      <alignment horizontal="center" vertical="center"/>
    </xf>
    <xf numFmtId="3" fontId="30" fillId="20" borderId="167" xfId="149" applyNumberFormat="1" applyFont="1" applyFill="1" applyBorder="1" applyAlignment="1">
      <alignment horizontal="center" vertical="center"/>
    </xf>
    <xf numFmtId="173" fontId="32" fillId="0" borderId="167" xfId="0" applyNumberFormat="1" applyFont="1" applyBorder="1" applyAlignment="1">
      <alignment horizontal="center" vertical="center"/>
    </xf>
    <xf numFmtId="173" fontId="32" fillId="0" borderId="167" xfId="0" applyNumberFormat="1" applyFont="1" applyBorder="1" applyAlignment="1">
      <alignment horizontal="center" vertical="center" wrapText="1"/>
    </xf>
    <xf numFmtId="0" fontId="5" fillId="20" borderId="167" xfId="149" applyFont="1" applyFill="1" applyBorder="1" applyAlignment="1">
      <alignment horizontal="center" vertical="center"/>
    </xf>
    <xf numFmtId="3" fontId="5" fillId="43" borderId="167" xfId="149" applyNumberFormat="1" applyFont="1" applyFill="1" applyBorder="1" applyAlignment="1">
      <alignment horizontal="center" vertical="center"/>
    </xf>
    <xf numFmtId="3" fontId="5" fillId="20" borderId="167" xfId="149" applyNumberFormat="1" applyFont="1" applyFill="1" applyBorder="1" applyAlignment="1">
      <alignment horizontal="center" vertical="center"/>
    </xf>
    <xf numFmtId="3" fontId="30" fillId="43" borderId="167" xfId="149" applyNumberFormat="1" applyFont="1" applyFill="1" applyBorder="1" applyAlignment="1">
      <alignment horizontal="center" vertical="center"/>
    </xf>
    <xf numFmtId="0" fontId="44" fillId="0" borderId="167" xfId="0" applyFont="1" applyBorder="1" applyAlignment="1">
      <alignment horizontal="center" vertical="center"/>
    </xf>
    <xf numFmtId="3" fontId="44" fillId="0" borderId="167" xfId="0" applyNumberFormat="1" applyFont="1" applyBorder="1" applyAlignment="1">
      <alignment horizontal="center" vertical="center"/>
    </xf>
    <xf numFmtId="0" fontId="30" fillId="0" borderId="167" xfId="149" applyFont="1" applyBorder="1" applyAlignment="1">
      <alignment horizontal="center" vertical="center"/>
    </xf>
    <xf numFmtId="0" fontId="40" fillId="0" borderId="167" xfId="0" applyFont="1" applyBorder="1" applyAlignment="1">
      <alignment horizontal="center"/>
    </xf>
    <xf numFmtId="0" fontId="46" fillId="0" borderId="163" xfId="0" applyFont="1" applyBorder="1" applyAlignment="1">
      <alignment horizontal="left" wrapText="1"/>
    </xf>
    <xf numFmtId="0" fontId="5" fillId="20" borderId="174" xfId="149" applyFont="1" applyFill="1" applyBorder="1" applyAlignment="1">
      <alignment horizontal="center" vertical="center"/>
    </xf>
    <xf numFmtId="0" fontId="5" fillId="20" borderId="174" xfId="149" applyFont="1" applyFill="1" applyBorder="1" applyAlignment="1">
      <alignment horizontal="center" vertical="center" wrapText="1"/>
    </xf>
    <xf numFmtId="0" fontId="5" fillId="20" borderId="175" xfId="149" applyFont="1" applyFill="1" applyBorder="1" applyAlignment="1">
      <alignment horizontal="center" vertical="center"/>
    </xf>
    <xf numFmtId="0" fontId="45" fillId="20" borderId="167" xfId="0" applyFont="1" applyFill="1" applyBorder="1" applyAlignment="1">
      <alignment horizontal="center"/>
    </xf>
    <xf numFmtId="173" fontId="1" fillId="0" borderId="167" xfId="149" applyNumberFormat="1" applyBorder="1" applyAlignment="1">
      <alignment vertical="center"/>
    </xf>
    <xf numFmtId="173" fontId="218" fillId="0" borderId="174" xfId="0" applyNumberFormat="1" applyFont="1" applyBorder="1" applyAlignment="1">
      <alignment vertical="center"/>
    </xf>
    <xf numFmtId="173" fontId="1" fillId="0" borderId="167" xfId="0" applyNumberFormat="1" applyFont="1" applyBorder="1" applyAlignment="1">
      <alignment horizontal="left"/>
    </xf>
    <xf numFmtId="3" fontId="1" fillId="0" borderId="167" xfId="0" applyNumberFormat="1" applyFont="1" applyBorder="1" applyAlignment="1">
      <alignment horizontal="center"/>
    </xf>
    <xf numFmtId="173" fontId="1" fillId="0" borderId="174" xfId="0" applyNumberFormat="1" applyFont="1" applyBorder="1" applyAlignment="1">
      <alignment vertical="center" wrapText="1"/>
    </xf>
    <xf numFmtId="3" fontId="1" fillId="0" borderId="174" xfId="0" applyNumberFormat="1" applyFont="1" applyBorder="1" applyAlignment="1">
      <alignment horizontal="center" vertical="center"/>
    </xf>
    <xf numFmtId="173" fontId="1" fillId="0" borderId="167" xfId="0" applyNumberFormat="1" applyFont="1" applyBorder="1"/>
    <xf numFmtId="3" fontId="219" fillId="0" borderId="174" xfId="0" applyNumberFormat="1" applyFont="1" applyBorder="1" applyAlignment="1">
      <alignment vertical="center"/>
    </xf>
    <xf numFmtId="3" fontId="219" fillId="0" borderId="170" xfId="0" applyNumberFormat="1" applyFont="1" applyBorder="1" applyAlignment="1">
      <alignment vertical="center"/>
    </xf>
    <xf numFmtId="3" fontId="220" fillId="0" borderId="170" xfId="0" applyNumberFormat="1" applyFont="1" applyBorder="1" applyAlignment="1">
      <alignment vertical="center"/>
    </xf>
    <xf numFmtId="3" fontId="219" fillId="0" borderId="175" xfId="0" applyNumberFormat="1" applyFont="1" applyBorder="1" applyAlignment="1">
      <alignment vertical="center"/>
    </xf>
    <xf numFmtId="0" fontId="5" fillId="43" borderId="167" xfId="149" applyFont="1" applyFill="1" applyBorder="1" applyAlignment="1">
      <alignment horizontal="center" vertical="center"/>
    </xf>
    <xf numFmtId="173" fontId="1" fillId="0" borderId="167" xfId="0" applyNumberFormat="1" applyFont="1" applyBorder="1" applyAlignment="1">
      <alignment vertical="center"/>
    </xf>
    <xf numFmtId="173" fontId="219" fillId="0" borderId="167" xfId="149" applyNumberFormat="1" applyFont="1" applyBorder="1" applyAlignment="1">
      <alignment horizontal="left" vertical="center"/>
    </xf>
    <xf numFmtId="0" fontId="219" fillId="0" borderId="167" xfId="149" applyFont="1" applyBorder="1" applyAlignment="1">
      <alignment horizontal="center" vertical="center"/>
    </xf>
    <xf numFmtId="3" fontId="219" fillId="0" borderId="167" xfId="149" applyNumberFormat="1" applyFont="1" applyBorder="1" applyAlignment="1">
      <alignment horizontal="center" vertical="center"/>
    </xf>
    <xf numFmtId="0" fontId="0" fillId="0" borderId="167" xfId="0" applyBorder="1"/>
    <xf numFmtId="0" fontId="0" fillId="0" borderId="167" xfId="0" applyBorder="1" applyAlignment="1">
      <alignment horizontal="left" indent="2"/>
    </xf>
    <xf numFmtId="3" fontId="0" fillId="0" borderId="167" xfId="0" applyNumberFormat="1" applyBorder="1" applyAlignment="1">
      <alignment horizontal="center"/>
    </xf>
    <xf numFmtId="0" fontId="222" fillId="0" borderId="167" xfId="0" applyFont="1" applyBorder="1" applyAlignment="1">
      <alignment vertical="center"/>
    </xf>
    <xf numFmtId="173" fontId="219" fillId="0" borderId="167" xfId="0" applyNumberFormat="1" applyFont="1" applyBorder="1" applyAlignment="1">
      <alignment horizontal="left" vertical="center"/>
    </xf>
    <xf numFmtId="3" fontId="219" fillId="0" borderId="167" xfId="0" applyNumberFormat="1" applyFont="1" applyBorder="1" applyAlignment="1">
      <alignment horizontal="center" vertical="center"/>
    </xf>
    <xf numFmtId="173" fontId="219" fillId="0" borderId="167" xfId="0" applyNumberFormat="1" applyFont="1" applyBorder="1"/>
    <xf numFmtId="3" fontId="219" fillId="0" borderId="167" xfId="0" applyNumberFormat="1" applyFont="1" applyBorder="1" applyAlignment="1">
      <alignment horizontal="center"/>
    </xf>
    <xf numFmtId="173" fontId="219" fillId="0" borderId="167" xfId="0" applyNumberFormat="1" applyFont="1" applyBorder="1" applyAlignment="1">
      <alignment horizontal="left"/>
    </xf>
    <xf numFmtId="173" fontId="223" fillId="0" borderId="167" xfId="0" applyNumberFormat="1" applyFont="1" applyBorder="1"/>
    <xf numFmtId="173" fontId="219" fillId="0" borderId="167" xfId="0" applyNumberFormat="1" applyFont="1" applyBorder="1" applyAlignment="1">
      <alignment vertical="center"/>
    </xf>
    <xf numFmtId="173" fontId="5" fillId="0" borderId="174" xfId="0" applyNumberFormat="1" applyFont="1" applyBorder="1" applyAlignment="1">
      <alignment vertical="center"/>
    </xf>
    <xf numFmtId="173" fontId="5" fillId="0" borderId="174" xfId="149" applyNumberFormat="1" applyFont="1" applyBorder="1" applyAlignment="1">
      <alignment horizontal="center" vertical="center"/>
    </xf>
    <xf numFmtId="3" fontId="1" fillId="0" borderId="174" xfId="0" applyNumberFormat="1" applyFont="1" applyBorder="1" applyAlignment="1">
      <alignment vertical="center"/>
    </xf>
    <xf numFmtId="3" fontId="1" fillId="0" borderId="170" xfId="0" applyNumberFormat="1" applyFont="1" applyBorder="1" applyAlignment="1">
      <alignment vertical="center"/>
    </xf>
    <xf numFmtId="3" fontId="1" fillId="0" borderId="175" xfId="0" applyNumberFormat="1" applyFont="1" applyBorder="1" applyAlignment="1">
      <alignment vertical="center"/>
    </xf>
    <xf numFmtId="0" fontId="1" fillId="0" borderId="167" xfId="149" applyBorder="1" applyAlignment="1">
      <alignment horizontal="left" indent="2"/>
    </xf>
    <xf numFmtId="173" fontId="1" fillId="0" borderId="167" xfId="149" applyNumberFormat="1" applyBorder="1" applyAlignment="1">
      <alignment horizontal="left" vertical="center"/>
    </xf>
    <xf numFmtId="0" fontId="44" fillId="0" borderId="167" xfId="0" applyFont="1" applyBorder="1" applyAlignment="1">
      <alignment horizontal="left" indent="2"/>
    </xf>
    <xf numFmtId="3" fontId="44" fillId="0" borderId="167" xfId="0" applyNumberFormat="1" applyFont="1" applyBorder="1" applyAlignment="1">
      <alignment horizontal="center"/>
    </xf>
    <xf numFmtId="173" fontId="1" fillId="0" borderId="167" xfId="0" applyNumberFormat="1" applyFont="1" applyBorder="1" applyAlignment="1">
      <alignment horizontal="left" vertical="center"/>
    </xf>
    <xf numFmtId="0" fontId="30" fillId="0" borderId="175" xfId="149" applyFont="1" applyBorder="1" applyAlignment="1">
      <alignment horizontal="center" vertical="center"/>
    </xf>
    <xf numFmtId="0" fontId="219" fillId="0" borderId="0" xfId="149" applyFont="1"/>
    <xf numFmtId="173" fontId="219" fillId="0" borderId="167" xfId="149" applyNumberFormat="1" applyFont="1" applyBorder="1" applyAlignment="1">
      <alignment horizontal="center" vertical="center"/>
    </xf>
    <xf numFmtId="173" fontId="1" fillId="0" borderId="167" xfId="0" applyNumberFormat="1" applyFont="1" applyBorder="1" applyAlignment="1">
      <alignment horizontal="center" vertical="center" wrapText="1"/>
    </xf>
    <xf numFmtId="3" fontId="0" fillId="0" borderId="167" xfId="0" applyNumberFormat="1" applyBorder="1" applyAlignment="1">
      <alignment horizontal="center" vertical="center"/>
    </xf>
    <xf numFmtId="0" fontId="44" fillId="0" borderId="167" xfId="0" applyFont="1" applyBorder="1" applyAlignment="1">
      <alignment vertical="center"/>
    </xf>
    <xf numFmtId="3" fontId="1" fillId="0" borderId="0" xfId="149" applyNumberFormat="1" applyAlignment="1">
      <alignment vertical="center"/>
    </xf>
    <xf numFmtId="0" fontId="46" fillId="0" borderId="0" xfId="0" applyFont="1" applyAlignment="1">
      <alignment horizontal="left"/>
    </xf>
    <xf numFmtId="0" fontId="5" fillId="20" borderId="170" xfId="149" applyFont="1" applyFill="1" applyBorder="1" applyAlignment="1">
      <alignment horizontal="center" vertical="center"/>
    </xf>
    <xf numFmtId="0" fontId="5" fillId="0" borderId="166" xfId="149" applyFont="1" applyBorder="1" applyAlignment="1">
      <alignment horizontal="center" vertical="center"/>
    </xf>
    <xf numFmtId="0" fontId="5" fillId="0" borderId="165" xfId="149" applyFont="1" applyBorder="1" applyAlignment="1">
      <alignment horizontal="center" vertical="center"/>
    </xf>
    <xf numFmtId="0" fontId="30" fillId="43" borderId="165" xfId="149" applyFont="1" applyFill="1" applyBorder="1" applyAlignment="1">
      <alignment horizontal="center" vertical="center"/>
    </xf>
    <xf numFmtId="0" fontId="30" fillId="43" borderId="167" xfId="149" applyFont="1" applyFill="1" applyBorder="1" applyAlignment="1">
      <alignment horizontal="center" vertical="center"/>
    </xf>
    <xf numFmtId="0" fontId="93" fillId="0" borderId="14" xfId="0" applyFont="1" applyBorder="1" applyAlignment="1">
      <alignment horizontal="center" vertical="center"/>
    </xf>
    <xf numFmtId="0" fontId="72" fillId="0" borderId="95" xfId="149" applyFont="1" applyBorder="1" applyAlignment="1">
      <alignment horizontal="center" vertical="center" wrapText="1"/>
    </xf>
    <xf numFmtId="0" fontId="65" fillId="0" borderId="95" xfId="149" applyFont="1" applyBorder="1" applyAlignment="1">
      <alignment horizontal="center" vertical="center" wrapText="1"/>
    </xf>
    <xf numFmtId="0" fontId="45" fillId="20" borderId="167" xfId="0" applyFont="1" applyFill="1" applyBorder="1" applyAlignment="1">
      <alignment horizontal="center" vertical="center" wrapText="1"/>
    </xf>
    <xf numFmtId="0" fontId="82" fillId="20" borderId="167" xfId="0" applyFont="1" applyFill="1" applyBorder="1" applyAlignment="1">
      <alignment horizontal="center" vertical="center" wrapText="1"/>
    </xf>
    <xf numFmtId="0" fontId="64" fillId="34" borderId="167" xfId="0" applyFont="1" applyFill="1" applyBorder="1" applyAlignment="1">
      <alignment horizontal="center" vertical="top" wrapText="1"/>
    </xf>
    <xf numFmtId="1" fontId="64" fillId="34" borderId="167" xfId="0" applyNumberFormat="1" applyFont="1" applyFill="1" applyBorder="1" applyAlignment="1">
      <alignment horizontal="center" vertical="top" wrapText="1"/>
    </xf>
    <xf numFmtId="1" fontId="73" fillId="0" borderId="167" xfId="819" applyNumberFormat="1" applyFont="1" applyBorder="1" applyAlignment="1">
      <alignment horizontal="center" vertical="center"/>
    </xf>
    <xf numFmtId="183" fontId="73" fillId="0" borderId="167" xfId="819" applyNumberFormat="1" applyFont="1" applyBorder="1" applyAlignment="1">
      <alignment horizontal="center" vertical="center"/>
    </xf>
    <xf numFmtId="0" fontId="24" fillId="0" borderId="0" xfId="452" applyFont="1" applyAlignment="1">
      <alignment horizontal="center" vertical="center" wrapText="1"/>
    </xf>
    <xf numFmtId="0" fontId="82" fillId="34" borderId="0" xfId="0" applyFont="1" applyFill="1" applyAlignment="1">
      <alignment horizontal="center" vertical="top" wrapText="1"/>
    </xf>
    <xf numFmtId="2" fontId="82" fillId="34" borderId="0" xfId="0" applyNumberFormat="1" applyFont="1" applyFill="1" applyAlignment="1">
      <alignment horizontal="center" vertical="top" wrapText="1"/>
    </xf>
    <xf numFmtId="0" fontId="45" fillId="20" borderId="167" xfId="816" applyFont="1" applyFill="1" applyBorder="1" applyAlignment="1">
      <alignment vertical="center"/>
    </xf>
    <xf numFmtId="0" fontId="45" fillId="20" borderId="167" xfId="816" applyFont="1" applyFill="1" applyBorder="1" applyAlignment="1">
      <alignment horizontal="center" vertical="center"/>
    </xf>
    <xf numFmtId="0" fontId="45" fillId="20" borderId="167" xfId="816" applyFont="1" applyFill="1" applyBorder="1" applyAlignment="1">
      <alignment horizontal="center"/>
    </xf>
    <xf numFmtId="171" fontId="44" fillId="20" borderId="167" xfId="816" applyNumberFormat="1" applyFont="1" applyFill="1" applyBorder="1" applyAlignment="1">
      <alignment horizontal="center"/>
    </xf>
    <xf numFmtId="0" fontId="82" fillId="34" borderId="168" xfId="0" applyFont="1" applyFill="1" applyBorder="1" applyAlignment="1">
      <alignment vertical="top" wrapText="1"/>
    </xf>
    <xf numFmtId="0" fontId="82" fillId="20" borderId="164" xfId="0" applyFont="1" applyFill="1" applyBorder="1" applyAlignment="1">
      <alignment horizontal="center" vertical="center" wrapText="1"/>
    </xf>
    <xf numFmtId="0" fontId="40" fillId="20" borderId="167" xfId="0" applyFont="1" applyFill="1" applyBorder="1" applyAlignment="1">
      <alignment horizontal="center" vertical="center"/>
    </xf>
    <xf numFmtId="10" fontId="64" fillId="0" borderId="166" xfId="0" applyNumberFormat="1" applyFont="1" applyBorder="1" applyAlignment="1">
      <alignment horizontal="center" vertical="center"/>
    </xf>
    <xf numFmtId="10" fontId="0" fillId="0" borderId="167" xfId="0" applyNumberFormat="1" applyBorder="1" applyAlignment="1">
      <alignment horizontal="center"/>
    </xf>
    <xf numFmtId="0" fontId="64" fillId="0" borderId="0" xfId="0" applyFont="1" applyAlignment="1">
      <alignment horizontal="center" vertical="center" wrapText="1"/>
    </xf>
    <xf numFmtId="0" fontId="152" fillId="0" borderId="0" xfId="0" applyFont="1"/>
    <xf numFmtId="0" fontId="67" fillId="0" borderId="0" xfId="0" applyFont="1" applyAlignment="1">
      <alignment horizontal="center"/>
    </xf>
    <xf numFmtId="0" fontId="122" fillId="0" borderId="0" xfId="0" applyFont="1" applyAlignment="1">
      <alignment horizontal="left" vertical="center"/>
    </xf>
    <xf numFmtId="0" fontId="46" fillId="0" borderId="0" xfId="0" applyFont="1" applyAlignment="1">
      <alignment horizontal="center"/>
    </xf>
    <xf numFmtId="10" fontId="64" fillId="43" borderId="167" xfId="0" applyNumberFormat="1" applyFont="1" applyFill="1" applyBorder="1" applyAlignment="1">
      <alignment horizontal="center" vertical="center"/>
    </xf>
    <xf numFmtId="0" fontId="122" fillId="0" borderId="0" xfId="0" applyFont="1" applyAlignment="1">
      <alignment horizontal="left"/>
    </xf>
    <xf numFmtId="0" fontId="122" fillId="0" borderId="0" xfId="0" applyFont="1"/>
    <xf numFmtId="0" fontId="67" fillId="20" borderId="127" xfId="639" applyFont="1" applyFill="1" applyBorder="1" applyAlignment="1">
      <alignment horizontal="center" vertical="center"/>
    </xf>
    <xf numFmtId="0" fontId="67" fillId="20" borderId="110" xfId="639" applyFont="1" applyFill="1" applyBorder="1" applyAlignment="1">
      <alignment horizontal="center"/>
    </xf>
    <xf numFmtId="2" fontId="67" fillId="20" borderId="110" xfId="639" applyNumberFormat="1" applyFont="1" applyFill="1" applyBorder="1" applyAlignment="1">
      <alignment horizontal="center"/>
    </xf>
    <xf numFmtId="0" fontId="44" fillId="0" borderId="0" xfId="822" applyFont="1"/>
    <xf numFmtId="0" fontId="45" fillId="0" borderId="0" xfId="822" applyFont="1" applyAlignment="1">
      <alignment horizontal="center"/>
    </xf>
    <xf numFmtId="0" fontId="44" fillId="0" borderId="0" xfId="822" applyFont="1" applyAlignment="1">
      <alignment horizontal="left"/>
    </xf>
    <xf numFmtId="2" fontId="44" fillId="0" borderId="0" xfId="822" applyNumberFormat="1" applyFont="1"/>
    <xf numFmtId="0" fontId="0" fillId="0" borderId="0" xfId="822" applyFont="1" applyAlignment="1">
      <alignment horizontal="left"/>
    </xf>
    <xf numFmtId="0" fontId="44" fillId="0" borderId="0" xfId="822" applyFont="1" applyAlignment="1">
      <alignment horizontal="center"/>
    </xf>
    <xf numFmtId="0" fontId="44" fillId="0" borderId="0" xfId="815" applyFont="1" applyAlignment="1">
      <alignment horizontal="center"/>
    </xf>
    <xf numFmtId="171" fontId="44" fillId="0" borderId="0" xfId="816" applyNumberFormat="1" applyFont="1" applyAlignment="1">
      <alignment horizontal="center"/>
    </xf>
    <xf numFmtId="0" fontId="44" fillId="0" borderId="0" xfId="822" applyFont="1" applyAlignment="1">
      <alignment vertical="center"/>
    </xf>
    <xf numFmtId="2" fontId="82" fillId="20" borderId="167" xfId="0" applyNumberFormat="1" applyFont="1" applyFill="1" applyBorder="1" applyAlignment="1">
      <alignment horizontal="center" vertical="center" wrapText="1"/>
    </xf>
    <xf numFmtId="2" fontId="44" fillId="0" borderId="0" xfId="822" applyNumberFormat="1" applyFont="1" applyAlignment="1">
      <alignment horizontal="center"/>
    </xf>
    <xf numFmtId="0" fontId="64" fillId="0" borderId="0" xfId="0" applyFont="1" applyAlignment="1">
      <alignment vertical="center" wrapText="1"/>
    </xf>
    <xf numFmtId="0" fontId="64" fillId="34" borderId="167" xfId="0" applyFont="1" applyFill="1" applyBorder="1" applyAlignment="1">
      <alignment horizontal="center" vertical="center" wrapText="1"/>
    </xf>
    <xf numFmtId="2" fontId="64" fillId="0" borderId="167" xfId="176" applyNumberFormat="1" applyFont="1" applyBorder="1" applyAlignment="1">
      <alignment horizontal="center" vertical="center" wrapText="1"/>
    </xf>
    <xf numFmtId="0" fontId="24" fillId="0" borderId="167" xfId="452" applyFont="1" applyBorder="1" applyAlignment="1">
      <alignment horizontal="center" vertical="center" wrapText="1"/>
    </xf>
    <xf numFmtId="10" fontId="44" fillId="0" borderId="167" xfId="0" applyNumberFormat="1" applyFont="1" applyBorder="1" applyAlignment="1">
      <alignment horizontal="center"/>
    </xf>
    <xf numFmtId="10" fontId="44" fillId="0" borderId="167" xfId="822" applyNumberFormat="1" applyFont="1" applyBorder="1" applyAlignment="1">
      <alignment horizontal="center"/>
    </xf>
    <xf numFmtId="171" fontId="64" fillId="0" borderId="0" xfId="176" applyNumberFormat="1" applyFont="1" applyAlignment="1">
      <alignment horizontal="center" vertical="center" wrapText="1"/>
    </xf>
    <xf numFmtId="2" fontId="152" fillId="20" borderId="167" xfId="822" applyNumberFormat="1" applyFont="1" applyFill="1" applyBorder="1" applyAlignment="1">
      <alignment horizontal="center"/>
    </xf>
    <xf numFmtId="0" fontId="152" fillId="0" borderId="166" xfId="822" applyFont="1" applyBorder="1" applyAlignment="1">
      <alignment vertical="center"/>
    </xf>
    <xf numFmtId="0" fontId="152" fillId="0" borderId="157" xfId="822" applyFont="1" applyBorder="1" applyAlignment="1">
      <alignment vertical="center"/>
    </xf>
    <xf numFmtId="0" fontId="46" fillId="0" borderId="0" xfId="822" applyFont="1"/>
    <xf numFmtId="0" fontId="152" fillId="0" borderId="166" xfId="0" applyFont="1" applyBorder="1"/>
    <xf numFmtId="0" fontId="46" fillId="0" borderId="0" xfId="822" applyFont="1" applyAlignment="1">
      <alignment horizontal="center"/>
    </xf>
    <xf numFmtId="0" fontId="44" fillId="0" borderId="0" xfId="822" applyFont="1" applyAlignment="1">
      <alignment vertical="center" wrapText="1"/>
    </xf>
    <xf numFmtId="2" fontId="64" fillId="43" borderId="167" xfId="176" applyNumberFormat="1" applyFont="1" applyFill="1" applyBorder="1" applyAlignment="1">
      <alignment horizontal="center" vertical="center" wrapText="1"/>
    </xf>
    <xf numFmtId="0" fontId="45" fillId="43" borderId="167" xfId="0" applyFont="1" applyFill="1" applyBorder="1" applyAlignment="1">
      <alignment horizontal="center" vertical="center" wrapText="1"/>
    </xf>
    <xf numFmtId="0" fontId="64" fillId="43" borderId="167" xfId="0" applyFont="1" applyFill="1" applyBorder="1" applyAlignment="1">
      <alignment horizontal="center" vertical="center" wrapText="1"/>
    </xf>
    <xf numFmtId="0" fontId="82" fillId="43" borderId="174" xfId="0" applyFont="1" applyFill="1" applyBorder="1" applyAlignment="1">
      <alignment horizontal="center" vertical="center" wrapText="1"/>
    </xf>
    <xf numFmtId="0" fontId="152" fillId="0" borderId="167" xfId="822" applyFont="1" applyBorder="1" applyAlignment="1">
      <alignment horizontal="center"/>
    </xf>
    <xf numFmtId="0" fontId="40" fillId="24" borderId="167" xfId="0" applyFont="1" applyFill="1" applyBorder="1" applyAlignment="1">
      <alignment horizontal="center" vertical="center" wrapText="1"/>
    </xf>
    <xf numFmtId="0" fontId="49" fillId="0" borderId="0" xfId="0" applyFont="1" applyAlignment="1">
      <alignment vertical="center"/>
    </xf>
    <xf numFmtId="0" fontId="198" fillId="0" borderId="0" xfId="0" applyFont="1" applyAlignment="1">
      <alignment vertical="center" wrapText="1"/>
    </xf>
    <xf numFmtId="2" fontId="49" fillId="0" borderId="0" xfId="0" applyNumberFormat="1" applyFont="1" applyAlignment="1">
      <alignment horizontal="center" vertical="center"/>
    </xf>
    <xf numFmtId="0" fontId="101" fillId="0" borderId="10" xfId="0" applyFont="1" applyBorder="1" applyAlignment="1">
      <alignment horizontal="center" vertical="center" wrapText="1"/>
    </xf>
    <xf numFmtId="9" fontId="132" fillId="44" borderId="142" xfId="0" applyNumberFormat="1" applyFont="1" applyFill="1" applyBorder="1" applyAlignment="1">
      <alignment horizontal="center" vertical="center" wrapText="1"/>
    </xf>
    <xf numFmtId="0" fontId="0" fillId="0" borderId="174" xfId="0" applyBorder="1" applyAlignment="1">
      <alignment horizontal="center" vertical="center" wrapText="1"/>
    </xf>
    <xf numFmtId="0" fontId="40" fillId="24" borderId="166" xfId="0" applyFont="1" applyFill="1" applyBorder="1" applyAlignment="1">
      <alignment horizontal="center" vertical="center" wrapText="1"/>
    </xf>
    <xf numFmtId="0" fontId="40" fillId="24" borderId="140" xfId="0" applyFont="1" applyFill="1" applyBorder="1" applyAlignment="1">
      <alignment horizontal="center" vertical="center" wrapText="1"/>
    </xf>
    <xf numFmtId="0" fontId="40" fillId="43" borderId="139" xfId="0" applyFont="1" applyFill="1" applyBorder="1" applyAlignment="1">
      <alignment horizontal="left" vertical="center" wrapText="1"/>
    </xf>
    <xf numFmtId="0" fontId="0" fillId="0" borderId="167" xfId="0" applyBorder="1" applyAlignment="1">
      <alignment horizontal="center" vertical="center" wrapText="1"/>
    </xf>
    <xf numFmtId="171" fontId="58" fillId="0" borderId="167" xfId="0" applyNumberFormat="1" applyFont="1" applyBorder="1" applyAlignment="1">
      <alignment horizontal="center" vertical="center" wrapText="1"/>
    </xf>
    <xf numFmtId="171" fontId="0" fillId="0" borderId="167" xfId="0" applyNumberFormat="1" applyBorder="1" applyAlignment="1">
      <alignment horizontal="center"/>
    </xf>
    <xf numFmtId="0" fontId="40" fillId="43" borderId="167" xfId="0" applyFont="1" applyFill="1" applyBorder="1" applyAlignment="1">
      <alignment horizontal="center" vertical="center" wrapText="1"/>
    </xf>
    <xf numFmtId="0" fontId="40" fillId="43" borderId="167" xfId="0" applyFont="1" applyFill="1" applyBorder="1" applyAlignment="1">
      <alignment vertical="center" wrapText="1"/>
    </xf>
    <xf numFmtId="171" fontId="59" fillId="43" borderId="167" xfId="0" applyNumberFormat="1" applyFont="1" applyFill="1" applyBorder="1" applyAlignment="1">
      <alignment horizontal="center" vertical="center" wrapText="1"/>
    </xf>
    <xf numFmtId="0" fontId="0" fillId="0" borderId="174" xfId="0" applyBorder="1" applyAlignment="1">
      <alignment vertical="center" wrapText="1"/>
    </xf>
    <xf numFmtId="2" fontId="0" fillId="0" borderId="167" xfId="0" applyNumberFormat="1" applyBorder="1"/>
    <xf numFmtId="2" fontId="58" fillId="0" borderId="174" xfId="0" applyNumberFormat="1" applyFont="1" applyBorder="1" applyAlignment="1">
      <alignment vertical="center" wrapText="1"/>
    </xf>
    <xf numFmtId="2" fontId="58" fillId="0" borderId="167" xfId="0" applyNumberFormat="1" applyFont="1" applyBorder="1" applyAlignment="1">
      <alignment vertical="center" wrapText="1"/>
    </xf>
    <xf numFmtId="2" fontId="58" fillId="0" borderId="167" xfId="0" applyNumberFormat="1" applyFont="1" applyBorder="1" applyAlignment="1">
      <alignment horizontal="right" vertical="center" wrapText="1"/>
    </xf>
    <xf numFmtId="0" fontId="59" fillId="43" borderId="167" xfId="0" applyFont="1" applyFill="1" applyBorder="1" applyAlignment="1">
      <alignment horizontal="right" vertical="center" wrapText="1"/>
    </xf>
    <xf numFmtId="0" fontId="58" fillId="0" borderId="174" xfId="0" applyFont="1" applyBorder="1" applyAlignment="1">
      <alignment horizontal="center" vertical="center" wrapText="1"/>
    </xf>
    <xf numFmtId="0" fontId="58" fillId="0" borderId="167" xfId="0" applyFont="1" applyBorder="1" applyAlignment="1">
      <alignment horizontal="center" vertical="center" wrapText="1"/>
    </xf>
    <xf numFmtId="0" fontId="59" fillId="43" borderId="167" xfId="0" applyFont="1" applyFill="1" applyBorder="1" applyAlignment="1">
      <alignment horizontal="center" vertical="center" wrapText="1"/>
    </xf>
    <xf numFmtId="0" fontId="40" fillId="43" borderId="167" xfId="0" applyFont="1" applyFill="1" applyBorder="1" applyAlignment="1">
      <alignment horizontal="center" vertical="center"/>
    </xf>
    <xf numFmtId="0" fontId="40" fillId="43" borderId="167" xfId="0" applyFont="1" applyFill="1" applyBorder="1" applyAlignment="1">
      <alignment horizontal="center"/>
    </xf>
    <xf numFmtId="0" fontId="40" fillId="43" borderId="167" xfId="0" applyFont="1" applyFill="1" applyBorder="1" applyAlignment="1">
      <alignment horizontal="left"/>
    </xf>
    <xf numFmtId="0" fontId="229" fillId="0" borderId="167" xfId="0" applyFont="1" applyBorder="1" applyAlignment="1">
      <alignment horizontal="center" vertical="center" wrapText="1"/>
    </xf>
    <xf numFmtId="0" fontId="42" fillId="0" borderId="167" xfId="377" applyFont="1" applyBorder="1" applyAlignment="1">
      <alignment vertical="center" wrapText="1"/>
    </xf>
    <xf numFmtId="0" fontId="229" fillId="0" borderId="175" xfId="0" applyFont="1" applyBorder="1" applyAlignment="1">
      <alignment horizontal="center" vertical="center" wrapText="1"/>
    </xf>
    <xf numFmtId="0" fontId="42" fillId="0" borderId="167" xfId="377" applyFont="1" applyBorder="1" applyAlignment="1">
      <alignment horizontal="left" vertical="center" wrapText="1"/>
    </xf>
    <xf numFmtId="0" fontId="201" fillId="43" borderId="167" xfId="0" applyFont="1" applyFill="1" applyBorder="1" applyAlignment="1">
      <alignment horizontal="center" vertical="center" wrapText="1"/>
    </xf>
    <xf numFmtId="0" fontId="43" fillId="43" borderId="167" xfId="377" applyFont="1" applyFill="1" applyBorder="1" applyAlignment="1">
      <alignment vertical="center" wrapText="1"/>
    </xf>
    <xf numFmtId="0" fontId="42" fillId="0" borderId="175" xfId="377" applyFont="1" applyBorder="1" applyAlignment="1">
      <alignment vertical="center" wrapText="1"/>
    </xf>
    <xf numFmtId="0" fontId="229" fillId="43" borderId="167" xfId="0" applyFont="1" applyFill="1" applyBorder="1" applyAlignment="1">
      <alignment horizontal="center" vertical="center" wrapText="1"/>
    </xf>
    <xf numFmtId="0" fontId="42" fillId="43" borderId="167" xfId="377" applyFont="1" applyFill="1" applyBorder="1" applyAlignment="1">
      <alignment vertical="center" wrapText="1"/>
    </xf>
    <xf numFmtId="0" fontId="200" fillId="0" borderId="133" xfId="377" applyFont="1" applyBorder="1" applyAlignment="1">
      <alignment wrapText="1"/>
    </xf>
    <xf numFmtId="0" fontId="200" fillId="0" borderId="133" xfId="377" applyFont="1" applyBorder="1"/>
    <xf numFmtId="0" fontId="40" fillId="43" borderId="83" xfId="0" applyFont="1" applyFill="1" applyBorder="1" applyAlignment="1">
      <alignment vertical="center"/>
    </xf>
    <xf numFmtId="0" fontId="201" fillId="20" borderId="175" xfId="0" applyFont="1" applyFill="1" applyBorder="1" applyAlignment="1">
      <alignment horizontal="center" vertical="center" wrapText="1"/>
    </xf>
    <xf numFmtId="0" fontId="43" fillId="20" borderId="175" xfId="0" applyFont="1" applyFill="1" applyBorder="1" applyAlignment="1">
      <alignment horizontal="center" vertical="center" wrapText="1"/>
    </xf>
    <xf numFmtId="0" fontId="101" fillId="0" borderId="0" xfId="0" applyFont="1"/>
    <xf numFmtId="0" fontId="38" fillId="0" borderId="22" xfId="0" applyFont="1" applyBorder="1"/>
    <xf numFmtId="9" fontId="132" fillId="44" borderId="174" xfId="0" applyNumberFormat="1" applyFont="1" applyFill="1" applyBorder="1" applyAlignment="1">
      <alignment horizontal="center" vertical="center" wrapText="1"/>
    </xf>
    <xf numFmtId="9" fontId="132" fillId="0" borderId="170" xfId="0" applyNumberFormat="1" applyFont="1" applyBorder="1" applyAlignment="1">
      <alignment horizontal="center" vertical="center" wrapText="1"/>
    </xf>
    <xf numFmtId="171" fontId="158" fillId="0" borderId="139" xfId="0" applyNumberFormat="1" applyFont="1" applyBorder="1" applyAlignment="1">
      <alignment horizontal="center" vertical="center" wrapText="1"/>
    </xf>
    <xf numFmtId="9" fontId="158" fillId="0" borderId="141" xfId="0" applyNumberFormat="1" applyFont="1" applyBorder="1" applyAlignment="1">
      <alignment horizontal="center" vertical="center" wrapText="1"/>
    </xf>
    <xf numFmtId="9" fontId="158" fillId="0" borderId="139" xfId="0" applyNumberFormat="1" applyFont="1" applyBorder="1" applyAlignment="1">
      <alignment horizontal="center" vertical="center" wrapText="1"/>
    </xf>
    <xf numFmtId="9" fontId="158" fillId="0" borderId="140" xfId="0" applyNumberFormat="1" applyFont="1" applyBorder="1" applyAlignment="1">
      <alignment horizontal="center" vertical="center" wrapText="1"/>
    </xf>
    <xf numFmtId="3" fontId="158" fillId="0" borderId="140" xfId="0" applyNumberFormat="1" applyFont="1" applyBorder="1" applyAlignment="1">
      <alignment horizontal="center" vertical="center" wrapText="1"/>
    </xf>
    <xf numFmtId="168" fontId="158" fillId="0" borderId="139" xfId="0" applyNumberFormat="1" applyFont="1" applyBorder="1" applyAlignment="1">
      <alignment horizontal="center" vertical="center" wrapText="1"/>
    </xf>
    <xf numFmtId="171" fontId="158" fillId="0" borderId="83" xfId="0" applyNumberFormat="1" applyFont="1" applyBorder="1" applyAlignment="1">
      <alignment horizontal="center" vertical="center"/>
    </xf>
    <xf numFmtId="3" fontId="158" fillId="0" borderId="139" xfId="0" applyNumberFormat="1" applyFont="1" applyBorder="1" applyAlignment="1">
      <alignment horizontal="center" vertical="center" wrapText="1"/>
    </xf>
    <xf numFmtId="180" fontId="158" fillId="0" borderId="142" xfId="0" applyNumberFormat="1" applyFont="1" applyBorder="1" applyAlignment="1">
      <alignment horizontal="center" vertical="center" wrapText="1"/>
    </xf>
    <xf numFmtId="0" fontId="158" fillId="0" borderId="144" xfId="0" applyFont="1" applyBorder="1" applyAlignment="1">
      <alignment horizontal="center" vertical="center" wrapText="1"/>
    </xf>
    <xf numFmtId="0" fontId="158" fillId="0" borderId="139" xfId="0" applyFont="1" applyBorder="1" applyAlignment="1">
      <alignment horizontal="center" vertical="center" wrapText="1"/>
    </xf>
    <xf numFmtId="0" fontId="158" fillId="0" borderId="142" xfId="0" applyFont="1" applyBorder="1" applyAlignment="1">
      <alignment horizontal="center" vertical="center" wrapText="1"/>
    </xf>
    <xf numFmtId="168" fontId="158" fillId="0" borderId="139" xfId="176" applyNumberFormat="1" applyFont="1" applyBorder="1" applyAlignment="1">
      <alignment horizontal="center" vertical="center" wrapText="1"/>
    </xf>
    <xf numFmtId="168" fontId="158" fillId="0" borderId="100" xfId="0" applyNumberFormat="1" applyFont="1" applyBorder="1" applyAlignment="1">
      <alignment horizontal="center" vertical="center" wrapText="1"/>
    </xf>
    <xf numFmtId="168" fontId="132" fillId="42" borderId="83" xfId="0" applyNumberFormat="1" applyFont="1" applyFill="1" applyBorder="1" applyAlignment="1">
      <alignment horizontal="center" vertical="center" wrapText="1"/>
    </xf>
    <xf numFmtId="0" fontId="158" fillId="22" borderId="83" xfId="0" applyFont="1" applyFill="1" applyBorder="1" applyAlignment="1">
      <alignment horizontal="center" vertical="center" wrapText="1"/>
    </xf>
    <xf numFmtId="3" fontId="158" fillId="22" borderId="100" xfId="0" applyNumberFormat="1" applyFont="1" applyFill="1" applyBorder="1" applyAlignment="1">
      <alignment horizontal="center" vertical="center" wrapText="1"/>
    </xf>
    <xf numFmtId="0" fontId="158" fillId="0" borderId="13" xfId="0" applyFont="1" applyBorder="1" applyAlignment="1">
      <alignment horizontal="center" vertical="center" wrapText="1"/>
    </xf>
    <xf numFmtId="0" fontId="158" fillId="0" borderId="100" xfId="0" applyFont="1" applyBorder="1" applyAlignment="1">
      <alignment horizontal="center" vertical="center" wrapText="1"/>
    </xf>
    <xf numFmtId="0" fontId="2" fillId="0" borderId="0" xfId="142" applyFont="1" applyAlignment="1">
      <alignment horizontal="center"/>
    </xf>
    <xf numFmtId="0" fontId="2" fillId="0" borderId="0" xfId="142" applyFont="1"/>
    <xf numFmtId="0" fontId="61" fillId="0" borderId="0" xfId="3786" applyFont="1" applyAlignment="1">
      <alignment vertical="center"/>
    </xf>
    <xf numFmtId="0" fontId="1" fillId="0" borderId="0" xfId="3786" applyAlignment="1">
      <alignment vertical="center"/>
    </xf>
    <xf numFmtId="0" fontId="38" fillId="0" borderId="0" xfId="576"/>
    <xf numFmtId="0" fontId="36" fillId="0" borderId="0" xfId="0" applyFont="1" applyAlignment="1">
      <alignment horizontal="center" vertical="center"/>
    </xf>
    <xf numFmtId="0" fontId="87" fillId="0" borderId="0" xfId="0" applyFont="1" applyAlignment="1">
      <alignment horizontal="left" vertical="center"/>
    </xf>
    <xf numFmtId="0" fontId="36" fillId="0" borderId="0" xfId="0" applyFont="1" applyAlignment="1">
      <alignment horizontal="left" vertical="center"/>
    </xf>
    <xf numFmtId="0" fontId="29" fillId="0" borderId="0" xfId="0" applyFont="1" applyAlignment="1">
      <alignment vertical="center"/>
    </xf>
    <xf numFmtId="0" fontId="243" fillId="0" borderId="0" xfId="0" applyFont="1" applyAlignment="1">
      <alignment horizontal="left" vertical="center"/>
    </xf>
    <xf numFmtId="0" fontId="45" fillId="0" borderId="0" xfId="0" applyFont="1" applyAlignment="1">
      <alignment horizontal="left" vertical="center" wrapText="1"/>
    </xf>
    <xf numFmtId="0" fontId="0" fillId="0" borderId="179" xfId="0" applyBorder="1" applyAlignment="1">
      <alignment vertical="center" wrapText="1"/>
    </xf>
    <xf numFmtId="0" fontId="0" fillId="0" borderId="170" xfId="0" applyBorder="1" applyAlignment="1">
      <alignment vertical="center" wrapText="1"/>
    </xf>
    <xf numFmtId="0" fontId="0" fillId="0" borderId="167" xfId="0" applyBorder="1" applyAlignment="1">
      <alignment horizontal="left" vertical="center" wrapText="1"/>
    </xf>
    <xf numFmtId="0" fontId="0" fillId="0" borderId="175" xfId="0" applyBorder="1" applyAlignment="1">
      <alignment vertical="center" wrapText="1"/>
    </xf>
    <xf numFmtId="0" fontId="0" fillId="0" borderId="179" xfId="0" applyBorder="1" applyAlignment="1">
      <alignment horizontal="center" vertical="center" wrapText="1"/>
    </xf>
    <xf numFmtId="0" fontId="0" fillId="0" borderId="170" xfId="0" applyBorder="1" applyAlignment="1">
      <alignment horizontal="center" vertical="center" wrapText="1"/>
    </xf>
    <xf numFmtId="0" fontId="0" fillId="0" borderId="175" xfId="0" applyBorder="1" applyAlignment="1">
      <alignment horizontal="center" vertical="center" wrapText="1"/>
    </xf>
    <xf numFmtId="171" fontId="58" fillId="0" borderId="179" xfId="0" applyNumberFormat="1" applyFont="1" applyBorder="1" applyAlignment="1">
      <alignment horizontal="center" vertical="center" wrapText="1"/>
    </xf>
    <xf numFmtId="171" fontId="58" fillId="0" borderId="170" xfId="0" applyNumberFormat="1" applyFont="1" applyBorder="1" applyAlignment="1">
      <alignment horizontal="center" vertical="center" wrapText="1"/>
    </xf>
    <xf numFmtId="171" fontId="58" fillId="0" borderId="175" xfId="0" applyNumberFormat="1" applyFont="1" applyBorder="1" applyAlignment="1">
      <alignment horizontal="center" vertical="center" wrapText="1"/>
    </xf>
    <xf numFmtId="0" fontId="6" fillId="0" borderId="0" xfId="0" applyFont="1" applyAlignment="1">
      <alignment horizontal="left"/>
    </xf>
    <xf numFmtId="0" fontId="92" fillId="0" borderId="0" xfId="0" applyFont="1" applyAlignment="1">
      <alignment horizontal="left"/>
    </xf>
    <xf numFmtId="0" fontId="246" fillId="20" borderId="167" xfId="0" applyFont="1" applyFill="1" applyBorder="1" applyAlignment="1">
      <alignment horizontal="center" vertical="center"/>
    </xf>
    <xf numFmtId="0" fontId="246" fillId="20" borderId="166" xfId="0" applyFont="1" applyFill="1" applyBorder="1" applyAlignment="1">
      <alignment horizontal="center" vertical="center" wrapText="1"/>
    </xf>
    <xf numFmtId="0" fontId="75" fillId="20" borderId="167" xfId="0" applyFont="1" applyFill="1" applyBorder="1" applyAlignment="1">
      <alignment horizontal="center" vertical="center"/>
    </xf>
    <xf numFmtId="0" fontId="247" fillId="20" borderId="167" xfId="452" applyFont="1" applyFill="1" applyBorder="1" applyAlignment="1">
      <alignment horizontal="center" vertical="center" wrapText="1"/>
    </xf>
    <xf numFmtId="0" fontId="247" fillId="20" borderId="167" xfId="452" applyFont="1" applyFill="1" applyBorder="1" applyAlignment="1">
      <alignment horizontal="center" vertical="center"/>
    </xf>
    <xf numFmtId="0" fontId="45" fillId="20" borderId="167" xfId="0" applyFont="1" applyFill="1" applyBorder="1" applyAlignment="1">
      <alignment horizontal="center" vertical="center"/>
    </xf>
    <xf numFmtId="0" fontId="52" fillId="0" borderId="0" xfId="822"/>
    <xf numFmtId="2" fontId="52" fillId="0" borderId="0" xfId="822" applyNumberFormat="1"/>
    <xf numFmtId="0" fontId="52" fillId="0" borderId="0" xfId="822" applyAlignment="1">
      <alignment horizontal="center"/>
    </xf>
    <xf numFmtId="0" fontId="52" fillId="0" borderId="0" xfId="822" applyAlignment="1">
      <alignment vertical="center" wrapText="1"/>
    </xf>
    <xf numFmtId="0" fontId="52" fillId="0" borderId="0" xfId="822" applyAlignment="1">
      <alignment horizontal="left" vertical="center"/>
    </xf>
    <xf numFmtId="0" fontId="52" fillId="0" borderId="0" xfId="822" applyAlignment="1">
      <alignment horizontal="left" vertical="center" wrapText="1"/>
    </xf>
    <xf numFmtId="0" fontId="190" fillId="0" borderId="0" xfId="3787" applyFont="1" applyAlignment="1">
      <alignment vertical="center" wrapText="1"/>
    </xf>
    <xf numFmtId="0" fontId="73" fillId="0" borderId="0" xfId="3787" applyFont="1" applyAlignment="1">
      <alignment horizontal="center" wrapText="1"/>
    </xf>
    <xf numFmtId="182" fontId="73" fillId="0" borderId="0" xfId="3787" applyNumberFormat="1" applyFont="1" applyAlignment="1">
      <alignment horizontal="right" vertical="center"/>
    </xf>
    <xf numFmtId="183" fontId="73" fillId="0" borderId="0" xfId="3787" applyNumberFormat="1" applyFont="1" applyAlignment="1">
      <alignment horizontal="right" vertical="center"/>
    </xf>
    <xf numFmtId="0" fontId="73" fillId="0" borderId="0" xfId="3787" applyFont="1" applyAlignment="1">
      <alignment vertical="top" wrapText="1"/>
    </xf>
    <xf numFmtId="0" fontId="73" fillId="0" borderId="0" xfId="3787" applyFont="1" applyAlignment="1">
      <alignment horizontal="left" vertical="top" wrapText="1"/>
    </xf>
    <xf numFmtId="0" fontId="52" fillId="0" borderId="0" xfId="822" applyAlignment="1">
      <alignment horizontal="left"/>
    </xf>
    <xf numFmtId="0" fontId="82" fillId="20" borderId="181" xfId="0" applyFont="1" applyFill="1" applyBorder="1" applyAlignment="1">
      <alignment horizontal="center" vertical="center" wrapText="1"/>
    </xf>
    <xf numFmtId="0" fontId="152" fillId="20" borderId="182" xfId="822" applyFont="1" applyFill="1" applyBorder="1" applyAlignment="1">
      <alignment horizontal="center" vertical="center"/>
    </xf>
    <xf numFmtId="0" fontId="152" fillId="20" borderId="175" xfId="822" applyFont="1" applyFill="1" applyBorder="1" applyAlignment="1">
      <alignment horizontal="center" vertical="center"/>
    </xf>
    <xf numFmtId="0" fontId="152" fillId="0" borderId="183" xfId="822" applyFont="1" applyBorder="1" applyAlignment="1">
      <alignment vertical="center"/>
    </xf>
    <xf numFmtId="168" fontId="64" fillId="0" borderId="0" xfId="176" applyNumberFormat="1" applyFont="1" applyAlignment="1">
      <alignment horizontal="center" vertical="center" wrapText="1"/>
    </xf>
    <xf numFmtId="2" fontId="64" fillId="0" borderId="0" xfId="176" applyNumberFormat="1" applyFont="1" applyAlignment="1">
      <alignment horizontal="center" vertical="center" wrapText="1"/>
    </xf>
    <xf numFmtId="0" fontId="67" fillId="20" borderId="181" xfId="639" applyFont="1" applyFill="1" applyBorder="1" applyAlignment="1">
      <alignment horizontal="center" vertical="center"/>
    </xf>
    <xf numFmtId="9" fontId="44" fillId="34" borderId="0" xfId="176" applyFont="1" applyFill="1" applyAlignment="1">
      <alignment horizontal="center" vertical="center" wrapText="1"/>
    </xf>
    <xf numFmtId="9" fontId="45" fillId="34" borderId="0" xfId="176" applyFont="1" applyFill="1" applyAlignment="1">
      <alignment horizontal="center" vertical="center" wrapText="1"/>
    </xf>
    <xf numFmtId="0" fontId="245" fillId="20" borderId="167" xfId="0" applyFont="1" applyFill="1" applyBorder="1" applyAlignment="1">
      <alignment horizontal="center" vertical="center" wrapText="1"/>
    </xf>
    <xf numFmtId="0" fontId="24" fillId="20" borderId="167" xfId="452" applyFont="1" applyFill="1" applyBorder="1" applyAlignment="1">
      <alignment horizontal="center" vertical="center" wrapText="1"/>
    </xf>
    <xf numFmtId="0" fontId="24" fillId="20" borderId="167" xfId="452" applyFont="1" applyFill="1" applyBorder="1" applyAlignment="1">
      <alignment horizontal="center" vertical="center"/>
    </xf>
    <xf numFmtId="0" fontId="190" fillId="20" borderId="167" xfId="3787" applyFont="1" applyFill="1" applyBorder="1" applyAlignment="1">
      <alignment horizontal="center" vertical="center" wrapText="1"/>
    </xf>
    <xf numFmtId="0" fontId="176" fillId="20" borderId="167" xfId="0" applyFont="1" applyFill="1" applyBorder="1" applyAlignment="1">
      <alignment horizontal="center"/>
    </xf>
    <xf numFmtId="173" fontId="1" fillId="0" borderId="181" xfId="149" applyNumberFormat="1" applyBorder="1" applyAlignment="1">
      <alignment horizontal="center" vertical="center"/>
    </xf>
    <xf numFmtId="3" fontId="1" fillId="0" borderId="181" xfId="149" applyNumberFormat="1" applyBorder="1" applyAlignment="1">
      <alignment horizontal="center"/>
    </xf>
    <xf numFmtId="173" fontId="1" fillId="0" borderId="181" xfId="0" applyNumberFormat="1" applyFont="1" applyBorder="1" applyAlignment="1">
      <alignment horizontal="center" vertical="center"/>
    </xf>
    <xf numFmtId="3" fontId="1" fillId="0" borderId="181" xfId="0" applyNumberFormat="1" applyFont="1" applyBorder="1" applyAlignment="1">
      <alignment horizontal="center" vertical="center"/>
    </xf>
    <xf numFmtId="3" fontId="1" fillId="0" borderId="181" xfId="0" applyNumberFormat="1" applyFont="1" applyBorder="1" applyAlignment="1">
      <alignment horizontal="center"/>
    </xf>
    <xf numFmtId="173" fontId="1" fillId="0" borderId="181" xfId="0" applyNumberFormat="1" applyFont="1" applyBorder="1" applyAlignment="1">
      <alignment horizontal="center" vertical="center" wrapText="1"/>
    </xf>
    <xf numFmtId="173" fontId="32" fillId="0" borderId="181" xfId="0" applyNumberFormat="1" applyFont="1" applyBorder="1" applyAlignment="1">
      <alignment horizontal="center" vertical="center"/>
    </xf>
    <xf numFmtId="0" fontId="0" fillId="0" borderId="181" xfId="0" applyBorder="1" applyAlignment="1">
      <alignment horizontal="center"/>
    </xf>
    <xf numFmtId="173" fontId="32" fillId="0" borderId="181" xfId="0" applyNumberFormat="1" applyFont="1" applyBorder="1" applyAlignment="1">
      <alignment horizontal="center" vertical="center" wrapText="1"/>
    </xf>
    <xf numFmtId="0" fontId="44" fillId="0" borderId="181" xfId="0" applyFont="1" applyBorder="1" applyAlignment="1">
      <alignment horizontal="center" vertical="center"/>
    </xf>
    <xf numFmtId="0" fontId="1" fillId="0" borderId="181" xfId="149" applyBorder="1" applyAlignment="1">
      <alignment horizontal="center" vertical="center"/>
    </xf>
    <xf numFmtId="0" fontId="5" fillId="20" borderId="181" xfId="149" applyFont="1" applyFill="1" applyBorder="1" applyAlignment="1">
      <alignment horizontal="center" vertical="center"/>
    </xf>
    <xf numFmtId="3" fontId="5" fillId="56" borderId="181" xfId="149" applyNumberFormat="1" applyFont="1" applyFill="1" applyBorder="1" applyAlignment="1">
      <alignment horizontal="center" vertical="center"/>
    </xf>
    <xf numFmtId="3" fontId="5" fillId="43" borderId="181" xfId="149" applyNumberFormat="1" applyFont="1" applyFill="1" applyBorder="1" applyAlignment="1">
      <alignment horizontal="center"/>
    </xf>
    <xf numFmtId="3" fontId="44" fillId="0" borderId="181" xfId="0" applyNumberFormat="1" applyFont="1" applyBorder="1" applyAlignment="1">
      <alignment horizontal="center"/>
    </xf>
    <xf numFmtId="0" fontId="40" fillId="0" borderId="181" xfId="0" applyFont="1" applyBorder="1" applyAlignment="1">
      <alignment horizontal="center"/>
    </xf>
    <xf numFmtId="3" fontId="0" fillId="0" borderId="181" xfId="0" applyNumberFormat="1" applyBorder="1" applyAlignment="1">
      <alignment horizontal="center"/>
    </xf>
    <xf numFmtId="173" fontId="219" fillId="0" borderId="182" xfId="0" applyNumberFormat="1" applyFont="1" applyBorder="1" applyAlignment="1">
      <alignment vertical="center" wrapText="1"/>
    </xf>
    <xf numFmtId="3" fontId="248" fillId="0" borderId="182" xfId="0" applyNumberFormat="1" applyFont="1" applyBorder="1" applyAlignment="1">
      <alignment vertical="center"/>
    </xf>
    <xf numFmtId="3" fontId="219" fillId="0" borderId="182" xfId="0" applyNumberFormat="1" applyFont="1" applyBorder="1" applyAlignment="1">
      <alignment horizontal="center" vertical="center"/>
    </xf>
    <xf numFmtId="173" fontId="219" fillId="0" borderId="181" xfId="0" applyNumberFormat="1" applyFont="1" applyBorder="1" applyAlignment="1">
      <alignment horizontal="center" vertical="center"/>
    </xf>
    <xf numFmtId="3" fontId="248" fillId="0" borderId="182" xfId="0" applyNumberFormat="1" applyFont="1" applyBorder="1" applyAlignment="1">
      <alignment horizontal="center" vertical="center"/>
    </xf>
    <xf numFmtId="3" fontId="219" fillId="0" borderId="181" xfId="0" applyNumberFormat="1" applyFont="1" applyBorder="1" applyAlignment="1">
      <alignment horizontal="center" vertical="center"/>
    </xf>
    <xf numFmtId="173" fontId="219" fillId="0" borderId="181" xfId="0" applyNumberFormat="1" applyFont="1" applyBorder="1" applyAlignment="1">
      <alignment horizontal="center"/>
    </xf>
    <xf numFmtId="3" fontId="248" fillId="0" borderId="181" xfId="0" applyNumberFormat="1" applyFont="1" applyBorder="1" applyAlignment="1">
      <alignment horizontal="center" vertical="center"/>
    </xf>
    <xf numFmtId="3" fontId="219" fillId="0" borderId="181" xfId="0" applyNumberFormat="1" applyFont="1" applyBorder="1" applyAlignment="1">
      <alignment horizontal="center"/>
    </xf>
    <xf numFmtId="0" fontId="30" fillId="20" borderId="181" xfId="149" applyFont="1" applyFill="1" applyBorder="1" applyAlignment="1">
      <alignment horizontal="center" vertical="center"/>
    </xf>
    <xf numFmtId="3" fontId="30" fillId="20" borderId="181" xfId="149" applyNumberFormat="1" applyFont="1" applyFill="1" applyBorder="1" applyAlignment="1">
      <alignment horizontal="center" vertical="center"/>
    </xf>
    <xf numFmtId="10" fontId="0" fillId="0" borderId="0" xfId="176" applyNumberFormat="1" applyFont="1" applyAlignment="1">
      <alignment horizontal="center"/>
    </xf>
    <xf numFmtId="10" fontId="40" fillId="0" borderId="0" xfId="176" applyNumberFormat="1" applyFont="1" applyAlignment="1">
      <alignment horizontal="center"/>
    </xf>
    <xf numFmtId="0" fontId="251" fillId="0" borderId="0" xfId="0" applyFont="1"/>
    <xf numFmtId="1" fontId="61" fillId="0" borderId="163" xfId="211" applyNumberFormat="1" applyFont="1" applyBorder="1" applyAlignment="1">
      <alignment horizontal="center"/>
    </xf>
    <xf numFmtId="181" fontId="61" fillId="0" borderId="0" xfId="107" applyNumberFormat="1" applyFont="1" applyAlignment="1">
      <alignment horizontal="center" vertical="center"/>
    </xf>
    <xf numFmtId="181" fontId="184" fillId="0" borderId="0" xfId="107" applyNumberFormat="1" applyFont="1" applyAlignment="1">
      <alignment horizontal="center" vertical="center"/>
    </xf>
    <xf numFmtId="181" fontId="184" fillId="0" borderId="155" xfId="107" applyNumberFormat="1" applyFont="1" applyBorder="1" applyAlignment="1">
      <alignment horizontal="center" vertical="center"/>
    </xf>
    <xf numFmtId="181" fontId="184" fillId="0" borderId="163" xfId="107" applyNumberFormat="1" applyFont="1" applyBorder="1" applyAlignment="1">
      <alignment horizontal="center" vertical="center"/>
    </xf>
    <xf numFmtId="43" fontId="61" fillId="0" borderId="0" xfId="107" applyFont="1" applyAlignment="1">
      <alignment horizontal="center" vertical="center"/>
    </xf>
    <xf numFmtId="181" fontId="61" fillId="0" borderId="107" xfId="107" applyNumberFormat="1" applyFont="1" applyBorder="1" applyAlignment="1">
      <alignment horizontal="center" vertical="center"/>
    </xf>
    <xf numFmtId="181" fontId="184" fillId="21" borderId="155" xfId="107" applyNumberFormat="1" applyFont="1" applyFill="1" applyBorder="1" applyAlignment="1">
      <alignment horizontal="center" vertical="center"/>
    </xf>
    <xf numFmtId="0" fontId="61" fillId="0" borderId="0" xfId="211" applyFont="1" applyAlignment="1">
      <alignment horizontal="center" vertical="center"/>
    </xf>
    <xf numFmtId="171" fontId="97" fillId="0" borderId="16" xfId="0" applyNumberFormat="1" applyFont="1" applyBorder="1" applyAlignment="1">
      <alignment horizontal="center" vertical="center"/>
    </xf>
    <xf numFmtId="171" fontId="97" fillId="0" borderId="0" xfId="0" applyNumberFormat="1" applyFont="1" applyAlignment="1">
      <alignment horizontal="center" vertical="center"/>
    </xf>
    <xf numFmtId="171" fontId="97" fillId="0" borderId="163" xfId="0" applyNumberFormat="1" applyFont="1" applyBorder="1" applyAlignment="1">
      <alignment horizontal="center" vertical="center"/>
    </xf>
    <xf numFmtId="0" fontId="75" fillId="21" borderId="16" xfId="0" applyFont="1" applyFill="1" applyBorder="1" applyAlignment="1">
      <alignment horizontal="center"/>
    </xf>
    <xf numFmtId="0" fontId="40" fillId="0" borderId="16" xfId="0" applyFont="1" applyBorder="1" applyAlignment="1">
      <alignment horizontal="center" wrapText="1"/>
    </xf>
    <xf numFmtId="0" fontId="50" fillId="21" borderId="0" xfId="0" applyFont="1" applyFill="1" applyAlignment="1">
      <alignment horizontal="center"/>
    </xf>
    <xf numFmtId="0" fontId="75" fillId="21" borderId="0" xfId="0" applyFont="1" applyFill="1" applyAlignment="1">
      <alignment horizontal="center"/>
    </xf>
    <xf numFmtId="0" fontId="50" fillId="57" borderId="0" xfId="0" applyFont="1" applyFill="1"/>
    <xf numFmtId="0" fontId="50" fillId="57" borderId="0" xfId="0" applyFont="1" applyFill="1" applyAlignment="1">
      <alignment horizontal="center"/>
    </xf>
    <xf numFmtId="0" fontId="75" fillId="57" borderId="0" xfId="0" applyFont="1" applyFill="1"/>
    <xf numFmtId="0" fontId="75" fillId="57" borderId="0" xfId="0" applyFont="1" applyFill="1" applyAlignment="1">
      <alignment horizontal="center"/>
    </xf>
    <xf numFmtId="10" fontId="40" fillId="0" borderId="16" xfId="176" applyNumberFormat="1" applyFont="1" applyBorder="1" applyAlignment="1">
      <alignment horizontal="center"/>
    </xf>
    <xf numFmtId="0" fontId="97" fillId="21" borderId="16" xfId="0" applyFont="1" applyFill="1" applyBorder="1" applyAlignment="1">
      <alignment horizontal="center"/>
    </xf>
    <xf numFmtId="0" fontId="51" fillId="21" borderId="0" xfId="0" applyFont="1" applyFill="1" applyAlignment="1">
      <alignment horizontal="center"/>
    </xf>
    <xf numFmtId="0" fontId="97" fillId="21" borderId="0" xfId="0" applyFont="1" applyFill="1" applyAlignment="1">
      <alignment horizontal="center"/>
    </xf>
    <xf numFmtId="0" fontId="75" fillId="0" borderId="0" xfId="0" applyFont="1" applyAlignment="1">
      <alignment horizontal="left" vertical="center" wrapText="1"/>
    </xf>
    <xf numFmtId="0" fontId="50" fillId="0" borderId="163" xfId="0" applyFont="1" applyBorder="1"/>
    <xf numFmtId="0" fontId="75" fillId="0" borderId="163" xfId="0" applyFont="1" applyBorder="1"/>
    <xf numFmtId="2" fontId="75" fillId="0" borderId="163" xfId="0" applyNumberFormat="1" applyFont="1" applyBorder="1" applyAlignment="1">
      <alignment horizontal="center"/>
    </xf>
    <xf numFmtId="0" fontId="75" fillId="0" borderId="163" xfId="0" applyFont="1" applyBorder="1" applyAlignment="1">
      <alignment horizontal="center"/>
    </xf>
    <xf numFmtId="0" fontId="50" fillId="0" borderId="163" xfId="0" applyFont="1" applyBorder="1" applyAlignment="1">
      <alignment horizontal="center" vertical="center"/>
    </xf>
    <xf numFmtId="0" fontId="75" fillId="0" borderId="0" xfId="0" applyFont="1" applyAlignment="1">
      <alignment vertical="center"/>
    </xf>
    <xf numFmtId="2" fontId="75" fillId="0" borderId="0" xfId="0" applyNumberFormat="1" applyFont="1" applyAlignment="1">
      <alignment horizontal="center" vertical="center"/>
    </xf>
    <xf numFmtId="0" fontId="75" fillId="0" borderId="0" xfId="0" applyFont="1" applyAlignment="1">
      <alignment horizontal="center" vertical="center"/>
    </xf>
    <xf numFmtId="0" fontId="50" fillId="0" borderId="163" xfId="0" applyFont="1" applyBorder="1" applyAlignment="1">
      <alignment vertical="center"/>
    </xf>
    <xf numFmtId="0" fontId="75" fillId="0" borderId="163" xfId="0" applyFont="1" applyBorder="1" applyAlignment="1">
      <alignment vertical="center"/>
    </xf>
    <xf numFmtId="2" fontId="75" fillId="0" borderId="163" xfId="0" applyNumberFormat="1" applyFont="1" applyBorder="1" applyAlignment="1">
      <alignment horizontal="center" vertical="center"/>
    </xf>
    <xf numFmtId="0" fontId="75" fillId="0" borderId="163" xfId="0" applyFont="1" applyBorder="1" applyAlignment="1">
      <alignment horizontal="center" vertical="center"/>
    </xf>
    <xf numFmtId="0" fontId="50" fillId="29" borderId="0" xfId="0" applyFont="1" applyFill="1" applyAlignment="1">
      <alignment vertical="center"/>
    </xf>
    <xf numFmtId="2" fontId="50" fillId="29" borderId="0" xfId="0" applyNumberFormat="1" applyFont="1" applyFill="1" applyAlignment="1">
      <alignment horizontal="center" vertical="center"/>
    </xf>
    <xf numFmtId="0" fontId="50" fillId="29" borderId="0" xfId="0" applyFont="1" applyFill="1" applyAlignment="1">
      <alignment horizontal="center" vertical="center"/>
    </xf>
    <xf numFmtId="0" fontId="50" fillId="0" borderId="16" xfId="0" applyFont="1" applyBorder="1" applyAlignment="1">
      <alignment vertical="center"/>
    </xf>
    <xf numFmtId="0" fontId="75" fillId="0" borderId="16" xfId="0" applyFont="1" applyBorder="1" applyAlignment="1">
      <alignment vertical="center"/>
    </xf>
    <xf numFmtId="1" fontId="51" fillId="0" borderId="0" xfId="0" applyNumberFormat="1" applyFont="1" applyAlignment="1">
      <alignment horizontal="center" vertical="center"/>
    </xf>
    <xf numFmtId="1" fontId="97" fillId="0" borderId="0" xfId="0" applyNumberFormat="1" applyFont="1" applyAlignment="1">
      <alignment horizontal="center" vertical="center"/>
    </xf>
    <xf numFmtId="1" fontId="97" fillId="0" borderId="163" xfId="0" applyNumberFormat="1" applyFont="1" applyBorder="1" applyAlignment="1">
      <alignment horizontal="center" vertical="center"/>
    </xf>
    <xf numFmtId="1" fontId="97" fillId="0" borderId="16" xfId="0" applyNumberFormat="1" applyFont="1" applyBorder="1" applyAlignment="1">
      <alignment horizontal="center" vertical="center"/>
    </xf>
    <xf numFmtId="185" fontId="99" fillId="43" borderId="106" xfId="455" applyNumberFormat="1" applyFont="1" applyFill="1" applyBorder="1" applyAlignment="1">
      <alignment horizontal="center" vertical="center"/>
    </xf>
    <xf numFmtId="0" fontId="43" fillId="0" borderId="0" xfId="0" applyFont="1" applyAlignment="1">
      <alignment horizontal="left" vertical="center"/>
    </xf>
    <xf numFmtId="185" fontId="97" fillId="43" borderId="155" xfId="0" applyNumberFormat="1" applyFont="1" applyFill="1" applyBorder="1" applyAlignment="1">
      <alignment horizontal="center" vertical="center"/>
    </xf>
    <xf numFmtId="0" fontId="66" fillId="0" borderId="0" xfId="0" applyFont="1"/>
    <xf numFmtId="0" fontId="185" fillId="0" borderId="0" xfId="377" applyFont="1" applyAlignment="1">
      <alignment horizontal="left" vertical="center"/>
    </xf>
    <xf numFmtId="0" fontId="40" fillId="20" borderId="185" xfId="801" applyFont="1" applyFill="1" applyBorder="1" applyAlignment="1">
      <alignment horizontal="center" vertical="center"/>
    </xf>
    <xf numFmtId="0" fontId="80" fillId="20" borderId="185" xfId="801" applyFont="1" applyFill="1" applyBorder="1" applyAlignment="1">
      <alignment horizontal="center" vertical="center"/>
    </xf>
    <xf numFmtId="0" fontId="231" fillId="0" borderId="0" xfId="377" applyFont="1"/>
    <xf numFmtId="0" fontId="231" fillId="0" borderId="0" xfId="377" applyFont="1" applyAlignment="1">
      <alignment vertical="center"/>
    </xf>
    <xf numFmtId="0" fontId="40" fillId="24" borderId="187" xfId="0" applyFont="1" applyFill="1" applyBorder="1" applyAlignment="1">
      <alignment horizontal="center" vertical="center" wrapText="1"/>
    </xf>
    <xf numFmtId="0" fontId="0" fillId="0" borderId="185" xfId="0" applyBorder="1" applyAlignment="1">
      <alignment horizontal="right" vertical="center" wrapText="1"/>
    </xf>
    <xf numFmtId="3" fontId="0" fillId="0" borderId="186" xfId="0" applyNumberFormat="1" applyBorder="1" applyAlignment="1">
      <alignment horizontal="right" vertical="center" wrapText="1"/>
    </xf>
    <xf numFmtId="0" fontId="42" fillId="0" borderId="185" xfId="377" applyFont="1" applyBorder="1" applyAlignment="1">
      <alignment vertical="center" wrapText="1"/>
    </xf>
    <xf numFmtId="0" fontId="0" fillId="0" borderId="175" xfId="0" applyBorder="1" applyAlignment="1">
      <alignment horizontal="right" vertical="center" wrapText="1"/>
    </xf>
    <xf numFmtId="0" fontId="231" fillId="0" borderId="0" xfId="377" applyFont="1" applyAlignment="1">
      <alignment horizontal="left"/>
    </xf>
    <xf numFmtId="0" fontId="40" fillId="0" borderId="163" xfId="0" applyFont="1" applyBorder="1" applyAlignment="1">
      <alignment vertical="center"/>
    </xf>
    <xf numFmtId="0" fontId="56" fillId="0" borderId="163" xfId="0" applyFont="1" applyBorder="1" applyAlignment="1">
      <alignment horizontal="center" vertical="center" wrapText="1"/>
    </xf>
    <xf numFmtId="0" fontId="0" fillId="0" borderId="163" xfId="0" applyBorder="1"/>
    <xf numFmtId="0" fontId="49" fillId="0" borderId="163" xfId="0" applyFont="1" applyBorder="1" applyAlignment="1">
      <alignment horizontal="center" vertical="center"/>
    </xf>
    <xf numFmtId="0" fontId="103" fillId="20" borderId="186" xfId="801" applyFont="1" applyFill="1" applyBorder="1" applyAlignment="1">
      <alignment horizontal="center" vertical="center"/>
    </xf>
    <xf numFmtId="0" fontId="119" fillId="43" borderId="83" xfId="0" applyFont="1" applyFill="1" applyBorder="1" applyAlignment="1">
      <alignment horizontal="right" vertical="center"/>
    </xf>
    <xf numFmtId="0" fontId="40" fillId="20" borderId="16" xfId="0" applyFont="1" applyFill="1" applyBorder="1" applyAlignment="1">
      <alignment horizontal="center" vertical="center"/>
    </xf>
    <xf numFmtId="3" fontId="80" fillId="20" borderId="16" xfId="452" applyNumberFormat="1" applyFont="1" applyFill="1" applyBorder="1" applyAlignment="1">
      <alignment horizontal="right"/>
    </xf>
    <xf numFmtId="168" fontId="80" fillId="20" borderId="83" xfId="176" applyNumberFormat="1" applyFont="1" applyFill="1" applyBorder="1" applyAlignment="1">
      <alignment horizontal="right" vertical="center"/>
    </xf>
    <xf numFmtId="0" fontId="76" fillId="0" borderId="0" xfId="0" applyFont="1" applyAlignment="1">
      <alignment horizontal="left"/>
    </xf>
    <xf numFmtId="0" fontId="132" fillId="0" borderId="170" xfId="0" applyFont="1" applyBorder="1" applyAlignment="1">
      <alignment horizontal="center" vertical="center" wrapText="1"/>
    </xf>
    <xf numFmtId="0" fontId="158" fillId="0" borderId="170" xfId="0" applyFont="1" applyBorder="1" applyAlignment="1">
      <alignment horizontal="center" vertical="center" wrapText="1"/>
    </xf>
    <xf numFmtId="0" fontId="175" fillId="28" borderId="170" xfId="0" applyFont="1" applyFill="1" applyBorder="1" applyAlignment="1">
      <alignment horizontal="center" vertical="center" wrapText="1"/>
    </xf>
    <xf numFmtId="9" fontId="132" fillId="42" borderId="170" xfId="0" applyNumberFormat="1" applyFont="1" applyFill="1" applyBorder="1" applyAlignment="1">
      <alignment horizontal="center" vertical="center" wrapText="1"/>
    </xf>
    <xf numFmtId="168" fontId="132" fillId="0" borderId="185" xfId="176" applyNumberFormat="1" applyFont="1" applyBorder="1" applyAlignment="1">
      <alignment horizontal="center" vertical="center"/>
    </xf>
    <xf numFmtId="9" fontId="132" fillId="0" borderId="83" xfId="176" applyFont="1" applyBorder="1" applyAlignment="1">
      <alignment horizontal="center" vertical="center"/>
    </xf>
    <xf numFmtId="9" fontId="132" fillId="42" borderId="83" xfId="176" applyFont="1" applyFill="1" applyBorder="1" applyAlignment="1">
      <alignment horizontal="center" vertical="center" wrapText="1"/>
    </xf>
    <xf numFmtId="9" fontId="158" fillId="0" borderId="83" xfId="176" applyFont="1" applyBorder="1" applyAlignment="1">
      <alignment horizontal="center" vertical="center"/>
    </xf>
    <xf numFmtId="9" fontId="0" fillId="0" borderId="0" xfId="176" applyFont="1" applyAlignment="1">
      <alignment horizontal="centerContinuous" vertical="center"/>
    </xf>
    <xf numFmtId="0" fontId="61" fillId="0" borderId="0" xfId="0" applyFont="1" applyAlignment="1">
      <alignment vertical="center"/>
    </xf>
    <xf numFmtId="0" fontId="61" fillId="0" borderId="124" xfId="0" applyFont="1" applyBorder="1" applyAlignment="1">
      <alignment vertical="center"/>
    </xf>
    <xf numFmtId="0" fontId="1" fillId="0" borderId="181" xfId="0" applyFont="1" applyBorder="1" applyAlignment="1">
      <alignment horizontal="center" vertical="center"/>
    </xf>
    <xf numFmtId="0" fontId="100" fillId="0" borderId="0" xfId="377"/>
    <xf numFmtId="0" fontId="0" fillId="0" borderId="22" xfId="0" applyBorder="1"/>
    <xf numFmtId="9" fontId="132" fillId="44" borderId="189" xfId="0" applyNumberFormat="1" applyFont="1" applyFill="1" applyBorder="1" applyAlignment="1">
      <alignment horizontal="center" vertical="center" wrapText="1"/>
    </xf>
    <xf numFmtId="3" fontId="158" fillId="0" borderId="167" xfId="0" applyNumberFormat="1" applyFont="1" applyBorder="1" applyAlignment="1">
      <alignment horizontal="center" vertical="center" wrapText="1"/>
    </xf>
    <xf numFmtId="9" fontId="158" fillId="0" borderId="175" xfId="0" applyNumberFormat="1" applyFont="1" applyBorder="1" applyAlignment="1">
      <alignment horizontal="center" vertical="center" wrapText="1"/>
    </xf>
    <xf numFmtId="9" fontId="158" fillId="0" borderId="167" xfId="0" applyNumberFormat="1" applyFont="1" applyBorder="1" applyAlignment="1">
      <alignment horizontal="center" vertical="center" wrapText="1"/>
    </xf>
    <xf numFmtId="171" fontId="158" fillId="0" borderId="167" xfId="0" applyNumberFormat="1" applyFont="1" applyBorder="1" applyAlignment="1">
      <alignment horizontal="center" vertical="center" wrapText="1"/>
    </xf>
    <xf numFmtId="168" fontId="158" fillId="0" borderId="167" xfId="0" applyNumberFormat="1" applyFont="1" applyBorder="1" applyAlignment="1">
      <alignment horizontal="center" vertical="center" wrapText="1"/>
    </xf>
    <xf numFmtId="9" fontId="158" fillId="0" borderId="166" xfId="0" applyNumberFormat="1" applyFont="1" applyBorder="1" applyAlignment="1">
      <alignment horizontal="center" vertical="center" wrapText="1"/>
    </xf>
    <xf numFmtId="3" fontId="158" fillId="0" borderId="166" xfId="0" applyNumberFormat="1" applyFont="1" applyBorder="1" applyAlignment="1">
      <alignment horizontal="center" vertical="center" wrapText="1"/>
    </xf>
    <xf numFmtId="171" fontId="158" fillId="0" borderId="167" xfId="0" applyNumberFormat="1" applyFont="1" applyBorder="1" applyAlignment="1">
      <alignment horizontal="center" vertical="center"/>
    </xf>
    <xf numFmtId="9" fontId="158" fillId="0" borderId="167" xfId="176" applyFont="1" applyBorder="1" applyAlignment="1">
      <alignment horizontal="center" vertical="center"/>
    </xf>
    <xf numFmtId="171" fontId="158" fillId="0" borderId="164" xfId="0" applyNumberFormat="1" applyFont="1" applyBorder="1" applyAlignment="1">
      <alignment horizontal="center" vertical="center" wrapText="1"/>
    </xf>
    <xf numFmtId="0" fontId="158" fillId="0" borderId="164" xfId="0" applyFont="1" applyBorder="1" applyAlignment="1">
      <alignment horizontal="center" vertical="center" wrapText="1"/>
    </xf>
    <xf numFmtId="0" fontId="158" fillId="0" borderId="167" xfId="0" applyFont="1" applyBorder="1" applyAlignment="1">
      <alignment horizontal="center" vertical="center" wrapText="1"/>
    </xf>
    <xf numFmtId="180" fontId="158" fillId="0" borderId="174" xfId="0" applyNumberFormat="1" applyFont="1" applyBorder="1" applyAlignment="1">
      <alignment horizontal="center" vertical="center" wrapText="1"/>
    </xf>
    <xf numFmtId="0" fontId="158" fillId="0" borderId="174" xfId="0" applyFont="1" applyBorder="1" applyAlignment="1">
      <alignment horizontal="center" vertical="center" wrapText="1"/>
    </xf>
    <xf numFmtId="168" fontId="158" fillId="0" borderId="167" xfId="176" applyNumberFormat="1" applyFont="1" applyBorder="1" applyAlignment="1">
      <alignment horizontal="center" vertical="center" wrapText="1"/>
    </xf>
    <xf numFmtId="0" fontId="23" fillId="0" borderId="16" xfId="0" applyFont="1" applyBorder="1" applyAlignment="1">
      <alignment horizontal="center" vertical="center" wrapText="1"/>
    </xf>
    <xf numFmtId="0" fontId="80" fillId="0" borderId="16" xfId="0" applyFont="1" applyBorder="1" applyAlignment="1">
      <alignment horizontal="center" vertical="center" wrapText="1"/>
    </xf>
    <xf numFmtId="0" fontId="55" fillId="0" borderId="0" xfId="0" applyFont="1" applyAlignment="1">
      <alignment horizontal="center"/>
    </xf>
    <xf numFmtId="0" fontId="55" fillId="0" borderId="0" xfId="0" applyFont="1"/>
    <xf numFmtId="0" fontId="55" fillId="0" borderId="153" xfId="0" applyFont="1" applyBorder="1" applyAlignment="1">
      <alignment horizontal="center" vertical="center"/>
    </xf>
    <xf numFmtId="43" fontId="55" fillId="0" borderId="193" xfId="128" applyFont="1" applyBorder="1" applyAlignment="1">
      <alignment horizontal="right" vertical="center"/>
    </xf>
    <xf numFmtId="2" fontId="55" fillId="0" borderId="193" xfId="0" applyNumberFormat="1" applyFont="1" applyBorder="1" applyAlignment="1">
      <alignment horizontal="right" vertical="center"/>
    </xf>
    <xf numFmtId="43" fontId="55" fillId="0" borderId="194" xfId="128" applyFont="1" applyBorder="1" applyAlignment="1">
      <alignment horizontal="right" vertical="center"/>
    </xf>
    <xf numFmtId="0" fontId="55" fillId="0" borderId="146" xfId="0" applyFont="1" applyBorder="1" applyAlignment="1">
      <alignment horizontal="center" vertical="center"/>
    </xf>
    <xf numFmtId="43" fontId="55" fillId="0" borderId="148" xfId="128" applyFont="1" applyBorder="1" applyAlignment="1">
      <alignment horizontal="right" vertical="center"/>
    </xf>
    <xf numFmtId="10" fontId="55" fillId="0" borderId="148" xfId="180" applyNumberFormat="1" applyFont="1" applyBorder="1" applyAlignment="1">
      <alignment horizontal="right" vertical="center"/>
    </xf>
    <xf numFmtId="2" fontId="55" fillId="0" borderId="148" xfId="0" applyNumberFormat="1" applyFont="1" applyBorder="1" applyAlignment="1">
      <alignment horizontal="right" vertical="center"/>
    </xf>
    <xf numFmtId="168" fontId="55" fillId="0" borderId="195" xfId="180" applyNumberFormat="1" applyFont="1" applyBorder="1" applyAlignment="1">
      <alignment horizontal="right" vertical="center"/>
    </xf>
    <xf numFmtId="0" fontId="55" fillId="22" borderId="146" xfId="0" applyFont="1" applyFill="1" applyBorder="1" applyAlignment="1">
      <alignment horizontal="center" vertical="center"/>
    </xf>
    <xf numFmtId="168" fontId="55" fillId="22" borderId="195" xfId="176" applyNumberFormat="1" applyFont="1" applyFill="1" applyBorder="1" applyAlignment="1">
      <alignment horizontal="right" vertical="center"/>
    </xf>
    <xf numFmtId="168" fontId="55" fillId="0" borderId="195" xfId="176" applyNumberFormat="1" applyFont="1" applyBorder="1" applyAlignment="1">
      <alignment horizontal="right" vertical="center"/>
    </xf>
    <xf numFmtId="0" fontId="55" fillId="0" borderId="149" xfId="0" applyFont="1" applyBorder="1" applyAlignment="1">
      <alignment horizontal="center" vertical="center"/>
    </xf>
    <xf numFmtId="43" fontId="55" fillId="0" borderId="196" xfId="128" applyFont="1" applyBorder="1" applyAlignment="1">
      <alignment horizontal="right" vertical="center"/>
    </xf>
    <xf numFmtId="10" fontId="55" fillId="0" borderId="196" xfId="180" applyNumberFormat="1" applyFont="1" applyBorder="1" applyAlignment="1">
      <alignment horizontal="right" vertical="center"/>
    </xf>
    <xf numFmtId="2" fontId="55" fillId="0" borderId="196" xfId="0" applyNumberFormat="1" applyFont="1" applyBorder="1" applyAlignment="1">
      <alignment horizontal="right" vertical="center"/>
    </xf>
    <xf numFmtId="168" fontId="55" fillId="0" borderId="197" xfId="176" applyNumberFormat="1" applyFont="1" applyBorder="1" applyAlignment="1">
      <alignment horizontal="right" vertical="center"/>
    </xf>
    <xf numFmtId="0" fontId="253" fillId="0" borderId="16" xfId="0" applyFont="1" applyBorder="1" applyAlignment="1">
      <alignment horizontal="center" vertical="center" wrapText="1"/>
    </xf>
    <xf numFmtId="0" fontId="52" fillId="0" borderId="153" xfId="0" applyFont="1" applyBorder="1" applyAlignment="1">
      <alignment horizontal="center" vertical="center"/>
    </xf>
    <xf numFmtId="43" fontId="52" fillId="0" borderId="193" xfId="107" applyFont="1" applyBorder="1" applyAlignment="1">
      <alignment horizontal="right" vertical="center"/>
    </xf>
    <xf numFmtId="43" fontId="52" fillId="0" borderId="194" xfId="107" applyFont="1" applyBorder="1" applyAlignment="1">
      <alignment horizontal="right" vertical="center"/>
    </xf>
    <xf numFmtId="0" fontId="52" fillId="0" borderId="146" xfId="0" applyFont="1" applyBorder="1" applyAlignment="1">
      <alignment horizontal="center" vertical="center" wrapText="1"/>
    </xf>
    <xf numFmtId="43" fontId="52" fillId="0" borderId="148" xfId="107" applyFont="1" applyBorder="1" applyAlignment="1">
      <alignment horizontal="right" vertical="center"/>
    </xf>
    <xf numFmtId="43" fontId="52" fillId="0" borderId="195" xfId="107" applyFont="1" applyBorder="1" applyAlignment="1">
      <alignment horizontal="right" vertical="center"/>
    </xf>
    <xf numFmtId="0" fontId="52" fillId="0" borderId="149" xfId="0" applyFont="1" applyBorder="1" applyAlignment="1">
      <alignment horizontal="center" vertical="center"/>
    </xf>
    <xf numFmtId="168" fontId="49" fillId="0" borderId="196" xfId="176" applyNumberFormat="1" applyFont="1" applyBorder="1" applyAlignment="1">
      <alignment horizontal="center" vertical="center"/>
    </xf>
    <xf numFmtId="168" fontId="49" fillId="0" borderId="197" xfId="176" applyNumberFormat="1" applyFont="1" applyBorder="1" applyAlignment="1">
      <alignment horizontal="center" vertical="center"/>
    </xf>
    <xf numFmtId="0" fontId="40" fillId="0" borderId="16" xfId="0" applyFont="1" applyBorder="1" applyAlignment="1">
      <alignment horizontal="center" vertical="center" wrapText="1"/>
    </xf>
    <xf numFmtId="0" fontId="102" fillId="0" borderId="163" xfId="0" applyFont="1" applyBorder="1" applyAlignment="1">
      <alignment horizontal="center" vertical="center"/>
    </xf>
    <xf numFmtId="169" fontId="42" fillId="0" borderId="193" xfId="108" applyNumberFormat="1" applyFont="1" applyBorder="1"/>
    <xf numFmtId="169" fontId="42" fillId="0" borderId="148" xfId="108" applyNumberFormat="1" applyFont="1" applyBorder="1"/>
    <xf numFmtId="0" fontId="0" fillId="0" borderId="194" xfId="0" applyBorder="1" applyAlignment="1">
      <alignment horizontal="center"/>
    </xf>
    <xf numFmtId="0" fontId="0" fillId="0" borderId="195" xfId="0" applyBorder="1" applyAlignment="1">
      <alignment horizontal="center"/>
    </xf>
    <xf numFmtId="0" fontId="0" fillId="20" borderId="197" xfId="0" applyFill="1" applyBorder="1" applyAlignment="1">
      <alignment horizontal="center"/>
    </xf>
    <xf numFmtId="169" fontId="42" fillId="0" borderId="153" xfId="108" applyNumberFormat="1" applyFont="1" applyBorder="1"/>
    <xf numFmtId="169" fontId="42" fillId="0" borderId="146" xfId="108" applyNumberFormat="1" applyFont="1" applyBorder="1"/>
    <xf numFmtId="169" fontId="40" fillId="20" borderId="149" xfId="0" applyNumberFormat="1" applyFont="1" applyFill="1" applyBorder="1" applyAlignment="1">
      <alignment horizontal="center"/>
    </xf>
    <xf numFmtId="169" fontId="42" fillId="20" borderId="149" xfId="0" applyNumberFormat="1" applyFont="1" applyFill="1" applyBorder="1" applyAlignment="1">
      <alignment horizontal="center"/>
    </xf>
    <xf numFmtId="169" fontId="42" fillId="20" borderId="196" xfId="0" applyNumberFormat="1" applyFont="1" applyFill="1" applyBorder="1" applyAlignment="1">
      <alignment horizontal="center"/>
    </xf>
    <xf numFmtId="169" fontId="0" fillId="20" borderId="149" xfId="0" applyNumberFormat="1" applyFill="1" applyBorder="1" applyAlignment="1">
      <alignment horizontal="center"/>
    </xf>
    <xf numFmtId="169" fontId="0" fillId="20" borderId="196" xfId="0" applyNumberFormat="1" applyFill="1" applyBorder="1" applyAlignment="1">
      <alignment horizontal="center"/>
    </xf>
    <xf numFmtId="0" fontId="0" fillId="0" borderId="151" xfId="0" applyBorder="1" applyAlignment="1">
      <alignment horizontal="center" vertical="center"/>
    </xf>
    <xf numFmtId="0" fontId="40" fillId="20" borderId="151" xfId="0" applyFont="1" applyFill="1" applyBorder="1" applyAlignment="1">
      <alignment horizontal="center" vertical="center"/>
    </xf>
    <xf numFmtId="0" fontId="62" fillId="0" borderId="0" xfId="0" applyFont="1" applyAlignment="1">
      <alignment vertical="center" wrapText="1"/>
    </xf>
    <xf numFmtId="0" fontId="38" fillId="0" borderId="16" xfId="0" applyFont="1" applyBorder="1" applyAlignment="1">
      <alignment horizontal="center" vertical="center" wrapText="1"/>
    </xf>
    <xf numFmtId="0" fontId="55" fillId="0" borderId="153" xfId="142" applyFont="1" applyBorder="1" applyAlignment="1">
      <alignment horizontal="center"/>
    </xf>
    <xf numFmtId="0" fontId="55" fillId="0" borderId="194" xfId="142" applyFont="1" applyBorder="1" applyAlignment="1">
      <alignment horizontal="center"/>
    </xf>
    <xf numFmtId="0" fontId="55" fillId="0" borderId="28" xfId="142" applyFont="1" applyBorder="1" applyAlignment="1">
      <alignment horizontal="center"/>
    </xf>
    <xf numFmtId="0" fontId="55" fillId="0" borderId="146" xfId="142" applyFont="1" applyBorder="1" applyAlignment="1">
      <alignment horizontal="center"/>
    </xf>
    <xf numFmtId="0" fontId="55" fillId="0" borderId="195" xfId="142" applyFont="1" applyBorder="1" applyAlignment="1">
      <alignment horizontal="center"/>
    </xf>
    <xf numFmtId="168" fontId="38" fillId="0" borderId="0" xfId="3359" applyNumberFormat="1" applyFont="1" applyAlignment="1">
      <alignment horizontal="center"/>
    </xf>
    <xf numFmtId="0" fontId="38" fillId="0" borderId="0" xfId="142" applyAlignment="1">
      <alignment horizontal="center" vertical="center"/>
    </xf>
    <xf numFmtId="0" fontId="43" fillId="0" borderId="16" xfId="0" applyFont="1" applyBorder="1" applyAlignment="1">
      <alignment horizontal="center" vertical="center"/>
    </xf>
    <xf numFmtId="0" fontId="43" fillId="0" borderId="16" xfId="0" applyFont="1" applyBorder="1" applyAlignment="1">
      <alignment horizontal="center" vertical="center" wrapText="1"/>
    </xf>
    <xf numFmtId="0" fontId="42" fillId="0" borderId="193" xfId="0" applyFont="1" applyBorder="1" applyAlignment="1">
      <alignment horizontal="left" vertical="center" indent="1"/>
    </xf>
    <xf numFmtId="0" fontId="42" fillId="0" borderId="148" xfId="0" applyFont="1" applyBorder="1" applyAlignment="1">
      <alignment horizontal="left" vertical="center" indent="1"/>
    </xf>
    <xf numFmtId="0" fontId="42" fillId="22" borderId="196" xfId="0" applyFont="1" applyFill="1" applyBorder="1" applyAlignment="1">
      <alignment horizontal="left" vertical="center" indent="1"/>
    </xf>
    <xf numFmtId="0" fontId="42" fillId="22" borderId="196" xfId="0" applyFont="1" applyFill="1" applyBorder="1" applyAlignment="1">
      <alignment horizontal="center" vertical="center"/>
    </xf>
    <xf numFmtId="190" fontId="231" fillId="22" borderId="197" xfId="0" applyNumberFormat="1" applyFont="1" applyFill="1" applyBorder="1" applyAlignment="1">
      <alignment horizontal="center" vertical="center"/>
    </xf>
    <xf numFmtId="0" fontId="42" fillId="0" borderId="196" xfId="0" applyFont="1" applyBorder="1" applyAlignment="1">
      <alignment horizontal="left" vertical="center" indent="1"/>
    </xf>
    <xf numFmtId="190" fontId="231" fillId="0" borderId="197" xfId="0" applyNumberFormat="1" applyFont="1" applyBorder="1" applyAlignment="1">
      <alignment horizontal="center" vertical="center"/>
    </xf>
    <xf numFmtId="0" fontId="87" fillId="0" borderId="0" xfId="0" applyFont="1" applyAlignment="1">
      <alignment vertical="center" wrapText="1"/>
    </xf>
    <xf numFmtId="0" fontId="42" fillId="0" borderId="193" xfId="0" applyFont="1" applyBorder="1" applyAlignment="1">
      <alignment horizontal="center"/>
    </xf>
    <xf numFmtId="190" fontId="42" fillId="0" borderId="193" xfId="0" applyNumberFormat="1" applyFont="1" applyBorder="1" applyAlignment="1">
      <alignment horizontal="center"/>
    </xf>
    <xf numFmtId="190" fontId="238" fillId="0" borderId="194" xfId="0" applyNumberFormat="1" applyFont="1" applyBorder="1" applyAlignment="1">
      <alignment horizontal="center" vertical="center"/>
    </xf>
    <xf numFmtId="0" fontId="42" fillId="0" borderId="148" xfId="0" applyFont="1" applyBorder="1" applyAlignment="1">
      <alignment horizontal="center"/>
    </xf>
    <xf numFmtId="190" fontId="42" fillId="0" borderId="148" xfId="0" applyNumberFormat="1" applyFont="1" applyBorder="1" applyAlignment="1">
      <alignment horizontal="center"/>
    </xf>
    <xf numFmtId="190" fontId="238" fillId="0" borderId="195" xfId="0" applyNumberFormat="1" applyFont="1" applyBorder="1" applyAlignment="1">
      <alignment horizontal="center" vertical="center"/>
    </xf>
    <xf numFmtId="0" fontId="42" fillId="0" borderId="196" xfId="0" applyFont="1" applyBorder="1" applyAlignment="1">
      <alignment horizontal="center"/>
    </xf>
    <xf numFmtId="190" fontId="42" fillId="0" borderId="196" xfId="0" applyNumberFormat="1" applyFont="1" applyBorder="1" applyAlignment="1">
      <alignment horizontal="center"/>
    </xf>
    <xf numFmtId="0" fontId="42" fillId="0" borderId="201" xfId="0" applyFont="1" applyBorder="1" applyAlignment="1">
      <alignment horizontal="center"/>
    </xf>
    <xf numFmtId="190" fontId="42" fillId="0" borderId="201" xfId="0" applyNumberFormat="1" applyFont="1" applyBorder="1" applyAlignment="1">
      <alignment horizontal="center"/>
    </xf>
    <xf numFmtId="190" fontId="258" fillId="0" borderId="202" xfId="0" applyNumberFormat="1" applyFont="1" applyBorder="1" applyAlignment="1">
      <alignment horizontal="center" vertical="center"/>
    </xf>
    <xf numFmtId="190" fontId="259" fillId="0" borderId="195" xfId="0" applyNumberFormat="1" applyFont="1" applyBorder="1" applyAlignment="1">
      <alignment horizontal="center" vertical="center"/>
    </xf>
    <xf numFmtId="190" fontId="239" fillId="0" borderId="197" xfId="0" applyNumberFormat="1" applyFont="1" applyBorder="1" applyAlignment="1">
      <alignment horizontal="center" vertical="center"/>
    </xf>
    <xf numFmtId="0" fontId="265" fillId="0" borderId="0" xfId="142" applyFont="1" applyAlignment="1">
      <alignment horizontal="center"/>
    </xf>
    <xf numFmtId="0" fontId="240" fillId="0" borderId="0" xfId="142" applyFont="1" applyAlignment="1">
      <alignment horizontal="right" indent="1"/>
    </xf>
    <xf numFmtId="168" fontId="265" fillId="0" borderId="0" xfId="180" applyNumberFormat="1" applyFont="1" applyAlignment="1">
      <alignment horizontal="right" vertical="center" indent="1"/>
    </xf>
    <xf numFmtId="0" fontId="42" fillId="33" borderId="148" xfId="3786" applyFont="1" applyFill="1" applyBorder="1" applyAlignment="1">
      <alignment horizontal="left" vertical="center" indent="1"/>
    </xf>
    <xf numFmtId="0" fontId="42" fillId="33" borderId="148" xfId="3786" applyFont="1" applyFill="1" applyBorder="1" applyAlignment="1">
      <alignment horizontal="center" vertical="center"/>
    </xf>
    <xf numFmtId="0" fontId="42" fillId="33" borderId="195" xfId="3786" applyFont="1" applyFill="1" applyBorder="1" applyAlignment="1">
      <alignment horizontal="center" vertical="center"/>
    </xf>
    <xf numFmtId="0" fontId="42" fillId="33" borderId="195" xfId="3786" applyFont="1" applyFill="1" applyBorder="1" applyAlignment="1">
      <alignment horizontal="center" vertical="center" wrapText="1"/>
    </xf>
    <xf numFmtId="0" fontId="42" fillId="33" borderId="196" xfId="3786" applyFont="1" applyFill="1" applyBorder="1" applyAlignment="1">
      <alignment horizontal="left" vertical="center" indent="1"/>
    </xf>
    <xf numFmtId="0" fontId="42" fillId="33" borderId="196" xfId="3786" applyFont="1" applyFill="1" applyBorder="1" applyAlignment="1">
      <alignment horizontal="center" vertical="center"/>
    </xf>
    <xf numFmtId="0" fontId="231" fillId="33" borderId="197" xfId="3786" applyFont="1" applyFill="1" applyBorder="1" applyAlignment="1">
      <alignment horizontal="center" vertical="center" wrapText="1"/>
    </xf>
    <xf numFmtId="0" fontId="267" fillId="33" borderId="195" xfId="3786" applyFont="1" applyFill="1" applyBorder="1" applyAlignment="1">
      <alignment horizontal="center" vertical="center"/>
    </xf>
    <xf numFmtId="0" fontId="231" fillId="33" borderId="195" xfId="3786" applyFont="1" applyFill="1" applyBorder="1" applyAlignment="1">
      <alignment horizontal="center" vertical="center" wrapText="1"/>
    </xf>
    <xf numFmtId="0" fontId="231" fillId="33" borderId="195" xfId="3786" applyFont="1" applyFill="1" applyBorder="1" applyAlignment="1">
      <alignment horizontal="center" vertical="center"/>
    </xf>
    <xf numFmtId="0" fontId="42" fillId="0" borderId="196" xfId="3786" applyFont="1" applyBorder="1" applyAlignment="1">
      <alignment horizontal="left" vertical="center" indent="1"/>
    </xf>
    <xf numFmtId="0" fontId="42" fillId="0" borderId="196" xfId="3786" applyFont="1" applyBorder="1" applyAlignment="1">
      <alignment horizontal="center" vertical="center"/>
    </xf>
    <xf numFmtId="0" fontId="42" fillId="0" borderId="197" xfId="3786" applyFont="1" applyBorder="1" applyAlignment="1">
      <alignment horizontal="center" vertical="center" wrapText="1"/>
    </xf>
    <xf numFmtId="0" fontId="42" fillId="33" borderId="148" xfId="149" applyFont="1" applyFill="1" applyBorder="1" applyAlignment="1">
      <alignment horizontal="left" wrapText="1" indent="1"/>
    </xf>
    <xf numFmtId="0" fontId="268" fillId="0" borderId="0" xfId="3786" applyFont="1" applyAlignment="1">
      <alignment vertical="center"/>
    </xf>
    <xf numFmtId="0" fontId="231" fillId="33" borderId="197" xfId="3786" applyFont="1" applyFill="1" applyBorder="1" applyAlignment="1">
      <alignment horizontal="center" vertical="center"/>
    </xf>
    <xf numFmtId="0" fontId="55" fillId="33" borderId="148" xfId="3786" applyFont="1" applyFill="1" applyBorder="1" applyAlignment="1">
      <alignment horizontal="left" vertical="center" indent="1"/>
    </xf>
    <xf numFmtId="0" fontId="239" fillId="33" borderId="195" xfId="3786" applyFont="1" applyFill="1" applyBorder="1" applyAlignment="1">
      <alignment horizontal="center" vertical="center" wrapText="1"/>
    </xf>
    <xf numFmtId="0" fontId="233" fillId="33" borderId="195" xfId="3786" applyFont="1" applyFill="1" applyBorder="1" applyAlignment="1">
      <alignment horizontal="center" vertical="center"/>
    </xf>
    <xf numFmtId="0" fontId="61" fillId="33" borderId="195" xfId="3786" applyFont="1" applyFill="1" applyBorder="1" applyAlignment="1">
      <alignment horizontal="center" vertical="center"/>
    </xf>
    <xf numFmtId="0" fontId="239" fillId="33" borderId="195" xfId="3786" applyFont="1" applyFill="1" applyBorder="1" applyAlignment="1">
      <alignment horizontal="center" vertical="center"/>
    </xf>
    <xf numFmtId="15" fontId="43" fillId="0" borderId="212" xfId="3786" applyNumberFormat="1" applyFont="1" applyBorder="1" applyAlignment="1">
      <alignment horizontal="center" vertical="center"/>
    </xf>
    <xf numFmtId="0" fontId="43" fillId="0" borderId="212" xfId="3786" applyFont="1" applyBorder="1" applyAlignment="1">
      <alignment horizontal="center" vertical="center"/>
    </xf>
    <xf numFmtId="0" fontId="43" fillId="0" borderId="212" xfId="3786" applyFont="1" applyBorder="1" applyAlignment="1">
      <alignment horizontal="center" vertical="center" wrapText="1"/>
    </xf>
    <xf numFmtId="0" fontId="42" fillId="0" borderId="213" xfId="3786" applyFont="1" applyBorder="1" applyAlignment="1">
      <alignment horizontal="center" vertical="center" wrapText="1"/>
    </xf>
    <xf numFmtId="0" fontId="115" fillId="33" borderId="148" xfId="3786" applyFont="1" applyFill="1" applyBorder="1" applyAlignment="1">
      <alignment horizontal="center" vertical="center"/>
    </xf>
    <xf numFmtId="0" fontId="234" fillId="33" borderId="195" xfId="3786" applyFont="1" applyFill="1" applyBorder="1" applyAlignment="1">
      <alignment horizontal="center" vertical="center" wrapText="1"/>
    </xf>
    <xf numFmtId="0" fontId="95" fillId="33" borderId="195" xfId="3786" applyFont="1" applyFill="1" applyBorder="1" applyAlignment="1">
      <alignment horizontal="center" vertical="center" wrapText="1"/>
    </xf>
    <xf numFmtId="0" fontId="42" fillId="33" borderId="148" xfId="3786" applyFont="1" applyFill="1" applyBorder="1" applyAlignment="1">
      <alignment horizontal="left" vertical="center" wrapText="1" indent="1"/>
    </xf>
    <xf numFmtId="0" fontId="38" fillId="33" borderId="148" xfId="3786" applyFont="1" applyFill="1" applyBorder="1" applyAlignment="1">
      <alignment horizontal="left" vertical="center" indent="1"/>
    </xf>
    <xf numFmtId="0" fontId="42" fillId="33" borderId="201" xfId="3786" applyFont="1" applyFill="1" applyBorder="1" applyAlignment="1">
      <alignment horizontal="left" vertical="center" indent="1"/>
    </xf>
    <xf numFmtId="0" fontId="42" fillId="33" borderId="201" xfId="3786" applyFont="1" applyFill="1" applyBorder="1" applyAlignment="1">
      <alignment horizontal="center" vertical="center"/>
    </xf>
    <xf numFmtId="0" fontId="42" fillId="33" borderId="202" xfId="3786" applyFont="1" applyFill="1" applyBorder="1" applyAlignment="1">
      <alignment horizontal="center" vertical="center"/>
    </xf>
    <xf numFmtId="15" fontId="43" fillId="22" borderId="215" xfId="3786" applyNumberFormat="1" applyFont="1" applyFill="1" applyBorder="1" applyAlignment="1">
      <alignment horizontal="center" vertical="center"/>
    </xf>
    <xf numFmtId="0" fontId="43" fillId="22" borderId="215" xfId="3786" applyFont="1" applyFill="1" applyBorder="1" applyAlignment="1">
      <alignment horizontal="center" vertical="center"/>
    </xf>
    <xf numFmtId="0" fontId="43" fillId="22" borderId="215" xfId="3786" applyFont="1" applyFill="1" applyBorder="1" applyAlignment="1">
      <alignment horizontal="center" vertical="center" wrapText="1"/>
    </xf>
    <xf numFmtId="0" fontId="42" fillId="33" borderId="197" xfId="3786" applyFont="1" applyFill="1" applyBorder="1" applyAlignment="1">
      <alignment horizontal="center" vertical="center" wrapText="1"/>
    </xf>
    <xf numFmtId="0" fontId="43" fillId="31" borderId="163" xfId="0" applyFont="1" applyFill="1" applyBorder="1" applyAlignment="1">
      <alignment horizontal="right" vertical="center"/>
    </xf>
    <xf numFmtId="0" fontId="43" fillId="31" borderId="0" xfId="0" applyFont="1" applyFill="1" applyAlignment="1">
      <alignment horizontal="right" vertical="center"/>
    </xf>
    <xf numFmtId="0" fontId="42" fillId="0" borderId="0" xfId="0" applyFont="1" applyAlignment="1">
      <alignment horizontal="center"/>
    </xf>
    <xf numFmtId="0" fontId="32" fillId="0" borderId="0" xfId="0" applyFont="1" applyAlignment="1">
      <alignment horizontal="left" vertical="center" wrapText="1"/>
    </xf>
    <xf numFmtId="0" fontId="32" fillId="0" borderId="0" xfId="0" applyFont="1"/>
    <xf numFmtId="0" fontId="161" fillId="34" borderId="190" xfId="0" applyFont="1" applyFill="1" applyBorder="1" applyAlignment="1">
      <alignment horizontal="center" vertical="center" wrapText="1"/>
    </xf>
    <xf numFmtId="0" fontId="161" fillId="34" borderId="191" xfId="0" applyFont="1" applyFill="1" applyBorder="1" applyAlignment="1">
      <alignment horizontal="center" vertical="center" wrapText="1"/>
    </xf>
    <xf numFmtId="0" fontId="161" fillId="34" borderId="10" xfId="0" applyFont="1" applyFill="1" applyBorder="1" applyAlignment="1">
      <alignment horizontal="center" vertical="center" wrapText="1"/>
    </xf>
    <xf numFmtId="0" fontId="161" fillId="34" borderId="0" xfId="0" applyFont="1" applyFill="1" applyAlignment="1">
      <alignment horizontal="center" vertical="center" wrapText="1"/>
    </xf>
    <xf numFmtId="0" fontId="32" fillId="34" borderId="190" xfId="0" applyFont="1" applyFill="1" applyBorder="1" applyAlignment="1">
      <alignment horizontal="center" vertical="center" wrapText="1"/>
    </xf>
    <xf numFmtId="0" fontId="32" fillId="34" borderId="10" xfId="0" applyFont="1" applyFill="1" applyBorder="1" applyAlignment="1">
      <alignment horizontal="center" vertical="center" wrapText="1"/>
    </xf>
    <xf numFmtId="0" fontId="32" fillId="34" borderId="0" xfId="0" applyFont="1" applyFill="1" applyAlignment="1">
      <alignment horizontal="center" vertical="center" wrapText="1"/>
    </xf>
    <xf numFmtId="0" fontId="161" fillId="0" borderId="0" xfId="0" applyFont="1"/>
    <xf numFmtId="168" fontId="161" fillId="43" borderId="190" xfId="0" applyNumberFormat="1" applyFont="1" applyFill="1" applyBorder="1" applyAlignment="1">
      <alignment horizontal="center"/>
    </xf>
    <xf numFmtId="0" fontId="161" fillId="43" borderId="190" xfId="0" applyFont="1" applyFill="1" applyBorder="1" applyAlignment="1">
      <alignment horizontal="center" vertical="center"/>
    </xf>
    <xf numFmtId="0" fontId="32" fillId="0" borderId="0" xfId="0" applyFont="1" applyAlignment="1">
      <alignment horizontal="center" vertical="center" wrapText="1"/>
    </xf>
    <xf numFmtId="0" fontId="161" fillId="0" borderId="190" xfId="0" applyFont="1" applyBorder="1"/>
    <xf numFmtId="0" fontId="45" fillId="43" borderId="190" xfId="0" applyFont="1" applyFill="1" applyBorder="1" applyAlignment="1">
      <alignment horizontal="center" vertical="center"/>
    </xf>
    <xf numFmtId="168" fontId="245" fillId="43" borderId="190" xfId="0" applyNumberFormat="1" applyFont="1" applyFill="1" applyBorder="1" applyAlignment="1">
      <alignment horizontal="center" vertical="center" wrapText="1"/>
    </xf>
    <xf numFmtId="0" fontId="43" fillId="43" borderId="190" xfId="246" applyFont="1" applyFill="1" applyBorder="1" applyAlignment="1">
      <alignment horizontal="center" vertical="center"/>
    </xf>
    <xf numFmtId="0" fontId="43" fillId="31" borderId="0" xfId="0" applyFont="1" applyFill="1" applyAlignment="1">
      <alignment vertical="center"/>
    </xf>
    <xf numFmtId="0" fontId="43" fillId="43" borderId="127" xfId="246" applyFont="1" applyFill="1" applyBorder="1" applyAlignment="1">
      <alignment horizontal="center" vertical="center" wrapText="1"/>
    </xf>
    <xf numFmtId="9" fontId="210" fillId="41" borderId="127" xfId="0" applyNumberFormat="1" applyFont="1" applyFill="1" applyBorder="1" applyAlignment="1">
      <alignment horizontal="center" vertical="center" wrapText="1"/>
    </xf>
    <xf numFmtId="9" fontId="210" fillId="41" borderId="127" xfId="176" applyFont="1" applyFill="1" applyBorder="1" applyAlignment="1">
      <alignment horizontal="center" vertical="center" wrapText="1"/>
    </xf>
    <xf numFmtId="9" fontId="210" fillId="41" borderId="128" xfId="0" applyNumberFormat="1" applyFont="1" applyFill="1" applyBorder="1" applyAlignment="1">
      <alignment horizontal="center" vertical="center" wrapText="1"/>
    </xf>
    <xf numFmtId="0" fontId="210" fillId="41" borderId="128" xfId="0" applyFont="1" applyFill="1" applyBorder="1" applyAlignment="1">
      <alignment horizontal="center" vertical="center" wrapText="1"/>
    </xf>
    <xf numFmtId="9" fontId="210" fillId="0" borderId="127" xfId="0" applyNumberFormat="1" applyFont="1" applyBorder="1" applyAlignment="1">
      <alignment horizontal="center" vertical="center" wrapText="1"/>
    </xf>
    <xf numFmtId="168" fontId="210" fillId="0" borderId="83" xfId="0" applyNumberFormat="1" applyFont="1" applyBorder="1" applyAlignment="1">
      <alignment horizontal="center" vertical="center" wrapText="1"/>
    </xf>
    <xf numFmtId="0" fontId="210" fillId="0" borderId="127" xfId="0" applyFont="1" applyBorder="1" applyAlignment="1">
      <alignment horizontal="center" vertical="center" wrapText="1"/>
    </xf>
    <xf numFmtId="0" fontId="210" fillId="0" borderId="83" xfId="0" applyFont="1" applyBorder="1" applyAlignment="1">
      <alignment horizontal="center" vertical="center" wrapText="1"/>
    </xf>
    <xf numFmtId="9" fontId="210" fillId="0" borderId="83" xfId="0" applyNumberFormat="1" applyFont="1" applyBorder="1" applyAlignment="1">
      <alignment horizontal="center" vertical="center" wrapText="1"/>
    </xf>
    <xf numFmtId="168" fontId="210" fillId="0" borderId="127" xfId="0" applyNumberFormat="1" applyFont="1" applyBorder="1" applyAlignment="1">
      <alignment horizontal="center" vertical="center" wrapText="1"/>
    </xf>
    <xf numFmtId="9" fontId="210" fillId="0" borderId="84" xfId="0" applyNumberFormat="1" applyFont="1" applyBorder="1" applyAlignment="1">
      <alignment horizontal="center" vertical="center" wrapText="1"/>
    </xf>
    <xf numFmtId="3" fontId="210" fillId="0" borderId="128" xfId="0" applyNumberFormat="1" applyFont="1" applyBorder="1" applyAlignment="1">
      <alignment horizontal="center" vertical="center" wrapText="1"/>
    </xf>
    <xf numFmtId="3" fontId="210" fillId="0" borderId="84" xfId="0" applyNumberFormat="1" applyFont="1" applyBorder="1" applyAlignment="1">
      <alignment horizontal="center" vertical="center" wrapText="1"/>
    </xf>
    <xf numFmtId="9" fontId="210" fillId="0" borderId="130" xfId="0" applyNumberFormat="1" applyFont="1" applyBorder="1" applyAlignment="1">
      <alignment horizontal="center" vertical="center" wrapText="1"/>
    </xf>
    <xf numFmtId="9" fontId="210" fillId="0" borderId="78" xfId="0" applyNumberFormat="1" applyFont="1" applyBorder="1" applyAlignment="1">
      <alignment horizontal="center" vertical="center" wrapText="1"/>
    </xf>
    <xf numFmtId="171" fontId="210" fillId="0" borderId="83" xfId="0" applyNumberFormat="1" applyFont="1" applyBorder="1" applyAlignment="1">
      <alignment horizontal="center" vertical="center"/>
    </xf>
    <xf numFmtId="9" fontId="210" fillId="0" borderId="83" xfId="176" applyFont="1" applyBorder="1" applyAlignment="1">
      <alignment horizontal="center" vertical="center"/>
    </xf>
    <xf numFmtId="9" fontId="210" fillId="0" borderId="93" xfId="176" applyFont="1" applyBorder="1" applyAlignment="1">
      <alignment horizontal="center" vertical="center" wrapText="1"/>
    </xf>
    <xf numFmtId="9" fontId="210" fillId="0" borderId="131" xfId="0" applyNumberFormat="1" applyFont="1" applyBorder="1" applyAlignment="1">
      <alignment horizontal="center" vertical="center" wrapText="1"/>
    </xf>
    <xf numFmtId="9" fontId="210" fillId="22" borderId="91" xfId="0" applyNumberFormat="1" applyFont="1" applyFill="1" applyBorder="1" applyAlignment="1">
      <alignment horizontal="center" vertical="center" wrapText="1"/>
    </xf>
    <xf numFmtId="0" fontId="210" fillId="22" borderId="83" xfId="0" applyFont="1" applyFill="1" applyBorder="1" applyAlignment="1">
      <alignment horizontal="center" vertical="center" wrapText="1"/>
    </xf>
    <xf numFmtId="168" fontId="210" fillId="0" borderId="93" xfId="176" applyNumberFormat="1" applyFont="1" applyBorder="1" applyAlignment="1">
      <alignment horizontal="center" vertical="center" wrapText="1"/>
    </xf>
    <xf numFmtId="9" fontId="210" fillId="0" borderId="13" xfId="0" applyNumberFormat="1" applyFont="1" applyBorder="1" applyAlignment="1">
      <alignment horizontal="center" vertical="center" wrapText="1"/>
    </xf>
    <xf numFmtId="3" fontId="210" fillId="0" borderId="100" xfId="0" applyNumberFormat="1" applyFont="1" applyBorder="1" applyAlignment="1">
      <alignment horizontal="center" vertical="center" wrapText="1"/>
    </xf>
    <xf numFmtId="0" fontId="210" fillId="0" borderId="13" xfId="0" applyFont="1" applyBorder="1" applyAlignment="1">
      <alignment horizontal="center" vertical="center" wrapText="1"/>
    </xf>
    <xf numFmtId="3" fontId="210" fillId="0" borderId="83" xfId="0" applyNumberFormat="1" applyFont="1" applyBorder="1" applyAlignment="1">
      <alignment horizontal="center" vertical="center" wrapText="1"/>
    </xf>
    <xf numFmtId="0" fontId="210" fillId="0" borderId="91" xfId="0" applyFont="1" applyBorder="1" applyAlignment="1">
      <alignment horizontal="center" vertical="center" wrapText="1"/>
    </xf>
    <xf numFmtId="0" fontId="0" fillId="0" borderId="216" xfId="0" applyBorder="1" applyAlignment="1">
      <alignment horizontal="center" vertical="center" wrapText="1"/>
    </xf>
    <xf numFmtId="0" fontId="0" fillId="0" borderId="216" xfId="0" applyBorder="1" applyAlignment="1">
      <alignment vertical="center" wrapText="1"/>
    </xf>
    <xf numFmtId="0" fontId="0" fillId="0" borderId="22" xfId="0" applyBorder="1" applyAlignment="1">
      <alignment horizontal="center" vertical="center" wrapText="1"/>
    </xf>
    <xf numFmtId="0" fontId="0" fillId="0" borderId="22" xfId="0" applyBorder="1" applyAlignment="1">
      <alignment vertical="center" wrapText="1"/>
    </xf>
    <xf numFmtId="0" fontId="40" fillId="43" borderId="22" xfId="0" applyFont="1" applyFill="1" applyBorder="1" applyAlignment="1">
      <alignment horizontal="center" vertical="center" wrapText="1"/>
    </xf>
    <xf numFmtId="0" fontId="40" fillId="43" borderId="22" xfId="0" applyFont="1" applyFill="1" applyBorder="1" applyAlignment="1">
      <alignment vertical="center" wrapText="1"/>
    </xf>
    <xf numFmtId="0" fontId="0" fillId="0" borderId="22" xfId="0" applyBorder="1" applyAlignment="1">
      <alignment horizontal="center"/>
    </xf>
    <xf numFmtId="0" fontId="0" fillId="0" borderId="22" xfId="0" applyBorder="1" applyAlignment="1">
      <alignment horizontal="left" vertical="center" wrapText="1"/>
    </xf>
    <xf numFmtId="0" fontId="0" fillId="0" borderId="23" xfId="0" applyBorder="1" applyAlignment="1">
      <alignment horizontal="center" vertical="center" wrapText="1"/>
    </xf>
    <xf numFmtId="0" fontId="0" fillId="0" borderId="23" xfId="0" applyBorder="1" applyAlignment="1">
      <alignment vertical="center" wrapText="1"/>
    </xf>
    <xf numFmtId="0" fontId="43" fillId="0" borderId="16" xfId="0" applyFont="1" applyBorder="1" applyAlignment="1">
      <alignment horizontal="left" vertical="center" wrapText="1"/>
    </xf>
    <xf numFmtId="0" fontId="229" fillId="0" borderId="22" xfId="0" applyFont="1" applyBorder="1" applyAlignment="1">
      <alignment horizontal="center" vertical="center" wrapText="1"/>
    </xf>
    <xf numFmtId="0" fontId="0" fillId="0" borderId="216"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43" borderId="22" xfId="0" applyFill="1" applyBorder="1" applyAlignment="1">
      <alignment horizontal="center" vertical="center"/>
    </xf>
    <xf numFmtId="0" fontId="0" fillId="0" borderId="216"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43" borderId="22" xfId="0" applyFill="1" applyBorder="1" applyAlignment="1">
      <alignment vertical="center"/>
    </xf>
    <xf numFmtId="0" fontId="271" fillId="0" borderId="0" xfId="0" applyFont="1" applyAlignment="1">
      <alignment vertical="center"/>
    </xf>
    <xf numFmtId="0" fontId="0" fillId="0" borderId="16" xfId="0" applyBorder="1" applyAlignment="1">
      <alignment horizontal="center" vertical="center" wrapText="1"/>
    </xf>
    <xf numFmtId="1" fontId="0" fillId="0" borderId="216" xfId="0" applyNumberFormat="1" applyBorder="1" applyAlignment="1">
      <alignment horizontal="center" vertical="center" wrapText="1"/>
    </xf>
    <xf numFmtId="1" fontId="0" fillId="0" borderId="22" xfId="0" applyNumberFormat="1" applyBorder="1" applyAlignment="1">
      <alignment horizontal="center" vertical="center" wrapText="1"/>
    </xf>
    <xf numFmtId="1" fontId="0" fillId="0" borderId="23" xfId="0" applyNumberFormat="1" applyBorder="1" applyAlignment="1">
      <alignment horizontal="center" vertical="center" wrapText="1"/>
    </xf>
    <xf numFmtId="1" fontId="40" fillId="43" borderId="22" xfId="0" applyNumberFormat="1" applyFont="1" applyFill="1" applyBorder="1" applyAlignment="1">
      <alignment horizontal="center" vertical="center" wrapText="1"/>
    </xf>
    <xf numFmtId="168" fontId="158" fillId="0" borderId="128" xfId="0" applyNumberFormat="1" applyFont="1" applyBorder="1" applyAlignment="1">
      <alignment horizontal="center" vertical="center" wrapText="1"/>
    </xf>
    <xf numFmtId="168" fontId="158" fillId="0" borderId="140" xfId="0" applyNumberFormat="1" applyFont="1" applyBorder="1" applyAlignment="1">
      <alignment horizontal="center" vertical="center" wrapText="1"/>
    </xf>
    <xf numFmtId="168" fontId="158" fillId="0" borderId="166" xfId="0" applyNumberFormat="1" applyFont="1" applyBorder="1" applyAlignment="1">
      <alignment horizontal="center" vertical="center" wrapText="1"/>
    </xf>
    <xf numFmtId="0" fontId="173" fillId="54" borderId="107" xfId="0" applyFont="1" applyFill="1" applyBorder="1" applyAlignment="1">
      <alignment horizontal="center" vertical="center" wrapText="1"/>
    </xf>
    <xf numFmtId="0" fontId="51" fillId="33" borderId="175" xfId="0" applyFont="1" applyFill="1" applyBorder="1" applyAlignment="1">
      <alignment horizontal="center" vertical="center" wrapText="1"/>
    </xf>
    <xf numFmtId="9" fontId="132" fillId="0" borderId="168" xfId="0" applyNumberFormat="1" applyFont="1" applyBorder="1" applyAlignment="1">
      <alignment horizontal="center" vertical="center" wrapText="1"/>
    </xf>
    <xf numFmtId="9" fontId="158" fillId="0" borderId="168" xfId="0" applyNumberFormat="1" applyFont="1" applyBorder="1" applyAlignment="1">
      <alignment horizontal="center" vertical="center" wrapText="1"/>
    </xf>
    <xf numFmtId="9" fontId="132" fillId="42" borderId="175" xfId="0" applyNumberFormat="1" applyFont="1" applyFill="1" applyBorder="1" applyAlignment="1">
      <alignment horizontal="center" vertical="center" wrapText="1"/>
    </xf>
    <xf numFmtId="9" fontId="210" fillId="0" borderId="175" xfId="0" applyNumberFormat="1" applyFont="1" applyBorder="1" applyAlignment="1">
      <alignment horizontal="center" vertical="center" wrapText="1"/>
    </xf>
    <xf numFmtId="168" fontId="210" fillId="0" borderId="175" xfId="0" applyNumberFormat="1" applyFont="1" applyBorder="1" applyAlignment="1">
      <alignment horizontal="center" vertical="center" wrapText="1"/>
    </xf>
    <xf numFmtId="168" fontId="158" fillId="0" borderId="175" xfId="0" applyNumberFormat="1" applyFont="1" applyBorder="1" applyAlignment="1">
      <alignment horizontal="center" vertical="center" wrapText="1"/>
    </xf>
    <xf numFmtId="0" fontId="272" fillId="0" borderId="219" xfId="0" applyFont="1" applyBorder="1" applyAlignment="1">
      <alignment horizontal="center" vertical="center" wrapText="1"/>
    </xf>
    <xf numFmtId="0" fontId="62" fillId="0" borderId="206" xfId="0" applyFont="1" applyBorder="1" applyAlignment="1">
      <alignment horizontal="center" vertical="center" wrapText="1"/>
    </xf>
    <xf numFmtId="0" fontId="56" fillId="0" borderId="16" xfId="0" applyFont="1" applyBorder="1" applyAlignment="1">
      <alignment horizontal="center" vertical="center" wrapText="1"/>
    </xf>
    <xf numFmtId="0" fontId="272" fillId="0" borderId="220" xfId="0" applyFont="1" applyBorder="1" applyAlignment="1">
      <alignment horizontal="center" vertical="center" wrapText="1"/>
    </xf>
    <xf numFmtId="0" fontId="40" fillId="0" borderId="163" xfId="0" applyFont="1" applyBorder="1" applyAlignment="1">
      <alignment horizontal="center" vertical="center"/>
    </xf>
    <xf numFmtId="0" fontId="67" fillId="0" borderId="0" xfId="167" applyFont="1" applyAlignment="1">
      <alignment horizontal="right" vertical="center"/>
    </xf>
    <xf numFmtId="0" fontId="40" fillId="0" borderId="16" xfId="0" applyFont="1" applyBorder="1" applyAlignment="1">
      <alignment horizontal="center" vertical="center"/>
    </xf>
    <xf numFmtId="3" fontId="0" fillId="0" borderId="22" xfId="0" applyNumberFormat="1" applyBorder="1" applyAlignment="1">
      <alignment horizontal="center" vertical="center"/>
    </xf>
    <xf numFmtId="0" fontId="40" fillId="20" borderId="163" xfId="0" applyFont="1" applyFill="1" applyBorder="1" applyAlignment="1">
      <alignment horizontal="center" vertical="center"/>
    </xf>
    <xf numFmtId="0" fontId="0" fillId="0" borderId="28" xfId="0" applyBorder="1" applyAlignment="1">
      <alignment horizontal="center" vertical="center"/>
    </xf>
    <xf numFmtId="3" fontId="0" fillId="0" borderId="28" xfId="0" applyNumberFormat="1" applyBorder="1" applyAlignment="1">
      <alignment horizontal="center" vertical="center"/>
    </xf>
    <xf numFmtId="3" fontId="0" fillId="0" borderId="221" xfId="0" applyNumberFormat="1" applyBorder="1" applyAlignment="1">
      <alignment horizontal="center" vertical="center"/>
    </xf>
    <xf numFmtId="3" fontId="0" fillId="0" borderId="148" xfId="0" applyNumberFormat="1" applyBorder="1" applyAlignment="1">
      <alignment horizontal="center" vertical="center"/>
    </xf>
    <xf numFmtId="3" fontId="0" fillId="0" borderId="193" xfId="0" applyNumberFormat="1" applyBorder="1" applyAlignment="1">
      <alignment horizontal="center" vertical="center"/>
    </xf>
    <xf numFmtId="3" fontId="40" fillId="20" borderId="198" xfId="0" applyNumberFormat="1" applyFont="1" applyFill="1" applyBorder="1" applyAlignment="1">
      <alignment horizontal="center" vertical="center"/>
    </xf>
    <xf numFmtId="0" fontId="107" fillId="0" borderId="23" xfId="0" applyFont="1" applyBorder="1" applyAlignment="1">
      <alignment horizontal="center" vertical="center"/>
    </xf>
    <xf numFmtId="3" fontId="107" fillId="0" borderId="196" xfId="0" applyNumberFormat="1" applyFont="1" applyBorder="1" applyAlignment="1">
      <alignment horizontal="center" vertical="center"/>
    </xf>
    <xf numFmtId="3" fontId="107" fillId="0" borderId="23" xfId="0" applyNumberFormat="1" applyFont="1" applyBorder="1" applyAlignment="1">
      <alignment horizontal="center" vertical="center"/>
    </xf>
    <xf numFmtId="0" fontId="111" fillId="0" borderId="23" xfId="0" applyFont="1" applyBorder="1" applyAlignment="1">
      <alignment horizontal="center" vertical="center"/>
    </xf>
    <xf numFmtId="3" fontId="111" fillId="0" borderId="196" xfId="0" applyNumberFormat="1" applyFont="1" applyBorder="1" applyAlignment="1">
      <alignment horizontal="center" vertical="center"/>
    </xf>
    <xf numFmtId="3" fontId="111" fillId="0" borderId="23" xfId="0" applyNumberFormat="1" applyFont="1" applyBorder="1" applyAlignment="1">
      <alignment horizontal="center" vertical="center"/>
    </xf>
    <xf numFmtId="0" fontId="106" fillId="0" borderId="23" xfId="0" applyFont="1" applyBorder="1" applyAlignment="1">
      <alignment horizontal="center" vertical="center"/>
    </xf>
    <xf numFmtId="3" fontId="106" fillId="0" borderId="196" xfId="0" applyNumberFormat="1" applyFont="1" applyBorder="1" applyAlignment="1">
      <alignment horizontal="center" vertical="center"/>
    </xf>
    <xf numFmtId="0" fontId="114" fillId="0" borderId="23" xfId="0" applyFont="1" applyBorder="1" applyAlignment="1">
      <alignment horizontal="center" vertical="center"/>
    </xf>
    <xf numFmtId="3" fontId="114" fillId="0" borderId="196" xfId="0" applyNumberFormat="1" applyFont="1" applyBorder="1" applyAlignment="1">
      <alignment horizontal="center" vertical="center"/>
    </xf>
    <xf numFmtId="3" fontId="114" fillId="0" borderId="23" xfId="0" applyNumberFormat="1" applyFont="1" applyBorder="1" applyAlignment="1">
      <alignment horizontal="center" vertical="center"/>
    </xf>
    <xf numFmtId="0" fontId="109" fillId="0" borderId="23" xfId="0" applyFont="1" applyBorder="1" applyAlignment="1">
      <alignment horizontal="center" vertical="center"/>
    </xf>
    <xf numFmtId="0" fontId="109" fillId="0" borderId="196" xfId="0" applyFont="1" applyBorder="1" applyAlignment="1">
      <alignment horizontal="center" vertical="center"/>
    </xf>
    <xf numFmtId="3" fontId="109" fillId="0" borderId="196" xfId="0" applyNumberFormat="1" applyFont="1" applyBorder="1" applyAlignment="1">
      <alignment horizontal="center" vertical="center"/>
    </xf>
    <xf numFmtId="3" fontId="109" fillId="0" borderId="23" xfId="0" applyNumberFormat="1" applyFont="1" applyBorder="1" applyAlignment="1">
      <alignment horizontal="center" vertical="center"/>
    </xf>
    <xf numFmtId="0" fontId="40" fillId="0" borderId="198" xfId="0" applyFont="1" applyBorder="1" applyAlignment="1">
      <alignment horizontal="center" vertical="center"/>
    </xf>
    <xf numFmtId="0" fontId="23" fillId="20" borderId="22" xfId="173" applyFont="1" applyFill="1" applyBorder="1" applyAlignment="1">
      <alignment horizontal="center" vertical="center" wrapText="1"/>
    </xf>
    <xf numFmtId="168" fontId="0" fillId="0" borderId="194" xfId="176" applyNumberFormat="1" applyFont="1" applyBorder="1" applyAlignment="1">
      <alignment horizontal="right" vertical="center" indent="1"/>
    </xf>
    <xf numFmtId="168" fontId="0" fillId="20" borderId="197" xfId="176" applyNumberFormat="1" applyFont="1" applyFill="1" applyBorder="1" applyAlignment="1">
      <alignment horizontal="right" vertical="center" indent="1"/>
    </xf>
    <xf numFmtId="168" fontId="0" fillId="0" borderId="0" xfId="176" applyNumberFormat="1" applyFont="1" applyAlignment="1">
      <alignment horizontal="right" vertical="center" indent="1"/>
    </xf>
    <xf numFmtId="3" fontId="0" fillId="0" borderId="153" xfId="0" applyNumberFormat="1" applyBorder="1" applyAlignment="1">
      <alignment horizontal="right" indent="1"/>
    </xf>
    <xf numFmtId="3" fontId="0" fillId="0" borderId="193" xfId="0" applyNumberFormat="1" applyBorder="1" applyAlignment="1">
      <alignment horizontal="right" indent="1"/>
    </xf>
    <xf numFmtId="3" fontId="0" fillId="0" borderId="146" xfId="0" applyNumberFormat="1" applyBorder="1" applyAlignment="1">
      <alignment horizontal="right" indent="1"/>
    </xf>
    <xf numFmtId="3" fontId="0" fillId="0" borderId="148" xfId="0" applyNumberFormat="1" applyBorder="1" applyAlignment="1">
      <alignment horizontal="right" indent="1"/>
    </xf>
    <xf numFmtId="3" fontId="0" fillId="20" borderId="149" xfId="0" applyNumberFormat="1" applyFill="1" applyBorder="1" applyAlignment="1">
      <alignment horizontal="right" indent="1"/>
    </xf>
    <xf numFmtId="3" fontId="0" fillId="20" borderId="196" xfId="0" applyNumberFormat="1" applyFill="1" applyBorder="1" applyAlignment="1">
      <alignment horizontal="right" indent="1"/>
    </xf>
    <xf numFmtId="3" fontId="0" fillId="0" borderId="0" xfId="0" applyNumberFormat="1" applyAlignment="1">
      <alignment horizontal="right" indent="1"/>
    </xf>
    <xf numFmtId="3" fontId="0" fillId="20" borderId="151" xfId="0" applyNumberFormat="1" applyFill="1" applyBorder="1" applyAlignment="1">
      <alignment horizontal="right" indent="1"/>
    </xf>
    <xf numFmtId="3" fontId="0" fillId="20" borderId="198" xfId="0" applyNumberFormat="1" applyFill="1" applyBorder="1" applyAlignment="1">
      <alignment horizontal="right" indent="1"/>
    </xf>
    <xf numFmtId="0" fontId="0" fillId="0" borderId="28" xfId="0" applyBorder="1" applyAlignment="1">
      <alignment horizontal="center"/>
    </xf>
    <xf numFmtId="0" fontId="0" fillId="20" borderId="23" xfId="0" applyFill="1" applyBorder="1" applyAlignment="1">
      <alignment horizontal="center"/>
    </xf>
    <xf numFmtId="168" fontId="40" fillId="43" borderId="197" xfId="176" applyNumberFormat="1" applyFont="1" applyFill="1" applyBorder="1" applyAlignment="1">
      <alignment horizontal="right" vertical="center" indent="1"/>
    </xf>
    <xf numFmtId="169" fontId="42" fillId="0" borderId="194" xfId="108" applyNumberFormat="1" applyFont="1" applyBorder="1"/>
    <xf numFmtId="169" fontId="42" fillId="0" borderId="195" xfId="108" applyNumberFormat="1" applyFont="1" applyBorder="1"/>
    <xf numFmtId="169" fontId="0" fillId="20" borderId="197" xfId="0" applyNumberFormat="1" applyFill="1" applyBorder="1" applyAlignment="1">
      <alignment horizontal="center"/>
    </xf>
    <xf numFmtId="169" fontId="42" fillId="20" borderId="197" xfId="0" applyNumberFormat="1" applyFont="1" applyFill="1" applyBorder="1" applyAlignment="1">
      <alignment horizontal="center"/>
    </xf>
    <xf numFmtId="168" fontId="38" fillId="0" borderId="28" xfId="182" applyNumberFormat="1" applyBorder="1" applyAlignment="1">
      <alignment horizontal="right" indent="1"/>
    </xf>
    <xf numFmtId="168" fontId="38" fillId="0" borderId="22" xfId="182" applyNumberFormat="1" applyBorder="1" applyAlignment="1">
      <alignment horizontal="right" indent="1"/>
    </xf>
    <xf numFmtId="10" fontId="38" fillId="0" borderId="22" xfId="182" applyNumberFormat="1" applyBorder="1" applyAlignment="1">
      <alignment horizontal="right" indent="1"/>
    </xf>
    <xf numFmtId="168" fontId="43" fillId="20" borderId="25" xfId="182" applyNumberFormat="1" applyFont="1" applyFill="1" applyBorder="1" applyAlignment="1">
      <alignment horizontal="right" indent="1"/>
    </xf>
    <xf numFmtId="0" fontId="0" fillId="0" borderId="133" xfId="0" applyBorder="1"/>
    <xf numFmtId="168" fontId="0" fillId="0" borderId="133" xfId="0" applyNumberFormat="1" applyBorder="1" applyAlignment="1">
      <alignment horizontal="right" indent="1"/>
    </xf>
    <xf numFmtId="168" fontId="0" fillId="0" borderId="28" xfId="0" applyNumberFormat="1" applyBorder="1" applyAlignment="1">
      <alignment horizontal="right" indent="1"/>
    </xf>
    <xf numFmtId="168" fontId="43" fillId="20" borderId="23" xfId="182" applyNumberFormat="1" applyFont="1" applyFill="1" applyBorder="1" applyAlignment="1">
      <alignment horizontal="right" indent="1"/>
    </xf>
    <xf numFmtId="168" fontId="40" fillId="43" borderId="197" xfId="182" applyNumberFormat="1" applyFont="1" applyFill="1" applyBorder="1" applyAlignment="1">
      <alignment horizontal="right" indent="1"/>
    </xf>
    <xf numFmtId="0" fontId="273" fillId="0" borderId="0" xfId="0" applyFont="1" applyAlignment="1">
      <alignment horizontal="center" vertical="center"/>
    </xf>
    <xf numFmtId="0" fontId="7" fillId="0" borderId="0" xfId="173" applyFont="1" applyAlignment="1">
      <alignment horizontal="left"/>
    </xf>
    <xf numFmtId="0" fontId="86" fillId="0" borderId="0" xfId="0" applyFont="1" applyAlignment="1">
      <alignment vertical="center" wrapText="1"/>
    </xf>
    <xf numFmtId="0" fontId="23" fillId="20" borderId="25" xfId="173" applyFont="1" applyFill="1" applyBorder="1" applyAlignment="1">
      <alignment horizontal="center" vertical="center" wrapText="1"/>
    </xf>
    <xf numFmtId="167" fontId="23" fillId="20" borderId="25" xfId="109" applyNumberFormat="1" applyFont="1" applyFill="1" applyBorder="1" applyAlignment="1">
      <alignment horizontal="right" vertical="center" wrapText="1" indent="1"/>
    </xf>
    <xf numFmtId="0" fontId="163" fillId="0" borderId="163" xfId="173" applyFont="1" applyBorder="1" applyAlignment="1">
      <alignment horizontal="center" vertical="center" wrapText="1"/>
    </xf>
    <xf numFmtId="0" fontId="164" fillId="0" borderId="163" xfId="173" applyFont="1" applyBorder="1" applyAlignment="1">
      <alignment horizontal="center" vertical="center" wrapText="1"/>
    </xf>
    <xf numFmtId="0" fontId="165" fillId="0" borderId="163" xfId="173" applyFont="1" applyBorder="1" applyAlignment="1">
      <alignment horizontal="center" vertical="center" wrapText="1"/>
    </xf>
    <xf numFmtId="0" fontId="166" fillId="0" borderId="163" xfId="173" applyFont="1" applyBorder="1" applyAlignment="1">
      <alignment horizontal="center" vertical="center" wrapText="1"/>
    </xf>
    <xf numFmtId="0" fontId="7" fillId="0" borderId="98" xfId="173" applyFont="1" applyBorder="1" applyAlignment="1">
      <alignment horizontal="left" vertical="center" wrapText="1"/>
    </xf>
    <xf numFmtId="0" fontId="7" fillId="0" borderId="111" xfId="173" applyFont="1" applyBorder="1" applyAlignment="1">
      <alignment horizontal="left" vertical="center" wrapText="1"/>
    </xf>
    <xf numFmtId="0" fontId="7" fillId="0" borderId="112" xfId="173" applyFont="1" applyBorder="1" applyAlignment="1">
      <alignment horizontal="left" vertical="center" wrapText="1"/>
    </xf>
    <xf numFmtId="167" fontId="23" fillId="20" borderId="203" xfId="109" applyNumberFormat="1" applyFont="1" applyFill="1" applyBorder="1" applyAlignment="1">
      <alignment horizontal="right" vertical="center" wrapText="1" indent="1"/>
    </xf>
    <xf numFmtId="0" fontId="162" fillId="0" borderId="163" xfId="173" applyFont="1" applyBorder="1" applyAlignment="1">
      <alignment horizontal="center" vertical="center" wrapText="1"/>
    </xf>
    <xf numFmtId="0" fontId="7" fillId="0" borderId="222" xfId="173" applyFont="1" applyBorder="1" applyAlignment="1">
      <alignment horizontal="left" vertical="center" wrapText="1"/>
    </xf>
    <xf numFmtId="0" fontId="7" fillId="0" borderId="223" xfId="803" applyFont="1" applyBorder="1" applyAlignment="1">
      <alignment horizontal="right" vertical="center" wrapText="1" indent="1"/>
    </xf>
    <xf numFmtId="0" fontId="7" fillId="0" borderId="222" xfId="173" applyFont="1" applyBorder="1" applyAlignment="1">
      <alignment vertical="center" wrapText="1"/>
    </xf>
    <xf numFmtId="0" fontId="64" fillId="0" borderId="0" xfId="0" applyFont="1" applyAlignment="1">
      <alignment horizontal="left"/>
    </xf>
    <xf numFmtId="3" fontId="23" fillId="20" borderId="203" xfId="109" applyNumberFormat="1" applyFont="1" applyFill="1" applyBorder="1" applyAlignment="1">
      <alignment horizontal="right" vertical="center" wrapText="1" indent="1"/>
    </xf>
    <xf numFmtId="0" fontId="162" fillId="0" borderId="226" xfId="173" applyFont="1" applyBorder="1" applyAlignment="1">
      <alignment horizontal="center" vertical="center" wrapText="1"/>
    </xf>
    <xf numFmtId="0" fontId="163" fillId="0" borderId="226" xfId="173" applyFont="1" applyBorder="1" applyAlignment="1">
      <alignment horizontal="center" vertical="center" wrapText="1"/>
    </xf>
    <xf numFmtId="3" fontId="163" fillId="0" borderId="228" xfId="109" applyNumberFormat="1" applyFont="1" applyBorder="1" applyAlignment="1">
      <alignment horizontal="right" vertical="center" wrapText="1" indent="1"/>
    </xf>
    <xf numFmtId="0" fontId="164" fillId="0" borderId="226" xfId="173" applyFont="1" applyBorder="1" applyAlignment="1">
      <alignment horizontal="center" vertical="center" wrapText="1"/>
    </xf>
    <xf numFmtId="3" fontId="164" fillId="0" borderId="228" xfId="109" applyNumberFormat="1" applyFont="1" applyBorder="1" applyAlignment="1">
      <alignment horizontal="right" vertical="center" wrapText="1" indent="1"/>
    </xf>
    <xf numFmtId="0" fontId="165" fillId="0" borderId="226" xfId="173" applyFont="1" applyBorder="1" applyAlignment="1">
      <alignment horizontal="center" vertical="center" wrapText="1"/>
    </xf>
    <xf numFmtId="0" fontId="7" fillId="0" borderId="229" xfId="173" applyFont="1" applyBorder="1" applyAlignment="1">
      <alignment vertical="center" wrapText="1"/>
    </xf>
    <xf numFmtId="0" fontId="23" fillId="20" borderId="0" xfId="173" applyFont="1" applyFill="1" applyAlignment="1">
      <alignment horizontal="center" vertical="center" wrapText="1"/>
    </xf>
    <xf numFmtId="3" fontId="23" fillId="20" borderId="147" xfId="109" applyNumberFormat="1" applyFont="1" applyFill="1" applyBorder="1" applyAlignment="1">
      <alignment horizontal="right" vertical="center" wrapText="1" indent="1"/>
    </xf>
    <xf numFmtId="0" fontId="166" fillId="0" borderId="226" xfId="173" applyFont="1" applyBorder="1" applyAlignment="1">
      <alignment horizontal="center" vertical="center" wrapText="1"/>
    </xf>
    <xf numFmtId="0" fontId="2" fillId="0" borderId="0" xfId="149" applyFont="1" applyAlignment="1">
      <alignment vertical="center" wrapText="1"/>
    </xf>
    <xf numFmtId="0" fontId="80" fillId="0" borderId="16" xfId="173" applyFont="1" applyBorder="1" applyAlignment="1">
      <alignment horizontal="center" vertical="center"/>
    </xf>
    <xf numFmtId="3" fontId="0" fillId="0" borderId="153" xfId="0" applyNumberFormat="1" applyBorder="1"/>
    <xf numFmtId="3" fontId="0" fillId="0" borderId="146" xfId="0" applyNumberFormat="1" applyBorder="1"/>
    <xf numFmtId="3" fontId="40" fillId="20" borderId="149" xfId="0" applyNumberFormat="1" applyFont="1" applyFill="1" applyBorder="1"/>
    <xf numFmtId="3" fontId="40" fillId="20" borderId="151" xfId="0" applyNumberFormat="1" applyFont="1" applyFill="1" applyBorder="1"/>
    <xf numFmtId="3" fontId="0" fillId="0" borderId="193" xfId="0" applyNumberFormat="1" applyBorder="1"/>
    <xf numFmtId="3" fontId="0" fillId="0" borderId="148" xfId="0" applyNumberFormat="1" applyBorder="1"/>
    <xf numFmtId="3" fontId="40" fillId="20" borderId="196" xfId="0" applyNumberFormat="1" applyFont="1" applyFill="1" applyBorder="1"/>
    <xf numFmtId="3" fontId="40" fillId="20" borderId="198" xfId="0" applyNumberFormat="1" applyFont="1" applyFill="1" applyBorder="1"/>
    <xf numFmtId="168" fontId="0" fillId="0" borderId="194" xfId="176" applyNumberFormat="1" applyFont="1" applyBorder="1" applyAlignment="1">
      <alignment horizontal="center" vertical="center"/>
    </xf>
    <xf numFmtId="168" fontId="40" fillId="20" borderId="197" xfId="176" applyNumberFormat="1" applyFont="1" applyFill="1" applyBorder="1" applyAlignment="1">
      <alignment horizontal="center" vertical="center"/>
    </xf>
    <xf numFmtId="168" fontId="0" fillId="0" borderId="0" xfId="176" applyNumberFormat="1" applyFont="1" applyAlignment="1">
      <alignment horizontal="center" vertical="center"/>
    </xf>
    <xf numFmtId="0" fontId="59" fillId="0" borderId="16" xfId="0" applyFont="1" applyBorder="1" applyAlignment="1">
      <alignment horizontal="center" vertical="center" wrapText="1"/>
    </xf>
    <xf numFmtId="0" fontId="61" fillId="0" borderId="0" xfId="0" applyFont="1" applyAlignment="1">
      <alignment horizontal="right"/>
    </xf>
    <xf numFmtId="0" fontId="274" fillId="0" borderId="0" xfId="0" applyFont="1" applyAlignment="1">
      <alignment horizontal="left" vertical="center"/>
    </xf>
    <xf numFmtId="0" fontId="0" fillId="0" borderId="0" xfId="0"/>
    <xf numFmtId="0" fontId="85" fillId="0" borderId="0" xfId="0" applyFont="1" applyAlignment="1">
      <alignment horizontal="center"/>
    </xf>
    <xf numFmtId="0" fontId="5" fillId="20" borderId="181" xfId="149" applyFont="1" applyFill="1" applyBorder="1" applyAlignment="1">
      <alignment horizontal="center" vertical="center"/>
    </xf>
    <xf numFmtId="0" fontId="0" fillId="0" borderId="0" xfId="0" applyAlignment="1">
      <alignment horizontal="center"/>
    </xf>
    <xf numFmtId="0" fontId="132" fillId="0" borderId="83" xfId="0" applyFont="1" applyFill="1" applyBorder="1" applyAlignment="1">
      <alignment horizontal="center" vertical="center" wrapText="1"/>
    </xf>
    <xf numFmtId="0" fontId="132" fillId="0" borderId="93" xfId="0" applyFont="1" applyFill="1" applyBorder="1" applyAlignment="1">
      <alignment vertical="center" wrapText="1"/>
    </xf>
    <xf numFmtId="0" fontId="100" fillId="0" borderId="83" xfId="377" applyFill="1" applyBorder="1" applyAlignment="1">
      <alignment horizontal="center" vertical="center" wrapText="1"/>
    </xf>
    <xf numFmtId="0" fontId="132" fillId="0" borderId="94" xfId="0" applyFont="1" applyFill="1" applyBorder="1" applyAlignment="1">
      <alignment horizontal="left" vertical="center" wrapText="1"/>
    </xf>
    <xf numFmtId="0" fontId="100" fillId="0" borderId="175" xfId="377" applyFill="1" applyBorder="1" applyAlignment="1">
      <alignment horizontal="center" vertical="center" wrapText="1"/>
    </xf>
    <xf numFmtId="0" fontId="44" fillId="0" borderId="169" xfId="0" applyFont="1" applyFill="1" applyBorder="1" applyAlignment="1">
      <alignment horizontal="left" vertical="center" wrapText="1"/>
    </xf>
    <xf numFmtId="0" fontId="100" fillId="0" borderId="100" xfId="377" applyFill="1" applyBorder="1" applyAlignment="1">
      <alignment horizontal="center" vertical="center" wrapText="1"/>
    </xf>
    <xf numFmtId="0" fontId="158" fillId="0" borderId="83" xfId="0" applyFont="1" applyFill="1" applyBorder="1" applyAlignment="1">
      <alignment horizontal="left" vertical="center" wrapText="1"/>
    </xf>
    <xf numFmtId="0" fontId="132" fillId="0" borderId="83" xfId="0" applyFont="1" applyFill="1" applyBorder="1" applyAlignment="1">
      <alignment vertical="center" wrapText="1"/>
    </xf>
    <xf numFmtId="0" fontId="132" fillId="0" borderId="83" xfId="0" applyFont="1" applyFill="1" applyBorder="1" applyAlignment="1">
      <alignment horizontal="center" vertical="center"/>
    </xf>
    <xf numFmtId="0" fontId="132" fillId="0" borderId="94" xfId="0" applyFont="1" applyFill="1" applyBorder="1" applyAlignment="1">
      <alignment vertical="center" wrapText="1"/>
    </xf>
    <xf numFmtId="0" fontId="30" fillId="0" borderId="175" xfId="149" applyFont="1" applyFill="1" applyBorder="1" applyAlignment="1">
      <alignment horizontal="center" vertical="center"/>
    </xf>
    <xf numFmtId="0" fontId="40" fillId="0" borderId="232" xfId="0" applyFont="1" applyFill="1" applyBorder="1" applyAlignment="1">
      <alignment horizontal="center"/>
    </xf>
    <xf numFmtId="0" fontId="219" fillId="0" borderId="0" xfId="149" applyFont="1" applyBorder="1"/>
    <xf numFmtId="173" fontId="1" fillId="0" borderId="232" xfId="149" applyNumberFormat="1" applyFont="1" applyBorder="1" applyAlignment="1">
      <alignment horizontal="center" vertical="center"/>
    </xf>
    <xf numFmtId="49" fontId="1" fillId="0" borderId="232" xfId="149" applyNumberFormat="1" applyFont="1" applyBorder="1" applyAlignment="1">
      <alignment horizontal="center" vertical="center"/>
    </xf>
    <xf numFmtId="3" fontId="1" fillId="0" borderId="232" xfId="149" applyNumberFormat="1" applyFont="1" applyBorder="1" applyAlignment="1">
      <alignment horizontal="center"/>
    </xf>
    <xf numFmtId="173" fontId="219" fillId="0" borderId="232" xfId="149" applyNumberFormat="1" applyFont="1" applyBorder="1" applyAlignment="1">
      <alignment horizontal="center" vertical="center"/>
    </xf>
    <xf numFmtId="0" fontId="219" fillId="0" borderId="232" xfId="149" applyFont="1" applyBorder="1" applyAlignment="1">
      <alignment horizontal="center"/>
    </xf>
    <xf numFmtId="3" fontId="219" fillId="0" borderId="232" xfId="149" applyNumberFormat="1" applyFont="1" applyBorder="1" applyAlignment="1">
      <alignment horizontal="center"/>
    </xf>
    <xf numFmtId="3" fontId="0" fillId="0" borderId="232" xfId="0" applyNumberFormat="1" applyBorder="1" applyAlignment="1">
      <alignment horizontal="center"/>
    </xf>
    <xf numFmtId="173" fontId="1" fillId="0" borderId="232" xfId="0" applyNumberFormat="1" applyFont="1" applyBorder="1" applyAlignment="1">
      <alignment horizontal="center" vertical="center"/>
    </xf>
    <xf numFmtId="3" fontId="1" fillId="0" borderId="232" xfId="0" applyNumberFormat="1" applyFont="1" applyBorder="1" applyAlignment="1">
      <alignment horizontal="center" vertical="center"/>
    </xf>
    <xf numFmtId="3" fontId="1" fillId="0" borderId="232" xfId="0" applyNumberFormat="1" applyFont="1" applyBorder="1" applyAlignment="1">
      <alignment horizontal="center"/>
    </xf>
    <xf numFmtId="173" fontId="219" fillId="0" borderId="234" xfId="0" applyNumberFormat="1" applyFont="1" applyBorder="1" applyAlignment="1">
      <alignment vertical="center" wrapText="1"/>
    </xf>
    <xf numFmtId="3" fontId="248" fillId="0" borderId="234" xfId="0" applyNumberFormat="1" applyFont="1" applyBorder="1" applyAlignment="1">
      <alignment vertical="center"/>
    </xf>
    <xf numFmtId="3" fontId="219" fillId="0" borderId="234" xfId="0" applyNumberFormat="1" applyFont="1" applyBorder="1" applyAlignment="1">
      <alignment horizontal="center" vertical="center"/>
    </xf>
    <xf numFmtId="173" fontId="1" fillId="0" borderId="232" xfId="0" applyNumberFormat="1" applyFont="1" applyBorder="1" applyAlignment="1">
      <alignment horizontal="center" vertical="center" wrapText="1"/>
    </xf>
    <xf numFmtId="173" fontId="219" fillId="0" borderId="232" xfId="0" applyNumberFormat="1" applyFont="1" applyBorder="1" applyAlignment="1">
      <alignment horizontal="center" vertical="center"/>
    </xf>
    <xf numFmtId="3" fontId="248" fillId="0" borderId="234" xfId="0" applyNumberFormat="1" applyFont="1" applyBorder="1" applyAlignment="1">
      <alignment horizontal="center" vertical="center"/>
    </xf>
    <xf numFmtId="3" fontId="219" fillId="0" borderId="232" xfId="0" applyNumberFormat="1" applyFont="1" applyBorder="1" applyAlignment="1">
      <alignment horizontal="center" vertical="center"/>
    </xf>
    <xf numFmtId="3" fontId="0" fillId="0" borderId="232" xfId="0" applyNumberFormat="1" applyBorder="1" applyAlignment="1">
      <alignment horizontal="center" vertical="center"/>
    </xf>
    <xf numFmtId="173" fontId="219" fillId="0" borderId="232" xfId="0" applyNumberFormat="1" applyFont="1" applyBorder="1" applyAlignment="1">
      <alignment horizontal="center"/>
    </xf>
    <xf numFmtId="3" fontId="248" fillId="0" borderId="232" xfId="0" applyNumberFormat="1" applyFont="1" applyBorder="1" applyAlignment="1">
      <alignment horizontal="center" vertical="center"/>
    </xf>
    <xf numFmtId="3" fontId="219" fillId="0" borderId="232" xfId="0" applyNumberFormat="1" applyFont="1" applyBorder="1" applyAlignment="1">
      <alignment horizontal="center"/>
    </xf>
    <xf numFmtId="0" fontId="30" fillId="20" borderId="232" xfId="149" applyFont="1" applyFill="1" applyBorder="1" applyAlignment="1">
      <alignment horizontal="center" vertical="center"/>
    </xf>
    <xf numFmtId="3" fontId="30" fillId="20" borderId="232" xfId="149" applyNumberFormat="1" applyFont="1" applyFill="1" applyBorder="1" applyAlignment="1">
      <alignment horizontal="center" vertical="center"/>
    </xf>
    <xf numFmtId="0" fontId="0" fillId="0" borderId="232" xfId="0" applyBorder="1" applyAlignment="1">
      <alignment horizontal="center"/>
    </xf>
    <xf numFmtId="0" fontId="0" fillId="0" borderId="0" xfId="0" applyAlignment="1"/>
    <xf numFmtId="3" fontId="219" fillId="0" borderId="0" xfId="0" applyNumberFormat="1" applyFont="1" applyBorder="1" applyAlignment="1">
      <alignment horizontal="center" vertical="center"/>
    </xf>
    <xf numFmtId="173" fontId="32" fillId="0" borderId="232" xfId="0" applyNumberFormat="1" applyFont="1" applyBorder="1" applyAlignment="1">
      <alignment horizontal="center" vertical="center"/>
    </xf>
    <xf numFmtId="3" fontId="0" fillId="0" borderId="0" xfId="0" applyNumberFormat="1" applyBorder="1" applyAlignment="1">
      <alignment horizontal="center" vertical="center"/>
    </xf>
    <xf numFmtId="3" fontId="0" fillId="0" borderId="0" xfId="0" applyNumberFormat="1" applyBorder="1"/>
    <xf numFmtId="173" fontId="32" fillId="0" borderId="232" xfId="0" applyNumberFormat="1" applyFont="1" applyBorder="1" applyAlignment="1">
      <alignment horizontal="center" vertical="center" wrapText="1"/>
    </xf>
    <xf numFmtId="0" fontId="44" fillId="0" borderId="232" xfId="0" applyFont="1" applyBorder="1" applyAlignment="1">
      <alignment horizontal="center" vertical="center"/>
    </xf>
    <xf numFmtId="0" fontId="1" fillId="0" borderId="232" xfId="149" applyFont="1" applyBorder="1" applyAlignment="1">
      <alignment horizontal="center" vertical="center"/>
    </xf>
    <xf numFmtId="0" fontId="5" fillId="20" borderId="232" xfId="149" applyFont="1" applyFill="1" applyBorder="1" applyAlignment="1">
      <alignment horizontal="center" vertical="center"/>
    </xf>
    <xf numFmtId="0" fontId="46" fillId="0" borderId="0" xfId="0" applyFont="1" applyAlignment="1"/>
    <xf numFmtId="3" fontId="44" fillId="0" borderId="232" xfId="0" applyNumberFormat="1" applyFont="1" applyBorder="1" applyAlignment="1">
      <alignment horizontal="center"/>
    </xf>
    <xf numFmtId="173" fontId="1" fillId="0" borderId="232" xfId="0" applyNumberFormat="1" applyFont="1" applyFill="1" applyBorder="1" applyAlignment="1">
      <alignment horizontal="center" vertical="center"/>
    </xf>
    <xf numFmtId="3" fontId="5" fillId="20" borderId="232" xfId="149" applyNumberFormat="1" applyFont="1" applyFill="1" applyBorder="1" applyAlignment="1">
      <alignment horizontal="center"/>
    </xf>
    <xf numFmtId="3" fontId="5" fillId="43" borderId="232" xfId="149" applyNumberFormat="1" applyFont="1" applyFill="1" applyBorder="1" applyAlignment="1">
      <alignment horizontal="center" vertical="center"/>
    </xf>
    <xf numFmtId="3" fontId="5" fillId="41" borderId="232" xfId="149" applyNumberFormat="1" applyFont="1" applyFill="1" applyBorder="1" applyAlignment="1">
      <alignment horizontal="center"/>
    </xf>
    <xf numFmtId="0" fontId="67" fillId="0" borderId="0" xfId="0" applyFont="1" applyBorder="1" applyAlignment="1">
      <alignment horizontal="left" vertical="center" wrapText="1"/>
    </xf>
    <xf numFmtId="0" fontId="67" fillId="0" borderId="0" xfId="0" applyFont="1" applyBorder="1" applyAlignment="1">
      <alignment horizontal="center" vertical="center" wrapText="1"/>
    </xf>
    <xf numFmtId="0" fontId="87" fillId="0" borderId="0" xfId="0" applyFont="1" applyBorder="1" applyAlignment="1">
      <alignment horizontal="center" vertical="center" wrapText="1"/>
    </xf>
    <xf numFmtId="0" fontId="250" fillId="0" borderId="0" xfId="0" applyFont="1" applyBorder="1" applyAlignment="1">
      <alignment horizontal="center" vertical="center" wrapText="1"/>
    </xf>
    <xf numFmtId="0" fontId="126" fillId="0" borderId="0" xfId="0" applyFont="1" applyBorder="1" applyAlignment="1">
      <alignment horizontal="center" vertical="center" wrapText="1"/>
    </xf>
    <xf numFmtId="0" fontId="67" fillId="0" borderId="0" xfId="0" applyFont="1" applyBorder="1" applyAlignment="1">
      <alignment vertical="center" wrapText="1"/>
    </xf>
    <xf numFmtId="0" fontId="97" fillId="0" borderId="0" xfId="0" applyFont="1" applyAlignment="1">
      <alignment horizontal="center"/>
    </xf>
    <xf numFmtId="0" fontId="0" fillId="0" borderId="0" xfId="0"/>
    <xf numFmtId="181" fontId="40" fillId="0" borderId="0" xfId="107" applyNumberFormat="1" applyFont="1" applyFill="1" applyBorder="1" applyAlignment="1">
      <alignment horizontal="right" vertical="center" indent="2"/>
    </xf>
    <xf numFmtId="181" fontId="40" fillId="20" borderId="226" xfId="107" applyNumberFormat="1" applyFont="1" applyFill="1" applyBorder="1" applyAlignment="1">
      <alignment horizontal="right" vertical="center" indent="2"/>
    </xf>
    <xf numFmtId="0" fontId="97" fillId="0" borderId="0" xfId="0" applyFont="1" applyBorder="1"/>
    <xf numFmtId="2" fontId="97" fillId="0" borderId="0" xfId="0" applyNumberFormat="1" applyFont="1" applyBorder="1" applyAlignment="1">
      <alignment horizontal="center"/>
    </xf>
    <xf numFmtId="0" fontId="97" fillId="0" borderId="0" xfId="0" applyFont="1" applyBorder="1" applyAlignment="1">
      <alignment horizontal="center"/>
    </xf>
    <xf numFmtId="0" fontId="51" fillId="0" borderId="226" xfId="0" applyFont="1" applyBorder="1"/>
    <xf numFmtId="0" fontId="97" fillId="0" borderId="226" xfId="0" applyFont="1" applyBorder="1"/>
    <xf numFmtId="2" fontId="97" fillId="0" borderId="226" xfId="0" applyNumberFormat="1" applyFont="1" applyBorder="1" applyAlignment="1">
      <alignment horizontal="center"/>
    </xf>
    <xf numFmtId="0" fontId="97" fillId="0" borderId="226" xfId="0" applyFont="1" applyBorder="1" applyAlignment="1">
      <alignment horizontal="center"/>
    </xf>
    <xf numFmtId="0" fontId="0" fillId="0" borderId="0" xfId="0" applyFont="1"/>
    <xf numFmtId="0" fontId="0" fillId="0" borderId="0" xfId="0" applyFont="1" applyAlignment="1">
      <alignment horizontal="center" vertical="center"/>
    </xf>
    <xf numFmtId="171" fontId="40" fillId="20" borderId="175" xfId="0" applyNumberFormat="1" applyFont="1" applyFill="1" applyBorder="1" applyAlignment="1">
      <alignment horizontal="center" vertical="center"/>
    </xf>
    <xf numFmtId="1" fontId="61" fillId="0" borderId="0" xfId="211" applyNumberFormat="1" applyFont="1" applyBorder="1" applyAlignment="1">
      <alignment horizontal="center"/>
    </xf>
    <xf numFmtId="1" fontId="61" fillId="0" borderId="226" xfId="211" applyNumberFormat="1" applyFont="1" applyBorder="1" applyAlignment="1">
      <alignment horizontal="center"/>
    </xf>
    <xf numFmtId="1" fontId="61" fillId="0" borderId="106" xfId="211" applyNumberFormat="1" applyFont="1" applyBorder="1" applyAlignment="1">
      <alignment horizontal="center"/>
    </xf>
    <xf numFmtId="0" fontId="137" fillId="0" borderId="190" xfId="211" applyFont="1" applyFill="1" applyBorder="1" applyAlignment="1">
      <alignment horizontal="center" vertical="center" wrapText="1"/>
    </xf>
    <xf numFmtId="2" fontId="51" fillId="0" borderId="16" xfId="0" applyNumberFormat="1" applyFont="1" applyBorder="1" applyAlignment="1">
      <alignment horizontal="center"/>
    </xf>
    <xf numFmtId="1" fontId="184" fillId="0" borderId="16" xfId="211" applyNumberFormat="1" applyFont="1" applyBorder="1" applyAlignment="1">
      <alignment horizontal="center"/>
    </xf>
    <xf numFmtId="0" fontId="97" fillId="0" borderId="0" xfId="0" applyFont="1" applyAlignment="1">
      <alignment horizontal="center"/>
    </xf>
    <xf numFmtId="0" fontId="132" fillId="22" borderId="170" xfId="0" applyFont="1" applyFill="1" applyBorder="1" applyAlignment="1">
      <alignment vertical="center" wrapText="1"/>
    </xf>
    <xf numFmtId="0" fontId="132" fillId="22" borderId="91" xfId="0" applyFont="1" applyFill="1" applyBorder="1" applyAlignment="1">
      <alignment vertical="center" wrapText="1"/>
    </xf>
    <xf numFmtId="0" fontId="132" fillId="22" borderId="93" xfId="0" applyFont="1" applyFill="1" applyBorder="1" applyAlignment="1">
      <alignment vertical="center" wrapText="1"/>
    </xf>
    <xf numFmtId="0" fontId="132" fillId="22" borderId="13" xfId="0" applyFont="1" applyFill="1" applyBorder="1" applyAlignment="1">
      <alignment vertical="center" wrapText="1"/>
    </xf>
    <xf numFmtId="0" fontId="132" fillId="22" borderId="83" xfId="0" applyFont="1" applyFill="1" applyBorder="1" applyAlignment="1">
      <alignment vertical="center" wrapText="1"/>
    </xf>
    <xf numFmtId="0" fontId="75" fillId="0" borderId="0" xfId="0" applyFont="1" applyAlignment="1">
      <alignment horizontal="center"/>
    </xf>
    <xf numFmtId="0" fontId="97" fillId="0" borderId="0" xfId="0" applyFont="1" applyAlignment="1">
      <alignment horizontal="center"/>
    </xf>
    <xf numFmtId="0" fontId="0" fillId="0" borderId="0" xfId="0"/>
    <xf numFmtId="0" fontId="50" fillId="0" borderId="0" xfId="0" applyFont="1" applyAlignment="1">
      <alignment horizontal="center" vertical="center"/>
    </xf>
    <xf numFmtId="0" fontId="0" fillId="0" borderId="0" xfId="0" applyAlignment="1">
      <alignment horizontal="center"/>
    </xf>
    <xf numFmtId="10" fontId="97" fillId="0" borderId="0" xfId="176" applyNumberFormat="1" applyFont="1" applyBorder="1" applyAlignment="1">
      <alignment horizontal="center"/>
    </xf>
    <xf numFmtId="10" fontId="75" fillId="0" borderId="0" xfId="176" applyNumberFormat="1" applyFont="1" applyAlignment="1">
      <alignment horizontal="center"/>
    </xf>
    <xf numFmtId="0" fontId="40" fillId="0" borderId="0" xfId="0" applyFont="1" applyBorder="1"/>
    <xf numFmtId="10" fontId="40" fillId="0" borderId="0" xfId="176" applyNumberFormat="1" applyFont="1" applyBorder="1" applyAlignment="1">
      <alignment horizontal="center"/>
    </xf>
    <xf numFmtId="0" fontId="75" fillId="0" borderId="0" xfId="0" applyFont="1" applyBorder="1" applyAlignment="1">
      <alignment horizontal="center"/>
    </xf>
    <xf numFmtId="0" fontId="97" fillId="21" borderId="0" xfId="0" applyFont="1" applyFill="1"/>
    <xf numFmtId="0" fontId="97" fillId="21" borderId="16" xfId="0" applyFont="1" applyFill="1" applyBorder="1"/>
    <xf numFmtId="0" fontId="278" fillId="43" borderId="16" xfId="238" applyFont="1" applyFill="1" applyBorder="1" applyAlignment="1">
      <alignment horizontal="center" vertical="center"/>
    </xf>
    <xf numFmtId="0" fontId="41" fillId="0" borderId="0" xfId="0" applyFont="1" applyAlignment="1">
      <alignment horizontal="center"/>
    </xf>
    <xf numFmtId="0" fontId="75" fillId="0" borderId="0" xfId="0" applyFont="1" applyBorder="1"/>
    <xf numFmtId="2" fontId="75" fillId="0" borderId="0" xfId="0" applyNumberFormat="1" applyFont="1" applyBorder="1" applyAlignment="1">
      <alignment horizontal="center"/>
    </xf>
    <xf numFmtId="0" fontId="50" fillId="0" borderId="0" xfId="0" applyFont="1" applyBorder="1"/>
    <xf numFmtId="185" fontId="99" fillId="0" borderId="0" xfId="455" applyNumberFormat="1" applyFont="1" applyBorder="1" applyAlignment="1">
      <alignment horizontal="center" vertical="center"/>
    </xf>
    <xf numFmtId="0" fontId="50" fillId="0" borderId="0" xfId="0" applyFont="1" applyBorder="1" applyAlignment="1">
      <alignment horizontal="center"/>
    </xf>
    <xf numFmtId="0" fontId="50" fillId="0" borderId="226" xfId="0" applyFont="1" applyBorder="1"/>
    <xf numFmtId="0" fontId="75" fillId="0" borderId="226" xfId="0" applyFont="1" applyBorder="1"/>
    <xf numFmtId="2" fontId="75" fillId="0" borderId="226" xfId="0" applyNumberFormat="1" applyFont="1" applyBorder="1" applyAlignment="1">
      <alignment horizontal="center"/>
    </xf>
    <xf numFmtId="0" fontId="75" fillId="0" borderId="226" xfId="0" applyFont="1" applyBorder="1" applyAlignment="1">
      <alignment horizontal="center"/>
    </xf>
    <xf numFmtId="2" fontId="99" fillId="0" borderId="226" xfId="238" applyNumberFormat="1" applyFont="1" applyBorder="1" applyAlignment="1">
      <alignment horizontal="center" vertical="center"/>
    </xf>
    <xf numFmtId="0" fontId="50" fillId="0" borderId="226" xfId="0" applyFont="1" applyBorder="1" applyAlignment="1">
      <alignment horizontal="center"/>
    </xf>
    <xf numFmtId="0" fontId="49" fillId="0" borderId="0" xfId="0" applyFont="1" applyAlignment="1">
      <alignment vertical="center" wrapText="1"/>
    </xf>
    <xf numFmtId="185" fontId="97" fillId="0" borderId="226" xfId="0" applyNumberFormat="1" applyFont="1" applyBorder="1" applyAlignment="1">
      <alignment horizontal="center" vertical="center"/>
    </xf>
    <xf numFmtId="0" fontId="51" fillId="0" borderId="226" xfId="0" applyFont="1" applyBorder="1" applyAlignment="1">
      <alignment horizontal="center" vertical="center"/>
    </xf>
    <xf numFmtId="0" fontId="183" fillId="43" borderId="16" xfId="238" applyFont="1" applyFill="1" applyBorder="1" applyAlignment="1">
      <alignment horizontal="center"/>
    </xf>
    <xf numFmtId="185" fontId="74" fillId="0" borderId="99" xfId="455" applyNumberFormat="1" applyFont="1" applyBorder="1" applyAlignment="1">
      <alignment horizontal="center" vertical="center"/>
    </xf>
    <xf numFmtId="0" fontId="86" fillId="0" borderId="0" xfId="0" applyFont="1" applyAlignment="1">
      <alignment vertical="center"/>
    </xf>
    <xf numFmtId="0" fontId="273" fillId="0" borderId="0" xfId="0" applyFont="1" applyAlignment="1">
      <alignment vertical="center"/>
    </xf>
    <xf numFmtId="0" fontId="0" fillId="0" borderId="0" xfId="0"/>
    <xf numFmtId="0" fontId="131" fillId="0" borderId="0" xfId="0" applyFont="1" applyAlignment="1">
      <alignment horizontal="center" vertical="center" wrapText="1"/>
    </xf>
    <xf numFmtId="0" fontId="2" fillId="0" borderId="0" xfId="0" applyFont="1" applyBorder="1" applyAlignment="1">
      <alignment horizontal="center" wrapText="1"/>
    </xf>
    <xf numFmtId="0" fontId="43" fillId="0" borderId="0" xfId="0" applyFont="1" applyBorder="1"/>
    <xf numFmtId="0" fontId="43" fillId="0" borderId="0" xfId="0" applyFont="1" applyBorder="1" applyAlignment="1">
      <alignment horizontal="center" vertical="center"/>
    </xf>
    <xf numFmtId="0" fontId="2" fillId="0" borderId="0" xfId="0" applyFont="1" applyBorder="1"/>
    <xf numFmtId="0" fontId="56" fillId="0" borderId="0" xfId="0" applyFont="1" applyBorder="1"/>
    <xf numFmtId="0" fontId="42" fillId="0" borderId="0" xfId="0" applyFont="1" applyBorder="1"/>
    <xf numFmtId="0" fontId="56" fillId="0" borderId="0" xfId="0" applyFont="1" applyFill="1" applyBorder="1"/>
    <xf numFmtId="0" fontId="42" fillId="0" borderId="28" xfId="149" applyFont="1" applyBorder="1" applyAlignment="1">
      <alignment horizontal="center" vertical="center"/>
    </xf>
    <xf numFmtId="0" fontId="42" fillId="0" borderId="22" xfId="149" applyFont="1" applyBorder="1" applyAlignment="1">
      <alignment horizontal="center" vertical="center"/>
    </xf>
    <xf numFmtId="3" fontId="42" fillId="0" borderId="28" xfId="149" applyNumberFormat="1" applyFont="1" applyBorder="1" applyAlignment="1">
      <alignment horizontal="right" vertical="center" indent="1"/>
    </xf>
    <xf numFmtId="168" fontId="42" fillId="0" borderId="28" xfId="176" applyNumberFormat="1" applyFont="1" applyBorder="1" applyAlignment="1">
      <alignment horizontal="right" vertical="center" indent="1"/>
    </xf>
    <xf numFmtId="3" fontId="42" fillId="0" borderId="22" xfId="149" applyNumberFormat="1" applyFont="1" applyBorder="1" applyAlignment="1">
      <alignment horizontal="right" vertical="center" indent="1"/>
    </xf>
    <xf numFmtId="168" fontId="42" fillId="0" borderId="22" xfId="176" applyNumberFormat="1" applyFont="1" applyBorder="1" applyAlignment="1">
      <alignment horizontal="right" vertical="center" indent="1"/>
    </xf>
    <xf numFmtId="172" fontId="0" fillId="0" borderId="22" xfId="107" applyNumberFormat="1" applyFont="1" applyBorder="1" applyAlignment="1">
      <alignment horizontal="center" vertical="center"/>
    </xf>
    <xf numFmtId="10" fontId="0" fillId="0" borderId="22" xfId="176" applyNumberFormat="1" applyFont="1" applyBorder="1" applyAlignment="1">
      <alignment horizontal="center" vertical="center"/>
    </xf>
    <xf numFmtId="172" fontId="0" fillId="0" borderId="23" xfId="107" applyNumberFormat="1" applyFont="1" applyBorder="1" applyAlignment="1">
      <alignment horizontal="center" vertical="center"/>
    </xf>
    <xf numFmtId="10" fontId="0" fillId="0" borderId="23" xfId="176" applyNumberFormat="1" applyFont="1" applyBorder="1" applyAlignment="1">
      <alignment horizontal="center" vertical="center"/>
    </xf>
    <xf numFmtId="172" fontId="0" fillId="0" borderId="28" xfId="107" applyNumberFormat="1" applyFont="1" applyBorder="1" applyAlignment="1">
      <alignment horizontal="center" vertical="center"/>
    </xf>
    <xf numFmtId="0" fontId="40" fillId="0" borderId="16" xfId="0" applyFont="1" applyFill="1" applyBorder="1" applyAlignment="1">
      <alignment horizontal="center" vertical="center"/>
    </xf>
    <xf numFmtId="0" fontId="40" fillId="0" borderId="16" xfId="0" applyFont="1" applyFill="1" applyBorder="1" applyAlignment="1">
      <alignment horizontal="center" vertical="center" wrapText="1"/>
    </xf>
    <xf numFmtId="0" fontId="59" fillId="0" borderId="16" xfId="0" applyFont="1" applyFill="1" applyBorder="1" applyAlignment="1">
      <alignment horizontal="center" vertical="center"/>
    </xf>
    <xf numFmtId="0" fontId="58" fillId="0" borderId="216" xfId="0" applyFont="1" applyFill="1" applyBorder="1" applyAlignment="1">
      <alignment horizontal="center" vertical="center"/>
    </xf>
    <xf numFmtId="3" fontId="58" fillId="0" borderId="216" xfId="0" applyNumberFormat="1" applyFont="1" applyFill="1" applyBorder="1" applyAlignment="1">
      <alignment horizontal="center" vertical="center"/>
    </xf>
    <xf numFmtId="0" fontId="58" fillId="0" borderId="22" xfId="0" applyFont="1" applyFill="1" applyBorder="1" applyAlignment="1">
      <alignment horizontal="center" vertical="center"/>
    </xf>
    <xf numFmtId="3" fontId="58" fillId="0" borderId="22" xfId="0" applyNumberFormat="1" applyFont="1" applyFill="1" applyBorder="1" applyAlignment="1">
      <alignment horizontal="center" vertical="center"/>
    </xf>
    <xf numFmtId="3" fontId="67" fillId="0" borderId="0" xfId="0" applyNumberFormat="1" applyFont="1" applyBorder="1"/>
    <xf numFmtId="0" fontId="75" fillId="0" borderId="16" xfId="0" applyFont="1" applyFill="1" applyBorder="1" applyAlignment="1">
      <alignment horizontal="center" vertical="center" wrapText="1"/>
    </xf>
    <xf numFmtId="0" fontId="122" fillId="0" borderId="16" xfId="0" applyFont="1" applyFill="1" applyBorder="1" applyAlignment="1">
      <alignment horizontal="center" vertical="center" wrapText="1"/>
    </xf>
    <xf numFmtId="9" fontId="107" fillId="0" borderId="16" xfId="0" applyNumberFormat="1" applyFont="1" applyFill="1" applyBorder="1" applyAlignment="1">
      <alignment horizontal="center" vertical="center" wrapText="1"/>
    </xf>
    <xf numFmtId="0" fontId="0" fillId="0" borderId="216" xfId="0" applyFill="1" applyBorder="1" applyAlignment="1">
      <alignment horizontal="center" vertical="center"/>
    </xf>
    <xf numFmtId="3" fontId="0" fillId="0" borderId="216" xfId="0" applyNumberFormat="1" applyFill="1" applyBorder="1" applyAlignment="1">
      <alignment horizontal="center" vertical="center"/>
    </xf>
    <xf numFmtId="168" fontId="0" fillId="0" borderId="216" xfId="176" applyNumberFormat="1" applyFont="1" applyFill="1" applyBorder="1" applyAlignment="1">
      <alignment horizontal="center" vertical="center"/>
    </xf>
    <xf numFmtId="0" fontId="0" fillId="0" borderId="22" xfId="0" applyFill="1" applyBorder="1" applyAlignment="1">
      <alignment horizontal="center" vertical="center"/>
    </xf>
    <xf numFmtId="3" fontId="0" fillId="0" borderId="22" xfId="0" applyNumberFormat="1" applyFill="1" applyBorder="1" applyAlignment="1">
      <alignment horizontal="center" vertical="center"/>
    </xf>
    <xf numFmtId="168" fontId="0" fillId="0" borderId="22" xfId="176" applyNumberFormat="1" applyFont="1" applyFill="1" applyBorder="1" applyAlignment="1">
      <alignment horizontal="center" vertical="center"/>
    </xf>
    <xf numFmtId="0" fontId="0" fillId="0" borderId="0" xfId="0"/>
    <xf numFmtId="0" fontId="0" fillId="0" borderId="0" xfId="0"/>
    <xf numFmtId="1" fontId="43" fillId="0" borderId="0" xfId="173" applyNumberFormat="1" applyFont="1" applyFill="1" applyBorder="1" applyAlignment="1">
      <alignment horizontal="center" vertical="center" wrapText="1"/>
    </xf>
    <xf numFmtId="0" fontId="40" fillId="0" borderId="16" xfId="0" applyFont="1" applyBorder="1" applyAlignment="1">
      <alignment horizontal="center" vertical="center" wrapText="1"/>
    </xf>
    <xf numFmtId="0" fontId="0" fillId="0" borderId="0" xfId="0" applyAlignment="1">
      <alignment horizontal="center"/>
    </xf>
    <xf numFmtId="0" fontId="80" fillId="0" borderId="0" xfId="736" applyFont="1" applyAlignment="1">
      <alignment horizontal="center" vertical="center"/>
    </xf>
    <xf numFmtId="0" fontId="0" fillId="0" borderId="0" xfId="0"/>
    <xf numFmtId="0" fontId="23" fillId="0" borderId="16" xfId="0" applyFont="1" applyBorder="1" applyAlignment="1">
      <alignment horizontal="center" vertical="center" wrapText="1"/>
    </xf>
    <xf numFmtId="0" fontId="43" fillId="0" borderId="16" xfId="0" applyFont="1" applyFill="1" applyBorder="1" applyAlignment="1">
      <alignment horizontal="center" vertical="center"/>
    </xf>
    <xf numFmtId="171" fontId="40" fillId="20" borderId="225" xfId="0" applyNumberFormat="1" applyFont="1" applyFill="1" applyBorder="1" applyAlignment="1">
      <alignment horizontal="center" vertical="center"/>
    </xf>
    <xf numFmtId="171" fontId="80" fillId="20" borderId="225" xfId="441" applyNumberFormat="1" applyFont="1" applyFill="1" applyBorder="1" applyAlignment="1">
      <alignment horizontal="center" vertical="center"/>
    </xf>
    <xf numFmtId="0" fontId="0" fillId="0" borderId="0" xfId="0" applyBorder="1"/>
    <xf numFmtId="0" fontId="80" fillId="0" borderId="16" xfId="797" applyFont="1" applyFill="1" applyBorder="1" applyAlignment="1">
      <alignment horizontal="center" vertical="center"/>
    </xf>
    <xf numFmtId="0" fontId="80" fillId="0" borderId="16" xfId="452" applyFont="1" applyFill="1" applyBorder="1" applyAlignment="1">
      <alignment horizontal="center" vertical="center" wrapText="1"/>
    </xf>
    <xf numFmtId="168" fontId="43" fillId="20" borderId="175" xfId="228" applyNumberFormat="1" applyFont="1" applyFill="1" applyBorder="1" applyAlignment="1">
      <alignment horizontal="center" vertical="center"/>
    </xf>
    <xf numFmtId="168" fontId="40" fillId="20" borderId="226" xfId="176" applyNumberFormat="1" applyFont="1" applyFill="1" applyBorder="1" applyAlignment="1">
      <alignment horizontal="center" vertical="center"/>
    </xf>
    <xf numFmtId="168" fontId="43" fillId="20" borderId="175" xfId="176" applyNumberFormat="1" applyFont="1" applyFill="1" applyBorder="1" applyAlignment="1">
      <alignment horizontal="center" vertical="center"/>
    </xf>
    <xf numFmtId="168" fontId="80" fillId="20" borderId="226" xfId="176" applyNumberFormat="1" applyFont="1" applyFill="1" applyBorder="1" applyAlignment="1">
      <alignment horizontal="center" vertical="center"/>
    </xf>
    <xf numFmtId="168" fontId="80" fillId="20" borderId="175" xfId="176" applyNumberFormat="1" applyFont="1" applyFill="1" applyBorder="1" applyAlignment="1">
      <alignment horizontal="center" vertical="center"/>
    </xf>
    <xf numFmtId="168" fontId="80" fillId="20" borderId="227" xfId="176" applyNumberFormat="1" applyFont="1" applyFill="1" applyBorder="1" applyAlignment="1">
      <alignment horizontal="center" vertical="center"/>
    </xf>
    <xf numFmtId="168" fontId="43" fillId="20" borderId="226" xfId="176" applyNumberFormat="1" applyFont="1" applyFill="1" applyBorder="1" applyAlignment="1">
      <alignment horizontal="center" vertical="center"/>
    </xf>
    <xf numFmtId="0" fontId="80" fillId="20" borderId="226" xfId="736" applyFont="1" applyFill="1" applyBorder="1" applyAlignment="1">
      <alignment horizontal="center" vertical="center"/>
    </xf>
    <xf numFmtId="171" fontId="80" fillId="20" borderId="175" xfId="441" applyNumberFormat="1" applyFont="1" applyFill="1" applyBorder="1" applyAlignment="1">
      <alignment horizontal="center" vertical="center"/>
    </xf>
    <xf numFmtId="171" fontId="80" fillId="20" borderId="227" xfId="441" applyNumberFormat="1" applyFont="1" applyFill="1" applyBorder="1" applyAlignment="1">
      <alignment horizontal="center" vertical="center"/>
    </xf>
    <xf numFmtId="0" fontId="80" fillId="20" borderId="226" xfId="441" applyFont="1" applyFill="1" applyBorder="1" applyAlignment="1">
      <alignment horizontal="center" vertical="center"/>
    </xf>
    <xf numFmtId="168" fontId="0" fillId="0" borderId="0" xfId="176" applyNumberFormat="1" applyFont="1" applyBorder="1" applyAlignment="1">
      <alignment horizontal="right" indent="1"/>
    </xf>
    <xf numFmtId="0" fontId="0" fillId="0" borderId="0" xfId="0" applyBorder="1" applyAlignment="1">
      <alignment vertical="center"/>
    </xf>
    <xf numFmtId="0" fontId="0" fillId="0" borderId="0" xfId="0" applyFill="1" applyBorder="1"/>
    <xf numFmtId="168" fontId="0" fillId="0" borderId="28" xfId="176" applyNumberFormat="1" applyFont="1" applyBorder="1" applyAlignment="1">
      <alignment horizontal="right" indent="1"/>
    </xf>
    <xf numFmtId="168" fontId="0" fillId="0" borderId="22" xfId="176" applyNumberFormat="1" applyFont="1" applyBorder="1" applyAlignment="1">
      <alignment horizontal="right" indent="1"/>
    </xf>
    <xf numFmtId="168" fontId="0" fillId="0" borderId="25" xfId="176" applyNumberFormat="1" applyFont="1" applyBorder="1" applyAlignment="1">
      <alignment horizontal="right" indent="1"/>
    </xf>
    <xf numFmtId="0" fontId="0" fillId="0" borderId="0" xfId="0" applyFill="1" applyBorder="1" applyAlignment="1">
      <alignment vertical="center"/>
    </xf>
    <xf numFmtId="0" fontId="0" fillId="0" borderId="0" xfId="0" applyBorder="1" applyAlignment="1">
      <alignment horizontal="center"/>
    </xf>
    <xf numFmtId="0" fontId="0" fillId="0" borderId="0" xfId="0" applyBorder="1" applyAlignment="1">
      <alignment horizontal="center" vertical="center"/>
    </xf>
    <xf numFmtId="0" fontId="42" fillId="0" borderId="0" xfId="149" applyFont="1" applyBorder="1" applyAlignment="1">
      <alignment vertical="center"/>
    </xf>
    <xf numFmtId="0" fontId="80" fillId="0" borderId="16" xfId="173" applyFont="1" applyFill="1" applyBorder="1" applyAlignment="1">
      <alignment horizontal="center" vertical="center"/>
    </xf>
    <xf numFmtId="1" fontId="42" fillId="0" borderId="16" xfId="173" applyNumberFormat="1" applyFont="1" applyFill="1" applyBorder="1" applyAlignment="1">
      <alignment horizontal="center" vertical="center" wrapText="1"/>
    </xf>
    <xf numFmtId="0" fontId="55" fillId="0" borderId="239" xfId="173" applyFont="1" applyBorder="1" applyAlignment="1">
      <alignment horizontal="center" vertical="center" wrapText="1"/>
    </xf>
    <xf numFmtId="0" fontId="55" fillId="0" borderId="240" xfId="173" applyFont="1" applyBorder="1" applyAlignment="1">
      <alignment horizontal="center" vertical="center" wrapText="1"/>
    </xf>
    <xf numFmtId="0" fontId="42" fillId="0" borderId="0" xfId="149" applyFont="1" applyBorder="1" applyAlignment="1">
      <alignment horizontal="center" vertical="center"/>
    </xf>
    <xf numFmtId="1" fontId="42" fillId="0" borderId="16" xfId="173" applyNumberFormat="1" applyFont="1" applyFill="1" applyBorder="1" applyAlignment="1">
      <alignment vertical="center" wrapText="1"/>
    </xf>
    <xf numFmtId="0" fontId="43" fillId="0" borderId="0" xfId="149" applyFont="1" applyFill="1" applyBorder="1" applyAlignment="1">
      <alignment horizontal="center" vertical="center"/>
    </xf>
    <xf numFmtId="0" fontId="43" fillId="0" borderId="0" xfId="149" applyFont="1" applyFill="1" applyBorder="1" applyAlignment="1">
      <alignment horizontal="left" vertical="center"/>
    </xf>
    <xf numFmtId="0" fontId="43" fillId="0" borderId="0" xfId="149" applyFont="1" applyFill="1" applyBorder="1" applyAlignment="1">
      <alignment vertical="center"/>
    </xf>
    <xf numFmtId="0" fontId="5" fillId="0" borderId="0" xfId="149" applyFont="1" applyAlignment="1">
      <alignment vertical="center"/>
    </xf>
    <xf numFmtId="0" fontId="107" fillId="0" borderId="245" xfId="173" applyFont="1" applyBorder="1" applyAlignment="1">
      <alignment horizontal="center" vertical="center"/>
    </xf>
    <xf numFmtId="0" fontId="106" fillId="0" borderId="245" xfId="173" applyFont="1" applyBorder="1" applyAlignment="1">
      <alignment horizontal="center" vertical="center"/>
    </xf>
    <xf numFmtId="0" fontId="111" fillId="0" borderId="245" xfId="173" applyFont="1" applyBorder="1" applyAlignment="1">
      <alignment horizontal="center" vertical="center" wrapText="1"/>
    </xf>
    <xf numFmtId="0" fontId="109" fillId="0" borderId="245" xfId="173" applyFont="1" applyBorder="1" applyAlignment="1">
      <alignment horizontal="center" vertical="center" wrapText="1"/>
    </xf>
    <xf numFmtId="0" fontId="114" fillId="0" borderId="245" xfId="0" applyFont="1" applyBorder="1" applyAlignment="1">
      <alignment horizontal="center" vertical="center"/>
    </xf>
    <xf numFmtId="0" fontId="0" fillId="0" borderId="245" xfId="0" applyBorder="1" applyAlignment="1">
      <alignment horizontal="center" vertical="center"/>
    </xf>
    <xf numFmtId="0" fontId="25" fillId="0" borderId="16" xfId="173" applyFont="1" applyFill="1" applyBorder="1" applyAlignment="1">
      <alignment horizontal="center" vertical="center"/>
    </xf>
    <xf numFmtId="0" fontId="7" fillId="0" borderId="16" xfId="173" applyFont="1" applyFill="1" applyBorder="1" applyAlignment="1">
      <alignment horizontal="center" vertical="center" wrapText="1"/>
    </xf>
    <xf numFmtId="0" fontId="166" fillId="0" borderId="245" xfId="173" applyFont="1" applyBorder="1" applyAlignment="1">
      <alignment horizontal="center" vertical="center" wrapText="1"/>
    </xf>
    <xf numFmtId="0" fontId="23" fillId="20" borderId="245" xfId="173" applyFont="1" applyFill="1" applyBorder="1" applyAlignment="1">
      <alignment horizontal="center" vertical="center" wrapText="1"/>
    </xf>
    <xf numFmtId="167" fontId="23" fillId="20" borderId="245" xfId="109" applyNumberFormat="1" applyFont="1" applyFill="1" applyBorder="1" applyAlignment="1">
      <alignment horizontal="right" vertical="center" wrapText="1" indent="1"/>
    </xf>
    <xf numFmtId="3" fontId="40" fillId="20" borderId="245" xfId="0" applyNumberFormat="1" applyFont="1" applyFill="1" applyBorder="1" applyAlignment="1">
      <alignment horizontal="center" vertical="center"/>
    </xf>
    <xf numFmtId="0" fontId="114" fillId="0" borderId="245" xfId="0" applyFont="1" applyBorder="1" applyAlignment="1">
      <alignment horizontal="right" vertical="center" indent="1"/>
    </xf>
    <xf numFmtId="3" fontId="40" fillId="20" borderId="245" xfId="0" applyNumberFormat="1" applyFont="1" applyFill="1" applyBorder="1" applyAlignment="1">
      <alignment horizontal="right" vertical="center" indent="1"/>
    </xf>
    <xf numFmtId="0" fontId="114" fillId="0" borderId="246" xfId="0" applyFont="1" applyBorder="1" applyAlignment="1">
      <alignment horizontal="right" vertical="center" indent="1"/>
    </xf>
    <xf numFmtId="167" fontId="166" fillId="0" borderId="247" xfId="109" applyNumberFormat="1" applyFont="1" applyBorder="1" applyAlignment="1">
      <alignment horizontal="right" vertical="center" wrapText="1" indent="1"/>
    </xf>
    <xf numFmtId="3" fontId="40" fillId="20" borderId="246" xfId="0" applyNumberFormat="1" applyFont="1" applyFill="1" applyBorder="1" applyAlignment="1">
      <alignment horizontal="right" vertical="center" indent="1"/>
    </xf>
    <xf numFmtId="167" fontId="23" fillId="20" borderId="247" xfId="109" applyNumberFormat="1" applyFont="1" applyFill="1" applyBorder="1" applyAlignment="1">
      <alignment horizontal="right" vertical="center" wrapText="1" indent="1"/>
    </xf>
    <xf numFmtId="0" fontId="26" fillId="33" borderId="16" xfId="173" applyFont="1" applyFill="1" applyBorder="1" applyAlignment="1">
      <alignment horizontal="center" vertical="center" wrapText="1"/>
    </xf>
    <xf numFmtId="0" fontId="55" fillId="33" borderId="16" xfId="173" applyFont="1" applyFill="1" applyBorder="1" applyAlignment="1">
      <alignment horizontal="center" vertical="center"/>
    </xf>
    <xf numFmtId="1" fontId="41" fillId="33" borderId="16" xfId="173" applyNumberFormat="1" applyFont="1" applyFill="1" applyBorder="1" applyAlignment="1">
      <alignment horizontal="center" vertical="center" wrapText="1"/>
    </xf>
    <xf numFmtId="9" fontId="7" fillId="0" borderId="0" xfId="176" applyFont="1" applyBorder="1" applyAlignment="1">
      <alignment horizontal="center" vertical="center" wrapText="1"/>
    </xf>
    <xf numFmtId="9" fontId="7" fillId="0" borderId="16" xfId="176" applyFont="1" applyFill="1" applyBorder="1" applyAlignment="1">
      <alignment horizontal="center" vertical="center" wrapText="1"/>
    </xf>
    <xf numFmtId="1" fontId="166" fillId="0" borderId="245" xfId="109" applyNumberFormat="1" applyFont="1" applyBorder="1" applyAlignment="1">
      <alignment horizontal="right" vertical="center" wrapText="1" indent="1"/>
    </xf>
    <xf numFmtId="167" fontId="166" fillId="0" borderId="245" xfId="109" applyNumberFormat="1" applyFont="1" applyBorder="1" applyAlignment="1">
      <alignment horizontal="right" vertical="center" wrapText="1" indent="1"/>
    </xf>
    <xf numFmtId="0" fontId="107" fillId="20" borderId="245" xfId="149" applyFont="1" applyFill="1" applyBorder="1" applyAlignment="1">
      <alignment horizontal="center" vertical="center"/>
    </xf>
    <xf numFmtId="0" fontId="106" fillId="20" borderId="245" xfId="149" applyFont="1" applyFill="1" applyBorder="1" applyAlignment="1">
      <alignment horizontal="center" vertical="center"/>
    </xf>
    <xf numFmtId="0" fontId="111" fillId="20" borderId="245" xfId="149" applyFont="1" applyFill="1" applyBorder="1" applyAlignment="1">
      <alignment horizontal="center" vertical="center"/>
    </xf>
    <xf numFmtId="0" fontId="38" fillId="0" borderId="0" xfId="167" applyBorder="1" applyAlignment="1">
      <alignment vertical="center"/>
    </xf>
    <xf numFmtId="0" fontId="109" fillId="20" borderId="245" xfId="149" applyFont="1" applyFill="1" applyBorder="1" applyAlignment="1">
      <alignment horizontal="center" vertical="center"/>
    </xf>
    <xf numFmtId="0" fontId="38" fillId="0" borderId="0" xfId="167" applyBorder="1" applyAlignment="1">
      <alignment horizontal="center" vertical="center"/>
    </xf>
    <xf numFmtId="0" fontId="114" fillId="20" borderId="245" xfId="149" applyFont="1" applyFill="1" applyBorder="1" applyAlignment="1">
      <alignment horizontal="center" vertical="center"/>
    </xf>
    <xf numFmtId="0" fontId="43" fillId="20" borderId="245" xfId="149" applyFont="1" applyFill="1" applyBorder="1" applyAlignment="1">
      <alignment horizontal="center" vertical="center"/>
    </xf>
    <xf numFmtId="0" fontId="38" fillId="0" borderId="0" xfId="167" applyFill="1" applyBorder="1" applyAlignment="1">
      <alignment vertical="center"/>
    </xf>
    <xf numFmtId="9" fontId="42" fillId="0" borderId="22" xfId="176" applyFont="1" applyBorder="1" applyAlignment="1">
      <alignment horizontal="right" vertical="center" indent="1"/>
    </xf>
    <xf numFmtId="0" fontId="107" fillId="20" borderId="245" xfId="167" applyFont="1" applyFill="1" applyBorder="1" applyAlignment="1">
      <alignment horizontal="right" vertical="center" indent="1"/>
    </xf>
    <xf numFmtId="9" fontId="107" fillId="0" borderId="245" xfId="176" applyFont="1" applyBorder="1" applyAlignment="1">
      <alignment horizontal="right" vertical="center" indent="1"/>
    </xf>
    <xf numFmtId="9" fontId="38" fillId="0" borderId="0" xfId="176" applyBorder="1" applyAlignment="1">
      <alignment vertical="center"/>
    </xf>
    <xf numFmtId="0" fontId="106" fillId="20" borderId="245" xfId="167" applyFont="1" applyFill="1" applyBorder="1" applyAlignment="1">
      <alignment horizontal="right" vertical="center" indent="1"/>
    </xf>
    <xf numFmtId="9" fontId="106" fillId="0" borderId="245" xfId="176" applyFont="1" applyBorder="1" applyAlignment="1">
      <alignment horizontal="right" vertical="center" indent="1"/>
    </xf>
    <xf numFmtId="0" fontId="111" fillId="20" borderId="245" xfId="167" applyFont="1" applyFill="1" applyBorder="1" applyAlignment="1">
      <alignment horizontal="right" vertical="center" indent="1"/>
    </xf>
    <xf numFmtId="9" fontId="111" fillId="0" borderId="245" xfId="176" applyFont="1" applyBorder="1" applyAlignment="1">
      <alignment horizontal="right" vertical="center" indent="1"/>
    </xf>
    <xf numFmtId="0" fontId="109" fillId="20" borderId="245" xfId="167" applyFont="1" applyFill="1" applyBorder="1" applyAlignment="1">
      <alignment horizontal="right" vertical="center" indent="1"/>
    </xf>
    <xf numFmtId="9" fontId="109" fillId="0" borderId="245" xfId="176" applyFont="1" applyBorder="1" applyAlignment="1">
      <alignment horizontal="right" vertical="center" indent="1"/>
    </xf>
    <xf numFmtId="0" fontId="114" fillId="20" borderId="245" xfId="167" applyFont="1" applyFill="1" applyBorder="1" applyAlignment="1">
      <alignment horizontal="right" vertical="center" indent="1"/>
    </xf>
    <xf numFmtId="9" fontId="114" fillId="0" borderId="245" xfId="176" applyFont="1" applyBorder="1" applyAlignment="1">
      <alignment horizontal="right" vertical="center" indent="1"/>
    </xf>
    <xf numFmtId="0" fontId="43" fillId="20" borderId="245" xfId="167" applyFont="1" applyFill="1" applyBorder="1" applyAlignment="1">
      <alignment horizontal="right" vertical="center" indent="1"/>
    </xf>
    <xf numFmtId="9" fontId="43" fillId="0" borderId="245" xfId="176" applyFont="1" applyBorder="1" applyAlignment="1">
      <alignment horizontal="right" vertical="center" indent="1"/>
    </xf>
    <xf numFmtId="0" fontId="43" fillId="0" borderId="22" xfId="167" applyFont="1" applyBorder="1" applyAlignment="1">
      <alignment horizontal="right" vertical="center" indent="1"/>
    </xf>
    <xf numFmtId="0" fontId="107" fillId="0" borderId="245" xfId="167" applyFont="1" applyBorder="1" applyAlignment="1">
      <alignment horizontal="right" vertical="center" indent="1"/>
    </xf>
    <xf numFmtId="0" fontId="106" fillId="0" borderId="245" xfId="167" applyFont="1" applyBorder="1" applyAlignment="1">
      <alignment horizontal="right" vertical="center" indent="1"/>
    </xf>
    <xf numFmtId="0" fontId="111" fillId="0" borderId="245" xfId="167" applyFont="1" applyBorder="1" applyAlignment="1">
      <alignment horizontal="right" vertical="center" indent="1"/>
    </xf>
    <xf numFmtId="0" fontId="109" fillId="0" borderId="245" xfId="167" applyFont="1" applyBorder="1" applyAlignment="1">
      <alignment horizontal="right" vertical="center" indent="1"/>
    </xf>
    <xf numFmtId="0" fontId="114" fillId="0" borderId="245" xfId="167" applyFont="1" applyBorder="1" applyAlignment="1">
      <alignment horizontal="right" vertical="center" indent="1"/>
    </xf>
    <xf numFmtId="0" fontId="43" fillId="0" borderId="245" xfId="167" applyFont="1" applyBorder="1" applyAlignment="1">
      <alignment horizontal="right" vertical="center" indent="1"/>
    </xf>
    <xf numFmtId="0" fontId="42" fillId="0" borderId="146" xfId="167" applyFont="1" applyBorder="1" applyAlignment="1">
      <alignment horizontal="right" vertical="center" indent="1"/>
    </xf>
    <xf numFmtId="0" fontId="107" fillId="20" borderId="246" xfId="167" applyFont="1" applyFill="1" applyBorder="1" applyAlignment="1">
      <alignment horizontal="right" vertical="center" indent="1"/>
    </xf>
    <xf numFmtId="0" fontId="38" fillId="0" borderId="150" xfId="167" applyBorder="1" applyAlignment="1">
      <alignment vertical="center"/>
    </xf>
    <xf numFmtId="0" fontId="106" fillId="20" borderId="246" xfId="167" applyFont="1" applyFill="1" applyBorder="1" applyAlignment="1">
      <alignment horizontal="right" vertical="center" indent="1"/>
    </xf>
    <xf numFmtId="0" fontId="111" fillId="20" borderId="246" xfId="167" applyFont="1" applyFill="1" applyBorder="1" applyAlignment="1">
      <alignment horizontal="right" vertical="center" indent="1"/>
    </xf>
    <xf numFmtId="0" fontId="109" fillId="20" borderId="246" xfId="167" applyFont="1" applyFill="1" applyBorder="1" applyAlignment="1">
      <alignment horizontal="right" vertical="center" indent="1"/>
    </xf>
    <xf numFmtId="0" fontId="114" fillId="20" borderId="246" xfId="167" applyFont="1" applyFill="1" applyBorder="1" applyAlignment="1">
      <alignment horizontal="right" vertical="center" indent="1"/>
    </xf>
    <xf numFmtId="0" fontId="43" fillId="20" borderId="246" xfId="167" applyFont="1" applyFill="1" applyBorder="1" applyAlignment="1">
      <alignment horizontal="right" vertical="center" indent="1"/>
    </xf>
    <xf numFmtId="0" fontId="155" fillId="0" borderId="0" xfId="167" applyFont="1" applyBorder="1" applyAlignment="1">
      <alignment horizontal="center" vertical="center"/>
    </xf>
    <xf numFmtId="0" fontId="42" fillId="0" borderId="28" xfId="167" applyFont="1" applyBorder="1" applyAlignment="1">
      <alignment horizontal="right" vertical="center" indent="1"/>
    </xf>
    <xf numFmtId="0" fontId="42" fillId="0" borderId="153" xfId="167" applyFont="1" applyBorder="1" applyAlignment="1">
      <alignment horizontal="right" vertical="center" indent="1"/>
    </xf>
    <xf numFmtId="0" fontId="43" fillId="0" borderId="28" xfId="167" applyFont="1" applyBorder="1" applyAlignment="1">
      <alignment horizontal="right" vertical="center" indent="1"/>
    </xf>
    <xf numFmtId="9" fontId="42" fillId="0" borderId="28" xfId="176" applyFont="1" applyBorder="1" applyAlignment="1">
      <alignment horizontal="right" vertical="center" indent="1"/>
    </xf>
    <xf numFmtId="0" fontId="43" fillId="0" borderId="0" xfId="149" applyFont="1" applyBorder="1" applyAlignment="1">
      <alignment horizontal="center" vertical="center"/>
    </xf>
    <xf numFmtId="168" fontId="42" fillId="0" borderId="0" xfId="176" applyNumberFormat="1" applyFont="1" applyBorder="1" applyAlignment="1">
      <alignment horizontal="right" vertical="center" indent="1"/>
    </xf>
    <xf numFmtId="168" fontId="42" fillId="0" borderId="25" xfId="176" applyNumberFormat="1" applyFont="1" applyBorder="1" applyAlignment="1">
      <alignment horizontal="right" vertical="center" indent="1"/>
    </xf>
    <xf numFmtId="168" fontId="43" fillId="20" borderId="25" xfId="176" applyNumberFormat="1" applyFont="1" applyFill="1" applyBorder="1" applyAlignment="1">
      <alignment horizontal="right" vertical="center" indent="1"/>
    </xf>
    <xf numFmtId="168" fontId="107" fillId="0" borderId="245" xfId="176" applyNumberFormat="1" applyFont="1" applyBorder="1" applyAlignment="1">
      <alignment horizontal="right" vertical="center" indent="1"/>
    </xf>
    <xf numFmtId="168" fontId="106" fillId="0" borderId="245" xfId="176" applyNumberFormat="1" applyFont="1" applyBorder="1" applyAlignment="1">
      <alignment horizontal="right" vertical="center" indent="1"/>
    </xf>
    <xf numFmtId="168" fontId="111" fillId="0" borderId="245" xfId="176" applyNumberFormat="1" applyFont="1" applyBorder="1" applyAlignment="1">
      <alignment horizontal="right" vertical="center" indent="1"/>
    </xf>
    <xf numFmtId="168" fontId="109" fillId="0" borderId="245" xfId="176" applyNumberFormat="1" applyFont="1" applyBorder="1" applyAlignment="1">
      <alignment horizontal="right" vertical="center" indent="1"/>
    </xf>
    <xf numFmtId="168" fontId="114" fillId="0" borderId="245" xfId="176" applyNumberFormat="1" applyFont="1" applyBorder="1" applyAlignment="1">
      <alignment horizontal="right" vertical="center" indent="1"/>
    </xf>
    <xf numFmtId="168" fontId="43" fillId="20" borderId="245" xfId="176" applyNumberFormat="1" applyFont="1" applyFill="1" applyBorder="1" applyAlignment="1">
      <alignment horizontal="right" vertical="center" indent="1"/>
    </xf>
    <xf numFmtId="0" fontId="55" fillId="0" borderId="216" xfId="173" applyFont="1" applyBorder="1" applyAlignment="1">
      <alignment horizontal="right" vertical="center" wrapText="1" indent="1"/>
    </xf>
    <xf numFmtId="168" fontId="42" fillId="0" borderId="109" xfId="176" applyNumberFormat="1" applyFont="1" applyBorder="1" applyAlignment="1">
      <alignment horizontal="right" vertical="center" indent="1"/>
    </xf>
    <xf numFmtId="0" fontId="107" fillId="0" borderId="245" xfId="173" applyFont="1" applyBorder="1" applyAlignment="1">
      <alignment horizontal="right" vertical="center" indent="1"/>
    </xf>
    <xf numFmtId="0" fontId="106" fillId="0" borderId="245" xfId="173" applyFont="1" applyBorder="1" applyAlignment="1">
      <alignment horizontal="right" vertical="center" indent="1"/>
    </xf>
    <xf numFmtId="0" fontId="111" fillId="0" borderId="245" xfId="173" applyFont="1" applyBorder="1" applyAlignment="1">
      <alignment horizontal="right" vertical="center" wrapText="1" indent="1"/>
    </xf>
    <xf numFmtId="0" fontId="109" fillId="0" borderId="245" xfId="173" applyFont="1" applyBorder="1" applyAlignment="1">
      <alignment horizontal="right" vertical="center" wrapText="1" indent="1"/>
    </xf>
    <xf numFmtId="0" fontId="1" fillId="0" borderId="0" xfId="149" applyBorder="1" applyAlignment="1">
      <alignment vertical="center"/>
    </xf>
    <xf numFmtId="168" fontId="43" fillId="43" borderId="245" xfId="176" applyNumberFormat="1" applyFont="1" applyFill="1" applyBorder="1" applyAlignment="1">
      <alignment horizontal="right" vertical="center" indent="1"/>
    </xf>
    <xf numFmtId="0" fontId="55" fillId="0" borderId="248" xfId="173" applyFont="1" applyBorder="1" applyAlignment="1">
      <alignment vertical="center" wrapText="1"/>
    </xf>
    <xf numFmtId="0" fontId="55" fillId="0" borderId="249" xfId="173" applyFont="1" applyBorder="1" applyAlignment="1">
      <alignment vertical="center" wrapText="1"/>
    </xf>
    <xf numFmtId="0" fontId="55" fillId="0" borderId="250" xfId="173" applyFont="1" applyBorder="1" applyAlignment="1">
      <alignment vertical="center" wrapText="1"/>
    </xf>
    <xf numFmtId="0" fontId="55" fillId="0" borderId="251" xfId="173" applyFont="1" applyBorder="1" applyAlignment="1">
      <alignment vertical="center" wrapText="1"/>
    </xf>
    <xf numFmtId="0" fontId="55" fillId="0" borderId="249" xfId="817" applyFont="1" applyBorder="1" applyAlignment="1">
      <alignment vertical="center" wrapText="1"/>
    </xf>
    <xf numFmtId="0" fontId="55" fillId="0" borderId="252" xfId="173" applyFont="1" applyBorder="1" applyAlignment="1">
      <alignment vertical="center" wrapText="1"/>
    </xf>
    <xf numFmtId="0" fontId="55" fillId="0" borderId="253" xfId="818" applyFont="1" applyBorder="1" applyAlignment="1">
      <alignment vertical="center" wrapText="1"/>
    </xf>
    <xf numFmtId="0" fontId="55" fillId="0" borderId="254" xfId="818" applyFont="1" applyBorder="1" applyAlignment="1">
      <alignment vertical="center" wrapText="1"/>
    </xf>
    <xf numFmtId="0" fontId="55" fillId="0" borderId="255" xfId="818" applyFont="1" applyBorder="1" applyAlignment="1">
      <alignment vertical="center" wrapText="1"/>
    </xf>
    <xf numFmtId="0" fontId="55" fillId="0" borderId="237" xfId="173" applyFont="1" applyBorder="1" applyAlignment="1">
      <alignment horizontal="right" vertical="center" wrapText="1" indent="1"/>
    </xf>
    <xf numFmtId="0" fontId="7" fillId="0" borderId="256" xfId="803" applyFont="1" applyBorder="1" applyAlignment="1">
      <alignment horizontal="right" vertical="center" wrapText="1" indent="1"/>
    </xf>
    <xf numFmtId="168" fontId="42" fillId="0" borderId="257" xfId="176" applyNumberFormat="1" applyFont="1" applyBorder="1" applyAlignment="1">
      <alignment horizontal="right" vertical="center" indent="1"/>
    </xf>
    <xf numFmtId="0" fontId="7" fillId="0" borderId="258" xfId="803" applyFont="1" applyBorder="1" applyAlignment="1">
      <alignment horizontal="right" vertical="center" wrapText="1" indent="1"/>
    </xf>
    <xf numFmtId="168" fontId="42" fillId="0" borderId="205" xfId="176" applyNumberFormat="1" applyFont="1" applyBorder="1" applyAlignment="1">
      <alignment horizontal="right" vertical="center" indent="1"/>
    </xf>
    <xf numFmtId="168" fontId="43" fillId="20" borderId="205" xfId="176" applyNumberFormat="1" applyFont="1" applyFill="1" applyBorder="1" applyAlignment="1">
      <alignment horizontal="right" vertical="center" indent="1"/>
    </xf>
    <xf numFmtId="0" fontId="7" fillId="22" borderId="258" xfId="173" applyFont="1" applyFill="1" applyBorder="1" applyAlignment="1">
      <alignment horizontal="right" vertical="center" wrapText="1" indent="1"/>
    </xf>
    <xf numFmtId="0" fontId="107" fillId="0" borderId="246" xfId="173" applyFont="1" applyBorder="1" applyAlignment="1">
      <alignment horizontal="right" vertical="center" indent="1"/>
    </xf>
    <xf numFmtId="167" fontId="162" fillId="0" borderId="247" xfId="109" applyNumberFormat="1" applyFont="1" applyBorder="1" applyAlignment="1">
      <alignment horizontal="right" vertical="center" wrapText="1" indent="1"/>
    </xf>
    <xf numFmtId="168" fontId="107" fillId="0" borderId="259" xfId="176" applyNumberFormat="1" applyFont="1" applyBorder="1" applyAlignment="1">
      <alignment horizontal="right" vertical="center" indent="1"/>
    </xf>
    <xf numFmtId="168" fontId="42" fillId="0" borderId="204" xfId="176" applyNumberFormat="1" applyFont="1" applyBorder="1" applyAlignment="1">
      <alignment horizontal="right" vertical="center" indent="1"/>
    </xf>
    <xf numFmtId="0" fontId="106" fillId="0" borderId="246" xfId="173" applyFont="1" applyBorder="1" applyAlignment="1">
      <alignment horizontal="right" vertical="center" indent="1"/>
    </xf>
    <xf numFmtId="167" fontId="163" fillId="0" borderId="247" xfId="109" applyNumberFormat="1" applyFont="1" applyBorder="1" applyAlignment="1">
      <alignment horizontal="right" vertical="center" wrapText="1" indent="1"/>
    </xf>
    <xf numFmtId="168" fontId="106" fillId="0" borderId="259" xfId="176" applyNumberFormat="1" applyFont="1" applyBorder="1" applyAlignment="1">
      <alignment horizontal="right" vertical="center" indent="1"/>
    </xf>
    <xf numFmtId="0" fontId="111" fillId="0" borderId="246" xfId="173" applyFont="1" applyBorder="1" applyAlignment="1">
      <alignment horizontal="right" vertical="center" wrapText="1" indent="1"/>
    </xf>
    <xf numFmtId="167" fontId="164" fillId="0" borderId="247" xfId="109" applyNumberFormat="1" applyFont="1" applyBorder="1" applyAlignment="1">
      <alignment horizontal="right" vertical="center" wrapText="1" indent="1"/>
    </xf>
    <xf numFmtId="168" fontId="111" fillId="0" borderId="259" xfId="176" applyNumberFormat="1" applyFont="1" applyBorder="1" applyAlignment="1">
      <alignment horizontal="right" vertical="center" indent="1"/>
    </xf>
    <xf numFmtId="0" fontId="7" fillId="0" borderId="260" xfId="173" applyFont="1" applyBorder="1" applyAlignment="1">
      <alignment horizontal="right" vertical="center" wrapText="1" indent="1"/>
    </xf>
    <xf numFmtId="0" fontId="109" fillId="0" borderId="246" xfId="173" applyFont="1" applyBorder="1" applyAlignment="1">
      <alignment horizontal="right" vertical="center" wrapText="1" indent="1"/>
    </xf>
    <xf numFmtId="167" fontId="165" fillId="0" borderId="247" xfId="109" applyNumberFormat="1" applyFont="1" applyBorder="1" applyAlignment="1">
      <alignment horizontal="right" vertical="center" wrapText="1" indent="1"/>
    </xf>
    <xf numFmtId="168" fontId="109" fillId="0" borderId="259" xfId="176" applyNumberFormat="1" applyFont="1" applyBorder="1" applyAlignment="1">
      <alignment horizontal="right" vertical="center" indent="1"/>
    </xf>
    <xf numFmtId="168" fontId="114" fillId="0" borderId="259" xfId="176" applyNumberFormat="1" applyFont="1" applyBorder="1" applyAlignment="1">
      <alignment horizontal="right" vertical="center" indent="1"/>
    </xf>
    <xf numFmtId="168" fontId="43" fillId="20" borderId="259" xfId="176" applyNumberFormat="1" applyFont="1" applyFill="1" applyBorder="1" applyAlignment="1">
      <alignment horizontal="right" vertical="center" indent="1"/>
    </xf>
    <xf numFmtId="0" fontId="55" fillId="0" borderId="261" xfId="173" applyFont="1" applyBorder="1" applyAlignment="1">
      <alignment horizontal="center" vertical="center" wrapText="1"/>
    </xf>
    <xf numFmtId="168" fontId="42" fillId="0" borderId="238" xfId="176" applyNumberFormat="1" applyFont="1" applyBorder="1" applyAlignment="1">
      <alignment horizontal="right" vertical="center" indent="1"/>
    </xf>
    <xf numFmtId="0" fontId="55" fillId="0" borderId="262" xfId="173" applyFont="1" applyBorder="1" applyAlignment="1">
      <alignment horizontal="center" vertical="center"/>
    </xf>
    <xf numFmtId="168" fontId="42" fillId="0" borderId="263" xfId="176" applyNumberFormat="1" applyFont="1" applyBorder="1" applyAlignment="1">
      <alignment horizontal="right" vertical="center" indent="1"/>
    </xf>
    <xf numFmtId="0" fontId="80" fillId="20" borderId="262" xfId="173" applyFont="1" applyFill="1" applyBorder="1" applyAlignment="1">
      <alignment horizontal="center" vertical="center" wrapText="1"/>
    </xf>
    <xf numFmtId="168" fontId="43" fillId="20" borderId="263" xfId="176" applyNumberFormat="1" applyFont="1" applyFill="1" applyBorder="1" applyAlignment="1">
      <alignment horizontal="right" vertical="center" indent="1"/>
    </xf>
    <xf numFmtId="0" fontId="55" fillId="0" borderId="262" xfId="173" applyFont="1" applyBorder="1" applyAlignment="1">
      <alignment horizontal="center" vertical="center" wrapText="1"/>
    </xf>
    <xf numFmtId="0" fontId="80" fillId="20" borderId="264" xfId="173" applyFont="1" applyFill="1" applyBorder="1" applyAlignment="1">
      <alignment horizontal="center" vertical="center"/>
    </xf>
    <xf numFmtId="0" fontId="107" fillId="0" borderId="265" xfId="173" applyFont="1" applyBorder="1" applyAlignment="1">
      <alignment horizontal="center" vertical="center"/>
    </xf>
    <xf numFmtId="168" fontId="107" fillId="0" borderId="266" xfId="176" applyNumberFormat="1" applyFont="1" applyBorder="1" applyAlignment="1">
      <alignment horizontal="right" vertical="center" indent="1"/>
    </xf>
    <xf numFmtId="0" fontId="55" fillId="0" borderId="267" xfId="173" applyFont="1" applyBorder="1" applyAlignment="1">
      <alignment horizontal="center" vertical="center"/>
    </xf>
    <xf numFmtId="168" fontId="42" fillId="0" borderId="200" xfId="176" applyNumberFormat="1" applyFont="1" applyBorder="1" applyAlignment="1">
      <alignment horizontal="right" vertical="center" indent="1"/>
    </xf>
    <xf numFmtId="0" fontId="80" fillId="20" borderId="262" xfId="173" applyFont="1" applyFill="1" applyBorder="1" applyAlignment="1">
      <alignment horizontal="center" vertical="center"/>
    </xf>
    <xf numFmtId="0" fontId="80" fillId="20" borderId="264" xfId="173" applyFont="1" applyFill="1" applyBorder="1" applyAlignment="1">
      <alignment horizontal="center" vertical="center" wrapText="1"/>
    </xf>
    <xf numFmtId="0" fontId="106" fillId="0" borderId="265" xfId="173" applyFont="1" applyBorder="1" applyAlignment="1">
      <alignment horizontal="center" vertical="center"/>
    </xf>
    <xf numFmtId="168" fontId="106" fillId="0" borderId="266" xfId="176" applyNumberFormat="1" applyFont="1" applyBorder="1" applyAlignment="1">
      <alignment horizontal="right" vertical="center" indent="1"/>
    </xf>
    <xf numFmtId="0" fontId="55" fillId="0" borderId="267" xfId="173" applyFont="1" applyBorder="1" applyAlignment="1">
      <alignment horizontal="center" vertical="center" wrapText="1"/>
    </xf>
    <xf numFmtId="0" fontId="111" fillId="0" borderId="265" xfId="173" applyFont="1" applyBorder="1" applyAlignment="1">
      <alignment horizontal="center" vertical="center" wrapText="1"/>
    </xf>
    <xf numFmtId="168" fontId="111" fillId="0" borderId="266" xfId="176" applyNumberFormat="1" applyFont="1" applyBorder="1" applyAlignment="1">
      <alignment horizontal="right" vertical="center" indent="1"/>
    </xf>
    <xf numFmtId="0" fontId="55" fillId="0" borderId="268" xfId="173" applyFont="1" applyBorder="1" applyAlignment="1">
      <alignment horizontal="center" vertical="center" wrapText="1"/>
    </xf>
    <xf numFmtId="0" fontId="109" fillId="0" borderId="265" xfId="173" applyFont="1" applyBorder="1" applyAlignment="1">
      <alignment horizontal="center" vertical="center" wrapText="1"/>
    </xf>
    <xf numFmtId="168" fontId="109" fillId="0" borderId="266" xfId="176" applyNumberFormat="1" applyFont="1" applyBorder="1" applyAlignment="1">
      <alignment horizontal="right" vertical="center" indent="1"/>
    </xf>
    <xf numFmtId="0" fontId="114" fillId="0" borderId="265" xfId="0" applyFont="1" applyBorder="1" applyAlignment="1">
      <alignment horizontal="center" vertical="center"/>
    </xf>
    <xf numFmtId="168" fontId="114" fillId="0" borderId="266" xfId="176" applyNumberFormat="1" applyFont="1" applyBorder="1" applyAlignment="1">
      <alignment horizontal="right" vertical="center" indent="1"/>
    </xf>
    <xf numFmtId="0" fontId="1" fillId="0" borderId="199" xfId="149" applyBorder="1" applyAlignment="1">
      <alignment vertical="center"/>
    </xf>
    <xf numFmtId="0" fontId="1" fillId="0" borderId="200" xfId="149" applyBorder="1" applyAlignment="1">
      <alignment vertical="center"/>
    </xf>
    <xf numFmtId="3" fontId="40" fillId="20" borderId="265" xfId="0" applyNumberFormat="1" applyFont="1" applyFill="1" applyBorder="1" applyAlignment="1">
      <alignment horizontal="center" vertical="center"/>
    </xf>
    <xf numFmtId="168" fontId="43" fillId="20" borderId="266" xfId="176" applyNumberFormat="1" applyFont="1" applyFill="1" applyBorder="1" applyAlignment="1">
      <alignment horizontal="right" vertical="center" indent="1"/>
    </xf>
    <xf numFmtId="171" fontId="7" fillId="0" borderId="253" xfId="176" applyNumberFormat="1" applyFont="1" applyBorder="1" applyAlignment="1">
      <alignment horizontal="center" vertical="center" wrapText="1"/>
    </xf>
    <xf numFmtId="171" fontId="7" fillId="0" borderId="0" xfId="176" applyNumberFormat="1" applyFont="1" applyBorder="1" applyAlignment="1">
      <alignment horizontal="center" vertical="center" wrapText="1"/>
    </xf>
    <xf numFmtId="171" fontId="23" fillId="20" borderId="22" xfId="176" applyNumberFormat="1" applyFont="1" applyFill="1" applyBorder="1" applyAlignment="1">
      <alignment horizontal="center" vertical="center" wrapText="1"/>
    </xf>
    <xf numFmtId="171" fontId="7" fillId="22" borderId="253" xfId="176" applyNumberFormat="1" applyFont="1" applyFill="1" applyBorder="1" applyAlignment="1">
      <alignment horizontal="center" vertical="center" wrapText="1"/>
    </xf>
    <xf numFmtId="171" fontId="7" fillId="22" borderId="0" xfId="176" applyNumberFormat="1" applyFont="1" applyFill="1" applyBorder="1" applyAlignment="1">
      <alignment horizontal="center" vertical="center" wrapText="1"/>
    </xf>
    <xf numFmtId="171" fontId="23" fillId="20" borderId="25" xfId="176" applyNumberFormat="1" applyFont="1" applyFill="1" applyBorder="1" applyAlignment="1">
      <alignment horizontal="center" vertical="center" wrapText="1"/>
    </xf>
    <xf numFmtId="171" fontId="162" fillId="0" borderId="226" xfId="176" applyNumberFormat="1" applyFont="1" applyBorder="1" applyAlignment="1">
      <alignment horizontal="center" vertical="center" wrapText="1"/>
    </xf>
    <xf numFmtId="171" fontId="163" fillId="0" borderId="226" xfId="176" applyNumberFormat="1" applyFont="1" applyBorder="1" applyAlignment="1">
      <alignment horizontal="center" vertical="center" wrapText="1"/>
    </xf>
    <xf numFmtId="171" fontId="164" fillId="0" borderId="226" xfId="176" applyNumberFormat="1" applyFont="1" applyBorder="1" applyAlignment="1">
      <alignment horizontal="center" vertical="center" wrapText="1"/>
    </xf>
    <xf numFmtId="171" fontId="7" fillId="0" borderId="254" xfId="176" applyNumberFormat="1" applyFont="1" applyBorder="1" applyAlignment="1">
      <alignment horizontal="center" vertical="center" wrapText="1"/>
    </xf>
    <xf numFmtId="171" fontId="165" fillId="0" borderId="226" xfId="176" applyNumberFormat="1" applyFont="1" applyBorder="1" applyAlignment="1">
      <alignment horizontal="center" vertical="center" wrapText="1"/>
    </xf>
    <xf numFmtId="171" fontId="23" fillId="20" borderId="0" xfId="176" applyNumberFormat="1" applyFont="1" applyFill="1" applyBorder="1" applyAlignment="1">
      <alignment horizontal="center" vertical="center" wrapText="1"/>
    </xf>
    <xf numFmtId="171" fontId="166" fillId="0" borderId="226" xfId="176" applyNumberFormat="1" applyFont="1" applyBorder="1" applyAlignment="1">
      <alignment horizontal="center" vertical="center" wrapText="1"/>
    </xf>
    <xf numFmtId="171" fontId="23" fillId="20" borderId="226" xfId="176" applyNumberFormat="1" applyFont="1" applyFill="1" applyBorder="1" applyAlignment="1">
      <alignment horizontal="center" vertical="center" wrapText="1"/>
    </xf>
    <xf numFmtId="3" fontId="7" fillId="0" borderId="253" xfId="803" applyNumberFormat="1" applyFont="1" applyBorder="1" applyAlignment="1">
      <alignment horizontal="right" vertical="center" wrapText="1" indent="1"/>
    </xf>
    <xf numFmtId="3" fontId="7" fillId="0" borderId="258" xfId="803" applyNumberFormat="1" applyFont="1" applyBorder="1" applyAlignment="1">
      <alignment horizontal="right" vertical="center" wrapText="1" indent="1"/>
    </xf>
    <xf numFmtId="3" fontId="7" fillId="0" borderId="0" xfId="803" applyNumberFormat="1" applyFont="1" applyBorder="1" applyAlignment="1">
      <alignment horizontal="right" vertical="center" wrapText="1" indent="1"/>
    </xf>
    <xf numFmtId="3" fontId="23" fillId="20" borderId="22" xfId="109" applyNumberFormat="1" applyFont="1" applyFill="1" applyBorder="1" applyAlignment="1">
      <alignment horizontal="right" vertical="center" wrapText="1" indent="1"/>
    </xf>
    <xf numFmtId="3" fontId="7" fillId="22" borderId="253" xfId="173" applyNumberFormat="1" applyFont="1" applyFill="1" applyBorder="1" applyAlignment="1">
      <alignment horizontal="right" vertical="center" wrapText="1" indent="1"/>
    </xf>
    <xf numFmtId="3" fontId="7" fillId="22" borderId="258" xfId="173" applyNumberFormat="1" applyFont="1" applyFill="1" applyBorder="1" applyAlignment="1">
      <alignment horizontal="right" vertical="center" wrapText="1" indent="1"/>
    </xf>
    <xf numFmtId="3" fontId="7" fillId="22" borderId="0" xfId="173" applyNumberFormat="1" applyFont="1" applyFill="1" applyBorder="1" applyAlignment="1">
      <alignment horizontal="right" vertical="center" wrapText="1" indent="1"/>
    </xf>
    <xf numFmtId="3" fontId="23" fillId="20" borderId="25" xfId="109" applyNumberFormat="1" applyFont="1" applyFill="1" applyBorder="1" applyAlignment="1">
      <alignment horizontal="right" vertical="center" wrapText="1" indent="1"/>
    </xf>
    <xf numFmtId="3" fontId="162" fillId="0" borderId="226" xfId="109" applyNumberFormat="1" applyFont="1" applyBorder="1" applyAlignment="1">
      <alignment horizontal="right" vertical="center" wrapText="1" indent="1"/>
    </xf>
    <xf numFmtId="3" fontId="162" fillId="0" borderId="236" xfId="109" applyNumberFormat="1" applyFont="1" applyBorder="1" applyAlignment="1">
      <alignment horizontal="right" vertical="center" wrapText="1" indent="1"/>
    </xf>
    <xf numFmtId="3" fontId="7" fillId="22" borderId="223" xfId="173" applyNumberFormat="1" applyFont="1" applyFill="1" applyBorder="1" applyAlignment="1">
      <alignment horizontal="right" vertical="center" wrapText="1" indent="1"/>
    </xf>
    <xf numFmtId="3" fontId="7" fillId="22" borderId="224" xfId="173" applyNumberFormat="1" applyFont="1" applyFill="1" applyBorder="1" applyAlignment="1">
      <alignment horizontal="right" vertical="center" wrapText="1" indent="1"/>
    </xf>
    <xf numFmtId="171" fontId="7" fillId="22" borderId="223" xfId="176" applyNumberFormat="1" applyFont="1" applyFill="1" applyBorder="1" applyAlignment="1">
      <alignment horizontal="center" vertical="center" wrapText="1"/>
    </xf>
    <xf numFmtId="3" fontId="163" fillId="0" borderId="226" xfId="109" applyNumberFormat="1" applyFont="1" applyBorder="1" applyAlignment="1">
      <alignment horizontal="right" vertical="center" wrapText="1" indent="1"/>
    </xf>
    <xf numFmtId="3" fontId="164" fillId="0" borderId="226" xfId="109" applyNumberFormat="1" applyFont="1" applyBorder="1" applyAlignment="1">
      <alignment horizontal="right" vertical="center" wrapText="1" indent="1"/>
    </xf>
    <xf numFmtId="3" fontId="7" fillId="0" borderId="254" xfId="173" applyNumberFormat="1" applyFont="1" applyBorder="1" applyAlignment="1">
      <alignment horizontal="right" vertical="center" wrapText="1" indent="1"/>
    </xf>
    <xf numFmtId="3" fontId="7" fillId="0" borderId="260" xfId="173" applyNumberFormat="1" applyFont="1" applyBorder="1" applyAlignment="1">
      <alignment horizontal="right" vertical="center" wrapText="1" indent="1"/>
    </xf>
    <xf numFmtId="3" fontId="165" fillId="0" borderId="226" xfId="109" applyNumberFormat="1" applyFont="1" applyBorder="1" applyAlignment="1">
      <alignment horizontal="right" vertical="center" wrapText="1" indent="1"/>
    </xf>
    <xf numFmtId="3" fontId="165" fillId="0" borderId="228" xfId="109" applyNumberFormat="1" applyFont="1" applyBorder="1" applyAlignment="1">
      <alignment horizontal="right" vertical="center" wrapText="1" indent="1"/>
    </xf>
    <xf numFmtId="3" fontId="23" fillId="20" borderId="0" xfId="109" applyNumberFormat="1" applyFont="1" applyFill="1" applyBorder="1" applyAlignment="1">
      <alignment horizontal="right" vertical="center" wrapText="1" indent="1"/>
    </xf>
    <xf numFmtId="3" fontId="166" fillId="0" borderId="226" xfId="109" applyNumberFormat="1" applyFont="1" applyBorder="1" applyAlignment="1">
      <alignment horizontal="right" vertical="center" wrapText="1" indent="1"/>
    </xf>
    <xf numFmtId="3" fontId="114" fillId="0" borderId="247" xfId="0" applyNumberFormat="1" applyFont="1" applyBorder="1" applyAlignment="1">
      <alignment horizontal="right" vertical="center" indent="1"/>
    </xf>
    <xf numFmtId="167" fontId="23" fillId="20" borderId="226" xfId="109" applyNumberFormat="1" applyFont="1" applyFill="1" applyBorder="1" applyAlignment="1">
      <alignment horizontal="right" vertical="center" wrapText="1" indent="1"/>
    </xf>
    <xf numFmtId="9" fontId="7" fillId="0" borderId="223" xfId="176" applyFont="1" applyBorder="1" applyAlignment="1">
      <alignment horizontal="center" vertical="center" wrapText="1"/>
    </xf>
    <xf numFmtId="9" fontId="23" fillId="20" borderId="22" xfId="176" applyFont="1" applyFill="1" applyBorder="1" applyAlignment="1">
      <alignment horizontal="center" vertical="center" wrapText="1"/>
    </xf>
    <xf numFmtId="9" fontId="7" fillId="22" borderId="223" xfId="176" applyFont="1" applyFill="1" applyBorder="1" applyAlignment="1">
      <alignment horizontal="center" vertical="center" wrapText="1"/>
    </xf>
    <xf numFmtId="9" fontId="7" fillId="22" borderId="0" xfId="176" applyFont="1" applyFill="1" applyBorder="1" applyAlignment="1">
      <alignment horizontal="center" vertical="center" wrapText="1"/>
    </xf>
    <xf numFmtId="9" fontId="23" fillId="20" borderId="25" xfId="176" applyFont="1" applyFill="1" applyBorder="1" applyAlignment="1">
      <alignment horizontal="center" vertical="center" wrapText="1"/>
    </xf>
    <xf numFmtId="9" fontId="162" fillId="0" borderId="245" xfId="176" applyFont="1" applyBorder="1" applyAlignment="1">
      <alignment horizontal="center" vertical="center" wrapText="1"/>
    </xf>
    <xf numFmtId="9" fontId="163" fillId="0" borderId="245" xfId="176" applyFont="1" applyBorder="1" applyAlignment="1">
      <alignment horizontal="center" vertical="center" wrapText="1"/>
    </xf>
    <xf numFmtId="9" fontId="164" fillId="0" borderId="245" xfId="176" applyFont="1" applyBorder="1" applyAlignment="1">
      <alignment horizontal="center" vertical="center" wrapText="1"/>
    </xf>
    <xf numFmtId="9" fontId="7" fillId="0" borderId="254" xfId="176" applyFont="1" applyBorder="1" applyAlignment="1">
      <alignment horizontal="center" vertical="center" wrapText="1"/>
    </xf>
    <xf numFmtId="9" fontId="165" fillId="0" borderId="245" xfId="176" applyFont="1" applyBorder="1" applyAlignment="1">
      <alignment horizontal="center" vertical="center" wrapText="1"/>
    </xf>
    <xf numFmtId="9" fontId="166" fillId="0" borderId="245" xfId="176" applyFont="1" applyBorder="1" applyAlignment="1">
      <alignment horizontal="center" vertical="center" wrapText="1"/>
    </xf>
    <xf numFmtId="9" fontId="23" fillId="20" borderId="245" xfId="176" applyFont="1" applyFill="1" applyBorder="1" applyAlignment="1">
      <alignment horizontal="center" vertical="center" wrapText="1"/>
    </xf>
    <xf numFmtId="1" fontId="7" fillId="0" borderId="223" xfId="803" applyNumberFormat="1" applyFont="1" applyBorder="1" applyAlignment="1">
      <alignment horizontal="right" vertical="center" wrapText="1" indent="1"/>
    </xf>
    <xf numFmtId="1" fontId="7" fillId="0" borderId="0" xfId="803" applyNumberFormat="1" applyFont="1" applyBorder="1" applyAlignment="1">
      <alignment horizontal="right" vertical="center" wrapText="1" indent="1"/>
    </xf>
    <xf numFmtId="0" fontId="7" fillId="0" borderId="0" xfId="803" applyFont="1" applyBorder="1" applyAlignment="1">
      <alignment horizontal="right" vertical="center" wrapText="1" indent="1"/>
    </xf>
    <xf numFmtId="1" fontId="23" fillId="20" borderId="22" xfId="109" applyNumberFormat="1" applyFont="1" applyFill="1" applyBorder="1" applyAlignment="1">
      <alignment horizontal="right" vertical="center" wrapText="1" indent="1"/>
    </xf>
    <xf numFmtId="1" fontId="7" fillId="22" borderId="223" xfId="173" applyNumberFormat="1" applyFont="1" applyFill="1" applyBorder="1" applyAlignment="1">
      <alignment horizontal="right" vertical="center" wrapText="1" indent="1"/>
    </xf>
    <xf numFmtId="0" fontId="7" fillId="22" borderId="223" xfId="173" applyFont="1" applyFill="1" applyBorder="1" applyAlignment="1">
      <alignment horizontal="right" vertical="center" wrapText="1" indent="1"/>
    </xf>
    <xf numFmtId="1" fontId="7" fillId="22" borderId="0" xfId="173" applyNumberFormat="1" applyFont="1" applyFill="1" applyBorder="1" applyAlignment="1">
      <alignment horizontal="right" vertical="center" wrapText="1" indent="1"/>
    </xf>
    <xf numFmtId="0" fontId="7" fillId="22" borderId="0" xfId="173" applyFont="1" applyFill="1" applyBorder="1" applyAlignment="1">
      <alignment horizontal="right" vertical="center" wrapText="1" indent="1"/>
    </xf>
    <xf numFmtId="1" fontId="23" fillId="20" borderId="25" xfId="109" applyNumberFormat="1" applyFont="1" applyFill="1" applyBorder="1" applyAlignment="1">
      <alignment horizontal="right" vertical="center" wrapText="1" indent="1"/>
    </xf>
    <xf numFmtId="1" fontId="162" fillId="0" borderId="245" xfId="109" applyNumberFormat="1" applyFont="1" applyBorder="1" applyAlignment="1">
      <alignment horizontal="right" vertical="center" wrapText="1" indent="1"/>
    </xf>
    <xf numFmtId="167" fontId="162" fillId="0" borderId="245" xfId="109" applyNumberFormat="1" applyFont="1" applyBorder="1" applyAlignment="1">
      <alignment horizontal="right" vertical="center" wrapText="1" indent="1"/>
    </xf>
    <xf numFmtId="1" fontId="163" fillId="0" borderId="245" xfId="109" applyNumberFormat="1" applyFont="1" applyBorder="1" applyAlignment="1">
      <alignment horizontal="right" vertical="center" wrapText="1" indent="1"/>
    </xf>
    <xf numFmtId="167" fontId="163" fillId="0" borderId="245" xfId="109" applyNumberFormat="1" applyFont="1" applyBorder="1" applyAlignment="1">
      <alignment horizontal="right" vertical="center" wrapText="1" indent="1"/>
    </xf>
    <xf numFmtId="1" fontId="164" fillId="0" borderId="245" xfId="109" applyNumberFormat="1" applyFont="1" applyBorder="1" applyAlignment="1">
      <alignment horizontal="right" vertical="center" wrapText="1" indent="1"/>
    </xf>
    <xf numFmtId="167" fontId="164" fillId="0" borderId="245" xfId="109" applyNumberFormat="1" applyFont="1" applyBorder="1" applyAlignment="1">
      <alignment horizontal="right" vertical="center" wrapText="1" indent="1"/>
    </xf>
    <xf numFmtId="1" fontId="7" fillId="0" borderId="254" xfId="173" applyNumberFormat="1" applyFont="1" applyBorder="1" applyAlignment="1">
      <alignment horizontal="right" vertical="center" wrapText="1" indent="1"/>
    </xf>
    <xf numFmtId="0" fontId="7" fillId="0" borderId="254" xfId="173" applyFont="1" applyBorder="1" applyAlignment="1">
      <alignment horizontal="right" vertical="center" wrapText="1" indent="1"/>
    </xf>
    <xf numFmtId="1" fontId="165" fillId="0" borderId="245" xfId="109" applyNumberFormat="1" applyFont="1" applyBorder="1" applyAlignment="1">
      <alignment horizontal="right" vertical="center" wrapText="1" indent="1"/>
    </xf>
    <xf numFmtId="167" fontId="165" fillId="0" borderId="245" xfId="109" applyNumberFormat="1" applyFont="1" applyBorder="1" applyAlignment="1">
      <alignment horizontal="right" vertical="center" wrapText="1" indent="1"/>
    </xf>
    <xf numFmtId="168" fontId="7" fillId="0" borderId="223" xfId="176" applyNumberFormat="1" applyFont="1" applyBorder="1" applyAlignment="1">
      <alignment horizontal="center" vertical="center" wrapText="1"/>
    </xf>
    <xf numFmtId="168" fontId="7" fillId="0" borderId="0" xfId="176" applyNumberFormat="1" applyFont="1" applyBorder="1" applyAlignment="1">
      <alignment horizontal="center" vertical="center" wrapText="1"/>
    </xf>
    <xf numFmtId="168" fontId="23" fillId="20" borderId="22" xfId="176" applyNumberFormat="1" applyFont="1" applyFill="1" applyBorder="1" applyAlignment="1">
      <alignment horizontal="center" vertical="center" wrapText="1"/>
    </xf>
    <xf numFmtId="168" fontId="7" fillId="22" borderId="223" xfId="176" applyNumberFormat="1" applyFont="1" applyFill="1" applyBorder="1" applyAlignment="1">
      <alignment horizontal="center" vertical="center" wrapText="1"/>
    </xf>
    <xf numFmtId="168" fontId="7" fillId="22" borderId="0" xfId="176" applyNumberFormat="1" applyFont="1" applyFill="1" applyBorder="1" applyAlignment="1">
      <alignment horizontal="center" vertical="center" wrapText="1"/>
    </xf>
    <xf numFmtId="168" fontId="23" fillId="20" borderId="25" xfId="176" applyNumberFormat="1" applyFont="1" applyFill="1" applyBorder="1" applyAlignment="1">
      <alignment horizontal="center" vertical="center" wrapText="1"/>
    </xf>
    <xf numFmtId="168" fontId="162" fillId="0" borderId="245" xfId="176" applyNumberFormat="1" applyFont="1" applyBorder="1" applyAlignment="1">
      <alignment horizontal="center" vertical="center" wrapText="1"/>
    </xf>
    <xf numFmtId="168" fontId="163" fillId="0" borderId="245" xfId="176" applyNumberFormat="1" applyFont="1" applyBorder="1" applyAlignment="1">
      <alignment horizontal="center" vertical="center" wrapText="1"/>
    </xf>
    <xf numFmtId="168" fontId="164" fillId="0" borderId="245" xfId="176" applyNumberFormat="1" applyFont="1" applyBorder="1" applyAlignment="1">
      <alignment horizontal="center" vertical="center" wrapText="1"/>
    </xf>
    <xf numFmtId="168" fontId="165" fillId="0" borderId="245" xfId="176" applyNumberFormat="1" applyFont="1" applyBorder="1" applyAlignment="1">
      <alignment horizontal="center" vertical="center" wrapText="1"/>
    </xf>
    <xf numFmtId="168" fontId="166" fillId="0" borderId="245" xfId="176" applyNumberFormat="1" applyFont="1" applyBorder="1" applyAlignment="1">
      <alignment horizontal="center" vertical="center" wrapText="1"/>
    </xf>
    <xf numFmtId="0" fontId="7" fillId="0" borderId="249" xfId="173" applyFont="1" applyBorder="1" applyAlignment="1">
      <alignment vertical="center" wrapText="1"/>
    </xf>
    <xf numFmtId="0" fontId="7" fillId="0" borderId="250" xfId="173" applyFont="1" applyBorder="1" applyAlignment="1">
      <alignment vertical="center" wrapText="1"/>
    </xf>
    <xf numFmtId="0" fontId="162" fillId="0" borderId="245" xfId="173" applyFont="1" applyBorder="1" applyAlignment="1">
      <alignment horizontal="center" vertical="center" wrapText="1"/>
    </xf>
    <xf numFmtId="0" fontId="163" fillId="0" borderId="245" xfId="173" applyFont="1" applyBorder="1" applyAlignment="1">
      <alignment horizontal="center" vertical="center" wrapText="1"/>
    </xf>
    <xf numFmtId="0" fontId="164" fillId="0" borderId="245" xfId="173" applyFont="1" applyBorder="1" applyAlignment="1">
      <alignment horizontal="center" vertical="center" wrapText="1"/>
    </xf>
    <xf numFmtId="0" fontId="165" fillId="0" borderId="245" xfId="173" applyFont="1" applyBorder="1" applyAlignment="1">
      <alignment horizontal="center" vertical="center" wrapText="1"/>
    </xf>
    <xf numFmtId="1" fontId="7" fillId="0" borderId="269" xfId="173" applyNumberFormat="1" applyFont="1" applyBorder="1" applyAlignment="1">
      <alignment horizontal="right" vertical="center" wrapText="1" indent="1"/>
    </xf>
    <xf numFmtId="0" fontId="7" fillId="0" borderId="269" xfId="173" applyFont="1" applyBorder="1" applyAlignment="1">
      <alignment horizontal="right" vertical="center" wrapText="1" indent="1"/>
    </xf>
    <xf numFmtId="168" fontId="7" fillId="0" borderId="269" xfId="176" applyNumberFormat="1" applyFont="1" applyBorder="1" applyAlignment="1">
      <alignment horizontal="center" vertical="center" wrapText="1"/>
    </xf>
    <xf numFmtId="0" fontId="166" fillId="0" borderId="0" xfId="173" applyFont="1" applyBorder="1" applyAlignment="1">
      <alignment horizontal="center" vertical="center" wrapText="1"/>
    </xf>
    <xf numFmtId="0" fontId="23" fillId="20" borderId="244" xfId="173" applyFont="1" applyFill="1" applyBorder="1" applyAlignment="1">
      <alignment horizontal="center" vertical="center" wrapText="1"/>
    </xf>
    <xf numFmtId="1" fontId="23" fillId="20" borderId="245" xfId="109" applyNumberFormat="1" applyFont="1" applyFill="1" applyBorder="1" applyAlignment="1">
      <alignment horizontal="right" vertical="center" wrapText="1" indent="1"/>
    </xf>
    <xf numFmtId="168" fontId="23" fillId="20" borderId="245" xfId="176" applyNumberFormat="1" applyFont="1" applyFill="1" applyBorder="1" applyAlignment="1">
      <alignment horizontal="center" vertical="center" wrapText="1"/>
    </xf>
    <xf numFmtId="3" fontId="114" fillId="20" borderId="245" xfId="452" applyNumberFormat="1" applyFont="1" applyFill="1" applyBorder="1" applyAlignment="1">
      <alignment horizontal="right"/>
    </xf>
    <xf numFmtId="0" fontId="38" fillId="0" borderId="0" xfId="0" applyFont="1" applyBorder="1"/>
    <xf numFmtId="0" fontId="80" fillId="33" borderId="16" xfId="452" applyFont="1" applyFill="1" applyBorder="1" applyAlignment="1">
      <alignment horizontal="center" vertical="center"/>
    </xf>
    <xf numFmtId="0" fontId="55" fillId="0" borderId="28" xfId="452" applyFont="1" applyBorder="1" applyAlignment="1">
      <alignment horizontal="left" vertical="top"/>
    </xf>
    <xf numFmtId="3" fontId="55" fillId="0" borderId="28" xfId="804" applyNumberFormat="1" applyFont="1" applyBorder="1" applyAlignment="1">
      <alignment horizontal="right" vertical="center"/>
    </xf>
    <xf numFmtId="0" fontId="55" fillId="0" borderId="22" xfId="452" applyFont="1" applyBorder="1" applyAlignment="1">
      <alignment horizontal="left" vertical="top"/>
    </xf>
    <xf numFmtId="3" fontId="55" fillId="0" borderId="22" xfId="804" applyNumberFormat="1" applyFont="1" applyBorder="1" applyAlignment="1">
      <alignment horizontal="right" vertical="center"/>
    </xf>
    <xf numFmtId="0" fontId="80" fillId="0" borderId="22" xfId="452" applyFont="1" applyBorder="1" applyAlignment="1">
      <alignment horizontal="left"/>
    </xf>
    <xf numFmtId="3" fontId="80" fillId="0" borderId="22" xfId="452" applyNumberFormat="1" applyFont="1" applyBorder="1" applyAlignment="1">
      <alignment horizontal="right"/>
    </xf>
    <xf numFmtId="3" fontId="55" fillId="0" borderId="22" xfId="452" applyNumberFormat="1" applyFont="1" applyBorder="1" applyAlignment="1">
      <alignment horizontal="right" vertical="center"/>
    </xf>
    <xf numFmtId="0" fontId="55" fillId="0" borderId="22" xfId="452" applyFont="1" applyBorder="1" applyAlignment="1">
      <alignment horizontal="left" vertical="top" wrapText="1"/>
    </xf>
    <xf numFmtId="0" fontId="80" fillId="0" borderId="25" xfId="452" applyFont="1" applyBorder="1" applyAlignment="1">
      <alignment horizontal="left" vertical="top"/>
    </xf>
    <xf numFmtId="3" fontId="80" fillId="0" borderId="25" xfId="452" applyNumberFormat="1" applyFont="1" applyBorder="1" applyAlignment="1">
      <alignment horizontal="right"/>
    </xf>
    <xf numFmtId="3" fontId="55" fillId="0" borderId="28" xfId="452" applyNumberFormat="1" applyFont="1" applyBorder="1" applyAlignment="1">
      <alignment horizontal="right" vertical="center"/>
    </xf>
    <xf numFmtId="0" fontId="106" fillId="20" borderId="23" xfId="452" applyFont="1" applyFill="1" applyBorder="1" applyAlignment="1">
      <alignment horizontal="center"/>
    </xf>
    <xf numFmtId="3" fontId="106" fillId="20" borderId="23" xfId="452" applyNumberFormat="1" applyFont="1" applyFill="1" applyBorder="1" applyAlignment="1">
      <alignment horizontal="right"/>
    </xf>
    <xf numFmtId="0" fontId="107" fillId="20" borderId="23" xfId="452" applyFont="1" applyFill="1" applyBorder="1" applyAlignment="1">
      <alignment horizontal="center"/>
    </xf>
    <xf numFmtId="3" fontId="107" fillId="20" borderId="23" xfId="452" applyNumberFormat="1" applyFont="1" applyFill="1" applyBorder="1" applyAlignment="1">
      <alignment horizontal="right"/>
    </xf>
    <xf numFmtId="0" fontId="55" fillId="0" borderId="28" xfId="452" applyFont="1" applyBorder="1" applyAlignment="1">
      <alignment horizontal="left" vertical="center"/>
    </xf>
    <xf numFmtId="3" fontId="80" fillId="0" borderId="28" xfId="452" applyNumberFormat="1" applyFont="1" applyBorder="1" applyAlignment="1">
      <alignment horizontal="right"/>
    </xf>
    <xf numFmtId="0" fontId="111" fillId="20" borderId="23" xfId="452" applyFont="1" applyFill="1" applyBorder="1" applyAlignment="1">
      <alignment horizontal="center"/>
    </xf>
    <xf numFmtId="3" fontId="111" fillId="20" borderId="23" xfId="452" applyNumberFormat="1" applyFont="1" applyFill="1" applyBorder="1" applyAlignment="1">
      <alignment horizontal="right"/>
    </xf>
    <xf numFmtId="0" fontId="109" fillId="20" borderId="23" xfId="452" applyFont="1" applyFill="1" applyBorder="1" applyAlignment="1">
      <alignment horizontal="center"/>
    </xf>
    <xf numFmtId="3" fontId="109" fillId="20" borderId="23" xfId="452" applyNumberFormat="1" applyFont="1" applyFill="1" applyBorder="1" applyAlignment="1">
      <alignment horizontal="right"/>
    </xf>
    <xf numFmtId="0" fontId="114" fillId="20" borderId="245" xfId="452" applyFont="1" applyFill="1" applyBorder="1" applyAlignment="1">
      <alignment horizontal="center" vertical="top"/>
    </xf>
    <xf numFmtId="0" fontId="51" fillId="0" borderId="163" xfId="0" applyFont="1" applyBorder="1"/>
    <xf numFmtId="0" fontId="0" fillId="0" borderId="245" xfId="0" applyBorder="1"/>
    <xf numFmtId="0" fontId="0" fillId="0" borderId="245" xfId="0" applyBorder="1" applyAlignment="1">
      <alignment horizontal="right"/>
    </xf>
    <xf numFmtId="0" fontId="0" fillId="0" borderId="0" xfId="0"/>
    <xf numFmtId="0" fontId="131" fillId="0" borderId="0" xfId="0" applyFont="1" applyAlignment="1">
      <alignment horizontal="center" vertical="center" wrapText="1"/>
    </xf>
    <xf numFmtId="9" fontId="132" fillId="43" borderId="270" xfId="0" applyNumberFormat="1" applyFont="1" applyFill="1" applyBorder="1" applyAlignment="1">
      <alignment horizontal="center" vertical="center" wrapText="1"/>
    </xf>
    <xf numFmtId="171" fontId="225" fillId="28" borderId="270" xfId="0" applyNumberFormat="1" applyFont="1" applyFill="1" applyBorder="1" applyAlignment="1">
      <alignment horizontal="center" vertical="center" wrapText="1"/>
    </xf>
    <xf numFmtId="9" fontId="225" fillId="28" borderId="270" xfId="0" applyNumberFormat="1" applyFont="1" applyFill="1" applyBorder="1" applyAlignment="1">
      <alignment horizontal="center" vertical="center" wrapText="1"/>
    </xf>
    <xf numFmtId="168" fontId="225" fillId="28" borderId="270" xfId="0" applyNumberFormat="1" applyFont="1" applyFill="1" applyBorder="1" applyAlignment="1">
      <alignment horizontal="center" vertical="center" wrapText="1"/>
    </xf>
    <xf numFmtId="9" fontId="132" fillId="44" borderId="274" xfId="0" applyNumberFormat="1" applyFont="1" applyFill="1" applyBorder="1" applyAlignment="1">
      <alignment horizontal="center" vertical="center" wrapText="1"/>
    </xf>
    <xf numFmtId="3" fontId="225" fillId="28" borderId="270" xfId="0" applyNumberFormat="1" applyFont="1" applyFill="1" applyBorder="1" applyAlignment="1">
      <alignment horizontal="center" vertical="center" wrapText="1"/>
    </xf>
    <xf numFmtId="0" fontId="225" fillId="28" borderId="270" xfId="0" applyFont="1" applyFill="1" applyBorder="1" applyAlignment="1">
      <alignment horizontal="center" vertical="center" wrapText="1"/>
    </xf>
    <xf numFmtId="168" fontId="225" fillId="44" borderId="270" xfId="176" applyNumberFormat="1" applyFont="1" applyFill="1" applyBorder="1" applyAlignment="1">
      <alignment horizontal="center" vertical="center" wrapText="1"/>
    </xf>
    <xf numFmtId="168" fontId="158" fillId="37" borderId="270" xfId="0" applyNumberFormat="1" applyFont="1" applyFill="1" applyBorder="1" applyAlignment="1">
      <alignment horizontal="center" vertical="center" wrapText="1"/>
    </xf>
    <xf numFmtId="0" fontId="48" fillId="0" borderId="16" xfId="0" applyFont="1" applyBorder="1" applyAlignment="1">
      <alignment horizontal="center" vertical="center" wrapText="1"/>
    </xf>
    <xf numFmtId="0" fontId="65" fillId="0" borderId="16" xfId="0" applyFont="1" applyBorder="1" applyAlignment="1">
      <alignment horizontal="center" vertical="center" wrapText="1"/>
    </xf>
    <xf numFmtId="171" fontId="158" fillId="0" borderId="190" xfId="0" applyNumberFormat="1" applyFont="1" applyFill="1" applyBorder="1" applyAlignment="1">
      <alignment horizontal="center" vertical="center" wrapText="1"/>
    </xf>
    <xf numFmtId="9" fontId="158" fillId="0" borderId="190" xfId="0" applyNumberFormat="1" applyFont="1" applyFill="1" applyBorder="1" applyAlignment="1">
      <alignment horizontal="center" vertical="center" wrapText="1"/>
    </xf>
    <xf numFmtId="9" fontId="158" fillId="0" borderId="191" xfId="0" applyNumberFormat="1" applyFont="1" applyFill="1" applyBorder="1" applyAlignment="1">
      <alignment horizontal="center" vertical="center" wrapText="1"/>
    </xf>
    <xf numFmtId="3" fontId="158" fillId="0" borderId="191" xfId="0" applyNumberFormat="1" applyFont="1" applyFill="1" applyBorder="1" applyAlignment="1">
      <alignment horizontal="center" vertical="center" wrapText="1"/>
    </xf>
    <xf numFmtId="9" fontId="158" fillId="0" borderId="175" xfId="0" applyNumberFormat="1" applyFont="1" applyFill="1" applyBorder="1" applyAlignment="1">
      <alignment horizontal="center" vertical="center" wrapText="1"/>
    </xf>
    <xf numFmtId="168" fontId="158" fillId="0" borderId="190" xfId="0" applyNumberFormat="1" applyFont="1" applyFill="1" applyBorder="1" applyAlignment="1">
      <alignment horizontal="center" vertical="center" wrapText="1"/>
    </xf>
    <xf numFmtId="9" fontId="158" fillId="0" borderId="192" xfId="0" applyNumberFormat="1" applyFont="1" applyFill="1" applyBorder="1" applyAlignment="1">
      <alignment horizontal="center" vertical="center" wrapText="1"/>
    </xf>
    <xf numFmtId="171" fontId="158" fillId="0" borderId="190" xfId="0" applyNumberFormat="1" applyFont="1" applyFill="1" applyBorder="1" applyAlignment="1">
      <alignment horizontal="center" vertical="center"/>
    </xf>
    <xf numFmtId="3" fontId="158" fillId="0" borderId="190" xfId="0" applyNumberFormat="1" applyFont="1" applyFill="1" applyBorder="1" applyAlignment="1">
      <alignment horizontal="center" vertical="center" wrapText="1"/>
    </xf>
    <xf numFmtId="168" fontId="158" fillId="0" borderId="191" xfId="0" applyNumberFormat="1" applyFont="1" applyFill="1" applyBorder="1" applyAlignment="1">
      <alignment horizontal="center" vertical="center" wrapText="1"/>
    </xf>
    <xf numFmtId="171" fontId="158" fillId="0" borderId="188" xfId="0" applyNumberFormat="1" applyFont="1" applyFill="1" applyBorder="1" applyAlignment="1">
      <alignment horizontal="center" vertical="center" wrapText="1"/>
    </xf>
    <xf numFmtId="0" fontId="158" fillId="0" borderId="189" xfId="0" applyFont="1" applyFill="1" applyBorder="1" applyAlignment="1">
      <alignment horizontal="center" vertical="center" wrapText="1"/>
    </xf>
    <xf numFmtId="0" fontId="158" fillId="0" borderId="190" xfId="0" applyFont="1" applyFill="1" applyBorder="1" applyAlignment="1">
      <alignment horizontal="center" vertical="center" wrapText="1"/>
    </xf>
    <xf numFmtId="168" fontId="158" fillId="0" borderId="190" xfId="176" applyNumberFormat="1" applyFont="1" applyFill="1" applyBorder="1" applyAlignment="1">
      <alignment horizontal="center" vertical="center" wrapText="1"/>
    </xf>
    <xf numFmtId="0" fontId="0" fillId="0" borderId="0" xfId="0"/>
    <xf numFmtId="0" fontId="0" fillId="0" borderId="0" xfId="0"/>
    <xf numFmtId="3" fontId="0" fillId="0" borderId="287" xfId="0" applyNumberFormat="1" applyBorder="1" applyAlignment="1">
      <alignment horizontal="center" vertical="center"/>
    </xf>
    <xf numFmtId="3" fontId="0" fillId="0" borderId="195" xfId="0" applyNumberFormat="1" applyBorder="1" applyAlignment="1">
      <alignment horizontal="center" vertical="center"/>
    </xf>
    <xf numFmtId="3" fontId="107" fillId="0" borderId="197" xfId="0" applyNumberFormat="1" applyFont="1" applyBorder="1" applyAlignment="1">
      <alignment horizontal="center" vertical="center"/>
    </xf>
    <xf numFmtId="3" fontId="0" fillId="0" borderId="194" xfId="0" applyNumberFormat="1" applyBorder="1" applyAlignment="1">
      <alignment horizontal="center" vertical="center"/>
    </xf>
    <xf numFmtId="3" fontId="106" fillId="0" borderId="197" xfId="0" applyNumberFormat="1" applyFont="1" applyBorder="1" applyAlignment="1">
      <alignment horizontal="center" vertical="center"/>
    </xf>
    <xf numFmtId="3" fontId="111" fillId="0" borderId="197" xfId="0" applyNumberFormat="1" applyFont="1" applyBorder="1" applyAlignment="1">
      <alignment horizontal="center" vertical="center"/>
    </xf>
    <xf numFmtId="3" fontId="109" fillId="0" borderId="197" xfId="0" applyNumberFormat="1" applyFont="1" applyBorder="1" applyAlignment="1">
      <alignment horizontal="center" vertical="center"/>
    </xf>
    <xf numFmtId="3" fontId="114" fillId="0" borderId="197" xfId="0" applyNumberFormat="1" applyFont="1" applyBorder="1" applyAlignment="1">
      <alignment horizontal="center" vertical="center"/>
    </xf>
    <xf numFmtId="0" fontId="80" fillId="20" borderId="226" xfId="451" applyFont="1" applyFill="1" applyBorder="1" applyAlignment="1">
      <alignment horizontal="center" vertical="center"/>
    </xf>
    <xf numFmtId="0" fontId="80" fillId="20" borderId="225" xfId="451" applyFont="1" applyFill="1" applyBorder="1" applyAlignment="1">
      <alignment horizontal="center" vertical="center"/>
    </xf>
    <xf numFmtId="0" fontId="6" fillId="0" borderId="0" xfId="0" applyFont="1" applyAlignment="1">
      <alignment horizontal="center"/>
    </xf>
    <xf numFmtId="0" fontId="0" fillId="0" borderId="0" xfId="0"/>
    <xf numFmtId="0" fontId="2" fillId="0" borderId="0" xfId="0" applyFont="1" applyAlignment="1">
      <alignment horizontal="center"/>
    </xf>
    <xf numFmtId="0" fontId="82" fillId="20" borderId="92" xfId="0" applyFont="1" applyFill="1" applyBorder="1" applyAlignment="1">
      <alignment horizontal="center" vertical="center" wrapText="1"/>
    </xf>
    <xf numFmtId="0" fontId="45" fillId="0" borderId="0" xfId="0" applyFont="1" applyAlignment="1">
      <alignment horizontal="left" vertical="center" wrapText="1"/>
    </xf>
    <xf numFmtId="0" fontId="275" fillId="0" borderId="0" xfId="0" applyFont="1" applyAlignment="1">
      <alignment vertical="center"/>
    </xf>
    <xf numFmtId="0" fontId="0" fillId="0" borderId="0" xfId="0"/>
    <xf numFmtId="0" fontId="43" fillId="20" borderId="126" xfId="173" applyFont="1" applyFill="1" applyBorder="1" applyAlignment="1">
      <alignment horizontal="center" vertical="center" wrapText="1"/>
    </xf>
    <xf numFmtId="0" fontId="43" fillId="20" borderId="243" xfId="173" applyFont="1" applyFill="1" applyBorder="1" applyAlignment="1">
      <alignment horizontal="center" vertical="center" wrapText="1"/>
    </xf>
    <xf numFmtId="0" fontId="85" fillId="0" borderId="0" xfId="0" applyFont="1" applyAlignment="1">
      <alignment horizontal="center" vertical="center" wrapText="1"/>
    </xf>
    <xf numFmtId="0" fontId="62" fillId="0" borderId="0" xfId="0" applyFont="1" applyAlignment="1">
      <alignment horizontal="center"/>
    </xf>
    <xf numFmtId="0" fontId="230" fillId="0" borderId="0" xfId="0" applyFont="1" applyAlignment="1">
      <alignment horizontal="center" vertical="center" wrapText="1"/>
    </xf>
    <xf numFmtId="0" fontId="55" fillId="0" borderId="216" xfId="736" applyFont="1" applyFill="1" applyBorder="1" applyAlignment="1">
      <alignment horizontal="left" vertical="center"/>
    </xf>
    <xf numFmtId="0" fontId="55" fillId="0" borderId="22" xfId="736" applyFont="1" applyFill="1" applyBorder="1" applyAlignment="1">
      <alignment horizontal="left" vertical="center"/>
    </xf>
    <xf numFmtId="0" fontId="80" fillId="0" borderId="22" xfId="736" applyFont="1" applyFill="1" applyBorder="1" applyAlignment="1">
      <alignment horizontal="center" vertical="center"/>
    </xf>
    <xf numFmtId="0" fontId="55" fillId="0" borderId="22" xfId="452" applyFont="1" applyFill="1" applyBorder="1" applyAlignment="1">
      <alignment horizontal="left" vertical="center"/>
    </xf>
    <xf numFmtId="0" fontId="80" fillId="0" borderId="25" xfId="736" applyFont="1" applyFill="1" applyBorder="1" applyAlignment="1">
      <alignment horizontal="center" vertical="center"/>
    </xf>
    <xf numFmtId="0" fontId="55" fillId="0" borderId="28" xfId="736" applyFont="1" applyFill="1" applyBorder="1" applyAlignment="1">
      <alignment horizontal="left" vertical="center"/>
    </xf>
    <xf numFmtId="0" fontId="80" fillId="20" borderId="23" xfId="736" applyFont="1" applyFill="1" applyBorder="1" applyAlignment="1">
      <alignment horizontal="center" vertical="center"/>
    </xf>
    <xf numFmtId="0" fontId="55" fillId="0" borderId="288" xfId="441" applyFont="1" applyBorder="1" applyAlignment="1">
      <alignment horizontal="left" vertical="top"/>
    </xf>
    <xf numFmtId="171" fontId="0" fillId="0" borderId="288" xfId="0" applyNumberFormat="1" applyFont="1" applyBorder="1" applyAlignment="1">
      <alignment horizontal="center" vertical="center"/>
    </xf>
    <xf numFmtId="171" fontId="55" fillId="0" borderId="288" xfId="796" applyNumberFormat="1" applyFont="1" applyBorder="1" applyAlignment="1">
      <alignment horizontal="center" vertical="center"/>
    </xf>
    <xf numFmtId="171" fontId="55" fillId="0" borderId="288" xfId="441" applyNumberFormat="1" applyFont="1" applyBorder="1" applyAlignment="1">
      <alignment horizontal="center" vertical="center"/>
    </xf>
    <xf numFmtId="171" fontId="55" fillId="0" borderId="216" xfId="441" applyNumberFormat="1" applyFont="1" applyBorder="1" applyAlignment="1">
      <alignment horizontal="center" vertical="center"/>
    </xf>
    <xf numFmtId="0" fontId="55" fillId="0" borderId="19" xfId="441" applyFont="1" applyBorder="1" applyAlignment="1">
      <alignment horizontal="left" vertical="top"/>
    </xf>
    <xf numFmtId="171" fontId="0" fillId="0" borderId="19" xfId="0" applyNumberFormat="1" applyFont="1" applyBorder="1" applyAlignment="1">
      <alignment horizontal="center" vertical="center"/>
    </xf>
    <xf numFmtId="171" fontId="55" fillId="0" borderId="19" xfId="796" applyNumberFormat="1" applyFont="1" applyBorder="1" applyAlignment="1">
      <alignment horizontal="center" vertical="center"/>
    </xf>
    <xf numFmtId="171" fontId="55" fillId="0" borderId="19" xfId="441" applyNumberFormat="1" applyFont="1" applyBorder="1" applyAlignment="1">
      <alignment horizontal="center" vertical="center"/>
    </xf>
    <xf numFmtId="171" fontId="55" fillId="0" borderId="22" xfId="441" applyNumberFormat="1" applyFont="1" applyBorder="1" applyAlignment="1">
      <alignment horizontal="center" vertical="center"/>
    </xf>
    <xf numFmtId="0" fontId="80" fillId="0" borderId="19" xfId="441" applyFont="1" applyBorder="1" applyAlignment="1">
      <alignment horizontal="center" vertical="top"/>
    </xf>
    <xf numFmtId="171" fontId="40" fillId="0" borderId="19" xfId="0" applyNumberFormat="1" applyFont="1" applyBorder="1" applyAlignment="1">
      <alignment horizontal="center" vertical="center"/>
    </xf>
    <xf numFmtId="171" fontId="80" fillId="0" borderId="19" xfId="796" applyNumberFormat="1" applyFont="1" applyBorder="1" applyAlignment="1">
      <alignment horizontal="center" vertical="center"/>
    </xf>
    <xf numFmtId="171" fontId="80" fillId="0" borderId="19" xfId="441" applyNumberFormat="1" applyFont="1" applyBorder="1" applyAlignment="1">
      <alignment horizontal="center" vertical="center"/>
    </xf>
    <xf numFmtId="171" fontId="80" fillId="0" borderId="22" xfId="441" applyNumberFormat="1" applyFont="1" applyBorder="1" applyAlignment="1">
      <alignment horizontal="center" vertical="center"/>
    </xf>
    <xf numFmtId="0" fontId="55" fillId="0" borderId="22" xfId="238" applyFont="1" applyBorder="1" applyAlignment="1">
      <alignment horizontal="left"/>
    </xf>
    <xf numFmtId="171" fontId="40" fillId="0" borderId="17" xfId="0" applyNumberFormat="1" applyFont="1" applyBorder="1" applyAlignment="1">
      <alignment horizontal="center" vertical="center"/>
    </xf>
    <xf numFmtId="171" fontId="80" fillId="0" borderId="17" xfId="796" applyNumberFormat="1" applyFont="1" applyBorder="1" applyAlignment="1">
      <alignment horizontal="center" vertical="center"/>
    </xf>
    <xf numFmtId="171" fontId="0" fillId="0" borderId="17" xfId="0" applyNumberFormat="1" applyFont="1" applyBorder="1" applyAlignment="1">
      <alignment horizontal="center" vertical="center"/>
    </xf>
    <xf numFmtId="171" fontId="0" fillId="0" borderId="22" xfId="0" applyNumberFormat="1" applyFont="1" applyBorder="1" applyAlignment="1">
      <alignment horizontal="center" vertical="center"/>
    </xf>
    <xf numFmtId="171" fontId="40" fillId="0" borderId="22" xfId="0" applyNumberFormat="1" applyFont="1" applyBorder="1" applyAlignment="1">
      <alignment horizontal="center" vertical="center"/>
    </xf>
    <xf numFmtId="0" fontId="80" fillId="20" borderId="23" xfId="238" applyFont="1" applyFill="1" applyBorder="1" applyAlignment="1">
      <alignment horizontal="center" vertical="center"/>
    </xf>
    <xf numFmtId="171" fontId="40" fillId="20" borderId="20" xfId="0" applyNumberFormat="1" applyFont="1" applyFill="1" applyBorder="1" applyAlignment="1">
      <alignment horizontal="center" vertical="center"/>
    </xf>
    <xf numFmtId="171" fontId="80" fillId="20" borderId="20" xfId="796" applyNumberFormat="1" applyFont="1" applyFill="1" applyBorder="1" applyAlignment="1">
      <alignment horizontal="center" vertical="center"/>
    </xf>
    <xf numFmtId="171" fontId="0" fillId="20" borderId="20" xfId="0" applyNumberFormat="1" applyFont="1" applyFill="1" applyBorder="1" applyAlignment="1">
      <alignment horizontal="center" vertical="center"/>
    </xf>
    <xf numFmtId="171" fontId="40" fillId="20" borderId="21" xfId="0" applyNumberFormat="1" applyFont="1" applyFill="1" applyBorder="1" applyAlignment="1">
      <alignment horizontal="center" vertical="center"/>
    </xf>
    <xf numFmtId="171" fontId="40" fillId="20" borderId="23" xfId="0" applyNumberFormat="1" applyFont="1" applyFill="1" applyBorder="1" applyAlignment="1">
      <alignment horizontal="center" vertical="center"/>
    </xf>
    <xf numFmtId="0" fontId="55" fillId="0" borderId="28" xfId="238" applyFont="1" applyBorder="1" applyAlignment="1">
      <alignment horizontal="left"/>
    </xf>
    <xf numFmtId="171" fontId="40" fillId="0" borderId="30" xfId="0" applyNumberFormat="1" applyFont="1" applyBorder="1" applyAlignment="1">
      <alignment horizontal="center" vertical="center"/>
    </xf>
    <xf numFmtId="171" fontId="80" fillId="0" borderId="30" xfId="796" applyNumberFormat="1" applyFont="1" applyBorder="1" applyAlignment="1">
      <alignment horizontal="center" vertical="center"/>
    </xf>
    <xf numFmtId="171" fontId="0" fillId="0" borderId="30" xfId="0" applyNumberFormat="1" applyFont="1" applyBorder="1" applyAlignment="1">
      <alignment horizontal="center" vertical="center"/>
    </xf>
    <xf numFmtId="171" fontId="0" fillId="0" borderId="29" xfId="0" applyNumberFormat="1" applyFont="1" applyBorder="1" applyAlignment="1">
      <alignment horizontal="center" vertical="center"/>
    </xf>
    <xf numFmtId="171" fontId="0" fillId="0" borderId="28" xfId="0" applyNumberFormat="1" applyFont="1" applyBorder="1" applyAlignment="1">
      <alignment horizontal="center" vertical="center"/>
    </xf>
    <xf numFmtId="0" fontId="80" fillId="20" borderId="23" xfId="441" applyFont="1" applyFill="1" applyBorder="1" applyAlignment="1">
      <alignment horizontal="center" vertical="center"/>
    </xf>
    <xf numFmtId="171" fontId="80" fillId="20" borderId="21" xfId="796" applyNumberFormat="1" applyFont="1" applyFill="1" applyBorder="1" applyAlignment="1">
      <alignment horizontal="center" vertical="center"/>
    </xf>
    <xf numFmtId="171" fontId="0" fillId="20" borderId="21" xfId="0" applyNumberFormat="1" applyFont="1" applyFill="1" applyBorder="1" applyAlignment="1">
      <alignment horizontal="center" vertical="center"/>
    </xf>
    <xf numFmtId="171" fontId="80" fillId="20" borderId="21" xfId="441" applyNumberFormat="1" applyFont="1" applyFill="1" applyBorder="1" applyAlignment="1">
      <alignment horizontal="center" vertical="center"/>
    </xf>
    <xf numFmtId="171" fontId="80" fillId="20" borderId="23" xfId="441" applyNumberFormat="1" applyFont="1" applyFill="1" applyBorder="1" applyAlignment="1">
      <alignment horizontal="center" vertical="center"/>
    </xf>
    <xf numFmtId="0" fontId="55" fillId="0" borderId="29" xfId="441" applyFont="1" applyBorder="1" applyAlignment="1">
      <alignment horizontal="left" vertical="top"/>
    </xf>
    <xf numFmtId="171" fontId="55" fillId="0" borderId="29" xfId="796" applyNumberFormat="1" applyFont="1" applyBorder="1" applyAlignment="1">
      <alignment horizontal="center" vertical="center"/>
    </xf>
    <xf numFmtId="171" fontId="55" fillId="0" borderId="29" xfId="441" applyNumberFormat="1" applyFont="1" applyBorder="1" applyAlignment="1">
      <alignment horizontal="center" vertical="center"/>
    </xf>
    <xf numFmtId="171" fontId="55" fillId="0" borderId="28" xfId="441" applyNumberFormat="1" applyFont="1" applyBorder="1" applyAlignment="1">
      <alignment horizontal="center" vertical="center"/>
    </xf>
    <xf numFmtId="168" fontId="42" fillId="0" borderId="289" xfId="228" applyNumberFormat="1" applyFont="1" applyBorder="1" applyAlignment="1">
      <alignment horizontal="center" vertical="center"/>
    </xf>
    <xf numFmtId="168" fontId="38" fillId="0" borderId="216" xfId="176" applyNumberFormat="1" applyBorder="1" applyAlignment="1">
      <alignment horizontal="center" vertical="center"/>
    </xf>
    <xf numFmtId="168" fontId="43" fillId="0" borderId="289" xfId="176" applyNumberFormat="1" applyFont="1" applyBorder="1" applyAlignment="1">
      <alignment horizontal="center" vertical="center"/>
    </xf>
    <xf numFmtId="168" fontId="43" fillId="0" borderId="216" xfId="176" applyNumberFormat="1" applyFont="1" applyBorder="1" applyAlignment="1">
      <alignment horizontal="center" vertical="center"/>
    </xf>
    <xf numFmtId="168" fontId="55" fillId="0" borderId="289" xfId="176" applyNumberFormat="1" applyFont="1" applyBorder="1" applyAlignment="1">
      <alignment horizontal="center" vertical="center"/>
    </xf>
    <xf numFmtId="168" fontId="55" fillId="0" borderId="290" xfId="176" applyNumberFormat="1" applyFont="1" applyBorder="1" applyAlignment="1">
      <alignment horizontal="center" vertical="center"/>
    </xf>
    <xf numFmtId="168" fontId="0" fillId="0" borderId="17" xfId="0" applyNumberFormat="1" applyBorder="1" applyAlignment="1">
      <alignment horizontal="center" vertical="center"/>
    </xf>
    <xf numFmtId="168" fontId="38" fillId="0" borderId="22" xfId="176" applyNumberFormat="1" applyBorder="1" applyAlignment="1">
      <alignment horizontal="center" vertical="center"/>
    </xf>
    <xf numFmtId="168" fontId="43" fillId="0" borderId="17" xfId="176" applyNumberFormat="1" applyFont="1" applyBorder="1" applyAlignment="1">
      <alignment horizontal="center" vertical="center"/>
    </xf>
    <xf numFmtId="168" fontId="55" fillId="0" borderId="22" xfId="176" applyNumberFormat="1" applyFont="1" applyBorder="1" applyAlignment="1">
      <alignment horizontal="center" vertical="center"/>
    </xf>
    <xf numFmtId="168" fontId="55" fillId="0" borderId="17" xfId="176" applyNumberFormat="1" applyFont="1" applyBorder="1" applyAlignment="1">
      <alignment horizontal="center" vertical="center"/>
    </xf>
    <xf numFmtId="168" fontId="55" fillId="0" borderId="18" xfId="176" applyNumberFormat="1" applyFont="1" applyBorder="1" applyAlignment="1">
      <alignment horizontal="center" vertical="center"/>
    </xf>
    <xf numFmtId="168" fontId="0" fillId="0" borderId="22" xfId="0" applyNumberFormat="1" applyBorder="1" applyAlignment="1">
      <alignment horizontal="center" vertical="center"/>
    </xf>
    <xf numFmtId="168" fontId="80" fillId="0" borderId="17" xfId="176" applyNumberFormat="1" applyFont="1" applyBorder="1" applyAlignment="1">
      <alignment horizontal="center" vertical="center"/>
    </xf>
    <xf numFmtId="168" fontId="80" fillId="0" borderId="18" xfId="176" applyNumberFormat="1" applyFont="1" applyBorder="1" applyAlignment="1">
      <alignment horizontal="center" vertical="center"/>
    </xf>
    <xf numFmtId="168" fontId="43" fillId="0" borderId="17" xfId="228" applyNumberFormat="1" applyFont="1" applyBorder="1" applyAlignment="1">
      <alignment horizontal="center" vertical="center"/>
    </xf>
    <xf numFmtId="168" fontId="40" fillId="0" borderId="22" xfId="176" applyNumberFormat="1" applyFont="1" applyBorder="1" applyAlignment="1">
      <alignment horizontal="center" vertical="center"/>
    </xf>
    <xf numFmtId="168" fontId="80" fillId="0" borderId="22" xfId="176" applyNumberFormat="1" applyFont="1" applyBorder="1" applyAlignment="1">
      <alignment horizontal="center" vertical="center"/>
    </xf>
    <xf numFmtId="168" fontId="42" fillId="0" borderId="17" xfId="228" applyNumberFormat="1" applyFont="1" applyBorder="1" applyAlignment="1">
      <alignment horizontal="center" vertical="center"/>
    </xf>
    <xf numFmtId="168" fontId="43" fillId="0" borderId="22" xfId="176" applyNumberFormat="1" applyFont="1" applyBorder="1" applyAlignment="1">
      <alignment horizontal="center" vertical="center"/>
    </xf>
    <xf numFmtId="168" fontId="0" fillId="0" borderId="18" xfId="0" applyNumberFormat="1" applyBorder="1" applyAlignment="1">
      <alignment horizontal="center" vertical="center"/>
    </xf>
    <xf numFmtId="168" fontId="42" fillId="0" borderId="17" xfId="176" applyNumberFormat="1" applyFont="1" applyBorder="1" applyAlignment="1">
      <alignment horizontal="center" vertical="center"/>
    </xf>
    <xf numFmtId="168" fontId="42" fillId="0" borderId="22" xfId="176" applyNumberFormat="1" applyFont="1" applyBorder="1" applyAlignment="1">
      <alignment horizontal="center" vertical="center"/>
    </xf>
    <xf numFmtId="168" fontId="43" fillId="0" borderId="31" xfId="228" applyNumberFormat="1" applyFont="1" applyBorder="1" applyAlignment="1">
      <alignment horizontal="center" vertical="center"/>
    </xf>
    <xf numFmtId="168" fontId="40" fillId="0" borderId="25" xfId="176" applyNumberFormat="1" applyFont="1" applyBorder="1" applyAlignment="1">
      <alignment horizontal="center" vertical="center"/>
    </xf>
    <xf numFmtId="168" fontId="43" fillId="0" borderId="31" xfId="176" applyNumberFormat="1" applyFont="1" applyBorder="1" applyAlignment="1">
      <alignment horizontal="center" vertical="center"/>
    </xf>
    <xf numFmtId="168" fontId="80" fillId="0" borderId="25" xfId="176" applyNumberFormat="1" applyFont="1" applyBorder="1" applyAlignment="1">
      <alignment horizontal="center" vertical="center"/>
    </xf>
    <xf numFmtId="168" fontId="80" fillId="0" borderId="31" xfId="176" applyNumberFormat="1" applyFont="1" applyBorder="1" applyAlignment="1">
      <alignment horizontal="center" vertical="center"/>
    </xf>
    <xf numFmtId="168" fontId="80" fillId="0" borderId="24" xfId="176" applyNumberFormat="1" applyFont="1" applyBorder="1" applyAlignment="1">
      <alignment horizontal="center" vertical="center"/>
    </xf>
    <xf numFmtId="0" fontId="55" fillId="0" borderId="288" xfId="451" applyFont="1" applyBorder="1" applyAlignment="1">
      <alignment vertical="center"/>
    </xf>
    <xf numFmtId="0" fontId="55" fillId="0" borderId="19" xfId="451" applyFont="1" applyBorder="1" applyAlignment="1">
      <alignment vertical="center"/>
    </xf>
    <xf numFmtId="0" fontId="55" fillId="0" borderId="19" xfId="797" applyFont="1" applyBorder="1" applyAlignment="1">
      <alignment vertical="top"/>
    </xf>
    <xf numFmtId="0" fontId="80" fillId="0" borderId="19" xfId="451" applyFont="1" applyBorder="1" applyAlignment="1">
      <alignment horizontal="center" vertical="center"/>
    </xf>
    <xf numFmtId="0" fontId="55" fillId="0" borderId="19" xfId="797" applyFont="1" applyBorder="1" applyAlignment="1">
      <alignment vertical="top" wrapText="1"/>
    </xf>
    <xf numFmtId="0" fontId="80" fillId="0" borderId="26" xfId="451" applyFont="1" applyBorder="1" applyAlignment="1">
      <alignment horizontal="center" vertical="center"/>
    </xf>
    <xf numFmtId="0" fontId="55" fillId="0" borderId="29" xfId="451" applyFont="1" applyBorder="1" applyAlignment="1">
      <alignment vertical="center"/>
    </xf>
    <xf numFmtId="168" fontId="42" fillId="0" borderId="30" xfId="228" applyNumberFormat="1" applyFont="1" applyBorder="1" applyAlignment="1">
      <alignment horizontal="center" vertical="center"/>
    </xf>
    <xf numFmtId="168" fontId="38" fillId="0" borderId="28" xfId="176" applyNumberFormat="1" applyBorder="1" applyAlignment="1">
      <alignment horizontal="center" vertical="center"/>
    </xf>
    <xf numFmtId="168" fontId="42" fillId="0" borderId="30" xfId="176" applyNumberFormat="1" applyFont="1" applyBorder="1" applyAlignment="1">
      <alignment horizontal="center" vertical="center"/>
    </xf>
    <xf numFmtId="168" fontId="42" fillId="0" borderId="28" xfId="176" applyNumberFormat="1" applyFont="1" applyBorder="1" applyAlignment="1">
      <alignment horizontal="center" vertical="center"/>
    </xf>
    <xf numFmtId="168" fontId="55" fillId="0" borderId="30" xfId="176" applyNumberFormat="1" applyFont="1" applyBorder="1" applyAlignment="1">
      <alignment horizontal="center" vertical="center"/>
    </xf>
    <xf numFmtId="168" fontId="55" fillId="0" borderId="27" xfId="176" applyNumberFormat="1" applyFont="1" applyBorder="1" applyAlignment="1">
      <alignment horizontal="center" vertical="center"/>
    </xf>
    <xf numFmtId="0" fontId="80" fillId="20" borderId="21" xfId="451" applyFont="1" applyFill="1" applyBorder="1" applyAlignment="1">
      <alignment horizontal="center" vertical="center"/>
    </xf>
    <xf numFmtId="168" fontId="43" fillId="20" borderId="20" xfId="228" applyNumberFormat="1" applyFont="1" applyFill="1" applyBorder="1" applyAlignment="1">
      <alignment horizontal="center" vertical="center"/>
    </xf>
    <xf numFmtId="168" fontId="40" fillId="20" borderId="23" xfId="176" applyNumberFormat="1" applyFont="1" applyFill="1" applyBorder="1" applyAlignment="1">
      <alignment horizontal="center" vertical="center"/>
    </xf>
    <xf numFmtId="168" fontId="43" fillId="20" borderId="20" xfId="176" applyNumberFormat="1" applyFont="1" applyFill="1" applyBorder="1" applyAlignment="1">
      <alignment horizontal="center" vertical="center"/>
    </xf>
    <xf numFmtId="168" fontId="80" fillId="20" borderId="23" xfId="176" applyNumberFormat="1" applyFont="1" applyFill="1" applyBorder="1" applyAlignment="1">
      <alignment horizontal="center" vertical="center"/>
    </xf>
    <xf numFmtId="168" fontId="80" fillId="20" borderId="20" xfId="176" applyNumberFormat="1" applyFont="1" applyFill="1" applyBorder="1" applyAlignment="1">
      <alignment horizontal="center" vertical="center"/>
    </xf>
    <xf numFmtId="168" fontId="80" fillId="20" borderId="281" xfId="176" applyNumberFormat="1" applyFont="1" applyFill="1" applyBorder="1" applyAlignment="1">
      <alignment horizontal="center" vertical="center"/>
    </xf>
    <xf numFmtId="0" fontId="0" fillId="0" borderId="29" xfId="0" applyBorder="1"/>
    <xf numFmtId="168" fontId="0" fillId="0" borderId="30" xfId="0" applyNumberFormat="1" applyBorder="1" applyAlignment="1">
      <alignment horizontal="center" vertical="center"/>
    </xf>
    <xf numFmtId="168" fontId="55" fillId="0" borderId="28" xfId="176" applyNumberFormat="1" applyFont="1" applyBorder="1" applyAlignment="1">
      <alignment horizontal="center" vertical="center"/>
    </xf>
    <xf numFmtId="168" fontId="43" fillId="20" borderId="23" xfId="176" applyNumberFormat="1" applyFont="1" applyFill="1" applyBorder="1" applyAlignment="1">
      <alignment horizontal="center" vertical="center"/>
    </xf>
    <xf numFmtId="0" fontId="161" fillId="0" borderId="0" xfId="0" applyFont="1" applyAlignment="1">
      <alignment vertical="center" wrapText="1"/>
    </xf>
    <xf numFmtId="0" fontId="161" fillId="20" borderId="190" xfId="0" applyFont="1" applyFill="1" applyBorder="1" applyAlignment="1">
      <alignment horizontal="center" vertical="center" wrapText="1"/>
    </xf>
    <xf numFmtId="0" fontId="32" fillId="20" borderId="190" xfId="0" applyFont="1" applyFill="1" applyBorder="1" applyAlignment="1">
      <alignment horizontal="center" vertical="center"/>
    </xf>
    <xf numFmtId="0" fontId="161" fillId="20" borderId="191" xfId="0" applyFont="1" applyFill="1" applyBorder="1" applyAlignment="1">
      <alignment horizontal="center" vertical="center" wrapText="1"/>
    </xf>
    <xf numFmtId="0" fontId="161" fillId="20" borderId="190" xfId="0" applyFont="1" applyFill="1" applyBorder="1" applyAlignment="1">
      <alignment horizontal="center" vertical="center"/>
    </xf>
    <xf numFmtId="0" fontId="161" fillId="20" borderId="190" xfId="452" applyFont="1" applyFill="1" applyBorder="1" applyAlignment="1">
      <alignment horizontal="center" vertical="center" wrapText="1"/>
    </xf>
    <xf numFmtId="0" fontId="161" fillId="20" borderId="190" xfId="452" applyFont="1" applyFill="1" applyBorder="1" applyAlignment="1">
      <alignment horizontal="center" vertical="center"/>
    </xf>
    <xf numFmtId="0" fontId="161" fillId="20" borderId="190" xfId="0" applyFont="1" applyFill="1" applyBorder="1" applyAlignment="1">
      <alignment vertical="center"/>
    </xf>
    <xf numFmtId="0" fontId="161" fillId="20" borderId="190" xfId="0" applyFont="1" applyFill="1" applyBorder="1" applyAlignment="1">
      <alignment horizontal="center"/>
    </xf>
    <xf numFmtId="171" fontId="161" fillId="20" borderId="191" xfId="0" applyNumberFormat="1" applyFont="1" applyFill="1" applyBorder="1" applyAlignment="1">
      <alignment horizontal="center" vertical="center"/>
    </xf>
    <xf numFmtId="168" fontId="161" fillId="20" borderId="190" xfId="0" applyNumberFormat="1" applyFont="1" applyFill="1" applyBorder="1" applyAlignment="1">
      <alignment horizontal="center"/>
    </xf>
    <xf numFmtId="168" fontId="161" fillId="20" borderId="190" xfId="452" applyNumberFormat="1" applyFont="1" applyFill="1" applyBorder="1" applyAlignment="1">
      <alignment horizontal="center"/>
    </xf>
    <xf numFmtId="0" fontId="32" fillId="0" borderId="79" xfId="0" applyFont="1" applyBorder="1" applyAlignment="1">
      <alignment vertical="center"/>
    </xf>
    <xf numFmtId="0" fontId="32" fillId="0" borderId="79" xfId="0" applyFont="1" applyBorder="1" applyAlignment="1">
      <alignment horizontal="center" vertical="center"/>
    </xf>
    <xf numFmtId="0" fontId="32" fillId="0" borderId="79" xfId="0" applyFont="1" applyBorder="1" applyAlignment="1">
      <alignment horizontal="center"/>
    </xf>
    <xf numFmtId="171" fontId="32" fillId="0" borderId="280" xfId="0" applyNumberFormat="1" applyFont="1" applyBorder="1" applyAlignment="1">
      <alignment horizontal="center" vertical="center"/>
    </xf>
    <xf numFmtId="168" fontId="32" fillId="0" borderId="79" xfId="0" applyNumberFormat="1" applyFont="1" applyBorder="1" applyAlignment="1">
      <alignment horizontal="center"/>
    </xf>
    <xf numFmtId="191" fontId="32" fillId="0" borderId="79" xfId="452" applyNumberFormat="1" applyFont="1" applyBorder="1" applyAlignment="1">
      <alignment horizontal="center"/>
    </xf>
    <xf numFmtId="0" fontId="32" fillId="0" borderId="17" xfId="0" applyFont="1" applyBorder="1" applyAlignment="1">
      <alignment vertical="center"/>
    </xf>
    <xf numFmtId="0" fontId="32" fillId="0" borderId="17" xfId="0" applyFont="1" applyBorder="1" applyAlignment="1">
      <alignment horizontal="center" vertical="center"/>
    </xf>
    <xf numFmtId="0" fontId="32" fillId="0" borderId="17" xfId="0" applyFont="1" applyBorder="1" applyAlignment="1">
      <alignment horizontal="center"/>
    </xf>
    <xf numFmtId="171" fontId="32" fillId="0" borderId="18" xfId="0" applyNumberFormat="1" applyFont="1" applyBorder="1" applyAlignment="1">
      <alignment horizontal="center" vertical="center"/>
    </xf>
    <xf numFmtId="168" fontId="32" fillId="0" borderId="17" xfId="0" applyNumberFormat="1" applyFont="1" applyBorder="1" applyAlignment="1">
      <alignment horizontal="center"/>
    </xf>
    <xf numFmtId="191" fontId="32" fillId="0" borderId="17" xfId="452" applyNumberFormat="1" applyFont="1" applyBorder="1" applyAlignment="1">
      <alignment horizontal="center"/>
    </xf>
    <xf numFmtId="0" fontId="32" fillId="0" borderId="20" xfId="0" applyFont="1" applyBorder="1" applyAlignment="1">
      <alignment vertical="center"/>
    </xf>
    <xf numFmtId="0" fontId="32" fillId="0" borderId="20" xfId="0" applyFont="1" applyBorder="1" applyAlignment="1">
      <alignment horizontal="center" vertical="center"/>
    </xf>
    <xf numFmtId="0" fontId="32" fillId="0" borderId="20" xfId="0" applyFont="1" applyBorder="1" applyAlignment="1">
      <alignment horizontal="center"/>
    </xf>
    <xf numFmtId="171" fontId="32" fillId="0" borderId="281" xfId="0" applyNumberFormat="1" applyFont="1" applyBorder="1" applyAlignment="1">
      <alignment horizontal="center" vertical="center"/>
    </xf>
    <xf numFmtId="191" fontId="32" fillId="0" borderId="20" xfId="818" applyNumberFormat="1" applyFont="1" applyBorder="1" applyAlignment="1">
      <alignment horizontal="center"/>
    </xf>
    <xf numFmtId="191" fontId="32" fillId="0" borderId="20" xfId="452" applyNumberFormat="1" applyFont="1" applyBorder="1" applyAlignment="1">
      <alignment horizontal="center"/>
    </xf>
    <xf numFmtId="0" fontId="32" fillId="0" borderId="270" xfId="0" applyFont="1" applyBorder="1" applyAlignment="1">
      <alignment horizontal="center" vertical="center"/>
    </xf>
    <xf numFmtId="0" fontId="148" fillId="0" borderId="0" xfId="0" applyFont="1" applyAlignment="1">
      <alignment horizontal="center" vertical="center"/>
    </xf>
    <xf numFmtId="0" fontId="245" fillId="20" borderId="167" xfId="0" applyFont="1" applyFill="1" applyBorder="1" applyAlignment="1">
      <alignment horizontal="center" vertical="center"/>
    </xf>
    <xf numFmtId="0" fontId="245" fillId="20" borderId="166" xfId="0" applyFont="1" applyFill="1" applyBorder="1" applyAlignment="1">
      <alignment horizontal="center" vertical="center"/>
    </xf>
    <xf numFmtId="0" fontId="153" fillId="0" borderId="79" xfId="0" applyFont="1" applyBorder="1" applyAlignment="1">
      <alignment horizontal="center" vertical="center"/>
    </xf>
    <xf numFmtId="0" fontId="60" fillId="0" borderId="79" xfId="0" applyFont="1" applyBorder="1" applyAlignment="1">
      <alignment horizontal="center"/>
    </xf>
    <xf numFmtId="171" fontId="153" fillId="0" borderId="280" xfId="0" applyNumberFormat="1" applyFont="1" applyBorder="1" applyAlignment="1">
      <alignment horizontal="center" vertical="center"/>
    </xf>
    <xf numFmtId="0" fontId="0" fillId="0" borderId="79" xfId="0" applyBorder="1" applyAlignment="1">
      <alignment horizontal="center"/>
    </xf>
    <xf numFmtId="0" fontId="153" fillId="0" borderId="17" xfId="0" applyFont="1" applyBorder="1" applyAlignment="1">
      <alignment horizontal="center" vertical="center"/>
    </xf>
    <xf numFmtId="0" fontId="60" fillId="0" borderId="17" xfId="0" applyFont="1" applyBorder="1" applyAlignment="1">
      <alignment horizontal="center"/>
    </xf>
    <xf numFmtId="171" fontId="153" fillId="0" borderId="18" xfId="0" applyNumberFormat="1" applyFont="1" applyBorder="1" applyAlignment="1">
      <alignment horizontal="center" vertical="center"/>
    </xf>
    <xf numFmtId="0" fontId="0" fillId="0" borderId="17" xfId="0" applyBorder="1" applyAlignment="1">
      <alignment horizontal="center"/>
    </xf>
    <xf numFmtId="0" fontId="153" fillId="0" borderId="20" xfId="0" applyFont="1" applyBorder="1" applyAlignment="1">
      <alignment horizontal="center" vertical="center"/>
    </xf>
    <xf numFmtId="0" fontId="60" fillId="0" borderId="20" xfId="0" applyFont="1" applyBorder="1" applyAlignment="1">
      <alignment horizontal="center"/>
    </xf>
    <xf numFmtId="171" fontId="153" fillId="0" borderId="281" xfId="0" applyNumberFormat="1" applyFont="1" applyBorder="1" applyAlignment="1">
      <alignment horizontal="center" vertical="center"/>
    </xf>
    <xf numFmtId="0" fontId="0" fillId="0" borderId="20" xfId="0" applyBorder="1" applyAlignment="1">
      <alignment horizontal="center"/>
    </xf>
    <xf numFmtId="0" fontId="44" fillId="0" borderId="79" xfId="816" applyFont="1" applyBorder="1"/>
    <xf numFmtId="0" fontId="44" fillId="0" borderId="79" xfId="816" applyFont="1" applyBorder="1" applyAlignment="1">
      <alignment horizontal="center"/>
    </xf>
    <xf numFmtId="0" fontId="44" fillId="0" borderId="17" xfId="816" applyFont="1" applyBorder="1"/>
    <xf numFmtId="0" fontId="44" fillId="0" borderId="17" xfId="816" applyFont="1" applyBorder="1" applyAlignment="1">
      <alignment horizontal="center"/>
    </xf>
    <xf numFmtId="0" fontId="44" fillId="0" borderId="20" xfId="816" applyFont="1" applyBorder="1"/>
    <xf numFmtId="0" fontId="44" fillId="0" borderId="20" xfId="816" applyFont="1" applyBorder="1" applyAlignment="1">
      <alignment horizontal="center"/>
    </xf>
    <xf numFmtId="0" fontId="122" fillId="20" borderId="167" xfId="816" applyFont="1" applyFill="1" applyBorder="1" applyAlignment="1">
      <alignment horizontal="center" vertical="center"/>
    </xf>
    <xf numFmtId="171" fontId="44" fillId="0" borderId="79" xfId="816" applyNumberFormat="1" applyFont="1" applyBorder="1" applyAlignment="1">
      <alignment horizontal="center"/>
    </xf>
    <xf numFmtId="171" fontId="44" fillId="0" borderId="17" xfId="816" applyNumberFormat="1" applyFont="1" applyBorder="1" applyAlignment="1">
      <alignment horizontal="center"/>
    </xf>
    <xf numFmtId="171" fontId="44" fillId="0" borderId="20" xfId="816" applyNumberFormat="1" applyFont="1" applyBorder="1" applyAlignment="1">
      <alignment horizontal="center"/>
    </xf>
    <xf numFmtId="0" fontId="59" fillId="20" borderId="127" xfId="0" applyFont="1" applyFill="1" applyBorder="1" applyAlignment="1">
      <alignment horizontal="center" vertical="top" wrapText="1"/>
    </xf>
    <xf numFmtId="2" fontId="59" fillId="20" borderId="127" xfId="0" applyNumberFormat="1" applyFont="1" applyFill="1" applyBorder="1" applyAlignment="1">
      <alignment horizontal="center" vertical="top" wrapText="1"/>
    </xf>
    <xf numFmtId="183" fontId="55" fillId="20" borderId="127" xfId="819" applyNumberFormat="1" applyFont="1" applyFill="1" applyBorder="1" applyAlignment="1">
      <alignment horizontal="center" vertical="center"/>
    </xf>
    <xf numFmtId="0" fontId="58" fillId="34" borderId="79" xfId="0" applyFont="1" applyFill="1" applyBorder="1" applyAlignment="1">
      <alignment horizontal="center" vertical="top" wrapText="1"/>
    </xf>
    <xf numFmtId="2" fontId="58" fillId="34" borderId="79" xfId="0" applyNumberFormat="1" applyFont="1" applyFill="1" applyBorder="1" applyAlignment="1">
      <alignment horizontal="center" vertical="top" wrapText="1"/>
    </xf>
    <xf numFmtId="183" fontId="55" fillId="0" borderId="79" xfId="819" applyNumberFormat="1" applyFont="1" applyBorder="1" applyAlignment="1">
      <alignment horizontal="center" vertical="center"/>
    </xf>
    <xf numFmtId="0" fontId="58" fillId="34" borderId="20" xfId="0" applyFont="1" applyFill="1" applyBorder="1" applyAlignment="1">
      <alignment horizontal="center" vertical="top" wrapText="1"/>
    </xf>
    <xf numFmtId="2" fontId="58" fillId="34" borderId="20" xfId="0" applyNumberFormat="1" applyFont="1" applyFill="1" applyBorder="1" applyAlignment="1">
      <alignment horizontal="center" vertical="top" wrapText="1"/>
    </xf>
    <xf numFmtId="183" fontId="55" fillId="0" borderId="20" xfId="819" applyNumberFormat="1" applyFont="1" applyBorder="1" applyAlignment="1">
      <alignment horizontal="center" vertical="center"/>
    </xf>
    <xf numFmtId="0" fontId="245" fillId="20" borderId="190" xfId="0" applyFont="1" applyFill="1" applyBorder="1" applyAlignment="1">
      <alignment horizontal="center" vertical="center" wrapText="1"/>
    </xf>
    <xf numFmtId="0" fontId="45" fillId="20" borderId="190" xfId="0" applyFont="1" applyFill="1" applyBorder="1" applyAlignment="1">
      <alignment horizontal="center" vertical="center"/>
    </xf>
    <xf numFmtId="0" fontId="24" fillId="20" borderId="190" xfId="452" applyFont="1" applyFill="1" applyBorder="1" applyAlignment="1">
      <alignment horizontal="center" vertical="center" wrapText="1"/>
    </xf>
    <xf numFmtId="0" fontId="24" fillId="20" borderId="190" xfId="452" applyFont="1" applyFill="1" applyBorder="1" applyAlignment="1">
      <alignment horizontal="center" vertical="center"/>
    </xf>
    <xf numFmtId="0" fontId="190" fillId="20" borderId="190" xfId="3787" applyFont="1" applyFill="1" applyBorder="1" applyAlignment="1">
      <alignment horizontal="center" vertical="center" wrapText="1"/>
    </xf>
    <xf numFmtId="182" fontId="245" fillId="20" borderId="190" xfId="0" applyNumberFormat="1" applyFont="1" applyFill="1" applyBorder="1" applyAlignment="1">
      <alignment horizontal="center" vertical="center" wrapText="1"/>
    </xf>
    <xf numFmtId="171" fontId="245" fillId="20" borderId="190" xfId="0" applyNumberFormat="1" applyFont="1" applyFill="1" applyBorder="1" applyAlignment="1">
      <alignment horizontal="center" vertical="center" wrapText="1"/>
    </xf>
    <xf numFmtId="168" fontId="245" fillId="20" borderId="190" xfId="0" applyNumberFormat="1" applyFont="1" applyFill="1" applyBorder="1" applyAlignment="1">
      <alignment horizontal="center" vertical="center" wrapText="1"/>
    </xf>
    <xf numFmtId="168" fontId="176" fillId="20" borderId="190" xfId="822" applyNumberFormat="1" applyFont="1" applyFill="1" applyBorder="1" applyAlignment="1">
      <alignment horizontal="center"/>
    </xf>
    <xf numFmtId="168" fontId="134" fillId="20" borderId="190" xfId="3787" applyNumberFormat="1" applyFont="1" applyFill="1" applyBorder="1" applyAlignment="1">
      <alignment horizontal="center" vertical="top" wrapText="1"/>
    </xf>
    <xf numFmtId="0" fontId="153" fillId="0" borderId="79" xfId="0" applyFont="1" applyBorder="1" applyAlignment="1">
      <alignment horizontal="center" vertical="center" wrapText="1"/>
    </xf>
    <xf numFmtId="182" fontId="153" fillId="0" borderId="79" xfId="0" applyNumberFormat="1" applyFont="1" applyBorder="1" applyAlignment="1">
      <alignment horizontal="center" vertical="center" wrapText="1"/>
    </xf>
    <xf numFmtId="171" fontId="153" fillId="0" borderId="79" xfId="0" applyNumberFormat="1" applyFont="1" applyBorder="1" applyAlignment="1">
      <alignment horizontal="center" vertical="center" wrapText="1"/>
    </xf>
    <xf numFmtId="168" fontId="153" fillId="0" borderId="79" xfId="0" applyNumberFormat="1" applyFont="1" applyBorder="1" applyAlignment="1">
      <alignment horizontal="center" vertical="center" wrapText="1"/>
    </xf>
    <xf numFmtId="168" fontId="60" fillId="0" borderId="79" xfId="822" applyNumberFormat="1" applyFont="1" applyBorder="1" applyAlignment="1">
      <alignment horizontal="center"/>
    </xf>
    <xf numFmtId="168" fontId="73" fillId="0" borderId="79" xfId="3787" applyNumberFormat="1" applyFont="1" applyBorder="1" applyAlignment="1">
      <alignment horizontal="center" wrapText="1"/>
    </xf>
    <xf numFmtId="0" fontId="153" fillId="0" borderId="17" xfId="0" applyFont="1" applyBorder="1" applyAlignment="1">
      <alignment horizontal="center" vertical="center" wrapText="1"/>
    </xf>
    <xf numFmtId="182" fontId="153" fillId="0" borderId="17" xfId="0" applyNumberFormat="1" applyFont="1" applyBorder="1" applyAlignment="1">
      <alignment horizontal="center" vertical="center" wrapText="1"/>
    </xf>
    <xf numFmtId="171" fontId="153" fillId="0" borderId="17" xfId="0" applyNumberFormat="1" applyFont="1" applyBorder="1" applyAlignment="1">
      <alignment horizontal="center" vertical="center" wrapText="1"/>
    </xf>
    <xf numFmtId="168" fontId="153" fillId="0" borderId="17" xfId="0" applyNumberFormat="1" applyFont="1" applyBorder="1" applyAlignment="1">
      <alignment horizontal="center" vertical="center" wrapText="1"/>
    </xf>
    <xf numFmtId="168" fontId="60" fillId="0" borderId="17" xfId="822" applyNumberFormat="1" applyFont="1" applyBorder="1" applyAlignment="1">
      <alignment horizontal="center"/>
    </xf>
    <xf numFmtId="168" fontId="73" fillId="0" borderId="17" xfId="3787" applyNumberFormat="1" applyFont="1" applyBorder="1" applyAlignment="1">
      <alignment horizontal="center" vertical="top" wrapText="1"/>
    </xf>
    <xf numFmtId="0" fontId="153" fillId="0" borderId="20" xfId="0" applyFont="1" applyBorder="1" applyAlignment="1">
      <alignment horizontal="center" vertical="center" wrapText="1"/>
    </xf>
    <xf numFmtId="182" fontId="153" fillId="0" borderId="20" xfId="0" applyNumberFormat="1" applyFont="1" applyBorder="1" applyAlignment="1">
      <alignment horizontal="center" vertical="center" wrapText="1"/>
    </xf>
    <xf numFmtId="171" fontId="153" fillId="0" borderId="20" xfId="0" applyNumberFormat="1" applyFont="1" applyBorder="1" applyAlignment="1">
      <alignment horizontal="center" vertical="center" wrapText="1"/>
    </xf>
    <xf numFmtId="168" fontId="153" fillId="0" borderId="20" xfId="0" applyNumberFormat="1" applyFont="1" applyBorder="1" applyAlignment="1">
      <alignment horizontal="center" vertical="center" wrapText="1"/>
    </xf>
    <xf numFmtId="168" fontId="60" fillId="0" borderId="20" xfId="822" applyNumberFormat="1" applyFont="1" applyBorder="1" applyAlignment="1">
      <alignment horizontal="center"/>
    </xf>
    <xf numFmtId="168" fontId="73" fillId="0" borderId="20" xfId="3787" applyNumberFormat="1" applyFont="1" applyBorder="1" applyAlignment="1">
      <alignment horizontal="center" vertical="top" wrapText="1"/>
    </xf>
    <xf numFmtId="0" fontId="64" fillId="0" borderId="79" xfId="0" applyFont="1" applyBorder="1" applyAlignment="1">
      <alignment horizontal="center" vertical="center" wrapText="1"/>
    </xf>
    <xf numFmtId="2" fontId="64" fillId="0" borderId="79" xfId="0" applyNumberFormat="1" applyFont="1" applyBorder="1" applyAlignment="1">
      <alignment horizontal="center" vertical="center" wrapText="1"/>
    </xf>
    <xf numFmtId="0" fontId="64" fillId="0" borderId="17" xfId="0" applyFont="1" applyBorder="1" applyAlignment="1">
      <alignment horizontal="center" vertical="center" wrapText="1"/>
    </xf>
    <xf numFmtId="2" fontId="64" fillId="0" borderId="17" xfId="0" applyNumberFormat="1" applyFont="1" applyBorder="1" applyAlignment="1">
      <alignment horizontal="center" vertical="center" wrapText="1"/>
    </xf>
    <xf numFmtId="0" fontId="64" fillId="0" borderId="20" xfId="0" applyFont="1" applyBorder="1" applyAlignment="1">
      <alignment horizontal="center" vertical="center" wrapText="1"/>
    </xf>
    <xf numFmtId="2" fontId="64" fillId="0" borderId="20" xfId="0" applyNumberFormat="1" applyFont="1" applyBorder="1" applyAlignment="1">
      <alignment horizontal="center" vertical="center" wrapText="1"/>
    </xf>
    <xf numFmtId="0" fontId="46" fillId="0" borderId="79" xfId="822" applyFont="1" applyBorder="1" applyAlignment="1">
      <alignment horizontal="center"/>
    </xf>
    <xf numFmtId="0" fontId="226" fillId="0" borderId="79" xfId="822" applyFont="1" applyBorder="1" applyAlignment="1">
      <alignment vertical="center"/>
    </xf>
    <xf numFmtId="0" fontId="46" fillId="0" borderId="79" xfId="822" applyFont="1" applyBorder="1"/>
    <xf numFmtId="2" fontId="46" fillId="0" borderId="79" xfId="822" applyNumberFormat="1" applyFont="1" applyBorder="1" applyAlignment="1">
      <alignment horizontal="center"/>
    </xf>
    <xf numFmtId="2" fontId="46" fillId="0" borderId="79" xfId="815" applyNumberFormat="1" applyFont="1" applyBorder="1" applyAlignment="1">
      <alignment horizontal="center"/>
    </xf>
    <xf numFmtId="0" fontId="46" fillId="0" borderId="17" xfId="0" applyFont="1" applyBorder="1" applyAlignment="1">
      <alignment horizontal="center"/>
    </xf>
    <xf numFmtId="0" fontId="46" fillId="0" borderId="17" xfId="0" applyFont="1" applyBorder="1"/>
    <xf numFmtId="2" fontId="46" fillId="0" borderId="17" xfId="822" applyNumberFormat="1" applyFont="1" applyBorder="1" applyAlignment="1">
      <alignment horizontal="center"/>
    </xf>
    <xf numFmtId="2" fontId="46" fillId="0" borderId="17" xfId="815" applyNumberFormat="1" applyFont="1" applyBorder="1" applyAlignment="1">
      <alignment horizontal="center"/>
    </xf>
    <xf numFmtId="2" fontId="46" fillId="0" borderId="17" xfId="0" applyNumberFormat="1" applyFont="1" applyBorder="1" applyAlignment="1">
      <alignment horizontal="center"/>
    </xf>
    <xf numFmtId="0" fontId="46" fillId="0" borderId="18" xfId="0" applyFont="1" applyBorder="1"/>
    <xf numFmtId="0" fontId="46" fillId="0" borderId="18" xfId="0" applyFont="1" applyBorder="1" applyAlignment="1">
      <alignment horizontal="center"/>
    </xf>
    <xf numFmtId="0" fontId="46" fillId="0" borderId="20" xfId="0" applyFont="1" applyBorder="1" applyAlignment="1">
      <alignment horizontal="center"/>
    </xf>
    <xf numFmtId="0" fontId="46" fillId="0" borderId="20" xfId="0" applyFont="1" applyBorder="1"/>
    <xf numFmtId="0" fontId="46" fillId="0" borderId="281" xfId="0" applyFont="1" applyBorder="1"/>
    <xf numFmtId="0" fontId="46" fillId="0" borderId="281" xfId="0" applyFont="1" applyBorder="1" applyAlignment="1">
      <alignment horizontal="center"/>
    </xf>
    <xf numFmtId="2" fontId="46" fillId="0" borderId="20" xfId="0" applyNumberFormat="1" applyFont="1" applyBorder="1" applyAlignment="1">
      <alignment horizontal="center"/>
    </xf>
    <xf numFmtId="0" fontId="46" fillId="0" borderId="31" xfId="0" applyFont="1" applyBorder="1" applyAlignment="1">
      <alignment horizontal="center"/>
    </xf>
    <xf numFmtId="0" fontId="46" fillId="0" borderId="31" xfId="0" applyFont="1" applyBorder="1"/>
    <xf numFmtId="2" fontId="46" fillId="0" borderId="31" xfId="822" applyNumberFormat="1" applyFont="1" applyBorder="1" applyAlignment="1">
      <alignment horizontal="center"/>
    </xf>
    <xf numFmtId="2" fontId="46" fillId="0" borderId="31" xfId="815" applyNumberFormat="1" applyFont="1" applyBorder="1" applyAlignment="1">
      <alignment horizontal="center"/>
    </xf>
    <xf numFmtId="0" fontId="46" fillId="0" borderId="79" xfId="0" applyFont="1" applyBorder="1" applyAlignment="1">
      <alignment horizontal="center"/>
    </xf>
    <xf numFmtId="0" fontId="46" fillId="0" borderId="79" xfId="0" applyFont="1" applyBorder="1"/>
    <xf numFmtId="0" fontId="46" fillId="0" borderId="30" xfId="0" applyFont="1" applyBorder="1" applyAlignment="1">
      <alignment horizontal="center"/>
    </xf>
    <xf numFmtId="0" fontId="46" fillId="0" borderId="30" xfId="0" applyFont="1" applyBorder="1"/>
    <xf numFmtId="2" fontId="46" fillId="0" borderId="30" xfId="822" applyNumberFormat="1" applyFont="1" applyBorder="1" applyAlignment="1">
      <alignment horizontal="center"/>
    </xf>
    <xf numFmtId="2" fontId="46" fillId="0" borderId="30" xfId="815" applyNumberFormat="1" applyFont="1" applyBorder="1" applyAlignment="1">
      <alignment horizontal="center"/>
    </xf>
    <xf numFmtId="2" fontId="46" fillId="0" borderId="20" xfId="822" applyNumberFormat="1" applyFont="1" applyBorder="1" applyAlignment="1">
      <alignment horizontal="center"/>
    </xf>
    <xf numFmtId="2" fontId="46" fillId="0" borderId="20" xfId="815" applyNumberFormat="1" applyFont="1" applyBorder="1" applyAlignment="1">
      <alignment horizontal="center"/>
    </xf>
    <xf numFmtId="0" fontId="46" fillId="0" borderId="28" xfId="822" applyFont="1" applyBorder="1"/>
    <xf numFmtId="0" fontId="152" fillId="0" borderId="0" xfId="0" applyFont="1" applyBorder="1"/>
    <xf numFmtId="0" fontId="46" fillId="0" borderId="0" xfId="822" applyFont="1" applyBorder="1"/>
    <xf numFmtId="2" fontId="46" fillId="0" borderId="79" xfId="0" applyNumberFormat="1" applyFont="1" applyBorder="1" applyAlignment="1">
      <alignment horizontal="center"/>
    </xf>
    <xf numFmtId="2" fontId="46" fillId="0" borderId="30" xfId="0" applyNumberFormat="1" applyFont="1" applyBorder="1" applyAlignment="1">
      <alignment horizontal="center"/>
    </xf>
    <xf numFmtId="2" fontId="46" fillId="0" borderId="31" xfId="0" applyNumberFormat="1" applyFont="1" applyBorder="1" applyAlignment="1">
      <alignment horizontal="center"/>
    </xf>
    <xf numFmtId="0" fontId="46" fillId="0" borderId="79" xfId="0" applyFont="1" applyBorder="1" applyAlignment="1">
      <alignment horizontal="left"/>
    </xf>
    <xf numFmtId="0" fontId="46" fillId="0" borderId="28" xfId="822" applyFont="1" applyBorder="1" applyAlignment="1">
      <alignment horizontal="center"/>
    </xf>
    <xf numFmtId="2" fontId="46" fillId="0" borderId="28" xfId="822" applyNumberFormat="1" applyFont="1" applyBorder="1"/>
    <xf numFmtId="0" fontId="46" fillId="0" borderId="25" xfId="822" applyFont="1" applyBorder="1" applyAlignment="1">
      <alignment horizontal="center"/>
    </xf>
    <xf numFmtId="0" fontId="46" fillId="0" borderId="25" xfId="822" applyFont="1" applyBorder="1"/>
    <xf numFmtId="2" fontId="46" fillId="0" borderId="25" xfId="822" applyNumberFormat="1" applyFont="1" applyBorder="1"/>
    <xf numFmtId="0" fontId="46" fillId="0" borderId="27" xfId="0" applyFont="1" applyBorder="1"/>
    <xf numFmtId="0" fontId="46" fillId="0" borderId="27" xfId="0" applyFont="1" applyBorder="1" applyAlignment="1">
      <alignment horizontal="center"/>
    </xf>
    <xf numFmtId="2" fontId="152" fillId="20" borderId="270" xfId="822" applyNumberFormat="1" applyFont="1" applyFill="1" applyBorder="1" applyAlignment="1">
      <alignment horizontal="center"/>
    </xf>
    <xf numFmtId="0" fontId="46" fillId="0" borderId="280" xfId="0" applyFont="1" applyBorder="1"/>
    <xf numFmtId="0" fontId="46" fillId="0" borderId="280" xfId="0" applyFont="1" applyBorder="1" applyAlignment="1">
      <alignment horizontal="center"/>
    </xf>
    <xf numFmtId="2" fontId="64" fillId="20" borderId="127" xfId="176" applyNumberFormat="1" applyFont="1" applyFill="1" applyBorder="1" applyAlignment="1">
      <alignment horizontal="center" vertical="center" wrapText="1"/>
    </xf>
    <xf numFmtId="171" fontId="64" fillId="20" borderId="127" xfId="176" applyNumberFormat="1" applyFont="1" applyFill="1" applyBorder="1" applyAlignment="1">
      <alignment horizontal="center" vertical="center" wrapText="1"/>
    </xf>
    <xf numFmtId="2" fontId="64" fillId="20" borderId="92" xfId="176" applyNumberFormat="1" applyFont="1" applyFill="1" applyBorder="1" applyAlignment="1">
      <alignment horizontal="center" vertical="center" wrapText="1"/>
    </xf>
    <xf numFmtId="0" fontId="120" fillId="0" borderId="79" xfId="639" applyFont="1" applyBorder="1" applyAlignment="1">
      <alignment vertical="center"/>
    </xf>
    <xf numFmtId="0" fontId="67" fillId="0" borderId="279" xfId="639" applyFont="1" applyBorder="1" applyAlignment="1">
      <alignment horizontal="center" vertical="center"/>
    </xf>
    <xf numFmtId="0" fontId="67" fillId="0" borderId="79" xfId="815" applyFont="1" applyBorder="1" applyAlignment="1">
      <alignment horizontal="center"/>
    </xf>
    <xf numFmtId="171" fontId="67" fillId="0" borderId="79" xfId="816" applyNumberFormat="1" applyFont="1" applyBorder="1" applyAlignment="1">
      <alignment horizontal="center"/>
    </xf>
    <xf numFmtId="0" fontId="120" fillId="0" borderId="17" xfId="639" applyFont="1" applyBorder="1" applyAlignment="1">
      <alignment vertical="center"/>
    </xf>
    <xf numFmtId="0" fontId="67" fillId="0" borderId="19" xfId="639" applyFont="1" applyBorder="1" applyAlignment="1">
      <alignment horizontal="center" vertical="center"/>
    </xf>
    <xf numFmtId="0" fontId="67" fillId="0" borderId="17" xfId="815" applyFont="1" applyBorder="1" applyAlignment="1">
      <alignment horizontal="center"/>
    </xf>
    <xf numFmtId="171" fontId="67" fillId="0" borderId="17" xfId="816" applyNumberFormat="1" applyFont="1" applyBorder="1" applyAlignment="1">
      <alignment horizontal="center"/>
    </xf>
    <xf numFmtId="0" fontId="120" fillId="0" borderId="20" xfId="639" applyFont="1" applyBorder="1" applyAlignment="1">
      <alignment vertical="center"/>
    </xf>
    <xf numFmtId="0" fontId="67" fillId="0" borderId="21" xfId="639" applyFont="1" applyBorder="1" applyAlignment="1">
      <alignment horizontal="center" vertical="center"/>
    </xf>
    <xf numFmtId="0" fontId="67" fillId="0" borderId="20" xfId="815" applyFont="1" applyBorder="1" applyAlignment="1">
      <alignment horizontal="center"/>
    </xf>
    <xf numFmtId="171" fontId="67" fillId="0" borderId="20" xfId="816" applyNumberFormat="1" applyFont="1" applyBorder="1" applyAlignment="1">
      <alignment horizontal="center"/>
    </xf>
    <xf numFmtId="0" fontId="120" fillId="0" borderId="30" xfId="639" applyFont="1" applyBorder="1" applyAlignment="1">
      <alignment vertical="center"/>
    </xf>
    <xf numFmtId="0" fontId="67" fillId="0" borderId="29" xfId="639" applyFont="1" applyBorder="1" applyAlignment="1">
      <alignment horizontal="center" vertical="center"/>
    </xf>
    <xf numFmtId="0" fontId="67" fillId="0" borderId="30" xfId="815" applyFont="1" applyBorder="1" applyAlignment="1">
      <alignment horizontal="center"/>
    </xf>
    <xf numFmtId="171" fontId="67" fillId="0" borderId="30" xfId="816" applyNumberFormat="1" applyFont="1" applyBorder="1" applyAlignment="1">
      <alignment horizontal="center"/>
    </xf>
    <xf numFmtId="0" fontId="120" fillId="0" borderId="31" xfId="639" applyFont="1" applyBorder="1" applyAlignment="1">
      <alignment vertical="center"/>
    </xf>
    <xf numFmtId="0" fontId="67" fillId="0" borderId="26" xfId="639" applyFont="1" applyBorder="1" applyAlignment="1">
      <alignment horizontal="center" vertical="center"/>
    </xf>
    <xf numFmtId="0" fontId="67" fillId="0" borderId="31" xfId="815" applyFont="1" applyBorder="1" applyAlignment="1">
      <alignment horizontal="center"/>
    </xf>
    <xf numFmtId="171" fontId="67" fillId="0" borderId="31" xfId="816" applyNumberFormat="1" applyFont="1" applyBorder="1" applyAlignment="1">
      <alignment horizontal="center"/>
    </xf>
    <xf numFmtId="0" fontId="67" fillId="0" borderId="270" xfId="639" applyFont="1" applyBorder="1" applyAlignment="1">
      <alignment horizontal="center"/>
    </xf>
    <xf numFmtId="0" fontId="120" fillId="0" borderId="270" xfId="639" applyFont="1" applyBorder="1" applyAlignment="1">
      <alignment vertical="center"/>
    </xf>
    <xf numFmtId="0" fontId="67" fillId="0" borderId="272" xfId="639" applyFont="1" applyBorder="1" applyAlignment="1">
      <alignment horizontal="center" vertical="center"/>
    </xf>
    <xf numFmtId="0" fontId="67" fillId="0" borderId="270" xfId="815" applyFont="1" applyBorder="1" applyAlignment="1">
      <alignment horizontal="center"/>
    </xf>
    <xf numFmtId="171" fontId="67" fillId="0" borderId="270" xfId="816" applyNumberFormat="1" applyFont="1" applyBorder="1" applyAlignment="1">
      <alignment horizontal="center"/>
    </xf>
    <xf numFmtId="0" fontId="67" fillId="0" borderId="271" xfId="639" applyFont="1" applyBorder="1" applyAlignment="1">
      <alignment horizontal="center" vertical="center"/>
    </xf>
    <xf numFmtId="0" fontId="82" fillId="20" borderId="93" xfId="0" applyFont="1" applyFill="1" applyBorder="1" applyAlignment="1">
      <alignment horizontal="center" vertical="center" wrapText="1"/>
    </xf>
    <xf numFmtId="182" fontId="73" fillId="20" borderId="92" xfId="802" applyNumberFormat="1" applyFont="1" applyFill="1" applyBorder="1" applyAlignment="1">
      <alignment horizontal="center" vertical="center"/>
    </xf>
    <xf numFmtId="183" fontId="73" fillId="20" borderId="92" xfId="802" applyNumberFormat="1" applyFont="1" applyFill="1" applyBorder="1" applyAlignment="1">
      <alignment horizontal="center" vertical="center"/>
    </xf>
    <xf numFmtId="10" fontId="82" fillId="20" borderId="92" xfId="176" applyNumberFormat="1" applyFont="1" applyFill="1" applyBorder="1" applyAlignment="1">
      <alignment horizontal="center" vertical="center" wrapText="1"/>
    </xf>
    <xf numFmtId="9" fontId="82" fillId="20" borderId="92" xfId="176" applyFont="1" applyFill="1" applyBorder="1" applyAlignment="1">
      <alignment horizontal="center" vertical="center" wrapText="1"/>
    </xf>
    <xf numFmtId="0" fontId="5" fillId="0" borderId="79" xfId="0" applyFont="1" applyBorder="1" applyAlignment="1">
      <alignment horizontal="center" vertical="center" wrapText="1"/>
    </xf>
    <xf numFmtId="171" fontId="1" fillId="0" borderId="79" xfId="0" applyNumberFormat="1" applyFont="1" applyBorder="1" applyAlignment="1">
      <alignment horizontal="center" vertical="center" wrapText="1"/>
    </xf>
    <xf numFmtId="0" fontId="1" fillId="0" borderId="17" xfId="0" applyFont="1" applyBorder="1" applyAlignment="1">
      <alignment horizontal="center" vertical="center" wrapText="1"/>
    </xf>
    <xf numFmtId="171" fontId="1" fillId="0" borderId="17" xfId="0" applyNumberFormat="1" applyFont="1" applyBorder="1" applyAlignment="1">
      <alignment horizontal="center" vertical="center" wrapText="1"/>
    </xf>
    <xf numFmtId="0" fontId="1" fillId="0" borderId="20" xfId="0" applyFont="1" applyBorder="1" applyAlignment="1">
      <alignment horizontal="center" vertical="center" wrapText="1"/>
    </xf>
    <xf numFmtId="171" fontId="1" fillId="0" borderId="20" xfId="0" applyNumberFormat="1" applyFont="1" applyBorder="1" applyAlignment="1">
      <alignment horizontal="center" vertical="center" wrapText="1"/>
    </xf>
    <xf numFmtId="0" fontId="5" fillId="0" borderId="30" xfId="0" applyFont="1" applyBorder="1" applyAlignment="1">
      <alignment horizontal="center" vertical="center" wrapText="1"/>
    </xf>
    <xf numFmtId="171" fontId="1" fillId="0" borderId="30" xfId="0" applyNumberFormat="1" applyFont="1" applyBorder="1" applyAlignment="1">
      <alignment horizontal="center" vertical="center" wrapText="1"/>
    </xf>
    <xf numFmtId="0" fontId="82" fillId="0" borderId="92" xfId="0" applyFont="1" applyFill="1" applyBorder="1" applyAlignment="1">
      <alignment horizontal="center" vertical="center" wrapText="1"/>
    </xf>
    <xf numFmtId="2" fontId="64" fillId="0" borderId="92" xfId="176" applyNumberFormat="1" applyFont="1" applyFill="1" applyBorder="1" applyAlignment="1">
      <alignment horizontal="center" vertical="center" wrapText="1"/>
    </xf>
    <xf numFmtId="0" fontId="0" fillId="0" borderId="79" xfId="0" applyBorder="1" applyAlignment="1">
      <alignment vertical="center" wrapText="1"/>
    </xf>
    <xf numFmtId="0" fontId="42" fillId="0" borderId="279" xfId="246" applyFont="1" applyBorder="1" applyAlignment="1">
      <alignment horizontal="center" vertical="center" wrapText="1"/>
    </xf>
    <xf numFmtId="0" fontId="61" fillId="0" borderId="79" xfId="246" applyFont="1" applyBorder="1" applyAlignment="1">
      <alignment horizontal="center" vertical="center"/>
    </xf>
    <xf numFmtId="0" fontId="61" fillId="25" borderId="79" xfId="246" applyFont="1" applyFill="1" applyBorder="1" applyAlignment="1">
      <alignment horizontal="center" vertical="center"/>
    </xf>
    <xf numFmtId="0" fontId="61" fillId="0" borderId="79" xfId="0" applyFont="1" applyBorder="1" applyAlignment="1">
      <alignment horizontal="center" vertical="center"/>
    </xf>
    <xf numFmtId="0" fontId="51" fillId="0" borderId="79" xfId="0" applyFont="1" applyBorder="1" applyAlignment="1">
      <alignment horizontal="center" vertical="center"/>
    </xf>
    <xf numFmtId="0" fontId="61" fillId="23" borderId="79" xfId="246" applyFont="1" applyFill="1" applyBorder="1" applyAlignment="1">
      <alignment horizontal="center" vertical="center"/>
    </xf>
    <xf numFmtId="0" fontId="61" fillId="25" borderId="280" xfId="246" applyFont="1" applyFill="1" applyBorder="1" applyAlignment="1">
      <alignment horizontal="center" vertical="center"/>
    </xf>
    <xf numFmtId="0" fontId="42" fillId="0" borderId="291" xfId="0" applyFont="1" applyBorder="1" applyAlignment="1">
      <alignment horizontal="center" vertical="center"/>
    </xf>
    <xf numFmtId="0" fontId="42" fillId="0" borderId="291" xfId="246" applyFont="1" applyBorder="1" applyAlignment="1">
      <alignment horizontal="center" vertical="center"/>
    </xf>
    <xf numFmtId="0" fontId="0" fillId="0" borderId="17" xfId="0" applyBorder="1" applyAlignment="1">
      <alignment vertical="center" wrapText="1"/>
    </xf>
    <xf numFmtId="0" fontId="42" fillId="0" borderId="19" xfId="246" applyFont="1" applyBorder="1" applyAlignment="1">
      <alignment horizontal="center" vertical="center" wrapText="1"/>
    </xf>
    <xf numFmtId="0" fontId="61" fillId="25" borderId="17" xfId="246" applyFont="1" applyFill="1" applyBorder="1" applyAlignment="1">
      <alignment horizontal="center" vertical="center"/>
    </xf>
    <xf numFmtId="0" fontId="61" fillId="0" borderId="17" xfId="246" applyFont="1" applyBorder="1" applyAlignment="1">
      <alignment horizontal="center" vertical="center"/>
    </xf>
    <xf numFmtId="0" fontId="61" fillId="0" borderId="17" xfId="0" applyFont="1" applyBorder="1" applyAlignment="1">
      <alignment horizontal="center" vertical="center"/>
    </xf>
    <xf numFmtId="0" fontId="51" fillId="0" borderId="17" xfId="0" applyFont="1" applyBorder="1" applyAlignment="1">
      <alignment horizontal="center" vertical="center"/>
    </xf>
    <xf numFmtId="0" fontId="61" fillId="23" borderId="17" xfId="246" applyFont="1" applyFill="1" applyBorder="1" applyAlignment="1">
      <alignment horizontal="center" vertical="center"/>
    </xf>
    <xf numFmtId="0" fontId="61" fillId="25" borderId="18" xfId="246" applyFont="1" applyFill="1" applyBorder="1" applyAlignment="1">
      <alignment horizontal="center" vertical="center"/>
    </xf>
    <xf numFmtId="0" fontId="42" fillId="0" borderId="22" xfId="0" applyFont="1" applyBorder="1" applyAlignment="1">
      <alignment horizontal="center" vertical="center"/>
    </xf>
    <xf numFmtId="0" fontId="42" fillId="0" borderId="22" xfId="246" applyFont="1" applyBorder="1" applyAlignment="1">
      <alignment horizontal="center" vertical="center"/>
    </xf>
    <xf numFmtId="0" fontId="61" fillId="0" borderId="22" xfId="246" applyFont="1" applyBorder="1" applyAlignment="1">
      <alignment horizontal="center" vertical="center"/>
    </xf>
    <xf numFmtId="0" fontId="61" fillId="26" borderId="17" xfId="246" applyFont="1" applyFill="1" applyBorder="1" applyAlignment="1">
      <alignment horizontal="center" vertical="center"/>
    </xf>
    <xf numFmtId="0" fontId="83" fillId="35" borderId="18" xfId="246" applyFont="1" applyFill="1" applyBorder="1" applyAlignment="1">
      <alignment horizontal="center" vertical="center" wrapText="1"/>
    </xf>
    <xf numFmtId="0" fontId="83" fillId="35" borderId="22" xfId="246" applyFont="1" applyFill="1" applyBorder="1" applyAlignment="1">
      <alignment horizontal="center" vertical="center" wrapText="1"/>
    </xf>
    <xf numFmtId="0" fontId="135" fillId="35" borderId="22" xfId="246" applyFont="1" applyFill="1" applyBorder="1" applyAlignment="1">
      <alignment vertical="center"/>
    </xf>
    <xf numFmtId="0" fontId="135" fillId="35" borderId="22" xfId="246" applyFont="1" applyFill="1" applyBorder="1" applyAlignment="1">
      <alignment horizontal="left" vertical="center"/>
    </xf>
    <xf numFmtId="0" fontId="83" fillId="35" borderId="22" xfId="583" applyFont="1" applyFill="1" applyBorder="1" applyAlignment="1">
      <alignment vertical="center"/>
    </xf>
    <xf numFmtId="0" fontId="135" fillId="35" borderId="22" xfId="246" applyFont="1" applyFill="1" applyBorder="1" applyAlignment="1">
      <alignment horizontal="center" vertical="center"/>
    </xf>
    <xf numFmtId="0" fontId="51" fillId="0" borderId="22" xfId="0" applyFont="1" applyBorder="1" applyAlignment="1">
      <alignment horizontal="center" vertical="center"/>
    </xf>
    <xf numFmtId="0" fontId="61" fillId="25" borderId="17" xfId="0" applyFont="1" applyFill="1" applyBorder="1" applyAlignment="1">
      <alignment horizontal="center" vertical="center" wrapText="1"/>
    </xf>
    <xf numFmtId="0" fontId="61" fillId="0" borderId="17" xfId="0" applyFont="1" applyBorder="1" applyAlignment="1">
      <alignment horizontal="center" vertical="center" wrapText="1"/>
    </xf>
    <xf numFmtId="0" fontId="61" fillId="0" borderId="18" xfId="0" applyFont="1" applyBorder="1" applyAlignment="1">
      <alignment horizontal="center" vertical="center" wrapText="1"/>
    </xf>
    <xf numFmtId="0" fontId="61" fillId="25" borderId="17" xfId="246" applyFont="1" applyFill="1" applyBorder="1" applyAlignment="1">
      <alignment horizontal="center" vertical="center" wrapText="1"/>
    </xf>
    <xf numFmtId="0" fontId="61" fillId="0" borderId="18" xfId="0" applyFont="1" applyBorder="1" applyAlignment="1">
      <alignment horizontal="center" vertical="center"/>
    </xf>
    <xf numFmtId="0" fontId="83" fillId="37" borderId="18" xfId="0" applyFont="1" applyFill="1" applyBorder="1" applyAlignment="1">
      <alignment horizontal="center" vertical="center" wrapText="1"/>
    </xf>
    <xf numFmtId="0" fontId="83" fillId="37" borderId="22" xfId="246" applyFont="1" applyFill="1" applyBorder="1" applyAlignment="1">
      <alignment horizontal="center" vertical="center" wrapText="1"/>
    </xf>
    <xf numFmtId="0" fontId="213" fillId="37" borderId="22" xfId="246" applyFont="1" applyFill="1" applyBorder="1" applyAlignment="1">
      <alignment horizontal="center" vertical="center"/>
    </xf>
    <xf numFmtId="0" fontId="83" fillId="37" borderId="22" xfId="583" applyFont="1" applyFill="1" applyBorder="1" applyAlignment="1">
      <alignment vertical="center"/>
    </xf>
    <xf numFmtId="0" fontId="135" fillId="37" borderId="22" xfId="246" applyFont="1" applyFill="1" applyBorder="1" applyAlignment="1">
      <alignment horizontal="center" vertical="center"/>
    </xf>
    <xf numFmtId="0" fontId="83" fillId="37" borderId="22" xfId="583" applyFont="1" applyFill="1" applyBorder="1" applyAlignment="1">
      <alignment horizontal="center" vertical="center"/>
    </xf>
    <xf numFmtId="0" fontId="61" fillId="45" borderId="17" xfId="0" applyFont="1" applyFill="1" applyBorder="1" applyAlignment="1">
      <alignment horizontal="center" vertical="center"/>
    </xf>
    <xf numFmtId="0" fontId="61" fillId="23" borderId="17" xfId="0" applyFont="1" applyFill="1" applyBorder="1" applyAlignment="1">
      <alignment horizontal="center" vertical="center"/>
    </xf>
    <xf numFmtId="0" fontId="87" fillId="25" borderId="17" xfId="246" applyFont="1" applyFill="1" applyBorder="1" applyAlignment="1">
      <alignment horizontal="center" vertical="center" wrapText="1"/>
    </xf>
    <xf numFmtId="0" fontId="205" fillId="25" borderId="17" xfId="246" applyFont="1" applyFill="1" applyBorder="1" applyAlignment="1">
      <alignment horizontal="center" vertical="center"/>
    </xf>
    <xf numFmtId="0" fontId="42" fillId="0" borderId="17" xfId="0" applyFont="1" applyBorder="1" applyAlignment="1">
      <alignment vertical="center" wrapText="1"/>
    </xf>
    <xf numFmtId="0" fontId="42" fillId="0" borderId="17" xfId="246" applyFont="1" applyBorder="1" applyAlignment="1">
      <alignment horizontal="center" vertical="center" wrapText="1"/>
    </xf>
    <xf numFmtId="0" fontId="205" fillId="26" borderId="17" xfId="246" applyFont="1" applyFill="1" applyBorder="1" applyAlignment="1">
      <alignment vertical="center" wrapText="1"/>
    </xf>
    <xf numFmtId="0" fontId="51" fillId="0" borderId="18" xfId="0" applyFont="1" applyBorder="1" applyAlignment="1">
      <alignment horizontal="center" vertical="center"/>
    </xf>
    <xf numFmtId="0" fontId="32" fillId="0" borderId="17" xfId="246" applyFont="1" applyBorder="1"/>
    <xf numFmtId="14" fontId="61" fillId="0" borderId="17" xfId="246" applyNumberFormat="1" applyFont="1" applyBorder="1" applyAlignment="1">
      <alignment horizontal="center" vertical="center"/>
    </xf>
    <xf numFmtId="0" fontId="83" fillId="39" borderId="18" xfId="0" applyFont="1" applyFill="1" applyBorder="1" applyAlignment="1">
      <alignment horizontal="center" vertical="center" wrapText="1"/>
    </xf>
    <xf numFmtId="0" fontId="83" fillId="39" borderId="22" xfId="246" applyFont="1" applyFill="1" applyBorder="1" applyAlignment="1">
      <alignment horizontal="center" vertical="center" wrapText="1"/>
    </xf>
    <xf numFmtId="0" fontId="213" fillId="39" borderId="22" xfId="246" applyFont="1" applyFill="1" applyBorder="1" applyAlignment="1">
      <alignment horizontal="center" vertical="center"/>
    </xf>
    <xf numFmtId="0" fontId="83" fillId="39" borderId="22" xfId="583" applyFont="1" applyFill="1" applyBorder="1" applyAlignment="1">
      <alignment vertical="center"/>
    </xf>
    <xf numFmtId="0" fontId="135" fillId="39" borderId="22" xfId="246" applyFont="1" applyFill="1" applyBorder="1" applyAlignment="1">
      <alignment horizontal="center" vertical="center"/>
    </xf>
    <xf numFmtId="0" fontId="83" fillId="39" borderId="22" xfId="583" applyFont="1" applyFill="1" applyBorder="1" applyAlignment="1">
      <alignment horizontal="center" vertical="center"/>
    </xf>
    <xf numFmtId="0" fontId="61" fillId="25" borderId="18" xfId="0" applyFont="1" applyFill="1" applyBorder="1" applyAlignment="1">
      <alignment horizontal="center" vertical="center" wrapText="1"/>
    </xf>
    <xf numFmtId="0" fontId="32" fillId="0" borderId="22" xfId="246" applyFont="1" applyBorder="1"/>
    <xf numFmtId="0" fontId="61" fillId="0" borderId="18" xfId="246" applyFont="1" applyBorder="1" applyAlignment="1">
      <alignment horizontal="center" vertical="center"/>
    </xf>
    <xf numFmtId="0" fontId="61" fillId="25" borderId="17" xfId="0" applyFont="1" applyFill="1" applyBorder="1" applyAlignment="1">
      <alignment horizontal="center" vertical="center"/>
    </xf>
    <xf numFmtId="0" fontId="40" fillId="36" borderId="18" xfId="0" applyFont="1" applyFill="1" applyBorder="1" applyAlignment="1">
      <alignment horizontal="center" vertical="center" wrapText="1"/>
    </xf>
    <xf numFmtId="0" fontId="43" fillId="36" borderId="22" xfId="246" applyFont="1" applyFill="1" applyBorder="1" applyAlignment="1">
      <alignment horizontal="center" vertical="center" wrapText="1"/>
    </xf>
    <xf numFmtId="0" fontId="61" fillId="36" borderId="22" xfId="246" applyFont="1" applyFill="1" applyBorder="1" applyAlignment="1">
      <alignment horizontal="center" vertical="center"/>
    </xf>
    <xf numFmtId="0" fontId="83" fillId="36" borderId="22" xfId="583" applyFont="1" applyFill="1" applyBorder="1" applyAlignment="1">
      <alignment vertical="center"/>
    </xf>
    <xf numFmtId="0" fontId="42" fillId="36" borderId="22" xfId="246" applyFont="1" applyFill="1" applyBorder="1" applyAlignment="1">
      <alignment horizontal="center" vertical="center"/>
    </xf>
    <xf numFmtId="0" fontId="83" fillId="36" borderId="22" xfId="583" applyFont="1" applyFill="1" applyBorder="1" applyAlignment="1">
      <alignment horizontal="center" vertical="center"/>
    </xf>
    <xf numFmtId="0" fontId="61" fillId="46" borderId="17" xfId="246" applyFont="1" applyFill="1" applyBorder="1" applyAlignment="1">
      <alignment horizontal="center" vertical="center"/>
    </xf>
    <xf numFmtId="0" fontId="61" fillId="46" borderId="17" xfId="246" applyFont="1" applyFill="1" applyBorder="1" applyAlignment="1">
      <alignment horizontal="center" vertical="center" wrapText="1"/>
    </xf>
    <xf numFmtId="0" fontId="83" fillId="38" borderId="18" xfId="0" applyFont="1" applyFill="1" applyBorder="1" applyAlignment="1">
      <alignment horizontal="center" vertical="center" wrapText="1"/>
    </xf>
    <xf numFmtId="0" fontId="83" fillId="38" borderId="22" xfId="246" applyFont="1" applyFill="1" applyBorder="1" applyAlignment="1">
      <alignment horizontal="center" vertical="center" wrapText="1"/>
    </xf>
    <xf numFmtId="0" fontId="214" fillId="38" borderId="22" xfId="246" applyFont="1" applyFill="1" applyBorder="1" applyAlignment="1">
      <alignment horizontal="center" vertical="center"/>
    </xf>
    <xf numFmtId="0" fontId="83" fillId="38" borderId="22" xfId="583" applyFont="1" applyFill="1" applyBorder="1" applyAlignment="1">
      <alignment vertical="center"/>
    </xf>
    <xf numFmtId="0" fontId="83" fillId="38" borderId="22" xfId="246" applyFont="1" applyFill="1" applyBorder="1" applyAlignment="1">
      <alignment horizontal="center" vertical="center"/>
    </xf>
    <xf numFmtId="0" fontId="83" fillId="38" borderId="22" xfId="583" applyFont="1" applyFill="1" applyBorder="1" applyAlignment="1">
      <alignment horizontal="center" vertical="center"/>
    </xf>
    <xf numFmtId="0" fontId="61" fillId="45" borderId="17" xfId="0" applyFont="1" applyFill="1" applyBorder="1" applyAlignment="1">
      <alignment horizontal="center" vertical="center" wrapText="1"/>
    </xf>
    <xf numFmtId="0" fontId="61" fillId="26" borderId="18" xfId="246" applyFont="1" applyFill="1" applyBorder="1" applyAlignment="1">
      <alignment horizontal="center" vertical="center"/>
    </xf>
    <xf numFmtId="0" fontId="42" fillId="0" borderId="17" xfId="246" applyFont="1" applyBorder="1"/>
    <xf numFmtId="0" fontId="32" fillId="0" borderId="17" xfId="246" applyFont="1" applyBorder="1" applyAlignment="1">
      <alignment horizontal="center" vertical="center"/>
    </xf>
    <xf numFmtId="0" fontId="61" fillId="26" borderId="17" xfId="0" applyFont="1" applyFill="1" applyBorder="1" applyAlignment="1">
      <alignment horizontal="center" vertical="center" wrapText="1"/>
    </xf>
    <xf numFmtId="0" fontId="61" fillId="26" borderId="17" xfId="0" applyFont="1" applyFill="1" applyBorder="1" applyAlignment="1">
      <alignment horizontal="center" vertical="center"/>
    </xf>
    <xf numFmtId="0" fontId="43" fillId="0" borderId="17" xfId="0" applyFont="1" applyBorder="1" applyAlignment="1">
      <alignment vertical="center"/>
    </xf>
    <xf numFmtId="0" fontId="0" fillId="0" borderId="20" xfId="0" applyBorder="1" applyAlignment="1">
      <alignment vertical="center" wrapText="1"/>
    </xf>
    <xf numFmtId="0" fontId="42" fillId="0" borderId="21" xfId="246" applyFont="1" applyBorder="1" applyAlignment="1">
      <alignment horizontal="center" vertical="center" wrapText="1"/>
    </xf>
    <xf numFmtId="0" fontId="61" fillId="0" borderId="20" xfId="246" applyFont="1" applyBorder="1" applyAlignment="1">
      <alignment horizontal="center" vertical="center"/>
    </xf>
    <xf numFmtId="0" fontId="61" fillId="0" borderId="20" xfId="0" applyFont="1" applyBorder="1" applyAlignment="1">
      <alignment horizontal="center" vertical="center"/>
    </xf>
    <xf numFmtId="0" fontId="43" fillId="0" borderId="292" xfId="0" applyFont="1" applyBorder="1" applyAlignment="1">
      <alignment vertical="center"/>
    </xf>
    <xf numFmtId="0" fontId="43" fillId="0" borderId="20" xfId="0" applyFont="1" applyBorder="1" applyAlignment="1">
      <alignment vertical="center"/>
    </xf>
    <xf numFmtId="0" fontId="61" fillId="26" borderId="20" xfId="246" applyFont="1" applyFill="1" applyBorder="1" applyAlignment="1">
      <alignment horizontal="center" vertical="center"/>
    </xf>
    <xf numFmtId="0" fontId="42" fillId="0" borderId="25" xfId="246" applyFont="1" applyBorder="1" applyAlignment="1">
      <alignment horizontal="center" vertical="center"/>
    </xf>
    <xf numFmtId="0" fontId="42" fillId="0" borderId="29" xfId="246" applyFont="1" applyBorder="1" applyAlignment="1">
      <alignment horizontal="center" vertical="center" wrapText="1"/>
    </xf>
    <xf numFmtId="0" fontId="61" fillId="0" borderId="30" xfId="246" applyFont="1" applyBorder="1" applyAlignment="1">
      <alignment horizontal="center" vertical="center" wrapText="1"/>
    </xf>
    <xf numFmtId="0" fontId="61" fillId="25" borderId="30" xfId="246" applyFont="1" applyFill="1" applyBorder="1" applyAlignment="1">
      <alignment horizontal="center" vertical="center" wrapText="1"/>
    </xf>
    <xf numFmtId="0" fontId="61" fillId="0" borderId="79" xfId="246" applyFont="1" applyBorder="1" applyAlignment="1">
      <alignment horizontal="center" vertical="center" wrapText="1"/>
    </xf>
    <xf numFmtId="0" fontId="61" fillId="0" borderId="28" xfId="246" applyFont="1" applyBorder="1" applyAlignment="1">
      <alignment horizontal="center" vertical="center" wrapText="1"/>
    </xf>
    <xf numFmtId="0" fontId="61" fillId="0" borderId="79" xfId="0" applyFont="1" applyBorder="1" applyAlignment="1">
      <alignment horizontal="center" vertical="center" wrapText="1"/>
    </xf>
    <xf numFmtId="0" fontId="61" fillId="25" borderId="79" xfId="246" applyFont="1" applyFill="1" applyBorder="1" applyAlignment="1">
      <alignment horizontal="center" vertical="center" wrapText="1"/>
    </xf>
    <xf numFmtId="0" fontId="61" fillId="0" borderId="280" xfId="0" applyFont="1" applyBorder="1" applyAlignment="1">
      <alignment horizontal="center" vertical="center" wrapText="1"/>
    </xf>
    <xf numFmtId="0" fontId="61" fillId="25" borderId="280" xfId="246" applyFont="1" applyFill="1" applyBorder="1" applyAlignment="1">
      <alignment horizontal="center" vertical="center" wrapText="1"/>
    </xf>
    <xf numFmtId="0" fontId="42" fillId="0" borderId="28" xfId="246" applyFont="1" applyBorder="1" applyAlignment="1">
      <alignment horizontal="center" vertical="center" wrapText="1"/>
    </xf>
    <xf numFmtId="0" fontId="61" fillId="0" borderId="17" xfId="246" applyFont="1" applyBorder="1" applyAlignment="1">
      <alignment horizontal="center" vertical="center" wrapText="1"/>
    </xf>
    <xf numFmtId="0" fontId="61" fillId="25" borderId="18" xfId="246" applyFont="1" applyFill="1" applyBorder="1" applyAlignment="1">
      <alignment horizontal="center" vertical="center" wrapText="1"/>
    </xf>
    <xf numFmtId="0" fontId="42" fillId="0" borderId="22" xfId="246" applyFont="1" applyBorder="1" applyAlignment="1">
      <alignment horizontal="center" vertical="center" wrapText="1"/>
    </xf>
    <xf numFmtId="0" fontId="61" fillId="0" borderId="22" xfId="246" applyFont="1" applyBorder="1" applyAlignment="1">
      <alignment horizontal="center" vertical="center" wrapText="1"/>
    </xf>
    <xf numFmtId="0" fontId="61" fillId="23" borderId="17" xfId="246" applyFont="1" applyFill="1" applyBorder="1" applyAlignment="1">
      <alignment horizontal="center" vertical="center" wrapText="1"/>
    </xf>
    <xf numFmtId="0" fontId="61" fillId="26" borderId="17" xfId="246" applyFont="1" applyFill="1" applyBorder="1" applyAlignment="1">
      <alignment horizontal="center" vertical="center" wrapText="1"/>
    </xf>
    <xf numFmtId="0" fontId="61" fillId="0" borderId="18" xfId="246" applyFont="1" applyBorder="1" applyAlignment="1">
      <alignment horizontal="center" vertical="center" wrapText="1"/>
    </xf>
    <xf numFmtId="0" fontId="83" fillId="52" borderId="18" xfId="246" applyFont="1" applyFill="1" applyBorder="1" applyAlignment="1">
      <alignment horizontal="center" vertical="center" wrapText="1"/>
    </xf>
    <xf numFmtId="0" fontId="83" fillId="52" borderId="22" xfId="246" applyFont="1" applyFill="1" applyBorder="1" applyAlignment="1">
      <alignment horizontal="center" vertical="center" wrapText="1"/>
    </xf>
    <xf numFmtId="0" fontId="135" fillId="52" borderId="22" xfId="246" applyFont="1" applyFill="1" applyBorder="1" applyAlignment="1">
      <alignment horizontal="center" vertical="center" wrapText="1"/>
    </xf>
    <xf numFmtId="0" fontId="135" fillId="52" borderId="22" xfId="246" applyFont="1" applyFill="1" applyBorder="1" applyAlignment="1">
      <alignment wrapText="1"/>
    </xf>
    <xf numFmtId="0" fontId="42" fillId="52" borderId="22" xfId="246" applyFont="1" applyFill="1" applyBorder="1" applyAlignment="1">
      <alignment horizontal="center" vertical="center" wrapText="1"/>
    </xf>
    <xf numFmtId="0" fontId="205" fillId="26" borderId="17" xfId="246" applyFont="1" applyFill="1" applyBorder="1" applyAlignment="1">
      <alignment horizontal="center" vertical="center" wrapText="1"/>
    </xf>
    <xf numFmtId="0" fontId="42" fillId="20" borderId="17" xfId="0" applyFont="1" applyFill="1" applyBorder="1" applyAlignment="1">
      <alignment vertical="center" wrapText="1"/>
    </xf>
    <xf numFmtId="0" fontId="88" fillId="20" borderId="19" xfId="246" applyFont="1" applyFill="1" applyBorder="1" applyAlignment="1">
      <alignment horizontal="center" vertical="center" wrapText="1"/>
    </xf>
    <xf numFmtId="0" fontId="61" fillId="20" borderId="17" xfId="246" applyFont="1" applyFill="1" applyBorder="1" applyAlignment="1">
      <alignment horizontal="center" vertical="center" wrapText="1"/>
    </xf>
    <xf numFmtId="0" fontId="61" fillId="20" borderId="17" xfId="0" applyFont="1" applyFill="1" applyBorder="1" applyAlignment="1">
      <alignment horizontal="center" vertical="center" wrapText="1"/>
    </xf>
    <xf numFmtId="168" fontId="42" fillId="0" borderId="22" xfId="176" applyNumberFormat="1" applyFont="1" applyBorder="1" applyAlignment="1">
      <alignment horizontal="center" vertical="center" wrapText="1"/>
    </xf>
    <xf numFmtId="0" fontId="83" fillId="37" borderId="18" xfId="246" applyFont="1" applyFill="1" applyBorder="1" applyAlignment="1">
      <alignment horizontal="center" vertical="center" wrapText="1"/>
    </xf>
    <xf numFmtId="0" fontId="213" fillId="37" borderId="22" xfId="246" applyFont="1" applyFill="1" applyBorder="1" applyAlignment="1">
      <alignment horizontal="center" vertical="center" wrapText="1"/>
    </xf>
    <xf numFmtId="0" fontId="213" fillId="37" borderId="22" xfId="0" applyFont="1" applyFill="1" applyBorder="1" applyAlignment="1">
      <alignment horizontal="center" vertical="center" wrapText="1"/>
    </xf>
    <xf numFmtId="0" fontId="135" fillId="37" borderId="22" xfId="246" applyFont="1" applyFill="1" applyBorder="1" applyAlignment="1">
      <alignment horizontal="center" vertical="center" wrapText="1"/>
    </xf>
    <xf numFmtId="0" fontId="42" fillId="0" borderId="22" xfId="246" applyFont="1" applyBorder="1" applyAlignment="1">
      <alignment wrapText="1"/>
    </xf>
    <xf numFmtId="0" fontId="42" fillId="0" borderId="19" xfId="0" applyFont="1" applyBorder="1" applyAlignment="1">
      <alignment horizontal="center" wrapText="1"/>
    </xf>
    <xf numFmtId="0" fontId="42" fillId="0" borderId="17" xfId="0" applyFont="1" applyBorder="1" applyAlignment="1">
      <alignment horizontal="left" vertical="center" wrapText="1"/>
    </xf>
    <xf numFmtId="0" fontId="42" fillId="0" borderId="19" xfId="0" applyFont="1" applyBorder="1" applyAlignment="1">
      <alignment horizontal="center" vertical="center" wrapText="1"/>
    </xf>
    <xf numFmtId="0" fontId="51" fillId="0" borderId="17" xfId="0" applyFont="1" applyBorder="1"/>
    <xf numFmtId="0" fontId="205" fillId="25" borderId="18" xfId="0" applyFont="1" applyFill="1" applyBorder="1" applyAlignment="1">
      <alignment horizontal="center" vertical="center" wrapText="1"/>
    </xf>
    <xf numFmtId="0" fontId="205" fillId="0" borderId="17" xfId="0" applyFont="1" applyBorder="1" applyAlignment="1">
      <alignment horizontal="center" vertical="center" wrapText="1"/>
    </xf>
    <xf numFmtId="0" fontId="88" fillId="24" borderId="17" xfId="0" applyFont="1" applyFill="1" applyBorder="1" applyAlignment="1">
      <alignment vertical="center" wrapText="1"/>
    </xf>
    <xf numFmtId="0" fontId="143" fillId="20" borderId="19" xfId="246" applyFont="1" applyFill="1" applyBorder="1" applyAlignment="1">
      <alignment horizontal="center" vertical="center" wrapText="1"/>
    </xf>
    <xf numFmtId="0" fontId="58" fillId="0" borderId="17" xfId="0" applyFont="1" applyBorder="1" applyAlignment="1">
      <alignment vertical="center" wrapText="1"/>
    </xf>
    <xf numFmtId="0" fontId="38" fillId="0" borderId="19" xfId="246" applyFont="1" applyBorder="1" applyAlignment="1">
      <alignment horizontal="center" vertical="center" wrapText="1"/>
    </xf>
    <xf numFmtId="0" fontId="205" fillId="25" borderId="18" xfId="246" applyFont="1" applyFill="1" applyBorder="1" applyAlignment="1">
      <alignment horizontal="center" vertical="center" wrapText="1"/>
    </xf>
    <xf numFmtId="0" fontId="205" fillId="25" borderId="17" xfId="246" applyFont="1" applyFill="1" applyBorder="1" applyAlignment="1">
      <alignment horizontal="center" vertical="center" wrapText="1"/>
    </xf>
    <xf numFmtId="0" fontId="42" fillId="0" borderId="17" xfId="0" applyFont="1" applyBorder="1" applyAlignment="1">
      <alignment horizontal="center" vertical="center" wrapText="1"/>
    </xf>
    <xf numFmtId="0" fontId="83" fillId="39" borderId="18" xfId="246" applyFont="1" applyFill="1" applyBorder="1" applyAlignment="1">
      <alignment horizontal="center" vertical="center" wrapText="1"/>
    </xf>
    <xf numFmtId="0" fontId="135" fillId="39" borderId="22" xfId="246" applyFont="1" applyFill="1" applyBorder="1" applyAlignment="1">
      <alignment horizontal="center" vertical="center" wrapText="1"/>
    </xf>
    <xf numFmtId="0" fontId="61" fillId="23" borderId="17" xfId="0" applyFont="1" applyFill="1" applyBorder="1" applyAlignment="1">
      <alignment horizontal="center" vertical="center" wrapText="1"/>
    </xf>
    <xf numFmtId="0" fontId="42" fillId="20" borderId="19" xfId="246" applyFont="1" applyFill="1" applyBorder="1" applyAlignment="1">
      <alignment horizontal="center" vertical="center" wrapText="1"/>
    </xf>
    <xf numFmtId="0" fontId="61" fillId="28" borderId="17" xfId="0" applyFont="1" applyFill="1" applyBorder="1" applyAlignment="1">
      <alignment horizontal="center" vertical="center" wrapText="1"/>
    </xf>
    <xf numFmtId="0" fontId="242" fillId="0" borderId="17" xfId="0" applyFont="1" applyBorder="1" applyAlignment="1">
      <alignment vertical="center" wrapText="1"/>
    </xf>
    <xf numFmtId="0" fontId="51" fillId="0" borderId="22" xfId="0" applyFont="1" applyBorder="1"/>
    <xf numFmtId="0" fontId="88" fillId="43" borderId="17" xfId="0" applyFont="1" applyFill="1" applyBorder="1" applyAlignment="1">
      <alignment vertical="center" wrapText="1"/>
    </xf>
    <xf numFmtId="0" fontId="83" fillId="36" borderId="18" xfId="246" applyFont="1" applyFill="1" applyBorder="1" applyAlignment="1">
      <alignment horizontal="center" vertical="center" wrapText="1"/>
    </xf>
    <xf numFmtId="0" fontId="83" fillId="36" borderId="22" xfId="246" applyFont="1" applyFill="1" applyBorder="1" applyAlignment="1">
      <alignment horizontal="center" vertical="center" wrapText="1"/>
    </xf>
    <xf numFmtId="0" fontId="135" fillId="36" borderId="22" xfId="246" applyFont="1" applyFill="1" applyBorder="1" applyAlignment="1">
      <alignment horizontal="center" vertical="center" wrapText="1"/>
    </xf>
    <xf numFmtId="0" fontId="103" fillId="0" borderId="22" xfId="246" applyFont="1" applyBorder="1" applyAlignment="1">
      <alignment horizontal="center" vertical="center" wrapText="1"/>
    </xf>
    <xf numFmtId="0" fontId="51" fillId="0" borderId="17" xfId="0" applyFont="1" applyBorder="1" applyAlignment="1">
      <alignment horizontal="center" vertical="center" wrapText="1"/>
    </xf>
    <xf numFmtId="0" fontId="83" fillId="51" borderId="17" xfId="0" applyFont="1" applyFill="1" applyBorder="1" applyAlignment="1">
      <alignment horizontal="center" vertical="center" wrapText="1"/>
    </xf>
    <xf numFmtId="0" fontId="83" fillId="51" borderId="22" xfId="0" applyFont="1" applyFill="1" applyBorder="1" applyAlignment="1">
      <alignment horizontal="center" wrapText="1"/>
    </xf>
    <xf numFmtId="0" fontId="135" fillId="51" borderId="22" xfId="246" applyFont="1" applyFill="1" applyBorder="1" applyAlignment="1">
      <alignment horizontal="center" vertical="center" wrapText="1"/>
    </xf>
    <xf numFmtId="0" fontId="205" fillId="23" borderId="18" xfId="246" applyFont="1" applyFill="1" applyBorder="1" applyAlignment="1">
      <alignment horizontal="center" vertical="center" wrapText="1"/>
    </xf>
    <xf numFmtId="0" fontId="61" fillId="0" borderId="20" xfId="246" applyFont="1" applyBorder="1" applyAlignment="1">
      <alignment horizontal="center" vertical="center" wrapText="1"/>
    </xf>
    <xf numFmtId="0" fontId="61" fillId="0" borderId="20" xfId="0" applyFont="1" applyBorder="1" applyAlignment="1">
      <alignment horizontal="center" vertical="center" wrapText="1"/>
    </xf>
    <xf numFmtId="0" fontId="61" fillId="26" borderId="20" xfId="246" applyFont="1" applyFill="1" applyBorder="1" applyAlignment="1">
      <alignment horizontal="center" vertical="center" wrapText="1"/>
    </xf>
    <xf numFmtId="0" fontId="205" fillId="23" borderId="281" xfId="246" applyFont="1" applyFill="1" applyBorder="1" applyAlignment="1">
      <alignment horizontal="center" vertical="center" wrapText="1"/>
    </xf>
    <xf numFmtId="0" fontId="61" fillId="0" borderId="281" xfId="246" applyFont="1" applyBorder="1" applyAlignment="1">
      <alignment horizontal="center" vertical="center" wrapText="1"/>
    </xf>
    <xf numFmtId="0" fontId="42" fillId="0" borderId="23" xfId="246" applyFont="1" applyBorder="1" applyAlignment="1">
      <alignment horizontal="center" vertical="center" wrapText="1"/>
    </xf>
    <xf numFmtId="0" fontId="0" fillId="0" borderId="0" xfId="0"/>
    <xf numFmtId="0" fontId="102" fillId="0" borderId="0" xfId="0" applyFont="1" applyBorder="1" applyAlignment="1">
      <alignment horizontal="center" vertical="center"/>
    </xf>
    <xf numFmtId="0" fontId="42" fillId="0" borderId="22" xfId="377" applyFont="1" applyBorder="1" applyAlignment="1">
      <alignment horizontal="center" vertical="center"/>
    </xf>
    <xf numFmtId="0" fontId="40" fillId="20" borderId="291" xfId="801" applyFont="1" applyFill="1" applyBorder="1" applyAlignment="1">
      <alignment horizontal="center" vertical="center"/>
    </xf>
    <xf numFmtId="0" fontId="80" fillId="20" borderId="291" xfId="801" applyFont="1" applyFill="1" applyBorder="1" applyAlignment="1">
      <alignment horizontal="center" vertical="center"/>
    </xf>
    <xf numFmtId="0" fontId="40" fillId="24" borderId="201" xfId="0" applyFont="1" applyFill="1" applyBorder="1" applyAlignment="1">
      <alignment horizontal="center" vertical="center" wrapText="1"/>
    </xf>
    <xf numFmtId="0" fontId="103" fillId="20" borderId="202" xfId="801" applyFont="1" applyFill="1" applyBorder="1" applyAlignment="1">
      <alignment horizontal="center" vertical="center"/>
    </xf>
    <xf numFmtId="3" fontId="0" fillId="0" borderId="148" xfId="0" applyNumberFormat="1" applyBorder="1" applyAlignment="1">
      <alignment horizontal="right" vertical="center" wrapText="1"/>
    </xf>
    <xf numFmtId="3" fontId="0" fillId="0" borderId="195" xfId="0" applyNumberFormat="1" applyBorder="1" applyAlignment="1">
      <alignment horizontal="right" vertical="center" wrapText="1"/>
    </xf>
    <xf numFmtId="3" fontId="0" fillId="0" borderId="196" xfId="0" applyNumberFormat="1" applyBorder="1" applyAlignment="1">
      <alignment horizontal="right" vertical="center" wrapText="1"/>
    </xf>
    <xf numFmtId="3" fontId="0" fillId="0" borderId="197" xfId="0" applyNumberFormat="1" applyBorder="1" applyAlignment="1">
      <alignment horizontal="right" vertical="center" wrapText="1"/>
    </xf>
    <xf numFmtId="0" fontId="40" fillId="20" borderId="145" xfId="801" applyFont="1" applyFill="1" applyBorder="1" applyAlignment="1">
      <alignment horizontal="center" vertical="center"/>
    </xf>
    <xf numFmtId="0" fontId="103" fillId="20" borderId="201" xfId="801" applyFont="1" applyFill="1" applyBorder="1" applyAlignment="1">
      <alignment horizontal="center" vertical="center"/>
    </xf>
    <xf numFmtId="0" fontId="80" fillId="20" borderId="202" xfId="801" applyFont="1" applyFill="1" applyBorder="1" applyAlignment="1">
      <alignment horizontal="center" vertical="center"/>
    </xf>
    <xf numFmtId="0" fontId="0" fillId="0" borderId="146" xfId="0" applyBorder="1" applyAlignment="1">
      <alignment horizontal="center" vertical="center"/>
    </xf>
    <xf numFmtId="0" fontId="0" fillId="0" borderId="148" xfId="0" applyBorder="1" applyAlignment="1">
      <alignment horizontal="right" vertical="center" wrapText="1"/>
    </xf>
    <xf numFmtId="0" fontId="0" fillId="0" borderId="149" xfId="0" applyBorder="1" applyAlignment="1">
      <alignment horizontal="center" vertical="center"/>
    </xf>
    <xf numFmtId="0" fontId="0" fillId="0" borderId="196" xfId="0" applyBorder="1" applyAlignment="1">
      <alignment horizontal="right" vertical="center" wrapText="1"/>
    </xf>
    <xf numFmtId="0" fontId="80" fillId="20" borderId="201" xfId="801" applyFont="1" applyFill="1" applyBorder="1" applyAlignment="1">
      <alignment horizontal="center" vertical="center"/>
    </xf>
    <xf numFmtId="0" fontId="80" fillId="20" borderId="201" xfId="800" applyFont="1" applyFill="1" applyBorder="1" applyAlignment="1">
      <alignment horizontal="center" vertical="center"/>
    </xf>
    <xf numFmtId="0" fontId="42" fillId="0" borderId="146" xfId="801" applyFont="1" applyBorder="1" applyAlignment="1">
      <alignment horizontal="center" vertical="center"/>
    </xf>
    <xf numFmtId="0" fontId="42" fillId="0" borderId="148" xfId="801" applyFont="1" applyBorder="1" applyAlignment="1">
      <alignment vertical="center"/>
    </xf>
    <xf numFmtId="0" fontId="42" fillId="0" borderId="148" xfId="0" applyFont="1" applyBorder="1"/>
    <xf numFmtId="169" fontId="38" fillId="0" borderId="148" xfId="107" applyNumberFormat="1" applyBorder="1"/>
    <xf numFmtId="0" fontId="42" fillId="0" borderId="149" xfId="801" applyFont="1" applyBorder="1" applyAlignment="1">
      <alignment horizontal="center" vertical="center"/>
    </xf>
    <xf numFmtId="0" fontId="42" fillId="0" borderId="196" xfId="801" applyFont="1" applyBorder="1" applyAlignment="1">
      <alignment vertical="center"/>
    </xf>
    <xf numFmtId="0" fontId="42" fillId="0" borderId="196" xfId="0" applyFont="1" applyBorder="1"/>
    <xf numFmtId="169" fontId="38" fillId="0" borderId="196" xfId="107" applyNumberFormat="1" applyBorder="1"/>
    <xf numFmtId="0" fontId="55" fillId="0" borderId="146" xfId="801" applyFont="1" applyBorder="1" applyAlignment="1">
      <alignment horizontal="center" vertical="center"/>
    </xf>
    <xf numFmtId="0" fontId="55" fillId="0" borderId="148" xfId="801" applyFont="1" applyBorder="1" applyAlignment="1">
      <alignment horizontal="center" vertical="center"/>
    </xf>
    <xf numFmtId="0" fontId="80" fillId="0" borderId="148" xfId="801" applyFont="1" applyBorder="1" applyAlignment="1">
      <alignment horizontal="center" vertical="center"/>
    </xf>
    <xf numFmtId="0" fontId="55" fillId="0" borderId="149" xfId="801" applyFont="1" applyBorder="1" applyAlignment="1">
      <alignment horizontal="center" vertical="center"/>
    </xf>
    <xf numFmtId="0" fontId="55" fillId="0" borderId="196" xfId="801" applyFont="1" applyBorder="1" applyAlignment="1">
      <alignment horizontal="center" vertical="center"/>
    </xf>
    <xf numFmtId="0" fontId="80" fillId="0" borderId="196" xfId="801" applyFont="1" applyBorder="1" applyAlignment="1">
      <alignment horizontal="center" vertical="center"/>
    </xf>
    <xf numFmtId="3" fontId="58" fillId="0" borderId="221" xfId="0" applyNumberFormat="1" applyFont="1" applyBorder="1" applyAlignment="1">
      <alignment horizontal="center" vertical="center" wrapText="1"/>
    </xf>
    <xf numFmtId="3" fontId="58" fillId="0" borderId="196" xfId="0" applyNumberFormat="1" applyFont="1" applyBorder="1" applyAlignment="1">
      <alignment horizontal="center" vertical="center" wrapText="1"/>
    </xf>
    <xf numFmtId="3" fontId="0" fillId="0" borderId="290" xfId="0" applyNumberFormat="1" applyBorder="1" applyAlignment="1">
      <alignment horizontal="center" vertical="center"/>
    </xf>
    <xf numFmtId="9" fontId="0" fillId="0" borderId="288" xfId="176" applyFont="1" applyBorder="1" applyAlignment="1">
      <alignment horizontal="center" vertical="center"/>
    </xf>
    <xf numFmtId="3" fontId="58" fillId="0" borderId="290" xfId="0" applyNumberFormat="1" applyFont="1" applyBorder="1" applyAlignment="1">
      <alignment horizontal="center" vertical="center" wrapText="1" readingOrder="1"/>
    </xf>
    <xf numFmtId="171" fontId="58" fillId="0" borderId="216" xfId="0" applyNumberFormat="1" applyFont="1" applyBorder="1" applyAlignment="1">
      <alignment horizontal="center" vertical="center" wrapText="1" readingOrder="1"/>
    </xf>
    <xf numFmtId="168" fontId="0" fillId="0" borderId="288" xfId="176" applyNumberFormat="1" applyFont="1" applyBorder="1" applyAlignment="1">
      <alignment vertical="center"/>
    </xf>
    <xf numFmtId="3" fontId="42" fillId="0" borderId="290" xfId="0" applyNumberFormat="1" applyFont="1" applyBorder="1" applyAlignment="1">
      <alignment horizontal="center" vertical="center"/>
    </xf>
    <xf numFmtId="171" fontId="42" fillId="0" borderId="216" xfId="0" applyNumberFormat="1" applyFont="1" applyBorder="1" applyAlignment="1">
      <alignment horizontal="center" vertical="center"/>
    </xf>
    <xf numFmtId="3" fontId="42" fillId="0" borderId="290" xfId="2647" applyNumberFormat="1" applyFont="1" applyBorder="1" applyAlignment="1">
      <alignment horizontal="center" vertical="center"/>
    </xf>
    <xf numFmtId="171" fontId="42" fillId="0" borderId="216" xfId="2647" applyNumberFormat="1" applyFont="1" applyBorder="1" applyAlignment="1">
      <alignment horizontal="center" vertical="center"/>
    </xf>
    <xf numFmtId="168" fontId="0" fillId="0" borderId="288" xfId="3383" applyNumberFormat="1" applyFont="1" applyBorder="1" applyAlignment="1">
      <alignment vertical="center"/>
    </xf>
    <xf numFmtId="3" fontId="0" fillId="0" borderId="18" xfId="0" applyNumberFormat="1" applyBorder="1" applyAlignment="1">
      <alignment horizontal="center" vertical="center"/>
    </xf>
    <xf numFmtId="9" fontId="0" fillId="0" borderId="19" xfId="176" applyFont="1" applyBorder="1" applyAlignment="1">
      <alignment horizontal="center" vertical="center"/>
    </xf>
    <xf numFmtId="3" fontId="58" fillId="0" borderId="18" xfId="0" applyNumberFormat="1" applyFont="1" applyBorder="1" applyAlignment="1">
      <alignment horizontal="center" vertical="center" wrapText="1" readingOrder="1"/>
    </xf>
    <xf numFmtId="171" fontId="58" fillId="0" borderId="22" xfId="0" applyNumberFormat="1" applyFont="1" applyBorder="1" applyAlignment="1">
      <alignment horizontal="center" vertical="center" wrapText="1" readingOrder="1"/>
    </xf>
    <xf numFmtId="168" fontId="0" fillId="0" borderId="19" xfId="176" applyNumberFormat="1" applyFont="1" applyBorder="1" applyAlignment="1">
      <alignment vertical="center"/>
    </xf>
    <xf numFmtId="3" fontId="42" fillId="0" borderId="18" xfId="0" applyNumberFormat="1" applyFont="1" applyBorder="1" applyAlignment="1">
      <alignment horizontal="center" vertical="center"/>
    </xf>
    <xf numFmtId="171" fontId="42" fillId="0" borderId="22" xfId="0" applyNumberFormat="1" applyFont="1" applyBorder="1" applyAlignment="1">
      <alignment horizontal="center" vertical="center"/>
    </xf>
    <xf numFmtId="3" fontId="42" fillId="0" borderId="18" xfId="2647" applyNumberFormat="1" applyFont="1" applyBorder="1" applyAlignment="1">
      <alignment horizontal="center" vertical="center"/>
    </xf>
    <xf numFmtId="171" fontId="42" fillId="0" borderId="22" xfId="2647" applyNumberFormat="1" applyFont="1" applyBorder="1" applyAlignment="1">
      <alignment horizontal="center" vertical="center"/>
    </xf>
    <xf numFmtId="168" fontId="0" fillId="0" borderId="19" xfId="3383" applyNumberFormat="1" applyFont="1" applyBorder="1" applyAlignment="1">
      <alignment vertical="center"/>
    </xf>
    <xf numFmtId="0" fontId="42" fillId="0" borderId="18" xfId="0" applyFont="1" applyBorder="1" applyAlignment="1">
      <alignment horizontal="left" vertical="center"/>
    </xf>
    <xf numFmtId="0" fontId="42" fillId="0" borderId="19" xfId="0" applyFont="1" applyBorder="1" applyAlignment="1">
      <alignment horizontal="left" vertical="center"/>
    </xf>
    <xf numFmtId="0" fontId="0" fillId="0" borderId="18" xfId="0" applyBorder="1"/>
    <xf numFmtId="0" fontId="0" fillId="0" borderId="19" xfId="0" applyBorder="1"/>
    <xf numFmtId="0" fontId="42" fillId="0" borderId="19" xfId="0" applyFont="1" applyBorder="1" applyAlignment="1">
      <alignment horizontal="left" vertical="center" wrapText="1"/>
    </xf>
    <xf numFmtId="0" fontId="42" fillId="0" borderId="21" xfId="0" applyFont="1" applyBorder="1" applyAlignment="1">
      <alignment horizontal="left" vertical="center" wrapText="1"/>
    </xf>
    <xf numFmtId="3" fontId="0" fillId="0" borderId="281" xfId="0" applyNumberFormat="1" applyBorder="1" applyAlignment="1">
      <alignment horizontal="center" vertical="center"/>
    </xf>
    <xf numFmtId="9" fontId="0" fillId="0" borderId="21" xfId="176" applyFont="1" applyBorder="1" applyAlignment="1">
      <alignment horizontal="center" vertical="center"/>
    </xf>
    <xf numFmtId="3" fontId="58" fillId="0" borderId="281" xfId="0" applyNumberFormat="1" applyFont="1" applyBorder="1" applyAlignment="1">
      <alignment horizontal="center" vertical="center" wrapText="1" readingOrder="1"/>
    </xf>
    <xf numFmtId="171" fontId="58" fillId="0" borderId="23" xfId="0" applyNumberFormat="1" applyFont="1" applyBorder="1" applyAlignment="1">
      <alignment horizontal="center" vertical="center" wrapText="1" readingOrder="1"/>
    </xf>
    <xf numFmtId="168" fontId="0" fillId="0" borderId="21" xfId="176" applyNumberFormat="1" applyFont="1" applyBorder="1" applyAlignment="1">
      <alignment vertical="center"/>
    </xf>
    <xf numFmtId="3" fontId="42" fillId="0" borderId="281" xfId="0" applyNumberFormat="1" applyFont="1" applyBorder="1" applyAlignment="1">
      <alignment horizontal="center" vertical="center"/>
    </xf>
    <xf numFmtId="171" fontId="42" fillId="0" borderId="23" xfId="0" applyNumberFormat="1" applyFont="1" applyBorder="1" applyAlignment="1">
      <alignment horizontal="center" vertical="center"/>
    </xf>
    <xf numFmtId="3" fontId="42" fillId="0" borderId="281" xfId="2647" applyNumberFormat="1" applyFont="1" applyBorder="1" applyAlignment="1">
      <alignment horizontal="center" vertical="center"/>
    </xf>
    <xf numFmtId="171" fontId="42" fillId="0" borderId="23" xfId="2647" applyNumberFormat="1" applyFont="1" applyBorder="1" applyAlignment="1">
      <alignment horizontal="center" vertical="center"/>
    </xf>
    <xf numFmtId="168" fontId="0" fillId="0" borderId="21" xfId="3383" applyNumberFormat="1" applyFont="1" applyBorder="1" applyAlignment="1">
      <alignment vertical="center"/>
    </xf>
    <xf numFmtId="3" fontId="43" fillId="20" borderId="226" xfId="0" applyNumberFormat="1" applyFont="1" applyFill="1" applyBorder="1" applyAlignment="1">
      <alignment horizontal="center" vertical="center"/>
    </xf>
    <xf numFmtId="9" fontId="43" fillId="20" borderId="226" xfId="176" applyFont="1" applyFill="1" applyBorder="1" applyAlignment="1">
      <alignment horizontal="center" vertical="center"/>
    </xf>
    <xf numFmtId="0" fontId="59" fillId="20" borderId="226" xfId="0" applyFont="1" applyFill="1" applyBorder="1" applyAlignment="1">
      <alignment horizontal="center" vertical="center" wrapText="1" readingOrder="1"/>
    </xf>
    <xf numFmtId="168" fontId="40" fillId="20" borderId="226" xfId="176" applyNumberFormat="1" applyFont="1" applyFill="1" applyBorder="1" applyAlignment="1">
      <alignment vertical="center"/>
    </xf>
    <xf numFmtId="171" fontId="43" fillId="20" borderId="226" xfId="0" applyNumberFormat="1" applyFont="1" applyFill="1" applyBorder="1" applyAlignment="1">
      <alignment horizontal="center" vertical="center"/>
    </xf>
    <xf numFmtId="3" fontId="43" fillId="20" borderId="226" xfId="2647" applyNumberFormat="1" applyFont="1" applyFill="1" applyBorder="1" applyAlignment="1">
      <alignment horizontal="center" vertical="center"/>
    </xf>
    <xf numFmtId="168" fontId="40" fillId="20" borderId="226" xfId="3383" applyNumberFormat="1" applyFont="1" applyFill="1" applyBorder="1" applyAlignment="1">
      <alignment vertical="center"/>
    </xf>
    <xf numFmtId="3" fontId="43" fillId="20" borderId="244" xfId="2647" applyNumberFormat="1" applyFont="1" applyFill="1" applyBorder="1" applyAlignment="1">
      <alignment horizontal="center" vertical="center"/>
    </xf>
    <xf numFmtId="3" fontId="43" fillId="20" borderId="244" xfId="0" applyNumberFormat="1" applyFont="1" applyFill="1" applyBorder="1" applyAlignment="1">
      <alignment horizontal="center" vertical="center"/>
    </xf>
    <xf numFmtId="3" fontId="59" fillId="20" borderId="244" xfId="0" applyNumberFormat="1" applyFont="1" applyFill="1" applyBorder="1" applyAlignment="1">
      <alignment horizontal="center" vertical="center" wrapText="1" readingOrder="1"/>
    </xf>
    <xf numFmtId="0" fontId="42" fillId="0" borderId="16" xfId="0" applyFont="1" applyFill="1" applyBorder="1" applyAlignment="1">
      <alignment horizontal="center" vertical="center"/>
    </xf>
    <xf numFmtId="0" fontId="42" fillId="0" borderId="16" xfId="0" applyFont="1" applyFill="1" applyBorder="1" applyAlignment="1">
      <alignment horizontal="center" vertical="center" wrapText="1"/>
    </xf>
    <xf numFmtId="10" fontId="42" fillId="0" borderId="16" xfId="0" applyNumberFormat="1" applyFont="1" applyFill="1" applyBorder="1" applyAlignment="1">
      <alignment horizontal="center" vertical="center"/>
    </xf>
    <xf numFmtId="0" fontId="42" fillId="0" borderId="295" xfId="0" applyFont="1" applyFill="1" applyBorder="1" applyAlignment="1">
      <alignment horizontal="center" vertical="center" wrapText="1"/>
    </xf>
    <xf numFmtId="10" fontId="42" fillId="0" borderId="16" xfId="0" applyNumberFormat="1" applyFont="1" applyFill="1" applyBorder="1" applyAlignment="1">
      <alignment horizontal="center" vertical="center" wrapText="1"/>
    </xf>
    <xf numFmtId="10" fontId="42" fillId="0" borderId="295" xfId="0" applyNumberFormat="1" applyFont="1" applyFill="1" applyBorder="1" applyAlignment="1">
      <alignment horizontal="center" vertical="center" wrapText="1"/>
    </xf>
    <xf numFmtId="10" fontId="42" fillId="0" borderId="295" xfId="2647" applyNumberFormat="1" applyFont="1" applyFill="1" applyBorder="1" applyAlignment="1">
      <alignment horizontal="center" vertical="center" wrapText="1"/>
    </xf>
    <xf numFmtId="10" fontId="42" fillId="0" borderId="16" xfId="2647" applyNumberFormat="1" applyFont="1" applyFill="1" applyBorder="1" applyAlignment="1">
      <alignment horizontal="center" vertical="center"/>
    </xf>
    <xf numFmtId="10" fontId="42" fillId="0" borderId="16" xfId="2647" applyNumberFormat="1" applyFont="1" applyFill="1" applyBorder="1" applyAlignment="1">
      <alignment horizontal="center" vertical="center" wrapText="1"/>
    </xf>
    <xf numFmtId="0" fontId="42" fillId="23" borderId="278" xfId="0" applyFont="1" applyFill="1" applyBorder="1" applyAlignment="1">
      <alignment horizontal="center" vertical="center" wrapText="1"/>
    </xf>
    <xf numFmtId="0" fontId="42" fillId="23" borderId="294" xfId="0" applyFont="1" applyFill="1" applyBorder="1" applyAlignment="1">
      <alignment horizontal="center" vertical="center" wrapText="1"/>
    </xf>
    <xf numFmtId="0" fontId="42" fillId="23" borderId="296" xfId="0" applyFont="1" applyFill="1" applyBorder="1" applyAlignment="1">
      <alignment horizontal="center" vertical="center" wrapText="1"/>
    </xf>
    <xf numFmtId="0" fontId="42" fillId="0" borderId="16" xfId="0" applyFont="1" applyBorder="1" applyAlignment="1">
      <alignment horizontal="center" vertical="center" wrapText="1"/>
    </xf>
    <xf numFmtId="0" fontId="42" fillId="0" borderId="16" xfId="0" applyFont="1" applyBorder="1" applyAlignment="1">
      <alignment horizontal="center" vertical="center"/>
    </xf>
    <xf numFmtId="0" fontId="0" fillId="0" borderId="16" xfId="0" applyBorder="1" applyAlignment="1">
      <alignment horizontal="center" vertical="center"/>
    </xf>
    <xf numFmtId="0" fontId="42" fillId="0" borderId="289" xfId="0" applyFont="1" applyBorder="1" applyAlignment="1">
      <alignment horizontal="justify" vertical="justify"/>
    </xf>
    <xf numFmtId="3" fontId="0" fillId="0" borderId="216" xfId="0" applyNumberFormat="1" applyBorder="1" applyAlignment="1">
      <alignment horizontal="center" vertical="center"/>
    </xf>
    <xf numFmtId="10" fontId="0" fillId="0" borderId="216" xfId="176" applyNumberFormat="1" applyFont="1" applyBorder="1" applyAlignment="1">
      <alignment horizontal="center" vertical="center"/>
    </xf>
    <xf numFmtId="171" fontId="0" fillId="0" borderId="288" xfId="0" applyNumberFormat="1" applyBorder="1" applyAlignment="1">
      <alignment horizontal="center" vertical="center"/>
    </xf>
    <xf numFmtId="0" fontId="42" fillId="0" borderId="17" xfId="0" applyFont="1" applyBorder="1" applyAlignment="1">
      <alignment horizontal="justify" vertical="justify"/>
    </xf>
    <xf numFmtId="3" fontId="42" fillId="0" borderId="22" xfId="0" applyNumberFormat="1" applyFont="1" applyBorder="1" applyAlignment="1">
      <alignment horizontal="center" vertical="center"/>
    </xf>
    <xf numFmtId="171" fontId="0" fillId="0" borderId="19" xfId="0" applyNumberFormat="1" applyBorder="1" applyAlignment="1">
      <alignment horizontal="center" vertical="center"/>
    </xf>
    <xf numFmtId="0" fontId="42" fillId="0" borderId="20" xfId="0" applyFont="1" applyBorder="1" applyAlignment="1">
      <alignment horizontal="justify" vertical="justify"/>
    </xf>
    <xf numFmtId="3" fontId="42" fillId="0" borderId="23" xfId="0" applyNumberFormat="1" applyFont="1" applyBorder="1" applyAlignment="1">
      <alignment horizontal="center" vertical="center"/>
    </xf>
    <xf numFmtId="171" fontId="0" fillId="0" borderId="21" xfId="0" applyNumberFormat="1" applyBorder="1" applyAlignment="1">
      <alignment horizontal="center" vertical="center"/>
    </xf>
    <xf numFmtId="0" fontId="42" fillId="0" borderId="79" xfId="0" applyFont="1" applyBorder="1" applyAlignment="1">
      <alignment horizontal="justify" vertical="justify"/>
    </xf>
    <xf numFmtId="3" fontId="42" fillId="0" borderId="280" xfId="0" applyNumberFormat="1" applyFont="1" applyBorder="1" applyAlignment="1">
      <alignment horizontal="center" vertical="center"/>
    </xf>
    <xf numFmtId="3" fontId="0" fillId="0" borderId="291" xfId="0" applyNumberFormat="1" applyBorder="1" applyAlignment="1">
      <alignment horizontal="center" vertical="center"/>
    </xf>
    <xf numFmtId="10" fontId="0" fillId="0" borderId="291" xfId="176" applyNumberFormat="1" applyFont="1" applyBorder="1" applyAlignment="1">
      <alignment horizontal="center" vertical="center"/>
    </xf>
    <xf numFmtId="171" fontId="0" fillId="0" borderId="279" xfId="0" applyNumberFormat="1" applyBorder="1" applyAlignment="1">
      <alignment horizontal="center" vertical="center"/>
    </xf>
    <xf numFmtId="0" fontId="51" fillId="0" borderId="0" xfId="0" applyFont="1" applyAlignment="1">
      <alignment horizontal="left" vertical="center"/>
    </xf>
    <xf numFmtId="0" fontId="59" fillId="20" borderId="23" xfId="0" applyFont="1" applyFill="1" applyBorder="1" applyAlignment="1">
      <alignment horizontal="center" vertical="center"/>
    </xf>
    <xf numFmtId="3" fontId="59" fillId="20" borderId="23" xfId="0" applyNumberFormat="1" applyFont="1" applyFill="1" applyBorder="1" applyAlignment="1">
      <alignment horizontal="center" vertical="center"/>
    </xf>
    <xf numFmtId="0" fontId="56" fillId="0" borderId="0" xfId="0" applyFont="1" applyAlignment="1">
      <alignment horizontal="center"/>
    </xf>
    <xf numFmtId="0" fontId="42" fillId="0" borderId="288" xfId="0" applyFont="1" applyBorder="1" applyAlignment="1">
      <alignment horizontal="left" vertical="center" wrapText="1"/>
    </xf>
    <xf numFmtId="0" fontId="63" fillId="0" borderId="19" xfId="0" applyFont="1" applyBorder="1" applyAlignment="1">
      <alignment horizontal="left" vertical="center" wrapText="1"/>
    </xf>
    <xf numFmtId="0" fontId="232" fillId="0" borderId="0" xfId="0" applyFont="1" applyBorder="1" applyAlignment="1">
      <alignment horizontal="center" vertical="center"/>
    </xf>
    <xf numFmtId="168" fontId="38" fillId="0" borderId="237" xfId="176" applyNumberFormat="1" applyFill="1" applyBorder="1" applyAlignment="1">
      <alignment horizontal="center" vertical="center"/>
    </xf>
    <xf numFmtId="168" fontId="38" fillId="0" borderId="297" xfId="176" applyNumberFormat="1" applyFill="1" applyBorder="1" applyAlignment="1">
      <alignment horizontal="center" vertical="center"/>
    </xf>
    <xf numFmtId="168" fontId="38" fillId="0" borderId="146" xfId="176" applyNumberFormat="1" applyFill="1" applyBorder="1" applyAlignment="1">
      <alignment horizontal="center" vertical="center"/>
    </xf>
    <xf numFmtId="168" fontId="38" fillId="0" borderId="298" xfId="176" applyNumberFormat="1" applyFill="1" applyBorder="1" applyAlignment="1">
      <alignment horizontal="center" vertical="center"/>
    </xf>
    <xf numFmtId="168" fontId="40" fillId="0" borderId="146" xfId="176" applyNumberFormat="1" applyFont="1" applyFill="1" applyBorder="1" applyAlignment="1">
      <alignment horizontal="center" vertical="center"/>
    </xf>
    <xf numFmtId="168" fontId="40" fillId="0" borderId="298" xfId="176" applyNumberFormat="1" applyFont="1" applyFill="1" applyBorder="1" applyAlignment="1">
      <alignment horizontal="center" vertical="center"/>
    </xf>
    <xf numFmtId="168" fontId="40" fillId="20" borderId="299" xfId="176" applyNumberFormat="1" applyFont="1" applyFill="1" applyBorder="1" applyAlignment="1">
      <alignment horizontal="center" vertical="center"/>
    </xf>
    <xf numFmtId="168" fontId="40" fillId="20" borderId="300" xfId="176" applyNumberFormat="1" applyFont="1" applyFill="1" applyBorder="1" applyAlignment="1">
      <alignment horizontal="center" vertical="center"/>
    </xf>
    <xf numFmtId="168" fontId="38" fillId="0" borderId="153" xfId="176" applyNumberFormat="1" applyFill="1" applyBorder="1" applyAlignment="1">
      <alignment horizontal="center" vertical="center"/>
    </xf>
    <xf numFmtId="168" fontId="38" fillId="0" borderId="301" xfId="176" applyNumberFormat="1" applyFill="1" applyBorder="1" applyAlignment="1">
      <alignment horizontal="center" vertical="center"/>
    </xf>
    <xf numFmtId="168" fontId="38" fillId="0" borderId="146" xfId="0" applyNumberFormat="1" applyFont="1" applyFill="1" applyBorder="1" applyAlignment="1">
      <alignment horizontal="center" vertical="center"/>
    </xf>
    <xf numFmtId="168" fontId="38" fillId="0" borderId="153" xfId="0" applyNumberFormat="1" applyFont="1" applyFill="1" applyBorder="1" applyAlignment="1">
      <alignment horizontal="center" vertical="center"/>
    </xf>
    <xf numFmtId="168" fontId="40" fillId="0" borderId="302" xfId="176" applyNumberFormat="1" applyFont="1" applyFill="1" applyBorder="1" applyAlignment="1">
      <alignment horizontal="center" vertical="center"/>
    </xf>
    <xf numFmtId="168" fontId="40" fillId="0" borderId="301" xfId="176" applyNumberFormat="1" applyFont="1" applyFill="1" applyBorder="1" applyAlignment="1">
      <alignment horizontal="center" vertical="center"/>
    </xf>
    <xf numFmtId="168" fontId="40" fillId="0" borderId="303" xfId="176" applyNumberFormat="1" applyFont="1" applyFill="1" applyBorder="1" applyAlignment="1">
      <alignment horizontal="center" vertical="center"/>
    </xf>
    <xf numFmtId="168" fontId="40" fillId="0" borderId="304" xfId="176" applyNumberFormat="1" applyFont="1" applyFill="1" applyBorder="1" applyAlignment="1">
      <alignment horizontal="center" vertical="center"/>
    </xf>
    <xf numFmtId="168" fontId="40" fillId="0" borderId="305" xfId="176" applyNumberFormat="1" applyFont="1" applyFill="1" applyBorder="1" applyAlignment="1">
      <alignment horizontal="center" vertical="center"/>
    </xf>
    <xf numFmtId="168" fontId="40" fillId="20" borderId="306" xfId="176" applyNumberFormat="1" applyFont="1" applyFill="1" applyBorder="1" applyAlignment="1">
      <alignment horizontal="center" vertical="center"/>
    </xf>
    <xf numFmtId="168" fontId="40" fillId="20" borderId="307" xfId="176" applyNumberFormat="1" applyFont="1" applyFill="1" applyBorder="1" applyAlignment="1">
      <alignment horizontal="center" vertical="center"/>
    </xf>
    <xf numFmtId="0" fontId="56" fillId="0" borderId="0" xfId="0" applyFont="1" applyAlignment="1"/>
    <xf numFmtId="0" fontId="38" fillId="0" borderId="0" xfId="0" applyFont="1" applyBorder="1" applyAlignment="1">
      <alignment horizontal="center" vertical="center" wrapText="1"/>
    </xf>
    <xf numFmtId="0" fontId="38" fillId="0" borderId="0" xfId="0" applyFont="1" applyBorder="1" applyAlignment="1">
      <alignment horizontal="center" vertical="center"/>
    </xf>
    <xf numFmtId="0" fontId="40" fillId="0" borderId="0" xfId="0" applyFont="1" applyBorder="1" applyAlignment="1">
      <alignment horizontal="center" vertical="center"/>
    </xf>
    <xf numFmtId="167" fontId="42" fillId="0" borderId="194" xfId="197" applyNumberFormat="1" applyFont="1" applyBorder="1" applyAlignment="1">
      <alignment horizontal="center" vertical="center"/>
    </xf>
    <xf numFmtId="169" fontId="42" fillId="0" borderId="29" xfId="235" applyNumberFormat="1" applyFont="1" applyBorder="1" applyAlignment="1">
      <alignment horizontal="right" vertical="center" indent="1"/>
    </xf>
    <xf numFmtId="169" fontId="42" fillId="0" borderId="30" xfId="235" applyNumberFormat="1" applyFont="1" applyBorder="1" applyAlignment="1">
      <alignment horizontal="right" vertical="center" indent="1"/>
    </xf>
    <xf numFmtId="169" fontId="42" fillId="0" borderId="27" xfId="235" applyNumberFormat="1" applyFont="1" applyBorder="1" applyAlignment="1">
      <alignment horizontal="right" vertical="center" indent="1"/>
    </xf>
    <xf numFmtId="167" fontId="42" fillId="0" borderId="195" xfId="197" applyNumberFormat="1" applyFont="1" applyBorder="1" applyAlignment="1">
      <alignment horizontal="center" vertical="center"/>
    </xf>
    <xf numFmtId="169" fontId="42" fillId="0" borderId="19" xfId="235" applyNumberFormat="1" applyFont="1" applyBorder="1" applyAlignment="1">
      <alignment horizontal="right" vertical="center" indent="1"/>
    </xf>
    <xf numFmtId="169" fontId="42" fillId="0" borderId="17" xfId="235" applyNumberFormat="1" applyFont="1" applyBorder="1" applyAlignment="1">
      <alignment horizontal="right" vertical="center" indent="1"/>
    </xf>
    <xf numFmtId="169" fontId="42" fillId="0" borderId="18" xfId="235" applyNumberFormat="1" applyFont="1" applyBorder="1" applyAlignment="1">
      <alignment horizontal="right" vertical="center" indent="1"/>
    </xf>
    <xf numFmtId="167" fontId="42" fillId="0" borderId="205" xfId="197" applyNumberFormat="1" applyFont="1" applyBorder="1" applyAlignment="1">
      <alignment horizontal="center" vertical="center"/>
    </xf>
    <xf numFmtId="169" fontId="42" fillId="0" borderId="26" xfId="235" applyNumberFormat="1" applyFont="1" applyBorder="1" applyAlignment="1">
      <alignment horizontal="right" vertical="center" indent="1"/>
    </xf>
    <xf numFmtId="169" fontId="42" fillId="0" borderId="31" xfId="235" applyNumberFormat="1" applyFont="1" applyBorder="1" applyAlignment="1">
      <alignment horizontal="right" vertical="center" indent="1"/>
    </xf>
    <xf numFmtId="169" fontId="42" fillId="0" borderId="24" xfId="235" applyNumberFormat="1" applyFont="1" applyBorder="1" applyAlignment="1">
      <alignment horizontal="right" vertical="center" indent="1"/>
    </xf>
    <xf numFmtId="0" fontId="42" fillId="0" borderId="150" xfId="229" applyFont="1" applyBorder="1" applyAlignment="1">
      <alignment horizontal="left" vertical="center"/>
    </xf>
    <xf numFmtId="0" fontId="42" fillId="0" borderId="204" xfId="229" applyFont="1" applyBorder="1" applyAlignment="1">
      <alignment horizontal="left" vertical="center"/>
    </xf>
    <xf numFmtId="0" fontId="42" fillId="0" borderId="0" xfId="229" applyFont="1" applyAlignment="1">
      <alignment horizontal="left" vertical="center"/>
    </xf>
    <xf numFmtId="0" fontId="88" fillId="0" borderId="0" xfId="229" applyFont="1" applyBorder="1" applyAlignment="1">
      <alignment horizontal="left" vertical="center"/>
    </xf>
    <xf numFmtId="0" fontId="42" fillId="0" borderId="0" xfId="229" applyFont="1" applyBorder="1" applyAlignment="1">
      <alignment horizontal="left" vertical="center"/>
    </xf>
    <xf numFmtId="3" fontId="106" fillId="20" borderId="21" xfId="229" applyNumberFormat="1" applyFont="1" applyFill="1" applyBorder="1" applyAlignment="1">
      <alignment horizontal="right" vertical="center" indent="1"/>
    </xf>
    <xf numFmtId="3" fontId="106" fillId="20" borderId="20" xfId="229" applyNumberFormat="1" applyFont="1" applyFill="1" applyBorder="1" applyAlignment="1">
      <alignment horizontal="right" vertical="center" indent="1"/>
    </xf>
    <xf numFmtId="3" fontId="106" fillId="20" borderId="281" xfId="229" applyNumberFormat="1" applyFont="1" applyFill="1" applyBorder="1" applyAlignment="1">
      <alignment horizontal="right" vertical="center" indent="1"/>
    </xf>
    <xf numFmtId="3" fontId="42" fillId="0" borderId="29" xfId="229" applyNumberFormat="1" applyFont="1" applyBorder="1" applyAlignment="1">
      <alignment horizontal="center" vertical="center"/>
    </xf>
    <xf numFmtId="3" fontId="42" fillId="0" borderId="30" xfId="229" applyNumberFormat="1" applyFont="1" applyBorder="1" applyAlignment="1">
      <alignment horizontal="center" vertical="center"/>
    </xf>
    <xf numFmtId="3" fontId="42" fillId="0" borderId="27" xfId="229" applyNumberFormat="1" applyFont="1" applyBorder="1" applyAlignment="1">
      <alignment horizontal="center" vertical="center"/>
    </xf>
    <xf numFmtId="3" fontId="42" fillId="0" borderId="19" xfId="229" applyNumberFormat="1" applyFont="1" applyBorder="1" applyAlignment="1">
      <alignment horizontal="center" vertical="center"/>
    </xf>
    <xf numFmtId="3" fontId="42" fillId="0" borderId="17" xfId="229" applyNumberFormat="1" applyFont="1" applyBorder="1" applyAlignment="1">
      <alignment horizontal="center" vertical="center"/>
    </xf>
    <xf numFmtId="3" fontId="42" fillId="0" borderId="18" xfId="229" applyNumberFormat="1" applyFont="1" applyBorder="1" applyAlignment="1">
      <alignment horizontal="center" vertical="center"/>
    </xf>
    <xf numFmtId="3" fontId="42" fillId="0" borderId="26" xfId="229" applyNumberFormat="1" applyFont="1" applyBorder="1" applyAlignment="1">
      <alignment horizontal="center" vertical="center"/>
    </xf>
    <xf numFmtId="3" fontId="42" fillId="0" borderId="31" xfId="229" applyNumberFormat="1" applyFont="1" applyBorder="1" applyAlignment="1">
      <alignment horizontal="center" vertical="center"/>
    </xf>
    <xf numFmtId="3" fontId="42" fillId="0" borderId="24" xfId="229" applyNumberFormat="1" applyFont="1" applyBorder="1" applyAlignment="1">
      <alignment horizontal="center" vertical="center"/>
    </xf>
    <xf numFmtId="3" fontId="111" fillId="20" borderId="225" xfId="0" applyNumberFormat="1" applyFont="1" applyFill="1" applyBorder="1" applyAlignment="1">
      <alignment horizontal="center" vertical="center" wrapText="1"/>
    </xf>
    <xf numFmtId="3" fontId="111" fillId="20" borderId="175" xfId="0" applyNumberFormat="1" applyFont="1" applyFill="1" applyBorder="1" applyAlignment="1">
      <alignment horizontal="center" vertical="center" wrapText="1"/>
    </xf>
    <xf numFmtId="3" fontId="111" fillId="20" borderId="227" xfId="0" applyNumberFormat="1" applyFont="1" applyFill="1" applyBorder="1" applyAlignment="1">
      <alignment horizontal="center" vertical="center" wrapText="1"/>
    </xf>
    <xf numFmtId="0" fontId="38" fillId="0" borderId="150" xfId="0" applyFont="1" applyBorder="1" applyAlignment="1">
      <alignment vertical="center"/>
    </xf>
    <xf numFmtId="0" fontId="38" fillId="0" borderId="204" xfId="0" applyFont="1" applyBorder="1"/>
    <xf numFmtId="0" fontId="38" fillId="0" borderId="0" xfId="0" applyFont="1" applyBorder="1" applyAlignment="1">
      <alignment vertical="center"/>
    </xf>
    <xf numFmtId="3" fontId="109" fillId="20" borderId="225" xfId="0" applyNumberFormat="1" applyFont="1" applyFill="1" applyBorder="1" applyAlignment="1">
      <alignment horizontal="center" wrapText="1"/>
    </xf>
    <xf numFmtId="3" fontId="109" fillId="20" borderId="175" xfId="0" applyNumberFormat="1" applyFont="1" applyFill="1" applyBorder="1" applyAlignment="1">
      <alignment horizontal="center" wrapText="1"/>
    </xf>
    <xf numFmtId="3" fontId="109" fillId="20" borderId="227" xfId="0" applyNumberFormat="1" applyFont="1" applyFill="1" applyBorder="1" applyAlignment="1">
      <alignment horizontal="center" wrapText="1"/>
    </xf>
    <xf numFmtId="0" fontId="281" fillId="0" borderId="0" xfId="229" applyFont="1" applyBorder="1" applyAlignment="1">
      <alignment horizontal="left" vertical="center"/>
    </xf>
    <xf numFmtId="0" fontId="42" fillId="0" borderId="0" xfId="229" applyFont="1"/>
    <xf numFmtId="167" fontId="42" fillId="0" borderId="197" xfId="197" applyNumberFormat="1" applyFont="1" applyBorder="1" applyAlignment="1">
      <alignment horizontal="center" vertical="center"/>
    </xf>
    <xf numFmtId="3" fontId="42" fillId="0" borderId="21" xfId="229" applyNumberFormat="1" applyFont="1" applyBorder="1" applyAlignment="1">
      <alignment horizontal="center" vertical="center"/>
    </xf>
    <xf numFmtId="3" fontId="42" fillId="0" borderId="20" xfId="229" applyNumberFormat="1" applyFont="1" applyBorder="1" applyAlignment="1">
      <alignment horizontal="center" vertical="center"/>
    </xf>
    <xf numFmtId="3" fontId="42" fillId="0" borderId="281" xfId="229" applyNumberFormat="1" applyFont="1" applyBorder="1" applyAlignment="1">
      <alignment horizontal="center" vertical="center"/>
    </xf>
    <xf numFmtId="167" fontId="42" fillId="0" borderId="202" xfId="197" applyNumberFormat="1" applyFont="1" applyBorder="1" applyAlignment="1">
      <alignment horizontal="center" vertical="center"/>
    </xf>
    <xf numFmtId="3" fontId="42" fillId="0" borderId="279" xfId="229" applyNumberFormat="1" applyFont="1" applyBorder="1" applyAlignment="1">
      <alignment horizontal="center" vertical="center"/>
    </xf>
    <xf numFmtId="3" fontId="42" fillId="0" borderId="79" xfId="229" applyNumberFormat="1" applyFont="1" applyBorder="1" applyAlignment="1">
      <alignment horizontal="center" vertical="center"/>
    </xf>
    <xf numFmtId="3" fontId="42" fillId="0" borderId="280" xfId="229" applyNumberFormat="1" applyFont="1" applyBorder="1" applyAlignment="1">
      <alignment horizontal="center" vertical="center"/>
    </xf>
    <xf numFmtId="3" fontId="114" fillId="20" borderId="225" xfId="229" applyNumberFormat="1" applyFont="1" applyFill="1" applyBorder="1" applyAlignment="1">
      <alignment horizontal="center" vertical="center"/>
    </xf>
    <xf numFmtId="3" fontId="114" fillId="20" borderId="175" xfId="229" applyNumberFormat="1" applyFont="1" applyFill="1" applyBorder="1" applyAlignment="1">
      <alignment horizontal="center" vertical="center"/>
    </xf>
    <xf numFmtId="3" fontId="114" fillId="20" borderId="227" xfId="229" applyNumberFormat="1" applyFont="1" applyFill="1" applyBorder="1" applyAlignment="1">
      <alignment horizontal="center" vertical="center"/>
    </xf>
    <xf numFmtId="0" fontId="282" fillId="0" borderId="0" xfId="229" applyFont="1" applyBorder="1" applyAlignment="1">
      <alignment horizontal="left" vertical="center"/>
    </xf>
    <xf numFmtId="0" fontId="38" fillId="0" borderId="0" xfId="0" applyFont="1" applyBorder="1" applyAlignment="1">
      <alignment horizontal="center"/>
    </xf>
    <xf numFmtId="3" fontId="42" fillId="0" borderId="29" xfId="229" applyNumberFormat="1" applyFont="1" applyBorder="1" applyAlignment="1">
      <alignment horizontal="right" vertical="center" indent="1"/>
    </xf>
    <xf numFmtId="3" fontId="42" fillId="0" borderId="30" xfId="229" applyNumberFormat="1" applyFont="1" applyBorder="1" applyAlignment="1">
      <alignment horizontal="right" vertical="center" indent="1"/>
    </xf>
    <xf numFmtId="3" fontId="42" fillId="0" borderId="27" xfId="229" applyNumberFormat="1" applyFont="1" applyBorder="1" applyAlignment="1">
      <alignment horizontal="right" vertical="center" indent="1"/>
    </xf>
    <xf numFmtId="3" fontId="42" fillId="0" borderId="19" xfId="229" applyNumberFormat="1" applyFont="1" applyBorder="1" applyAlignment="1">
      <alignment horizontal="right" vertical="center" indent="1"/>
    </xf>
    <xf numFmtId="3" fontId="42" fillId="0" borderId="17" xfId="229" applyNumberFormat="1" applyFont="1" applyBorder="1" applyAlignment="1">
      <alignment horizontal="right" vertical="center" indent="1"/>
    </xf>
    <xf numFmtId="3" fontId="42" fillId="0" borderId="18" xfId="229" applyNumberFormat="1" applyFont="1" applyBorder="1" applyAlignment="1">
      <alignment horizontal="right" vertical="center" indent="1"/>
    </xf>
    <xf numFmtId="3" fontId="43" fillId="20" borderId="21" xfId="229" applyNumberFormat="1" applyFont="1" applyFill="1" applyBorder="1" applyAlignment="1">
      <alignment horizontal="right" vertical="center" indent="1"/>
    </xf>
    <xf numFmtId="3" fontId="43" fillId="20" borderId="20" xfId="229" applyNumberFormat="1" applyFont="1" applyFill="1" applyBorder="1" applyAlignment="1">
      <alignment horizontal="right" vertical="center" indent="1"/>
    </xf>
    <xf numFmtId="3" fontId="43" fillId="20" borderId="281" xfId="229" applyNumberFormat="1" applyFont="1" applyFill="1" applyBorder="1" applyAlignment="1">
      <alignment horizontal="right" vertical="center" indent="1"/>
    </xf>
    <xf numFmtId="0" fontId="43" fillId="0" borderId="0" xfId="229" applyFont="1" applyAlignment="1">
      <alignment horizontal="center" vertical="center"/>
    </xf>
    <xf numFmtId="3" fontId="42" fillId="0" borderId="0" xfId="229" applyNumberFormat="1" applyFont="1" applyBorder="1" applyAlignment="1">
      <alignment horizontal="right" vertical="center" indent="1"/>
    </xf>
    <xf numFmtId="3" fontId="42" fillId="0" borderId="226" xfId="229" applyNumberFormat="1" applyFont="1" applyBorder="1" applyAlignment="1">
      <alignment horizontal="right" vertical="center" indent="1"/>
    </xf>
    <xf numFmtId="0" fontId="88" fillId="0" borderId="0" xfId="0" applyFont="1" applyBorder="1" applyAlignment="1">
      <alignment vertical="center"/>
    </xf>
    <xf numFmtId="168" fontId="43" fillId="20" borderId="133" xfId="176" applyNumberFormat="1" applyFont="1" applyFill="1" applyBorder="1" applyAlignment="1">
      <alignment horizontal="right" vertical="center" indent="1"/>
    </xf>
    <xf numFmtId="0" fontId="55" fillId="0" borderId="308" xfId="173" applyFont="1" applyBorder="1" applyAlignment="1">
      <alignment vertical="center" wrapText="1"/>
    </xf>
    <xf numFmtId="0" fontId="55" fillId="0" borderId="269" xfId="173" applyFont="1" applyBorder="1" applyAlignment="1">
      <alignment vertical="center" wrapText="1"/>
    </xf>
    <xf numFmtId="0" fontId="55" fillId="0" borderId="309" xfId="173" applyFont="1" applyBorder="1" applyAlignment="1">
      <alignment vertical="center" wrapText="1"/>
    </xf>
    <xf numFmtId="0" fontId="55" fillId="0" borderId="310" xfId="173" applyFont="1" applyBorder="1" applyAlignment="1">
      <alignment vertical="center" wrapText="1"/>
    </xf>
    <xf numFmtId="0" fontId="55" fillId="0" borderId="255" xfId="173" applyFont="1" applyBorder="1" applyAlignment="1">
      <alignment vertical="center" wrapText="1"/>
    </xf>
    <xf numFmtId="0" fontId="55" fillId="0" borderId="269" xfId="817" applyFont="1" applyBorder="1" applyAlignment="1">
      <alignment vertical="center" wrapText="1"/>
    </xf>
    <xf numFmtId="0" fontId="107" fillId="22" borderId="311" xfId="173" applyFont="1" applyFill="1" applyBorder="1" applyAlignment="1">
      <alignment horizontal="center" vertical="center" wrapText="1"/>
    </xf>
    <xf numFmtId="0" fontId="55" fillId="0" borderId="312" xfId="173" applyFont="1" applyBorder="1" applyAlignment="1">
      <alignment vertical="center" wrapText="1"/>
    </xf>
    <xf numFmtId="0" fontId="55" fillId="0" borderId="313" xfId="173" applyFont="1" applyBorder="1" applyAlignment="1">
      <alignment vertical="center" wrapText="1"/>
    </xf>
    <xf numFmtId="0" fontId="55" fillId="0" borderId="314" xfId="173" applyFont="1" applyBorder="1" applyAlignment="1">
      <alignment vertical="center" wrapText="1"/>
    </xf>
    <xf numFmtId="0" fontId="106" fillId="22" borderId="311" xfId="173" applyFont="1" applyFill="1" applyBorder="1" applyAlignment="1">
      <alignment horizontal="center" vertical="center" wrapText="1"/>
    </xf>
    <xf numFmtId="0" fontId="111" fillId="22" borderId="311" xfId="173" applyFont="1" applyFill="1" applyBorder="1" applyAlignment="1">
      <alignment horizontal="center" vertical="center" wrapText="1"/>
    </xf>
    <xf numFmtId="0" fontId="55" fillId="0" borderId="310" xfId="818" applyFont="1" applyBorder="1" applyAlignment="1">
      <alignment vertical="center" wrapText="1"/>
    </xf>
    <xf numFmtId="0" fontId="55" fillId="0" borderId="313" xfId="818" applyFont="1" applyBorder="1" applyAlignment="1">
      <alignment vertical="center" wrapText="1"/>
    </xf>
    <xf numFmtId="0" fontId="55" fillId="0" borderId="314" xfId="818" applyFont="1" applyBorder="1" applyAlignment="1">
      <alignment vertical="center" wrapText="1"/>
    </xf>
    <xf numFmtId="0" fontId="109" fillId="22" borderId="311" xfId="173" applyFont="1" applyFill="1" applyBorder="1" applyAlignment="1">
      <alignment horizontal="center" vertical="center" wrapText="1"/>
    </xf>
    <xf numFmtId="0" fontId="114" fillId="22" borderId="311" xfId="173" applyFont="1" applyFill="1" applyBorder="1" applyAlignment="1">
      <alignment horizontal="center" vertical="center" wrapText="1"/>
    </xf>
    <xf numFmtId="0" fontId="80" fillId="20" borderId="311" xfId="173" applyFont="1" applyFill="1" applyBorder="1" applyAlignment="1">
      <alignment horizontal="center" vertical="center" wrapText="1"/>
    </xf>
    <xf numFmtId="0" fontId="55" fillId="0" borderId="315" xfId="173" applyFont="1" applyBorder="1" applyAlignment="1">
      <alignment vertical="center" wrapText="1"/>
    </xf>
    <xf numFmtId="0" fontId="55" fillId="0" borderId="313" xfId="817" applyFont="1" applyBorder="1" applyAlignment="1">
      <alignment vertical="center" wrapText="1"/>
    </xf>
    <xf numFmtId="0" fontId="55" fillId="0" borderId="314" xfId="173" applyFont="1" applyBorder="1" applyAlignment="1">
      <alignment horizontal="left" vertical="center" wrapText="1"/>
    </xf>
    <xf numFmtId="0" fontId="2" fillId="0" borderId="0" xfId="0" applyFont="1" applyAlignment="1">
      <alignment horizontal="center" vertical="center" wrapText="1"/>
    </xf>
    <xf numFmtId="0" fontId="209" fillId="0" borderId="0" xfId="142" applyFont="1" applyAlignment="1"/>
    <xf numFmtId="0" fontId="3" fillId="0" borderId="0" xfId="142" applyFont="1" applyAlignment="1"/>
    <xf numFmtId="0" fontId="2" fillId="0" borderId="0" xfId="142" applyFont="1" applyAlignment="1"/>
    <xf numFmtId="0" fontId="217" fillId="0" borderId="0" xfId="0" applyFont="1" applyAlignment="1">
      <alignment vertical="top"/>
    </xf>
    <xf numFmtId="0" fontId="3" fillId="0" borderId="0" xfId="0" applyFont="1" applyAlignment="1">
      <alignment vertical="center"/>
    </xf>
    <xf numFmtId="0" fontId="0" fillId="0" borderId="0" xfId="0"/>
    <xf numFmtId="1" fontId="43" fillId="0" borderId="0" xfId="173" applyNumberFormat="1" applyFont="1" applyFill="1" applyBorder="1" applyAlignment="1">
      <alignment horizontal="center" vertical="center" wrapText="1"/>
    </xf>
    <xf numFmtId="0" fontId="40" fillId="0" borderId="16" xfId="0" applyFont="1" applyBorder="1" applyAlignment="1">
      <alignment horizontal="center" vertical="center" wrapText="1"/>
    </xf>
    <xf numFmtId="0" fontId="43" fillId="0" borderId="16" xfId="167" applyFont="1" applyFill="1" applyBorder="1" applyAlignment="1">
      <alignment horizontal="center" vertical="center" wrapText="1"/>
    </xf>
    <xf numFmtId="0" fontId="23" fillId="0" borderId="16" xfId="0" applyFont="1" applyBorder="1" applyAlignment="1">
      <alignment horizontal="center" vertical="center" wrapText="1"/>
    </xf>
    <xf numFmtId="0" fontId="38" fillId="0" borderId="16"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38" fillId="0" borderId="295" xfId="0" applyFont="1" applyFill="1" applyBorder="1" applyAlignment="1">
      <alignment horizontal="center" vertical="center" wrapText="1"/>
    </xf>
    <xf numFmtId="0" fontId="0" fillId="0" borderId="295" xfId="0" applyFont="1" applyFill="1" applyBorder="1" applyAlignment="1">
      <alignment horizontal="center" vertical="center" wrapText="1"/>
    </xf>
    <xf numFmtId="0" fontId="285" fillId="0" borderId="0" xfId="0" applyFont="1" applyAlignment="1">
      <alignment horizontal="left" vertical="center"/>
    </xf>
    <xf numFmtId="0" fontId="3" fillId="0" borderId="0" xfId="0" applyFont="1" applyAlignment="1">
      <alignment vertical="center" wrapText="1"/>
    </xf>
    <xf numFmtId="0" fontId="56" fillId="0" borderId="0" xfId="0" applyFont="1" applyAlignment="1">
      <alignment horizontal="center" vertical="center"/>
    </xf>
    <xf numFmtId="0" fontId="2" fillId="0" borderId="0" xfId="167" applyFont="1" applyAlignment="1">
      <alignment horizontal="center" vertical="center" wrapText="1"/>
    </xf>
    <xf numFmtId="0" fontId="3" fillId="0" borderId="0" xfId="0" applyFont="1" applyAlignment="1"/>
    <xf numFmtId="0" fontId="17" fillId="0" borderId="0" xfId="0" applyFont="1" applyAlignment="1"/>
    <xf numFmtId="0" fontId="17" fillId="0" borderId="0" xfId="0" applyFont="1" applyAlignment="1">
      <alignment horizontal="right"/>
    </xf>
    <xf numFmtId="0" fontId="131" fillId="0" borderId="0" xfId="0" applyFont="1" applyAlignment="1">
      <alignment vertical="center"/>
    </xf>
    <xf numFmtId="0" fontId="40" fillId="20" borderId="23" xfId="0" applyFont="1" applyFill="1" applyBorder="1" applyAlignment="1">
      <alignment horizontal="center" vertical="center"/>
    </xf>
    <xf numFmtId="3" fontId="40" fillId="20" borderId="23" xfId="0" applyNumberFormat="1" applyFont="1" applyFill="1" applyBorder="1" applyAlignment="1">
      <alignment horizontal="center" vertical="center"/>
    </xf>
    <xf numFmtId="0" fontId="185" fillId="0" borderId="0" xfId="0" applyFont="1" applyAlignment="1">
      <alignment horizontal="center" vertical="center" wrapText="1"/>
    </xf>
    <xf numFmtId="168" fontId="38" fillId="0" borderId="302" xfId="176" applyNumberFormat="1" applyFont="1" applyFill="1" applyBorder="1" applyAlignment="1">
      <alignment horizontal="center" vertical="center"/>
    </xf>
    <xf numFmtId="168" fontId="38" fillId="0" borderId="301" xfId="176" applyNumberFormat="1" applyFont="1" applyFill="1" applyBorder="1" applyAlignment="1">
      <alignment horizontal="center" vertical="center"/>
    </xf>
    <xf numFmtId="168" fontId="38" fillId="0" borderId="303" xfId="176" applyNumberFormat="1" applyFont="1" applyFill="1" applyBorder="1" applyAlignment="1">
      <alignment horizontal="center" vertical="center"/>
    </xf>
    <xf numFmtId="168" fontId="38" fillId="0" borderId="298" xfId="176" applyNumberFormat="1" applyFont="1" applyFill="1" applyBorder="1" applyAlignment="1">
      <alignment horizontal="center" vertical="center"/>
    </xf>
    <xf numFmtId="168" fontId="38" fillId="0" borderId="287" xfId="176" applyNumberFormat="1" applyFill="1" applyBorder="1" applyAlignment="1">
      <alignment horizontal="center" vertical="center"/>
    </xf>
    <xf numFmtId="168" fontId="38" fillId="0" borderId="195" xfId="176" applyNumberFormat="1" applyFill="1" applyBorder="1" applyAlignment="1">
      <alignment horizontal="center" vertical="center"/>
    </xf>
    <xf numFmtId="168" fontId="40" fillId="0" borderId="195" xfId="176" applyNumberFormat="1" applyFont="1" applyFill="1" applyBorder="1" applyAlignment="1">
      <alignment horizontal="center" vertical="center"/>
    </xf>
    <xf numFmtId="168" fontId="38" fillId="0" borderId="194" xfId="176" applyNumberFormat="1" applyFill="1" applyBorder="1" applyAlignment="1">
      <alignment horizontal="center" vertical="center"/>
    </xf>
    <xf numFmtId="168" fontId="38" fillId="0" borderId="194" xfId="176" applyNumberFormat="1" applyFont="1" applyFill="1" applyBorder="1" applyAlignment="1">
      <alignment horizontal="center" vertical="center"/>
    </xf>
    <xf numFmtId="168" fontId="38" fillId="0" borderId="195" xfId="176" applyNumberFormat="1" applyFont="1" applyFill="1" applyBorder="1" applyAlignment="1">
      <alignment horizontal="center" vertical="center"/>
    </xf>
    <xf numFmtId="168" fontId="40" fillId="0" borderId="205" xfId="176" applyNumberFormat="1" applyFont="1" applyFill="1" applyBorder="1" applyAlignment="1">
      <alignment horizontal="center" vertical="center"/>
    </xf>
    <xf numFmtId="168" fontId="40" fillId="20" borderId="316" xfId="176" applyNumberFormat="1" applyFont="1" applyFill="1" applyBorder="1" applyAlignment="1">
      <alignment horizontal="center" vertical="center"/>
    </xf>
    <xf numFmtId="0" fontId="48" fillId="0" borderId="0" xfId="0" applyFont="1" applyBorder="1"/>
    <xf numFmtId="171" fontId="55" fillId="0" borderId="290" xfId="441" applyNumberFormat="1" applyFont="1" applyBorder="1" applyAlignment="1">
      <alignment horizontal="center" vertical="center"/>
    </xf>
    <xf numFmtId="171" fontId="55" fillId="0" borderId="18" xfId="441" applyNumberFormat="1" applyFont="1" applyBorder="1" applyAlignment="1">
      <alignment horizontal="center" vertical="center"/>
    </xf>
    <xf numFmtId="171" fontId="80" fillId="0" borderId="18" xfId="441" applyNumberFormat="1" applyFont="1" applyBorder="1" applyAlignment="1">
      <alignment horizontal="center" vertical="center"/>
    </xf>
    <xf numFmtId="171" fontId="80" fillId="20" borderId="281" xfId="441" applyNumberFormat="1" applyFont="1" applyFill="1" applyBorder="1" applyAlignment="1">
      <alignment horizontal="center" vertical="center"/>
    </xf>
    <xf numFmtId="171" fontId="55" fillId="0" borderId="27" xfId="441" applyNumberFormat="1" applyFont="1" applyBorder="1" applyAlignment="1">
      <alignment horizontal="center" vertical="center"/>
    </xf>
    <xf numFmtId="171" fontId="0" fillId="0" borderId="27" xfId="0" applyNumberFormat="1" applyFont="1" applyBorder="1" applyAlignment="1">
      <alignment horizontal="center" vertical="center"/>
    </xf>
    <xf numFmtId="171" fontId="40" fillId="0" borderId="18" xfId="0" applyNumberFormat="1" applyFont="1" applyBorder="1" applyAlignment="1">
      <alignment horizontal="center" vertical="center"/>
    </xf>
    <xf numFmtId="171" fontId="0" fillId="0" borderId="18" xfId="0" applyNumberFormat="1" applyFont="1" applyBorder="1" applyAlignment="1">
      <alignment horizontal="center" vertical="center"/>
    </xf>
    <xf numFmtId="171" fontId="40" fillId="20" borderId="281" xfId="0" applyNumberFormat="1" applyFont="1" applyFill="1" applyBorder="1" applyAlignment="1">
      <alignment horizontal="center" vertical="center"/>
    </xf>
    <xf numFmtId="0" fontId="38" fillId="0" borderId="17" xfId="0" applyFont="1" applyBorder="1" applyAlignment="1">
      <alignment vertical="center"/>
    </xf>
    <xf numFmtId="0" fontId="55" fillId="0" borderId="216" xfId="239" applyFont="1" applyBorder="1" applyAlignment="1">
      <alignment vertical="center"/>
    </xf>
    <xf numFmtId="168" fontId="38" fillId="0" borderId="289" xfId="176" applyNumberFormat="1" applyFont="1" applyBorder="1" applyAlignment="1">
      <alignment horizontal="center" vertical="center"/>
    </xf>
    <xf numFmtId="168" fontId="55" fillId="0" borderId="216" xfId="453" applyNumberFormat="1" applyFont="1" applyBorder="1" applyAlignment="1">
      <alignment vertical="center"/>
    </xf>
    <xf numFmtId="168" fontId="38" fillId="0" borderId="290" xfId="176" applyNumberFormat="1" applyFont="1" applyBorder="1" applyAlignment="1">
      <alignment horizontal="center" vertical="center"/>
    </xf>
    <xf numFmtId="0" fontId="55" fillId="0" borderId="22" xfId="453" applyFont="1" applyBorder="1" applyAlignment="1">
      <alignment vertical="center"/>
    </xf>
    <xf numFmtId="168" fontId="55" fillId="0" borderId="17" xfId="453" applyNumberFormat="1" applyFont="1" applyBorder="1" applyAlignment="1">
      <alignment vertical="center"/>
    </xf>
    <xf numFmtId="168" fontId="38" fillId="0" borderId="17" xfId="176" applyNumberFormat="1" applyFont="1" applyBorder="1" applyAlignment="1">
      <alignment horizontal="center" vertical="center"/>
    </xf>
    <xf numFmtId="168" fontId="55" fillId="0" borderId="22" xfId="453" applyNumberFormat="1" applyFont="1" applyBorder="1" applyAlignment="1">
      <alignment vertical="center"/>
    </xf>
    <xf numFmtId="168" fontId="38" fillId="0" borderId="18" xfId="176" applyNumberFormat="1" applyFont="1" applyBorder="1" applyAlignment="1">
      <alignment horizontal="center" vertical="center"/>
    </xf>
    <xf numFmtId="168" fontId="55" fillId="0" borderId="17" xfId="453" applyNumberFormat="1" applyFont="1" applyBorder="1" applyAlignment="1">
      <alignment horizontal="center" vertical="center"/>
    </xf>
    <xf numFmtId="168" fontId="40" fillId="0" borderId="17" xfId="176" applyNumberFormat="1" applyFont="1" applyBorder="1" applyAlignment="1">
      <alignment horizontal="center" vertical="center"/>
    </xf>
    <xf numFmtId="0" fontId="80" fillId="0" borderId="22" xfId="453" applyFont="1" applyBorder="1" applyAlignment="1">
      <alignment horizontal="center" vertical="center"/>
    </xf>
    <xf numFmtId="168" fontId="40" fillId="0" borderId="18" xfId="176" applyNumberFormat="1" applyFont="1" applyBorder="1" applyAlignment="1">
      <alignment horizontal="center" vertical="center"/>
    </xf>
    <xf numFmtId="0" fontId="55" fillId="0" borderId="22" xfId="239" applyFont="1" applyBorder="1" applyAlignment="1">
      <alignment vertical="center"/>
    </xf>
    <xf numFmtId="168" fontId="38" fillId="0" borderId="17" xfId="0" applyNumberFormat="1" applyFont="1" applyBorder="1" applyAlignment="1">
      <alignment vertical="center"/>
    </xf>
    <xf numFmtId="0" fontId="55" fillId="0" borderId="22" xfId="453" applyFont="1" applyBorder="1" applyAlignment="1">
      <alignment vertical="center" wrapText="1"/>
    </xf>
    <xf numFmtId="0" fontId="38" fillId="0" borderId="22" xfId="0" applyFont="1" applyBorder="1" applyAlignment="1">
      <alignment vertical="center" wrapText="1"/>
    </xf>
    <xf numFmtId="0" fontId="80" fillId="20" borderId="21" xfId="453" applyFont="1" applyFill="1" applyBorder="1" applyAlignment="1">
      <alignment horizontal="center" vertical="center"/>
    </xf>
    <xf numFmtId="168" fontId="43" fillId="20" borderId="23" xfId="228" applyNumberFormat="1" applyFont="1" applyFill="1" applyBorder="1" applyAlignment="1">
      <alignment horizontal="center" vertical="center"/>
    </xf>
    <xf numFmtId="168" fontId="40" fillId="20" borderId="20" xfId="176" applyNumberFormat="1" applyFont="1" applyFill="1" applyBorder="1" applyAlignment="1">
      <alignment horizontal="center" vertical="center"/>
    </xf>
    <xf numFmtId="168" fontId="40" fillId="20" borderId="281" xfId="176" applyNumberFormat="1" applyFont="1" applyFill="1" applyBorder="1" applyAlignment="1">
      <alignment horizontal="center" vertical="center"/>
    </xf>
    <xf numFmtId="0" fontId="55" fillId="0" borderId="29" xfId="453" applyFont="1" applyBorder="1" applyAlignment="1">
      <alignment vertical="center"/>
    </xf>
    <xf numFmtId="168" fontId="42" fillId="0" borderId="28" xfId="228" applyNumberFormat="1" applyFont="1" applyBorder="1" applyAlignment="1">
      <alignment horizontal="center" vertical="center"/>
    </xf>
    <xf numFmtId="168" fontId="38" fillId="0" borderId="30" xfId="176" applyNumberFormat="1" applyFont="1" applyBorder="1" applyAlignment="1">
      <alignment horizontal="center" vertical="center"/>
    </xf>
    <xf numFmtId="168" fontId="38" fillId="0" borderId="27" xfId="176" applyNumberFormat="1" applyFont="1" applyBorder="1" applyAlignment="1">
      <alignment horizontal="center" vertical="center"/>
    </xf>
    <xf numFmtId="0" fontId="55" fillId="0" borderId="19" xfId="453" applyFont="1" applyBorder="1" applyAlignment="1">
      <alignment vertical="center"/>
    </xf>
    <xf numFmtId="168" fontId="42" fillId="0" borderId="22" xfId="228" applyNumberFormat="1" applyFont="1" applyBorder="1" applyAlignment="1">
      <alignment horizontal="center" vertical="center"/>
    </xf>
    <xf numFmtId="0" fontId="42" fillId="0" borderId="19" xfId="227" applyFont="1" applyBorder="1" applyAlignment="1">
      <alignment vertical="center"/>
    </xf>
    <xf numFmtId="0" fontId="80" fillId="0" borderId="19" xfId="453" applyFont="1" applyBorder="1" applyAlignment="1">
      <alignment horizontal="center" vertical="center"/>
    </xf>
    <xf numFmtId="168" fontId="43" fillId="0" borderId="22" xfId="228" applyNumberFormat="1" applyFont="1" applyBorder="1" applyAlignment="1">
      <alignment horizontal="center" vertical="center"/>
    </xf>
    <xf numFmtId="0" fontId="55" fillId="0" borderId="19" xfId="173" applyFont="1" applyBorder="1" applyAlignment="1">
      <alignment vertical="center"/>
    </xf>
    <xf numFmtId="0" fontId="55" fillId="0" borderId="19" xfId="239" applyFont="1" applyBorder="1" applyAlignment="1">
      <alignment vertical="center"/>
    </xf>
    <xf numFmtId="168" fontId="38" fillId="0" borderId="22" xfId="0" applyNumberFormat="1" applyFont="1" applyBorder="1" applyAlignment="1">
      <alignment vertical="center"/>
    </xf>
    <xf numFmtId="0" fontId="55" fillId="0" borderId="29" xfId="239" applyFont="1" applyBorder="1" applyAlignment="1">
      <alignment vertical="center"/>
    </xf>
    <xf numFmtId="168" fontId="55" fillId="0" borderId="28" xfId="453" applyNumberFormat="1" applyFont="1" applyBorder="1" applyAlignment="1">
      <alignment vertical="center"/>
    </xf>
    <xf numFmtId="168" fontId="38" fillId="0" borderId="30" xfId="0" applyNumberFormat="1" applyFont="1" applyBorder="1" applyAlignment="1">
      <alignment horizontal="center" vertical="center"/>
    </xf>
    <xf numFmtId="168" fontId="38" fillId="0" borderId="17" xfId="0" applyNumberFormat="1" applyFont="1" applyBorder="1" applyAlignment="1">
      <alignment horizontal="center" vertical="center"/>
    </xf>
    <xf numFmtId="0" fontId="80" fillId="0" borderId="26" xfId="453" applyFont="1" applyBorder="1" applyAlignment="1">
      <alignment horizontal="center" vertical="center"/>
    </xf>
    <xf numFmtId="168" fontId="55" fillId="0" borderId="25" xfId="453" applyNumberFormat="1" applyFont="1" applyBorder="1" applyAlignment="1">
      <alignment vertical="center"/>
    </xf>
    <xf numFmtId="168" fontId="55" fillId="0" borderId="31" xfId="453" applyNumberFormat="1" applyFont="1" applyBorder="1" applyAlignment="1">
      <alignment horizontal="center" vertical="center"/>
    </xf>
    <xf numFmtId="168" fontId="55" fillId="0" borderId="31" xfId="453" applyNumberFormat="1" applyFont="1" applyBorder="1" applyAlignment="1">
      <alignment vertical="center"/>
    </xf>
    <xf numFmtId="168" fontId="40" fillId="0" borderId="31" xfId="176" applyNumberFormat="1" applyFont="1" applyBorder="1" applyAlignment="1">
      <alignment horizontal="center" vertical="center"/>
    </xf>
    <xf numFmtId="168" fontId="40" fillId="0" borderId="24" xfId="176" applyNumberFormat="1" applyFont="1" applyBorder="1" applyAlignment="1">
      <alignment horizontal="center" vertical="center"/>
    </xf>
    <xf numFmtId="0" fontId="80" fillId="20" borderId="225" xfId="453" applyFont="1" applyFill="1" applyBorder="1" applyAlignment="1">
      <alignment horizontal="center" vertical="center"/>
    </xf>
    <xf numFmtId="168" fontId="43" fillId="20" borderId="226" xfId="228" applyNumberFormat="1" applyFont="1" applyFill="1" applyBorder="1" applyAlignment="1">
      <alignment horizontal="center" vertical="center"/>
    </xf>
    <xf numFmtId="168" fontId="40" fillId="20" borderId="175" xfId="176" applyNumberFormat="1" applyFont="1" applyFill="1" applyBorder="1" applyAlignment="1">
      <alignment horizontal="center" vertical="center"/>
    </xf>
    <xf numFmtId="168" fontId="40" fillId="20" borderId="227" xfId="176" applyNumberFormat="1" applyFont="1" applyFill="1" applyBorder="1" applyAlignment="1">
      <alignment horizontal="center" vertical="center"/>
    </xf>
    <xf numFmtId="0" fontId="80" fillId="20" borderId="226" xfId="453" applyFont="1" applyFill="1" applyBorder="1" applyAlignment="1">
      <alignment horizontal="center" vertical="center"/>
    </xf>
    <xf numFmtId="0" fontId="55" fillId="0" borderId="216" xfId="452" applyFont="1" applyBorder="1" applyAlignment="1">
      <alignment vertical="center"/>
    </xf>
    <xf numFmtId="168" fontId="38" fillId="0" borderId="216" xfId="176" applyNumberFormat="1" applyFont="1" applyBorder="1" applyAlignment="1">
      <alignment horizontal="center" vertical="center"/>
    </xf>
    <xf numFmtId="0" fontId="55" fillId="0" borderId="22" xfId="428" applyFont="1" applyBorder="1" applyAlignment="1">
      <alignment vertical="center"/>
    </xf>
    <xf numFmtId="168" fontId="38" fillId="0" borderId="19" xfId="176" applyNumberFormat="1" applyFont="1" applyBorder="1" applyAlignment="1">
      <alignment horizontal="center" vertical="center"/>
    </xf>
    <xf numFmtId="168" fontId="38" fillId="0" borderId="22" xfId="176" applyNumberFormat="1" applyFont="1" applyBorder="1" applyAlignment="1">
      <alignment horizontal="center" vertical="center"/>
    </xf>
    <xf numFmtId="0" fontId="80" fillId="0" borderId="22" xfId="452" applyFont="1" applyBorder="1" applyAlignment="1">
      <alignment horizontal="center" vertical="center"/>
    </xf>
    <xf numFmtId="0" fontId="38" fillId="0" borderId="22" xfId="0" applyFont="1" applyBorder="1" applyAlignment="1">
      <alignment vertical="center"/>
    </xf>
    <xf numFmtId="168" fontId="40" fillId="0" borderId="19" xfId="176" applyNumberFormat="1" applyFont="1" applyBorder="1" applyAlignment="1">
      <alignment horizontal="center" vertical="center"/>
    </xf>
    <xf numFmtId="0" fontId="55" fillId="0" borderId="22" xfId="452" applyFont="1" applyBorder="1" applyAlignment="1">
      <alignment vertical="center"/>
    </xf>
    <xf numFmtId="0" fontId="80" fillId="20" borderId="23" xfId="452" applyFont="1" applyFill="1" applyBorder="1" applyAlignment="1">
      <alignment horizontal="center" vertical="center"/>
    </xf>
    <xf numFmtId="0" fontId="55" fillId="0" borderId="28" xfId="452" applyFont="1" applyBorder="1" applyAlignment="1">
      <alignment vertical="center"/>
    </xf>
    <xf numFmtId="168" fontId="38" fillId="0" borderId="28" xfId="176" applyNumberFormat="1" applyFont="1" applyBorder="1" applyAlignment="1">
      <alignment horizontal="center" vertical="center"/>
    </xf>
    <xf numFmtId="0" fontId="55" fillId="0" borderId="19" xfId="452" applyFont="1" applyBorder="1" applyAlignment="1">
      <alignment vertical="center"/>
    </xf>
    <xf numFmtId="168" fontId="42" fillId="0" borderId="19" xfId="228" applyNumberFormat="1" applyFont="1" applyBorder="1" applyAlignment="1">
      <alignment horizontal="center" vertical="center"/>
    </xf>
    <xf numFmtId="0" fontId="80" fillId="0" borderId="19" xfId="452" applyFont="1" applyBorder="1" applyAlignment="1">
      <alignment horizontal="center" vertical="center"/>
    </xf>
    <xf numFmtId="0" fontId="38" fillId="0" borderId="19" xfId="0" applyFont="1" applyBorder="1" applyAlignment="1">
      <alignment vertical="center"/>
    </xf>
    <xf numFmtId="0" fontId="55" fillId="0" borderId="28" xfId="428" applyFont="1" applyBorder="1" applyAlignment="1">
      <alignment vertical="center"/>
    </xf>
    <xf numFmtId="168" fontId="38" fillId="0" borderId="30" xfId="0" applyNumberFormat="1" applyFont="1" applyBorder="1" applyAlignment="1">
      <alignment vertical="center"/>
    </xf>
    <xf numFmtId="168" fontId="38" fillId="0" borderId="29" xfId="176" applyNumberFormat="1" applyFont="1" applyBorder="1" applyAlignment="1">
      <alignment horizontal="center" vertical="center"/>
    </xf>
    <xf numFmtId="168" fontId="40" fillId="0" borderId="30" xfId="176" applyNumberFormat="1" applyFont="1" applyBorder="1" applyAlignment="1">
      <alignment horizontal="center" vertical="center"/>
    </xf>
    <xf numFmtId="0" fontId="80" fillId="0" borderId="22" xfId="428" applyFont="1" applyBorder="1" applyAlignment="1">
      <alignment horizontal="center" vertical="center"/>
    </xf>
    <xf numFmtId="0" fontId="55" fillId="0" borderId="28" xfId="451" applyFont="1" applyBorder="1" applyAlignment="1">
      <alignment vertical="center"/>
    </xf>
    <xf numFmtId="0" fontId="80" fillId="0" borderId="22" xfId="451" applyFont="1" applyBorder="1" applyAlignment="1">
      <alignment horizontal="center" vertical="center"/>
    </xf>
    <xf numFmtId="0" fontId="55" fillId="0" borderId="22" xfId="451" applyFont="1" applyBorder="1" applyAlignment="1">
      <alignment vertical="center"/>
    </xf>
    <xf numFmtId="0" fontId="80" fillId="0" borderId="25" xfId="451" applyFont="1" applyBorder="1" applyAlignment="1">
      <alignment horizontal="center" vertical="center"/>
    </xf>
    <xf numFmtId="0" fontId="80" fillId="20" borderId="226" xfId="452" applyFont="1" applyFill="1" applyBorder="1" applyAlignment="1">
      <alignment horizontal="center" vertical="center"/>
    </xf>
    <xf numFmtId="0" fontId="43" fillId="0" borderId="16" xfId="238" applyFont="1" applyFill="1" applyBorder="1" applyAlignment="1">
      <alignment horizontal="center" vertical="center"/>
    </xf>
    <xf numFmtId="0" fontId="55" fillId="0" borderId="216" xfId="455" applyFont="1" applyBorder="1" applyAlignment="1">
      <alignment horizontal="left" vertical="center"/>
    </xf>
    <xf numFmtId="171" fontId="38" fillId="0" borderId="289" xfId="0" applyNumberFormat="1" applyFont="1" applyBorder="1" applyAlignment="1">
      <alignment horizontal="center"/>
    </xf>
    <xf numFmtId="171" fontId="38" fillId="0" borderId="216" xfId="0" applyNumberFormat="1" applyFont="1" applyBorder="1" applyAlignment="1">
      <alignment horizontal="center"/>
    </xf>
    <xf numFmtId="171" fontId="55" fillId="0" borderId="289" xfId="0" applyNumberFormat="1" applyFont="1" applyBorder="1" applyAlignment="1">
      <alignment horizontal="center" vertical="top"/>
    </xf>
    <xf numFmtId="171" fontId="55" fillId="0" borderId="216" xfId="238" applyNumberFormat="1" applyFont="1" applyBorder="1" applyAlignment="1">
      <alignment horizontal="center" vertical="top"/>
    </xf>
    <xf numFmtId="171" fontId="55" fillId="0" borderId="289" xfId="455" applyNumberFormat="1" applyFont="1" applyBorder="1" applyAlignment="1">
      <alignment horizontal="center" vertical="center"/>
    </xf>
    <xf numFmtId="171" fontId="38" fillId="0" borderId="288" xfId="0" applyNumberFormat="1" applyFont="1" applyBorder="1" applyAlignment="1">
      <alignment horizontal="center" vertical="center"/>
    </xf>
    <xf numFmtId="171" fontId="38" fillId="0" borderId="216" xfId="0" applyNumberFormat="1" applyFont="1" applyBorder="1" applyAlignment="1">
      <alignment horizontal="center" vertical="center"/>
    </xf>
    <xf numFmtId="0" fontId="55" fillId="0" borderId="22" xfId="455" applyFont="1" applyBorder="1" applyAlignment="1">
      <alignment horizontal="left" vertical="center"/>
    </xf>
    <xf numFmtId="171" fontId="38" fillId="0" borderId="17" xfId="0" applyNumberFormat="1" applyFont="1" applyBorder="1" applyAlignment="1">
      <alignment horizontal="center"/>
    </xf>
    <xf numFmtId="171" fontId="38" fillId="0" borderId="22" xfId="0" applyNumberFormat="1" applyFont="1" applyBorder="1" applyAlignment="1">
      <alignment horizontal="center"/>
    </xf>
    <xf numFmtId="171" fontId="55" fillId="0" borderId="17" xfId="0" applyNumberFormat="1" applyFont="1" applyBorder="1" applyAlignment="1">
      <alignment horizontal="center" vertical="top"/>
    </xf>
    <xf numFmtId="171" fontId="55" fillId="0" borderId="22" xfId="238" applyNumberFormat="1" applyFont="1" applyBorder="1" applyAlignment="1">
      <alignment horizontal="center" vertical="top"/>
    </xf>
    <xf numFmtId="171" fontId="55" fillId="0" borderId="17" xfId="455" applyNumberFormat="1" applyFont="1" applyBorder="1" applyAlignment="1">
      <alignment horizontal="center" vertical="center"/>
    </xf>
    <xf numFmtId="171" fontId="38" fillId="0" borderId="19" xfId="0" applyNumberFormat="1" applyFont="1" applyBorder="1"/>
    <xf numFmtId="171" fontId="55" fillId="0" borderId="18" xfId="455" applyNumberFormat="1" applyFont="1" applyBorder="1" applyAlignment="1">
      <alignment horizontal="center" vertical="center"/>
    </xf>
    <xf numFmtId="0" fontId="80" fillId="0" borderId="22" xfId="455" applyFont="1" applyBorder="1" applyAlignment="1">
      <alignment horizontal="center" vertical="center"/>
    </xf>
    <xf numFmtId="171" fontId="40" fillId="0" borderId="17" xfId="0" applyNumberFormat="1" applyFont="1" applyBorder="1" applyAlignment="1">
      <alignment horizontal="center"/>
    </xf>
    <xf numFmtId="171" fontId="40" fillId="0" borderId="22" xfId="0" applyNumberFormat="1" applyFont="1" applyBorder="1" applyAlignment="1">
      <alignment horizontal="center"/>
    </xf>
    <xf numFmtId="171" fontId="80" fillId="0" borderId="17" xfId="0" applyNumberFormat="1" applyFont="1" applyBorder="1" applyAlignment="1">
      <alignment horizontal="center" vertical="top"/>
    </xf>
    <xf numFmtId="171" fontId="80" fillId="0" borderId="22" xfId="238" applyNumberFormat="1" applyFont="1" applyBorder="1" applyAlignment="1">
      <alignment horizontal="center" vertical="top"/>
    </xf>
    <xf numFmtId="171" fontId="80" fillId="0" borderId="17" xfId="455" applyNumberFormat="1" applyFont="1" applyBorder="1" applyAlignment="1">
      <alignment horizontal="center" vertical="center"/>
    </xf>
    <xf numFmtId="171" fontId="38" fillId="0" borderId="19" xfId="0" applyNumberFormat="1" applyFont="1" applyBorder="1" applyAlignment="1">
      <alignment horizontal="center" vertical="center"/>
    </xf>
    <xf numFmtId="171" fontId="38" fillId="0" borderId="22" xfId="0" applyNumberFormat="1" applyFont="1" applyBorder="1" applyAlignment="1">
      <alignment horizontal="center" vertical="center"/>
    </xf>
    <xf numFmtId="0" fontId="38" fillId="0" borderId="22" xfId="0" applyFont="1" applyBorder="1" applyAlignment="1">
      <alignment horizontal="left" vertical="center" wrapText="1"/>
    </xf>
    <xf numFmtId="0" fontId="80" fillId="20" borderId="23" xfId="455" applyFont="1" applyFill="1" applyBorder="1" applyAlignment="1">
      <alignment horizontal="center" vertical="center"/>
    </xf>
    <xf numFmtId="171" fontId="40" fillId="20" borderId="20" xfId="0" applyNumberFormat="1" applyFont="1" applyFill="1" applyBorder="1" applyAlignment="1">
      <alignment horizontal="center"/>
    </xf>
    <xf numFmtId="171" fontId="40" fillId="20" borderId="23" xfId="0" applyNumberFormat="1" applyFont="1" applyFill="1" applyBorder="1" applyAlignment="1">
      <alignment horizontal="center"/>
    </xf>
    <xf numFmtId="171" fontId="80" fillId="20" borderId="20" xfId="173" applyNumberFormat="1" applyFont="1" applyFill="1" applyBorder="1" applyAlignment="1">
      <alignment horizontal="center" vertical="top"/>
    </xf>
    <xf numFmtId="171" fontId="80" fillId="20" borderId="23" xfId="173" applyNumberFormat="1" applyFont="1" applyFill="1" applyBorder="1" applyAlignment="1">
      <alignment horizontal="center" vertical="top"/>
    </xf>
    <xf numFmtId="171" fontId="80" fillId="20" borderId="20" xfId="455" applyNumberFormat="1" applyFont="1" applyFill="1" applyBorder="1" applyAlignment="1">
      <alignment horizontal="center" vertical="center"/>
    </xf>
    <xf numFmtId="0" fontId="55" fillId="0" borderId="28" xfId="455" applyFont="1" applyBorder="1" applyAlignment="1">
      <alignment horizontal="left" vertical="center"/>
    </xf>
    <xf numFmtId="171" fontId="38" fillId="0" borderId="30" xfId="0" applyNumberFormat="1" applyFont="1" applyBorder="1" applyAlignment="1">
      <alignment horizontal="center"/>
    </xf>
    <xf numFmtId="171" fontId="38" fillId="0" borderId="28" xfId="0" applyNumberFormat="1" applyFont="1" applyBorder="1" applyAlignment="1">
      <alignment horizontal="center"/>
    </xf>
    <xf numFmtId="171" fontId="55" fillId="0" borderId="30" xfId="0" applyNumberFormat="1" applyFont="1" applyBorder="1" applyAlignment="1">
      <alignment horizontal="center" vertical="top"/>
    </xf>
    <xf numFmtId="171" fontId="55" fillId="0" borderId="28" xfId="238" applyNumberFormat="1" applyFont="1" applyBorder="1" applyAlignment="1">
      <alignment horizontal="center" vertical="top"/>
    </xf>
    <xf numFmtId="171" fontId="55" fillId="0" borderId="30" xfId="455" applyNumberFormat="1" applyFont="1" applyBorder="1" applyAlignment="1">
      <alignment horizontal="center" vertical="center"/>
    </xf>
    <xf numFmtId="171" fontId="38" fillId="0" borderId="29" xfId="0" applyNumberFormat="1" applyFont="1" applyBorder="1" applyAlignment="1">
      <alignment horizontal="center" vertical="center"/>
    </xf>
    <xf numFmtId="171" fontId="38" fillId="0" borderId="28" xfId="0" applyNumberFormat="1" applyFont="1" applyBorder="1" applyAlignment="1">
      <alignment horizontal="center" vertical="center"/>
    </xf>
    <xf numFmtId="171" fontId="80" fillId="0" borderId="17" xfId="173" applyNumberFormat="1" applyFont="1" applyBorder="1" applyAlignment="1">
      <alignment horizontal="center" vertical="top"/>
    </xf>
    <xf numFmtId="171" fontId="80" fillId="0" borderId="22" xfId="173" applyNumberFormat="1" applyFont="1" applyBorder="1" applyAlignment="1">
      <alignment horizontal="center" vertical="top"/>
    </xf>
    <xf numFmtId="0" fontId="55" fillId="0" borderId="22" xfId="173" applyFont="1" applyBorder="1" applyAlignment="1">
      <alignment horizontal="left" vertical="center"/>
    </xf>
    <xf numFmtId="171" fontId="55" fillId="0" borderId="22" xfId="455" applyNumberFormat="1" applyFont="1" applyBorder="1" applyAlignment="1">
      <alignment horizontal="center" vertical="center"/>
    </xf>
    <xf numFmtId="171" fontId="80" fillId="0" borderId="17" xfId="238" applyNumberFormat="1" applyFont="1" applyBorder="1" applyAlignment="1">
      <alignment horizontal="center" vertical="top"/>
    </xf>
    <xf numFmtId="171" fontId="80" fillId="0" borderId="22" xfId="455" applyNumberFormat="1" applyFont="1" applyBorder="1" applyAlignment="1">
      <alignment horizontal="center" vertical="center"/>
    </xf>
    <xf numFmtId="171" fontId="80" fillId="20" borderId="20" xfId="238" applyNumberFormat="1" applyFont="1" applyFill="1" applyBorder="1" applyAlignment="1">
      <alignment horizontal="center" vertical="top"/>
    </xf>
    <xf numFmtId="171" fontId="38" fillId="0" borderId="30" xfId="0" applyNumberFormat="1" applyFont="1" applyBorder="1"/>
    <xf numFmtId="171" fontId="55" fillId="0" borderId="28" xfId="455" applyNumberFormat="1" applyFont="1" applyBorder="1" applyAlignment="1">
      <alignment horizontal="center" vertical="center"/>
    </xf>
    <xf numFmtId="0" fontId="80" fillId="0" borderId="25" xfId="455" applyFont="1" applyBorder="1" applyAlignment="1">
      <alignment horizontal="center" vertical="center"/>
    </xf>
    <xf numFmtId="171" fontId="38" fillId="0" borderId="31" xfId="0" applyNumberFormat="1" applyFont="1" applyBorder="1"/>
    <xf numFmtId="171" fontId="80" fillId="0" borderId="25" xfId="455" applyNumberFormat="1" applyFont="1" applyBorder="1" applyAlignment="1">
      <alignment horizontal="center" vertical="center"/>
    </xf>
    <xf numFmtId="171" fontId="80" fillId="0" borderId="31" xfId="455" applyNumberFormat="1" applyFont="1" applyBorder="1" applyAlignment="1">
      <alignment horizontal="center" vertical="center"/>
    </xf>
    <xf numFmtId="171" fontId="55" fillId="0" borderId="25" xfId="238" applyNumberFormat="1" applyFont="1" applyBorder="1" applyAlignment="1">
      <alignment horizontal="center" vertical="top"/>
    </xf>
    <xf numFmtId="171" fontId="40" fillId="0" borderId="26" xfId="0" applyNumberFormat="1" applyFont="1" applyBorder="1" applyAlignment="1">
      <alignment horizontal="center" vertical="center"/>
    </xf>
    <xf numFmtId="171" fontId="40" fillId="0" borderId="25" xfId="0" applyNumberFormat="1" applyFont="1" applyBorder="1" applyAlignment="1">
      <alignment horizontal="center" vertical="center"/>
    </xf>
    <xf numFmtId="0" fontId="80" fillId="20" borderId="226" xfId="455" applyFont="1" applyFill="1" applyBorder="1" applyAlignment="1">
      <alignment horizontal="center" vertical="center"/>
    </xf>
    <xf numFmtId="171" fontId="38" fillId="20" borderId="175" xfId="0" applyNumberFormat="1" applyFont="1" applyFill="1" applyBorder="1"/>
    <xf numFmtId="171" fontId="80" fillId="20" borderId="226" xfId="455" applyNumberFormat="1" applyFont="1" applyFill="1" applyBorder="1" applyAlignment="1">
      <alignment horizontal="center" vertical="center"/>
    </xf>
    <xf numFmtId="171" fontId="80" fillId="20" borderId="175" xfId="455" applyNumberFormat="1" applyFont="1" applyFill="1" applyBorder="1" applyAlignment="1">
      <alignment horizontal="center" vertical="center"/>
    </xf>
    <xf numFmtId="171" fontId="80" fillId="20" borderId="226" xfId="173" applyNumberFormat="1" applyFont="1" applyFill="1" applyBorder="1" applyAlignment="1">
      <alignment horizontal="center" vertical="top"/>
    </xf>
    <xf numFmtId="171" fontId="40" fillId="20" borderId="226" xfId="0" applyNumberFormat="1" applyFont="1" applyFill="1" applyBorder="1" applyAlignment="1">
      <alignment horizontal="center" vertical="center"/>
    </xf>
    <xf numFmtId="171" fontId="137" fillId="20" borderId="175" xfId="144" applyNumberFormat="1" applyFont="1" applyFill="1" applyBorder="1" applyAlignment="1">
      <alignment horizontal="center" vertical="center"/>
    </xf>
    <xf numFmtId="171" fontId="80" fillId="20" borderId="175" xfId="173" applyNumberFormat="1" applyFont="1" applyFill="1" applyBorder="1" applyAlignment="1">
      <alignment horizontal="center" vertical="center"/>
    </xf>
    <xf numFmtId="171" fontId="80" fillId="20" borderId="226" xfId="173" applyNumberFormat="1" applyFont="1" applyFill="1" applyBorder="1" applyAlignment="1">
      <alignment horizontal="center" vertical="center"/>
    </xf>
    <xf numFmtId="171" fontId="40" fillId="20" borderId="175" xfId="455" applyNumberFormat="1" applyFont="1" applyFill="1" applyBorder="1" applyAlignment="1">
      <alignment horizontal="center" vertical="center"/>
    </xf>
    <xf numFmtId="171" fontId="38" fillId="0" borderId="290" xfId="0" applyNumberFormat="1" applyFont="1" applyBorder="1" applyAlignment="1">
      <alignment horizontal="center" vertical="center"/>
    </xf>
    <xf numFmtId="171" fontId="38" fillId="0" borderId="18" xfId="0" applyNumberFormat="1" applyFont="1" applyBorder="1" applyAlignment="1">
      <alignment horizontal="center" vertical="center"/>
    </xf>
    <xf numFmtId="171" fontId="38" fillId="0" borderId="27" xfId="0" applyNumberFormat="1" applyFont="1" applyBorder="1" applyAlignment="1">
      <alignment horizontal="center" vertical="center"/>
    </xf>
    <xf numFmtId="171" fontId="40" fillId="0" borderId="24" xfId="0" applyNumberFormat="1" applyFont="1" applyBorder="1" applyAlignment="1">
      <alignment horizontal="center" vertical="center"/>
    </xf>
    <xf numFmtId="171" fontId="40" fillId="20" borderId="317" xfId="0" applyNumberFormat="1" applyFont="1" applyFill="1" applyBorder="1" applyAlignment="1">
      <alignment horizontal="center" vertical="center"/>
    </xf>
    <xf numFmtId="0" fontId="38" fillId="0" borderId="17" xfId="0" applyFont="1" applyBorder="1"/>
    <xf numFmtId="171" fontId="38" fillId="0" borderId="18" xfId="0" applyNumberFormat="1" applyFont="1" applyBorder="1" applyAlignment="1">
      <alignment horizontal="center"/>
    </xf>
    <xf numFmtId="0" fontId="55" fillId="0" borderId="216" xfId="456" applyFont="1" applyBorder="1" applyAlignment="1">
      <alignment horizontal="left" vertical="center"/>
    </xf>
    <xf numFmtId="171" fontId="42" fillId="0" borderId="289" xfId="144" applyNumberFormat="1" applyFont="1" applyBorder="1" applyAlignment="1">
      <alignment horizontal="center"/>
    </xf>
    <xf numFmtId="171" fontId="88" fillId="0" borderId="216" xfId="0" applyNumberFormat="1" applyFont="1" applyBorder="1" applyAlignment="1">
      <alignment horizontal="center"/>
    </xf>
    <xf numFmtId="171" fontId="55" fillId="0" borderId="289" xfId="798" applyNumberFormat="1" applyFont="1" applyBorder="1" applyAlignment="1">
      <alignment horizontal="center" vertical="top"/>
    </xf>
    <xf numFmtId="171" fontId="38" fillId="0" borderId="289" xfId="0" applyNumberFormat="1" applyFont="1" applyBorder="1" applyAlignment="1">
      <alignment horizontal="center" vertical="center"/>
    </xf>
    <xf numFmtId="0" fontId="55" fillId="0" borderId="22" xfId="456" applyFont="1" applyBorder="1" applyAlignment="1">
      <alignment horizontal="left" vertical="center"/>
    </xf>
    <xf numFmtId="171" fontId="55" fillId="0" borderId="17" xfId="456" applyNumberFormat="1" applyFont="1" applyBorder="1" applyAlignment="1">
      <alignment horizontal="center" vertical="center"/>
    </xf>
    <xf numFmtId="171" fontId="38" fillId="0" borderId="17" xfId="0" applyNumberFormat="1" applyFont="1" applyBorder="1" applyAlignment="1">
      <alignment horizontal="center" vertical="center"/>
    </xf>
    <xf numFmtId="171" fontId="55" fillId="0" borderId="22" xfId="456" applyNumberFormat="1" applyFont="1" applyBorder="1" applyAlignment="1">
      <alignment horizontal="center" vertical="center"/>
    </xf>
    <xf numFmtId="0" fontId="80" fillId="0" borderId="22" xfId="456" applyFont="1" applyBorder="1" applyAlignment="1">
      <alignment horizontal="center" vertical="center"/>
    </xf>
    <xf numFmtId="171" fontId="43" fillId="0" borderId="17" xfId="144" applyNumberFormat="1" applyFont="1" applyBorder="1" applyAlignment="1">
      <alignment horizontal="center"/>
    </xf>
    <xf numFmtId="171" fontId="80" fillId="0" borderId="17" xfId="798" applyNumberFormat="1" applyFont="1" applyBorder="1" applyAlignment="1">
      <alignment horizontal="center" vertical="top"/>
    </xf>
    <xf numFmtId="171" fontId="80" fillId="0" borderId="22" xfId="798" applyNumberFormat="1" applyFont="1" applyBorder="1" applyAlignment="1">
      <alignment horizontal="center" vertical="top"/>
    </xf>
    <xf numFmtId="171" fontId="42" fillId="0" borderId="17" xfId="144" applyNumberFormat="1" applyFont="1" applyBorder="1" applyAlignment="1">
      <alignment horizontal="center"/>
    </xf>
    <xf numFmtId="171" fontId="55" fillId="0" borderId="17" xfId="798" applyNumberFormat="1" applyFont="1" applyBorder="1" applyAlignment="1">
      <alignment horizontal="center" vertical="top"/>
    </xf>
    <xf numFmtId="0" fontId="55" fillId="0" borderId="22" xfId="456" applyFont="1" applyBorder="1" applyAlignment="1">
      <alignment horizontal="left" vertical="center" wrapText="1"/>
    </xf>
    <xf numFmtId="0" fontId="80" fillId="20" borderId="21" xfId="456" applyFont="1" applyFill="1" applyBorder="1" applyAlignment="1">
      <alignment horizontal="center" vertical="center"/>
    </xf>
    <xf numFmtId="171" fontId="43" fillId="20" borderId="20" xfId="144" applyNumberFormat="1" applyFont="1" applyFill="1" applyBorder="1" applyAlignment="1">
      <alignment horizontal="center"/>
    </xf>
    <xf numFmtId="171" fontId="55" fillId="20" borderId="20" xfId="798" applyNumberFormat="1" applyFont="1" applyFill="1" applyBorder="1" applyAlignment="1">
      <alignment horizontal="center" vertical="top"/>
    </xf>
    <xf numFmtId="171" fontId="80" fillId="20" borderId="20" xfId="798" applyNumberFormat="1" applyFont="1" applyFill="1" applyBorder="1" applyAlignment="1">
      <alignment horizontal="center" vertical="top"/>
    </xf>
    <xf numFmtId="0" fontId="55" fillId="0" borderId="29" xfId="456" applyFont="1" applyBorder="1" applyAlignment="1">
      <alignment horizontal="left" vertical="center"/>
    </xf>
    <xf numFmtId="171" fontId="42" fillId="0" borderId="30" xfId="144" applyNumberFormat="1" applyFont="1" applyBorder="1" applyAlignment="1">
      <alignment horizontal="center"/>
    </xf>
    <xf numFmtId="171" fontId="55" fillId="0" borderId="30" xfId="456" applyNumberFormat="1" applyFont="1" applyBorder="1" applyAlignment="1">
      <alignment horizontal="center" vertical="center"/>
    </xf>
    <xf numFmtId="171" fontId="55" fillId="0" borderId="30" xfId="238" applyNumberFormat="1" applyFont="1" applyBorder="1" applyAlignment="1">
      <alignment horizontal="center" vertical="top"/>
    </xf>
    <xf numFmtId="171" fontId="38" fillId="0" borderId="30" xfId="0" applyNumberFormat="1" applyFont="1" applyBorder="1" applyAlignment="1">
      <alignment horizontal="center" vertical="center"/>
    </xf>
    <xf numFmtId="0" fontId="55" fillId="0" borderId="19" xfId="456" applyFont="1" applyBorder="1" applyAlignment="1">
      <alignment horizontal="left" vertical="center"/>
    </xf>
    <xf numFmtId="171" fontId="55" fillId="0" borderId="17" xfId="238" applyNumberFormat="1" applyFont="1" applyBorder="1" applyAlignment="1">
      <alignment horizontal="center" vertical="top"/>
    </xf>
    <xf numFmtId="0" fontId="80" fillId="0" borderId="19" xfId="456" applyFont="1" applyBorder="1" applyAlignment="1">
      <alignment horizontal="center" vertical="center"/>
    </xf>
    <xf numFmtId="171" fontId="55" fillId="0" borderId="30" xfId="798" applyNumberFormat="1" applyFont="1" applyBorder="1" applyAlignment="1">
      <alignment horizontal="center" vertical="top"/>
    </xf>
    <xf numFmtId="0" fontId="55" fillId="0" borderId="19" xfId="238" applyFont="1" applyBorder="1" applyAlignment="1">
      <alignment horizontal="left" vertical="top"/>
    </xf>
    <xf numFmtId="0" fontId="55" fillId="0" borderId="19" xfId="238" applyFont="1" applyBorder="1" applyAlignment="1">
      <alignment horizontal="left" vertical="center"/>
    </xf>
    <xf numFmtId="0" fontId="80" fillId="0" borderId="19" xfId="238" applyFont="1" applyBorder="1" applyAlignment="1">
      <alignment horizontal="center" vertical="top"/>
    </xf>
    <xf numFmtId="171" fontId="38" fillId="20" borderId="20" xfId="0" applyNumberFormat="1" applyFont="1" applyFill="1" applyBorder="1" applyAlignment="1">
      <alignment horizontal="center"/>
    </xf>
    <xf numFmtId="171" fontId="80" fillId="0" borderId="17" xfId="456" applyNumberFormat="1" applyFont="1" applyBorder="1" applyAlignment="1">
      <alignment horizontal="center" vertical="center"/>
    </xf>
    <xf numFmtId="171" fontId="80" fillId="20" borderId="20" xfId="456" applyNumberFormat="1" applyFont="1" applyFill="1" applyBorder="1" applyAlignment="1">
      <alignment horizontal="center" vertical="center"/>
    </xf>
    <xf numFmtId="0" fontId="80" fillId="20" borderId="226" xfId="456" applyFont="1" applyFill="1" applyBorder="1" applyAlignment="1">
      <alignment horizontal="center" vertical="center"/>
    </xf>
    <xf numFmtId="171" fontId="43" fillId="20" borderId="175" xfId="144" applyNumberFormat="1" applyFont="1" applyFill="1" applyBorder="1" applyAlignment="1">
      <alignment horizontal="center" vertical="center"/>
    </xf>
    <xf numFmtId="171" fontId="43" fillId="20" borderId="175" xfId="0" applyNumberFormat="1" applyFont="1" applyFill="1" applyBorder="1" applyAlignment="1">
      <alignment horizontal="center" vertical="center"/>
    </xf>
    <xf numFmtId="185" fontId="40" fillId="20" borderId="175" xfId="0" applyNumberFormat="1" applyFont="1" applyFill="1" applyBorder="1" applyAlignment="1">
      <alignment horizontal="center" vertical="center"/>
    </xf>
    <xf numFmtId="0" fontId="55" fillId="0" borderId="288" xfId="457" applyFont="1" applyBorder="1" applyAlignment="1">
      <alignment horizontal="left" vertical="center"/>
    </xf>
    <xf numFmtId="171" fontId="42" fillId="0" borderId="289" xfId="144" applyNumberFormat="1" applyFont="1" applyBorder="1" applyAlignment="1">
      <alignment horizontal="center" vertical="center"/>
    </xf>
    <xf numFmtId="171" fontId="55" fillId="0" borderId="289" xfId="799" applyNumberFormat="1" applyFont="1" applyBorder="1" applyAlignment="1">
      <alignment horizontal="center" vertical="center"/>
    </xf>
    <xf numFmtId="171" fontId="55" fillId="0" borderId="289" xfId="238" applyNumberFormat="1" applyFont="1" applyBorder="1" applyAlignment="1">
      <alignment horizontal="center" vertical="top"/>
    </xf>
    <xf numFmtId="171" fontId="42" fillId="0" borderId="17" xfId="144" applyNumberFormat="1" applyFont="1" applyBorder="1" applyAlignment="1">
      <alignment horizontal="center" vertical="center"/>
    </xf>
    <xf numFmtId="171" fontId="55" fillId="0" borderId="17" xfId="799" applyNumberFormat="1" applyFont="1" applyBorder="1" applyAlignment="1">
      <alignment horizontal="center" vertical="center"/>
    </xf>
    <xf numFmtId="0" fontId="80" fillId="0" borderId="19" xfId="457" applyFont="1" applyBorder="1" applyAlignment="1">
      <alignment horizontal="center" vertical="center"/>
    </xf>
    <xf numFmtId="171" fontId="43" fillId="0" borderId="17" xfId="144" applyNumberFormat="1" applyFont="1" applyBorder="1" applyAlignment="1">
      <alignment horizontal="center" vertical="center"/>
    </xf>
    <xf numFmtId="171" fontId="80" fillId="0" borderId="17" xfId="799" applyNumberFormat="1" applyFont="1" applyBorder="1" applyAlignment="1">
      <alignment horizontal="center" vertical="center"/>
    </xf>
    <xf numFmtId="0" fontId="42" fillId="0" borderId="19" xfId="144" applyFont="1" applyBorder="1" applyAlignment="1">
      <alignment vertical="center"/>
    </xf>
    <xf numFmtId="0" fontId="55" fillId="0" borderId="19" xfId="457" applyFont="1" applyBorder="1" applyAlignment="1">
      <alignment horizontal="left" vertical="center"/>
    </xf>
    <xf numFmtId="0" fontId="80" fillId="20" borderId="21" xfId="457" applyFont="1" applyFill="1" applyBorder="1" applyAlignment="1">
      <alignment horizontal="center" vertical="center"/>
    </xf>
    <xf numFmtId="171" fontId="43" fillId="20" borderId="20" xfId="144" applyNumberFormat="1" applyFont="1" applyFill="1" applyBorder="1" applyAlignment="1">
      <alignment horizontal="center" vertical="center"/>
    </xf>
    <xf numFmtId="171" fontId="80" fillId="20" borderId="20" xfId="799" applyNumberFormat="1" applyFont="1" applyFill="1" applyBorder="1" applyAlignment="1">
      <alignment horizontal="center" vertical="center"/>
    </xf>
    <xf numFmtId="0" fontId="55" fillId="0" borderId="29" xfId="457" applyFont="1" applyBorder="1" applyAlignment="1">
      <alignment horizontal="left" vertical="center"/>
    </xf>
    <xf numFmtId="171" fontId="42" fillId="0" borderId="30" xfId="144" applyNumberFormat="1" applyFont="1" applyBorder="1" applyAlignment="1">
      <alignment horizontal="center" vertical="center"/>
    </xf>
    <xf numFmtId="171" fontId="55" fillId="0" borderId="30" xfId="799" applyNumberFormat="1" applyFont="1" applyBorder="1" applyAlignment="1">
      <alignment horizontal="center" vertical="center"/>
    </xf>
    <xf numFmtId="0" fontId="80" fillId="0" borderId="22" xfId="457" applyFont="1" applyBorder="1" applyAlignment="1">
      <alignment horizontal="center" vertical="center"/>
    </xf>
    <xf numFmtId="0" fontId="80" fillId="20" borderId="23" xfId="457" applyFont="1" applyFill="1" applyBorder="1" applyAlignment="1">
      <alignment horizontal="center" vertical="center"/>
    </xf>
    <xf numFmtId="171" fontId="38" fillId="20" borderId="20" xfId="0" applyNumberFormat="1" applyFont="1" applyFill="1" applyBorder="1" applyAlignment="1">
      <alignment horizontal="center" vertical="center"/>
    </xf>
    <xf numFmtId="0" fontId="80" fillId="20" borderId="226" xfId="457" applyFont="1" applyFill="1" applyBorder="1" applyAlignment="1">
      <alignment horizontal="center" vertical="center"/>
    </xf>
    <xf numFmtId="171" fontId="80" fillId="20" borderId="175" xfId="799" applyNumberFormat="1" applyFont="1" applyFill="1" applyBorder="1" applyAlignment="1">
      <alignment horizontal="center" vertical="top"/>
    </xf>
    <xf numFmtId="171" fontId="80" fillId="20" borderId="175" xfId="799" applyNumberFormat="1" applyFont="1" applyFill="1" applyBorder="1" applyAlignment="1">
      <alignment horizontal="center" vertical="center"/>
    </xf>
    <xf numFmtId="171" fontId="40" fillId="20" borderId="227" xfId="0" applyNumberFormat="1" applyFont="1" applyFill="1" applyBorder="1" applyAlignment="1">
      <alignment horizontal="center" vertical="center"/>
    </xf>
    <xf numFmtId="0" fontId="43" fillId="0" borderId="14" xfId="0" applyFont="1" applyBorder="1" applyAlignment="1">
      <alignment horizontal="center" vertical="center"/>
    </xf>
    <xf numFmtId="0" fontId="43" fillId="0" borderId="14" xfId="144" applyFont="1" applyBorder="1" applyAlignment="1">
      <alignment horizontal="center" vertical="center"/>
    </xf>
    <xf numFmtId="0" fontId="40" fillId="0" borderId="14" xfId="0" applyFont="1" applyBorder="1" applyAlignment="1">
      <alignment horizontal="center" vertical="center"/>
    </xf>
    <xf numFmtId="0" fontId="42" fillId="0" borderId="16" xfId="227" applyFont="1" applyBorder="1" applyAlignment="1">
      <alignment horizontal="center" vertical="center" wrapText="1"/>
    </xf>
    <xf numFmtId="0" fontId="55" fillId="0" borderId="16" xfId="238" applyFont="1" applyBorder="1" applyAlignment="1">
      <alignment horizontal="center" vertical="center" wrapText="1"/>
    </xf>
    <xf numFmtId="0" fontId="55" fillId="0" borderId="16" xfId="452" applyFont="1" applyBorder="1" applyAlignment="1">
      <alignment horizontal="center" vertical="center" wrapText="1"/>
    </xf>
    <xf numFmtId="0" fontId="55" fillId="0" borderId="288" xfId="454" applyFont="1" applyFill="1" applyBorder="1" applyAlignment="1">
      <alignment horizontal="left" vertical="center"/>
    </xf>
    <xf numFmtId="168" fontId="55" fillId="0" borderId="289" xfId="176" applyNumberFormat="1" applyFont="1" applyFill="1" applyBorder="1" applyAlignment="1">
      <alignment horizontal="center" vertical="center"/>
    </xf>
    <xf numFmtId="168" fontId="55" fillId="0" borderId="290" xfId="176" applyNumberFormat="1" applyFont="1" applyFill="1" applyBorder="1" applyAlignment="1">
      <alignment horizontal="center" vertical="center"/>
    </xf>
    <xf numFmtId="0" fontId="55" fillId="0" borderId="19" xfId="454" applyFont="1" applyFill="1" applyBorder="1" applyAlignment="1">
      <alignment horizontal="left" vertical="center"/>
    </xf>
    <xf numFmtId="168" fontId="55" fillId="0" borderId="17" xfId="176" applyNumberFormat="1" applyFont="1" applyFill="1" applyBorder="1" applyAlignment="1">
      <alignment horizontal="center" vertical="center"/>
    </xf>
    <xf numFmtId="168" fontId="55" fillId="0" borderId="18" xfId="176" applyNumberFormat="1" applyFont="1" applyFill="1" applyBorder="1" applyAlignment="1">
      <alignment horizontal="center" vertical="center"/>
    </xf>
    <xf numFmtId="0" fontId="80" fillId="0" borderId="19" xfId="454" applyFont="1" applyFill="1" applyBorder="1" applyAlignment="1">
      <alignment horizontal="center" vertical="center"/>
    </xf>
    <xf numFmtId="168" fontId="80" fillId="0" borderId="17" xfId="176" applyNumberFormat="1" applyFont="1" applyFill="1" applyBorder="1" applyAlignment="1">
      <alignment horizontal="center" vertical="center"/>
    </xf>
    <xf numFmtId="168" fontId="80" fillId="0" borderId="18" xfId="176" applyNumberFormat="1" applyFont="1" applyFill="1" applyBorder="1" applyAlignment="1">
      <alignment horizontal="center" vertical="center"/>
    </xf>
    <xf numFmtId="0" fontId="80" fillId="20" borderId="23" xfId="821" applyFont="1" applyFill="1" applyBorder="1" applyAlignment="1">
      <alignment horizontal="center" vertical="center"/>
    </xf>
    <xf numFmtId="0" fontId="55" fillId="0" borderId="29" xfId="454" applyFont="1" applyFill="1" applyBorder="1" applyAlignment="1">
      <alignment horizontal="left" vertical="center"/>
    </xf>
    <xf numFmtId="168" fontId="55" fillId="0" borderId="30" xfId="176" applyNumberFormat="1" applyFont="1" applyFill="1" applyBorder="1" applyAlignment="1">
      <alignment horizontal="center" vertical="center"/>
    </xf>
    <xf numFmtId="168" fontId="55" fillId="0" borderId="27" xfId="176" applyNumberFormat="1" applyFont="1" applyFill="1" applyBorder="1" applyAlignment="1">
      <alignment horizontal="center" vertical="center"/>
    </xf>
    <xf numFmtId="0" fontId="55" fillId="0" borderId="28" xfId="821" applyFont="1" applyFill="1" applyBorder="1" applyAlignment="1">
      <alignment horizontal="left"/>
    </xf>
    <xf numFmtId="168" fontId="80" fillId="0" borderId="30" xfId="176" applyNumberFormat="1" applyFont="1" applyFill="1" applyBorder="1" applyAlignment="1">
      <alignment horizontal="center" vertical="center"/>
    </xf>
    <xf numFmtId="0" fontId="55" fillId="0" borderId="22" xfId="821" applyFont="1" applyFill="1" applyBorder="1" applyAlignment="1">
      <alignment horizontal="left"/>
    </xf>
    <xf numFmtId="0" fontId="80" fillId="0" borderId="26" xfId="454" applyFont="1" applyFill="1" applyBorder="1" applyAlignment="1">
      <alignment horizontal="center" vertical="center"/>
    </xf>
    <xf numFmtId="168" fontId="80" fillId="0" borderId="31" xfId="176" applyNumberFormat="1" applyFont="1" applyFill="1" applyBorder="1" applyAlignment="1">
      <alignment horizontal="center" vertical="center"/>
    </xf>
    <xf numFmtId="168" fontId="80" fillId="0" borderId="24" xfId="176" applyNumberFormat="1" applyFont="1" applyFill="1" applyBorder="1" applyAlignment="1">
      <alignment horizontal="center" vertical="center"/>
    </xf>
    <xf numFmtId="0" fontId="80" fillId="20" borderId="226" xfId="821" applyFont="1" applyFill="1" applyBorder="1" applyAlignment="1">
      <alignment horizontal="center" vertical="center"/>
    </xf>
    <xf numFmtId="0" fontId="0" fillId="0" borderId="0" xfId="0" applyFont="1" applyFill="1" applyBorder="1"/>
    <xf numFmtId="0" fontId="0" fillId="0" borderId="0" xfId="0" applyFont="1" applyBorder="1"/>
    <xf numFmtId="0" fontId="0" fillId="0" borderId="25" xfId="0" applyFont="1" applyBorder="1"/>
    <xf numFmtId="170" fontId="40" fillId="0" borderId="16" xfId="217" applyNumberFormat="1" applyFont="1" applyFill="1" applyBorder="1" applyAlignment="1">
      <alignment horizontal="center" vertical="center"/>
    </xf>
    <xf numFmtId="0" fontId="42" fillId="0" borderId="0" xfId="0" applyFont="1" applyBorder="1" applyAlignment="1">
      <alignment vertical="center"/>
    </xf>
    <xf numFmtId="0" fontId="55" fillId="0" borderId="28" xfId="0" applyFont="1" applyBorder="1" applyAlignment="1">
      <alignment horizontal="center" vertical="center"/>
    </xf>
    <xf numFmtId="167" fontId="0" fillId="0" borderId="28" xfId="217" applyNumberFormat="1" applyFont="1" applyBorder="1" applyAlignment="1">
      <alignment vertical="center"/>
    </xf>
    <xf numFmtId="167" fontId="40" fillId="0" borderId="28" xfId="217" applyNumberFormat="1" applyFont="1" applyBorder="1" applyAlignment="1">
      <alignment vertical="center"/>
    </xf>
    <xf numFmtId="0" fontId="55" fillId="0" borderId="22" xfId="0" applyFont="1" applyBorder="1" applyAlignment="1">
      <alignment horizontal="center" vertical="center"/>
    </xf>
    <xf numFmtId="167" fontId="0" fillId="0" borderId="22" xfId="217" applyNumberFormat="1" applyFont="1" applyBorder="1" applyAlignment="1">
      <alignment vertical="center"/>
    </xf>
    <xf numFmtId="167" fontId="40" fillId="0" borderId="22" xfId="217" applyNumberFormat="1" applyFont="1" applyBorder="1" applyAlignment="1">
      <alignment vertical="center"/>
    </xf>
    <xf numFmtId="167" fontId="42" fillId="0" borderId="0" xfId="0" applyNumberFormat="1" applyFont="1" applyBorder="1" applyAlignment="1">
      <alignment vertical="center"/>
    </xf>
    <xf numFmtId="167" fontId="42" fillId="0" borderId="25" xfId="0" applyNumberFormat="1" applyFont="1" applyBorder="1" applyAlignment="1">
      <alignment vertical="center"/>
    </xf>
    <xf numFmtId="0" fontId="80" fillId="20" borderId="226" xfId="0" applyFont="1" applyFill="1" applyBorder="1" applyAlignment="1">
      <alignment horizontal="center" vertical="center"/>
    </xf>
    <xf numFmtId="0" fontId="80" fillId="0" borderId="16" xfId="0" applyFont="1" applyFill="1" applyBorder="1" applyAlignment="1">
      <alignment horizontal="center" vertical="center" wrapText="1"/>
    </xf>
    <xf numFmtId="0" fontId="55" fillId="0" borderId="0" xfId="0" applyFont="1" applyFill="1" applyBorder="1" applyAlignment="1">
      <alignment horizontal="center" vertical="center"/>
    </xf>
    <xf numFmtId="3" fontId="55"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xf>
    <xf numFmtId="3" fontId="80" fillId="20" borderId="226" xfId="0" applyNumberFormat="1" applyFont="1" applyFill="1" applyBorder="1" applyAlignment="1">
      <alignment horizontal="center" vertical="center"/>
    </xf>
    <xf numFmtId="0" fontId="55" fillId="0" borderId="0" xfId="0" applyFont="1" applyAlignment="1">
      <alignment horizontal="left"/>
    </xf>
    <xf numFmtId="181" fontId="80" fillId="0" borderId="0" xfId="107" applyNumberFormat="1" applyFont="1" applyAlignment="1">
      <alignment horizontal="center" vertical="center"/>
    </xf>
    <xf numFmtId="0" fontId="102" fillId="0" borderId="0" xfId="0" applyFont="1" applyBorder="1" applyAlignment="1">
      <alignment vertical="center"/>
    </xf>
    <xf numFmtId="0" fontId="103" fillId="0" borderId="0" xfId="0" applyFont="1" applyBorder="1" applyAlignment="1">
      <alignment vertical="center"/>
    </xf>
    <xf numFmtId="0" fontId="0" fillId="0" borderId="0" xfId="0" applyFont="1" applyBorder="1" applyAlignment="1">
      <alignment horizontal="center" vertical="center"/>
    </xf>
    <xf numFmtId="0" fontId="240" fillId="0" borderId="0" xfId="0" applyFont="1" applyAlignment="1">
      <alignment horizontal="center" vertical="center" wrapText="1"/>
    </xf>
    <xf numFmtId="0" fontId="107" fillId="0" borderId="0" xfId="0" applyFont="1" applyAlignment="1">
      <alignment vertical="center"/>
    </xf>
    <xf numFmtId="0" fontId="80" fillId="0" borderId="28" xfId="173" applyFont="1" applyFill="1" applyBorder="1" applyAlignment="1">
      <alignment horizontal="center" vertical="center" wrapText="1"/>
    </xf>
    <xf numFmtId="172" fontId="55" fillId="0" borderId="28" xfId="107" applyNumberFormat="1" applyFont="1" applyFill="1" applyBorder="1" applyAlignment="1">
      <alignment horizontal="center" vertical="center" wrapText="1"/>
    </xf>
    <xf numFmtId="172" fontId="80" fillId="0" borderId="28" xfId="107" applyNumberFormat="1" applyFont="1" applyFill="1" applyBorder="1" applyAlignment="1">
      <alignment horizontal="center" vertical="center" wrapText="1"/>
    </xf>
    <xf numFmtId="172" fontId="0" fillId="0" borderId="0" xfId="107" applyNumberFormat="1" applyFont="1" applyFill="1" applyBorder="1"/>
    <xf numFmtId="0" fontId="80" fillId="0" borderId="16" xfId="173" applyFont="1" applyFill="1" applyBorder="1" applyAlignment="1">
      <alignment horizontal="center" vertical="center" wrapText="1"/>
    </xf>
    <xf numFmtId="172" fontId="80" fillId="0" borderId="16" xfId="107" applyNumberFormat="1" applyFont="1" applyFill="1" applyBorder="1" applyAlignment="1">
      <alignment horizontal="center" vertical="center" wrapText="1"/>
    </xf>
    <xf numFmtId="0" fontId="50" fillId="0" borderId="0" xfId="0" applyFont="1" applyAlignment="1">
      <alignment horizontal="center" wrapText="1"/>
    </xf>
    <xf numFmtId="0" fontId="50" fillId="0" borderId="0" xfId="0" applyFont="1" applyAlignment="1">
      <alignment wrapText="1"/>
    </xf>
    <xf numFmtId="0" fontId="46" fillId="0" borderId="0" xfId="0" applyFont="1" applyAlignment="1">
      <alignment vertical="center" wrapText="1"/>
    </xf>
    <xf numFmtId="0" fontId="67" fillId="0" borderId="0" xfId="0" applyFont="1" applyAlignment="1">
      <alignment horizontal="left"/>
    </xf>
    <xf numFmtId="0" fontId="42" fillId="20" borderId="16" xfId="167" applyFont="1" applyFill="1" applyBorder="1" applyAlignment="1">
      <alignment horizontal="center" vertical="center" wrapText="1"/>
    </xf>
    <xf numFmtId="171" fontId="80" fillId="0" borderId="28" xfId="176" applyNumberFormat="1" applyFont="1" applyFill="1" applyBorder="1" applyAlignment="1">
      <alignment horizontal="center" vertical="center" wrapText="1"/>
    </xf>
    <xf numFmtId="171" fontId="0" fillId="0" borderId="0" xfId="176" applyNumberFormat="1" applyFont="1" applyFill="1" applyBorder="1"/>
    <xf numFmtId="171" fontId="80" fillId="0" borderId="16" xfId="176" applyNumberFormat="1" applyFont="1" applyFill="1" applyBorder="1" applyAlignment="1">
      <alignment horizontal="center" vertical="center" wrapText="1"/>
    </xf>
    <xf numFmtId="0" fontId="43" fillId="0" borderId="0" xfId="246" applyFont="1" applyFill="1" applyAlignment="1">
      <alignment horizontal="center" vertical="center" wrapText="1"/>
    </xf>
    <xf numFmtId="0" fontId="83" fillId="35" borderId="273" xfId="583" applyFont="1" applyFill="1" applyBorder="1" applyAlignment="1">
      <alignment vertical="center"/>
    </xf>
    <xf numFmtId="0" fontId="43" fillId="31" borderId="311" xfId="0" applyFont="1" applyFill="1" applyBorder="1" applyAlignment="1">
      <alignment horizontal="right" vertical="center"/>
    </xf>
    <xf numFmtId="0" fontId="61" fillId="25" borderId="319" xfId="246" applyFont="1" applyFill="1" applyBorder="1" applyAlignment="1">
      <alignment horizontal="center" vertical="center"/>
    </xf>
    <xf numFmtId="0" fontId="43" fillId="20" borderId="127" xfId="246" applyFont="1" applyFill="1" applyBorder="1" applyAlignment="1">
      <alignment horizontal="center" vertical="center"/>
    </xf>
    <xf numFmtId="0" fontId="43" fillId="20" borderId="166" xfId="246" applyFont="1" applyFill="1" applyBorder="1" applyAlignment="1">
      <alignment horizontal="center" vertical="center"/>
    </xf>
    <xf numFmtId="0" fontId="43" fillId="20" borderId="167" xfId="246" applyFont="1" applyFill="1" applyBorder="1" applyAlignment="1">
      <alignment horizontal="center" vertical="center"/>
    </xf>
    <xf numFmtId="0" fontId="43" fillId="20" borderId="127" xfId="246" applyFont="1" applyFill="1" applyBorder="1" applyAlignment="1">
      <alignment horizontal="center" vertical="center" wrapText="1"/>
    </xf>
    <xf numFmtId="0" fontId="43" fillId="43" borderId="318" xfId="246" applyFont="1" applyFill="1" applyBorder="1" applyAlignment="1">
      <alignment horizontal="center" vertical="center"/>
    </xf>
    <xf numFmtId="0" fontId="51" fillId="26" borderId="18" xfId="0" applyFont="1" applyFill="1" applyBorder="1" applyAlignment="1">
      <alignment horizontal="center" vertical="center"/>
    </xf>
    <xf numFmtId="0" fontId="61" fillId="0" borderId="17" xfId="246" applyFont="1" applyFill="1" applyBorder="1" applyAlignment="1">
      <alignment horizontal="center" vertical="center" wrapText="1"/>
    </xf>
    <xf numFmtId="0" fontId="61" fillId="0" borderId="17" xfId="0" applyFont="1" applyFill="1" applyBorder="1" applyAlignment="1">
      <alignment horizontal="center" vertical="center" wrapText="1"/>
    </xf>
    <xf numFmtId="0" fontId="205" fillId="25" borderId="17" xfId="0" applyFont="1" applyFill="1" applyBorder="1" applyAlignment="1">
      <alignment horizontal="center" vertical="center" wrapText="1"/>
    </xf>
    <xf numFmtId="0" fontId="183" fillId="0" borderId="17" xfId="246" applyFont="1" applyFill="1" applyBorder="1" applyAlignment="1">
      <alignment horizontal="center" vertical="center" wrapText="1"/>
    </xf>
    <xf numFmtId="0" fontId="213" fillId="28" borderId="17" xfId="246" applyFont="1" applyFill="1" applyBorder="1" applyAlignment="1">
      <alignment horizontal="center" vertical="center" wrapText="1"/>
    </xf>
    <xf numFmtId="0" fontId="205" fillId="23" borderId="17" xfId="0" applyFont="1" applyFill="1" applyBorder="1" applyAlignment="1">
      <alignment horizontal="center" vertical="center" wrapText="1"/>
    </xf>
    <xf numFmtId="0" fontId="51" fillId="26" borderId="17" xfId="0" applyFont="1" applyFill="1" applyBorder="1" applyAlignment="1">
      <alignment horizontal="center" vertical="center"/>
    </xf>
    <xf numFmtId="168" fontId="43" fillId="0" borderId="123" xfId="176" applyNumberFormat="1" applyFont="1" applyBorder="1" applyAlignment="1">
      <alignment horizontal="center" vertical="center" wrapText="1"/>
    </xf>
    <xf numFmtId="168" fontId="40" fillId="0" borderId="123" xfId="176" applyNumberFormat="1" applyFont="1" applyBorder="1" applyAlignment="1">
      <alignment horizontal="center" wrapText="1"/>
    </xf>
    <xf numFmtId="168" fontId="40" fillId="43" borderId="123" xfId="176" applyNumberFormat="1" applyFont="1" applyFill="1" applyBorder="1" applyAlignment="1">
      <alignment horizontal="center" wrapText="1"/>
    </xf>
    <xf numFmtId="168" fontId="43" fillId="0" borderId="163" xfId="176" applyNumberFormat="1" applyFont="1" applyBorder="1" applyAlignment="1">
      <alignment horizontal="center" vertical="center"/>
    </xf>
    <xf numFmtId="168" fontId="43" fillId="0" borderId="163" xfId="176" applyNumberFormat="1" applyFont="1" applyBorder="1" applyAlignment="1">
      <alignment horizontal="right"/>
    </xf>
    <xf numFmtId="168" fontId="43" fillId="0" borderId="163" xfId="176" applyNumberFormat="1" applyFont="1" applyFill="1" applyBorder="1" applyAlignment="1">
      <alignment horizontal="right"/>
    </xf>
    <xf numFmtId="168" fontId="43" fillId="43" borderId="163" xfId="176" applyNumberFormat="1" applyFont="1" applyFill="1" applyBorder="1" applyAlignment="1">
      <alignment horizontal="right"/>
    </xf>
    <xf numFmtId="181" fontId="158" fillId="0" borderId="189" xfId="107" applyNumberFormat="1" applyFont="1" applyFill="1" applyBorder="1" applyAlignment="1">
      <alignment horizontal="center" vertical="center" wrapText="1"/>
    </xf>
    <xf numFmtId="0" fontId="0" fillId="0" borderId="0" xfId="0"/>
    <xf numFmtId="14" fontId="61" fillId="0" borderId="17" xfId="246" applyNumberFormat="1" applyFont="1" applyBorder="1" applyAlignment="1">
      <alignment horizontal="center" vertical="center" wrapText="1"/>
    </xf>
    <xf numFmtId="0" fontId="213" fillId="52" borderId="22" xfId="246" applyFont="1" applyFill="1" applyBorder="1" applyAlignment="1">
      <alignment horizontal="center" vertical="center" wrapText="1"/>
    </xf>
    <xf numFmtId="0" fontId="213" fillId="52" borderId="22" xfId="0" applyFont="1" applyFill="1" applyBorder="1" applyAlignment="1">
      <alignment horizontal="center" vertical="center" wrapText="1"/>
    </xf>
    <xf numFmtId="0" fontId="214" fillId="35" borderId="22" xfId="583" applyFont="1" applyFill="1" applyBorder="1" applyAlignment="1">
      <alignment vertical="center"/>
    </xf>
    <xf numFmtId="0" fontId="214" fillId="35" borderId="17" xfId="583" applyFont="1" applyFill="1" applyBorder="1" applyAlignment="1">
      <alignment vertical="center"/>
    </xf>
    <xf numFmtId="0" fontId="214" fillId="52" borderId="22" xfId="246" applyFont="1" applyFill="1" applyBorder="1" applyAlignment="1">
      <alignment horizontal="center" vertical="center" wrapText="1"/>
    </xf>
    <xf numFmtId="0" fontId="214" fillId="39" borderId="22" xfId="246" applyFont="1" applyFill="1" applyBorder="1" applyAlignment="1">
      <alignment horizontal="center" vertical="center" wrapText="1"/>
    </xf>
    <xf numFmtId="0" fontId="51" fillId="0" borderId="17" xfId="0" applyFont="1" applyFill="1" applyBorder="1"/>
    <xf numFmtId="0" fontId="213" fillId="36" borderId="22" xfId="246" applyFont="1" applyFill="1" applyBorder="1" applyAlignment="1">
      <alignment horizontal="center" vertical="center" wrapText="1"/>
    </xf>
    <xf numFmtId="0" fontId="214" fillId="36" borderId="22" xfId="246" applyFont="1" applyFill="1" applyBorder="1" applyAlignment="1">
      <alignment horizontal="center" vertical="center" wrapText="1"/>
    </xf>
    <xf numFmtId="0" fontId="61" fillId="0" borderId="17" xfId="246" applyFont="1" applyBorder="1" applyAlignment="1">
      <alignment wrapText="1"/>
    </xf>
    <xf numFmtId="0" fontId="214" fillId="51" borderId="22" xfId="0" applyFont="1" applyFill="1" applyBorder="1" applyAlignment="1">
      <alignment horizontal="center" wrapText="1"/>
    </xf>
    <xf numFmtId="0" fontId="0" fillId="0" borderId="0" xfId="0"/>
    <xf numFmtId="0" fontId="55" fillId="0" borderId="0" xfId="142" applyFont="1" applyBorder="1" applyAlignment="1">
      <alignment horizontal="center"/>
    </xf>
    <xf numFmtId="0" fontId="80" fillId="0" borderId="0" xfId="142" applyFont="1" applyBorder="1" applyAlignment="1">
      <alignment horizontal="center"/>
    </xf>
    <xf numFmtId="0" fontId="55" fillId="0" borderId="16" xfId="576" applyFont="1" applyFill="1" applyBorder="1" applyAlignment="1">
      <alignment horizontal="center" vertical="center" wrapText="1"/>
    </xf>
    <xf numFmtId="0" fontId="107" fillId="0" borderId="149" xfId="142" applyFont="1" applyFill="1" applyBorder="1" applyAlignment="1">
      <alignment horizontal="center"/>
    </xf>
    <xf numFmtId="0" fontId="107" fillId="0" borderId="197" xfId="142" applyFont="1" applyFill="1" applyBorder="1" applyAlignment="1">
      <alignment horizontal="center"/>
    </xf>
    <xf numFmtId="0" fontId="107" fillId="0" borderId="23" xfId="142" applyFont="1" applyFill="1" applyBorder="1" applyAlignment="1">
      <alignment horizontal="center"/>
    </xf>
    <xf numFmtId="168" fontId="38" fillId="0" borderId="0" xfId="142" applyNumberFormat="1" applyFont="1"/>
    <xf numFmtId="168" fontId="38" fillId="0" borderId="0" xfId="142" applyNumberFormat="1" applyFont="1" applyBorder="1"/>
    <xf numFmtId="0" fontId="106" fillId="0" borderId="149" xfId="142" applyFont="1" applyFill="1" applyBorder="1" applyAlignment="1">
      <alignment horizontal="center"/>
    </xf>
    <xf numFmtId="0" fontId="106" fillId="0" borderId="197" xfId="142" applyFont="1" applyFill="1" applyBorder="1" applyAlignment="1">
      <alignment horizontal="center"/>
    </xf>
    <xf numFmtId="0" fontId="106" fillId="0" borderId="23" xfId="142" applyFont="1" applyFill="1" applyBorder="1" applyAlignment="1">
      <alignment horizontal="center"/>
    </xf>
    <xf numFmtId="0" fontId="38" fillId="0" borderId="0" xfId="142" applyFont="1" applyBorder="1"/>
    <xf numFmtId="0" fontId="111" fillId="0" borderId="149" xfId="142" applyFont="1" applyFill="1" applyBorder="1" applyAlignment="1">
      <alignment horizontal="center"/>
    </xf>
    <xf numFmtId="0" fontId="111" fillId="0" borderId="197" xfId="142" applyFont="1" applyFill="1" applyBorder="1" applyAlignment="1">
      <alignment horizontal="center"/>
    </xf>
    <xf numFmtId="0" fontId="111" fillId="0" borderId="23" xfId="142" applyFont="1" applyFill="1" applyBorder="1" applyAlignment="1">
      <alignment horizontal="center"/>
    </xf>
    <xf numFmtId="168" fontId="38" fillId="0" borderId="0" xfId="142" applyNumberFormat="1" applyBorder="1"/>
    <xf numFmtId="0" fontId="109" fillId="0" borderId="149" xfId="142" applyFont="1" applyFill="1" applyBorder="1" applyAlignment="1">
      <alignment horizontal="center"/>
    </xf>
    <xf numFmtId="0" fontId="109" fillId="0" borderId="197" xfId="142" applyFont="1" applyFill="1" applyBorder="1" applyAlignment="1">
      <alignment horizontal="center"/>
    </xf>
    <xf numFmtId="0" fontId="109" fillId="0" borderId="23" xfId="142" applyFont="1" applyFill="1" applyBorder="1" applyAlignment="1">
      <alignment horizontal="center"/>
    </xf>
    <xf numFmtId="0" fontId="38" fillId="0" borderId="0" xfId="142" applyFont="1"/>
    <xf numFmtId="0" fontId="114" fillId="0" borderId="149" xfId="142" applyFont="1" applyFill="1" applyBorder="1" applyAlignment="1">
      <alignment horizontal="center"/>
    </xf>
    <xf numFmtId="0" fontId="114" fillId="0" borderId="197" xfId="142" applyFont="1" applyFill="1" applyBorder="1" applyAlignment="1">
      <alignment horizontal="center"/>
    </xf>
    <xf numFmtId="0" fontId="114" fillId="0" borderId="23" xfId="142" applyFont="1" applyFill="1" applyBorder="1" applyAlignment="1">
      <alignment horizontal="center"/>
    </xf>
    <xf numFmtId="3" fontId="80" fillId="20" borderId="320" xfId="142" applyNumberFormat="1" applyFont="1" applyFill="1" applyBorder="1" applyAlignment="1">
      <alignment horizontal="center" vertical="center"/>
    </xf>
    <xf numFmtId="0" fontId="80" fillId="20" borderId="321" xfId="142" applyFont="1" applyFill="1" applyBorder="1" applyAlignment="1">
      <alignment horizontal="center"/>
    </xf>
    <xf numFmtId="0" fontId="80" fillId="20" borderId="311" xfId="142" applyFont="1" applyFill="1" applyBorder="1" applyAlignment="1">
      <alignment horizontal="center"/>
    </xf>
    <xf numFmtId="0" fontId="43" fillId="0" borderId="16" xfId="0" applyFont="1" applyFill="1" applyBorder="1" applyAlignment="1">
      <alignment horizontal="center" vertical="center" wrapText="1"/>
    </xf>
    <xf numFmtId="0" fontId="42" fillId="0" borderId="193" xfId="0" applyFont="1" applyFill="1" applyBorder="1" applyAlignment="1">
      <alignment horizontal="left" vertical="center" indent="1"/>
    </xf>
    <xf numFmtId="0" fontId="55" fillId="0" borderId="193" xfId="0" applyFont="1" applyFill="1" applyBorder="1" applyAlignment="1">
      <alignment horizontal="center" vertical="center"/>
    </xf>
    <xf numFmtId="190" fontId="55" fillId="0" borderId="193" xfId="0" applyNumberFormat="1" applyFont="1" applyFill="1" applyBorder="1" applyAlignment="1">
      <alignment horizontal="center" vertical="center"/>
    </xf>
    <xf numFmtId="190" fontId="231" fillId="0" borderId="194" xfId="0" applyNumberFormat="1" applyFont="1" applyFill="1" applyBorder="1" applyAlignment="1">
      <alignment horizontal="center" vertical="center"/>
    </xf>
    <xf numFmtId="0" fontId="42" fillId="0" borderId="148" xfId="0" applyFont="1" applyFill="1" applyBorder="1" applyAlignment="1">
      <alignment horizontal="left" vertical="center" indent="1"/>
    </xf>
    <xf numFmtId="0" fontId="55" fillId="0" borderId="148" xfId="0" applyFont="1" applyFill="1" applyBorder="1" applyAlignment="1">
      <alignment horizontal="center" vertical="center"/>
    </xf>
    <xf numFmtId="190" fontId="38" fillId="0" borderId="148" xfId="0" applyNumberFormat="1" applyFont="1" applyFill="1" applyBorder="1" applyAlignment="1">
      <alignment horizontal="center" vertical="center"/>
    </xf>
    <xf numFmtId="190" fontId="231" fillId="0" borderId="195" xfId="0" applyNumberFormat="1" applyFont="1" applyFill="1" applyBorder="1" applyAlignment="1">
      <alignment horizontal="center" vertical="center"/>
    </xf>
    <xf numFmtId="190" fontId="55" fillId="0" borderId="148" xfId="0" applyNumberFormat="1" applyFont="1" applyFill="1" applyBorder="1" applyAlignment="1">
      <alignment horizontal="center" vertical="center"/>
    </xf>
    <xf numFmtId="190" fontId="55" fillId="0" borderId="196" xfId="0" applyNumberFormat="1" applyFont="1" applyFill="1" applyBorder="1" applyAlignment="1">
      <alignment horizontal="center" vertical="center"/>
    </xf>
    <xf numFmtId="0" fontId="42" fillId="0" borderId="201" xfId="0" applyFont="1" applyFill="1" applyBorder="1" applyAlignment="1">
      <alignment horizontal="left" vertical="center" indent="1"/>
    </xf>
    <xf numFmtId="0" fontId="42" fillId="0" borderId="201" xfId="0" applyFont="1" applyFill="1" applyBorder="1" applyAlignment="1">
      <alignment horizontal="center" vertical="center"/>
    </xf>
    <xf numFmtId="190" fontId="42" fillId="0" borderId="201" xfId="0" applyNumberFormat="1" applyFont="1" applyFill="1" applyBorder="1" applyAlignment="1">
      <alignment horizontal="center" vertical="center"/>
    </xf>
    <xf numFmtId="190" fontId="231" fillId="0" borderId="202" xfId="0" applyNumberFormat="1" applyFont="1" applyFill="1" applyBorder="1" applyAlignment="1">
      <alignment horizontal="center" vertical="center"/>
    </xf>
    <xf numFmtId="0" fontId="42" fillId="0" borderId="148" xfId="0" applyFont="1" applyFill="1" applyBorder="1" applyAlignment="1">
      <alignment horizontal="center" vertical="center"/>
    </xf>
    <xf numFmtId="190" fontId="42" fillId="0" borderId="148" xfId="0" applyNumberFormat="1" applyFont="1" applyFill="1" applyBorder="1" applyAlignment="1">
      <alignment horizontal="center" vertical="center"/>
    </xf>
    <xf numFmtId="190" fontId="256" fillId="0" borderId="195" xfId="0" applyNumberFormat="1" applyFont="1" applyFill="1" applyBorder="1" applyAlignment="1">
      <alignment horizontal="center" vertical="center"/>
    </xf>
    <xf numFmtId="0" fontId="42" fillId="0" borderId="196" xfId="0" applyFont="1" applyFill="1" applyBorder="1" applyAlignment="1">
      <alignment horizontal="left" vertical="center" indent="1"/>
    </xf>
    <xf numFmtId="0" fontId="42" fillId="0" borderId="196" xfId="0" applyFont="1" applyFill="1" applyBorder="1" applyAlignment="1">
      <alignment horizontal="center" vertical="center"/>
    </xf>
    <xf numFmtId="190" fontId="231" fillId="0" borderId="197" xfId="0" applyNumberFormat="1" applyFont="1" applyFill="1" applyBorder="1" applyAlignment="1">
      <alignment horizontal="center" vertical="center"/>
    </xf>
    <xf numFmtId="190" fontId="55" fillId="0" borderId="201" xfId="0" applyNumberFormat="1" applyFont="1" applyFill="1" applyBorder="1" applyAlignment="1">
      <alignment horizontal="center" vertical="center"/>
    </xf>
    <xf numFmtId="190" fontId="42" fillId="0" borderId="203" xfId="0" applyNumberFormat="1" applyFont="1" applyFill="1" applyBorder="1" applyAlignment="1">
      <alignment horizontal="center" vertical="center"/>
    </xf>
    <xf numFmtId="190" fontId="42" fillId="0" borderId="196" xfId="0" applyNumberFormat="1" applyFont="1" applyFill="1" applyBorder="1" applyAlignment="1">
      <alignment horizontal="center" vertical="center"/>
    </xf>
    <xf numFmtId="0" fontId="87" fillId="0" borderId="0" xfId="0" applyFont="1" applyBorder="1" applyAlignment="1">
      <alignment vertical="center"/>
    </xf>
    <xf numFmtId="0" fontId="236" fillId="0" borderId="0" xfId="0" applyFont="1" applyBorder="1" applyAlignment="1">
      <alignment vertical="center" wrapText="1"/>
    </xf>
    <xf numFmtId="0" fontId="87" fillId="0" borderId="0" xfId="0" applyFont="1" applyBorder="1" applyAlignment="1">
      <alignment vertical="center" wrapText="1"/>
    </xf>
    <xf numFmtId="190" fontId="239" fillId="0" borderId="202" xfId="0" applyNumberFormat="1" applyFont="1" applyFill="1" applyBorder="1" applyAlignment="1">
      <alignment horizontal="center" vertical="center"/>
    </xf>
    <xf numFmtId="0" fontId="42" fillId="0" borderId="148" xfId="0" applyFont="1" applyFill="1" applyBorder="1" applyAlignment="1">
      <alignment horizontal="center"/>
    </xf>
    <xf numFmtId="190" fontId="42" fillId="0" borderId="148" xfId="0" applyNumberFormat="1" applyFont="1" applyFill="1" applyBorder="1" applyAlignment="1">
      <alignment horizontal="center"/>
    </xf>
    <xf numFmtId="190" fontId="239" fillId="0" borderId="195" xfId="0" applyNumberFormat="1" applyFont="1" applyFill="1" applyBorder="1" applyAlignment="1">
      <alignment horizontal="center" vertical="center"/>
    </xf>
    <xf numFmtId="190" fontId="42" fillId="0" borderId="196" xfId="0" applyNumberFormat="1" applyFont="1" applyFill="1" applyBorder="1" applyAlignment="1">
      <alignment horizontal="center"/>
    </xf>
    <xf numFmtId="0" fontId="38" fillId="0" borderId="196" xfId="0" applyFont="1" applyFill="1" applyBorder="1" applyAlignment="1">
      <alignment horizontal="left" vertical="center" indent="1"/>
    </xf>
    <xf numFmtId="190" fontId="42" fillId="0" borderId="194" xfId="0" applyNumberFormat="1" applyFont="1" applyFill="1" applyBorder="1" applyAlignment="1">
      <alignment horizontal="center" vertical="center"/>
    </xf>
    <xf numFmtId="190" fontId="42" fillId="0" borderId="195" xfId="0" applyNumberFormat="1" applyFont="1" applyFill="1" applyBorder="1" applyAlignment="1">
      <alignment horizontal="center" vertical="center"/>
    </xf>
    <xf numFmtId="190" fontId="41" fillId="0" borderId="195" xfId="0" applyNumberFormat="1" applyFont="1" applyFill="1" applyBorder="1" applyAlignment="1">
      <alignment horizontal="center" vertical="center"/>
    </xf>
    <xf numFmtId="0" fontId="208" fillId="0" borderId="148" xfId="0" applyFont="1" applyFill="1" applyBorder="1" applyAlignment="1">
      <alignment horizontal="center" vertical="center"/>
    </xf>
    <xf numFmtId="190" fontId="61" fillId="0" borderId="195" xfId="0" applyNumberFormat="1" applyFont="1" applyFill="1" applyBorder="1" applyAlignment="1">
      <alignment horizontal="center" vertical="center"/>
    </xf>
    <xf numFmtId="0" fontId="208" fillId="0" borderId="196" xfId="0" applyFont="1" applyFill="1" applyBorder="1" applyAlignment="1">
      <alignment horizontal="center" vertical="center"/>
    </xf>
    <xf numFmtId="190" fontId="189" fillId="0" borderId="197" xfId="0" applyNumberFormat="1" applyFont="1" applyFill="1" applyBorder="1" applyAlignment="1">
      <alignment horizontal="center" vertical="center"/>
    </xf>
    <xf numFmtId="0" fontId="208" fillId="0" borderId="193" xfId="0" applyFont="1" applyFill="1" applyBorder="1" applyAlignment="1">
      <alignment horizontal="center" vertical="center"/>
    </xf>
    <xf numFmtId="190" fontId="38" fillId="0" borderId="193" xfId="0" applyNumberFormat="1" applyFont="1" applyFill="1" applyBorder="1" applyAlignment="1">
      <alignment horizontal="center" vertical="center"/>
    </xf>
    <xf numFmtId="190" fontId="41" fillId="0" borderId="194" xfId="0" applyNumberFormat="1" applyFont="1" applyFill="1" applyBorder="1" applyAlignment="1">
      <alignment horizontal="center" vertical="center"/>
    </xf>
    <xf numFmtId="190" fontId="42" fillId="0" borderId="197" xfId="0" applyNumberFormat="1" applyFont="1" applyFill="1" applyBorder="1" applyAlignment="1">
      <alignment horizontal="center" vertical="center"/>
    </xf>
    <xf numFmtId="0" fontId="208" fillId="0" borderId="201" xfId="0" applyFont="1" applyFill="1" applyBorder="1" applyAlignment="1">
      <alignment horizontal="center" vertical="center"/>
    </xf>
    <xf numFmtId="190" fontId="42" fillId="0" borderId="202" xfId="0" applyNumberFormat="1" applyFont="1" applyFill="1" applyBorder="1" applyAlignment="1">
      <alignment horizontal="center" vertical="center"/>
    </xf>
    <xf numFmtId="0" fontId="89" fillId="0" borderId="16" xfId="0" applyFont="1" applyFill="1" applyBorder="1" applyAlignment="1">
      <alignment horizontal="center" vertical="center" wrapText="1"/>
    </xf>
    <xf numFmtId="0" fontId="42" fillId="0" borderId="193" xfId="0" applyFont="1" applyFill="1" applyBorder="1" applyAlignment="1">
      <alignment horizontal="center" vertical="center"/>
    </xf>
    <xf numFmtId="190" fontId="42" fillId="0" borderId="193" xfId="0" applyNumberFormat="1" applyFont="1" applyFill="1" applyBorder="1" applyAlignment="1">
      <alignment horizontal="center" vertical="center"/>
    </xf>
    <xf numFmtId="0" fontId="42" fillId="0" borderId="148" xfId="0" applyFont="1" applyFill="1" applyBorder="1" applyAlignment="1">
      <alignment horizontal="left" vertical="center" wrapText="1" indent="1"/>
    </xf>
    <xf numFmtId="0" fontId="42" fillId="0" borderId="148" xfId="0" applyFont="1" applyFill="1" applyBorder="1" applyAlignment="1">
      <alignment horizontal="left" vertical="center"/>
    </xf>
    <xf numFmtId="190" fontId="42" fillId="0" borderId="148" xfId="0" applyNumberFormat="1" applyFont="1" applyFill="1" applyBorder="1" applyAlignment="1">
      <alignment horizontal="left" vertical="center"/>
    </xf>
    <xf numFmtId="0" fontId="42" fillId="0" borderId="196" xfId="0" applyFont="1" applyFill="1" applyBorder="1" applyAlignment="1">
      <alignment horizontal="left" vertical="center" wrapText="1" indent="1"/>
    </xf>
    <xf numFmtId="0" fontId="42" fillId="0" borderId="196" xfId="0" applyFont="1" applyFill="1" applyBorder="1" applyAlignment="1">
      <alignment horizontal="left" vertical="center"/>
    </xf>
    <xf numFmtId="190" fontId="42" fillId="0" borderId="196" xfId="0" applyNumberFormat="1" applyFont="1" applyFill="1" applyBorder="1" applyAlignment="1">
      <alignment horizontal="left" vertical="center"/>
    </xf>
    <xf numFmtId="0" fontId="42" fillId="0" borderId="201" xfId="0" applyFont="1" applyFill="1" applyBorder="1" applyAlignment="1">
      <alignment horizontal="left" vertical="center"/>
    </xf>
    <xf numFmtId="190" fontId="42" fillId="0" borderId="201" xfId="0" applyNumberFormat="1" applyFont="1" applyFill="1" applyBorder="1" applyAlignment="1">
      <alignment horizontal="left" vertical="center"/>
    </xf>
    <xf numFmtId="0" fontId="42" fillId="0" borderId="147" xfId="0" applyFont="1" applyFill="1" applyBorder="1" applyAlignment="1">
      <alignment horizontal="left" vertical="center" indent="1"/>
    </xf>
    <xf numFmtId="0" fontId="42" fillId="0" borderId="147" xfId="0" applyFont="1" applyFill="1" applyBorder="1" applyAlignment="1">
      <alignment horizontal="left" vertical="center"/>
    </xf>
    <xf numFmtId="190" fontId="42" fillId="0" borderId="147" xfId="0" applyNumberFormat="1" applyFont="1" applyFill="1" applyBorder="1" applyAlignment="1">
      <alignment horizontal="left" vertical="center"/>
    </xf>
    <xf numFmtId="190" fontId="231" fillId="0" borderId="204" xfId="0" applyNumberFormat="1" applyFont="1" applyFill="1" applyBorder="1" applyAlignment="1">
      <alignment horizontal="center" vertical="center"/>
    </xf>
    <xf numFmtId="0" fontId="87" fillId="0" borderId="0" xfId="0" applyFont="1" applyBorder="1" applyAlignment="1">
      <alignment horizontal="right" vertical="center"/>
    </xf>
    <xf numFmtId="190" fontId="232" fillId="0" borderId="195" xfId="0" applyNumberFormat="1" applyFont="1" applyFill="1" applyBorder="1" applyAlignment="1">
      <alignment horizontal="center" vertical="center"/>
    </xf>
    <xf numFmtId="190" fontId="38" fillId="0" borderId="196" xfId="0" applyNumberFormat="1" applyFont="1" applyFill="1" applyBorder="1" applyAlignment="1">
      <alignment horizontal="center" vertical="center"/>
    </xf>
    <xf numFmtId="0" fontId="241" fillId="0" borderId="148" xfId="0" applyFont="1" applyFill="1" applyBorder="1" applyAlignment="1">
      <alignment horizontal="center" vertical="center"/>
    </xf>
    <xf numFmtId="190" fontId="95" fillId="0" borderId="195" xfId="0" applyNumberFormat="1" applyFont="1" applyFill="1" applyBorder="1" applyAlignment="1">
      <alignment horizontal="center" vertical="center"/>
    </xf>
    <xf numFmtId="190" fontId="95" fillId="0" borderId="202" xfId="0" applyNumberFormat="1" applyFont="1" applyFill="1" applyBorder="1" applyAlignment="1">
      <alignment horizontal="center" vertical="center"/>
    </xf>
    <xf numFmtId="0" fontId="87" fillId="0" borderId="0" xfId="0" applyFont="1" applyBorder="1" applyAlignment="1">
      <alignment vertical="top" wrapText="1"/>
    </xf>
    <xf numFmtId="0" fontId="1" fillId="0" borderId="0" xfId="3786" applyFont="1" applyAlignment="1">
      <alignment vertical="center"/>
    </xf>
    <xf numFmtId="0" fontId="116" fillId="0" borderId="0" xfId="3786" applyFont="1" applyFill="1" applyBorder="1" applyAlignment="1">
      <alignment vertical="center"/>
    </xf>
    <xf numFmtId="0" fontId="43" fillId="0" borderId="207" xfId="3786" applyFont="1" applyFill="1" applyBorder="1" applyAlignment="1">
      <alignment horizontal="center" vertical="center"/>
    </xf>
    <xf numFmtId="0" fontId="43" fillId="0" borderId="207" xfId="3786" applyFont="1" applyFill="1" applyBorder="1" applyAlignment="1">
      <alignment horizontal="center" vertical="center" wrapText="1"/>
    </xf>
    <xf numFmtId="0" fontId="42" fillId="0" borderId="193" xfId="3786" applyFont="1" applyFill="1" applyBorder="1" applyAlignment="1">
      <alignment horizontal="left" vertical="center" indent="1"/>
    </xf>
    <xf numFmtId="0" fontId="42" fillId="0" borderId="194" xfId="3786" applyFont="1" applyFill="1" applyBorder="1" applyAlignment="1">
      <alignment horizontal="center" vertical="center"/>
    </xf>
    <xf numFmtId="0" fontId="42" fillId="0" borderId="148" xfId="3786" applyFont="1" applyFill="1" applyBorder="1" applyAlignment="1">
      <alignment horizontal="left" vertical="center" indent="1"/>
    </xf>
    <xf numFmtId="0" fontId="42" fillId="0" borderId="148" xfId="3786" applyFont="1" applyFill="1" applyBorder="1" applyAlignment="1">
      <alignment horizontal="center" vertical="center"/>
    </xf>
    <xf numFmtId="0" fontId="42" fillId="0" borderId="195" xfId="3786" applyFont="1" applyFill="1" applyBorder="1" applyAlignment="1">
      <alignment horizontal="center" vertical="center"/>
    </xf>
    <xf numFmtId="0" fontId="42" fillId="0" borderId="195" xfId="3786" applyFont="1" applyFill="1" applyBorder="1" applyAlignment="1">
      <alignment horizontal="center" vertical="center" wrapText="1"/>
    </xf>
    <xf numFmtId="0" fontId="208" fillId="0" borderId="148" xfId="3786" applyFont="1" applyFill="1" applyBorder="1" applyAlignment="1">
      <alignment horizontal="center" vertical="center"/>
    </xf>
    <xf numFmtId="0" fontId="231" fillId="0" borderId="195" xfId="3786" applyFont="1" applyFill="1" applyBorder="1" applyAlignment="1">
      <alignment horizontal="center" vertical="center" wrapText="1"/>
    </xf>
    <xf numFmtId="0" fontId="287" fillId="0" borderId="195" xfId="3786" applyFont="1" applyFill="1" applyBorder="1" applyAlignment="1">
      <alignment horizontal="center" vertical="center"/>
    </xf>
    <xf numFmtId="0" fontId="42" fillId="0" borderId="193" xfId="3786" applyFont="1" applyFill="1" applyBorder="1" applyAlignment="1">
      <alignment horizontal="center" vertical="center"/>
    </xf>
    <xf numFmtId="0" fontId="42" fillId="0" borderId="194" xfId="3786" applyFont="1" applyFill="1" applyBorder="1" applyAlignment="1">
      <alignment horizontal="center" vertical="center" wrapText="1"/>
    </xf>
    <xf numFmtId="0" fontId="42" fillId="0" borderId="196" xfId="3786" applyFont="1" applyFill="1" applyBorder="1" applyAlignment="1">
      <alignment horizontal="left" vertical="center" indent="1"/>
    </xf>
    <xf numFmtId="0" fontId="42" fillId="0" borderId="196" xfId="3786" applyFont="1" applyFill="1" applyBorder="1" applyAlignment="1">
      <alignment horizontal="center" vertical="center"/>
    </xf>
    <xf numFmtId="0" fontId="42" fillId="0" borderId="197" xfId="3786" applyFont="1" applyFill="1" applyBorder="1" applyAlignment="1">
      <alignment horizontal="center" vertical="center" wrapText="1"/>
    </xf>
    <xf numFmtId="0" fontId="42" fillId="0" borderId="193" xfId="149" applyFont="1" applyFill="1" applyBorder="1" applyAlignment="1">
      <alignment horizontal="left" wrapText="1" indent="1"/>
    </xf>
    <xf numFmtId="0" fontId="42" fillId="0" borderId="148" xfId="149" applyFont="1" applyFill="1" applyBorder="1" applyAlignment="1">
      <alignment horizontal="left" wrapText="1" indent="1"/>
    </xf>
    <xf numFmtId="0" fontId="42" fillId="0" borderId="148" xfId="3786" applyFont="1" applyFill="1" applyBorder="1" applyAlignment="1">
      <alignment horizontal="left" vertical="center"/>
    </xf>
    <xf numFmtId="0" fontId="42" fillId="0" borderId="195" xfId="3786" applyFont="1" applyFill="1" applyBorder="1" applyAlignment="1">
      <alignment horizontal="left" vertical="center"/>
    </xf>
    <xf numFmtId="0" fontId="42" fillId="0" borderId="196" xfId="149" applyFont="1" applyFill="1" applyBorder="1" applyAlignment="1">
      <alignment horizontal="left" wrapText="1" indent="1"/>
    </xf>
    <xf numFmtId="0" fontId="42" fillId="0" borderId="197" xfId="3786" applyFont="1" applyFill="1" applyBorder="1" applyAlignment="1">
      <alignment horizontal="center" vertical="center"/>
    </xf>
    <xf numFmtId="0" fontId="61" fillId="0" borderId="0" xfId="3786" applyFont="1" applyBorder="1" applyAlignment="1">
      <alignment vertical="center"/>
    </xf>
    <xf numFmtId="0" fontId="1" fillId="0" borderId="0" xfId="3786" applyFont="1" applyFill="1" applyBorder="1" applyAlignment="1">
      <alignment vertical="center"/>
    </xf>
    <xf numFmtId="0" fontId="268" fillId="0" borderId="0" xfId="3786" applyFont="1" applyFill="1" applyBorder="1" applyAlignment="1">
      <alignment vertical="center"/>
    </xf>
    <xf numFmtId="15" fontId="43" fillId="0" borderId="209" xfId="3786" applyNumberFormat="1" applyFont="1" applyFill="1" applyBorder="1" applyAlignment="1">
      <alignment horizontal="center" vertical="center"/>
    </xf>
    <xf numFmtId="0" fontId="43" fillId="0" borderId="209" xfId="3786" applyFont="1" applyFill="1" applyBorder="1" applyAlignment="1">
      <alignment horizontal="center" vertical="center"/>
    </xf>
    <xf numFmtId="0" fontId="43" fillId="0" borderId="209" xfId="3786" applyFont="1" applyFill="1" applyBorder="1" applyAlignment="1">
      <alignment horizontal="center" vertical="center" wrapText="1"/>
    </xf>
    <xf numFmtId="0" fontId="42" fillId="0" borderId="210" xfId="3786" applyFont="1" applyFill="1" applyBorder="1" applyAlignment="1">
      <alignment horizontal="center" vertical="center" wrapText="1"/>
    </xf>
    <xf numFmtId="0" fontId="61" fillId="0" borderId="194" xfId="3786" applyFont="1" applyFill="1" applyBorder="1" applyAlignment="1">
      <alignment horizontal="center" vertical="center"/>
    </xf>
    <xf numFmtId="0" fontId="42" fillId="0" borderId="201" xfId="3786" applyFont="1" applyFill="1" applyBorder="1" applyAlignment="1">
      <alignment horizontal="left" vertical="center" indent="1"/>
    </xf>
    <xf numFmtId="0" fontId="42" fillId="0" borderId="201" xfId="3786" applyFont="1" applyFill="1" applyBorder="1" applyAlignment="1">
      <alignment horizontal="center" vertical="center"/>
    </xf>
    <xf numFmtId="0" fontId="42" fillId="0" borderId="202" xfId="3786" applyFont="1" applyFill="1" applyBorder="1" applyAlignment="1">
      <alignment horizontal="center" vertical="center"/>
    </xf>
    <xf numFmtId="0" fontId="269" fillId="0" borderId="0" xfId="3786" applyFont="1" applyFill="1" applyBorder="1" applyAlignment="1">
      <alignment vertical="center"/>
    </xf>
    <xf numFmtId="0" fontId="43" fillId="0" borderId="211" xfId="3786" applyFont="1" applyFill="1" applyBorder="1" applyAlignment="1">
      <alignment horizontal="center" vertical="center"/>
    </xf>
    <xf numFmtId="0" fontId="43" fillId="0" borderId="211" xfId="3786" applyFont="1" applyFill="1" applyBorder="1" applyAlignment="1">
      <alignment horizontal="center" vertical="center" wrapText="1"/>
    </xf>
    <xf numFmtId="0" fontId="239" fillId="0" borderId="194" xfId="3786" applyFont="1" applyFill="1" applyBorder="1" applyAlignment="1">
      <alignment horizontal="center" vertical="center"/>
    </xf>
    <xf numFmtId="0" fontId="95" fillId="0" borderId="195" xfId="3786" applyFont="1" applyFill="1" applyBorder="1" applyAlignment="1">
      <alignment horizontal="center" vertical="center" wrapText="1"/>
    </xf>
    <xf numFmtId="0" fontId="231" fillId="0" borderId="195" xfId="3786" applyFont="1" applyFill="1" applyBorder="1" applyAlignment="1">
      <alignment horizontal="center" vertical="center"/>
    </xf>
    <xf numFmtId="0" fontId="232" fillId="0" borderId="195" xfId="3786" applyFont="1" applyFill="1" applyBorder="1" applyAlignment="1">
      <alignment horizontal="center" vertical="center"/>
    </xf>
    <xf numFmtId="0" fontId="232" fillId="0" borderId="195" xfId="3786" applyFont="1" applyFill="1" applyBorder="1" applyAlignment="1">
      <alignment horizontal="center" vertical="center" wrapText="1"/>
    </xf>
    <xf numFmtId="0" fontId="55" fillId="0" borderId="196" xfId="3786" applyFont="1" applyFill="1" applyBorder="1" applyAlignment="1">
      <alignment horizontal="left" vertical="center" indent="1"/>
    </xf>
    <xf numFmtId="0" fontId="231" fillId="0" borderId="197" xfId="3786" applyFont="1" applyFill="1" applyBorder="1" applyAlignment="1">
      <alignment horizontal="center" vertical="center" wrapText="1"/>
    </xf>
    <xf numFmtId="0" fontId="239" fillId="0" borderId="195" xfId="3786" applyFont="1" applyFill="1" applyBorder="1" applyAlignment="1">
      <alignment horizontal="center" vertical="center"/>
    </xf>
    <xf numFmtId="0" fontId="61" fillId="0" borderId="195" xfId="3786" applyFont="1" applyFill="1" applyBorder="1" applyAlignment="1">
      <alignment horizontal="center" vertical="center"/>
    </xf>
    <xf numFmtId="0" fontId="55" fillId="0" borderId="148" xfId="3786" applyFont="1" applyFill="1" applyBorder="1" applyAlignment="1">
      <alignment horizontal="left" vertical="center" indent="1"/>
    </xf>
    <xf numFmtId="0" fontId="42" fillId="0" borderId="202" xfId="3786" applyFont="1" applyFill="1" applyBorder="1" applyAlignment="1">
      <alignment horizontal="center" vertical="center" wrapText="1"/>
    </xf>
    <xf numFmtId="0" fontId="114" fillId="0" borderId="214" xfId="3786" applyFont="1" applyFill="1" applyBorder="1" applyAlignment="1">
      <alignment horizontal="center" vertical="center"/>
    </xf>
    <xf numFmtId="0" fontId="43" fillId="0" borderId="214" xfId="3786" applyFont="1" applyFill="1" applyBorder="1" applyAlignment="1">
      <alignment horizontal="center" vertical="center"/>
    </xf>
    <xf numFmtId="0" fontId="43" fillId="0" borderId="214" xfId="3786" applyFont="1" applyFill="1" applyBorder="1" applyAlignment="1">
      <alignment horizontal="center" vertical="center" wrapText="1"/>
    </xf>
    <xf numFmtId="0" fontId="234" fillId="0" borderId="195" xfId="3786" applyFont="1" applyFill="1" applyBorder="1" applyAlignment="1">
      <alignment horizontal="center" vertical="center" wrapText="1"/>
    </xf>
    <xf numFmtId="15" fontId="231" fillId="0" borderId="195" xfId="3786" applyNumberFormat="1" applyFont="1" applyFill="1" applyBorder="1" applyAlignment="1">
      <alignment horizontal="center" vertical="center"/>
    </xf>
    <xf numFmtId="0" fontId="235" fillId="0" borderId="197" xfId="3786" applyFont="1" applyFill="1" applyBorder="1" applyAlignment="1">
      <alignment horizontal="center" vertical="center"/>
    </xf>
    <xf numFmtId="0" fontId="1" fillId="22" borderId="0" xfId="3786" applyFont="1" applyFill="1" applyBorder="1" applyAlignment="1">
      <alignment vertical="center"/>
    </xf>
    <xf numFmtId="0" fontId="185" fillId="22" borderId="0" xfId="3786" applyFont="1" applyFill="1" applyBorder="1" applyAlignment="1">
      <alignment vertical="center"/>
    </xf>
    <xf numFmtId="0" fontId="80" fillId="0" borderId="0" xfId="142" applyFont="1" applyFill="1" applyBorder="1" applyAlignment="1">
      <alignment vertical="center"/>
    </xf>
    <xf numFmtId="0" fontId="55" fillId="0" borderId="16" xfId="142" applyFont="1" applyFill="1" applyBorder="1" applyAlignment="1">
      <alignment horizontal="center" vertical="center" wrapText="1"/>
    </xf>
    <xf numFmtId="0" fontId="55" fillId="0" borderId="0" xfId="142" applyFont="1" applyBorder="1"/>
    <xf numFmtId="0" fontId="55" fillId="0" borderId="153" xfId="142" applyFont="1" applyFill="1" applyBorder="1" applyAlignment="1">
      <alignment horizontal="center"/>
    </xf>
    <xf numFmtId="0" fontId="38" fillId="0" borderId="194" xfId="142" applyFont="1" applyFill="1" applyBorder="1" applyAlignment="1">
      <alignment horizontal="center"/>
    </xf>
    <xf numFmtId="0" fontId="38" fillId="0" borderId="28" xfId="142" applyFont="1" applyFill="1" applyBorder="1" applyAlignment="1">
      <alignment horizontal="center"/>
    </xf>
    <xf numFmtId="0" fontId="80" fillId="0" borderId="194" xfId="142" applyFont="1" applyFill="1" applyBorder="1" applyAlignment="1">
      <alignment horizontal="center" vertical="center"/>
    </xf>
    <xf numFmtId="0" fontId="55" fillId="0" borderId="28" xfId="142" applyFont="1" applyFill="1" applyBorder="1" applyAlignment="1">
      <alignment horizontal="center" vertical="center"/>
    </xf>
    <xf numFmtId="0" fontId="42" fillId="0" borderId="28" xfId="142" applyFont="1" applyFill="1" applyBorder="1" applyAlignment="1">
      <alignment horizontal="center" vertical="center"/>
    </xf>
    <xf numFmtId="168" fontId="55" fillId="0" borderId="28" xfId="180" applyNumberFormat="1" applyFont="1" applyFill="1" applyBorder="1" applyAlignment="1">
      <alignment horizontal="right" vertical="center" indent="1"/>
    </xf>
    <xf numFmtId="0" fontId="55" fillId="0" borderId="146" xfId="142" applyFont="1" applyFill="1" applyBorder="1" applyAlignment="1">
      <alignment horizontal="center"/>
    </xf>
    <xf numFmtId="0" fontId="38" fillId="0" borderId="195" xfId="142" applyFont="1" applyFill="1" applyBorder="1" applyAlignment="1">
      <alignment horizontal="center"/>
    </xf>
    <xf numFmtId="0" fontId="38" fillId="0" borderId="22" xfId="142" applyFont="1" applyFill="1" applyBorder="1" applyAlignment="1">
      <alignment horizontal="center"/>
    </xf>
    <xf numFmtId="0" fontId="55" fillId="0" borderId="22" xfId="142" applyFont="1" applyFill="1" applyBorder="1" applyAlignment="1">
      <alignment horizontal="center" vertical="center"/>
    </xf>
    <xf numFmtId="0" fontId="42" fillId="0" borderId="22" xfId="142" applyFont="1" applyFill="1" applyBorder="1" applyAlignment="1">
      <alignment horizontal="center" vertical="center"/>
    </xf>
    <xf numFmtId="168" fontId="55" fillId="0" borderId="22" xfId="180" applyNumberFormat="1" applyFont="1" applyFill="1" applyBorder="1" applyAlignment="1">
      <alignment horizontal="right" vertical="center" indent="1"/>
    </xf>
    <xf numFmtId="0" fontId="80" fillId="0" borderId="197" xfId="142" applyFont="1" applyFill="1" applyBorder="1" applyAlignment="1">
      <alignment horizontal="center"/>
    </xf>
    <xf numFmtId="0" fontId="80" fillId="0" borderId="23" xfId="142" applyFont="1" applyFill="1" applyBorder="1" applyAlignment="1">
      <alignment horizontal="center"/>
    </xf>
    <xf numFmtId="0" fontId="80" fillId="0" borderId="197" xfId="142" applyFont="1" applyFill="1" applyBorder="1" applyAlignment="1">
      <alignment horizontal="center" vertical="center"/>
    </xf>
    <xf numFmtId="0" fontId="80" fillId="0" borderId="23" xfId="142" applyFont="1" applyFill="1" applyBorder="1" applyAlignment="1">
      <alignment horizontal="center" vertical="center"/>
    </xf>
    <xf numFmtId="168" fontId="80" fillId="0" borderId="23" xfId="180" applyNumberFormat="1" applyFont="1" applyFill="1" applyBorder="1" applyAlignment="1">
      <alignment horizontal="right" vertical="center" indent="1"/>
    </xf>
    <xf numFmtId="0" fontId="94" fillId="0" borderId="0" xfId="142" applyFont="1" applyBorder="1" applyAlignment="1">
      <alignment horizontal="center" vertical="center"/>
    </xf>
    <xf numFmtId="0" fontId="55" fillId="0" borderId="152" xfId="142" applyFont="1" applyFill="1" applyBorder="1" applyAlignment="1">
      <alignment horizontal="center"/>
    </xf>
    <xf numFmtId="0" fontId="38" fillId="0" borderId="205" xfId="142" applyFont="1" applyFill="1" applyBorder="1" applyAlignment="1">
      <alignment horizontal="center"/>
    </xf>
    <xf numFmtId="0" fontId="38" fillId="0" borderId="25" xfId="142" applyFont="1" applyFill="1" applyBorder="1" applyAlignment="1">
      <alignment horizontal="center"/>
    </xf>
    <xf numFmtId="0" fontId="55" fillId="0" borderId="25" xfId="142" applyFont="1" applyFill="1" applyBorder="1" applyAlignment="1">
      <alignment horizontal="center" vertical="center"/>
    </xf>
    <xf numFmtId="0" fontId="266" fillId="0" borderId="0" xfId="142" applyFont="1" applyBorder="1" applyAlignment="1">
      <alignment horizontal="right" vertical="center" indent="1"/>
    </xf>
    <xf numFmtId="0" fontId="80" fillId="0" borderId="149" xfId="142" applyFont="1" applyFill="1" applyBorder="1" applyAlignment="1">
      <alignment horizontal="center"/>
    </xf>
    <xf numFmtId="0" fontId="40" fillId="0" borderId="197" xfId="142" applyFont="1" applyFill="1" applyBorder="1" applyAlignment="1">
      <alignment horizontal="center"/>
    </xf>
    <xf numFmtId="0" fontId="40" fillId="0" borderId="23" xfId="142" applyFont="1" applyFill="1" applyBorder="1" applyAlignment="1">
      <alignment horizontal="center"/>
    </xf>
    <xf numFmtId="0" fontId="80" fillId="20" borderId="320" xfId="142" applyFont="1" applyFill="1" applyBorder="1" applyAlignment="1">
      <alignment horizontal="center" vertical="center"/>
    </xf>
    <xf numFmtId="0" fontId="55" fillId="0" borderId="0" xfId="142" applyFont="1" applyAlignment="1">
      <alignment horizontal="right"/>
    </xf>
    <xf numFmtId="0" fontId="1" fillId="0" borderId="311" xfId="0" applyFont="1" applyBorder="1" applyAlignment="1">
      <alignment vertical="center"/>
    </xf>
    <xf numFmtId="0" fontId="255" fillId="0" borderId="311" xfId="0" applyFont="1" applyFill="1" applyBorder="1" applyAlignment="1">
      <alignment horizontal="right" vertical="center"/>
    </xf>
    <xf numFmtId="0" fontId="263" fillId="0" borderId="0" xfId="0" applyFont="1" applyFill="1" applyBorder="1" applyAlignment="1">
      <alignment vertical="center"/>
    </xf>
    <xf numFmtId="0" fontId="263" fillId="0" borderId="226" xfId="0" applyFont="1" applyFill="1" applyBorder="1" applyAlignment="1">
      <alignment vertical="center"/>
    </xf>
    <xf numFmtId="0" fontId="263" fillId="0" borderId="226" xfId="0" applyFont="1" applyFill="1" applyBorder="1" applyAlignment="1">
      <alignment horizontal="right" vertical="center"/>
    </xf>
    <xf numFmtId="0" fontId="0" fillId="0" borderId="0" xfId="0"/>
    <xf numFmtId="0" fontId="0" fillId="0" borderId="0" xfId="0"/>
    <xf numFmtId="0" fontId="0" fillId="0" borderId="0" xfId="0"/>
    <xf numFmtId="0" fontId="0" fillId="0" borderId="0" xfId="0"/>
    <xf numFmtId="0" fontId="56" fillId="0" borderId="0" xfId="0" applyFont="1" applyAlignment="1">
      <alignment horizontal="center"/>
    </xf>
    <xf numFmtId="3" fontId="0" fillId="0" borderId="234" xfId="0" applyNumberFormat="1" applyBorder="1" applyAlignment="1">
      <alignment horizontal="center" vertical="center"/>
    </xf>
    <xf numFmtId="0" fontId="40" fillId="0" borderId="311" xfId="0" applyFont="1" applyBorder="1" applyAlignment="1">
      <alignment horizontal="center" vertical="center"/>
    </xf>
    <xf numFmtId="3" fontId="40" fillId="20" borderId="311" xfId="0" applyNumberFormat="1" applyFont="1" applyFill="1" applyBorder="1" applyAlignment="1">
      <alignment horizontal="center" vertical="center"/>
    </xf>
    <xf numFmtId="3" fontId="0" fillId="0" borderId="202" xfId="0" applyNumberFormat="1" applyBorder="1" applyAlignment="1">
      <alignment horizontal="center" vertical="center"/>
    </xf>
    <xf numFmtId="0" fontId="40" fillId="0" borderId="316" xfId="0" applyFont="1" applyBorder="1" applyAlignment="1">
      <alignment horizontal="center" vertical="center"/>
    </xf>
    <xf numFmtId="3" fontId="40" fillId="20" borderId="316" xfId="0" applyNumberFormat="1" applyFont="1" applyFill="1" applyBorder="1" applyAlignment="1">
      <alignment horizontal="center" vertical="center"/>
    </xf>
    <xf numFmtId="0" fontId="183" fillId="0" borderId="0" xfId="0" applyFont="1" applyAlignment="1">
      <alignment vertical="center"/>
    </xf>
    <xf numFmtId="0" fontId="288" fillId="0" borderId="16" xfId="149" applyFont="1" applyFill="1" applyBorder="1" applyAlignment="1">
      <alignment horizontal="center" vertical="center" wrapText="1"/>
    </xf>
    <xf numFmtId="0" fontId="288" fillId="0" borderId="16" xfId="0" applyFont="1" applyFill="1" applyBorder="1" applyAlignment="1">
      <alignment horizontal="center" vertical="center" wrapText="1"/>
    </xf>
    <xf numFmtId="0" fontId="289" fillId="0" borderId="16" xfId="149" applyFont="1" applyFill="1" applyBorder="1" applyAlignment="1">
      <alignment horizontal="center" vertical="center" wrapText="1"/>
    </xf>
    <xf numFmtId="0" fontId="289" fillId="0" borderId="16" xfId="0" applyFont="1" applyFill="1" applyBorder="1" applyAlignment="1">
      <alignment horizontal="center" vertical="center" wrapText="1"/>
    </xf>
    <xf numFmtId="0" fontId="290" fillId="0" borderId="16" xfId="149" applyFont="1" applyFill="1" applyBorder="1" applyAlignment="1">
      <alignment horizontal="center" vertical="center" wrapText="1"/>
    </xf>
    <xf numFmtId="0" fontId="290" fillId="0" borderId="16" xfId="0" applyFont="1" applyFill="1" applyBorder="1" applyAlignment="1">
      <alignment horizontal="center" vertical="center" wrapText="1"/>
    </xf>
    <xf numFmtId="0" fontId="291" fillId="0" borderId="16" xfId="149" applyFont="1" applyFill="1" applyBorder="1" applyAlignment="1">
      <alignment horizontal="center" vertical="center" wrapText="1"/>
    </xf>
    <xf numFmtId="0" fontId="291" fillId="0" borderId="16" xfId="0" applyFont="1" applyFill="1" applyBorder="1" applyAlignment="1">
      <alignment horizontal="center" vertical="center" wrapText="1"/>
    </xf>
    <xf numFmtId="0" fontId="104" fillId="0" borderId="16" xfId="149" applyFont="1" applyFill="1" applyBorder="1" applyAlignment="1">
      <alignment horizontal="center" vertical="center" wrapText="1"/>
    </xf>
    <xf numFmtId="0" fontId="104" fillId="0" borderId="16" xfId="0" applyFont="1" applyFill="1" applyBorder="1" applyAlignment="1">
      <alignment horizontal="center" vertical="center" wrapText="1"/>
    </xf>
    <xf numFmtId="0" fontId="30" fillId="0" borderId="319" xfId="149" applyFont="1" applyFill="1" applyBorder="1" applyAlignment="1">
      <alignment horizontal="center" vertical="center"/>
    </xf>
    <xf numFmtId="0" fontId="40" fillId="0" borderId="270" xfId="0" applyFont="1" applyFill="1" applyBorder="1" applyAlignment="1">
      <alignment horizontal="center"/>
    </xf>
    <xf numFmtId="173" fontId="1" fillId="0" borderId="270" xfId="149" applyNumberFormat="1" applyFont="1" applyBorder="1" applyAlignment="1">
      <alignment horizontal="center" vertical="center"/>
    </xf>
    <xf numFmtId="49" fontId="1" fillId="0" borderId="270" xfId="149" applyNumberFormat="1" applyFont="1" applyBorder="1" applyAlignment="1">
      <alignment horizontal="center" vertical="center"/>
    </xf>
    <xf numFmtId="3" fontId="1" fillId="0" borderId="270" xfId="149" applyNumberFormat="1" applyFont="1" applyBorder="1" applyAlignment="1">
      <alignment horizontal="center"/>
    </xf>
    <xf numFmtId="173" fontId="219" fillId="0" borderId="270" xfId="149" applyNumberFormat="1" applyFont="1" applyBorder="1" applyAlignment="1">
      <alignment horizontal="center" vertical="center"/>
    </xf>
    <xf numFmtId="0" fontId="293" fillId="0" borderId="270" xfId="149" applyFont="1" applyBorder="1" applyAlignment="1">
      <alignment horizontal="center"/>
    </xf>
    <xf numFmtId="3" fontId="219" fillId="0" borderId="270" xfId="149" applyNumberFormat="1" applyFont="1" applyBorder="1" applyAlignment="1">
      <alignment horizontal="center"/>
    </xf>
    <xf numFmtId="3" fontId="0" fillId="0" borderId="270" xfId="0" applyNumberFormat="1" applyBorder="1" applyAlignment="1">
      <alignment horizontal="center"/>
    </xf>
    <xf numFmtId="173" fontId="1" fillId="0" borderId="270" xfId="0" applyNumberFormat="1" applyFont="1" applyBorder="1" applyAlignment="1">
      <alignment horizontal="center" vertical="center"/>
    </xf>
    <xf numFmtId="3" fontId="1" fillId="0" borderId="270" xfId="0" applyNumberFormat="1" applyFont="1" applyBorder="1" applyAlignment="1">
      <alignment horizontal="center" vertical="center"/>
    </xf>
    <xf numFmtId="3" fontId="1" fillId="0" borderId="270" xfId="0" applyNumberFormat="1" applyFont="1" applyBorder="1" applyAlignment="1">
      <alignment horizontal="center"/>
    </xf>
    <xf numFmtId="173" fontId="219" fillId="0" borderId="325" xfId="0" applyNumberFormat="1" applyFont="1" applyBorder="1" applyAlignment="1">
      <alignment vertical="center" wrapText="1"/>
    </xf>
    <xf numFmtId="3" fontId="248" fillId="0" borderId="325" xfId="0" applyNumberFormat="1" applyFont="1" applyBorder="1" applyAlignment="1">
      <alignment vertical="center"/>
    </xf>
    <xf numFmtId="3" fontId="219" fillId="0" borderId="325" xfId="0" applyNumberFormat="1" applyFont="1" applyBorder="1" applyAlignment="1">
      <alignment horizontal="center" vertical="center"/>
    </xf>
    <xf numFmtId="3" fontId="0" fillId="0" borderId="325" xfId="0" applyNumberFormat="1" applyBorder="1" applyAlignment="1">
      <alignment horizontal="center" vertical="center"/>
    </xf>
    <xf numFmtId="173" fontId="1" fillId="0" borderId="270" xfId="0" applyNumberFormat="1" applyFont="1" applyBorder="1" applyAlignment="1">
      <alignment horizontal="center" vertical="center" wrapText="1"/>
    </xf>
    <xf numFmtId="173" fontId="219" fillId="0" borderId="270" xfId="0" applyNumberFormat="1" applyFont="1" applyBorder="1" applyAlignment="1">
      <alignment horizontal="center" vertical="center"/>
    </xf>
    <xf numFmtId="3" fontId="248" fillId="0" borderId="325" xfId="0" applyNumberFormat="1" applyFont="1" applyBorder="1" applyAlignment="1">
      <alignment horizontal="center" vertical="center"/>
    </xf>
    <xf numFmtId="3" fontId="219" fillId="0" borderId="270" xfId="0" applyNumberFormat="1" applyFont="1" applyBorder="1" applyAlignment="1">
      <alignment horizontal="center" vertical="center"/>
    </xf>
    <xf numFmtId="3" fontId="0" fillId="0" borderId="270" xfId="0" applyNumberFormat="1" applyBorder="1" applyAlignment="1">
      <alignment horizontal="center" vertical="center"/>
    </xf>
    <xf numFmtId="173" fontId="219" fillId="0" borderId="270" xfId="0" applyNumberFormat="1" applyFont="1" applyBorder="1" applyAlignment="1">
      <alignment horizontal="center"/>
    </xf>
    <xf numFmtId="3" fontId="248" fillId="0" borderId="270" xfId="0" applyNumberFormat="1" applyFont="1" applyBorder="1" applyAlignment="1">
      <alignment horizontal="center" vertical="center"/>
    </xf>
    <xf numFmtId="3" fontId="219" fillId="0" borderId="270" xfId="0" applyNumberFormat="1" applyFont="1" applyBorder="1" applyAlignment="1">
      <alignment horizontal="center"/>
    </xf>
    <xf numFmtId="3" fontId="30" fillId="20" borderId="270" xfId="149" applyNumberFormat="1" applyFont="1" applyFill="1" applyBorder="1" applyAlignment="1">
      <alignment horizontal="center" vertical="center"/>
    </xf>
    <xf numFmtId="0" fontId="0" fillId="0" borderId="270" xfId="0" applyBorder="1" applyAlignment="1">
      <alignment horizontal="center"/>
    </xf>
    <xf numFmtId="173" fontId="32" fillId="0" borderId="270" xfId="0" applyNumberFormat="1" applyFont="1" applyBorder="1" applyAlignment="1">
      <alignment horizontal="center" vertical="center"/>
    </xf>
    <xf numFmtId="173" fontId="32" fillId="0" borderId="270" xfId="0" applyNumberFormat="1" applyFont="1" applyBorder="1" applyAlignment="1">
      <alignment horizontal="center" vertical="center" wrapText="1"/>
    </xf>
    <xf numFmtId="0" fontId="44" fillId="0" borderId="270" xfId="0" applyFont="1" applyBorder="1" applyAlignment="1">
      <alignment horizontal="center" vertical="center"/>
    </xf>
    <xf numFmtId="0" fontId="1" fillId="0" borderId="270" xfId="149" applyFont="1" applyBorder="1" applyAlignment="1">
      <alignment horizontal="center" vertical="center"/>
    </xf>
    <xf numFmtId="0" fontId="5" fillId="20" borderId="270" xfId="149" applyFont="1" applyFill="1" applyBorder="1" applyAlignment="1">
      <alignment horizontal="center" vertical="center"/>
    </xf>
    <xf numFmtId="3" fontId="1" fillId="0" borderId="270" xfId="149" applyNumberFormat="1" applyFont="1" applyBorder="1" applyAlignment="1">
      <alignment horizontal="center" vertical="center"/>
    </xf>
    <xf numFmtId="3" fontId="44" fillId="0" borderId="270" xfId="0" applyNumberFormat="1" applyFont="1" applyBorder="1" applyAlignment="1">
      <alignment horizontal="center"/>
    </xf>
    <xf numFmtId="3" fontId="5" fillId="58" borderId="232" xfId="149" applyNumberFormat="1" applyFont="1" applyFill="1" applyBorder="1" applyAlignment="1">
      <alignment horizontal="center" vertical="center"/>
    </xf>
    <xf numFmtId="3" fontId="5" fillId="0" borderId="270" xfId="149" applyNumberFormat="1" applyFont="1" applyFill="1" applyBorder="1" applyAlignment="1">
      <alignment horizontal="center"/>
    </xf>
    <xf numFmtId="3" fontId="5" fillId="20" borderId="270" xfId="149" applyNumberFormat="1" applyFont="1" applyFill="1" applyBorder="1" applyAlignment="1">
      <alignment horizontal="center"/>
    </xf>
    <xf numFmtId="0" fontId="0" fillId="0" borderId="0" xfId="0"/>
    <xf numFmtId="0" fontId="40" fillId="0" borderId="16" xfId="0" applyFont="1" applyBorder="1" applyAlignment="1">
      <alignment horizontal="center" vertical="center" wrapText="1"/>
    </xf>
    <xf numFmtId="0" fontId="56" fillId="0" borderId="0" xfId="0" applyFont="1" applyAlignment="1">
      <alignment horizontal="center" vertical="center" wrapText="1"/>
    </xf>
    <xf numFmtId="0" fontId="2" fillId="0" borderId="0" xfId="0" applyFont="1" applyAlignment="1">
      <alignment horizontal="center" vertical="center" wrapText="1"/>
    </xf>
    <xf numFmtId="0" fontId="44" fillId="0" borderId="0" xfId="0" applyFont="1" applyAlignment="1">
      <alignment horizontal="center" vertical="center" wrapText="1"/>
    </xf>
    <xf numFmtId="0" fontId="40" fillId="0" borderId="16" xfId="0" applyFont="1" applyFill="1" applyBorder="1" applyAlignment="1">
      <alignment horizontal="center" vertical="center" wrapText="1"/>
    </xf>
    <xf numFmtId="0" fontId="0" fillId="0" borderId="216" xfId="0" applyFont="1" applyFill="1" applyBorder="1" applyAlignment="1">
      <alignment horizontal="left" vertical="center"/>
    </xf>
    <xf numFmtId="0" fontId="0" fillId="0" borderId="22" xfId="0" applyBorder="1" applyAlignment="1">
      <alignment horizontal="left" vertical="center"/>
    </xf>
    <xf numFmtId="0" fontId="43" fillId="43" borderId="22" xfId="377" applyFont="1" applyFill="1" applyBorder="1" applyAlignment="1">
      <alignment horizontal="left" vertical="center"/>
    </xf>
    <xf numFmtId="0" fontId="42" fillId="0" borderId="22" xfId="0" applyFont="1" applyBorder="1" applyAlignment="1">
      <alignment horizontal="left" vertical="center" wrapText="1"/>
    </xf>
    <xf numFmtId="0" fontId="0" fillId="0" borderId="22" xfId="0" applyFill="1" applyBorder="1" applyAlignment="1">
      <alignment horizontal="left" vertical="center" wrapText="1"/>
    </xf>
    <xf numFmtId="0" fontId="0" fillId="0" borderId="22" xfId="0" applyFill="1" applyBorder="1" applyAlignment="1">
      <alignment horizontal="center" vertical="center" wrapText="1"/>
    </xf>
    <xf numFmtId="0" fontId="42" fillId="0" borderId="22" xfId="0" applyFont="1" applyFill="1" applyBorder="1" applyAlignment="1">
      <alignment horizontal="left" vertical="center" wrapText="1"/>
    </xf>
    <xf numFmtId="0" fontId="0" fillId="0" borderId="23" xfId="0" applyFill="1" applyBorder="1" applyAlignment="1">
      <alignment horizontal="center" vertical="center" wrapText="1"/>
    </xf>
    <xf numFmtId="0" fontId="42" fillId="0" borderId="23" xfId="0" applyFont="1" applyBorder="1" applyAlignment="1">
      <alignment horizontal="left" vertical="center" wrapText="1"/>
    </xf>
    <xf numFmtId="0" fontId="201" fillId="0" borderId="16" xfId="0" applyFont="1" applyBorder="1" applyAlignment="1">
      <alignment horizontal="center" vertical="center" wrapText="1"/>
    </xf>
    <xf numFmtId="0" fontId="42" fillId="34" borderId="216" xfId="377" applyFont="1" applyFill="1" applyBorder="1" applyAlignment="1">
      <alignment horizontal="left" vertical="center" wrapText="1"/>
    </xf>
    <xf numFmtId="0" fontId="42" fillId="34" borderId="22" xfId="377" applyFont="1" applyFill="1" applyBorder="1" applyAlignment="1">
      <alignment horizontal="left" vertical="center" wrapText="1"/>
    </xf>
    <xf numFmtId="0" fontId="229" fillId="0" borderId="22" xfId="0" applyFont="1" applyFill="1" applyBorder="1" applyAlignment="1">
      <alignment horizontal="center" vertical="center" wrapText="1"/>
    </xf>
    <xf numFmtId="0" fontId="42" fillId="34" borderId="23" xfId="377" applyFont="1" applyFill="1" applyBorder="1" applyAlignment="1">
      <alignment horizontal="left" vertical="center" wrapText="1"/>
    </xf>
    <xf numFmtId="0" fontId="0" fillId="0" borderId="22" xfId="0" applyFont="1" applyFill="1" applyBorder="1" applyAlignment="1">
      <alignment horizontal="center" vertical="center"/>
    </xf>
    <xf numFmtId="0" fontId="0" fillId="0" borderId="22" xfId="0" applyFont="1" applyBorder="1" applyAlignment="1">
      <alignment horizontal="center" vertical="center"/>
    </xf>
    <xf numFmtId="0" fontId="42" fillId="0" borderId="22" xfId="0" applyFont="1" applyBorder="1" applyAlignment="1">
      <alignment horizontal="left" vertical="center"/>
    </xf>
    <xf numFmtId="0" fontId="0" fillId="43" borderId="22" xfId="0" applyFont="1" applyFill="1" applyBorder="1" applyAlignment="1">
      <alignment horizontal="center" vertical="center"/>
    </xf>
    <xf numFmtId="0" fontId="40" fillId="43" borderId="22" xfId="0" applyFont="1" applyFill="1" applyBorder="1" applyAlignment="1">
      <alignment horizontal="left" vertical="center"/>
    </xf>
    <xf numFmtId="0" fontId="0" fillId="0" borderId="23" xfId="0" applyFont="1" applyBorder="1" applyAlignment="1">
      <alignment horizontal="center" vertical="center"/>
    </xf>
    <xf numFmtId="0" fontId="0" fillId="0" borderId="216" xfId="0" applyFill="1" applyBorder="1" applyAlignment="1">
      <alignment horizontal="center" vertical="center" wrapText="1"/>
    </xf>
    <xf numFmtId="0" fontId="0" fillId="0" borderId="22" xfId="0" applyFont="1" applyBorder="1" applyAlignment="1">
      <alignment horizontal="center" vertical="center" wrapText="1"/>
    </xf>
    <xf numFmtId="0" fontId="0" fillId="0" borderId="22" xfId="0" applyFont="1" applyFill="1" applyBorder="1" applyAlignment="1">
      <alignment horizontal="center" vertical="center" wrapText="1"/>
    </xf>
    <xf numFmtId="0" fontId="0" fillId="0" borderId="23" xfId="0" applyFont="1" applyBorder="1" applyAlignment="1">
      <alignment horizontal="center" vertical="center" wrapText="1"/>
    </xf>
    <xf numFmtId="0" fontId="0" fillId="0" borderId="216" xfId="0" applyFont="1" applyFill="1" applyBorder="1" applyAlignment="1">
      <alignment vertical="center" wrapText="1"/>
    </xf>
    <xf numFmtId="0" fontId="0" fillId="0" borderId="216" xfId="0" applyFont="1" applyFill="1" applyBorder="1" applyAlignment="1">
      <alignment horizontal="center" vertical="center" wrapText="1"/>
    </xf>
    <xf numFmtId="0" fontId="0" fillId="0" borderId="22" xfId="0" applyFont="1" applyFill="1" applyBorder="1" applyAlignment="1">
      <alignment vertical="center" wrapText="1"/>
    </xf>
    <xf numFmtId="0" fontId="0" fillId="0" borderId="22" xfId="0" applyFont="1" applyBorder="1" applyAlignment="1">
      <alignment vertical="center" wrapText="1"/>
    </xf>
    <xf numFmtId="1" fontId="0" fillId="0" borderId="22" xfId="0" applyNumberFormat="1" applyFont="1" applyFill="1" applyBorder="1" applyAlignment="1">
      <alignment horizontal="center" vertical="center" wrapText="1"/>
    </xf>
    <xf numFmtId="0" fontId="0" fillId="0" borderId="22" xfId="0" applyFill="1" applyBorder="1" applyAlignment="1">
      <alignment vertical="center" wrapText="1"/>
    </xf>
    <xf numFmtId="0" fontId="0" fillId="0" borderId="23" xfId="0" applyFill="1" applyBorder="1" applyAlignment="1">
      <alignment vertical="center" wrapText="1"/>
    </xf>
    <xf numFmtId="0" fontId="0" fillId="0" borderId="23" xfId="0" applyFont="1" applyFill="1" applyBorder="1" applyAlignment="1">
      <alignment horizontal="center" vertical="center" wrapText="1"/>
    </xf>
    <xf numFmtId="171" fontId="225" fillId="37" borderId="270" xfId="0" applyNumberFormat="1" applyFont="1" applyFill="1" applyBorder="1" applyAlignment="1">
      <alignment horizontal="center" vertical="center" wrapText="1"/>
    </xf>
    <xf numFmtId="0" fontId="30" fillId="43" borderId="270" xfId="149" applyFont="1" applyFill="1" applyBorder="1" applyAlignment="1">
      <alignment horizontal="center" vertical="center"/>
    </xf>
    <xf numFmtId="3" fontId="5" fillId="43" borderId="270" xfId="149" applyNumberFormat="1" applyFont="1" applyFill="1" applyBorder="1" applyAlignment="1">
      <alignment horizontal="center" vertical="center"/>
    </xf>
    <xf numFmtId="0" fontId="80" fillId="0" borderId="311" xfId="173" applyFont="1" applyFill="1" applyBorder="1" applyAlignment="1">
      <alignment horizontal="center" vertical="center" wrapText="1"/>
    </xf>
    <xf numFmtId="172" fontId="80" fillId="0" borderId="311" xfId="107" applyNumberFormat="1" applyFont="1" applyFill="1" applyBorder="1" applyAlignment="1">
      <alignment horizontal="center" vertical="center" wrapText="1"/>
    </xf>
    <xf numFmtId="171" fontId="80" fillId="0" borderId="311" xfId="176" applyNumberFormat="1" applyFont="1" applyFill="1" applyBorder="1" applyAlignment="1">
      <alignment horizontal="center" vertical="center" wrapText="1"/>
    </xf>
    <xf numFmtId="0" fontId="67" fillId="0" borderId="0" xfId="0" applyFont="1" applyAlignment="1">
      <alignment horizontal="center" vertical="center"/>
    </xf>
    <xf numFmtId="0" fontId="294" fillId="0" borderId="16" xfId="149" applyFont="1" applyFill="1" applyBorder="1" applyAlignment="1">
      <alignment horizontal="center" vertical="center" wrapText="1"/>
    </xf>
    <xf numFmtId="0" fontId="294" fillId="0" borderId="16" xfId="0" applyFont="1" applyFill="1" applyBorder="1" applyAlignment="1">
      <alignment horizontal="center" vertical="center" wrapText="1"/>
    </xf>
    <xf numFmtId="171" fontId="40" fillId="0" borderId="0" xfId="0" applyNumberFormat="1" applyFont="1" applyAlignment="1">
      <alignment horizontal="center"/>
    </xf>
    <xf numFmtId="171" fontId="0" fillId="0" borderId="311" xfId="0" applyNumberFormat="1" applyBorder="1" applyAlignment="1">
      <alignment horizontal="center"/>
    </xf>
    <xf numFmtId="0" fontId="0" fillId="0" borderId="0" xfId="0"/>
    <xf numFmtId="0" fontId="45" fillId="0" borderId="0" xfId="0" applyFont="1" applyAlignment="1">
      <alignment horizontal="center" vertical="center" wrapText="1"/>
    </xf>
    <xf numFmtId="0" fontId="62" fillId="0" borderId="0" xfId="0" applyFont="1" applyAlignment="1">
      <alignment horizontal="center" vertical="center" wrapText="1"/>
    </xf>
    <xf numFmtId="0" fontId="40" fillId="20" borderId="311" xfId="0" applyFont="1" applyFill="1" applyBorder="1" applyAlignment="1">
      <alignment horizontal="center" vertical="center"/>
    </xf>
    <xf numFmtId="3" fontId="40" fillId="20" borderId="322" xfId="0" applyNumberFormat="1" applyFont="1" applyFill="1" applyBorder="1"/>
    <xf numFmtId="3" fontId="40" fillId="20" borderId="247" xfId="0" applyNumberFormat="1" applyFont="1" applyFill="1" applyBorder="1"/>
    <xf numFmtId="168" fontId="40" fillId="43" borderId="316" xfId="176" applyNumberFormat="1" applyFont="1" applyFill="1" applyBorder="1" applyAlignment="1">
      <alignment horizontal="center" vertical="center"/>
    </xf>
    <xf numFmtId="0" fontId="60" fillId="0" borderId="0" xfId="0" applyFont="1" applyAlignment="1">
      <alignment wrapText="1"/>
    </xf>
    <xf numFmtId="9" fontId="158" fillId="43" borderId="270" xfId="0" applyNumberFormat="1" applyFont="1" applyFill="1" applyBorder="1" applyAlignment="1">
      <alignment horizontal="center" vertical="center" wrapText="1"/>
    </xf>
    <xf numFmtId="171" fontId="225" fillId="28" borderId="270" xfId="0" applyNumberFormat="1" applyFont="1" applyFill="1" applyBorder="1" applyAlignment="1">
      <alignment horizontal="center" vertical="center"/>
    </xf>
    <xf numFmtId="0" fontId="6" fillId="0" borderId="0" xfId="0" applyFont="1" applyAlignment="1">
      <alignment horizontal="center"/>
    </xf>
    <xf numFmtId="0" fontId="0" fillId="0" borderId="0" xfId="0"/>
    <xf numFmtId="0" fontId="152" fillId="20" borderId="270" xfId="822" applyFont="1" applyFill="1" applyBorder="1" applyAlignment="1">
      <alignment horizontal="center" vertical="center"/>
    </xf>
    <xf numFmtId="0" fontId="52" fillId="0" borderId="0" xfId="822" applyAlignment="1">
      <alignment horizontal="left" vertical="center" wrapText="1"/>
    </xf>
    <xf numFmtId="0" fontId="152" fillId="20" borderId="270" xfId="822" applyFont="1" applyFill="1" applyBorder="1" applyAlignment="1">
      <alignment horizontal="center"/>
    </xf>
    <xf numFmtId="0" fontId="152" fillId="20" borderId="167" xfId="822" applyFont="1" applyFill="1" applyBorder="1" applyAlignment="1">
      <alignment horizontal="center"/>
    </xf>
    <xf numFmtId="0" fontId="46" fillId="0" borderId="270" xfId="0" applyFont="1" applyBorder="1" applyAlignment="1">
      <alignment horizontal="center" vertical="center"/>
    </xf>
    <xf numFmtId="0" fontId="46" fillId="0" borderId="241" xfId="0" applyFont="1" applyBorder="1" applyAlignment="1">
      <alignment horizontal="center" vertical="center"/>
    </xf>
    <xf numFmtId="0" fontId="242" fillId="0" borderId="0" xfId="0" applyFont="1" applyAlignment="1">
      <alignment vertical="center" wrapText="1"/>
    </xf>
    <xf numFmtId="0" fontId="32" fillId="0" borderId="0" xfId="0" applyFont="1" applyAlignment="1">
      <alignment vertical="center" wrapText="1"/>
    </xf>
    <xf numFmtId="0" fontId="161" fillId="34" borderId="270" xfId="0" applyFont="1" applyFill="1" applyBorder="1" applyAlignment="1">
      <alignment horizontal="center" vertical="center" wrapText="1"/>
    </xf>
    <xf numFmtId="0" fontId="161" fillId="34" borderId="270" xfId="0" applyFont="1" applyFill="1" applyBorder="1" applyAlignment="1">
      <alignment horizontal="center" vertical="center"/>
    </xf>
    <xf numFmtId="0" fontId="32" fillId="34" borderId="270" xfId="0" applyFont="1" applyFill="1" applyBorder="1" applyAlignment="1">
      <alignment horizontal="center" vertical="center" wrapText="1"/>
    </xf>
    <xf numFmtId="0" fontId="32" fillId="0" borderId="270" xfId="0" applyFont="1" applyBorder="1" applyAlignment="1">
      <alignment vertical="center"/>
    </xf>
    <xf numFmtId="0" fontId="32" fillId="0" borderId="270" xfId="0" applyFont="1" applyBorder="1" applyAlignment="1">
      <alignment horizontal="center"/>
    </xf>
    <xf numFmtId="171" fontId="32" fillId="0" borderId="327" xfId="0" applyNumberFormat="1" applyFont="1" applyBorder="1" applyAlignment="1">
      <alignment horizontal="center" vertical="center"/>
    </xf>
    <xf numFmtId="168" fontId="32" fillId="0" borderId="270" xfId="0" applyNumberFormat="1" applyFont="1" applyBorder="1" applyAlignment="1">
      <alignment horizontal="center"/>
    </xf>
    <xf numFmtId="191" fontId="32" fillId="0" borderId="270" xfId="452" applyNumberFormat="1" applyFont="1" applyBorder="1" applyAlignment="1">
      <alignment horizontal="center"/>
    </xf>
    <xf numFmtId="191" fontId="32" fillId="0" borderId="270" xfId="818" applyNumberFormat="1" applyFont="1" applyBorder="1" applyAlignment="1">
      <alignment horizontal="center"/>
    </xf>
    <xf numFmtId="0" fontId="36" fillId="0" borderId="270" xfId="0" applyFont="1" applyBorder="1" applyAlignment="1">
      <alignment horizontal="center" vertical="center"/>
    </xf>
    <xf numFmtId="0" fontId="29" fillId="0" borderId="270" xfId="2459" applyFont="1" applyBorder="1"/>
    <xf numFmtId="0" fontId="29" fillId="0" borderId="270" xfId="0" applyFont="1" applyBorder="1" applyAlignment="1">
      <alignment horizontal="center" vertical="center"/>
    </xf>
    <xf numFmtId="171" fontId="29" fillId="0" borderId="270" xfId="0" applyNumberFormat="1" applyFont="1" applyBorder="1" applyAlignment="1">
      <alignment horizontal="center" vertical="center"/>
    </xf>
    <xf numFmtId="168" fontId="29" fillId="0" borderId="270" xfId="0" applyNumberFormat="1" applyFont="1" applyBorder="1" applyAlignment="1">
      <alignment horizontal="center" vertical="center"/>
    </xf>
    <xf numFmtId="182" fontId="29" fillId="0" borderId="270" xfId="3790" applyNumberFormat="1" applyFont="1" applyBorder="1" applyAlignment="1">
      <alignment horizontal="center" vertical="center"/>
    </xf>
    <xf numFmtId="191" fontId="29" fillId="0" borderId="270" xfId="452" applyNumberFormat="1" applyFont="1" applyBorder="1" applyAlignment="1">
      <alignment horizontal="center" vertical="center"/>
    </xf>
    <xf numFmtId="9" fontId="29" fillId="0" borderId="270" xfId="3791" applyNumberFormat="1" applyFont="1" applyBorder="1" applyAlignment="1">
      <alignment horizontal="center" vertical="center"/>
    </xf>
    <xf numFmtId="191" fontId="29" fillId="0" borderId="270" xfId="3791" applyNumberFormat="1" applyFont="1" applyBorder="1" applyAlignment="1">
      <alignment horizontal="center" vertical="center"/>
    </xf>
    <xf numFmtId="0" fontId="29" fillId="0" borderId="286" xfId="0" applyFont="1" applyBorder="1" applyAlignment="1">
      <alignment horizontal="center" vertical="center" wrapText="1"/>
    </xf>
    <xf numFmtId="0" fontId="29" fillId="0" borderId="270" xfId="238" applyFont="1" applyBorder="1" applyAlignment="1">
      <alignment vertical="center"/>
    </xf>
    <xf numFmtId="0" fontId="29" fillId="0" borderId="270" xfId="0" applyFont="1" applyBorder="1" applyAlignment="1">
      <alignment horizontal="center" vertical="center" wrapText="1"/>
    </xf>
    <xf numFmtId="0" fontId="161" fillId="43" borderId="270" xfId="0" applyFont="1" applyFill="1" applyBorder="1" applyAlignment="1">
      <alignment horizontal="center" vertical="center"/>
    </xf>
    <xf numFmtId="168" fontId="161" fillId="43" borderId="270" xfId="0" applyNumberFormat="1" applyFont="1" applyFill="1" applyBorder="1" applyAlignment="1">
      <alignment horizontal="center"/>
    </xf>
    <xf numFmtId="0" fontId="29" fillId="0" borderId="270" xfId="238" applyFont="1" applyBorder="1" applyAlignment="1">
      <alignment vertical="center" wrapText="1"/>
    </xf>
    <xf numFmtId="191" fontId="36" fillId="43" borderId="270" xfId="452" applyNumberFormat="1" applyFont="1" applyFill="1" applyBorder="1" applyAlignment="1">
      <alignment horizontal="center" vertical="center"/>
    </xf>
    <xf numFmtId="0" fontId="36" fillId="20" borderId="190" xfId="0" applyFont="1" applyFill="1" applyBorder="1" applyAlignment="1">
      <alignment horizontal="center" vertical="center"/>
    </xf>
    <xf numFmtId="0" fontId="36" fillId="20" borderId="190" xfId="0" applyFont="1" applyFill="1" applyBorder="1" applyAlignment="1">
      <alignment horizontal="center" vertical="center" wrapText="1"/>
    </xf>
    <xf numFmtId="0" fontId="36" fillId="20" borderId="190" xfId="0" applyFont="1" applyFill="1" applyBorder="1" applyAlignment="1">
      <alignment horizontal="center"/>
    </xf>
    <xf numFmtId="0" fontId="36" fillId="20" borderId="190" xfId="452" applyFont="1" applyFill="1" applyBorder="1" applyAlignment="1">
      <alignment horizontal="center" vertical="center" wrapText="1"/>
    </xf>
    <xf numFmtId="0" fontId="36" fillId="20" borderId="190" xfId="452" applyFont="1" applyFill="1" applyBorder="1" applyAlignment="1">
      <alignment horizontal="center" vertical="center"/>
    </xf>
    <xf numFmtId="0" fontId="36" fillId="20" borderId="190" xfId="3787" applyFont="1" applyFill="1" applyBorder="1" applyAlignment="1">
      <alignment horizontal="center" vertical="center" wrapText="1"/>
    </xf>
    <xf numFmtId="0" fontId="29" fillId="0" borderId="79" xfId="239" applyFont="1" applyBorder="1" applyAlignment="1">
      <alignment horizontal="left" vertical="top"/>
    </xf>
    <xf numFmtId="182" fontId="29" fillId="0" borderId="79" xfId="239" applyNumberFormat="1" applyFont="1" applyBorder="1" applyAlignment="1">
      <alignment horizontal="center" vertical="center"/>
    </xf>
    <xf numFmtId="171" fontId="29" fillId="0" borderId="79" xfId="239" applyNumberFormat="1" applyFont="1" applyBorder="1" applyAlignment="1">
      <alignment horizontal="center" vertical="center"/>
    </xf>
    <xf numFmtId="191" fontId="29" fillId="0" borderId="79" xfId="452" applyNumberFormat="1" applyFont="1" applyBorder="1" applyAlignment="1">
      <alignment horizontal="center" vertical="center"/>
    </xf>
    <xf numFmtId="9" fontId="29" fillId="0" borderId="79" xfId="452" applyNumberFormat="1" applyFont="1" applyBorder="1" applyAlignment="1">
      <alignment horizontal="center" vertical="center"/>
    </xf>
    <xf numFmtId="0" fontId="29" fillId="0" borderId="17" xfId="239" applyFont="1" applyBorder="1" applyAlignment="1">
      <alignment horizontal="left" vertical="top"/>
    </xf>
    <xf numFmtId="182" fontId="29" fillId="0" borderId="17" xfId="239" applyNumberFormat="1" applyFont="1" applyBorder="1" applyAlignment="1">
      <alignment horizontal="center" vertical="center"/>
    </xf>
    <xf numFmtId="171" fontId="29" fillId="0" borderId="17" xfId="239" applyNumberFormat="1" applyFont="1" applyBorder="1" applyAlignment="1">
      <alignment horizontal="center" vertical="center"/>
    </xf>
    <xf numFmtId="191" fontId="29" fillId="0" borderId="17" xfId="452" applyNumberFormat="1" applyFont="1" applyBorder="1" applyAlignment="1">
      <alignment horizontal="center" vertical="center"/>
    </xf>
    <xf numFmtId="9" fontId="29" fillId="0" borderId="17" xfId="452" applyNumberFormat="1" applyFont="1" applyBorder="1" applyAlignment="1">
      <alignment horizontal="center" vertical="center"/>
    </xf>
    <xf numFmtId="0" fontId="29" fillId="0" borderId="17" xfId="239" applyFont="1" applyBorder="1" applyAlignment="1">
      <alignment horizontal="center" vertical="center"/>
    </xf>
    <xf numFmtId="0" fontId="29" fillId="0" borderId="17" xfId="0" applyFont="1" applyBorder="1" applyAlignment="1">
      <alignment horizontal="center" vertical="center"/>
    </xf>
    <xf numFmtId="0" fontId="29" fillId="0" borderId="20" xfId="239" applyFont="1" applyBorder="1" applyAlignment="1">
      <alignment horizontal="left" vertical="top"/>
    </xf>
    <xf numFmtId="182" fontId="29" fillId="0" borderId="20" xfId="239" applyNumberFormat="1" applyFont="1" applyBorder="1" applyAlignment="1">
      <alignment horizontal="center" vertical="center"/>
    </xf>
    <xf numFmtId="171" fontId="29" fillId="0" borderId="20" xfId="239" applyNumberFormat="1" applyFont="1" applyBorder="1" applyAlignment="1">
      <alignment horizontal="center" vertical="center"/>
    </xf>
    <xf numFmtId="0" fontId="29" fillId="0" borderId="20" xfId="239" applyFont="1" applyBorder="1" applyAlignment="1">
      <alignment horizontal="center" vertical="center"/>
    </xf>
    <xf numFmtId="0" fontId="29" fillId="0" borderId="20" xfId="0" applyFont="1" applyBorder="1" applyAlignment="1">
      <alignment horizontal="center" vertical="center"/>
    </xf>
    <xf numFmtId="0" fontId="29" fillId="0" borderId="30" xfId="239" applyFont="1" applyBorder="1" applyAlignment="1">
      <alignment horizontal="left" vertical="top"/>
    </xf>
    <xf numFmtId="182" fontId="29" fillId="0" borderId="30" xfId="239" applyNumberFormat="1" applyFont="1" applyBorder="1" applyAlignment="1">
      <alignment horizontal="center" vertical="center"/>
    </xf>
    <xf numFmtId="171" fontId="29" fillId="0" borderId="30" xfId="239" applyNumberFormat="1" applyFont="1" applyBorder="1" applyAlignment="1">
      <alignment horizontal="center" vertical="center"/>
    </xf>
    <xf numFmtId="191" fontId="29" fillId="0" borderId="30" xfId="452" applyNumberFormat="1" applyFont="1" applyBorder="1" applyAlignment="1">
      <alignment horizontal="center" vertical="center"/>
    </xf>
    <xf numFmtId="191" fontId="29" fillId="0" borderId="20" xfId="452" applyNumberFormat="1" applyFont="1" applyBorder="1" applyAlignment="1">
      <alignment horizontal="center" vertical="center"/>
    </xf>
    <xf numFmtId="9" fontId="29" fillId="0" borderId="20" xfId="452" applyNumberFormat="1" applyFont="1" applyBorder="1" applyAlignment="1">
      <alignment horizontal="center" vertical="center"/>
    </xf>
    <xf numFmtId="9" fontId="29" fillId="0" borderId="30" xfId="452" applyNumberFormat="1" applyFont="1" applyBorder="1" applyAlignment="1">
      <alignment horizontal="center" vertical="center"/>
    </xf>
    <xf numFmtId="0" fontId="29" fillId="0" borderId="17" xfId="452" applyFont="1" applyBorder="1" applyAlignment="1">
      <alignment horizontal="center" vertical="center"/>
    </xf>
    <xf numFmtId="0" fontId="29" fillId="0" borderId="30" xfId="0" applyFont="1" applyBorder="1" applyAlignment="1">
      <alignment horizontal="center" vertical="center"/>
    </xf>
    <xf numFmtId="0" fontId="29" fillId="0" borderId="30" xfId="239" applyFont="1" applyBorder="1" applyAlignment="1">
      <alignment horizontal="center" vertical="center"/>
    </xf>
    <xf numFmtId="0" fontId="29" fillId="0" borderId="31" xfId="239" applyFont="1" applyBorder="1" applyAlignment="1">
      <alignment horizontal="left" vertical="top"/>
    </xf>
    <xf numFmtId="182" fontId="29" fillId="0" borderId="31" xfId="239" applyNumberFormat="1" applyFont="1" applyBorder="1" applyAlignment="1">
      <alignment horizontal="center" vertical="center"/>
    </xf>
    <xf numFmtId="171" fontId="29" fillId="0" borderId="31" xfId="239" applyNumberFormat="1" applyFont="1" applyBorder="1" applyAlignment="1">
      <alignment horizontal="center" vertical="center"/>
    </xf>
    <xf numFmtId="191" fontId="29" fillId="0" borderId="31" xfId="452" applyNumberFormat="1" applyFont="1" applyBorder="1" applyAlignment="1">
      <alignment horizontal="center" vertical="center"/>
    </xf>
    <xf numFmtId="9" fontId="29" fillId="0" borderId="31" xfId="452" applyNumberFormat="1" applyFont="1" applyBorder="1" applyAlignment="1">
      <alignment horizontal="center" vertical="center"/>
    </xf>
    <xf numFmtId="0" fontId="29" fillId="0" borderId="31" xfId="239" applyFont="1" applyBorder="1" applyAlignment="1">
      <alignment horizontal="center" vertical="center"/>
    </xf>
    <xf numFmtId="0" fontId="29" fillId="0" borderId="79" xfId="239" applyFont="1" applyBorder="1" applyAlignment="1">
      <alignment horizontal="center" vertical="center"/>
    </xf>
    <xf numFmtId="0" fontId="29" fillId="0" borderId="190" xfId="239" applyFont="1" applyBorder="1" applyAlignment="1">
      <alignment horizontal="center" vertical="center" wrapText="1"/>
    </xf>
    <xf numFmtId="0" fontId="29" fillId="0" borderId="270" xfId="239" applyFont="1" applyBorder="1" applyAlignment="1">
      <alignment horizontal="left" vertical="center"/>
    </xf>
    <xf numFmtId="0" fontId="29" fillId="0" borderId="270" xfId="239" applyFont="1" applyBorder="1" applyAlignment="1">
      <alignment horizontal="center" vertical="center"/>
    </xf>
    <xf numFmtId="182" fontId="29" fillId="0" borderId="270" xfId="239" applyNumberFormat="1" applyFont="1" applyBorder="1" applyAlignment="1">
      <alignment horizontal="center" vertical="center"/>
    </xf>
    <xf numFmtId="171" fontId="29" fillId="0" borderId="270" xfId="239" applyNumberFormat="1" applyFont="1" applyBorder="1" applyAlignment="1">
      <alignment horizontal="center" vertical="center"/>
    </xf>
    <xf numFmtId="9" fontId="29" fillId="0" borderId="270" xfId="452" applyNumberFormat="1" applyFont="1" applyBorder="1" applyAlignment="1">
      <alignment horizontal="center" vertical="center"/>
    </xf>
    <xf numFmtId="182" fontId="36" fillId="20" borderId="190" xfId="0" applyNumberFormat="1" applyFont="1" applyFill="1" applyBorder="1" applyAlignment="1">
      <alignment horizontal="center" vertical="center"/>
    </xf>
    <xf numFmtId="171" fontId="36" fillId="20" borderId="190" xfId="239" applyNumberFormat="1" applyFont="1" applyFill="1" applyBorder="1" applyAlignment="1">
      <alignment horizontal="center" vertical="center"/>
    </xf>
    <xf numFmtId="191" fontId="36" fillId="20" borderId="190" xfId="452" applyNumberFormat="1" applyFont="1" applyFill="1" applyBorder="1" applyAlignment="1">
      <alignment horizontal="center" vertical="center"/>
    </xf>
    <xf numFmtId="0" fontId="38" fillId="0" borderId="0" xfId="822" applyFont="1" applyAlignment="1">
      <alignment horizontal="left" vertical="center"/>
    </xf>
    <xf numFmtId="0" fontId="245" fillId="0" borderId="270" xfId="0" applyFont="1" applyBorder="1" applyAlignment="1">
      <alignment horizontal="center" vertical="center" wrapText="1"/>
    </xf>
    <xf numFmtId="0" fontId="176" fillId="0" borderId="270" xfId="0" applyFont="1" applyBorder="1" applyAlignment="1">
      <alignment horizontal="center" vertical="center"/>
    </xf>
    <xf numFmtId="0" fontId="60" fillId="0" borderId="0" xfId="0" applyFont="1" applyAlignment="1">
      <alignment horizontal="center" vertical="center"/>
    </xf>
    <xf numFmtId="0" fontId="153" fillId="0" borderId="270" xfId="0" applyFont="1" applyBorder="1" applyAlignment="1">
      <alignment horizontal="center" vertical="center" wrapText="1"/>
    </xf>
    <xf numFmtId="182" fontId="153" fillId="0" borderId="270" xfId="0" applyNumberFormat="1" applyFont="1" applyBorder="1" applyAlignment="1">
      <alignment horizontal="center" vertical="center" wrapText="1"/>
    </xf>
    <xf numFmtId="171" fontId="153" fillId="0" borderId="270" xfId="0" applyNumberFormat="1" applyFont="1" applyBorder="1" applyAlignment="1">
      <alignment horizontal="center" vertical="center" wrapText="1"/>
    </xf>
    <xf numFmtId="0" fontId="60" fillId="0" borderId="270" xfId="0" applyFont="1" applyBorder="1" applyAlignment="1">
      <alignment horizontal="center" vertical="center"/>
    </xf>
    <xf numFmtId="182" fontId="245" fillId="0" borderId="270" xfId="0" applyNumberFormat="1" applyFont="1" applyBorder="1" applyAlignment="1">
      <alignment horizontal="center" vertical="center" wrapText="1"/>
    </xf>
    <xf numFmtId="171" fontId="245" fillId="0" borderId="270" xfId="0" applyNumberFormat="1" applyFont="1" applyBorder="1" applyAlignment="1">
      <alignment horizontal="center" vertical="center" wrapText="1"/>
    </xf>
    <xf numFmtId="0" fontId="176" fillId="0" borderId="270" xfId="0" applyFont="1" applyFill="1" applyBorder="1" applyAlignment="1">
      <alignment horizontal="center" vertical="center"/>
    </xf>
    <xf numFmtId="0" fontId="176" fillId="20" borderId="270" xfId="0" applyFont="1" applyFill="1" applyBorder="1" applyAlignment="1">
      <alignment horizontal="center" vertical="center"/>
    </xf>
    <xf numFmtId="0" fontId="176" fillId="43" borderId="270" xfId="0" applyFont="1" applyFill="1" applyBorder="1" applyAlignment="1">
      <alignment horizontal="center" vertical="center"/>
    </xf>
    <xf numFmtId="0" fontId="245" fillId="20" borderId="270" xfId="0" applyFont="1" applyFill="1" applyBorder="1" applyAlignment="1">
      <alignment horizontal="center" vertical="center" wrapText="1"/>
    </xf>
    <xf numFmtId="0" fontId="134" fillId="20" borderId="270" xfId="452" applyFont="1" applyFill="1" applyBorder="1" applyAlignment="1">
      <alignment horizontal="center" vertical="center" wrapText="1"/>
    </xf>
    <xf numFmtId="0" fontId="134" fillId="20" borderId="270" xfId="452" applyFont="1" applyFill="1" applyBorder="1" applyAlignment="1">
      <alignment horizontal="center" vertical="center"/>
    </xf>
    <xf numFmtId="0" fontId="134" fillId="20" borderId="270" xfId="3787" applyFont="1" applyFill="1" applyBorder="1" applyAlignment="1">
      <alignment horizontal="center" vertical="center" wrapText="1"/>
    </xf>
    <xf numFmtId="0" fontId="161" fillId="20" borderId="270" xfId="0" applyFont="1" applyFill="1" applyBorder="1" applyAlignment="1">
      <alignment horizontal="center" vertical="center"/>
    </xf>
    <xf numFmtId="0" fontId="161" fillId="20" borderId="270" xfId="452" applyFont="1" applyFill="1" applyBorder="1" applyAlignment="1">
      <alignment horizontal="center" vertical="center" wrapText="1"/>
    </xf>
    <xf numFmtId="0" fontId="161" fillId="20" borderId="270" xfId="452" applyFont="1" applyFill="1" applyBorder="1" applyAlignment="1">
      <alignment horizontal="center" vertical="center"/>
    </xf>
    <xf numFmtId="0" fontId="36" fillId="0" borderId="327" xfId="0" applyFont="1" applyBorder="1" applyAlignment="1">
      <alignment horizontal="left" vertical="center"/>
    </xf>
    <xf numFmtId="0" fontId="36" fillId="20" borderId="270" xfId="3792" applyFont="1" applyFill="1" applyBorder="1" applyAlignment="1">
      <alignment horizontal="center" vertical="center"/>
    </xf>
    <xf numFmtId="0" fontId="36" fillId="20" borderId="270" xfId="3792" applyFont="1" applyFill="1" applyBorder="1" applyAlignment="1">
      <alignment horizontal="center" vertical="center" wrapText="1"/>
    </xf>
    <xf numFmtId="0" fontId="36" fillId="20" borderId="270" xfId="3792" applyFont="1" applyFill="1" applyBorder="1" applyAlignment="1"/>
    <xf numFmtId="0" fontId="36" fillId="43" borderId="270" xfId="0" applyFont="1" applyFill="1" applyBorder="1" applyAlignment="1">
      <alignment horizontal="center" vertical="center"/>
    </xf>
    <xf numFmtId="0" fontId="36" fillId="20" borderId="270" xfId="0" applyFont="1" applyFill="1" applyBorder="1" applyAlignment="1">
      <alignment horizontal="center" vertical="center"/>
    </xf>
    <xf numFmtId="0" fontId="36" fillId="20" borderId="270" xfId="452" applyFont="1" applyFill="1" applyBorder="1" applyAlignment="1">
      <alignment horizontal="center" vertical="center" wrapText="1"/>
    </xf>
    <xf numFmtId="0" fontId="36" fillId="20" borderId="270" xfId="452" applyFont="1" applyFill="1" applyBorder="1" applyAlignment="1">
      <alignment horizontal="center" vertical="center"/>
    </xf>
    <xf numFmtId="0" fontId="29" fillId="0" borderId="270" xfId="3792" applyFont="1" applyFill="1" applyBorder="1" applyAlignment="1">
      <alignment horizontal="left" vertical="top"/>
    </xf>
    <xf numFmtId="182" fontId="29" fillId="0" borderId="270" xfId="3792" applyNumberFormat="1" applyFont="1" applyFill="1" applyBorder="1" applyAlignment="1">
      <alignment horizontal="center" vertical="center"/>
    </xf>
    <xf numFmtId="0" fontId="46" fillId="0" borderId="270" xfId="0" applyFont="1" applyBorder="1" applyAlignment="1">
      <alignment horizontal="center"/>
    </xf>
    <xf numFmtId="171" fontId="46" fillId="0" borderId="270" xfId="0" applyNumberFormat="1" applyFont="1" applyBorder="1" applyAlignment="1">
      <alignment horizontal="center"/>
    </xf>
    <xf numFmtId="0" fontId="46" fillId="0" borderId="270" xfId="0" applyNumberFormat="1" applyFont="1" applyBorder="1" applyAlignment="1">
      <alignment horizontal="center"/>
    </xf>
    <xf numFmtId="0" fontId="46" fillId="0" borderId="270" xfId="0" applyFont="1" applyFill="1" applyBorder="1" applyAlignment="1">
      <alignment horizontal="center" vertical="center"/>
    </xf>
    <xf numFmtId="0" fontId="29" fillId="0" borderId="270" xfId="3792" applyFont="1" applyFill="1" applyBorder="1" applyAlignment="1">
      <alignment horizontal="center" vertical="center"/>
    </xf>
    <xf numFmtId="0" fontId="46" fillId="0" borderId="270" xfId="0" applyFont="1" applyFill="1" applyBorder="1" applyAlignment="1">
      <alignment horizontal="center"/>
    </xf>
    <xf numFmtId="171" fontId="46" fillId="0" borderId="270" xfId="0" applyNumberFormat="1" applyFont="1" applyFill="1" applyBorder="1" applyAlignment="1">
      <alignment horizontal="center"/>
    </xf>
    <xf numFmtId="0" fontId="29" fillId="0" borderId="270" xfId="3792" applyFont="1" applyFill="1" applyBorder="1" applyAlignment="1">
      <alignment horizontal="center" vertical="center" wrapText="1"/>
    </xf>
    <xf numFmtId="0" fontId="29" fillId="0" borderId="270" xfId="3792" applyFont="1" applyFill="1" applyBorder="1" applyAlignment="1">
      <alignment horizontal="left" vertical="center"/>
    </xf>
    <xf numFmtId="182" fontId="152" fillId="20" borderId="270" xfId="0" applyNumberFormat="1" applyFont="1" applyFill="1" applyBorder="1" applyAlignment="1">
      <alignment horizontal="center" vertical="center"/>
    </xf>
    <xf numFmtId="0" fontId="152" fillId="20" borderId="270" xfId="0" applyFont="1" applyFill="1" applyBorder="1" applyAlignment="1">
      <alignment horizontal="center"/>
    </xf>
    <xf numFmtId="171" fontId="152" fillId="20" borderId="270" xfId="0" applyNumberFormat="1" applyFont="1" applyFill="1" applyBorder="1" applyAlignment="1">
      <alignment horizontal="center"/>
    </xf>
    <xf numFmtId="0" fontId="152" fillId="43" borderId="270" xfId="0" applyFont="1" applyFill="1" applyBorder="1" applyAlignment="1">
      <alignment horizontal="center"/>
    </xf>
    <xf numFmtId="0" fontId="152" fillId="20" borderId="270" xfId="0" applyFont="1" applyFill="1" applyBorder="1" applyAlignment="1">
      <alignment horizontal="center" vertical="center"/>
    </xf>
    <xf numFmtId="0" fontId="161" fillId="20" borderId="327" xfId="0" applyFont="1" applyFill="1" applyBorder="1" applyAlignment="1">
      <alignment horizontal="center" vertical="center" wrapText="1"/>
    </xf>
    <xf numFmtId="0" fontId="161" fillId="20" borderId="270" xfId="0" applyFont="1" applyFill="1" applyBorder="1" applyAlignment="1">
      <alignment vertical="center"/>
    </xf>
    <xf numFmtId="0" fontId="161" fillId="20" borderId="270" xfId="0" applyFont="1" applyFill="1" applyBorder="1" applyAlignment="1">
      <alignment horizontal="center"/>
    </xf>
    <xf numFmtId="171" fontId="161" fillId="20" borderId="327" xfId="0" applyNumberFormat="1" applyFont="1" applyFill="1" applyBorder="1" applyAlignment="1">
      <alignment horizontal="center" vertical="center"/>
    </xf>
    <xf numFmtId="168" fontId="161" fillId="20" borderId="270" xfId="0" applyNumberFormat="1" applyFont="1" applyFill="1" applyBorder="1" applyAlignment="1">
      <alignment horizontal="center"/>
    </xf>
    <xf numFmtId="168" fontId="161" fillId="20" borderId="270" xfId="452" applyNumberFormat="1" applyFont="1" applyFill="1" applyBorder="1" applyAlignment="1">
      <alignment horizontal="center"/>
    </xf>
    <xf numFmtId="0" fontId="36" fillId="20" borderId="286" xfId="0" applyFont="1" applyFill="1" applyBorder="1" applyAlignment="1">
      <alignment horizontal="center" vertical="center" wrapText="1"/>
    </xf>
    <xf numFmtId="0" fontId="36" fillId="20" borderId="286" xfId="0" applyFont="1" applyFill="1" applyBorder="1" applyAlignment="1">
      <alignment horizontal="center" vertical="center"/>
    </xf>
    <xf numFmtId="0" fontId="36" fillId="20" borderId="286" xfId="144" applyFont="1" applyFill="1" applyBorder="1" applyAlignment="1">
      <alignment horizontal="center" vertical="center"/>
    </xf>
    <xf numFmtId="0" fontId="36" fillId="20" borderId="286" xfId="2459" applyFont="1" applyFill="1" applyBorder="1" applyAlignment="1">
      <alignment horizontal="center" vertical="center"/>
    </xf>
    <xf numFmtId="0" fontId="36" fillId="20" borderId="270" xfId="0" applyFont="1" applyFill="1" applyBorder="1" applyAlignment="1">
      <alignment horizontal="center" vertical="center" wrapText="1"/>
    </xf>
    <xf numFmtId="0" fontId="36" fillId="20" borderId="329" xfId="2459" applyFont="1" applyFill="1" applyBorder="1" applyAlignment="1">
      <alignment horizontal="center" vertical="center"/>
    </xf>
    <xf numFmtId="0" fontId="36" fillId="20" borderId="270" xfId="0" applyFont="1" applyFill="1" applyBorder="1" applyAlignment="1">
      <alignment horizontal="center"/>
    </xf>
    <xf numFmtId="171" fontId="36" fillId="20" borderId="270" xfId="0" applyNumberFormat="1" applyFont="1" applyFill="1" applyBorder="1" applyAlignment="1">
      <alignment horizontal="center" vertical="center"/>
    </xf>
    <xf numFmtId="191" fontId="36" fillId="20" borderId="270" xfId="452" applyNumberFormat="1" applyFont="1" applyFill="1" applyBorder="1" applyAlignment="1">
      <alignment horizontal="center" vertical="center"/>
    </xf>
    <xf numFmtId="168" fontId="36" fillId="20" borderId="270" xfId="452" applyNumberFormat="1" applyFont="1" applyFill="1" applyBorder="1" applyAlignment="1">
      <alignment horizontal="center" vertical="center"/>
    </xf>
    <xf numFmtId="0" fontId="2" fillId="0" borderId="0" xfId="0" applyFont="1" applyAlignment="1">
      <alignment horizontal="left"/>
    </xf>
    <xf numFmtId="0" fontId="36" fillId="20" borderId="189" xfId="0" applyFont="1" applyFill="1" applyBorder="1" applyAlignment="1">
      <alignment horizontal="center" vertical="center" wrapText="1"/>
    </xf>
    <xf numFmtId="0" fontId="36" fillId="20" borderId="189" xfId="0" applyFont="1" applyFill="1" applyBorder="1" applyAlignment="1">
      <alignment horizontal="center" vertical="center"/>
    </xf>
    <xf numFmtId="0" fontId="36" fillId="20" borderId="189" xfId="144" applyFont="1" applyFill="1" applyBorder="1" applyAlignment="1">
      <alignment horizontal="center" vertical="center"/>
    </xf>
    <xf numFmtId="0" fontId="36" fillId="20" borderId="189" xfId="2459" applyFont="1" applyFill="1" applyBorder="1" applyAlignment="1">
      <alignment horizontal="center" vertical="center"/>
    </xf>
    <xf numFmtId="0" fontId="29" fillId="0" borderId="79" xfId="2459" applyFont="1" applyBorder="1"/>
    <xf numFmtId="0" fontId="29" fillId="0" borderId="79" xfId="0" applyFont="1" applyBorder="1" applyAlignment="1">
      <alignment horizontal="center" vertical="center"/>
    </xf>
    <xf numFmtId="0" fontId="29" fillId="0" borderId="79" xfId="0" applyFont="1" applyBorder="1" applyAlignment="1">
      <alignment horizontal="center"/>
    </xf>
    <xf numFmtId="171" fontId="29" fillId="0" borderId="79" xfId="0" applyNumberFormat="1" applyFont="1" applyBorder="1" applyAlignment="1">
      <alignment horizontal="center" vertical="center"/>
    </xf>
    <xf numFmtId="168" fontId="29" fillId="0" borderId="79" xfId="0" applyNumberFormat="1" applyFont="1" applyBorder="1" applyAlignment="1">
      <alignment horizontal="center"/>
    </xf>
    <xf numFmtId="168" fontId="29" fillId="0" borderId="79" xfId="0" applyNumberFormat="1" applyFont="1" applyBorder="1" applyAlignment="1">
      <alignment horizontal="center" vertical="center"/>
    </xf>
    <xf numFmtId="0" fontId="29" fillId="0" borderId="17" xfId="2459" applyFont="1" applyBorder="1"/>
    <xf numFmtId="0" fontId="29" fillId="0" borderId="17" xfId="0" applyFont="1" applyBorder="1" applyAlignment="1">
      <alignment horizontal="center"/>
    </xf>
    <xf numFmtId="171" fontId="29" fillId="0" borderId="17" xfId="0" applyNumberFormat="1" applyFont="1" applyBorder="1" applyAlignment="1">
      <alignment horizontal="center" vertical="center"/>
    </xf>
    <xf numFmtId="168" fontId="29" fillId="0" borderId="17" xfId="0" applyNumberFormat="1" applyFont="1" applyBorder="1" applyAlignment="1">
      <alignment horizontal="center"/>
    </xf>
    <xf numFmtId="168" fontId="29" fillId="0" borderId="17" xfId="0" applyNumberFormat="1" applyFont="1" applyBorder="1" applyAlignment="1">
      <alignment horizontal="center" vertical="center"/>
    </xf>
    <xf numFmtId="0" fontId="29" fillId="0" borderId="20" xfId="2459" applyFont="1" applyBorder="1"/>
    <xf numFmtId="0" fontId="29" fillId="0" borderId="20" xfId="0" applyFont="1" applyBorder="1" applyAlignment="1">
      <alignment horizontal="center"/>
    </xf>
    <xf numFmtId="171" fontId="29" fillId="0" borderId="20" xfId="0" applyNumberFormat="1" applyFont="1" applyBorder="1" applyAlignment="1">
      <alignment horizontal="center" vertical="center"/>
    </xf>
    <xf numFmtId="168" fontId="29" fillId="0" borderId="20" xfId="0" applyNumberFormat="1" applyFont="1" applyBorder="1" applyAlignment="1">
      <alignment horizontal="center"/>
    </xf>
    <xf numFmtId="168" fontId="29" fillId="0" borderId="20" xfId="0" applyNumberFormat="1" applyFont="1" applyBorder="1" applyAlignment="1">
      <alignment horizontal="center" vertical="center"/>
    </xf>
    <xf numFmtId="0" fontId="29" fillId="0" borderId="30" xfId="2459" applyFont="1" applyBorder="1"/>
    <xf numFmtId="0" fontId="29" fillId="0" borderId="30" xfId="0" applyFont="1" applyBorder="1" applyAlignment="1">
      <alignment horizontal="center"/>
    </xf>
    <xf numFmtId="171" fontId="29" fillId="0" borderId="30" xfId="0" applyNumberFormat="1" applyFont="1" applyBorder="1" applyAlignment="1">
      <alignment horizontal="center" vertical="center"/>
    </xf>
    <xf numFmtId="168" fontId="29" fillId="0" borderId="30" xfId="0" applyNumberFormat="1" applyFont="1" applyBorder="1" applyAlignment="1">
      <alignment horizontal="center" vertical="center"/>
    </xf>
    <xf numFmtId="168" fontId="29" fillId="0" borderId="30" xfId="0" applyNumberFormat="1" applyFont="1" applyBorder="1" applyAlignment="1">
      <alignment horizontal="center"/>
    </xf>
    <xf numFmtId="168" fontId="29" fillId="0" borderId="30" xfId="452" applyNumberFormat="1" applyFont="1" applyBorder="1" applyAlignment="1">
      <alignment horizontal="center" vertical="center"/>
    </xf>
    <xf numFmtId="168" fontId="29" fillId="0" borderId="17" xfId="452" applyNumberFormat="1" applyFont="1" applyBorder="1" applyAlignment="1">
      <alignment horizontal="center" vertical="center" wrapText="1"/>
    </xf>
    <xf numFmtId="168" fontId="29" fillId="0" borderId="17" xfId="452" applyNumberFormat="1" applyFont="1" applyBorder="1" applyAlignment="1">
      <alignment horizontal="center" vertical="center"/>
    </xf>
    <xf numFmtId="168" fontId="29" fillId="0" borderId="20" xfId="452" applyNumberFormat="1" applyFont="1" applyBorder="1" applyAlignment="1">
      <alignment horizontal="center" vertical="center"/>
    </xf>
    <xf numFmtId="0" fontId="29" fillId="0" borderId="189" xfId="0" applyFont="1" applyBorder="1" applyAlignment="1">
      <alignment horizontal="center" vertical="center" wrapText="1"/>
    </xf>
    <xf numFmtId="168" fontId="29" fillId="0" borderId="270" xfId="452" applyNumberFormat="1" applyFont="1" applyBorder="1" applyAlignment="1">
      <alignment horizontal="center" vertical="center" wrapText="1"/>
    </xf>
    <xf numFmtId="168" fontId="29" fillId="0" borderId="270" xfId="452" applyNumberFormat="1" applyFont="1" applyBorder="1" applyAlignment="1">
      <alignment horizontal="center" vertical="center"/>
    </xf>
    <xf numFmtId="0" fontId="29" fillId="0" borderId="190" xfId="0" applyFont="1" applyBorder="1" applyAlignment="1">
      <alignment horizontal="center" vertical="center" wrapText="1"/>
    </xf>
    <xf numFmtId="0" fontId="29" fillId="0" borderId="241" xfId="238" applyFont="1" applyBorder="1" applyAlignment="1">
      <alignment vertical="center"/>
    </xf>
    <xf numFmtId="0" fontId="29" fillId="0" borderId="241" xfId="0" applyFont="1" applyBorder="1" applyAlignment="1">
      <alignment horizontal="center" vertical="center"/>
    </xf>
    <xf numFmtId="171" fontId="29" fillId="0" borderId="241" xfId="0" applyNumberFormat="1" applyFont="1" applyBorder="1" applyAlignment="1">
      <alignment horizontal="center" vertical="center"/>
    </xf>
    <xf numFmtId="168" fontId="29" fillId="0" borderId="241" xfId="0" applyNumberFormat="1" applyFont="1" applyBorder="1" applyAlignment="1">
      <alignment horizontal="center" vertical="center"/>
    </xf>
    <xf numFmtId="168" fontId="29" fillId="0" borderId="241" xfId="452" applyNumberFormat="1" applyFont="1" applyBorder="1" applyAlignment="1">
      <alignment horizontal="center" vertical="center"/>
    </xf>
    <xf numFmtId="0" fontId="36" fillId="20" borderId="192" xfId="2459" applyFont="1" applyFill="1" applyBorder="1" applyAlignment="1">
      <alignment horizontal="center" vertical="center"/>
    </xf>
    <xf numFmtId="171" fontId="36" fillId="20" borderId="190" xfId="0" applyNumberFormat="1" applyFont="1" applyFill="1" applyBorder="1" applyAlignment="1">
      <alignment horizontal="center" vertical="center"/>
    </xf>
    <xf numFmtId="168" fontId="36" fillId="20" borderId="190" xfId="0" applyNumberFormat="1" applyFont="1" applyFill="1" applyBorder="1" applyAlignment="1">
      <alignment horizontal="center" vertical="center"/>
    </xf>
    <xf numFmtId="168" fontId="36" fillId="20" borderId="190" xfId="452" applyNumberFormat="1" applyFont="1" applyFill="1" applyBorder="1" applyAlignment="1">
      <alignment horizontal="center" vertical="center"/>
    </xf>
    <xf numFmtId="0" fontId="152" fillId="0" borderId="166" xfId="0" applyFont="1" applyBorder="1" applyAlignment="1">
      <alignment vertical="center"/>
    </xf>
    <xf numFmtId="0" fontId="152" fillId="0" borderId="157" xfId="0" applyFont="1" applyBorder="1" applyAlignment="1">
      <alignment vertical="center"/>
    </xf>
    <xf numFmtId="0" fontId="152" fillId="0" borderId="165" xfId="0" applyFont="1" applyBorder="1" applyAlignment="1">
      <alignment vertical="center"/>
    </xf>
    <xf numFmtId="0" fontId="152" fillId="20" borderId="167" xfId="0" applyFont="1" applyFill="1" applyBorder="1" applyAlignment="1">
      <alignment horizontal="center" vertical="center"/>
    </xf>
    <xf numFmtId="0" fontId="152" fillId="20" borderId="167" xfId="0" applyFont="1" applyFill="1" applyBorder="1" applyAlignment="1">
      <alignment horizontal="center" vertical="center" wrapText="1"/>
    </xf>
    <xf numFmtId="0" fontId="57" fillId="20" borderId="179" xfId="452" applyFont="1" applyFill="1" applyBorder="1" applyAlignment="1">
      <alignment horizontal="center" vertical="center" wrapText="1"/>
    </xf>
    <xf numFmtId="0" fontId="57" fillId="20" borderId="179" xfId="452" applyFont="1" applyFill="1" applyBorder="1" applyAlignment="1">
      <alignment horizontal="center" vertical="center"/>
    </xf>
    <xf numFmtId="0" fontId="46" fillId="0" borderId="79" xfId="816" applyFont="1" applyBorder="1"/>
    <xf numFmtId="0" fontId="46" fillId="0" borderId="79" xfId="816" applyFont="1" applyBorder="1" applyAlignment="1">
      <alignment horizontal="center"/>
    </xf>
    <xf numFmtId="180" fontId="46" fillId="0" borderId="79" xfId="816" applyNumberFormat="1" applyFont="1" applyBorder="1" applyAlignment="1">
      <alignment horizontal="center"/>
    </xf>
    <xf numFmtId="171" fontId="46" fillId="0" borderId="79" xfId="0" applyNumberFormat="1" applyFont="1" applyBorder="1" applyAlignment="1">
      <alignment horizontal="center" vertical="center"/>
    </xf>
    <xf numFmtId="171" fontId="27" fillId="0" borderId="79" xfId="818" applyNumberFormat="1" applyFont="1" applyBorder="1" applyAlignment="1">
      <alignment horizontal="center" vertical="center"/>
    </xf>
    <xf numFmtId="0" fontId="46" fillId="0" borderId="17" xfId="816" applyFont="1" applyBorder="1"/>
    <xf numFmtId="0" fontId="46" fillId="0" borderId="17" xfId="816" applyFont="1" applyBorder="1" applyAlignment="1">
      <alignment horizontal="center"/>
    </xf>
    <xf numFmtId="180" fontId="46" fillId="0" borderId="17" xfId="816" applyNumberFormat="1" applyFont="1" applyBorder="1" applyAlignment="1">
      <alignment horizontal="center"/>
    </xf>
    <xf numFmtId="171" fontId="46" fillId="0" borderId="17" xfId="0" applyNumberFormat="1" applyFont="1" applyBorder="1" applyAlignment="1">
      <alignment horizontal="center" vertical="center"/>
    </xf>
    <xf numFmtId="171" fontId="27" fillId="0" borderId="17" xfId="818" applyNumberFormat="1" applyFont="1" applyBorder="1" applyAlignment="1">
      <alignment horizontal="center" vertical="center"/>
    </xf>
    <xf numFmtId="171" fontId="27" fillId="0" borderId="17" xfId="238" applyNumberFormat="1" applyFont="1" applyBorder="1" applyAlignment="1">
      <alignment horizontal="center" vertical="center"/>
    </xf>
    <xf numFmtId="0" fontId="46" fillId="0" borderId="20" xfId="816" applyFont="1" applyBorder="1"/>
    <xf numFmtId="0" fontId="46" fillId="0" borderId="20" xfId="816" applyFont="1" applyBorder="1" applyAlignment="1">
      <alignment horizontal="center"/>
    </xf>
    <xf numFmtId="180" fontId="46" fillId="0" borderId="20" xfId="816" applyNumberFormat="1" applyFont="1" applyBorder="1" applyAlignment="1">
      <alignment horizontal="center"/>
    </xf>
    <xf numFmtId="171" fontId="46" fillId="0" borderId="20" xfId="0" applyNumberFormat="1" applyFont="1" applyBorder="1" applyAlignment="1">
      <alignment horizontal="center" vertical="center"/>
    </xf>
    <xf numFmtId="171" fontId="27" fillId="0" borderId="20" xfId="818" applyNumberFormat="1" applyFont="1" applyBorder="1" applyAlignment="1">
      <alignment horizontal="center" vertical="center"/>
    </xf>
    <xf numFmtId="0" fontId="46" fillId="0" borderId="30" xfId="816" applyFont="1" applyBorder="1"/>
    <xf numFmtId="0" fontId="46" fillId="0" borderId="30" xfId="816" applyFont="1" applyBorder="1" applyAlignment="1">
      <alignment horizontal="center"/>
    </xf>
    <xf numFmtId="180" fontId="46" fillId="0" borderId="30" xfId="816" applyNumberFormat="1" applyFont="1" applyBorder="1" applyAlignment="1">
      <alignment horizontal="center"/>
    </xf>
    <xf numFmtId="171" fontId="46" fillId="0" borderId="30" xfId="0" applyNumberFormat="1" applyFont="1" applyBorder="1" applyAlignment="1">
      <alignment horizontal="center"/>
    </xf>
    <xf numFmtId="171" fontId="27" fillId="0" borderId="30" xfId="238" applyNumberFormat="1" applyFont="1" applyBorder="1" applyAlignment="1">
      <alignment horizontal="center" vertical="center"/>
    </xf>
    <xf numFmtId="171" fontId="46" fillId="0" borderId="17" xfId="0" applyNumberFormat="1" applyFont="1" applyBorder="1" applyAlignment="1">
      <alignment horizontal="center"/>
    </xf>
    <xf numFmtId="171" fontId="46" fillId="0" borderId="20" xfId="0" applyNumberFormat="1" applyFont="1" applyBorder="1" applyAlignment="1">
      <alignment horizontal="center"/>
    </xf>
    <xf numFmtId="171" fontId="27" fillId="0" borderId="20" xfId="238" applyNumberFormat="1" applyFont="1" applyBorder="1" applyAlignment="1">
      <alignment horizontal="center" vertical="center"/>
    </xf>
    <xf numFmtId="0" fontId="46" fillId="0" borderId="30" xfId="2459" applyFont="1" applyBorder="1" applyAlignment="1">
      <alignment horizontal="center"/>
    </xf>
    <xf numFmtId="180" fontId="46" fillId="0" borderId="30" xfId="0" applyNumberFormat="1" applyFont="1" applyBorder="1" applyAlignment="1">
      <alignment horizontal="center"/>
    </xf>
    <xf numFmtId="0" fontId="46" fillId="0" borderId="17" xfId="2459" applyFont="1" applyBorder="1" applyAlignment="1">
      <alignment horizontal="center"/>
    </xf>
    <xf numFmtId="180" fontId="46" fillId="0" borderId="17" xfId="0" applyNumberFormat="1" applyFont="1" applyBorder="1" applyAlignment="1">
      <alignment horizontal="center"/>
    </xf>
    <xf numFmtId="0" fontId="46" fillId="0" borderId="20" xfId="2459" applyFont="1" applyBorder="1" applyAlignment="1">
      <alignment horizontal="center"/>
    </xf>
    <xf numFmtId="180" fontId="46" fillId="0" borderId="20" xfId="0" applyNumberFormat="1" applyFont="1" applyBorder="1" applyAlignment="1">
      <alignment horizontal="center"/>
    </xf>
    <xf numFmtId="171" fontId="27" fillId="0" borderId="30" xfId="818" applyNumberFormat="1" applyFont="1" applyBorder="1" applyAlignment="1">
      <alignment horizontal="center" vertical="center"/>
    </xf>
    <xf numFmtId="0" fontId="46" fillId="0" borderId="167" xfId="0" applyFont="1" applyBorder="1" applyAlignment="1">
      <alignment horizontal="center" vertical="center" wrapText="1"/>
    </xf>
    <xf numFmtId="0" fontId="27" fillId="0" borderId="241" xfId="239" applyFont="1" applyBorder="1" applyAlignment="1">
      <alignment horizontal="left" vertical="center" wrapText="1"/>
    </xf>
    <xf numFmtId="0" fontId="27" fillId="0" borderId="241" xfId="239" applyFont="1" applyBorder="1" applyAlignment="1">
      <alignment horizontal="center" vertical="center" wrapText="1"/>
    </xf>
    <xf numFmtId="1" fontId="27" fillId="0" borderId="241" xfId="239" applyNumberFormat="1" applyFont="1" applyBorder="1" applyAlignment="1">
      <alignment horizontal="center" vertical="center"/>
    </xf>
    <xf numFmtId="180" fontId="46" fillId="0" borderId="241" xfId="0" applyNumberFormat="1" applyFont="1" applyBorder="1" applyAlignment="1">
      <alignment horizontal="center" vertical="center"/>
    </xf>
    <xf numFmtId="171" fontId="46" fillId="0" borderId="241" xfId="0" applyNumberFormat="1" applyFont="1" applyBorder="1" applyAlignment="1">
      <alignment horizontal="center" vertical="center"/>
    </xf>
    <xf numFmtId="0" fontId="27" fillId="0" borderId="167" xfId="239" applyFont="1" applyBorder="1" applyAlignment="1">
      <alignment horizontal="center" vertical="center" wrapText="1"/>
    </xf>
    <xf numFmtId="180" fontId="152" fillId="20" borderId="167" xfId="0" applyNumberFormat="1" applyFont="1" applyFill="1" applyBorder="1" applyAlignment="1">
      <alignment horizontal="center" vertical="center"/>
    </xf>
    <xf numFmtId="10" fontId="295" fillId="20" borderId="167" xfId="0" applyNumberFormat="1" applyFont="1" applyFill="1" applyBorder="1" applyAlignment="1">
      <alignment horizontal="center" vertical="center"/>
    </xf>
    <xf numFmtId="10" fontId="295" fillId="20" borderId="166" xfId="0" applyNumberFormat="1" applyFont="1" applyFill="1" applyBorder="1" applyAlignment="1">
      <alignment horizontal="center" vertical="center"/>
    </xf>
    <xf numFmtId="10" fontId="152" fillId="20" borderId="167" xfId="0" applyNumberFormat="1" applyFont="1" applyFill="1" applyBorder="1" applyAlignment="1">
      <alignment horizontal="center"/>
    </xf>
    <xf numFmtId="2" fontId="46" fillId="0" borderId="79" xfId="816" applyNumberFormat="1" applyFont="1" applyBorder="1" applyAlignment="1">
      <alignment horizontal="center"/>
    </xf>
    <xf numFmtId="2" fontId="46" fillId="0" borderId="79" xfId="0" applyNumberFormat="1" applyFont="1" applyBorder="1" applyAlignment="1">
      <alignment horizontal="center" vertical="center"/>
    </xf>
    <xf numFmtId="2" fontId="46" fillId="0" borderId="17" xfId="816" applyNumberFormat="1" applyFont="1" applyBorder="1" applyAlignment="1">
      <alignment horizontal="center"/>
    </xf>
    <xf numFmtId="2" fontId="46" fillId="0" borderId="17" xfId="0" applyNumberFormat="1" applyFont="1" applyBorder="1" applyAlignment="1">
      <alignment horizontal="center" vertical="center"/>
    </xf>
    <xf numFmtId="2" fontId="46" fillId="0" borderId="20" xfId="816" applyNumberFormat="1" applyFont="1" applyBorder="1" applyAlignment="1">
      <alignment horizontal="center"/>
    </xf>
    <xf numFmtId="2" fontId="46" fillId="0" borderId="20" xfId="0" applyNumberFormat="1" applyFont="1" applyBorder="1" applyAlignment="1">
      <alignment horizontal="center" vertical="center"/>
    </xf>
    <xf numFmtId="2" fontId="46" fillId="0" borderId="30" xfId="816" applyNumberFormat="1" applyFont="1" applyBorder="1" applyAlignment="1">
      <alignment horizontal="center"/>
    </xf>
    <xf numFmtId="2" fontId="46" fillId="0" borderId="30" xfId="0" applyNumberFormat="1" applyFont="1" applyBorder="1" applyAlignment="1">
      <alignment horizontal="center" vertical="center"/>
    </xf>
    <xf numFmtId="2" fontId="27" fillId="0" borderId="17" xfId="818" applyNumberFormat="1" applyFont="1" applyBorder="1" applyAlignment="1">
      <alignment horizontal="center" vertical="center"/>
    </xf>
    <xf numFmtId="2" fontId="27" fillId="0" borderId="20" xfId="818" applyNumberFormat="1" applyFont="1" applyBorder="1" applyAlignment="1">
      <alignment horizontal="center" vertical="center"/>
    </xf>
    <xf numFmtId="2" fontId="27" fillId="0" borderId="30" xfId="818" applyNumberFormat="1" applyFont="1" applyBorder="1" applyAlignment="1">
      <alignment horizontal="center" vertical="center"/>
    </xf>
    <xf numFmtId="0" fontId="46" fillId="0" borderId="79" xfId="0" applyFont="1" applyBorder="1" applyAlignment="1">
      <alignment vertical="center"/>
    </xf>
    <xf numFmtId="0" fontId="46" fillId="0" borderId="79" xfId="0" applyFont="1" applyBorder="1" applyAlignment="1">
      <alignment horizontal="center" vertical="center"/>
    </xf>
    <xf numFmtId="2" fontId="27" fillId="0" borderId="79" xfId="818" applyNumberFormat="1" applyFont="1" applyBorder="1" applyAlignment="1">
      <alignment horizontal="center" vertical="center"/>
    </xf>
    <xf numFmtId="0" fontId="46" fillId="0" borderId="17" xfId="0" applyFont="1" applyBorder="1" applyAlignment="1">
      <alignment vertical="center"/>
    </xf>
    <xf numFmtId="0" fontId="46" fillId="0" borderId="17" xfId="0" applyFont="1" applyBorder="1" applyAlignment="1">
      <alignment horizontal="center" vertical="center"/>
    </xf>
    <xf numFmtId="0" fontId="46" fillId="0" borderId="20" xfId="0" applyFont="1" applyBorder="1" applyAlignment="1">
      <alignment vertical="center"/>
    </xf>
    <xf numFmtId="0" fontId="46" fillId="0" borderId="20" xfId="0" applyFont="1" applyBorder="1" applyAlignment="1">
      <alignment horizontal="center" vertical="center"/>
    </xf>
    <xf numFmtId="2" fontId="152" fillId="20" borderId="167" xfId="0" applyNumberFormat="1" applyFont="1" applyFill="1" applyBorder="1" applyAlignment="1">
      <alignment horizontal="center" vertical="center"/>
    </xf>
    <xf numFmtId="0" fontId="152" fillId="20" borderId="127" xfId="0" applyFont="1" applyFill="1" applyBorder="1" applyAlignment="1">
      <alignment horizontal="center" vertical="center"/>
    </xf>
    <xf numFmtId="0" fontId="152" fillId="20" borderId="127" xfId="0" applyFont="1" applyFill="1" applyBorder="1" applyAlignment="1">
      <alignment horizontal="center" vertical="center" wrapText="1"/>
    </xf>
    <xf numFmtId="0" fontId="57" fillId="20" borderId="127" xfId="452" applyFont="1" applyFill="1" applyBorder="1" applyAlignment="1">
      <alignment horizontal="center" vertical="center" wrapText="1"/>
    </xf>
    <xf numFmtId="0" fontId="27" fillId="0" borderId="79" xfId="818" applyFont="1" applyBorder="1" applyAlignment="1">
      <alignment horizontal="left" vertical="center" wrapText="1"/>
    </xf>
    <xf numFmtId="0" fontId="27" fillId="0" borderId="17" xfId="818" applyFont="1" applyBorder="1" applyAlignment="1">
      <alignment horizontal="left" vertical="center" wrapText="1"/>
    </xf>
    <xf numFmtId="0" fontId="27" fillId="0" borderId="20" xfId="818" applyFont="1" applyBorder="1" applyAlignment="1">
      <alignment horizontal="left" vertical="center" wrapText="1"/>
    </xf>
    <xf numFmtId="0" fontId="27" fillId="0" borderId="30" xfId="818" applyFont="1" applyBorder="1" applyAlignment="1">
      <alignment horizontal="left" vertical="center" wrapText="1"/>
    </xf>
    <xf numFmtId="2" fontId="152" fillId="43" borderId="127" xfId="0" applyNumberFormat="1" applyFont="1" applyFill="1" applyBorder="1" applyAlignment="1">
      <alignment horizontal="center" vertical="center"/>
    </xf>
    <xf numFmtId="2" fontId="152" fillId="20" borderId="127" xfId="0" applyNumberFormat="1" applyFont="1" applyFill="1" applyBorder="1" applyAlignment="1">
      <alignment horizontal="center" vertical="center"/>
    </xf>
    <xf numFmtId="2" fontId="152" fillId="20" borderId="127" xfId="0" applyNumberFormat="1" applyFont="1" applyFill="1" applyBorder="1" applyAlignment="1">
      <alignment horizontal="center"/>
    </xf>
    <xf numFmtId="0" fontId="57" fillId="20" borderId="167" xfId="238" applyFont="1" applyFill="1" applyBorder="1" applyAlignment="1">
      <alignment horizontal="center"/>
    </xf>
    <xf numFmtId="0" fontId="152" fillId="20" borderId="167" xfId="0" applyFont="1" applyFill="1" applyBorder="1" applyAlignment="1">
      <alignment horizontal="center"/>
    </xf>
    <xf numFmtId="0" fontId="27" fillId="0" borderId="280" xfId="238" applyFont="1" applyBorder="1" applyAlignment="1">
      <alignment horizontal="left" vertical="top"/>
    </xf>
    <xf numFmtId="0" fontId="27" fillId="0" borderId="280" xfId="238" applyFont="1" applyBorder="1" applyAlignment="1">
      <alignment horizontal="center" vertical="top"/>
    </xf>
    <xf numFmtId="182" fontId="27" fillId="0" borderId="79" xfId="238" applyNumberFormat="1" applyFont="1" applyBorder="1" applyAlignment="1">
      <alignment horizontal="center" vertical="center"/>
    </xf>
    <xf numFmtId="171" fontId="27" fillId="0" borderId="79" xfId="238" applyNumberFormat="1" applyFont="1" applyBorder="1" applyAlignment="1">
      <alignment horizontal="center" vertical="center"/>
    </xf>
    <xf numFmtId="191" fontId="27" fillId="0" borderId="79" xfId="238" applyNumberFormat="1" applyFont="1" applyBorder="1" applyAlignment="1">
      <alignment horizontal="center" vertical="center"/>
    </xf>
    <xf numFmtId="9" fontId="27" fillId="0" borderId="79" xfId="430" applyNumberFormat="1" applyFont="1" applyBorder="1" applyAlignment="1">
      <alignment horizontal="center" vertical="center"/>
    </xf>
    <xf numFmtId="191" fontId="27" fillId="0" borderId="79" xfId="430" applyNumberFormat="1" applyFont="1" applyBorder="1" applyAlignment="1">
      <alignment horizontal="center" vertical="center"/>
    </xf>
    <xf numFmtId="0" fontId="27" fillId="0" borderId="18" xfId="238" applyFont="1" applyBorder="1" applyAlignment="1">
      <alignment horizontal="left" vertical="top"/>
    </xf>
    <xf numFmtId="0" fontId="27" fillId="0" borderId="18" xfId="238" applyFont="1" applyBorder="1" applyAlignment="1">
      <alignment horizontal="center" vertical="top"/>
    </xf>
    <xf numFmtId="182" fontId="27" fillId="0" borderId="17" xfId="238" applyNumberFormat="1" applyFont="1" applyBorder="1" applyAlignment="1">
      <alignment horizontal="center" vertical="center"/>
    </xf>
    <xf numFmtId="191" fontId="27" fillId="0" borderId="17" xfId="238" applyNumberFormat="1" applyFont="1" applyBorder="1" applyAlignment="1">
      <alignment horizontal="center" vertical="center"/>
    </xf>
    <xf numFmtId="191" fontId="27" fillId="0" borderId="17" xfId="430" applyNumberFormat="1" applyFont="1" applyBorder="1" applyAlignment="1">
      <alignment horizontal="center" vertical="center"/>
    </xf>
    <xf numFmtId="9" fontId="27" fillId="0" borderId="17" xfId="430" applyNumberFormat="1" applyFont="1" applyBorder="1" applyAlignment="1">
      <alignment horizontal="center" vertical="center"/>
    </xf>
    <xf numFmtId="0" fontId="27" fillId="0" borderId="24" xfId="238" applyFont="1" applyBorder="1" applyAlignment="1">
      <alignment horizontal="left" vertical="top"/>
    </xf>
    <xf numFmtId="0" fontId="27" fillId="0" borderId="24" xfId="238" applyFont="1" applyBorder="1" applyAlignment="1">
      <alignment horizontal="center" vertical="top"/>
    </xf>
    <xf numFmtId="182" fontId="27" fillId="0" borderId="31" xfId="238" applyNumberFormat="1" applyFont="1" applyBorder="1" applyAlignment="1">
      <alignment horizontal="center" vertical="center"/>
    </xf>
    <xf numFmtId="171" fontId="27" fillId="0" borderId="31" xfId="238" applyNumberFormat="1" applyFont="1" applyBorder="1" applyAlignment="1">
      <alignment horizontal="center" vertical="center"/>
    </xf>
    <xf numFmtId="191" fontId="27" fillId="0" borderId="31" xfId="238" applyNumberFormat="1" applyFont="1" applyBorder="1" applyAlignment="1">
      <alignment horizontal="center" vertical="center"/>
    </xf>
    <xf numFmtId="9" fontId="27" fillId="0" borderId="31" xfId="238" applyNumberFormat="1" applyFont="1" applyBorder="1" applyAlignment="1">
      <alignment horizontal="center" vertical="center"/>
    </xf>
    <xf numFmtId="9" fontId="27" fillId="0" borderId="31" xfId="430" applyNumberFormat="1" applyFont="1" applyBorder="1" applyAlignment="1">
      <alignment horizontal="center" vertical="center"/>
    </xf>
    <xf numFmtId="191" fontId="27" fillId="0" borderId="31" xfId="430" applyNumberFormat="1" applyFont="1" applyBorder="1" applyAlignment="1">
      <alignment horizontal="center" vertical="center"/>
    </xf>
    <xf numFmtId="168" fontId="27" fillId="0" borderId="17" xfId="430" applyNumberFormat="1" applyFont="1" applyBorder="1" applyAlignment="1">
      <alignment horizontal="center" vertical="center"/>
    </xf>
    <xf numFmtId="9" fontId="27" fillId="0" borderId="17" xfId="238" applyNumberFormat="1" applyFont="1" applyBorder="1" applyAlignment="1">
      <alignment horizontal="center" vertical="center"/>
    </xf>
    <xf numFmtId="0" fontId="27" fillId="0" borderId="281" xfId="238" applyFont="1" applyBorder="1" applyAlignment="1">
      <alignment horizontal="left" vertical="top"/>
    </xf>
    <xf numFmtId="0" fontId="27" fillId="0" borderId="281" xfId="238" applyFont="1" applyBorder="1" applyAlignment="1">
      <alignment horizontal="center" vertical="top"/>
    </xf>
    <xf numFmtId="182" fontId="27" fillId="0" borderId="20" xfId="238" applyNumberFormat="1" applyFont="1" applyBorder="1" applyAlignment="1">
      <alignment horizontal="center" vertical="center"/>
    </xf>
    <xf numFmtId="191" fontId="27" fillId="0" borderId="20" xfId="238" applyNumberFormat="1" applyFont="1" applyBorder="1" applyAlignment="1">
      <alignment horizontal="center" vertical="center"/>
    </xf>
    <xf numFmtId="9" fontId="27" fillId="0" borderId="20" xfId="430" applyNumberFormat="1" applyFont="1" applyBorder="1" applyAlignment="1">
      <alignment horizontal="center" vertical="center"/>
    </xf>
    <xf numFmtId="191" fontId="27" fillId="0" borderId="20" xfId="430" applyNumberFormat="1" applyFont="1" applyBorder="1" applyAlignment="1">
      <alignment horizontal="center" vertical="center"/>
    </xf>
    <xf numFmtId="0" fontId="27" fillId="0" borderId="27" xfId="238" applyFont="1" applyBorder="1" applyAlignment="1">
      <alignment horizontal="left" vertical="top"/>
    </xf>
    <xf numFmtId="0" fontId="27" fillId="0" borderId="27" xfId="238" applyFont="1" applyBorder="1" applyAlignment="1">
      <alignment horizontal="center" vertical="top"/>
    </xf>
    <xf numFmtId="182" fontId="27" fillId="0" borderId="30" xfId="238" applyNumberFormat="1" applyFont="1" applyBorder="1" applyAlignment="1">
      <alignment horizontal="center" vertical="center"/>
    </xf>
    <xf numFmtId="191" fontId="27" fillId="0" borderId="30" xfId="238" applyNumberFormat="1" applyFont="1" applyBorder="1" applyAlignment="1">
      <alignment horizontal="center" vertical="center"/>
    </xf>
    <xf numFmtId="9" fontId="27" fillId="0" borderId="30" xfId="430" applyNumberFormat="1" applyFont="1" applyBorder="1" applyAlignment="1">
      <alignment horizontal="center" vertical="center"/>
    </xf>
    <xf numFmtId="191" fontId="27" fillId="0" borderId="30" xfId="430" applyNumberFormat="1" applyFont="1" applyBorder="1" applyAlignment="1">
      <alignment horizontal="center" vertical="center"/>
    </xf>
    <xf numFmtId="168" fontId="27" fillId="0" borderId="17" xfId="238" applyNumberFormat="1" applyFont="1" applyBorder="1" applyAlignment="1">
      <alignment horizontal="center" vertical="center"/>
    </xf>
    <xf numFmtId="9" fontId="27" fillId="0" borderId="20" xfId="238" applyNumberFormat="1" applyFont="1" applyBorder="1" applyAlignment="1">
      <alignment horizontal="center" vertical="center"/>
    </xf>
    <xf numFmtId="0" fontId="27" fillId="0" borderId="30" xfId="238" applyFont="1" applyBorder="1" applyAlignment="1">
      <alignment horizontal="center" vertical="center"/>
    </xf>
    <xf numFmtId="192" fontId="27" fillId="0" borderId="17" xfId="430" applyNumberFormat="1" applyFont="1" applyBorder="1" applyAlignment="1">
      <alignment horizontal="center" vertical="center"/>
    </xf>
    <xf numFmtId="168" fontId="27" fillId="0" borderId="20" xfId="430" applyNumberFormat="1" applyFont="1" applyBorder="1" applyAlignment="1">
      <alignment horizontal="center" vertical="center"/>
    </xf>
    <xf numFmtId="0" fontId="27" fillId="0" borderId="31" xfId="238" applyFont="1" applyBorder="1" applyAlignment="1">
      <alignment horizontal="center" vertical="center"/>
    </xf>
    <xf numFmtId="0" fontId="27" fillId="0" borderId="79" xfId="238" applyFont="1" applyBorder="1" applyAlignment="1">
      <alignment horizontal="center" vertical="center"/>
    </xf>
    <xf numFmtId="0" fontId="27" fillId="0" borderId="20" xfId="238" applyFont="1" applyBorder="1" applyAlignment="1">
      <alignment horizontal="center" vertical="center"/>
    </xf>
    <xf numFmtId="0" fontId="67" fillId="0" borderId="0" xfId="822" applyFont="1" applyAlignment="1">
      <alignment horizontal="center"/>
    </xf>
    <xf numFmtId="0" fontId="152" fillId="20" borderId="166" xfId="822" applyFont="1" applyFill="1" applyBorder="1" applyAlignment="1">
      <alignment horizontal="right"/>
    </xf>
    <xf numFmtId="0" fontId="152" fillId="20" borderId="180" xfId="822" applyFont="1" applyFill="1" applyBorder="1" applyAlignment="1">
      <alignment horizontal="right"/>
    </xf>
    <xf numFmtId="0" fontId="152" fillId="20" borderId="166" xfId="822" applyFont="1" applyFill="1" applyBorder="1" applyAlignment="1">
      <alignment horizontal="center"/>
    </xf>
    <xf numFmtId="182" fontId="152" fillId="20" borderId="167" xfId="822" applyNumberFormat="1" applyFont="1" applyFill="1" applyBorder="1" applyAlignment="1">
      <alignment horizontal="center"/>
    </xf>
    <xf numFmtId="171" fontId="57" fillId="20" borderId="167" xfId="238" applyNumberFormat="1" applyFont="1" applyFill="1" applyBorder="1" applyAlignment="1">
      <alignment horizontal="center" vertical="center"/>
    </xf>
    <xf numFmtId="168" fontId="152" fillId="20" borderId="167" xfId="822" applyNumberFormat="1" applyFont="1" applyFill="1" applyBorder="1" applyAlignment="1">
      <alignment horizontal="center"/>
    </xf>
    <xf numFmtId="0" fontId="152" fillId="0" borderId="0" xfId="822" applyFont="1" applyAlignment="1">
      <alignment horizontal="left"/>
    </xf>
    <xf numFmtId="0" fontId="40" fillId="0" borderId="0" xfId="0" applyFont="1" applyAlignment="1">
      <alignment horizontal="left" vertical="center" wrapText="1"/>
    </xf>
    <xf numFmtId="0" fontId="0" fillId="0" borderId="0" xfId="0"/>
    <xf numFmtId="0" fontId="55" fillId="0" borderId="25" xfId="821" applyFont="1" applyFill="1" applyBorder="1" applyAlignment="1">
      <alignment horizontal="left"/>
    </xf>
    <xf numFmtId="168" fontId="55" fillId="0" borderId="31" xfId="176" applyNumberFormat="1" applyFont="1" applyFill="1" applyBorder="1" applyAlignment="1">
      <alignment horizontal="center" vertical="center"/>
    </xf>
    <xf numFmtId="168" fontId="55" fillId="0" borderId="24" xfId="176" applyNumberFormat="1" applyFont="1" applyFill="1" applyBorder="1" applyAlignment="1">
      <alignment horizontal="center" vertical="center"/>
    </xf>
    <xf numFmtId="0" fontId="40" fillId="0" borderId="16" xfId="0" applyFont="1" applyBorder="1"/>
    <xf numFmtId="0" fontId="40" fillId="0" borderId="16" xfId="0" applyFont="1" applyBorder="1" applyAlignment="1">
      <alignment horizontal="center"/>
    </xf>
    <xf numFmtId="0" fontId="40" fillId="0" borderId="0" xfId="0" applyFont="1" applyAlignment="1">
      <alignment horizontal="center"/>
    </xf>
    <xf numFmtId="0" fontId="0" fillId="0" borderId="16" xfId="0" applyBorder="1"/>
    <xf numFmtId="0" fontId="97" fillId="0" borderId="311" xfId="0" applyFont="1" applyBorder="1"/>
    <xf numFmtId="0" fontId="40" fillId="0" borderId="311" xfId="0" applyFont="1" applyBorder="1"/>
    <xf numFmtId="0" fontId="40" fillId="0" borderId="311" xfId="0" applyFont="1" applyBorder="1" applyAlignment="1">
      <alignment horizontal="center"/>
    </xf>
    <xf numFmtId="171" fontId="97" fillId="0" borderId="0" xfId="0" applyNumberFormat="1" applyFont="1" applyBorder="1" applyAlignment="1">
      <alignment horizontal="center" vertical="center"/>
    </xf>
    <xf numFmtId="171" fontId="97" fillId="0" borderId="311" xfId="0" applyNumberFormat="1" applyFont="1" applyBorder="1" applyAlignment="1">
      <alignment horizontal="center" vertical="center"/>
    </xf>
    <xf numFmtId="0" fontId="184" fillId="0" borderId="190" xfId="211" applyFont="1" applyFill="1" applyBorder="1" applyAlignment="1">
      <alignment horizontal="center" vertical="center" wrapText="1"/>
    </xf>
    <xf numFmtId="1" fontId="61" fillId="0" borderId="0" xfId="211" applyNumberFormat="1" applyFont="1" applyAlignment="1">
      <alignment horizontal="center" vertical="center"/>
    </xf>
    <xf numFmtId="0" fontId="97" fillId="0" borderId="311" xfId="0" applyFont="1" applyBorder="1" applyAlignment="1">
      <alignment vertical="center"/>
    </xf>
    <xf numFmtId="0" fontId="97" fillId="0" borderId="311" xfId="0" applyFont="1" applyBorder="1" applyAlignment="1">
      <alignment horizontal="center" vertical="center"/>
    </xf>
    <xf numFmtId="1" fontId="61" fillId="0" borderId="155" xfId="211" applyNumberFormat="1" applyFont="1" applyBorder="1" applyAlignment="1">
      <alignment horizontal="center" vertical="center"/>
    </xf>
    <xf numFmtId="1" fontId="61" fillId="0" borderId="0" xfId="211" applyNumberFormat="1" applyFont="1" applyBorder="1" applyAlignment="1">
      <alignment horizontal="center" vertical="center"/>
    </xf>
    <xf numFmtId="1" fontId="89" fillId="0" borderId="0" xfId="211" applyNumberFormat="1" applyFont="1" applyBorder="1" applyAlignment="1">
      <alignment horizontal="center" vertical="center"/>
    </xf>
    <xf numFmtId="1" fontId="89" fillId="0" borderId="311" xfId="211" applyNumberFormat="1" applyFont="1" applyBorder="1" applyAlignment="1">
      <alignment horizontal="center" vertical="center"/>
    </xf>
    <xf numFmtId="0" fontId="97" fillId="0" borderId="0" xfId="0" applyFont="1" applyBorder="1" applyAlignment="1">
      <alignment vertical="center"/>
    </xf>
    <xf numFmtId="0" fontId="97" fillId="0" borderId="0" xfId="0" applyFont="1" applyBorder="1" applyAlignment="1">
      <alignment horizontal="center" vertical="center"/>
    </xf>
    <xf numFmtId="1" fontId="61" fillId="0" borderId="226" xfId="211" applyNumberFormat="1" applyFont="1" applyBorder="1" applyAlignment="1">
      <alignment horizontal="center" vertical="center"/>
    </xf>
    <xf numFmtId="1" fontId="61" fillId="0" borderId="106" xfId="211" applyNumberFormat="1" applyFont="1" applyBorder="1" applyAlignment="1">
      <alignment horizontal="center" vertical="center"/>
    </xf>
    <xf numFmtId="1" fontId="89" fillId="0" borderId="16" xfId="211" applyNumberFormat="1" applyFont="1" applyBorder="1" applyAlignment="1">
      <alignment horizontal="center" vertical="center"/>
    </xf>
    <xf numFmtId="0" fontId="184" fillId="0" borderId="16" xfId="211" applyFont="1" applyFill="1" applyBorder="1" applyAlignment="1">
      <alignment horizontal="center" vertical="center" wrapText="1"/>
    </xf>
    <xf numFmtId="0" fontId="51" fillId="30" borderId="0" xfId="0" applyFont="1" applyFill="1" applyAlignment="1">
      <alignment vertical="center"/>
    </xf>
    <xf numFmtId="0" fontId="40" fillId="21" borderId="16" xfId="0" applyFont="1" applyFill="1" applyBorder="1" applyAlignment="1">
      <alignment horizontal="center"/>
    </xf>
    <xf numFmtId="0" fontId="0" fillId="21" borderId="0" xfId="0" applyFill="1" applyAlignment="1">
      <alignment horizontal="center"/>
    </xf>
    <xf numFmtId="0" fontId="40" fillId="21" borderId="0" xfId="0" applyFont="1" applyFill="1" applyAlignment="1">
      <alignment horizontal="center"/>
    </xf>
    <xf numFmtId="0" fontId="0" fillId="0" borderId="311" xfId="0" applyBorder="1"/>
    <xf numFmtId="0" fontId="40" fillId="21" borderId="311" xfId="0" applyFont="1" applyFill="1" applyBorder="1" applyAlignment="1">
      <alignment horizontal="center"/>
    </xf>
    <xf numFmtId="10" fontId="40" fillId="0" borderId="311" xfId="176" applyNumberFormat="1" applyFont="1" applyBorder="1" applyAlignment="1">
      <alignment horizontal="center"/>
    </xf>
    <xf numFmtId="0" fontId="0" fillId="0" borderId="0" xfId="0" applyFill="1" applyAlignment="1">
      <alignment horizontal="center"/>
    </xf>
    <xf numFmtId="0" fontId="40" fillId="0" borderId="0" xfId="0" applyFont="1" applyFill="1" applyAlignment="1">
      <alignment horizontal="center"/>
    </xf>
    <xf numFmtId="0" fontId="55" fillId="0" borderId="22" xfId="452" applyFont="1" applyBorder="1" applyAlignment="1">
      <alignment horizontal="left" vertical="center"/>
    </xf>
    <xf numFmtId="10" fontId="42" fillId="0" borderId="278" xfId="2647" applyNumberFormat="1" applyFont="1" applyFill="1" applyBorder="1" applyAlignment="1">
      <alignment horizontal="center" vertical="center" wrapText="1"/>
    </xf>
    <xf numFmtId="168" fontId="40" fillId="20" borderId="326" xfId="3383" applyNumberFormat="1" applyFont="1" applyFill="1" applyBorder="1" applyAlignment="1">
      <alignment vertical="center"/>
    </xf>
    <xf numFmtId="0" fontId="42" fillId="0" borderId="0" xfId="0" applyFont="1" applyFill="1" applyBorder="1" applyAlignment="1">
      <alignment vertical="center" wrapText="1"/>
    </xf>
    <xf numFmtId="0" fontId="240" fillId="0" borderId="0" xfId="0" applyFont="1" applyFill="1" applyBorder="1" applyAlignment="1">
      <alignment horizontal="center"/>
    </xf>
    <xf numFmtId="0" fontId="40" fillId="0" borderId="16" xfId="0" applyFont="1" applyFill="1" applyBorder="1" applyAlignment="1">
      <alignment horizontal="center"/>
    </xf>
    <xf numFmtId="0" fontId="0" fillId="0" borderId="216" xfId="0" applyFont="1" applyFill="1" applyBorder="1"/>
    <xf numFmtId="3" fontId="0" fillId="0" borderId="216" xfId="0" applyNumberFormat="1" applyFont="1" applyFill="1" applyBorder="1"/>
    <xf numFmtId="2" fontId="0" fillId="0" borderId="216" xfId="0" applyNumberFormat="1" applyFont="1" applyFill="1" applyBorder="1"/>
    <xf numFmtId="0" fontId="0" fillId="0" borderId="22" xfId="0" applyFont="1" applyFill="1" applyBorder="1"/>
    <xf numFmtId="3" fontId="0" fillId="0" borderId="22" xfId="0" applyNumberFormat="1" applyFont="1" applyFill="1" applyBorder="1"/>
    <xf numFmtId="2" fontId="0" fillId="0" borderId="22" xfId="0" applyNumberFormat="1" applyFont="1" applyFill="1" applyBorder="1"/>
    <xf numFmtId="0" fontId="0" fillId="0" borderId="25" xfId="0" applyFont="1" applyFill="1" applyBorder="1"/>
    <xf numFmtId="3" fontId="0" fillId="0" borderId="25" xfId="0" applyNumberFormat="1" applyFont="1" applyFill="1" applyBorder="1"/>
    <xf numFmtId="2" fontId="0" fillId="0" borderId="25" xfId="0" applyNumberFormat="1" applyFont="1" applyFill="1" applyBorder="1"/>
    <xf numFmtId="0" fontId="40" fillId="20" borderId="245" xfId="0" applyFont="1" applyFill="1" applyBorder="1" applyAlignment="1">
      <alignment horizontal="center"/>
    </xf>
    <xf numFmtId="3" fontId="40" fillId="20" borderId="245" xfId="0" applyNumberFormat="1" applyFont="1" applyFill="1" applyBorder="1"/>
    <xf numFmtId="2" fontId="0" fillId="20" borderId="245" xfId="0" applyNumberFormat="1" applyFont="1" applyFill="1" applyBorder="1"/>
    <xf numFmtId="0" fontId="132" fillId="0" borderId="13" xfId="0" applyFont="1" applyBorder="1" applyAlignment="1">
      <alignment vertical="center" wrapText="1"/>
    </xf>
    <xf numFmtId="0" fontId="132" fillId="0" borderId="103" xfId="0" applyFont="1" applyBorder="1" applyAlignment="1">
      <alignment vertical="center" wrapText="1"/>
    </xf>
    <xf numFmtId="0" fontId="40" fillId="0" borderId="0" xfId="0" applyFont="1" applyAlignment="1">
      <alignment vertical="center" wrapText="1"/>
    </xf>
    <xf numFmtId="0" fontId="89" fillId="0" borderId="0" xfId="0" applyFont="1" applyAlignment="1">
      <alignment vertical="center"/>
    </xf>
    <xf numFmtId="0" fontId="5" fillId="0" borderId="0" xfId="0" applyFont="1" applyAlignment="1">
      <alignment vertical="center"/>
    </xf>
    <xf numFmtId="0" fontId="97" fillId="0" borderId="245" xfId="0" applyFont="1" applyBorder="1" applyAlignment="1">
      <alignment horizontal="center"/>
    </xf>
    <xf numFmtId="0" fontId="51" fillId="0" borderId="245" xfId="0" applyFont="1" applyBorder="1"/>
    <xf numFmtId="0" fontId="97" fillId="0" borderId="245" xfId="0" applyFont="1" applyBorder="1"/>
    <xf numFmtId="0" fontId="51" fillId="0" borderId="245" xfId="0" applyFont="1" applyBorder="1" applyAlignment="1">
      <alignment horizontal="center" vertical="center"/>
    </xf>
    <xf numFmtId="0" fontId="51" fillId="0" borderId="0" xfId="0" applyFont="1" applyBorder="1" applyAlignment="1">
      <alignment horizontal="center" vertical="center"/>
    </xf>
    <xf numFmtId="0" fontId="97" fillId="0" borderId="245" xfId="0" applyFont="1" applyBorder="1" applyAlignment="1">
      <alignment horizontal="center" vertical="center"/>
    </xf>
    <xf numFmtId="0" fontId="114" fillId="0" borderId="16" xfId="229" applyFont="1" applyFill="1" applyBorder="1" applyAlignment="1">
      <alignment horizontal="center" vertical="center"/>
    </xf>
    <xf numFmtId="0" fontId="43" fillId="0" borderId="16" xfId="229" applyFont="1" applyFill="1" applyBorder="1" applyAlignment="1">
      <alignment horizontal="center" vertical="center"/>
    </xf>
    <xf numFmtId="0" fontId="42" fillId="0" borderId="0" xfId="0" applyFont="1" applyBorder="1" applyAlignment="1">
      <alignment horizontal="center" vertical="center"/>
    </xf>
    <xf numFmtId="0" fontId="109" fillId="0" borderId="16" xfId="229" applyFont="1" applyFill="1" applyBorder="1" applyAlignment="1">
      <alignment horizontal="center" vertical="center"/>
    </xf>
    <xf numFmtId="0" fontId="113" fillId="0" borderId="0" xfId="0" applyFont="1" applyBorder="1"/>
    <xf numFmtId="0" fontId="107" fillId="0" borderId="16" xfId="229" applyFont="1" applyFill="1" applyBorder="1" applyAlignment="1">
      <alignment horizontal="center" vertical="center"/>
    </xf>
    <xf numFmtId="0" fontId="108" fillId="0" borderId="0" xfId="0" applyFont="1" applyBorder="1"/>
    <xf numFmtId="0" fontId="108" fillId="0" borderId="0" xfId="0" applyFont="1" applyBorder="1" applyAlignment="1">
      <alignment horizontal="center" vertical="center"/>
    </xf>
    <xf numFmtId="0" fontId="106" fillId="0" borderId="16" xfId="229" applyFont="1" applyFill="1" applyBorder="1" applyAlignment="1">
      <alignment horizontal="center" vertical="center"/>
    </xf>
    <xf numFmtId="0" fontId="110" fillId="0" borderId="0" xfId="0" applyFont="1" applyBorder="1"/>
    <xf numFmtId="0" fontId="110" fillId="0" borderId="0" xfId="0" applyFont="1" applyBorder="1" applyAlignment="1">
      <alignment horizontal="center" vertical="center"/>
    </xf>
    <xf numFmtId="0" fontId="111" fillId="0" borderId="16" xfId="229" applyFont="1" applyFill="1" applyBorder="1" applyAlignment="1">
      <alignment horizontal="center" vertical="center"/>
    </xf>
    <xf numFmtId="0" fontId="112" fillId="0" borderId="0" xfId="0" applyFont="1" applyBorder="1"/>
    <xf numFmtId="0" fontId="112" fillId="0" borderId="0" xfId="0" applyFont="1" applyBorder="1" applyAlignment="1">
      <alignment horizontal="center" vertical="center"/>
    </xf>
    <xf numFmtId="169" fontId="107" fillId="20" borderId="225" xfId="235" applyNumberFormat="1" applyFont="1" applyFill="1" applyBorder="1" applyAlignment="1">
      <alignment horizontal="right" vertical="center" indent="1"/>
    </xf>
    <xf numFmtId="169" fontId="107" fillId="20" borderId="175" xfId="235" applyNumberFormat="1" applyFont="1" applyFill="1" applyBorder="1" applyAlignment="1">
      <alignment horizontal="right" vertical="center" indent="1"/>
    </xf>
    <xf numFmtId="169" fontId="107" fillId="20" borderId="227" xfId="235" applyNumberFormat="1" applyFont="1" applyFill="1" applyBorder="1" applyAlignment="1">
      <alignment horizontal="right" vertical="center" indent="1"/>
    </xf>
    <xf numFmtId="0" fontId="205" fillId="0" borderId="0" xfId="0" applyFont="1" applyAlignment="1">
      <alignment vertical="center"/>
    </xf>
    <xf numFmtId="0" fontId="42" fillId="0" borderId="0" xfId="229" applyFont="1" applyBorder="1" applyAlignment="1">
      <alignment horizontal="center" vertical="center"/>
    </xf>
    <xf numFmtId="0" fontId="296" fillId="0" borderId="0" xfId="229" applyFont="1" applyBorder="1" applyAlignment="1">
      <alignment horizontal="left" vertical="center"/>
    </xf>
    <xf numFmtId="0" fontId="297" fillId="0" borderId="0" xfId="229" applyFont="1" applyBorder="1" applyAlignment="1">
      <alignment horizontal="left" vertical="center"/>
    </xf>
    <xf numFmtId="0" fontId="298" fillId="0" borderId="0" xfId="229" applyFont="1" applyBorder="1" applyAlignment="1">
      <alignment horizontal="left" vertical="center"/>
    </xf>
    <xf numFmtId="0" fontId="299" fillId="0" borderId="0" xfId="229" applyFont="1" applyBorder="1" applyAlignment="1">
      <alignment horizontal="left" vertical="center"/>
    </xf>
    <xf numFmtId="0" fontId="0" fillId="0" borderId="0" xfId="0"/>
    <xf numFmtId="168" fontId="0" fillId="0" borderId="22" xfId="176" applyNumberFormat="1" applyFont="1" applyBorder="1" applyAlignment="1">
      <alignment horizontal="center" vertical="center"/>
    </xf>
    <xf numFmtId="168" fontId="0" fillId="0" borderId="23" xfId="176" applyNumberFormat="1" applyFont="1" applyBorder="1" applyAlignment="1">
      <alignment horizontal="center" vertical="center"/>
    </xf>
    <xf numFmtId="0" fontId="40" fillId="0" borderId="16" xfId="0" applyFont="1" applyFill="1" applyBorder="1" applyAlignment="1">
      <alignment horizontal="center" vertical="center" wrapText="1"/>
    </xf>
    <xf numFmtId="0" fontId="0" fillId="0" borderId="16" xfId="0" applyFill="1" applyBorder="1" applyAlignment="1">
      <alignment horizontal="center" vertical="center" wrapText="1"/>
    </xf>
    <xf numFmtId="0" fontId="0" fillId="0" borderId="330" xfId="0" applyBorder="1" applyAlignment="1">
      <alignment vertical="center" wrapText="1"/>
    </xf>
    <xf numFmtId="0" fontId="0" fillId="0" borderId="330" xfId="0" applyBorder="1" applyAlignment="1">
      <alignment horizontal="center" vertical="center" wrapText="1"/>
    </xf>
    <xf numFmtId="1" fontId="0" fillId="0" borderId="330" xfId="0" applyNumberFormat="1" applyBorder="1" applyAlignment="1">
      <alignment horizontal="center" vertical="center" wrapText="1"/>
    </xf>
    <xf numFmtId="0" fontId="0" fillId="0" borderId="331" xfId="0" applyBorder="1" applyAlignment="1">
      <alignment vertical="center" wrapText="1"/>
    </xf>
    <xf numFmtId="0" fontId="0" fillId="0" borderId="331" xfId="0" applyBorder="1" applyAlignment="1">
      <alignment horizontal="center" vertical="center" wrapText="1"/>
    </xf>
    <xf numFmtId="1" fontId="0" fillId="0" borderId="331" xfId="0" applyNumberFormat="1" applyBorder="1" applyAlignment="1">
      <alignment horizontal="center" vertical="center" wrapText="1"/>
    </xf>
    <xf numFmtId="0" fontId="40" fillId="43" borderId="331" xfId="0" applyFont="1" applyFill="1" applyBorder="1" applyAlignment="1">
      <alignment vertical="center" wrapText="1"/>
    </xf>
    <xf numFmtId="0" fontId="40" fillId="43" borderId="331" xfId="0" applyFont="1" applyFill="1" applyBorder="1" applyAlignment="1">
      <alignment horizontal="center" vertical="center" wrapText="1"/>
    </xf>
    <xf numFmtId="1" fontId="40" fillId="43" borderId="331" xfId="0" applyNumberFormat="1" applyFont="1" applyFill="1" applyBorder="1" applyAlignment="1">
      <alignment horizontal="center" vertical="center" wrapText="1"/>
    </xf>
    <xf numFmtId="0" fontId="0" fillId="0" borderId="331" xfId="0" applyBorder="1" applyAlignment="1">
      <alignment wrapText="1"/>
    </xf>
    <xf numFmtId="0" fontId="0" fillId="0" borderId="332" xfId="0" applyBorder="1" applyAlignment="1">
      <alignment vertical="center" wrapText="1"/>
    </xf>
    <xf numFmtId="0" fontId="0" fillId="0" borderId="332" xfId="0" applyBorder="1" applyAlignment="1">
      <alignment horizontal="center" vertical="center" wrapText="1"/>
    </xf>
    <xf numFmtId="1" fontId="0" fillId="0" borderId="332" xfId="0" applyNumberFormat="1" applyBorder="1" applyAlignment="1">
      <alignment horizontal="center" vertical="center" wrapText="1"/>
    </xf>
    <xf numFmtId="0" fontId="0" fillId="0" borderId="331" xfId="0" applyFont="1" applyFill="1" applyBorder="1" applyAlignment="1">
      <alignment vertical="center" wrapText="1"/>
    </xf>
    <xf numFmtId="0" fontId="0" fillId="0" borderId="331" xfId="0" applyFont="1" applyFill="1" applyBorder="1" applyAlignment="1">
      <alignment horizontal="center" vertical="center" wrapText="1"/>
    </xf>
    <xf numFmtId="1" fontId="0" fillId="0" borderId="331" xfId="0" applyNumberFormat="1" applyFont="1" applyFill="1" applyBorder="1" applyAlignment="1">
      <alignment horizontal="center" vertical="center" wrapText="1"/>
    </xf>
    <xf numFmtId="0" fontId="97" fillId="0" borderId="0" xfId="0" applyFont="1" applyAlignment="1">
      <alignment horizontal="center"/>
    </xf>
    <xf numFmtId="0" fontId="75" fillId="0" borderId="0" xfId="0" applyFont="1" applyAlignment="1">
      <alignment horizontal="center"/>
    </xf>
    <xf numFmtId="0" fontId="97" fillId="0" borderId="163" xfId="0" applyFont="1" applyBorder="1" applyAlignment="1">
      <alignment horizontal="center"/>
    </xf>
    <xf numFmtId="0" fontId="0" fillId="0" borderId="0" xfId="0"/>
    <xf numFmtId="0" fontId="51" fillId="59" borderId="16" xfId="0" applyFont="1" applyFill="1" applyBorder="1" applyAlignment="1">
      <alignment horizontal="center" wrapText="1"/>
    </xf>
    <xf numFmtId="0" fontId="51" fillId="0" borderId="0" xfId="0" applyFont="1" applyAlignment="1">
      <alignment horizontal="center" vertical="center" wrapText="1"/>
    </xf>
    <xf numFmtId="168" fontId="51" fillId="0" borderId="0" xfId="176" applyNumberFormat="1" applyFont="1"/>
    <xf numFmtId="0" fontId="51" fillId="0" borderId="311" xfId="0" applyFont="1" applyBorder="1" applyAlignment="1">
      <alignment horizontal="center" vertical="center"/>
    </xf>
    <xf numFmtId="0" fontId="51" fillId="0" borderId="311" xfId="0" applyFont="1" applyBorder="1"/>
    <xf numFmtId="168" fontId="51" fillId="0" borderId="311" xfId="176" applyNumberFormat="1" applyFont="1" applyBorder="1"/>
    <xf numFmtId="0" fontId="122" fillId="0" borderId="0" xfId="0" applyFont="1" applyBorder="1"/>
    <xf numFmtId="0" fontId="122" fillId="0" borderId="16" xfId="0" applyFont="1" applyBorder="1" applyAlignment="1">
      <alignment horizontal="center"/>
    </xf>
    <xf numFmtId="0" fontId="122" fillId="0" borderId="16" xfId="0" applyFont="1" applyBorder="1"/>
    <xf numFmtId="0" fontId="122" fillId="0" borderId="16" xfId="0" applyFont="1" applyBorder="1" applyAlignment="1">
      <alignment horizontal="center" wrapText="1"/>
    </xf>
    <xf numFmtId="0" fontId="122" fillId="59" borderId="16" xfId="0" applyFont="1" applyFill="1" applyBorder="1" applyAlignment="1">
      <alignment horizontal="center" wrapText="1"/>
    </xf>
    <xf numFmtId="10" fontId="67" fillId="0" borderId="0" xfId="176" applyNumberFormat="1" applyFont="1" applyAlignment="1">
      <alignment horizontal="center"/>
    </xf>
    <xf numFmtId="0" fontId="122" fillId="0" borderId="0" xfId="0" applyFont="1" applyAlignment="1">
      <alignment horizontal="center"/>
    </xf>
    <xf numFmtId="10" fontId="122" fillId="0" borderId="0" xfId="176" applyNumberFormat="1" applyFont="1" applyAlignment="1">
      <alignment horizontal="center"/>
    </xf>
    <xf numFmtId="0" fontId="122" fillId="0" borderId="311" xfId="0" applyFont="1" applyBorder="1"/>
    <xf numFmtId="0" fontId="122" fillId="0" borderId="311" xfId="0" applyFont="1" applyBorder="1" applyAlignment="1">
      <alignment horizontal="center"/>
    </xf>
    <xf numFmtId="10" fontId="122" fillId="0" borderId="311" xfId="176" applyNumberFormat="1" applyFont="1" applyBorder="1" applyAlignment="1">
      <alignment horizontal="center"/>
    </xf>
    <xf numFmtId="0" fontId="122" fillId="0" borderId="0" xfId="0" applyFont="1" applyBorder="1" applyAlignment="1">
      <alignment horizontal="center"/>
    </xf>
    <xf numFmtId="10" fontId="122" fillId="0" borderId="0" xfId="176" applyNumberFormat="1" applyFont="1" applyBorder="1" applyAlignment="1">
      <alignment horizontal="center"/>
    </xf>
    <xf numFmtId="0" fontId="300" fillId="0" borderId="0" xfId="0" applyFont="1"/>
    <xf numFmtId="0" fontId="67" fillId="0" borderId="16" xfId="0" applyFont="1" applyBorder="1" applyAlignment="1">
      <alignment horizontal="center"/>
    </xf>
    <xf numFmtId="10" fontId="122" fillId="0" borderId="16" xfId="176" applyNumberFormat="1" applyFont="1" applyBorder="1" applyAlignment="1">
      <alignment horizontal="center"/>
    </xf>
    <xf numFmtId="0" fontId="92" fillId="0" borderId="0" xfId="0" applyFont="1"/>
    <xf numFmtId="0" fontId="97" fillId="0" borderId="16" xfId="0" applyFont="1" applyBorder="1" applyAlignment="1">
      <alignment horizontal="right" vertical="center"/>
    </xf>
    <xf numFmtId="168" fontId="97" fillId="0" borderId="16" xfId="176" applyNumberFormat="1" applyFont="1" applyBorder="1" applyAlignment="1">
      <alignment horizontal="right" vertical="center"/>
    </xf>
    <xf numFmtId="0" fontId="0" fillId="0" borderId="0" xfId="0" applyFont="1" applyAlignment="1">
      <alignment horizontal="left" vertical="center"/>
    </xf>
    <xf numFmtId="0" fontId="122" fillId="0" borderId="0" xfId="0" applyFont="1" applyAlignment="1">
      <alignment vertical="center"/>
    </xf>
    <xf numFmtId="0" fontId="212" fillId="0" borderId="0" xfId="0" applyFont="1" applyAlignment="1">
      <alignment vertical="center"/>
    </xf>
    <xf numFmtId="0" fontId="122" fillId="0" borderId="16" xfId="0" applyFont="1" applyBorder="1" applyAlignment="1">
      <alignment horizontal="center" vertical="center"/>
    </xf>
    <xf numFmtId="0" fontId="212" fillId="43" borderId="16" xfId="0" applyFont="1" applyFill="1" applyBorder="1" applyAlignment="1">
      <alignment horizontal="center" vertical="center"/>
    </xf>
    <xf numFmtId="0" fontId="301" fillId="0" borderId="16" xfId="211" applyFont="1" applyFill="1" applyBorder="1" applyAlignment="1">
      <alignment horizontal="center" vertical="center" wrapText="1"/>
    </xf>
    <xf numFmtId="171" fontId="67" fillId="0" borderId="0" xfId="0" applyNumberFormat="1" applyFont="1" applyAlignment="1">
      <alignment horizontal="center" vertical="center"/>
    </xf>
    <xf numFmtId="1" fontId="87" fillId="0" borderId="0" xfId="211" applyNumberFormat="1" applyFont="1" applyAlignment="1">
      <alignment horizontal="center" vertical="center"/>
    </xf>
    <xf numFmtId="0" fontId="122" fillId="0" borderId="0" xfId="0" applyFont="1" applyAlignment="1">
      <alignment horizontal="center" vertical="center"/>
    </xf>
    <xf numFmtId="171" fontId="122" fillId="0" borderId="0" xfId="0" applyNumberFormat="1" applyFont="1" applyAlignment="1">
      <alignment horizontal="center" vertical="center"/>
    </xf>
    <xf numFmtId="0" fontId="122" fillId="0" borderId="311" xfId="0" applyFont="1" applyBorder="1" applyAlignment="1">
      <alignment vertical="center"/>
    </xf>
    <xf numFmtId="0" fontId="122" fillId="0" borderId="311" xfId="0" applyFont="1" applyBorder="1" applyAlignment="1">
      <alignment horizontal="center" vertical="center"/>
    </xf>
    <xf numFmtId="171" fontId="122" fillId="0" borderId="163" xfId="0" applyNumberFormat="1" applyFont="1" applyBorder="1" applyAlignment="1">
      <alignment horizontal="center" vertical="center"/>
    </xf>
    <xf numFmtId="1" fontId="87" fillId="0" borderId="155" xfId="211" applyNumberFormat="1" applyFont="1" applyBorder="1" applyAlignment="1">
      <alignment horizontal="center" vertical="center"/>
    </xf>
    <xf numFmtId="0" fontId="67" fillId="30" borderId="0" xfId="0" applyFont="1" applyFill="1" applyAlignment="1">
      <alignment vertical="center"/>
    </xf>
    <xf numFmtId="1" fontId="87" fillId="0" borderId="0" xfId="211" applyNumberFormat="1" applyFont="1" applyBorder="1" applyAlignment="1">
      <alignment horizontal="center" vertical="center"/>
    </xf>
    <xf numFmtId="171" fontId="122" fillId="0" borderId="0" xfId="0" applyNumberFormat="1" applyFont="1" applyBorder="1" applyAlignment="1">
      <alignment horizontal="center" vertical="center"/>
    </xf>
    <xf numFmtId="1" fontId="104" fillId="0" borderId="0" xfId="211" applyNumberFormat="1" applyFont="1" applyBorder="1" applyAlignment="1">
      <alignment horizontal="center" vertical="center"/>
    </xf>
    <xf numFmtId="171" fontId="122" fillId="0" borderId="311" xfId="0" applyNumberFormat="1" applyFont="1" applyBorder="1" applyAlignment="1">
      <alignment horizontal="center" vertical="center"/>
    </xf>
    <xf numFmtId="1" fontId="104" fillId="0" borderId="311" xfId="211" applyNumberFormat="1" applyFont="1" applyBorder="1" applyAlignment="1">
      <alignment horizontal="center" vertical="center"/>
    </xf>
    <xf numFmtId="0" fontId="122" fillId="0" borderId="0" xfId="0" applyFont="1" applyBorder="1" applyAlignment="1">
      <alignment vertical="center"/>
    </xf>
    <xf numFmtId="0" fontId="122" fillId="0" borderId="0" xfId="0" applyFont="1" applyBorder="1" applyAlignment="1">
      <alignment horizontal="center" vertical="center"/>
    </xf>
    <xf numFmtId="1" fontId="87" fillId="0" borderId="226" xfId="211" applyNumberFormat="1" applyFont="1" applyBorder="1" applyAlignment="1">
      <alignment horizontal="center" vertical="center"/>
    </xf>
    <xf numFmtId="0" fontId="67" fillId="0" borderId="16" xfId="0" applyFont="1" applyBorder="1" applyAlignment="1">
      <alignment horizontal="center" vertical="center"/>
    </xf>
    <xf numFmtId="0" fontId="122" fillId="0" borderId="16" xfId="0" applyFont="1" applyBorder="1" applyAlignment="1">
      <alignment vertical="center"/>
    </xf>
    <xf numFmtId="171" fontId="122" fillId="43" borderId="16" xfId="0" applyNumberFormat="1" applyFont="1" applyFill="1" applyBorder="1" applyAlignment="1">
      <alignment horizontal="center" vertical="center"/>
    </xf>
    <xf numFmtId="1" fontId="87" fillId="0" borderId="106" xfId="211" applyNumberFormat="1" applyFont="1" applyBorder="1" applyAlignment="1">
      <alignment horizontal="center" vertical="center"/>
    </xf>
    <xf numFmtId="0" fontId="301" fillId="0" borderId="190" xfId="211" applyFont="1" applyFill="1" applyBorder="1" applyAlignment="1">
      <alignment horizontal="center" vertical="center" wrapText="1"/>
    </xf>
    <xf numFmtId="2" fontId="67" fillId="0" borderId="0" xfId="0" applyNumberFormat="1" applyFont="1" applyAlignment="1">
      <alignment horizontal="center" vertical="center"/>
    </xf>
    <xf numFmtId="1" fontId="87" fillId="0" borderId="107" xfId="211" applyNumberFormat="1" applyFont="1" applyBorder="1" applyAlignment="1">
      <alignment horizontal="center" vertical="center"/>
    </xf>
    <xf numFmtId="2" fontId="67" fillId="0" borderId="0" xfId="0" applyNumberFormat="1" applyFont="1" applyBorder="1" applyAlignment="1">
      <alignment horizontal="center" vertical="center"/>
    </xf>
    <xf numFmtId="2" fontId="122" fillId="0" borderId="16" xfId="0" applyNumberFormat="1" applyFont="1" applyBorder="1" applyAlignment="1">
      <alignment horizontal="center" vertical="center"/>
    </xf>
    <xf numFmtId="1" fontId="104" fillId="0" borderId="16" xfId="211" applyNumberFormat="1" applyFont="1" applyBorder="1" applyAlignment="1">
      <alignment horizontal="center" vertical="center"/>
    </xf>
    <xf numFmtId="0" fontId="90" fillId="0" borderId="0" xfId="0" applyFont="1" applyAlignment="1">
      <alignment vertical="center"/>
    </xf>
    <xf numFmtId="171" fontId="51" fillId="0" borderId="0" xfId="0" applyNumberFormat="1" applyFont="1" applyBorder="1" applyAlignment="1">
      <alignment horizontal="center" vertical="center"/>
    </xf>
    <xf numFmtId="0" fontId="302" fillId="43" borderId="16" xfId="238" applyFont="1" applyFill="1" applyBorder="1" applyAlignment="1">
      <alignment horizontal="center" vertical="center"/>
    </xf>
    <xf numFmtId="0" fontId="122" fillId="0" borderId="16" xfId="0" applyFont="1" applyBorder="1" applyAlignment="1">
      <alignment horizontal="center" vertical="center" wrapText="1"/>
    </xf>
    <xf numFmtId="2" fontId="126" fillId="0" borderId="0" xfId="238" applyNumberFormat="1" applyFont="1" applyAlignment="1">
      <alignment horizontal="center" vertical="center"/>
    </xf>
    <xf numFmtId="0" fontId="67" fillId="0" borderId="0" xfId="0" applyFont="1" applyBorder="1" applyAlignment="1">
      <alignment horizontal="center"/>
    </xf>
    <xf numFmtId="0" fontId="67" fillId="0" borderId="245" xfId="0" applyFont="1" applyBorder="1"/>
    <xf numFmtId="0" fontId="122" fillId="0" borderId="245" xfId="0" applyFont="1" applyBorder="1"/>
    <xf numFmtId="0" fontId="122" fillId="0" borderId="245" xfId="0" applyFont="1" applyBorder="1" applyAlignment="1">
      <alignment horizontal="center"/>
    </xf>
    <xf numFmtId="2" fontId="303" fillId="0" borderId="245" xfId="238" applyNumberFormat="1" applyFont="1" applyBorder="1" applyAlignment="1">
      <alignment horizontal="center" vertical="center"/>
    </xf>
    <xf numFmtId="0" fontId="67" fillId="0" borderId="226" xfId="0" applyFont="1" applyBorder="1" applyAlignment="1">
      <alignment horizontal="center"/>
    </xf>
    <xf numFmtId="0" fontId="67" fillId="0" borderId="245" xfId="0" applyFont="1" applyBorder="1" applyAlignment="1">
      <alignment horizontal="center"/>
    </xf>
    <xf numFmtId="0" fontId="67" fillId="0" borderId="16" xfId="0" applyFont="1" applyBorder="1"/>
    <xf numFmtId="2" fontId="303" fillId="43" borderId="106" xfId="238" applyNumberFormat="1" applyFont="1" applyFill="1" applyBorder="1" applyAlignment="1">
      <alignment horizontal="center" vertical="center"/>
    </xf>
    <xf numFmtId="0" fontId="50" fillId="0" borderId="245" xfId="0" applyFont="1" applyBorder="1"/>
    <xf numFmtId="0" fontId="75" fillId="0" borderId="245" xfId="0" applyFont="1" applyBorder="1"/>
    <xf numFmtId="0" fontId="75" fillId="0" borderId="245" xfId="0" applyFont="1" applyBorder="1" applyAlignment="1">
      <alignment horizontal="center"/>
    </xf>
    <xf numFmtId="0" fontId="50" fillId="0" borderId="245" xfId="0" applyFont="1" applyBorder="1" applyAlignment="1">
      <alignment horizontal="center"/>
    </xf>
    <xf numFmtId="171" fontId="96" fillId="0" borderId="0" xfId="238" applyNumberFormat="1" applyFont="1" applyAlignment="1">
      <alignment horizontal="center" vertical="center"/>
    </xf>
    <xf numFmtId="171" fontId="247" fillId="0" borderId="0" xfId="238" applyNumberFormat="1" applyFont="1" applyAlignment="1">
      <alignment horizontal="center" vertical="center"/>
    </xf>
    <xf numFmtId="171" fontId="247" fillId="0" borderId="245" xfId="238" applyNumberFormat="1" applyFont="1" applyBorder="1" applyAlignment="1">
      <alignment horizontal="center" vertical="center"/>
    </xf>
    <xf numFmtId="171" fontId="247" fillId="43" borderId="106" xfId="238" applyNumberFormat="1" applyFont="1" applyFill="1" applyBorder="1" applyAlignment="1">
      <alignment horizontal="center" vertical="center"/>
    </xf>
    <xf numFmtId="0" fontId="212" fillId="43" borderId="16" xfId="238" applyFont="1" applyFill="1" applyBorder="1" applyAlignment="1">
      <alignment horizontal="center" vertical="center"/>
    </xf>
    <xf numFmtId="185" fontId="122" fillId="0" borderId="0" xfId="0" applyNumberFormat="1" applyFont="1" applyAlignment="1">
      <alignment horizontal="center" vertical="center"/>
    </xf>
    <xf numFmtId="185" fontId="122" fillId="0" borderId="0" xfId="0" applyNumberFormat="1" applyFont="1" applyBorder="1" applyAlignment="1">
      <alignment horizontal="center" vertical="center"/>
    </xf>
    <xf numFmtId="0" fontId="67" fillId="0" borderId="245" xfId="0" applyFont="1" applyBorder="1" applyAlignment="1">
      <alignment vertical="center"/>
    </xf>
    <xf numFmtId="0" fontId="122" fillId="0" borderId="245" xfId="0" applyFont="1" applyBorder="1" applyAlignment="1">
      <alignment vertical="center"/>
    </xf>
    <xf numFmtId="0" fontId="122" fillId="0" borderId="245" xfId="0" applyFont="1" applyBorder="1" applyAlignment="1">
      <alignment horizontal="center" vertical="center"/>
    </xf>
    <xf numFmtId="185" fontId="122" fillId="0" borderId="245" xfId="0" applyNumberFormat="1" applyFont="1" applyBorder="1" applyAlignment="1">
      <alignment horizontal="center" vertical="center"/>
    </xf>
    <xf numFmtId="0" fontId="67" fillId="0" borderId="245" xfId="0" applyFont="1" applyBorder="1" applyAlignment="1">
      <alignment horizontal="center" vertical="center"/>
    </xf>
    <xf numFmtId="2" fontId="67" fillId="0" borderId="0" xfId="0" applyNumberFormat="1" applyFont="1" applyFill="1" applyBorder="1" applyAlignment="1">
      <alignment horizontal="center" vertical="center"/>
    </xf>
    <xf numFmtId="0" fontId="67" fillId="0" borderId="0" xfId="0" applyFont="1" applyBorder="1" applyAlignment="1">
      <alignment horizontal="center" vertical="center"/>
    </xf>
    <xf numFmtId="185" fontId="67" fillId="0" borderId="0" xfId="0" applyNumberFormat="1" applyFont="1" applyFill="1" applyBorder="1" applyAlignment="1">
      <alignment horizontal="center" vertical="center"/>
    </xf>
    <xf numFmtId="0" fontId="67" fillId="0" borderId="16" xfId="0" applyFont="1" applyBorder="1" applyAlignment="1">
      <alignment vertical="center"/>
    </xf>
    <xf numFmtId="185" fontId="122" fillId="43" borderId="16" xfId="0" applyNumberFormat="1" applyFont="1" applyFill="1" applyBorder="1" applyAlignment="1">
      <alignment horizontal="center" vertical="center"/>
    </xf>
    <xf numFmtId="185" fontId="122" fillId="0" borderId="0" xfId="0" applyNumberFormat="1" applyFont="1" applyFill="1" applyBorder="1" applyAlignment="1">
      <alignment horizontal="center" vertical="center"/>
    </xf>
    <xf numFmtId="171" fontId="97" fillId="0" borderId="163" xfId="0" applyNumberFormat="1" applyFont="1" applyBorder="1" applyAlignment="1">
      <alignment horizontal="center"/>
    </xf>
    <xf numFmtId="171" fontId="0" fillId="0" borderId="0" xfId="0" applyNumberFormat="1"/>
    <xf numFmtId="183" fontId="40" fillId="20" borderId="317" xfId="0" applyNumberFormat="1" applyFont="1" applyFill="1" applyBorder="1" applyAlignment="1">
      <alignment horizontal="center" vertical="center"/>
    </xf>
    <xf numFmtId="171" fontId="97" fillId="0" borderId="155" xfId="0" applyNumberFormat="1" applyFont="1" applyBorder="1" applyAlignment="1">
      <alignment horizontal="center" vertical="center"/>
    </xf>
    <xf numFmtId="171" fontId="97" fillId="43" borderId="155" xfId="0" applyNumberFormat="1" applyFont="1" applyFill="1" applyBorder="1" applyAlignment="1">
      <alignment horizontal="center" vertical="center"/>
    </xf>
    <xf numFmtId="0" fontId="176" fillId="0" borderId="0" xfId="0" applyFont="1" applyAlignment="1">
      <alignment vertical="center" wrapText="1"/>
    </xf>
    <xf numFmtId="185" fontId="122" fillId="0" borderId="163" xfId="0" applyNumberFormat="1" applyFont="1" applyBorder="1" applyAlignment="1">
      <alignment horizontal="center" vertical="center"/>
    </xf>
    <xf numFmtId="185" fontId="122" fillId="0" borderId="226" xfId="0" applyNumberFormat="1" applyFont="1" applyBorder="1" applyAlignment="1">
      <alignment horizontal="center" vertical="center"/>
    </xf>
    <xf numFmtId="185" fontId="303" fillId="0" borderId="0" xfId="428" applyNumberFormat="1" applyFont="1" applyAlignment="1">
      <alignment horizontal="center" vertical="center"/>
    </xf>
    <xf numFmtId="171" fontId="97" fillId="0" borderId="226" xfId="0" applyNumberFormat="1" applyFont="1" applyBorder="1" applyAlignment="1">
      <alignment horizontal="center" vertical="center"/>
    </xf>
    <xf numFmtId="171" fontId="99" fillId="0" borderId="0" xfId="428" applyNumberFormat="1" applyFont="1" applyAlignment="1">
      <alignment horizontal="center" vertical="center"/>
    </xf>
    <xf numFmtId="171" fontId="97" fillId="0" borderId="245" xfId="0" applyNumberFormat="1" applyFont="1" applyBorder="1" applyAlignment="1">
      <alignment horizontal="center"/>
    </xf>
    <xf numFmtId="0" fontId="122" fillId="0" borderId="311" xfId="0" applyFont="1" applyBorder="1" applyAlignment="1">
      <alignment horizontal="center"/>
    </xf>
    <xf numFmtId="0" fontId="40" fillId="0" borderId="0" xfId="0" applyFont="1" applyBorder="1" applyAlignment="1">
      <alignment horizontal="center"/>
    </xf>
    <xf numFmtId="0" fontId="0" fillId="0" borderId="0" xfId="0"/>
    <xf numFmtId="0" fontId="40" fillId="0" borderId="16" xfId="0" applyFont="1" applyBorder="1" applyAlignment="1">
      <alignment horizontal="center" vertical="center" wrapText="1"/>
    </xf>
    <xf numFmtId="0" fontId="0" fillId="0" borderId="0" xfId="0"/>
    <xf numFmtId="0" fontId="40" fillId="0" borderId="16" xfId="0" applyFont="1" applyBorder="1" applyAlignment="1">
      <alignment horizontal="center" vertical="center" wrapText="1"/>
    </xf>
    <xf numFmtId="0" fontId="122" fillId="21" borderId="16" xfId="0" applyFont="1" applyFill="1" applyBorder="1" applyAlignment="1">
      <alignment horizontal="center"/>
    </xf>
    <xf numFmtId="0" fontId="67" fillId="21" borderId="0" xfId="0" applyFont="1" applyFill="1" applyAlignment="1">
      <alignment horizontal="center"/>
    </xf>
    <xf numFmtId="0" fontId="122" fillId="21" borderId="0" xfId="0" applyFont="1" applyFill="1" applyAlignment="1">
      <alignment horizontal="center"/>
    </xf>
    <xf numFmtId="0" fontId="67" fillId="0" borderId="311" xfId="0" applyFont="1" applyBorder="1"/>
    <xf numFmtId="0" fontId="122" fillId="21" borderId="311" xfId="0" applyFont="1" applyFill="1" applyBorder="1" applyAlignment="1">
      <alignment horizontal="center"/>
    </xf>
    <xf numFmtId="0" fontId="67" fillId="0" borderId="0" xfId="0" applyFont="1" applyFill="1"/>
    <xf numFmtId="0" fontId="87" fillId="0" borderId="0" xfId="0" applyFont="1" applyFill="1"/>
    <xf numFmtId="0" fontId="67" fillId="0" borderId="0" xfId="0" applyFont="1" applyFill="1" applyAlignment="1">
      <alignment horizontal="center"/>
    </xf>
    <xf numFmtId="0" fontId="87" fillId="0" borderId="0" xfId="0" applyFont="1" applyFill="1" applyAlignment="1">
      <alignment horizontal="center"/>
    </xf>
    <xf numFmtId="0" fontId="122" fillId="0" borderId="0" xfId="0" applyFont="1" applyFill="1"/>
    <xf numFmtId="0" fontId="122" fillId="0" borderId="0" xfId="0" applyFont="1" applyFill="1" applyAlignment="1">
      <alignment horizontal="center"/>
    </xf>
    <xf numFmtId="0" fontId="104" fillId="0" borderId="0" xfId="0" applyFont="1" applyFill="1"/>
    <xf numFmtId="0" fontId="104" fillId="0" borderId="0" xfId="0" applyFont="1" applyFill="1" applyAlignment="1">
      <alignment horizontal="center"/>
    </xf>
    <xf numFmtId="0" fontId="87" fillId="21" borderId="0" xfId="0" applyFont="1" applyFill="1" applyAlignment="1">
      <alignment horizontal="center"/>
    </xf>
    <xf numFmtId="0" fontId="104" fillId="21" borderId="0" xfId="0" applyFont="1" applyFill="1" applyAlignment="1">
      <alignment horizontal="center"/>
    </xf>
    <xf numFmtId="0" fontId="104" fillId="0" borderId="0" xfId="0" applyFont="1" applyAlignment="1">
      <alignment horizontal="center"/>
    </xf>
    <xf numFmtId="0" fontId="104" fillId="0" borderId="311" xfId="0" applyFont="1" applyBorder="1"/>
    <xf numFmtId="0" fontId="104" fillId="21" borderId="311" xfId="0" applyFont="1" applyFill="1" applyBorder="1" applyAlignment="1">
      <alignment horizontal="center"/>
    </xf>
    <xf numFmtId="0" fontId="104" fillId="0" borderId="311" xfId="0" applyFont="1" applyBorder="1" applyAlignment="1">
      <alignment horizontal="center"/>
    </xf>
    <xf numFmtId="0" fontId="104" fillId="21" borderId="16" xfId="0" applyFont="1" applyFill="1" applyBorder="1" applyAlignment="1">
      <alignment horizontal="center"/>
    </xf>
    <xf numFmtId="0" fontId="104" fillId="0" borderId="16" xfId="0" applyFont="1" applyBorder="1" applyAlignment="1">
      <alignment horizontal="center"/>
    </xf>
    <xf numFmtId="0" fontId="0" fillId="21" borderId="311" xfId="0" applyFill="1" applyBorder="1" applyAlignment="1">
      <alignment horizontal="center"/>
    </xf>
    <xf numFmtId="0" fontId="0" fillId="0" borderId="311" xfId="0" applyFill="1" applyBorder="1" applyAlignment="1">
      <alignment horizontal="center"/>
    </xf>
    <xf numFmtId="0" fontId="0" fillId="0" borderId="311" xfId="0" applyBorder="1" applyAlignment="1">
      <alignment horizontal="center"/>
    </xf>
    <xf numFmtId="0" fontId="40" fillId="0" borderId="311" xfId="0" applyFont="1" applyBorder="1" applyAlignment="1">
      <alignment horizontal="center" wrapText="1"/>
    </xf>
    <xf numFmtId="0" fontId="0" fillId="0" borderId="0" xfId="0"/>
    <xf numFmtId="0" fontId="80" fillId="0" borderId="16" xfId="142" applyFont="1" applyFill="1" applyBorder="1" applyAlignment="1">
      <alignment horizontal="center" vertical="center" wrapText="1"/>
    </xf>
    <xf numFmtId="0" fontId="61" fillId="0" borderId="0" xfId="3786" applyFont="1" applyAlignment="1">
      <alignment horizontal="right" vertical="center" wrapText="1"/>
    </xf>
    <xf numFmtId="0" fontId="80" fillId="0" borderId="16" xfId="173" applyFont="1" applyFill="1" applyBorder="1" applyAlignment="1">
      <alignment horizontal="center" vertical="center"/>
    </xf>
    <xf numFmtId="0" fontId="131" fillId="0" borderId="0" xfId="0" applyFont="1" applyAlignment="1">
      <alignment horizontal="center" vertical="center" wrapText="1"/>
    </xf>
    <xf numFmtId="9" fontId="225" fillId="28" borderId="319" xfId="0" applyNumberFormat="1" applyFont="1" applyFill="1" applyBorder="1" applyAlignment="1">
      <alignment horizontal="center" vertical="center" wrapText="1"/>
    </xf>
    <xf numFmtId="9" fontId="132" fillId="43" borderId="327" xfId="0" applyNumberFormat="1" applyFont="1" applyFill="1" applyBorder="1" applyAlignment="1">
      <alignment horizontal="center" vertical="center" wrapText="1"/>
    </xf>
    <xf numFmtId="3" fontId="132" fillId="43" borderId="327" xfId="0" applyNumberFormat="1" applyFont="1" applyFill="1" applyBorder="1" applyAlignment="1">
      <alignment horizontal="center" vertical="center" wrapText="1"/>
    </xf>
    <xf numFmtId="9" fontId="225" fillId="28" borderId="329" xfId="0" applyNumberFormat="1" applyFont="1" applyFill="1" applyBorder="1" applyAlignment="1">
      <alignment horizontal="center" vertical="center" wrapText="1"/>
    </xf>
    <xf numFmtId="9" fontId="225" fillId="28" borderId="327" xfId="0" applyNumberFormat="1" applyFont="1" applyFill="1" applyBorder="1" applyAlignment="1">
      <alignment horizontal="center" vertical="center" wrapText="1"/>
    </xf>
    <xf numFmtId="168" fontId="225" fillId="28" borderId="327" xfId="0" applyNumberFormat="1" applyFont="1" applyFill="1" applyBorder="1" applyAlignment="1">
      <alignment horizontal="center" vertical="center" wrapText="1"/>
    </xf>
    <xf numFmtId="9" fontId="132" fillId="44" borderId="286" xfId="0" applyNumberFormat="1" applyFont="1" applyFill="1" applyBorder="1" applyAlignment="1">
      <alignment horizontal="center" vertical="center" wrapText="1"/>
    </xf>
    <xf numFmtId="0" fontId="225" fillId="28" borderId="286" xfId="0" applyFont="1" applyFill="1" applyBorder="1" applyAlignment="1">
      <alignment horizontal="center" vertical="center" wrapText="1"/>
    </xf>
    <xf numFmtId="9" fontId="132" fillId="0" borderId="270" xfId="0" applyNumberFormat="1" applyFont="1" applyFill="1" applyBorder="1" applyAlignment="1">
      <alignment horizontal="center" vertical="center" wrapText="1"/>
    </xf>
    <xf numFmtId="171" fontId="132" fillId="0" borderId="270" xfId="0" applyNumberFormat="1" applyFont="1" applyFill="1" applyBorder="1" applyAlignment="1">
      <alignment horizontal="center" vertical="center" wrapText="1"/>
    </xf>
    <xf numFmtId="9" fontId="132" fillId="0" borderId="271" xfId="0" applyNumberFormat="1" applyFont="1" applyFill="1" applyBorder="1" applyAlignment="1">
      <alignment horizontal="center" vertical="center" wrapText="1"/>
    </xf>
    <xf numFmtId="3" fontId="132" fillId="0" borderId="271" xfId="0" applyNumberFormat="1" applyFont="1" applyFill="1" applyBorder="1" applyAlignment="1">
      <alignment horizontal="center" vertical="center" wrapText="1"/>
    </xf>
    <xf numFmtId="9" fontId="132" fillId="0" borderId="241" xfId="0" applyNumberFormat="1" applyFont="1" applyFill="1" applyBorder="1" applyAlignment="1">
      <alignment horizontal="center" vertical="center" wrapText="1"/>
    </xf>
    <xf numFmtId="168" fontId="132" fillId="0" borderId="270" xfId="0" applyNumberFormat="1" applyFont="1" applyFill="1" applyBorder="1" applyAlignment="1">
      <alignment horizontal="center" vertical="center" wrapText="1"/>
    </xf>
    <xf numFmtId="9" fontId="132" fillId="0" borderId="272" xfId="0" applyNumberFormat="1" applyFont="1" applyFill="1" applyBorder="1" applyAlignment="1">
      <alignment horizontal="center" vertical="center" wrapText="1"/>
    </xf>
    <xf numFmtId="171" fontId="132" fillId="0" borderId="270" xfId="0" applyNumberFormat="1" applyFont="1" applyFill="1" applyBorder="1" applyAlignment="1">
      <alignment horizontal="center" vertical="center"/>
    </xf>
    <xf numFmtId="168" fontId="132" fillId="0" borderId="271" xfId="0" applyNumberFormat="1" applyFont="1" applyFill="1" applyBorder="1" applyAlignment="1">
      <alignment horizontal="center" vertical="center" wrapText="1"/>
    </xf>
    <xf numFmtId="3" fontId="132" fillId="0" borderId="270" xfId="0" applyNumberFormat="1" applyFont="1" applyFill="1" applyBorder="1" applyAlignment="1">
      <alignment horizontal="center" vertical="center" wrapText="1"/>
    </xf>
    <xf numFmtId="180" fontId="132" fillId="0" borderId="274" xfId="0" applyNumberFormat="1" applyFont="1" applyFill="1" applyBorder="1" applyAlignment="1">
      <alignment horizontal="center" vertical="center" wrapText="1"/>
    </xf>
    <xf numFmtId="0" fontId="132" fillId="0" borderId="274" xfId="0" applyFont="1" applyFill="1" applyBorder="1" applyAlignment="1">
      <alignment horizontal="center" vertical="center" wrapText="1"/>
    </xf>
    <xf numFmtId="0" fontId="132" fillId="0" borderId="270" xfId="0" applyFont="1" applyFill="1" applyBorder="1" applyAlignment="1">
      <alignment horizontal="center" vertical="center" wrapText="1"/>
    </xf>
    <xf numFmtId="0" fontId="6" fillId="0" borderId="0" xfId="0" applyFont="1" applyAlignment="1">
      <alignment horizontal="center"/>
    </xf>
    <xf numFmtId="0" fontId="0" fillId="0" borderId="0" xfId="0"/>
    <xf numFmtId="0" fontId="152" fillId="20" borderId="329" xfId="0" applyFont="1" applyFill="1" applyBorder="1" applyAlignment="1">
      <alignment horizontal="center" vertical="center"/>
    </xf>
    <xf numFmtId="0" fontId="29" fillId="0" borderId="286" xfId="3792" applyFont="1" applyFill="1" applyBorder="1" applyAlignment="1">
      <alignment horizontal="center" vertical="center"/>
    </xf>
    <xf numFmtId="0" fontId="29" fillId="0" borderId="170" xfId="3792" applyFont="1" applyFill="1" applyBorder="1" applyAlignment="1">
      <alignment horizontal="center" vertical="center"/>
    </xf>
    <xf numFmtId="0" fontId="52" fillId="0" borderId="0" xfId="822" applyAlignment="1">
      <alignment horizontal="left" vertical="center" wrapText="1"/>
    </xf>
    <xf numFmtId="0" fontId="29" fillId="0" borderId="79" xfId="239" applyFont="1" applyBorder="1" applyAlignment="1">
      <alignment horizontal="center" vertical="center"/>
    </xf>
    <xf numFmtId="0" fontId="29" fillId="0" borderId="17" xfId="239" applyFont="1" applyBorder="1" applyAlignment="1">
      <alignment horizontal="center" vertical="center"/>
    </xf>
    <xf numFmtId="0" fontId="29" fillId="0" borderId="30" xfId="239" applyFont="1" applyBorder="1" applyAlignment="1">
      <alignment horizontal="center" vertical="center"/>
    </xf>
    <xf numFmtId="0" fontId="29" fillId="0" borderId="31" xfId="239" applyFont="1" applyBorder="1" applyAlignment="1">
      <alignment horizontal="center" vertical="center"/>
    </xf>
    <xf numFmtId="0" fontId="45" fillId="0" borderId="0" xfId="0" applyFont="1" applyAlignment="1">
      <alignment horizontal="left" vertical="center" wrapText="1"/>
    </xf>
    <xf numFmtId="0" fontId="29" fillId="0" borderId="20" xfId="239" applyFont="1" applyBorder="1" applyAlignment="1">
      <alignment horizontal="center" vertical="center"/>
    </xf>
    <xf numFmtId="1" fontId="41" fillId="0" borderId="0" xfId="173" applyNumberFormat="1" applyFont="1" applyFill="1" applyBorder="1" applyAlignment="1">
      <alignment horizontal="center" vertical="center" wrapText="1"/>
    </xf>
    <xf numFmtId="0" fontId="42" fillId="0" borderId="0" xfId="229" applyFont="1" applyBorder="1" applyAlignment="1">
      <alignment horizontal="center" vertical="center"/>
    </xf>
    <xf numFmtId="0" fontId="56" fillId="0" borderId="0" xfId="0" applyFont="1" applyAlignment="1">
      <alignment horizontal="center"/>
    </xf>
    <xf numFmtId="0" fontId="43" fillId="43" borderId="0" xfId="246" applyFont="1" applyFill="1" applyBorder="1" applyAlignment="1">
      <alignment horizontal="center" vertical="center"/>
    </xf>
    <xf numFmtId="0" fontId="61" fillId="0" borderId="22" xfId="0" applyFont="1" applyBorder="1" applyAlignment="1">
      <alignment horizontal="center" vertical="center" wrapText="1"/>
    </xf>
    <xf numFmtId="0" fontId="51" fillId="0" borderId="29" xfId="0" applyFont="1" applyBorder="1"/>
    <xf numFmtId="0" fontId="51" fillId="0" borderId="30" xfId="0" applyFont="1" applyBorder="1"/>
    <xf numFmtId="0" fontId="51" fillId="0" borderId="19" xfId="0" applyFont="1" applyBorder="1"/>
    <xf numFmtId="0" fontId="214" fillId="35" borderId="19" xfId="583" applyFont="1" applyFill="1" applyBorder="1" applyAlignment="1">
      <alignment vertical="center"/>
    </xf>
    <xf numFmtId="0" fontId="61" fillId="0" borderId="19" xfId="0" applyFont="1" applyBorder="1" applyAlignment="1">
      <alignment horizontal="center" vertical="center" wrapText="1"/>
    </xf>
    <xf numFmtId="0" fontId="61" fillId="0" borderId="19" xfId="246" applyFont="1" applyFill="1" applyBorder="1" applyAlignment="1">
      <alignment horizontal="center" vertical="center" wrapText="1"/>
    </xf>
    <xf numFmtId="0" fontId="61" fillId="0" borderId="19" xfId="0" applyFont="1" applyFill="1" applyBorder="1" applyAlignment="1">
      <alignment horizontal="center" vertical="center" wrapText="1"/>
    </xf>
    <xf numFmtId="0" fontId="214" fillId="52" borderId="19" xfId="246" applyFont="1" applyFill="1" applyBorder="1" applyAlignment="1">
      <alignment horizontal="center" vertical="center" wrapText="1"/>
    </xf>
    <xf numFmtId="0" fontId="214" fillId="52" borderId="17" xfId="246" applyFont="1" applyFill="1" applyBorder="1" applyAlignment="1">
      <alignment horizontal="center" vertical="center" wrapText="1"/>
    </xf>
    <xf numFmtId="0" fontId="61" fillId="0" borderId="19" xfId="246" applyFont="1" applyBorder="1" applyAlignment="1">
      <alignment horizontal="center" vertical="center" wrapText="1"/>
    </xf>
    <xf numFmtId="0" fontId="213" fillId="37" borderId="19" xfId="0" applyFont="1" applyFill="1" applyBorder="1" applyAlignment="1">
      <alignment horizontal="center" vertical="center" wrapText="1"/>
    </xf>
    <xf numFmtId="0" fontId="213" fillId="37" borderId="17" xfId="0" applyFont="1" applyFill="1" applyBorder="1" applyAlignment="1">
      <alignment horizontal="center" vertical="center" wrapText="1"/>
    </xf>
    <xf numFmtId="0" fontId="205" fillId="0" borderId="19" xfId="0" applyFont="1" applyBorder="1" applyAlignment="1">
      <alignment horizontal="center" vertical="center" wrapText="1"/>
    </xf>
    <xf numFmtId="0" fontId="183" fillId="0" borderId="19" xfId="246" applyFont="1" applyFill="1" applyBorder="1" applyAlignment="1">
      <alignment horizontal="center" vertical="center" wrapText="1"/>
    </xf>
    <xf numFmtId="0" fontId="214" fillId="39" borderId="19" xfId="246" applyFont="1" applyFill="1" applyBorder="1" applyAlignment="1">
      <alignment horizontal="center" vertical="center" wrapText="1"/>
    </xf>
    <xf numFmtId="0" fontId="214" fillId="39" borderId="17" xfId="246" applyFont="1" applyFill="1" applyBorder="1" applyAlignment="1">
      <alignment horizontal="center" vertical="center" wrapText="1"/>
    </xf>
    <xf numFmtId="0" fontId="51" fillId="0" borderId="19" xfId="0" applyFont="1" applyFill="1" applyBorder="1"/>
    <xf numFmtId="0" fontId="213" fillId="36" borderId="19" xfId="246" applyFont="1" applyFill="1" applyBorder="1" applyAlignment="1">
      <alignment horizontal="center" vertical="center" wrapText="1"/>
    </xf>
    <xf numFmtId="0" fontId="213" fillId="36" borderId="17" xfId="246" applyFont="1" applyFill="1" applyBorder="1" applyAlignment="1">
      <alignment horizontal="center" vertical="center" wrapText="1"/>
    </xf>
    <xf numFmtId="0" fontId="214" fillId="36" borderId="19" xfId="246" applyFont="1" applyFill="1" applyBorder="1" applyAlignment="1">
      <alignment horizontal="center" vertical="center" wrapText="1"/>
    </xf>
    <xf numFmtId="0" fontId="214" fillId="36" borderId="17" xfId="246" applyFont="1" applyFill="1" applyBorder="1" applyAlignment="1">
      <alignment horizontal="center" vertical="center" wrapText="1"/>
    </xf>
    <xf numFmtId="0" fontId="61" fillId="0" borderId="19" xfId="246" applyFont="1" applyBorder="1" applyAlignment="1">
      <alignment wrapText="1"/>
    </xf>
    <xf numFmtId="0" fontId="214" fillId="51" borderId="19" xfId="0" applyFont="1" applyFill="1" applyBorder="1" applyAlignment="1">
      <alignment horizontal="center" wrapText="1"/>
    </xf>
    <xf numFmtId="0" fontId="214" fillId="51" borderId="17" xfId="0" applyFont="1" applyFill="1" applyBorder="1" applyAlignment="1">
      <alignment horizontal="center" wrapText="1"/>
    </xf>
    <xf numFmtId="0" fontId="61" fillId="0" borderId="21" xfId="246" applyFont="1" applyBorder="1" applyAlignment="1">
      <alignment horizontal="center" vertical="center" wrapText="1"/>
    </xf>
    <xf numFmtId="0" fontId="61" fillId="25" borderId="319" xfId="0" applyFont="1" applyFill="1" applyBorder="1" applyAlignment="1">
      <alignment horizontal="center" vertical="center" wrapText="1"/>
    </xf>
    <xf numFmtId="0" fontId="83" fillId="35" borderId="333" xfId="583" applyFont="1" applyFill="1" applyBorder="1" applyAlignment="1">
      <alignment vertical="center"/>
    </xf>
    <xf numFmtId="0" fontId="61" fillId="0" borderId="19" xfId="246" applyFont="1" applyBorder="1" applyAlignment="1">
      <alignment horizontal="center" vertical="center"/>
    </xf>
    <xf numFmtId="0" fontId="83" fillId="37" borderId="19" xfId="583" applyFont="1" applyFill="1" applyBorder="1" applyAlignment="1">
      <alignment vertical="center"/>
    </xf>
    <xf numFmtId="0" fontId="83" fillId="37" borderId="17" xfId="583" applyFont="1" applyFill="1" applyBorder="1" applyAlignment="1">
      <alignment vertical="center"/>
    </xf>
    <xf numFmtId="0" fontId="61" fillId="0" borderId="19" xfId="0" applyFont="1" applyBorder="1" applyAlignment="1">
      <alignment horizontal="center" vertical="center"/>
    </xf>
    <xf numFmtId="0" fontId="51" fillId="0" borderId="19" xfId="0" applyFont="1" applyBorder="1" applyAlignment="1">
      <alignment horizontal="center" vertical="center"/>
    </xf>
    <xf numFmtId="0" fontId="83" fillId="39" borderId="19" xfId="583" applyFont="1" applyFill="1" applyBorder="1" applyAlignment="1">
      <alignment vertical="center"/>
    </xf>
    <xf numFmtId="0" fontId="83" fillId="39" borderId="17" xfId="583" applyFont="1" applyFill="1" applyBorder="1" applyAlignment="1">
      <alignment vertical="center"/>
    </xf>
    <xf numFmtId="0" fontId="83" fillId="36" borderId="19" xfId="583" applyFont="1" applyFill="1" applyBorder="1" applyAlignment="1">
      <alignment vertical="center"/>
    </xf>
    <xf numFmtId="0" fontId="83" fillId="36" borderId="17" xfId="583" applyFont="1" applyFill="1" applyBorder="1" applyAlignment="1">
      <alignment vertical="center"/>
    </xf>
    <xf numFmtId="0" fontId="83" fillId="38" borderId="19" xfId="583" applyFont="1" applyFill="1" applyBorder="1" applyAlignment="1">
      <alignment vertical="center"/>
    </xf>
    <xf numFmtId="0" fontId="83" fillId="38" borderId="17" xfId="583" applyFont="1" applyFill="1" applyBorder="1" applyAlignment="1">
      <alignment vertical="center"/>
    </xf>
    <xf numFmtId="0" fontId="43" fillId="0" borderId="19" xfId="0" applyFont="1" applyBorder="1" applyAlignment="1">
      <alignment vertical="center"/>
    </xf>
    <xf numFmtId="0" fontId="135" fillId="35" borderId="0" xfId="246" applyFont="1" applyFill="1" applyBorder="1" applyAlignment="1">
      <alignment horizontal="center" vertical="center"/>
    </xf>
    <xf numFmtId="0" fontId="83" fillId="35" borderId="311" xfId="583" applyFont="1" applyFill="1" applyBorder="1" applyAlignment="1">
      <alignment vertical="center"/>
    </xf>
    <xf numFmtId="0" fontId="61" fillId="0" borderId="319" xfId="0" applyFont="1" applyFill="1" applyBorder="1" applyAlignment="1">
      <alignment horizontal="center" vertical="center" wrapText="1"/>
    </xf>
    <xf numFmtId="0" fontId="61" fillId="23" borderId="270" xfId="0" applyFont="1" applyFill="1" applyBorder="1" applyAlignment="1">
      <alignment horizontal="center" vertical="center" wrapText="1"/>
    </xf>
    <xf numFmtId="0" fontId="61" fillId="23" borderId="270" xfId="0" applyFont="1" applyFill="1" applyBorder="1" applyAlignment="1">
      <alignment horizontal="center" vertical="center"/>
    </xf>
    <xf numFmtId="0" fontId="61" fillId="25" borderId="270" xfId="0" applyFont="1" applyFill="1" applyBorder="1" applyAlignment="1">
      <alignment horizontal="center" vertical="center"/>
    </xf>
    <xf numFmtId="0" fontId="42" fillId="25" borderId="270" xfId="246" applyFont="1" applyFill="1" applyBorder="1" applyAlignment="1">
      <alignment horizontal="center" vertical="center" wrapText="1"/>
    </xf>
    <xf numFmtId="0" fontId="42" fillId="26" borderId="270" xfId="246" applyFont="1" applyFill="1" applyBorder="1" applyAlignment="1">
      <alignment horizontal="center" vertical="center" wrapText="1"/>
    </xf>
    <xf numFmtId="0" fontId="112" fillId="0" borderId="17" xfId="0" applyFont="1" applyBorder="1" applyAlignment="1">
      <alignment vertical="center" wrapText="1"/>
    </xf>
    <xf numFmtId="0" fontId="32" fillId="25" borderId="270" xfId="246" applyFont="1" applyFill="1" applyBorder="1" applyAlignment="1">
      <alignment horizontal="center" vertical="center"/>
    </xf>
    <xf numFmtId="0" fontId="42" fillId="23" borderId="327" xfId="246" applyFont="1" applyFill="1" applyBorder="1" applyAlignment="1">
      <alignment horizontal="center" vertical="center" wrapText="1"/>
    </xf>
    <xf numFmtId="0" fontId="183" fillId="0" borderId="327" xfId="246" applyFont="1" applyFill="1" applyBorder="1" applyAlignment="1">
      <alignment horizontal="center" vertical="center" wrapText="1"/>
    </xf>
    <xf numFmtId="0" fontId="1" fillId="0" borderId="0" xfId="142" applyFont="1" applyFill="1" applyBorder="1" applyAlignment="1">
      <alignment vertical="top"/>
    </xf>
    <xf numFmtId="0" fontId="55" fillId="0" borderId="278" xfId="576" applyFont="1" applyFill="1" applyBorder="1" applyAlignment="1">
      <alignment horizontal="center" vertical="center" wrapText="1"/>
    </xf>
    <xf numFmtId="0" fontId="55" fillId="0" borderId="29" xfId="142" applyFont="1" applyBorder="1" applyAlignment="1">
      <alignment horizontal="center"/>
    </xf>
    <xf numFmtId="168" fontId="55" fillId="0" borderId="29" xfId="180" applyNumberFormat="1" applyFont="1" applyBorder="1" applyAlignment="1">
      <alignment horizontal="center"/>
    </xf>
    <xf numFmtId="168" fontId="55" fillId="0" borderId="28" xfId="180" applyNumberFormat="1" applyFont="1" applyBorder="1" applyAlignment="1">
      <alignment horizontal="right" indent="1"/>
    </xf>
    <xf numFmtId="0" fontId="55" fillId="0" borderId="19" xfId="142" applyFont="1" applyBorder="1" applyAlignment="1">
      <alignment horizontal="center"/>
    </xf>
    <xf numFmtId="168" fontId="55" fillId="0" borderId="19" xfId="180" applyNumberFormat="1" applyFont="1" applyBorder="1" applyAlignment="1">
      <alignment horizontal="center"/>
    </xf>
    <xf numFmtId="168" fontId="55" fillId="0" borderId="22" xfId="180" applyNumberFormat="1" applyFont="1" applyBorder="1" applyAlignment="1">
      <alignment horizontal="right" indent="1"/>
    </xf>
    <xf numFmtId="0" fontId="107" fillId="0" borderId="21" xfId="142" applyFont="1" applyFill="1" applyBorder="1" applyAlignment="1">
      <alignment horizontal="center"/>
    </xf>
    <xf numFmtId="168" fontId="107" fillId="0" borderId="21" xfId="180" applyNumberFormat="1" applyFont="1" applyFill="1" applyBorder="1" applyAlignment="1">
      <alignment horizontal="center"/>
    </xf>
    <xf numFmtId="168" fontId="107" fillId="0" borderId="23" xfId="180" applyNumberFormat="1" applyFont="1" applyFill="1" applyBorder="1" applyAlignment="1">
      <alignment horizontal="right" indent="1"/>
    </xf>
    <xf numFmtId="168" fontId="38" fillId="0" borderId="0" xfId="142" applyNumberFormat="1" applyAlignment="1">
      <alignment horizontal="right" indent="1"/>
    </xf>
    <xf numFmtId="0" fontId="106" fillId="0" borderId="21" xfId="142" applyFont="1" applyFill="1" applyBorder="1" applyAlignment="1">
      <alignment horizontal="center"/>
    </xf>
    <xf numFmtId="168" fontId="106" fillId="0" borderId="21" xfId="180" applyNumberFormat="1" applyFont="1" applyFill="1" applyBorder="1" applyAlignment="1">
      <alignment horizontal="center"/>
    </xf>
    <xf numFmtId="168" fontId="106" fillId="0" borderId="23" xfId="180" applyNumberFormat="1" applyFont="1" applyFill="1" applyBorder="1" applyAlignment="1">
      <alignment horizontal="right" indent="1"/>
    </xf>
    <xf numFmtId="0" fontId="38" fillId="0" borderId="0" xfId="142" applyFont="1" applyBorder="1" applyAlignment="1">
      <alignment horizontal="right" indent="1"/>
    </xf>
    <xf numFmtId="0" fontId="111" fillId="0" borderId="21" xfId="142" applyFont="1" applyFill="1" applyBorder="1" applyAlignment="1">
      <alignment horizontal="center"/>
    </xf>
    <xf numFmtId="168" fontId="111" fillId="0" borderId="21" xfId="180" applyNumberFormat="1" applyFont="1" applyFill="1" applyBorder="1" applyAlignment="1">
      <alignment horizontal="center"/>
    </xf>
    <xf numFmtId="168" fontId="111" fillId="0" borderId="23" xfId="180" applyNumberFormat="1" applyFont="1" applyFill="1" applyBorder="1" applyAlignment="1">
      <alignment horizontal="right" indent="1"/>
    </xf>
    <xf numFmtId="168" fontId="38" fillId="0" borderId="0" xfId="142" applyNumberFormat="1" applyBorder="1" applyAlignment="1">
      <alignment horizontal="right" indent="1"/>
    </xf>
    <xf numFmtId="0" fontId="109" fillId="0" borderId="21" xfId="142" applyFont="1" applyFill="1" applyBorder="1" applyAlignment="1">
      <alignment horizontal="center"/>
    </xf>
    <xf numFmtId="168" fontId="109" fillId="0" borderId="21" xfId="180" applyNumberFormat="1" applyFont="1" applyFill="1" applyBorder="1" applyAlignment="1">
      <alignment horizontal="center"/>
    </xf>
    <xf numFmtId="168" fontId="109" fillId="0" borderId="23" xfId="180" applyNumberFormat="1" applyFont="1" applyFill="1" applyBorder="1" applyAlignment="1">
      <alignment horizontal="right" indent="1"/>
    </xf>
    <xf numFmtId="0" fontId="114" fillId="0" borderId="21" xfId="142" applyFont="1" applyFill="1" applyBorder="1" applyAlignment="1">
      <alignment horizontal="center"/>
    </xf>
    <xf numFmtId="168" fontId="114" fillId="0" borderId="21" xfId="180" applyNumberFormat="1" applyFont="1" applyFill="1" applyBorder="1" applyAlignment="1">
      <alignment horizontal="center"/>
    </xf>
    <xf numFmtId="168" fontId="114" fillId="0" borderId="23" xfId="180" applyNumberFormat="1" applyFont="1" applyFill="1" applyBorder="1" applyAlignment="1">
      <alignment horizontal="right" indent="1"/>
    </xf>
    <xf numFmtId="0" fontId="80" fillId="20" borderId="326" xfId="142" applyFont="1" applyFill="1" applyBorder="1" applyAlignment="1">
      <alignment horizontal="center"/>
    </xf>
    <xf numFmtId="168" fontId="80" fillId="20" borderId="326" xfId="180" applyNumberFormat="1" applyFont="1" applyFill="1" applyBorder="1" applyAlignment="1">
      <alignment horizontal="center"/>
    </xf>
    <xf numFmtId="168" fontId="80" fillId="20" borderId="311" xfId="180" applyNumberFormat="1" applyFont="1" applyFill="1" applyBorder="1" applyAlignment="1">
      <alignment horizontal="right" indent="1"/>
    </xf>
    <xf numFmtId="190" fontId="55" fillId="0" borderId="247" xfId="0" applyNumberFormat="1" applyFont="1" applyFill="1" applyBorder="1" applyAlignment="1">
      <alignment horizontal="center" vertical="center"/>
    </xf>
    <xf numFmtId="0" fontId="1" fillId="0" borderId="0" xfId="0" applyFont="1" applyFill="1" applyBorder="1" applyAlignment="1">
      <alignment vertical="center"/>
    </xf>
    <xf numFmtId="0" fontId="257" fillId="0" borderId="0" xfId="0" applyFont="1" applyFill="1" applyBorder="1" applyAlignment="1">
      <alignment vertical="center"/>
    </xf>
    <xf numFmtId="0" fontId="257" fillId="0" borderId="311" xfId="0" applyFont="1" applyFill="1" applyBorder="1" applyAlignment="1">
      <alignment vertical="center"/>
    </xf>
    <xf numFmtId="0" fontId="257" fillId="0" borderId="311" xfId="0" applyFont="1" applyFill="1" applyBorder="1" applyAlignment="1">
      <alignment horizontal="right" vertical="center"/>
    </xf>
    <xf numFmtId="0" fontId="260" fillId="0" borderId="0" xfId="0" applyFont="1" applyFill="1" applyBorder="1" applyAlignment="1">
      <alignment vertical="center"/>
    </xf>
    <xf numFmtId="0" fontId="260" fillId="0" borderId="311" xfId="0" applyFont="1" applyFill="1" applyBorder="1" applyAlignment="1">
      <alignment vertical="center"/>
    </xf>
    <xf numFmtId="0" fontId="260" fillId="0" borderId="311" xfId="0" applyFont="1" applyFill="1" applyBorder="1" applyAlignment="1">
      <alignment horizontal="right" vertical="center"/>
    </xf>
    <xf numFmtId="0" fontId="53" fillId="0" borderId="0" xfId="146" applyFont="1" applyBorder="1" applyAlignment="1">
      <alignment horizontal="center" vertical="center"/>
    </xf>
    <xf numFmtId="0" fontId="1" fillId="0" borderId="0" xfId="0" applyFont="1" applyBorder="1" applyAlignment="1">
      <alignment vertical="center"/>
    </xf>
    <xf numFmtId="0" fontId="261" fillId="0" borderId="311" xfId="0" applyFont="1" applyFill="1" applyBorder="1" applyAlignment="1">
      <alignment vertical="center"/>
    </xf>
    <xf numFmtId="0" fontId="262" fillId="0" borderId="311" xfId="0" applyFont="1" applyFill="1" applyBorder="1" applyAlignment="1">
      <alignment horizontal="right" vertical="center"/>
    </xf>
    <xf numFmtId="0" fontId="264" fillId="0" borderId="0" xfId="146" applyFont="1" applyBorder="1" applyAlignment="1">
      <alignment horizontal="center" vertical="center"/>
    </xf>
    <xf numFmtId="0" fontId="80" fillId="0" borderId="28" xfId="142" applyFont="1" applyFill="1" applyBorder="1" applyAlignment="1">
      <alignment horizontal="center" vertical="center"/>
    </xf>
    <xf numFmtId="0" fontId="38" fillId="0" borderId="16" xfId="142" applyFont="1" applyBorder="1" applyAlignment="1">
      <alignment horizontal="center" vertical="center"/>
    </xf>
    <xf numFmtId="0" fontId="240" fillId="0" borderId="278" xfId="142" applyFont="1" applyBorder="1" applyAlignment="1">
      <alignment horizontal="center" vertical="center"/>
    </xf>
    <xf numFmtId="0" fontId="41" fillId="0" borderId="16" xfId="142" applyFont="1" applyFill="1" applyBorder="1" applyAlignment="1">
      <alignment horizontal="center" vertical="center" wrapText="1"/>
    </xf>
    <xf numFmtId="0" fontId="80" fillId="0" borderId="278" xfId="142" applyFont="1" applyFill="1" applyBorder="1" applyAlignment="1">
      <alignment horizontal="center" vertical="center" wrapText="1"/>
    </xf>
    <xf numFmtId="0" fontId="265" fillId="0" borderId="0" xfId="142" applyFont="1"/>
    <xf numFmtId="0" fontId="38" fillId="0" borderId="27" xfId="142" applyFont="1" applyFill="1" applyBorder="1" applyAlignment="1">
      <alignment horizontal="center"/>
    </xf>
    <xf numFmtId="0" fontId="38" fillId="0" borderId="153" xfId="142" applyFont="1" applyFill="1" applyBorder="1" applyAlignment="1">
      <alignment horizontal="center"/>
    </xf>
    <xf numFmtId="168" fontId="55" fillId="0" borderId="29" xfId="180" applyNumberFormat="1" applyFont="1" applyFill="1" applyBorder="1" applyAlignment="1">
      <alignment horizontal="right" vertical="center" indent="1"/>
    </xf>
    <xf numFmtId="0" fontId="55" fillId="0" borderId="27" xfId="142" applyFont="1" applyFill="1" applyBorder="1" applyAlignment="1">
      <alignment horizontal="center" vertical="center"/>
    </xf>
    <xf numFmtId="0" fontId="80" fillId="0" borderId="301" xfId="142" applyFont="1" applyFill="1" applyBorder="1" applyAlignment="1">
      <alignment horizontal="center" vertical="center"/>
    </xf>
    <xf numFmtId="0" fontId="38" fillId="0" borderId="18" xfId="142" applyFont="1" applyFill="1" applyBorder="1" applyAlignment="1">
      <alignment horizontal="center"/>
    </xf>
    <xf numFmtId="0" fontId="38" fillId="0" borderId="146" xfId="142" applyFont="1" applyFill="1" applyBorder="1" applyAlignment="1">
      <alignment horizontal="center"/>
    </xf>
    <xf numFmtId="168" fontId="55" fillId="0" borderId="19" xfId="180" applyNumberFormat="1" applyFont="1" applyFill="1" applyBorder="1" applyAlignment="1">
      <alignment horizontal="right" vertical="center" indent="1"/>
    </xf>
    <xf numFmtId="0" fontId="55" fillId="0" borderId="18" xfId="142" applyFont="1" applyFill="1" applyBorder="1" applyAlignment="1">
      <alignment horizontal="center" vertical="center"/>
    </xf>
    <xf numFmtId="0" fontId="80" fillId="0" borderId="298" xfId="142" applyFont="1" applyFill="1" applyBorder="1" applyAlignment="1">
      <alignment horizontal="center" vertical="center"/>
    </xf>
    <xf numFmtId="0" fontId="80" fillId="0" borderId="281" xfId="142" applyFont="1" applyFill="1" applyBorder="1" applyAlignment="1">
      <alignment horizontal="center"/>
    </xf>
    <xf numFmtId="168" fontId="80" fillId="0" borderId="21" xfId="180" applyNumberFormat="1" applyFont="1" applyFill="1" applyBorder="1" applyAlignment="1">
      <alignment horizontal="right" vertical="center" indent="1"/>
    </xf>
    <xf numFmtId="0" fontId="80" fillId="0" borderId="281" xfId="142" applyFont="1" applyFill="1" applyBorder="1" applyAlignment="1">
      <alignment horizontal="center" vertical="center"/>
    </xf>
    <xf numFmtId="0" fontId="80" fillId="0" borderId="300" xfId="142" applyFont="1" applyFill="1" applyBorder="1" applyAlignment="1">
      <alignment horizontal="center" vertical="center"/>
    </xf>
    <xf numFmtId="0" fontId="240" fillId="0" borderId="11" xfId="142" applyFont="1" applyBorder="1" applyAlignment="1">
      <alignment horizontal="right" indent="1"/>
    </xf>
    <xf numFmtId="0" fontId="38" fillId="0" borderId="24" xfId="142" applyFont="1" applyFill="1" applyBorder="1" applyAlignment="1">
      <alignment horizontal="center"/>
    </xf>
    <xf numFmtId="0" fontId="38" fillId="0" borderId="152" xfId="142" applyFont="1" applyFill="1" applyBorder="1" applyAlignment="1">
      <alignment horizontal="center"/>
    </xf>
    <xf numFmtId="0" fontId="55" fillId="0" borderId="24" xfId="142" applyFont="1" applyFill="1" applyBorder="1" applyAlignment="1">
      <alignment horizontal="center" vertical="center"/>
    </xf>
    <xf numFmtId="0" fontId="55" fillId="0" borderId="301" xfId="142" applyFont="1" applyFill="1" applyBorder="1" applyAlignment="1">
      <alignment horizontal="center" vertical="center"/>
    </xf>
    <xf numFmtId="0" fontId="55" fillId="0" borderId="298" xfId="142" applyFont="1" applyFill="1" applyBorder="1" applyAlignment="1">
      <alignment horizontal="center" vertical="center"/>
    </xf>
    <xf numFmtId="0" fontId="40" fillId="0" borderId="281" xfId="142" applyFont="1" applyFill="1" applyBorder="1" applyAlignment="1">
      <alignment horizontal="center"/>
    </xf>
    <xf numFmtId="0" fontId="40" fillId="0" borderId="149" xfId="142" applyFont="1" applyFill="1" applyBorder="1" applyAlignment="1">
      <alignment horizontal="center"/>
    </xf>
    <xf numFmtId="0" fontId="80" fillId="20" borderId="317" xfId="142" applyFont="1" applyFill="1" applyBorder="1" applyAlignment="1">
      <alignment horizontal="center"/>
    </xf>
    <xf numFmtId="0" fontId="80" fillId="20" borderId="317" xfId="142" applyFont="1" applyFill="1" applyBorder="1" applyAlignment="1">
      <alignment horizontal="center" vertical="center"/>
    </xf>
    <xf numFmtId="0" fontId="80" fillId="20" borderId="335" xfId="142" applyFont="1" applyFill="1" applyBorder="1" applyAlignment="1">
      <alignment horizontal="center" vertical="center"/>
    </xf>
    <xf numFmtId="9" fontId="51" fillId="0" borderId="0" xfId="3359" applyFont="1" applyAlignment="1">
      <alignment horizontal="center" vertical="center"/>
    </xf>
    <xf numFmtId="0" fontId="88" fillId="33" borderId="148" xfId="3786" applyFont="1" applyFill="1" applyBorder="1" applyAlignment="1">
      <alignment horizontal="center" vertical="center"/>
    </xf>
    <xf numFmtId="0" fontId="256" fillId="33" borderId="195" xfId="3786" applyFont="1" applyFill="1" applyBorder="1" applyAlignment="1">
      <alignment horizontal="center" vertical="center" wrapText="1"/>
    </xf>
    <xf numFmtId="0" fontId="42" fillId="0" borderId="337" xfId="3786" applyFont="1" applyFill="1" applyBorder="1" applyAlignment="1">
      <alignment horizontal="center" vertical="center" wrapText="1"/>
    </xf>
    <xf numFmtId="0" fontId="42" fillId="0" borderId="337" xfId="3786" applyFont="1" applyFill="1" applyBorder="1" applyAlignment="1">
      <alignment horizontal="left" vertical="center" indent="1"/>
    </xf>
    <xf numFmtId="0" fontId="42" fillId="0" borderId="337" xfId="3786" applyFont="1" applyFill="1" applyBorder="1" applyAlignment="1">
      <alignment horizontal="center" vertical="center"/>
    </xf>
    <xf numFmtId="0" fontId="231" fillId="0" borderId="338" xfId="3786" applyFont="1" applyFill="1" applyBorder="1" applyAlignment="1">
      <alignment horizontal="center" vertical="center"/>
    </xf>
    <xf numFmtId="0" fontId="306" fillId="33" borderId="195" xfId="3786" applyFont="1" applyFill="1" applyBorder="1" applyAlignment="1">
      <alignment horizontal="center" vertical="center"/>
    </xf>
    <xf numFmtId="0" fontId="306" fillId="0" borderId="195" xfId="3786" applyFont="1" applyFill="1" applyBorder="1" applyAlignment="1">
      <alignment horizontal="center" vertical="center" wrapText="1"/>
    </xf>
    <xf numFmtId="0" fontId="42" fillId="0" borderId="338" xfId="3786" applyFont="1" applyFill="1" applyBorder="1" applyAlignment="1">
      <alignment horizontal="center" vertical="center" wrapText="1"/>
    </xf>
    <xf numFmtId="0" fontId="43" fillId="0" borderId="16" xfId="167" applyFont="1" applyFill="1" applyBorder="1" applyAlignment="1">
      <alignment horizontal="center" vertical="center" wrapText="1"/>
    </xf>
    <xf numFmtId="0" fontId="32" fillId="0" borderId="0" xfId="0" applyFont="1" applyAlignment="1">
      <alignment horizontal="center"/>
    </xf>
    <xf numFmtId="0" fontId="161" fillId="34" borderId="339" xfId="0" applyFont="1" applyFill="1" applyBorder="1" applyAlignment="1">
      <alignment horizontal="center" vertical="center" wrapText="1"/>
    </xf>
    <xf numFmtId="0" fontId="161" fillId="34" borderId="339" xfId="0" applyFont="1" applyFill="1" applyBorder="1" applyAlignment="1">
      <alignment horizontal="center" vertical="center"/>
    </xf>
    <xf numFmtId="0" fontId="32" fillId="34" borderId="339" xfId="0" applyFont="1" applyFill="1" applyBorder="1" applyAlignment="1">
      <alignment horizontal="center" vertical="center" wrapText="1"/>
    </xf>
    <xf numFmtId="0" fontId="32" fillId="0" borderId="0" xfId="0" applyFont="1" applyAlignment="1">
      <alignment horizontal="left" vertical="center"/>
    </xf>
    <xf numFmtId="0" fontId="161" fillId="20" borderId="339" xfId="0" applyFont="1" applyFill="1" applyBorder="1" applyAlignment="1">
      <alignment horizontal="center" vertical="center"/>
    </xf>
    <xf numFmtId="0" fontId="161" fillId="43" borderId="339" xfId="0" applyFont="1" applyFill="1" applyBorder="1" applyAlignment="1">
      <alignment horizontal="center" vertical="center"/>
    </xf>
    <xf numFmtId="0" fontId="161" fillId="20" borderId="339" xfId="452" applyFont="1" applyFill="1" applyBorder="1" applyAlignment="1">
      <alignment horizontal="center" vertical="center" wrapText="1"/>
    </xf>
    <xf numFmtId="0" fontId="161" fillId="20" borderId="339" xfId="452" applyFont="1" applyFill="1" applyBorder="1" applyAlignment="1">
      <alignment horizontal="center" vertical="center"/>
    </xf>
    <xf numFmtId="0" fontId="32" fillId="0" borderId="339" xfId="0" applyFont="1" applyBorder="1" applyAlignment="1">
      <alignment vertical="center"/>
    </xf>
    <xf numFmtId="0" fontId="32" fillId="0" borderId="339" xfId="0" applyFont="1" applyBorder="1" applyAlignment="1">
      <alignment horizontal="center" vertical="center"/>
    </xf>
    <xf numFmtId="0" fontId="32" fillId="0" borderId="339" xfId="0" applyFont="1" applyBorder="1" applyAlignment="1">
      <alignment horizontal="center"/>
    </xf>
    <xf numFmtId="168" fontId="32" fillId="0" borderId="339" xfId="0" applyNumberFormat="1" applyFont="1" applyBorder="1" applyAlignment="1">
      <alignment horizontal="center"/>
    </xf>
    <xf numFmtId="191" fontId="32" fillId="0" borderId="339" xfId="452" applyNumberFormat="1" applyFont="1" applyBorder="1" applyAlignment="1">
      <alignment horizontal="center"/>
    </xf>
    <xf numFmtId="191" fontId="32" fillId="0" borderId="339" xfId="818" applyNumberFormat="1" applyFont="1" applyBorder="1" applyAlignment="1">
      <alignment horizontal="center"/>
    </xf>
    <xf numFmtId="0" fontId="161" fillId="20" borderId="339" xfId="0" applyFont="1" applyFill="1" applyBorder="1" applyAlignment="1">
      <alignment vertical="center"/>
    </xf>
    <xf numFmtId="0" fontId="161" fillId="20" borderId="339" xfId="0" applyFont="1" applyFill="1" applyBorder="1" applyAlignment="1">
      <alignment horizontal="center"/>
    </xf>
    <xf numFmtId="168" fontId="161" fillId="43" borderId="339" xfId="0" applyNumberFormat="1" applyFont="1" applyFill="1" applyBorder="1" applyAlignment="1">
      <alignment horizontal="center"/>
    </xf>
    <xf numFmtId="168" fontId="161" fillId="20" borderId="339" xfId="0" applyNumberFormat="1" applyFont="1" applyFill="1" applyBorder="1" applyAlignment="1">
      <alignment horizontal="center"/>
    </xf>
    <xf numFmtId="168" fontId="161" fillId="20" borderId="339" xfId="452" applyNumberFormat="1" applyFont="1" applyFill="1" applyBorder="1" applyAlignment="1">
      <alignment horizontal="center"/>
    </xf>
    <xf numFmtId="168" fontId="161" fillId="0" borderId="0" xfId="0" applyNumberFormat="1" applyFont="1" applyFill="1" applyBorder="1" applyAlignment="1">
      <alignment horizontal="center"/>
    </xf>
    <xf numFmtId="0" fontId="161" fillId="20" borderId="286" xfId="0" applyFont="1" applyFill="1" applyBorder="1" applyAlignment="1">
      <alignment horizontal="center" vertical="center" wrapText="1"/>
    </xf>
    <xf numFmtId="0" fontId="161" fillId="20" borderId="286" xfId="0" applyFont="1" applyFill="1" applyBorder="1" applyAlignment="1">
      <alignment horizontal="center" vertical="center"/>
    </xf>
    <xf numFmtId="0" fontId="161" fillId="20" borderId="286" xfId="144" applyFont="1" applyFill="1" applyBorder="1" applyAlignment="1">
      <alignment horizontal="center" vertical="center"/>
    </xf>
    <xf numFmtId="0" fontId="161" fillId="20" borderId="286" xfId="2459" applyFont="1" applyFill="1" applyBorder="1" applyAlignment="1">
      <alignment horizontal="center" vertical="center"/>
    </xf>
    <xf numFmtId="0" fontId="161" fillId="20" borderId="339" xfId="0" applyFont="1" applyFill="1" applyBorder="1" applyAlignment="1">
      <alignment horizontal="center" vertical="center" wrapText="1"/>
    </xf>
    <xf numFmtId="0" fontId="32" fillId="0" borderId="339" xfId="2459" applyFont="1" applyBorder="1"/>
    <xf numFmtId="171" fontId="32" fillId="0" borderId="339" xfId="0" applyNumberFormat="1" applyFont="1" applyBorder="1" applyAlignment="1">
      <alignment horizontal="center" vertical="center"/>
    </xf>
    <xf numFmtId="168" fontId="32" fillId="0" borderId="339" xfId="0" applyNumberFormat="1" applyFont="1" applyBorder="1" applyAlignment="1">
      <alignment horizontal="center" vertical="center"/>
    </xf>
    <xf numFmtId="182" fontId="32" fillId="0" borderId="339" xfId="3790" applyNumberFormat="1" applyFont="1" applyBorder="1" applyAlignment="1">
      <alignment horizontal="center" vertical="center"/>
    </xf>
    <xf numFmtId="191" fontId="32" fillId="0" borderId="339" xfId="452" applyNumberFormat="1" applyFont="1" applyBorder="1" applyAlignment="1">
      <alignment horizontal="center" vertical="center"/>
    </xf>
    <xf numFmtId="9" fontId="32" fillId="0" borderId="339" xfId="3791" applyNumberFormat="1" applyFont="1" applyBorder="1" applyAlignment="1">
      <alignment horizontal="center" vertical="center"/>
    </xf>
    <xf numFmtId="191" fontId="32" fillId="0" borderId="339" xfId="3791" applyNumberFormat="1" applyFont="1" applyBorder="1" applyAlignment="1">
      <alignment horizontal="center" vertical="center"/>
    </xf>
    <xf numFmtId="0" fontId="32" fillId="0" borderId="286" xfId="0" applyFont="1" applyBorder="1" applyAlignment="1">
      <alignment horizontal="center" vertical="center" wrapText="1"/>
    </xf>
    <xf numFmtId="0" fontId="32" fillId="0" borderId="339" xfId="238" applyFont="1" applyBorder="1" applyAlignment="1">
      <alignment vertical="center" wrapText="1"/>
    </xf>
    <xf numFmtId="0" fontId="32" fillId="0" borderId="329" xfId="0" applyFont="1" applyBorder="1" applyAlignment="1">
      <alignment horizontal="center" vertical="center"/>
    </xf>
    <xf numFmtId="0" fontId="32" fillId="0" borderId="339" xfId="0" applyFont="1" applyBorder="1" applyAlignment="1">
      <alignment horizontal="center" vertical="center" wrapText="1"/>
    </xf>
    <xf numFmtId="0" fontId="161" fillId="20" borderId="329" xfId="2459" applyFont="1" applyFill="1" applyBorder="1" applyAlignment="1">
      <alignment horizontal="center" vertical="center"/>
    </xf>
    <xf numFmtId="171" fontId="161" fillId="20" borderId="339" xfId="0" applyNumberFormat="1" applyFont="1" applyFill="1" applyBorder="1" applyAlignment="1">
      <alignment horizontal="center" vertical="center"/>
    </xf>
    <xf numFmtId="191" fontId="161" fillId="43" borderId="339" xfId="452" applyNumberFormat="1" applyFont="1" applyFill="1" applyBorder="1" applyAlignment="1">
      <alignment horizontal="center" vertical="center"/>
    </xf>
    <xf numFmtId="191" fontId="161" fillId="20" borderId="339" xfId="452" applyNumberFormat="1" applyFont="1" applyFill="1" applyBorder="1" applyAlignment="1">
      <alignment horizontal="center" vertical="center"/>
    </xf>
    <xf numFmtId="168" fontId="161" fillId="20" borderId="339" xfId="452" applyNumberFormat="1" applyFont="1" applyFill="1" applyBorder="1" applyAlignment="1">
      <alignment horizontal="center" vertical="center"/>
    </xf>
    <xf numFmtId="0" fontId="307" fillId="0" borderId="0" xfId="822" applyFont="1" applyAlignment="1">
      <alignment horizontal="center"/>
    </xf>
    <xf numFmtId="0" fontId="308" fillId="0" borderId="0" xfId="0" applyFont="1" applyAlignment="1">
      <alignment horizontal="center" vertical="center"/>
    </xf>
    <xf numFmtId="0" fontId="307" fillId="0" borderId="0" xfId="822" applyFont="1"/>
    <xf numFmtId="0" fontId="307" fillId="0" borderId="0" xfId="822" applyFont="1" applyAlignment="1">
      <alignment horizontal="left" vertical="center" wrapText="1"/>
    </xf>
    <xf numFmtId="0" fontId="42" fillId="0" borderId="0" xfId="822" applyFont="1" applyAlignment="1">
      <alignment horizontal="left" vertical="center"/>
    </xf>
    <xf numFmtId="0" fontId="32" fillId="0" borderId="0" xfId="0" applyFont="1" applyAlignment="1">
      <alignment horizontal="center" vertical="center"/>
    </xf>
    <xf numFmtId="0" fontId="32" fillId="0" borderId="0" xfId="0" applyFont="1" applyFill="1"/>
    <xf numFmtId="171" fontId="32" fillId="0" borderId="0" xfId="0" applyNumberFormat="1" applyFont="1"/>
    <xf numFmtId="0" fontId="32" fillId="0" borderId="0" xfId="822" applyFont="1" applyAlignment="1">
      <alignment horizontal="center"/>
    </xf>
    <xf numFmtId="0" fontId="32" fillId="0" borderId="0" xfId="822" applyFont="1"/>
    <xf numFmtId="0" fontId="32" fillId="0" borderId="0" xfId="797" applyFont="1"/>
    <xf numFmtId="0" fontId="161" fillId="20" borderId="339" xfId="3787" applyFont="1" applyFill="1" applyBorder="1" applyAlignment="1">
      <alignment horizontal="center" vertical="center" wrapText="1"/>
    </xf>
    <xf numFmtId="0" fontId="32" fillId="55" borderId="0" xfId="797" applyFont="1" applyFill="1"/>
    <xf numFmtId="182" fontId="32" fillId="0" borderId="339" xfId="0" applyNumberFormat="1" applyFont="1" applyBorder="1" applyAlignment="1">
      <alignment horizontal="center" vertical="center" wrapText="1"/>
    </xf>
    <xf numFmtId="171" fontId="32" fillId="0" borderId="339" xfId="0" applyNumberFormat="1" applyFont="1" applyBorder="1" applyAlignment="1">
      <alignment horizontal="center" vertical="center" wrapText="1"/>
    </xf>
    <xf numFmtId="191" fontId="32" fillId="0" borderId="339" xfId="797" applyNumberFormat="1" applyFont="1" applyBorder="1" applyAlignment="1">
      <alignment horizontal="center" vertical="center"/>
    </xf>
    <xf numFmtId="0" fontId="32" fillId="0" borderId="0" xfId="797" applyFont="1" applyBorder="1" applyAlignment="1">
      <alignment horizontal="left" wrapText="1"/>
    </xf>
    <xf numFmtId="0" fontId="32" fillId="0" borderId="342" xfId="797" applyFont="1" applyBorder="1" applyAlignment="1">
      <alignment horizontal="center" wrapText="1"/>
    </xf>
    <xf numFmtId="0" fontId="32" fillId="0" borderId="343" xfId="797" applyFont="1" applyBorder="1" applyAlignment="1">
      <alignment horizontal="left" wrapText="1"/>
    </xf>
    <xf numFmtId="0" fontId="32" fillId="0" borderId="344" xfId="797" applyFont="1" applyBorder="1" applyAlignment="1">
      <alignment horizontal="center" wrapText="1"/>
    </xf>
    <xf numFmtId="0" fontId="32" fillId="0" borderId="345" xfId="797" applyFont="1" applyBorder="1" applyAlignment="1">
      <alignment horizontal="center" wrapText="1"/>
    </xf>
    <xf numFmtId="0" fontId="32" fillId="0" borderId="346" xfId="797" applyFont="1" applyBorder="1" applyAlignment="1">
      <alignment horizontal="center" wrapText="1"/>
    </xf>
    <xf numFmtId="0" fontId="32" fillId="60" borderId="347" xfId="797" applyFont="1" applyFill="1" applyBorder="1" applyAlignment="1">
      <alignment horizontal="left" vertical="top" wrapText="1"/>
    </xf>
    <xf numFmtId="191" fontId="32" fillId="0" borderId="348" xfId="797" applyNumberFormat="1" applyFont="1" applyBorder="1" applyAlignment="1">
      <alignment horizontal="right" vertical="top"/>
    </xf>
    <xf numFmtId="191" fontId="32" fillId="0" borderId="349" xfId="797" applyNumberFormat="1" applyFont="1" applyBorder="1" applyAlignment="1">
      <alignment horizontal="right" vertical="top"/>
    </xf>
    <xf numFmtId="191" fontId="32" fillId="0" borderId="350" xfId="797" applyNumberFormat="1" applyFont="1" applyBorder="1" applyAlignment="1">
      <alignment horizontal="right" vertical="top"/>
    </xf>
    <xf numFmtId="0" fontId="32" fillId="60" borderId="351" xfId="797" applyFont="1" applyFill="1" applyBorder="1" applyAlignment="1">
      <alignment horizontal="left" vertical="top" wrapText="1"/>
    </xf>
    <xf numFmtId="191" fontId="32" fillId="0" borderId="352" xfId="797" applyNumberFormat="1" applyFont="1" applyBorder="1" applyAlignment="1">
      <alignment horizontal="right" vertical="top"/>
    </xf>
    <xf numFmtId="191" fontId="32" fillId="0" borderId="353" xfId="797" applyNumberFormat="1" applyFont="1" applyBorder="1" applyAlignment="1">
      <alignment horizontal="right" vertical="top"/>
    </xf>
    <xf numFmtId="191" fontId="32" fillId="0" borderId="354" xfId="797" applyNumberFormat="1" applyFont="1" applyBorder="1" applyAlignment="1">
      <alignment horizontal="right" vertical="top"/>
    </xf>
    <xf numFmtId="0" fontId="161" fillId="0" borderId="339" xfId="0" applyFont="1" applyBorder="1" applyAlignment="1">
      <alignment horizontal="center" vertical="center" wrapText="1"/>
    </xf>
    <xf numFmtId="182" fontId="161" fillId="0" borderId="339" xfId="0" applyNumberFormat="1" applyFont="1" applyBorder="1" applyAlignment="1">
      <alignment horizontal="center" vertical="center" wrapText="1"/>
    </xf>
    <xf numFmtId="171" fontId="161" fillId="0" borderId="339" xfId="0" applyNumberFormat="1" applyFont="1" applyBorder="1" applyAlignment="1">
      <alignment horizontal="center" vertical="center" wrapText="1"/>
    </xf>
    <xf numFmtId="191" fontId="32" fillId="61" borderId="339" xfId="797" applyNumberFormat="1" applyFont="1" applyFill="1" applyBorder="1" applyAlignment="1">
      <alignment horizontal="center" vertical="center"/>
    </xf>
    <xf numFmtId="0" fontId="32" fillId="0" borderId="0" xfId="3792" applyFont="1" applyFill="1" applyBorder="1" applyAlignment="1">
      <alignment horizontal="left"/>
    </xf>
    <xf numFmtId="0" fontId="32" fillId="0" borderId="0" xfId="3792" applyFont="1" applyFill="1" applyBorder="1" applyAlignment="1">
      <alignment horizontal="center" vertical="center"/>
    </xf>
    <xf numFmtId="0" fontId="32" fillId="0" borderId="0" xfId="3792" applyFont="1" applyFill="1" applyBorder="1" applyAlignment="1"/>
    <xf numFmtId="0" fontId="32" fillId="0" borderId="0" xfId="3792" applyFont="1" applyFill="1" applyBorder="1" applyAlignment="1">
      <alignment horizontal="center"/>
    </xf>
    <xf numFmtId="171" fontId="32" fillId="0" borderId="0" xfId="3792" applyNumberFormat="1" applyFont="1" applyFill="1" applyBorder="1" applyAlignment="1">
      <alignment horizontal="center"/>
    </xf>
    <xf numFmtId="0" fontId="161" fillId="0" borderId="339" xfId="3792" applyFont="1" applyFill="1" applyBorder="1" applyAlignment="1">
      <alignment horizontal="center"/>
    </xf>
    <xf numFmtId="0" fontId="161" fillId="0" borderId="339" xfId="3792" applyFont="1" applyFill="1" applyBorder="1" applyAlignment="1">
      <alignment horizontal="center" vertical="center"/>
    </xf>
    <xf numFmtId="171" fontId="161" fillId="0" borderId="339" xfId="3792" applyNumberFormat="1" applyFont="1" applyFill="1" applyBorder="1" applyAlignment="1">
      <alignment horizontal="center"/>
    </xf>
    <xf numFmtId="0" fontId="161" fillId="61" borderId="339" xfId="3792" applyFont="1" applyFill="1" applyBorder="1" applyAlignment="1">
      <alignment horizontal="center"/>
    </xf>
    <xf numFmtId="0" fontId="32" fillId="0" borderId="339" xfId="3792" applyFont="1" applyFill="1" applyBorder="1" applyAlignment="1">
      <alignment vertical="top"/>
    </xf>
    <xf numFmtId="0" fontId="32" fillId="0" borderId="339" xfId="3792" applyFont="1" applyFill="1" applyBorder="1" applyAlignment="1">
      <alignment horizontal="center" vertical="top"/>
    </xf>
    <xf numFmtId="182" fontId="32" fillId="0" borderId="339" xfId="3792" applyNumberFormat="1" applyFont="1" applyFill="1" applyBorder="1" applyAlignment="1">
      <alignment horizontal="center" vertical="top"/>
    </xf>
    <xf numFmtId="171" fontId="32" fillId="0" borderId="339" xfId="3792" applyNumberFormat="1" applyFont="1" applyFill="1" applyBorder="1" applyAlignment="1">
      <alignment horizontal="center" vertical="top"/>
    </xf>
    <xf numFmtId="191" fontId="32" fillId="0" borderId="339" xfId="3792" applyNumberFormat="1" applyFont="1" applyFill="1" applyBorder="1" applyAlignment="1">
      <alignment horizontal="center" vertical="top"/>
    </xf>
    <xf numFmtId="0" fontId="32" fillId="0" borderId="339" xfId="3792" applyFont="1" applyFill="1" applyBorder="1" applyAlignment="1">
      <alignment horizontal="left" vertical="top"/>
    </xf>
    <xf numFmtId="9" fontId="32" fillId="0" borderId="339" xfId="3792" applyNumberFormat="1" applyFont="1" applyFill="1" applyBorder="1" applyAlignment="1">
      <alignment horizontal="center" vertical="top"/>
    </xf>
    <xf numFmtId="0" fontId="32" fillId="0" borderId="339" xfId="3792" applyFont="1" applyFill="1" applyBorder="1" applyAlignment="1">
      <alignment horizontal="center" vertical="center"/>
    </xf>
    <xf numFmtId="0" fontId="32" fillId="0" borderId="339" xfId="3793" applyFont="1" applyFill="1" applyBorder="1" applyAlignment="1">
      <alignment horizontal="left" vertical="top"/>
    </xf>
    <xf numFmtId="0" fontId="32" fillId="0" borderId="339" xfId="3793" applyFont="1" applyFill="1" applyBorder="1" applyAlignment="1">
      <alignment horizontal="center" vertical="top"/>
    </xf>
    <xf numFmtId="182" fontId="32" fillId="0" borderId="339" xfId="3793" applyNumberFormat="1" applyFont="1" applyFill="1" applyBorder="1" applyAlignment="1">
      <alignment horizontal="center" vertical="top"/>
    </xf>
    <xf numFmtId="191" fontId="32" fillId="0" borderId="339" xfId="3793" applyNumberFormat="1" applyFont="1" applyFill="1" applyBorder="1" applyAlignment="1">
      <alignment horizontal="center" vertical="top"/>
    </xf>
    <xf numFmtId="191" fontId="32" fillId="0" borderId="351" xfId="3793" applyNumberFormat="1" applyFont="1" applyBorder="1" applyAlignment="1">
      <alignment horizontal="right" vertical="top"/>
    </xf>
    <xf numFmtId="191" fontId="32" fillId="0" borderId="355" xfId="3793" applyNumberFormat="1" applyFont="1" applyBorder="1" applyAlignment="1">
      <alignment horizontal="right" vertical="top"/>
    </xf>
    <xf numFmtId="0" fontId="32" fillId="0" borderId="339" xfId="3793" applyFont="1" applyFill="1" applyBorder="1" applyAlignment="1">
      <alignment horizontal="center" vertical="center"/>
    </xf>
    <xf numFmtId="0" fontId="32" fillId="0" borderId="0" xfId="3792" applyFont="1" applyFill="1" applyBorder="1" applyAlignment="1">
      <alignment horizontal="left" vertical="top"/>
    </xf>
    <xf numFmtId="0" fontId="161" fillId="0" borderId="339" xfId="3792" applyFont="1" applyFill="1" applyBorder="1" applyAlignment="1">
      <alignment horizontal="center" vertical="top"/>
    </xf>
    <xf numFmtId="182" fontId="161" fillId="0" borderId="339" xfId="3792" applyNumberFormat="1" applyFont="1" applyFill="1" applyBorder="1" applyAlignment="1">
      <alignment horizontal="center" vertical="top"/>
    </xf>
    <xf numFmtId="171" fontId="161" fillId="0" borderId="339" xfId="3792" applyNumberFormat="1" applyFont="1" applyFill="1" applyBorder="1" applyAlignment="1">
      <alignment horizontal="center" vertical="top"/>
    </xf>
    <xf numFmtId="191" fontId="161" fillId="61" borderId="339" xfId="3792" applyNumberFormat="1" applyFont="1" applyFill="1" applyBorder="1" applyAlignment="1">
      <alignment horizontal="center" vertical="top"/>
    </xf>
    <xf numFmtId="191" fontId="161" fillId="0" borderId="339" xfId="3792" applyNumberFormat="1" applyFont="1" applyFill="1" applyBorder="1" applyAlignment="1">
      <alignment horizontal="center" vertical="top"/>
    </xf>
    <xf numFmtId="0" fontId="245" fillId="20" borderId="339" xfId="0" applyFont="1" applyFill="1" applyBorder="1" applyAlignment="1">
      <alignment horizontal="center" vertical="center" wrapText="1"/>
    </xf>
    <xf numFmtId="171" fontId="153" fillId="0" borderId="339" xfId="0" applyNumberFormat="1" applyFont="1" applyBorder="1" applyAlignment="1">
      <alignment horizontal="center" vertical="center" wrapText="1"/>
    </xf>
    <xf numFmtId="171" fontId="245" fillId="0" borderId="339" xfId="0" applyNumberFormat="1" applyFont="1" applyBorder="1" applyAlignment="1">
      <alignment horizontal="center" vertical="center" wrapText="1"/>
    </xf>
    <xf numFmtId="0" fontId="36" fillId="20" borderId="339" xfId="3792" applyFont="1" applyFill="1" applyBorder="1" applyAlignment="1">
      <alignment horizontal="center" vertical="center"/>
    </xf>
    <xf numFmtId="0" fontId="29" fillId="0" borderId="339" xfId="3792" applyFont="1" applyFill="1" applyBorder="1" applyAlignment="1">
      <alignment horizontal="center" vertical="center"/>
    </xf>
    <xf numFmtId="171" fontId="245" fillId="20" borderId="339" xfId="0" applyNumberFormat="1" applyFont="1" applyFill="1" applyBorder="1" applyAlignment="1">
      <alignment horizontal="center" vertical="center" wrapText="1"/>
    </xf>
    <xf numFmtId="0" fontId="36" fillId="20" borderId="339" xfId="0" applyFont="1" applyFill="1" applyBorder="1" applyAlignment="1">
      <alignment horizontal="center" vertical="center"/>
    </xf>
    <xf numFmtId="0" fontId="29" fillId="0" borderId="339" xfId="239" applyFont="1" applyBorder="1" applyAlignment="1">
      <alignment horizontal="center" vertical="center"/>
    </xf>
    <xf numFmtId="0" fontId="36" fillId="20" borderId="329" xfId="0" applyFont="1" applyFill="1" applyBorder="1" applyAlignment="1">
      <alignment horizontal="center"/>
    </xf>
    <xf numFmtId="0" fontId="57" fillId="20" borderId="286" xfId="238" applyFont="1" applyFill="1" applyBorder="1" applyAlignment="1">
      <alignment horizontal="center" vertical="center"/>
    </xf>
    <xf numFmtId="0" fontId="57" fillId="20" borderId="105" xfId="238" applyFont="1" applyFill="1" applyBorder="1" applyAlignment="1">
      <alignment horizontal="center" vertical="center"/>
    </xf>
    <xf numFmtId="0" fontId="27" fillId="0" borderId="280" xfId="238" applyFont="1" applyBorder="1" applyAlignment="1">
      <alignment horizontal="center" vertical="center"/>
    </xf>
    <xf numFmtId="0" fontId="27" fillId="0" borderId="18" xfId="238" applyFont="1" applyBorder="1" applyAlignment="1">
      <alignment horizontal="center" vertical="center"/>
    </xf>
    <xf numFmtId="0" fontId="27" fillId="0" borderId="24" xfId="238" applyFont="1" applyBorder="1" applyAlignment="1">
      <alignment horizontal="center" vertical="center"/>
    </xf>
    <xf numFmtId="0" fontId="27" fillId="0" borderId="281" xfId="238" applyFont="1" applyBorder="1" applyAlignment="1">
      <alignment horizontal="center" vertical="center"/>
    </xf>
    <xf numFmtId="0" fontId="27" fillId="0" borderId="27" xfId="238" applyFont="1" applyBorder="1" applyAlignment="1">
      <alignment horizontal="center" vertical="center"/>
    </xf>
    <xf numFmtId="0" fontId="152" fillId="20" borderId="327" xfId="822" applyFont="1" applyFill="1" applyBorder="1" applyAlignment="1">
      <alignment horizontal="right"/>
    </xf>
    <xf numFmtId="0" fontId="82" fillId="20" borderId="339" xfId="0" applyFont="1" applyFill="1" applyBorder="1" applyAlignment="1">
      <alignment horizontal="center" vertical="center" wrapText="1"/>
    </xf>
    <xf numFmtId="0" fontId="152" fillId="20" borderId="286" xfId="822" applyFont="1" applyFill="1" applyBorder="1" applyAlignment="1">
      <alignment horizontal="center" vertical="center"/>
    </xf>
    <xf numFmtId="0" fontId="152" fillId="20" borderId="105" xfId="822" applyFont="1" applyFill="1" applyBorder="1" applyAlignment="1">
      <alignment horizontal="center" vertical="center"/>
    </xf>
    <xf numFmtId="0" fontId="152" fillId="0" borderId="333" xfId="822" applyFont="1" applyBorder="1" applyAlignment="1">
      <alignment vertical="center"/>
    </xf>
    <xf numFmtId="0" fontId="152" fillId="20" borderId="339" xfId="822" applyFont="1" applyFill="1" applyBorder="1" applyAlignment="1">
      <alignment horizontal="center" vertical="center"/>
    </xf>
    <xf numFmtId="2" fontId="82" fillId="20" borderId="0" xfId="0" applyNumberFormat="1" applyFont="1" applyFill="1" applyBorder="1" applyAlignment="1">
      <alignment horizontal="center" vertical="center" wrapText="1"/>
    </xf>
    <xf numFmtId="168" fontId="64" fillId="43" borderId="0" xfId="176" applyNumberFormat="1" applyFont="1" applyFill="1" applyBorder="1" applyAlignment="1">
      <alignment horizontal="center" vertical="center" wrapText="1"/>
    </xf>
    <xf numFmtId="168" fontId="64" fillId="0" borderId="0" xfId="176" applyNumberFormat="1" applyFont="1" applyBorder="1" applyAlignment="1">
      <alignment horizontal="center" vertical="center" wrapText="1"/>
    </xf>
    <xf numFmtId="171" fontId="64" fillId="20" borderId="0" xfId="176" applyNumberFormat="1" applyFont="1" applyFill="1" applyBorder="1" applyAlignment="1">
      <alignment horizontal="center" vertical="center" wrapText="1"/>
    </xf>
    <xf numFmtId="2" fontId="64" fillId="43" borderId="0" xfId="176" applyNumberFormat="1" applyFont="1" applyFill="1" applyBorder="1" applyAlignment="1">
      <alignment horizontal="center" vertical="center" wrapText="1"/>
    </xf>
    <xf numFmtId="2" fontId="64" fillId="0" borderId="0" xfId="176" applyNumberFormat="1" applyFont="1" applyBorder="1" applyAlignment="1">
      <alignment horizontal="center" vertical="center" wrapText="1"/>
    </xf>
    <xf numFmtId="2" fontId="64" fillId="20" borderId="0" xfId="176" applyNumberFormat="1" applyFont="1" applyFill="1" applyBorder="1" applyAlignment="1">
      <alignment horizontal="center" vertical="center" wrapText="1"/>
    </xf>
    <xf numFmtId="2" fontId="64" fillId="0" borderId="0" xfId="176" applyNumberFormat="1" applyFont="1" applyFill="1" applyBorder="1" applyAlignment="1">
      <alignment horizontal="center" vertical="center" wrapText="1"/>
    </xf>
    <xf numFmtId="0" fontId="67" fillId="20" borderId="339" xfId="639" applyFont="1" applyFill="1" applyBorder="1" applyAlignment="1">
      <alignment horizontal="center" vertical="center"/>
    </xf>
    <xf numFmtId="0" fontId="67" fillId="0" borderId="329" xfId="639" applyFont="1" applyBorder="1" applyAlignment="1">
      <alignment horizontal="center" vertical="center"/>
    </xf>
    <xf numFmtId="0" fontId="82" fillId="20" borderId="0" xfId="0" applyFont="1" applyFill="1" applyBorder="1" applyAlignment="1">
      <alignment horizontal="center" vertical="center" wrapText="1"/>
    </xf>
    <xf numFmtId="168" fontId="157" fillId="43" borderId="0" xfId="176" applyNumberFormat="1" applyFont="1" applyFill="1" applyBorder="1" applyAlignment="1">
      <alignment horizontal="center" vertical="center"/>
    </xf>
    <xf numFmtId="183" fontId="73" fillId="43" borderId="0" xfId="802" applyNumberFormat="1" applyFont="1" applyFill="1" applyBorder="1" applyAlignment="1">
      <alignment horizontal="center" vertical="center"/>
    </xf>
    <xf numFmtId="183" fontId="73" fillId="20" borderId="0" xfId="802" applyNumberFormat="1" applyFont="1" applyFill="1" applyBorder="1" applyAlignment="1">
      <alignment horizontal="center" vertical="center"/>
    </xf>
    <xf numFmtId="9" fontId="44" fillId="34" borderId="0" xfId="176" applyFont="1" applyFill="1" applyBorder="1" applyAlignment="1">
      <alignment horizontal="center" vertical="center" wrapText="1"/>
    </xf>
    <xf numFmtId="9" fontId="45" fillId="34" borderId="0" xfId="176" applyFont="1" applyFill="1" applyBorder="1" applyAlignment="1">
      <alignment horizontal="center" vertical="center" wrapText="1"/>
    </xf>
    <xf numFmtId="168" fontId="82" fillId="21" borderId="0" xfId="176" applyNumberFormat="1" applyFont="1" applyFill="1" applyBorder="1" applyAlignment="1">
      <alignment horizontal="center" vertical="center" wrapText="1"/>
    </xf>
    <xf numFmtId="171" fontId="64" fillId="34" borderId="0" xfId="176" applyNumberFormat="1" applyFont="1" applyFill="1" applyBorder="1" applyAlignment="1">
      <alignment horizontal="center" vertical="center" wrapText="1"/>
    </xf>
    <xf numFmtId="9" fontId="82" fillId="20" borderId="0" xfId="176" applyFont="1" applyFill="1" applyBorder="1" applyAlignment="1">
      <alignment horizontal="center" vertical="center" wrapText="1"/>
    </xf>
    <xf numFmtId="10" fontId="64" fillId="21" borderId="0" xfId="176" applyNumberFormat="1" applyFont="1" applyFill="1" applyBorder="1" applyAlignment="1">
      <alignment horizontal="center" vertical="center" wrapText="1"/>
    </xf>
    <xf numFmtId="10" fontId="64" fillId="34" borderId="0" xfId="176" applyNumberFormat="1" applyFont="1" applyFill="1" applyBorder="1" applyAlignment="1">
      <alignment horizontal="center" vertical="center" wrapText="1"/>
    </xf>
    <xf numFmtId="0" fontId="0" fillId="0" borderId="0" xfId="0" applyFill="1"/>
    <xf numFmtId="0" fontId="80" fillId="0" borderId="226" xfId="0" applyFont="1" applyFill="1" applyBorder="1" applyAlignment="1">
      <alignment horizontal="centerContinuous" vertical="center"/>
    </xf>
    <xf numFmtId="167" fontId="40" fillId="0" borderId="226" xfId="217" applyNumberFormat="1" applyFont="1" applyFill="1" applyBorder="1" applyAlignment="1">
      <alignment vertical="center"/>
    </xf>
    <xf numFmtId="168" fontId="40" fillId="0" borderId="226" xfId="176" applyNumberFormat="1" applyFont="1" applyFill="1" applyBorder="1" applyAlignment="1">
      <alignment horizontal="right" indent="1"/>
    </xf>
    <xf numFmtId="0" fontId="42" fillId="0" borderId="28" xfId="0" applyFont="1" applyFill="1" applyBorder="1" applyAlignment="1">
      <alignment vertical="center"/>
    </xf>
    <xf numFmtId="0" fontId="0" fillId="0" borderId="0" xfId="0" applyFont="1" applyFill="1"/>
    <xf numFmtId="0" fontId="80" fillId="0" borderId="226" xfId="0" applyFont="1" applyFill="1" applyBorder="1" applyAlignment="1">
      <alignment horizontal="center" vertical="center"/>
    </xf>
    <xf numFmtId="0" fontId="0" fillId="0" borderId="0" xfId="0" applyFont="1" applyFill="1" applyBorder="1" applyAlignment="1">
      <alignment vertical="center"/>
    </xf>
    <xf numFmtId="168" fontId="40" fillId="0" borderId="226" xfId="176" applyNumberFormat="1" applyFont="1" applyFill="1" applyBorder="1" applyAlignment="1">
      <alignment horizontal="right" vertical="center" indent="1"/>
    </xf>
    <xf numFmtId="0" fontId="0" fillId="0" borderId="0" xfId="0" applyFill="1" applyAlignment="1">
      <alignment vertical="center"/>
    </xf>
    <xf numFmtId="0" fontId="43" fillId="0" borderId="23" xfId="149" applyFont="1" applyFill="1" applyBorder="1" applyAlignment="1">
      <alignment horizontal="center" vertical="center"/>
    </xf>
    <xf numFmtId="0" fontId="56" fillId="0" borderId="0" xfId="0" applyFont="1" applyFill="1"/>
    <xf numFmtId="3" fontId="43" fillId="0" borderId="23" xfId="149" applyNumberFormat="1" applyFont="1" applyFill="1" applyBorder="1" applyAlignment="1">
      <alignment horizontal="right" vertical="center" indent="1"/>
    </xf>
    <xf numFmtId="168" fontId="43" fillId="0" borderId="23" xfId="176" applyNumberFormat="1" applyFont="1" applyFill="1" applyBorder="1" applyAlignment="1">
      <alignment horizontal="right" vertical="center" indent="1"/>
    </xf>
    <xf numFmtId="0" fontId="56" fillId="0" borderId="0" xfId="0" applyFont="1" applyFill="1" applyAlignment="1">
      <alignment horizontal="center" wrapText="1"/>
    </xf>
    <xf numFmtId="0" fontId="88" fillId="0" borderId="0" xfId="0" applyFont="1" applyFill="1"/>
    <xf numFmtId="0" fontId="6" fillId="0" borderId="0" xfId="149" applyFont="1" applyFill="1"/>
    <xf numFmtId="0" fontId="103" fillId="0" borderId="0" xfId="0" applyFont="1" applyFill="1" applyAlignment="1">
      <alignment horizontal="center" vertical="center"/>
    </xf>
    <xf numFmtId="0" fontId="65" fillId="0" borderId="0" xfId="149" applyFont="1" applyFill="1"/>
    <xf numFmtId="0" fontId="43" fillId="0" borderId="226" xfId="149" applyFont="1" applyFill="1" applyBorder="1" applyAlignment="1">
      <alignment horizontal="center" vertical="center"/>
    </xf>
    <xf numFmtId="3" fontId="43" fillId="0" borderId="226" xfId="149" applyNumberFormat="1" applyFont="1" applyFill="1" applyBorder="1" applyAlignment="1">
      <alignment horizontal="right" vertical="center" indent="1"/>
    </xf>
    <xf numFmtId="168" fontId="43" fillId="0" borderId="0" xfId="176" applyNumberFormat="1" applyFont="1" applyFill="1" applyBorder="1" applyAlignment="1">
      <alignment horizontal="right" vertical="center" indent="1"/>
    </xf>
    <xf numFmtId="168" fontId="40" fillId="0" borderId="0" xfId="176" applyNumberFormat="1" applyFont="1" applyFill="1" applyBorder="1" applyAlignment="1">
      <alignment horizontal="right" indent="1"/>
    </xf>
    <xf numFmtId="0" fontId="0" fillId="0" borderId="0" xfId="0"/>
    <xf numFmtId="0" fontId="0" fillId="0" borderId="28" xfId="0" applyFont="1" applyFill="1" applyBorder="1" applyAlignment="1">
      <alignment horizontal="center" vertical="center" wrapText="1"/>
    </xf>
    <xf numFmtId="0" fontId="0" fillId="0" borderId="0" xfId="0"/>
    <xf numFmtId="0" fontId="40" fillId="0" borderId="16" xfId="0" applyFont="1" applyBorder="1" applyAlignment="1">
      <alignment horizontal="center" vertical="center" wrapText="1"/>
    </xf>
    <xf numFmtId="0" fontId="56" fillId="0" borderId="0" xfId="0" applyFont="1" applyAlignment="1">
      <alignment horizontal="center" vertical="center" wrapText="1"/>
    </xf>
    <xf numFmtId="0" fontId="2" fillId="0" borderId="0" xfId="0" applyFont="1" applyAlignment="1">
      <alignment horizontal="center" vertical="center" wrapText="1"/>
    </xf>
    <xf numFmtId="0" fontId="201" fillId="0" borderId="16" xfId="0" applyFont="1" applyFill="1" applyBorder="1" applyAlignment="1">
      <alignment horizontal="center" vertical="center" wrapText="1"/>
    </xf>
    <xf numFmtId="0" fontId="0" fillId="0" borderId="356" xfId="0" applyFill="1" applyBorder="1" applyAlignment="1">
      <alignment horizontal="center"/>
    </xf>
    <xf numFmtId="0" fontId="42" fillId="0" borderId="356" xfId="377" applyFont="1" applyFill="1" applyBorder="1" applyAlignment="1">
      <alignment horizontal="left" vertical="center" wrapText="1"/>
    </xf>
    <xf numFmtId="0" fontId="0" fillId="0" borderId="357" xfId="0" applyFill="1" applyBorder="1" applyAlignment="1">
      <alignment horizontal="center"/>
    </xf>
    <xf numFmtId="0" fontId="42" fillId="0" borderId="357" xfId="377" applyFont="1" applyFill="1" applyBorder="1" applyAlignment="1">
      <alignment horizontal="left" vertical="center" wrapText="1"/>
    </xf>
    <xf numFmtId="0" fontId="229" fillId="0" borderId="357" xfId="0" applyFont="1" applyFill="1" applyBorder="1" applyAlignment="1">
      <alignment horizontal="center" vertical="center" wrapText="1"/>
    </xf>
    <xf numFmtId="0" fontId="0" fillId="0" borderId="357" xfId="0" applyFill="1" applyBorder="1"/>
    <xf numFmtId="0" fontId="0" fillId="0" borderId="357" xfId="0" applyFont="1" applyFill="1" applyBorder="1" applyAlignment="1">
      <alignment horizontal="center"/>
    </xf>
    <xf numFmtId="0" fontId="42" fillId="0" borderId="357" xfId="0" applyFont="1" applyFill="1" applyBorder="1" applyAlignment="1">
      <alignment horizontal="left"/>
    </xf>
    <xf numFmtId="0" fontId="40" fillId="43" borderId="357" xfId="0" applyFont="1" applyFill="1" applyBorder="1" applyAlignment="1">
      <alignment horizontal="center"/>
    </xf>
    <xf numFmtId="0" fontId="40" fillId="43" borderId="357" xfId="0" applyFont="1" applyFill="1" applyBorder="1" applyAlignment="1">
      <alignment horizontal="left"/>
    </xf>
    <xf numFmtId="0" fontId="0" fillId="0" borderId="226" xfId="0" applyFont="1" applyFill="1" applyBorder="1" applyAlignment="1">
      <alignment horizontal="center"/>
    </xf>
    <xf numFmtId="0" fontId="0" fillId="0" borderId="226" xfId="0" applyFill="1" applyBorder="1" applyAlignment="1">
      <alignment horizontal="center"/>
    </xf>
    <xf numFmtId="0" fontId="0" fillId="0" borderId="226" xfId="0" applyFill="1" applyBorder="1" applyAlignment="1">
      <alignment horizontal="left"/>
    </xf>
    <xf numFmtId="0" fontId="201" fillId="0" borderId="0" xfId="0" applyFont="1" applyFill="1" applyBorder="1" applyAlignment="1">
      <alignment vertical="center" wrapText="1"/>
    </xf>
    <xf numFmtId="0" fontId="309" fillId="0" borderId="0" xfId="0" applyFont="1" applyFill="1" applyBorder="1" applyAlignment="1">
      <alignment horizontal="center" vertical="center" wrapText="1"/>
    </xf>
    <xf numFmtId="0" fontId="43" fillId="0" borderId="0" xfId="0" applyFont="1" applyAlignment="1">
      <alignment horizontal="center" vertical="center" wrapText="1"/>
    </xf>
    <xf numFmtId="0" fontId="0" fillId="0" borderId="22" xfId="0" applyFill="1" applyBorder="1" applyAlignment="1">
      <alignment horizontal="left" vertical="center"/>
    </xf>
    <xf numFmtId="0" fontId="42" fillId="0" borderId="23" xfId="0" applyFont="1" applyFill="1" applyBorder="1" applyAlignment="1">
      <alignment horizontal="left" vertical="center" wrapText="1"/>
    </xf>
    <xf numFmtId="0" fontId="0" fillId="0" borderId="0" xfId="0"/>
    <xf numFmtId="0" fontId="80" fillId="0" borderId="16" xfId="0" applyFont="1" applyFill="1" applyBorder="1" applyAlignment="1">
      <alignment horizontal="center" vertical="center" wrapText="1"/>
    </xf>
    <xf numFmtId="3" fontId="67" fillId="0" borderId="0" xfId="0" applyNumberFormat="1" applyFont="1" applyBorder="1" applyAlignment="1">
      <alignment horizontal="right" vertical="center"/>
    </xf>
    <xf numFmtId="0" fontId="0" fillId="0" borderId="0" xfId="0"/>
    <xf numFmtId="0" fontId="56" fillId="0" borderId="0" xfId="0" applyFont="1" applyAlignment="1">
      <alignment horizontal="center"/>
    </xf>
    <xf numFmtId="0" fontId="40" fillId="0" borderId="339" xfId="0" applyFont="1" applyFill="1" applyBorder="1" applyAlignment="1">
      <alignment horizontal="center"/>
    </xf>
    <xf numFmtId="173" fontId="1" fillId="0" borderId="339" xfId="149" applyNumberFormat="1" applyFont="1" applyBorder="1" applyAlignment="1">
      <alignment horizontal="center" vertical="center"/>
    </xf>
    <xf numFmtId="49" fontId="1" fillId="0" borderId="339" xfId="149" applyNumberFormat="1" applyFont="1" applyBorder="1" applyAlignment="1">
      <alignment horizontal="center" vertical="center"/>
    </xf>
    <xf numFmtId="3" fontId="1" fillId="0" borderId="339" xfId="149" applyNumberFormat="1" applyFont="1" applyBorder="1" applyAlignment="1">
      <alignment horizontal="center"/>
    </xf>
    <xf numFmtId="173" fontId="219" fillId="0" borderId="362" xfId="0" applyNumberFormat="1" applyFont="1" applyBorder="1" applyAlignment="1">
      <alignment vertical="center" wrapText="1"/>
    </xf>
    <xf numFmtId="3" fontId="248" fillId="0" borderId="362" xfId="0" applyNumberFormat="1" applyFont="1" applyBorder="1" applyAlignment="1">
      <alignment vertical="center"/>
    </xf>
    <xf numFmtId="3" fontId="219" fillId="0" borderId="362" xfId="0" applyNumberFormat="1" applyFont="1" applyBorder="1" applyAlignment="1">
      <alignment horizontal="center" vertical="center"/>
    </xf>
    <xf numFmtId="3" fontId="0" fillId="0" borderId="362" xfId="0" applyNumberFormat="1" applyBorder="1" applyAlignment="1">
      <alignment horizontal="center" vertical="center"/>
    </xf>
    <xf numFmtId="173" fontId="219" fillId="0" borderId="339" xfId="0" applyNumberFormat="1" applyFont="1" applyBorder="1" applyAlignment="1">
      <alignment horizontal="center" vertical="center"/>
    </xf>
    <xf numFmtId="3" fontId="248" fillId="0" borderId="362" xfId="0" applyNumberFormat="1" applyFont="1" applyBorder="1" applyAlignment="1">
      <alignment horizontal="center" vertical="center"/>
    </xf>
    <xf numFmtId="3" fontId="219" fillId="0" borderId="339" xfId="0" applyNumberFormat="1" applyFont="1" applyBorder="1" applyAlignment="1">
      <alignment horizontal="center" vertical="center"/>
    </xf>
    <xf numFmtId="3" fontId="0" fillId="0" borderId="339" xfId="0" applyNumberFormat="1" applyBorder="1" applyAlignment="1">
      <alignment horizontal="center" vertical="center"/>
    </xf>
    <xf numFmtId="173" fontId="1" fillId="0" borderId="339" xfId="0" applyNumberFormat="1" applyFont="1" applyBorder="1" applyAlignment="1">
      <alignment horizontal="center" vertical="center"/>
    </xf>
    <xf numFmtId="3" fontId="1" fillId="0" borderId="339" xfId="0" applyNumberFormat="1" applyFont="1" applyBorder="1" applyAlignment="1">
      <alignment horizontal="center" vertical="center"/>
    </xf>
    <xf numFmtId="3" fontId="1" fillId="0" borderId="339" xfId="0" applyNumberFormat="1" applyFont="1" applyBorder="1" applyAlignment="1">
      <alignment horizontal="center"/>
    </xf>
    <xf numFmtId="173" fontId="219" fillId="0" borderId="339" xfId="0" applyNumberFormat="1" applyFont="1" applyBorder="1" applyAlignment="1">
      <alignment horizontal="center"/>
    </xf>
    <xf numFmtId="3" fontId="248" fillId="0" borderId="339" xfId="0" applyNumberFormat="1" applyFont="1" applyBorder="1" applyAlignment="1">
      <alignment horizontal="center" vertical="center"/>
    </xf>
    <xf numFmtId="3" fontId="219" fillId="0" borderId="339" xfId="0" applyNumberFormat="1" applyFont="1" applyBorder="1" applyAlignment="1">
      <alignment horizontal="center"/>
    </xf>
    <xf numFmtId="3" fontId="0" fillId="0" borderId="339" xfId="0" applyNumberFormat="1" applyBorder="1" applyAlignment="1">
      <alignment horizontal="center"/>
    </xf>
    <xf numFmtId="173" fontId="1" fillId="0" borderId="339" xfId="0" applyNumberFormat="1" applyFont="1" applyBorder="1" applyAlignment="1">
      <alignment horizontal="center" vertical="center" wrapText="1"/>
    </xf>
    <xf numFmtId="0" fontId="30" fillId="20" borderId="339" xfId="149" applyFont="1" applyFill="1" applyBorder="1" applyAlignment="1">
      <alignment horizontal="center" vertical="center"/>
    </xf>
    <xf numFmtId="3" fontId="30" fillId="43" borderId="360" xfId="149" applyNumberFormat="1" applyFont="1" applyFill="1" applyBorder="1" applyAlignment="1">
      <alignment horizontal="center" vertical="center"/>
    </xf>
    <xf numFmtId="3" fontId="30" fillId="20" borderId="339" xfId="149" applyNumberFormat="1" applyFont="1" applyFill="1" applyBorder="1" applyAlignment="1">
      <alignment horizontal="center" vertical="center"/>
    </xf>
    <xf numFmtId="0" fontId="0" fillId="0" borderId="339" xfId="0" applyBorder="1" applyAlignment="1">
      <alignment horizontal="center"/>
    </xf>
    <xf numFmtId="173" fontId="32" fillId="0" borderId="339" xfId="0" applyNumberFormat="1" applyFont="1" applyBorder="1" applyAlignment="1">
      <alignment horizontal="center" vertical="center"/>
    </xf>
    <xf numFmtId="173" fontId="32" fillId="0" borderId="339" xfId="0" applyNumberFormat="1" applyFont="1" applyBorder="1" applyAlignment="1">
      <alignment horizontal="center" vertical="center" wrapText="1"/>
    </xf>
    <xf numFmtId="0" fontId="44" fillId="0" borderId="339" xfId="0" applyFont="1" applyBorder="1" applyAlignment="1">
      <alignment horizontal="center" vertical="center"/>
    </xf>
    <xf numFmtId="3" fontId="30" fillId="43" borderId="339" xfId="149" applyNumberFormat="1" applyFont="1" applyFill="1" applyBorder="1" applyAlignment="1">
      <alignment horizontal="center" vertical="center"/>
    </xf>
    <xf numFmtId="0" fontId="1" fillId="0" borderId="339" xfId="149" applyFont="1" applyBorder="1" applyAlignment="1">
      <alignment horizontal="center" vertical="center"/>
    </xf>
    <xf numFmtId="0" fontId="5" fillId="20" borderId="339" xfId="149" applyFont="1" applyFill="1" applyBorder="1" applyAlignment="1">
      <alignment horizontal="center" vertical="center"/>
    </xf>
    <xf numFmtId="3" fontId="5" fillId="56" borderId="339" xfId="149" applyNumberFormat="1" applyFont="1" applyFill="1" applyBorder="1" applyAlignment="1">
      <alignment horizontal="center" vertical="center"/>
    </xf>
    <xf numFmtId="3" fontId="5" fillId="43" borderId="339" xfId="149" applyNumberFormat="1" applyFont="1" applyFill="1" applyBorder="1" applyAlignment="1">
      <alignment horizontal="center"/>
    </xf>
    <xf numFmtId="3" fontId="0" fillId="0" borderId="0" xfId="0" applyNumberFormat="1" applyAlignment="1">
      <alignment horizontal="center"/>
    </xf>
    <xf numFmtId="3" fontId="1" fillId="0" borderId="339" xfId="149" applyNumberFormat="1" applyFont="1" applyBorder="1" applyAlignment="1">
      <alignment horizontal="center" vertical="center"/>
    </xf>
    <xf numFmtId="3" fontId="44" fillId="0" borderId="339" xfId="0" applyNumberFormat="1" applyFont="1" applyBorder="1" applyAlignment="1">
      <alignment horizontal="center"/>
    </xf>
    <xf numFmtId="173" fontId="1" fillId="0" borderId="0" xfId="0" applyNumberFormat="1" applyFont="1" applyFill="1" applyBorder="1" applyAlignment="1">
      <alignment horizontal="left" vertical="center"/>
    </xf>
    <xf numFmtId="3" fontId="5" fillId="43" borderId="339" xfId="149" applyNumberFormat="1" applyFont="1" applyFill="1" applyBorder="1" applyAlignment="1">
      <alignment horizontal="center" vertical="center"/>
    </xf>
    <xf numFmtId="0" fontId="42" fillId="0" borderId="28" xfId="149" applyFont="1" applyBorder="1" applyAlignment="1">
      <alignment horizontal="right" vertical="center" indent="1"/>
    </xf>
    <xf numFmtId="0" fontId="36" fillId="0" borderId="0" xfId="149" applyFont="1" applyAlignment="1">
      <alignment wrapText="1"/>
    </xf>
    <xf numFmtId="0" fontId="36" fillId="0" borderId="0" xfId="149" applyFont="1" applyFill="1"/>
    <xf numFmtId="0" fontId="29" fillId="0" borderId="0" xfId="149" applyFont="1" applyFill="1"/>
    <xf numFmtId="0" fontId="36" fillId="0" borderId="0" xfId="149" applyFont="1"/>
    <xf numFmtId="1" fontId="104" fillId="20" borderId="190" xfId="173" applyNumberFormat="1" applyFont="1" applyFill="1" applyBorder="1" applyAlignment="1">
      <alignment horizontal="center" vertical="center" wrapText="1"/>
    </xf>
    <xf numFmtId="0" fontId="104" fillId="20" borderId="83" xfId="149" applyFont="1" applyFill="1" applyBorder="1" applyAlignment="1">
      <alignment horizontal="center" vertical="center" wrapText="1"/>
    </xf>
    <xf numFmtId="0" fontId="104" fillId="20" borderId="232" xfId="149" applyFont="1" applyFill="1" applyBorder="1" applyAlignment="1">
      <alignment horizontal="center" vertical="center" wrapText="1"/>
    </xf>
    <xf numFmtId="1" fontId="104" fillId="20" borderId="167" xfId="173" applyNumberFormat="1" applyFont="1" applyFill="1" applyBorder="1" applyAlignment="1">
      <alignment horizontal="center" vertical="center" wrapText="1"/>
    </xf>
    <xf numFmtId="1" fontId="104" fillId="20" borderId="339" xfId="173" applyNumberFormat="1" applyFont="1" applyFill="1" applyBorder="1" applyAlignment="1">
      <alignment horizontal="center" vertical="center" wrapText="1"/>
    </xf>
    <xf numFmtId="0" fontId="87" fillId="0" borderId="79" xfId="238" applyFont="1" applyBorder="1" applyAlignment="1">
      <alignment horizontal="left" vertical="center"/>
    </xf>
    <xf numFmtId="3" fontId="126" fillId="0" borderId="79" xfId="239" applyNumberFormat="1" applyFont="1" applyBorder="1" applyAlignment="1">
      <alignment horizontal="right" vertical="center" indent="1"/>
    </xf>
    <xf numFmtId="3" fontId="126" fillId="0" borderId="79" xfId="239" applyNumberFormat="1" applyFont="1" applyBorder="1" applyAlignment="1">
      <alignment vertical="center"/>
    </xf>
    <xf numFmtId="0" fontId="120" fillId="0" borderId="17" xfId="0" applyFont="1" applyBorder="1" applyAlignment="1">
      <alignment wrapText="1"/>
    </xf>
    <xf numFmtId="3" fontId="126" fillId="0" borderId="17" xfId="149" applyNumberFormat="1" applyFont="1" applyBorder="1" applyAlignment="1">
      <alignment horizontal="center" vertical="center"/>
    </xf>
    <xf numFmtId="1" fontId="87" fillId="20" borderId="170" xfId="173" applyNumberFormat="1" applyFont="1" applyFill="1" applyBorder="1" applyAlignment="1">
      <alignment horizontal="center" vertical="center" wrapText="1"/>
    </xf>
    <xf numFmtId="3" fontId="126" fillId="0" borderId="17" xfId="149" applyNumberFormat="1" applyFont="1" applyBorder="1" applyAlignment="1">
      <alignment horizontal="right" vertical="center"/>
    </xf>
    <xf numFmtId="0" fontId="87" fillId="0" borderId="17" xfId="238" applyFont="1" applyBorder="1" applyAlignment="1">
      <alignment horizontal="left" vertical="center"/>
    </xf>
    <xf numFmtId="3" fontId="126" fillId="0" borderId="17" xfId="239" applyNumberFormat="1" applyFont="1" applyBorder="1" applyAlignment="1">
      <alignment horizontal="right" vertical="center" indent="1"/>
    </xf>
    <xf numFmtId="3" fontId="126" fillId="0" borderId="17" xfId="239" applyNumberFormat="1" applyFont="1" applyBorder="1" applyAlignment="1">
      <alignment vertical="center"/>
    </xf>
    <xf numFmtId="0" fontId="87" fillId="0" borderId="17" xfId="0" applyFont="1" applyBorder="1" applyAlignment="1">
      <alignment wrapText="1"/>
    </xf>
    <xf numFmtId="0" fontId="87" fillId="0" borderId="31" xfId="0" applyFont="1" applyBorder="1" applyAlignment="1">
      <alignment wrapText="1"/>
    </xf>
    <xf numFmtId="3" fontId="126" fillId="0" borderId="31" xfId="149" applyNumberFormat="1" applyFont="1" applyBorder="1" applyAlignment="1">
      <alignment horizontal="center" vertical="center"/>
    </xf>
    <xf numFmtId="3" fontId="126" fillId="0" borderId="31" xfId="149" applyNumberFormat="1" applyFont="1" applyBorder="1" applyAlignment="1">
      <alignment horizontal="right" vertical="center"/>
    </xf>
    <xf numFmtId="0" fontId="87" fillId="0" borderId="26" xfId="0" applyFont="1" applyBorder="1" applyAlignment="1">
      <alignment wrapText="1"/>
    </xf>
    <xf numFmtId="0" fontId="87" fillId="0" borderId="31" xfId="238" applyFont="1" applyBorder="1" applyAlignment="1">
      <alignment horizontal="left" vertical="center"/>
    </xf>
    <xf numFmtId="3" fontId="126" fillId="0" borderId="31" xfId="239" applyNumberFormat="1" applyFont="1" applyBorder="1" applyAlignment="1">
      <alignment horizontal="right" vertical="center" indent="1"/>
    </xf>
    <xf numFmtId="3" fontId="126" fillId="0" borderId="31" xfId="239" applyNumberFormat="1" applyFont="1" applyBorder="1" applyAlignment="1">
      <alignment vertical="center"/>
    </xf>
    <xf numFmtId="3" fontId="126" fillId="0" borderId="29" xfId="149" applyNumberFormat="1" applyFont="1" applyBorder="1" applyAlignment="1">
      <alignment horizontal="center" vertical="center"/>
    </xf>
    <xf numFmtId="3" fontId="126" fillId="0" borderId="29" xfId="149" applyNumberFormat="1" applyFont="1" applyBorder="1" applyAlignment="1">
      <alignment horizontal="right" vertical="center"/>
    </xf>
    <xf numFmtId="0" fontId="104" fillId="20" borderId="175" xfId="238" applyFont="1" applyFill="1" applyBorder="1" applyAlignment="1">
      <alignment horizontal="center" vertical="center"/>
    </xf>
    <xf numFmtId="3" fontId="126" fillId="20" borderId="168" xfId="239" applyNumberFormat="1" applyFont="1" applyFill="1" applyBorder="1" applyAlignment="1">
      <alignment horizontal="right" vertical="center" indent="1"/>
    </xf>
    <xf numFmtId="3" fontId="126" fillId="20" borderId="175" xfId="239" applyNumberFormat="1" applyFont="1" applyFill="1" applyBorder="1" applyAlignment="1">
      <alignment horizontal="right" vertical="center" indent="1"/>
    </xf>
    <xf numFmtId="3" fontId="126" fillId="33" borderId="319" xfId="239" applyNumberFormat="1" applyFont="1" applyFill="1" applyBorder="1" applyAlignment="1">
      <alignment vertical="center"/>
    </xf>
    <xf numFmtId="0" fontId="87" fillId="20" borderId="191" xfId="149" applyFont="1" applyFill="1" applyBorder="1" applyAlignment="1">
      <alignment horizontal="center" vertical="center"/>
    </xf>
    <xf numFmtId="0" fontId="104" fillId="20" borderId="169" xfId="0" applyFont="1" applyFill="1" applyBorder="1" applyAlignment="1">
      <alignment horizontal="center" vertical="center" wrapText="1"/>
    </xf>
    <xf numFmtId="3" fontId="126" fillId="20" borderId="29" xfId="149" applyNumberFormat="1" applyFont="1" applyFill="1" applyBorder="1" applyAlignment="1">
      <alignment horizontal="center" vertical="center"/>
    </xf>
    <xf numFmtId="3" fontId="126" fillId="20" borderId="29" xfId="149" applyNumberFormat="1" applyFont="1" applyFill="1" applyBorder="1" applyAlignment="1">
      <alignment horizontal="right" vertical="center"/>
    </xf>
    <xf numFmtId="0" fontId="87" fillId="0" borderId="189" xfId="149" applyFont="1" applyBorder="1" applyAlignment="1">
      <alignment vertical="center"/>
    </xf>
    <xf numFmtId="0" fontId="120" fillId="0" borderId="30" xfId="0" applyFont="1" applyBorder="1" applyAlignment="1">
      <alignment wrapText="1"/>
    </xf>
    <xf numFmtId="3" fontId="126" fillId="0" borderId="79" xfId="149" applyNumberFormat="1" applyFont="1" applyBorder="1" applyAlignment="1">
      <alignment horizontal="center" vertical="center"/>
    </xf>
    <xf numFmtId="3" fontId="126" fillId="0" borderId="79" xfId="149" applyNumberFormat="1" applyFont="1" applyBorder="1" applyAlignment="1">
      <alignment horizontal="right" vertical="center"/>
    </xf>
    <xf numFmtId="0" fontId="87" fillId="0" borderId="170" xfId="149" applyFont="1" applyBorder="1" applyAlignment="1">
      <alignment vertical="center"/>
    </xf>
    <xf numFmtId="3" fontId="126" fillId="0" borderId="30" xfId="149" applyNumberFormat="1" applyFont="1" applyBorder="1" applyAlignment="1">
      <alignment horizontal="center" vertical="center"/>
    </xf>
    <xf numFmtId="3" fontId="126" fillId="0" borderId="30" xfId="149" applyNumberFormat="1" applyFont="1" applyBorder="1" applyAlignment="1">
      <alignment horizontal="right" vertical="center"/>
    </xf>
    <xf numFmtId="0" fontId="87" fillId="0" borderId="175" xfId="149" applyFont="1" applyBorder="1" applyAlignment="1">
      <alignment vertical="center"/>
    </xf>
    <xf numFmtId="0" fontId="294" fillId="0" borderId="190" xfId="238" applyFont="1" applyBorder="1" applyAlignment="1">
      <alignment horizontal="center" vertical="center"/>
    </xf>
    <xf numFmtId="3" fontId="294" fillId="0" borderId="166" xfId="239" applyNumberFormat="1" applyFont="1" applyBorder="1" applyAlignment="1">
      <alignment horizontal="right" vertical="center" indent="1"/>
    </xf>
    <xf numFmtId="3" fontId="294" fillId="0" borderId="167" xfId="239" applyNumberFormat="1" applyFont="1" applyBorder="1" applyAlignment="1">
      <alignment horizontal="right" vertical="center" indent="1"/>
    </xf>
    <xf numFmtId="3" fontId="294" fillId="0" borderId="232" xfId="239" applyNumberFormat="1" applyFont="1" applyBorder="1" applyAlignment="1">
      <alignment vertical="center"/>
    </xf>
    <xf numFmtId="3" fontId="294" fillId="0" borderId="339" xfId="239" applyNumberFormat="1" applyFont="1" applyBorder="1" applyAlignment="1">
      <alignment vertical="center"/>
    </xf>
    <xf numFmtId="0" fontId="120" fillId="0" borderId="31" xfId="0" applyFont="1" applyBorder="1" applyAlignment="1">
      <alignment wrapText="1"/>
    </xf>
    <xf numFmtId="0" fontId="67" fillId="0" borderId="22" xfId="0" applyFont="1" applyBorder="1"/>
    <xf numFmtId="0" fontId="87" fillId="0" borderId="30" xfId="238" applyFont="1" applyBorder="1" applyAlignment="1">
      <alignment horizontal="left" vertical="center"/>
    </xf>
    <xf numFmtId="3" fontId="126" fillId="0" borderId="30" xfId="239" applyNumberFormat="1" applyFont="1" applyBorder="1" applyAlignment="1">
      <alignment horizontal="right" vertical="center" indent="1"/>
    </xf>
    <xf numFmtId="3" fontId="126" fillId="0" borderId="30" xfId="239" applyNumberFormat="1" applyFont="1" applyBorder="1" applyAlignment="1">
      <alignment vertical="center"/>
    </xf>
    <xf numFmtId="0" fontId="120" fillId="0" borderId="19" xfId="0" applyFont="1" applyBorder="1" applyAlignment="1">
      <alignment wrapText="1"/>
    </xf>
    <xf numFmtId="0" fontId="87" fillId="0" borderId="19" xfId="0" applyFont="1" applyBorder="1" applyAlignment="1">
      <alignment wrapText="1"/>
    </xf>
    <xf numFmtId="0" fontId="87" fillId="0" borderId="170" xfId="149" applyFont="1" applyBorder="1" applyAlignment="1">
      <alignment horizontal="center" vertical="center"/>
    </xf>
    <xf numFmtId="0" fontId="67" fillId="0" borderId="22" xfId="0" applyFont="1" applyBorder="1" applyAlignment="1">
      <alignment vertical="center"/>
    </xf>
    <xf numFmtId="3" fontId="126" fillId="0" borderId="170" xfId="149" applyNumberFormat="1" applyFont="1" applyBorder="1" applyAlignment="1">
      <alignment horizontal="center" vertical="center"/>
    </xf>
    <xf numFmtId="3" fontId="126" fillId="0" borderId="361" xfId="149" applyNumberFormat="1" applyFont="1" applyBorder="1" applyAlignment="1">
      <alignment horizontal="right" vertical="center"/>
    </xf>
    <xf numFmtId="0" fontId="292" fillId="20" borderId="11" xfId="0" applyFont="1" applyFill="1" applyBorder="1" applyAlignment="1">
      <alignment horizontal="center" vertical="center" wrapText="1"/>
    </xf>
    <xf numFmtId="3" fontId="126" fillId="20" borderId="175" xfId="149" applyNumberFormat="1" applyFont="1" applyFill="1" applyBorder="1" applyAlignment="1">
      <alignment horizontal="center" vertical="center"/>
    </xf>
    <xf numFmtId="3" fontId="126" fillId="20" borderId="319" xfId="149" applyNumberFormat="1" applyFont="1" applyFill="1" applyBorder="1" applyAlignment="1">
      <alignment horizontal="center" vertical="center"/>
    </xf>
    <xf numFmtId="3" fontId="126" fillId="20" borderId="319" xfId="149" applyNumberFormat="1" applyFont="1" applyFill="1" applyBorder="1" applyAlignment="1">
      <alignment horizontal="right" vertical="center"/>
    </xf>
    <xf numFmtId="0" fontId="120" fillId="0" borderId="79" xfId="0" applyFont="1" applyBorder="1" applyAlignment="1">
      <alignment wrapText="1"/>
    </xf>
    <xf numFmtId="0" fontId="312" fillId="0" borderId="190" xfId="238" applyFont="1" applyBorder="1" applyAlignment="1">
      <alignment horizontal="center" vertical="center"/>
    </xf>
    <xf numFmtId="3" fontId="312" fillId="0" borderId="166" xfId="239" applyNumberFormat="1" applyFont="1" applyBorder="1" applyAlignment="1">
      <alignment horizontal="right" vertical="center" indent="1"/>
    </xf>
    <xf numFmtId="3" fontId="312" fillId="0" borderId="167" xfId="239" applyNumberFormat="1" applyFont="1" applyBorder="1" applyAlignment="1">
      <alignment horizontal="right" vertical="center" indent="1"/>
    </xf>
    <xf numFmtId="3" fontId="312" fillId="0" borderId="232" xfId="239" applyNumberFormat="1" applyFont="1" applyBorder="1" applyAlignment="1">
      <alignment vertical="center"/>
    </xf>
    <xf numFmtId="3" fontId="312" fillId="0" borderId="339" xfId="239" applyNumberFormat="1" applyFont="1" applyBorder="1" applyAlignment="1">
      <alignment vertical="center"/>
    </xf>
    <xf numFmtId="0" fontId="292" fillId="20" borderId="169" xfId="0" applyFont="1" applyFill="1" applyBorder="1" applyAlignment="1">
      <alignment horizontal="center" vertical="center" wrapText="1"/>
    </xf>
    <xf numFmtId="0" fontId="313" fillId="0" borderId="191" xfId="149" applyFont="1" applyBorder="1" applyAlignment="1">
      <alignment horizontal="center" vertical="center"/>
    </xf>
    <xf numFmtId="0" fontId="294" fillId="0" borderId="165" xfId="0" applyFont="1" applyBorder="1" applyAlignment="1">
      <alignment horizontal="center" vertical="center" wrapText="1"/>
    </xf>
    <xf numFmtId="3" fontId="294" fillId="0" borderId="165" xfId="149" applyNumberFormat="1" applyFont="1" applyBorder="1" applyAlignment="1">
      <alignment horizontal="center" vertical="center"/>
    </xf>
    <xf numFmtId="3" fontId="294" fillId="0" borderId="272" xfId="149" applyNumberFormat="1" applyFont="1" applyBorder="1" applyAlignment="1">
      <alignment horizontal="center" vertical="center"/>
    </xf>
    <xf numFmtId="3" fontId="294" fillId="0" borderId="360" xfId="149" applyNumberFormat="1" applyFont="1" applyBorder="1" applyAlignment="1">
      <alignment horizontal="right" vertical="center"/>
    </xf>
    <xf numFmtId="0" fontId="87" fillId="0" borderId="189" xfId="149" applyFont="1" applyBorder="1" applyAlignment="1">
      <alignment horizontal="center" vertical="center"/>
    </xf>
    <xf numFmtId="0" fontId="87" fillId="0" borderId="29" xfId="0" applyFont="1" applyBorder="1" applyAlignment="1">
      <alignment wrapText="1"/>
    </xf>
    <xf numFmtId="0" fontId="290" fillId="0" borderId="190" xfId="238" applyFont="1" applyBorder="1" applyAlignment="1">
      <alignment horizontal="center" vertical="center"/>
    </xf>
    <xf numFmtId="3" fontId="290" fillId="0" borderId="166" xfId="239" applyNumberFormat="1" applyFont="1" applyBorder="1" applyAlignment="1">
      <alignment horizontal="right" vertical="center" indent="1"/>
    </xf>
    <xf numFmtId="3" fontId="290" fillId="0" borderId="167" xfId="239" applyNumberFormat="1" applyFont="1" applyBorder="1" applyAlignment="1">
      <alignment horizontal="right" vertical="center" indent="1"/>
    </xf>
    <xf numFmtId="3" fontId="290" fillId="0" borderId="232" xfId="239" applyNumberFormat="1" applyFont="1" applyBorder="1" applyAlignment="1">
      <alignment vertical="center"/>
    </xf>
    <xf numFmtId="3" fontId="290" fillId="0" borderId="339" xfId="239" applyNumberFormat="1" applyFont="1" applyBorder="1" applyAlignment="1">
      <alignment vertical="center"/>
    </xf>
    <xf numFmtId="0" fontId="87" fillId="0" borderId="188" xfId="149" applyFont="1" applyBorder="1" applyAlignment="1">
      <alignment horizontal="center" vertical="center"/>
    </xf>
    <xf numFmtId="0" fontId="87" fillId="0" borderId="79" xfId="0" applyFont="1" applyBorder="1" applyAlignment="1">
      <alignment wrapText="1"/>
    </xf>
    <xf numFmtId="0" fontId="87" fillId="0" borderId="170" xfId="238" applyFont="1" applyBorder="1" applyAlignment="1">
      <alignment horizontal="left" vertical="center"/>
    </xf>
    <xf numFmtId="3" fontId="126" fillId="0" borderId="10" xfId="239" applyNumberFormat="1" applyFont="1" applyBorder="1" applyAlignment="1">
      <alignment horizontal="right" vertical="center" indent="1"/>
    </xf>
    <xf numFmtId="3" fontId="126" fillId="0" borderId="170" xfId="239" applyNumberFormat="1" applyFont="1" applyBorder="1" applyAlignment="1">
      <alignment horizontal="right" vertical="center" indent="1"/>
    </xf>
    <xf numFmtId="0" fontId="289" fillId="0" borderId="190" xfId="238" applyFont="1" applyBorder="1" applyAlignment="1">
      <alignment horizontal="center" vertical="center"/>
    </xf>
    <xf numFmtId="3" fontId="289" fillId="0" borderId="166" xfId="239" applyNumberFormat="1" applyFont="1" applyBorder="1" applyAlignment="1">
      <alignment horizontal="right" vertical="center" indent="1"/>
    </xf>
    <xf numFmtId="3" fontId="289" fillId="0" borderId="167" xfId="239" applyNumberFormat="1" applyFont="1" applyBorder="1" applyAlignment="1">
      <alignment horizontal="right" vertical="center" indent="1"/>
    </xf>
    <xf numFmtId="3" fontId="289" fillId="0" borderId="232" xfId="239" applyNumberFormat="1" applyFont="1" applyBorder="1" applyAlignment="1">
      <alignment vertical="center"/>
    </xf>
    <xf numFmtId="3" fontId="289" fillId="0" borderId="339" xfId="239" applyNumberFormat="1" applyFont="1" applyBorder="1" applyAlignment="1">
      <alignment vertical="center"/>
    </xf>
    <xf numFmtId="0" fontId="144" fillId="0" borderId="191" xfId="149" applyFont="1" applyBorder="1" applyAlignment="1">
      <alignment horizontal="center" vertical="center"/>
    </xf>
    <xf numFmtId="0" fontId="290" fillId="0" borderId="165" xfId="0" applyFont="1" applyBorder="1" applyAlignment="1">
      <alignment horizontal="center" vertical="center" wrapText="1"/>
    </xf>
    <xf numFmtId="3" fontId="290" fillId="0" borderId="165" xfId="149" applyNumberFormat="1" applyFont="1" applyBorder="1" applyAlignment="1">
      <alignment horizontal="center" vertical="center"/>
    </xf>
    <xf numFmtId="3" fontId="290" fillId="0" borderId="272" xfId="149" applyNumberFormat="1" applyFont="1" applyBorder="1" applyAlignment="1">
      <alignment horizontal="center" vertical="center"/>
    </xf>
    <xf numFmtId="3" fontId="290" fillId="0" borderId="360" xfId="149" applyNumberFormat="1" applyFont="1" applyBorder="1" applyAlignment="1">
      <alignment horizontal="right" vertical="center"/>
    </xf>
    <xf numFmtId="0" fontId="87" fillId="0" borderId="30" xfId="0" applyFont="1" applyBorder="1" applyAlignment="1">
      <alignment wrapText="1"/>
    </xf>
    <xf numFmtId="3" fontId="126" fillId="33" borderId="170" xfId="239" applyNumberFormat="1" applyFont="1" applyFill="1" applyBorder="1" applyAlignment="1">
      <alignment vertical="center"/>
    </xf>
    <xf numFmtId="3" fontId="126" fillId="33" borderId="361" xfId="239" applyNumberFormat="1" applyFont="1" applyFill="1" applyBorder="1" applyAlignment="1">
      <alignment vertical="center"/>
    </xf>
    <xf numFmtId="0" fontId="288" fillId="0" borderId="190" xfId="238" applyFont="1" applyBorder="1" applyAlignment="1">
      <alignment horizontal="center" vertical="center"/>
    </xf>
    <xf numFmtId="3" fontId="288" fillId="0" borderId="166" xfId="239" applyNumberFormat="1" applyFont="1" applyBorder="1" applyAlignment="1">
      <alignment horizontal="right" vertical="center" indent="1"/>
    </xf>
    <xf numFmtId="3" fontId="288" fillId="0" borderId="167" xfId="239" applyNumberFormat="1" applyFont="1" applyBorder="1" applyAlignment="1">
      <alignment horizontal="right" vertical="center" indent="1"/>
    </xf>
    <xf numFmtId="3" fontId="288" fillId="0" borderId="232" xfId="239" applyNumberFormat="1" applyFont="1" applyBorder="1" applyAlignment="1">
      <alignment vertical="center"/>
    </xf>
    <xf numFmtId="3" fontId="288" fillId="0" borderId="339" xfId="239" applyNumberFormat="1" applyFont="1" applyBorder="1" applyAlignment="1">
      <alignment vertical="center"/>
    </xf>
    <xf numFmtId="0" fontId="87" fillId="0" borderId="0" xfId="149" applyFont="1" applyAlignment="1">
      <alignment vertical="center"/>
    </xf>
    <xf numFmtId="0" fontId="29" fillId="0" borderId="0" xfId="149" applyFont="1" applyAlignment="1">
      <alignment vertical="center"/>
    </xf>
    <xf numFmtId="0" fontId="104" fillId="20" borderId="166" xfId="149" applyFont="1" applyFill="1" applyBorder="1" applyAlignment="1">
      <alignment horizontal="center" vertical="center"/>
    </xf>
    <xf numFmtId="3" fontId="303" fillId="20" borderId="167" xfId="239" applyNumberFormat="1" applyFont="1" applyFill="1" applyBorder="1" applyAlignment="1">
      <alignment horizontal="right" vertical="center" indent="1"/>
    </xf>
    <xf numFmtId="3" fontId="303" fillId="20" borderId="232" xfId="239" applyNumberFormat="1" applyFont="1" applyFill="1" applyBorder="1" applyAlignment="1">
      <alignment vertical="center"/>
    </xf>
    <xf numFmtId="3" fontId="303" fillId="20" borderId="339" xfId="239" applyNumberFormat="1" applyFont="1" applyFill="1" applyBorder="1" applyAlignment="1">
      <alignment vertical="center"/>
    </xf>
    <xf numFmtId="3" fontId="126" fillId="20" borderId="17" xfId="149" applyNumberFormat="1" applyFont="1" applyFill="1" applyBorder="1" applyAlignment="1">
      <alignment horizontal="center" vertical="center"/>
    </xf>
    <xf numFmtId="3" fontId="87" fillId="0" borderId="31" xfId="149" applyNumberFormat="1" applyFont="1" applyBorder="1" applyAlignment="1">
      <alignment horizontal="center" vertical="center"/>
    </xf>
    <xf numFmtId="3" fontId="87" fillId="0" borderId="31" xfId="149" applyNumberFormat="1" applyFont="1" applyBorder="1" applyAlignment="1">
      <alignment horizontal="right" vertical="center"/>
    </xf>
    <xf numFmtId="3" fontId="87" fillId="0" borderId="17" xfId="149" applyNumberFormat="1" applyFont="1" applyBorder="1" applyAlignment="1">
      <alignment horizontal="center" vertical="center"/>
    </xf>
    <xf numFmtId="3" fontId="87" fillId="0" borderId="17" xfId="149" applyNumberFormat="1" applyFont="1" applyBorder="1" applyAlignment="1">
      <alignment horizontal="right" vertical="center"/>
    </xf>
    <xf numFmtId="0" fontId="87" fillId="0" borderId="190" xfId="149" applyFont="1" applyBorder="1" applyAlignment="1">
      <alignment horizontal="center" vertical="center"/>
    </xf>
    <xf numFmtId="0" fontId="277" fillId="0" borderId="191" xfId="149" applyFont="1" applyBorder="1" applyAlignment="1">
      <alignment horizontal="center" vertical="center"/>
    </xf>
    <xf numFmtId="0" fontId="288" fillId="0" borderId="165" xfId="0" applyFont="1" applyBorder="1" applyAlignment="1">
      <alignment horizontal="center" vertical="center" wrapText="1"/>
    </xf>
    <xf numFmtId="3" fontId="288" fillId="0" borderId="165" xfId="149" applyNumberFormat="1" applyFont="1" applyBorder="1" applyAlignment="1">
      <alignment horizontal="center" vertical="center"/>
    </xf>
    <xf numFmtId="3" fontId="288" fillId="0" borderId="272" xfId="149" applyNumberFormat="1" applyFont="1" applyBorder="1" applyAlignment="1">
      <alignment horizontal="center" vertical="center"/>
    </xf>
    <xf numFmtId="3" fontId="288" fillId="0" borderId="360" xfId="149" applyNumberFormat="1" applyFont="1" applyBorder="1" applyAlignment="1">
      <alignment horizontal="right" vertical="center"/>
    </xf>
    <xf numFmtId="0" fontId="120" fillId="0" borderId="174" xfId="0" applyFont="1" applyBorder="1" applyAlignment="1">
      <alignment wrapText="1"/>
    </xf>
    <xf numFmtId="3" fontId="126" fillId="0" borderId="174" xfId="149" applyNumberFormat="1" applyFont="1" applyBorder="1" applyAlignment="1">
      <alignment horizontal="center" vertical="center"/>
    </xf>
    <xf numFmtId="3" fontId="126" fillId="0" borderId="286" xfId="149" applyNumberFormat="1" applyFont="1" applyBorder="1" applyAlignment="1">
      <alignment horizontal="center" vertical="center"/>
    </xf>
    <xf numFmtId="3" fontId="126" fillId="0" borderId="362" xfId="149" applyNumberFormat="1" applyFont="1" applyBorder="1" applyAlignment="1">
      <alignment horizontal="right" vertical="center"/>
    </xf>
    <xf numFmtId="0" fontId="87" fillId="20" borderId="191" xfId="149" applyFont="1" applyFill="1" applyBorder="1" applyAlignment="1">
      <alignment vertical="center"/>
    </xf>
    <xf numFmtId="0" fontId="300" fillId="0" borderId="191" xfId="149" applyFont="1" applyBorder="1" applyAlignment="1">
      <alignment vertical="center"/>
    </xf>
    <xf numFmtId="0" fontId="312" fillId="0" borderId="165" xfId="149" applyFont="1" applyBorder="1" applyAlignment="1">
      <alignment horizontal="center" vertical="center"/>
    </xf>
    <xf numFmtId="3" fontId="312" fillId="0" borderId="165" xfId="149" applyNumberFormat="1" applyFont="1" applyBorder="1" applyAlignment="1">
      <alignment horizontal="center" vertical="center"/>
    </xf>
    <xf numFmtId="3" fontId="312" fillId="0" borderId="272" xfId="149" applyNumberFormat="1" applyFont="1" applyBorder="1" applyAlignment="1">
      <alignment horizontal="center" vertical="center"/>
    </xf>
    <xf numFmtId="3" fontId="312" fillId="0" borderId="360" xfId="149" applyNumberFormat="1" applyFont="1" applyBorder="1" applyAlignment="1">
      <alignment horizontal="right" vertical="center"/>
    </xf>
    <xf numFmtId="0" fontId="289" fillId="0" borderId="192" xfId="149" applyFont="1" applyBorder="1" applyAlignment="1">
      <alignment horizontal="center" vertical="center"/>
    </xf>
    <xf numFmtId="3" fontId="289" fillId="0" borderId="165" xfId="149" applyNumberFormat="1" applyFont="1" applyBorder="1" applyAlignment="1">
      <alignment horizontal="center" vertical="center"/>
    </xf>
    <xf numFmtId="3" fontId="289" fillId="0" borderId="272" xfId="149" applyNumberFormat="1" applyFont="1" applyBorder="1" applyAlignment="1">
      <alignment horizontal="center" vertical="center"/>
    </xf>
    <xf numFmtId="3" fontId="289" fillId="0" borderId="360" xfId="149" applyNumberFormat="1" applyFont="1" applyBorder="1" applyAlignment="1">
      <alignment horizontal="right" vertical="center"/>
    </xf>
    <xf numFmtId="0" fontId="29" fillId="0" borderId="0" xfId="149" applyFont="1" applyAlignment="1">
      <alignment horizontal="right" vertical="center"/>
    </xf>
    <xf numFmtId="3" fontId="303" fillId="20" borderId="167" xfId="149" applyNumberFormat="1" applyFont="1" applyFill="1" applyBorder="1" applyAlignment="1">
      <alignment horizontal="center" vertical="center"/>
    </xf>
    <xf numFmtId="3" fontId="303" fillId="20" borderId="232" xfId="149" applyNumberFormat="1" applyFont="1" applyFill="1" applyBorder="1" applyAlignment="1">
      <alignment horizontal="center" vertical="center"/>
    </xf>
    <xf numFmtId="3" fontId="303" fillId="20" borderId="339" xfId="149" applyNumberFormat="1" applyFont="1" applyFill="1" applyBorder="1" applyAlignment="1">
      <alignment horizontal="right" vertical="center"/>
    </xf>
    <xf numFmtId="0" fontId="67" fillId="0" borderId="0" xfId="0" applyFont="1" applyAlignment="1">
      <alignment horizontal="right" vertical="center"/>
    </xf>
    <xf numFmtId="3" fontId="67" fillId="0" borderId="0" xfId="0" applyNumberFormat="1" applyFont="1" applyAlignment="1">
      <alignment vertical="center"/>
    </xf>
    <xf numFmtId="3" fontId="67" fillId="43" borderId="83" xfId="0" applyNumberFormat="1" applyFont="1" applyFill="1" applyBorder="1"/>
    <xf numFmtId="168" fontId="67" fillId="0" borderId="0" xfId="176" applyNumberFormat="1" applyFont="1"/>
    <xf numFmtId="1" fontId="43" fillId="0" borderId="0" xfId="173" applyNumberFormat="1" applyFont="1" applyFill="1" applyBorder="1" applyAlignment="1">
      <alignment horizontal="center" vertical="center" wrapText="1"/>
    </xf>
    <xf numFmtId="0" fontId="0" fillId="0" borderId="0" xfId="0"/>
    <xf numFmtId="0" fontId="0" fillId="0" borderId="0" xfId="0"/>
    <xf numFmtId="0" fontId="0" fillId="0" borderId="0" xfId="0"/>
    <xf numFmtId="0" fontId="87" fillId="0" borderId="319" xfId="0" applyFont="1" applyBorder="1" applyAlignment="1">
      <alignment horizontal="center" vertical="center" wrapText="1"/>
    </xf>
    <xf numFmtId="0" fontId="87" fillId="0" borderId="319" xfId="0" applyFont="1" applyBorder="1" applyAlignment="1">
      <alignment horizontal="left" vertical="center" wrapText="1"/>
    </xf>
    <xf numFmtId="0" fontId="126" fillId="0" borderId="360" xfId="0" applyFont="1" applyBorder="1" applyAlignment="1">
      <alignment horizontal="center" vertical="center" wrapText="1"/>
    </xf>
    <xf numFmtId="0" fontId="87" fillId="0" borderId="339" xfId="0" applyFont="1" applyBorder="1" applyAlignment="1">
      <alignment vertical="center" wrapText="1"/>
    </xf>
    <xf numFmtId="0" fontId="87" fillId="0" borderId="339" xfId="0" applyFont="1" applyBorder="1" applyAlignment="1">
      <alignment horizontal="left" vertical="center" wrapText="1"/>
    </xf>
    <xf numFmtId="0" fontId="87" fillId="0" borderId="339" xfId="0" applyFont="1" applyBorder="1" applyAlignment="1">
      <alignment horizontal="center" vertical="center" wrapText="1"/>
    </xf>
    <xf numFmtId="0" fontId="87" fillId="22" borderId="339" xfId="0" applyFont="1" applyFill="1" applyBorder="1" applyAlignment="1">
      <alignment horizontal="center" vertical="center" wrapText="1"/>
    </xf>
    <xf numFmtId="0" fontId="87" fillId="0" borderId="360" xfId="0" applyFont="1" applyBorder="1" applyAlignment="1">
      <alignment vertical="center" wrapText="1"/>
    </xf>
    <xf numFmtId="0" fontId="87" fillId="0" borderId="0" xfId="0" applyFont="1" applyBorder="1" applyAlignment="1">
      <alignment horizontal="left" vertical="center" wrapText="1"/>
    </xf>
    <xf numFmtId="0" fontId="67" fillId="0" borderId="339" xfId="0" applyFont="1" applyBorder="1" applyAlignment="1">
      <alignment horizontal="center" vertical="center" wrapText="1"/>
    </xf>
    <xf numFmtId="0" fontId="67" fillId="0" borderId="360" xfId="0" applyFont="1" applyBorder="1" applyAlignment="1">
      <alignment horizontal="left" vertical="center" wrapText="1"/>
    </xf>
    <xf numFmtId="0" fontId="67" fillId="0" borderId="339" xfId="0" applyFont="1" applyBorder="1" applyAlignment="1">
      <alignment horizontal="left" vertical="center" wrapText="1"/>
    </xf>
    <xf numFmtId="0" fontId="67" fillId="0" borderId="319" xfId="0" applyFont="1" applyBorder="1" applyAlignment="1">
      <alignment horizontal="center" vertical="center" wrapText="1"/>
    </xf>
    <xf numFmtId="0" fontId="67" fillId="0" borderId="339" xfId="0" applyFont="1" applyBorder="1" applyAlignment="1">
      <alignment vertical="center" wrapText="1"/>
    </xf>
    <xf numFmtId="0" fontId="126" fillId="22" borderId="339" xfId="0" applyFont="1" applyFill="1" applyBorder="1" applyAlignment="1">
      <alignment horizontal="center" vertical="center" wrapText="1"/>
    </xf>
    <xf numFmtId="0" fontId="67" fillId="0" borderId="319" xfId="0" applyFont="1" applyBorder="1" applyAlignment="1">
      <alignment horizontal="left" vertical="center" wrapText="1"/>
    </xf>
    <xf numFmtId="0" fontId="87" fillId="0" borderId="0" xfId="3794" applyFont="1" applyFill="1" applyBorder="1" applyAlignment="1">
      <alignment horizontal="left" vertical="center" wrapText="1"/>
    </xf>
    <xf numFmtId="0" fontId="87" fillId="0" borderId="0" xfId="0" applyFont="1" applyFill="1" applyBorder="1" applyAlignment="1">
      <alignment horizontal="center" vertical="center" wrapText="1"/>
    </xf>
    <xf numFmtId="0" fontId="87" fillId="0" borderId="360" xfId="0" applyFont="1" applyBorder="1" applyAlignment="1">
      <alignment horizontal="left" vertical="center" wrapText="1"/>
    </xf>
    <xf numFmtId="0" fontId="87" fillId="0" borderId="360" xfId="0" applyFont="1" applyBorder="1" applyAlignment="1">
      <alignment horizontal="center" vertical="center" wrapText="1"/>
    </xf>
    <xf numFmtId="0" fontId="311" fillId="0" borderId="339" xfId="0" applyFont="1" applyBorder="1" applyAlignment="1">
      <alignment horizontal="center" vertical="center" wrapText="1"/>
    </xf>
    <xf numFmtId="0" fontId="311" fillId="0" borderId="339" xfId="0" applyFont="1" applyBorder="1" applyAlignment="1">
      <alignment vertical="center" wrapText="1"/>
    </xf>
    <xf numFmtId="0" fontId="311" fillId="0" borderId="360" xfId="0" applyFont="1" applyBorder="1" applyAlignment="1">
      <alignment horizontal="left" vertical="center" wrapText="1"/>
    </xf>
    <xf numFmtId="0" fontId="311" fillId="0" borderId="339" xfId="0" applyFont="1" applyBorder="1" applyAlignment="1">
      <alignment horizontal="left" vertical="center" wrapText="1"/>
    </xf>
    <xf numFmtId="0" fontId="87" fillId="33" borderId="339" xfId="0" applyFont="1" applyFill="1" applyBorder="1" applyAlignment="1">
      <alignment horizontal="left" vertical="center" wrapText="1"/>
    </xf>
    <xf numFmtId="0" fontId="87" fillId="0" borderId="339" xfId="0" applyFont="1" applyBorder="1" applyAlignment="1">
      <alignment horizontal="left" wrapText="1"/>
    </xf>
    <xf numFmtId="0" fontId="87" fillId="0" borderId="319" xfId="150" applyFont="1" applyBorder="1" applyAlignment="1">
      <alignment horizontal="left" vertical="center" wrapText="1"/>
    </xf>
    <xf numFmtId="0" fontId="87" fillId="0" borderId="0" xfId="150" applyFont="1" applyBorder="1" applyAlignment="1">
      <alignment horizontal="left" vertical="center" wrapText="1"/>
    </xf>
    <xf numFmtId="0" fontId="87" fillId="0" borderId="317" xfId="150" applyFont="1" applyBorder="1" applyAlignment="1">
      <alignment horizontal="left" vertical="center" wrapText="1"/>
    </xf>
    <xf numFmtId="0" fontId="87" fillId="0" borderId="235" xfId="0" applyFont="1" applyBorder="1" applyAlignment="1">
      <alignment horizontal="left" vertical="center" wrapText="1"/>
    </xf>
    <xf numFmtId="0" fontId="87" fillId="0" borderId="364" xfId="0" applyFont="1" applyBorder="1" applyAlignment="1">
      <alignment horizontal="center" vertical="center" wrapText="1"/>
    </xf>
    <xf numFmtId="0" fontId="87" fillId="0" borderId="235" xfId="150" applyFont="1" applyBorder="1" applyAlignment="1">
      <alignment horizontal="left" vertical="center" wrapText="1"/>
    </xf>
    <xf numFmtId="0" fontId="87" fillId="0" borderId="364" xfId="150" applyFont="1" applyBorder="1" applyAlignment="1">
      <alignment horizontal="left" vertical="center" wrapText="1"/>
    </xf>
    <xf numFmtId="0" fontId="87" fillId="0" borderId="365" xfId="150" applyFont="1" applyBorder="1" applyAlignment="1">
      <alignment horizontal="left" vertical="center" wrapText="1"/>
    </xf>
    <xf numFmtId="0" fontId="87" fillId="0" borderId="363" xfId="150" applyFont="1" applyBorder="1" applyAlignment="1">
      <alignment horizontal="left" vertical="center" wrapText="1"/>
    </xf>
    <xf numFmtId="0" fontId="87" fillId="62" borderId="363" xfId="150" applyFont="1" applyFill="1" applyBorder="1" applyAlignment="1">
      <alignment horizontal="left" vertical="center" wrapText="1"/>
    </xf>
    <xf numFmtId="0" fontId="87" fillId="62" borderId="235" xfId="150" applyFont="1" applyFill="1" applyBorder="1" applyAlignment="1">
      <alignment horizontal="left" vertical="center" wrapText="1"/>
    </xf>
    <xf numFmtId="180" fontId="175" fillId="28" borderId="286" xfId="0" applyNumberFormat="1" applyFont="1" applyFill="1" applyBorder="1" applyAlignment="1">
      <alignment horizontal="center" vertical="center" wrapText="1"/>
    </xf>
    <xf numFmtId="0" fontId="204" fillId="0" borderId="0" xfId="0" applyFont="1" applyAlignment="1">
      <alignment horizontal="left" vertical="center" wrapText="1"/>
    </xf>
    <xf numFmtId="0" fontId="204" fillId="0" borderId="0" xfId="0" applyFont="1" applyAlignment="1">
      <alignment horizontal="left" vertical="center"/>
    </xf>
    <xf numFmtId="0" fontId="204" fillId="0" borderId="0" xfId="0" applyFont="1" applyAlignment="1">
      <alignment vertical="center"/>
    </xf>
    <xf numFmtId="0" fontId="0" fillId="0" borderId="0" xfId="0"/>
    <xf numFmtId="0" fontId="0" fillId="0" borderId="0" xfId="0"/>
    <xf numFmtId="0" fontId="40" fillId="0" borderId="16" xfId="0" applyFont="1" applyBorder="1" applyAlignment="1">
      <alignment horizontal="center" vertical="center" wrapText="1"/>
    </xf>
    <xf numFmtId="0" fontId="0" fillId="0" borderId="0" xfId="0"/>
    <xf numFmtId="0" fontId="40" fillId="0" borderId="16" xfId="0" applyFont="1" applyFill="1" applyBorder="1" applyAlignment="1">
      <alignment horizontal="center" vertical="center" wrapText="1"/>
    </xf>
    <xf numFmtId="0" fontId="44" fillId="0" borderId="0" xfId="0" applyFont="1" applyAlignment="1">
      <alignment horizontal="center" vertical="center" wrapText="1"/>
    </xf>
    <xf numFmtId="0" fontId="0" fillId="0" borderId="0" xfId="0"/>
    <xf numFmtId="0" fontId="228" fillId="0" borderId="0" xfId="0" applyFont="1" applyAlignment="1">
      <alignment horizontal="left" vertical="center"/>
    </xf>
    <xf numFmtId="0" fontId="0" fillId="0" borderId="0" xfId="0"/>
    <xf numFmtId="0" fontId="101" fillId="0" borderId="10" xfId="0" applyFont="1" applyBorder="1" applyAlignment="1">
      <alignment horizontal="center" vertical="center" wrapText="1"/>
    </xf>
    <xf numFmtId="168" fontId="40" fillId="20" borderId="149" xfId="176" applyNumberFormat="1" applyFont="1" applyFill="1" applyBorder="1" applyAlignment="1">
      <alignment horizontal="center" vertical="center"/>
    </xf>
    <xf numFmtId="168" fontId="38" fillId="0" borderId="153" xfId="176" applyNumberFormat="1" applyFont="1" applyFill="1" applyBorder="1" applyAlignment="1">
      <alignment horizontal="center" vertical="center"/>
    </xf>
    <xf numFmtId="168" fontId="38" fillId="0" borderId="146" xfId="176" applyNumberFormat="1" applyFont="1" applyFill="1" applyBorder="1" applyAlignment="1">
      <alignment horizontal="center" vertical="center"/>
    </xf>
    <xf numFmtId="168" fontId="40" fillId="0" borderId="152" xfId="176" applyNumberFormat="1" applyFont="1" applyFill="1" applyBorder="1" applyAlignment="1">
      <alignment horizontal="center" vertical="center"/>
    </xf>
    <xf numFmtId="168" fontId="40" fillId="20" borderId="336" xfId="176" applyNumberFormat="1" applyFont="1" applyFill="1" applyBorder="1" applyAlignment="1">
      <alignment horizontal="center" vertical="center"/>
    </xf>
    <xf numFmtId="168" fontId="40" fillId="20" borderId="367" xfId="176" applyNumberFormat="1" applyFont="1" applyFill="1" applyBorder="1" applyAlignment="1">
      <alignment horizontal="center" vertical="center"/>
    </xf>
    <xf numFmtId="168" fontId="40" fillId="0" borderId="146" xfId="0" applyNumberFormat="1" applyFont="1" applyFill="1" applyBorder="1" applyAlignment="1">
      <alignment horizontal="center" vertical="center"/>
    </xf>
    <xf numFmtId="168" fontId="38" fillId="0" borderId="304" xfId="176" applyNumberFormat="1" applyFont="1" applyFill="1" applyBorder="1" applyAlignment="1">
      <alignment horizontal="center" vertical="center"/>
    </xf>
    <xf numFmtId="168" fontId="38" fillId="0" borderId="305" xfId="176" applyNumberFormat="1" applyFont="1" applyFill="1" applyBorder="1" applyAlignment="1">
      <alignment horizontal="center" vertical="center"/>
    </xf>
    <xf numFmtId="168" fontId="38" fillId="0" borderId="152" xfId="176" applyNumberFormat="1" applyFont="1" applyFill="1" applyBorder="1" applyAlignment="1">
      <alignment horizontal="center" vertical="center"/>
    </xf>
    <xf numFmtId="168" fontId="38" fillId="0" borderId="205" xfId="176" applyNumberFormat="1" applyFont="1" applyFill="1" applyBorder="1" applyAlignment="1">
      <alignment horizontal="center" vertical="center"/>
    </xf>
    <xf numFmtId="0" fontId="55" fillId="0" borderId="369" xfId="0" applyFont="1" applyBorder="1" applyAlignment="1">
      <alignment horizontal="center" vertical="center"/>
    </xf>
    <xf numFmtId="0" fontId="0" fillId="0" borderId="368" xfId="0" applyFont="1" applyBorder="1"/>
    <xf numFmtId="167" fontId="0" fillId="0" borderId="369" xfId="217" applyNumberFormat="1" applyFont="1" applyBorder="1" applyAlignment="1">
      <alignment vertical="center"/>
    </xf>
    <xf numFmtId="167" fontId="40" fillId="0" borderId="369" xfId="217" applyNumberFormat="1" applyFont="1" applyBorder="1" applyAlignment="1">
      <alignment vertical="center"/>
    </xf>
    <xf numFmtId="168" fontId="0" fillId="0" borderId="369" xfId="176" applyNumberFormat="1" applyFont="1" applyBorder="1" applyAlignment="1">
      <alignment horizontal="right" indent="1"/>
    </xf>
    <xf numFmtId="0" fontId="0" fillId="0" borderId="368" xfId="0" applyBorder="1"/>
    <xf numFmtId="0" fontId="316" fillId="0" borderId="0" xfId="0" applyFont="1" applyAlignment="1">
      <alignment horizontal="left" vertical="center"/>
    </xf>
    <xf numFmtId="0" fontId="316" fillId="0" borderId="0" xfId="0" applyFont="1" applyAlignment="1">
      <alignment horizontal="center" vertical="center" wrapText="1"/>
    </xf>
    <xf numFmtId="0" fontId="316" fillId="0" borderId="0" xfId="0" applyFont="1" applyAlignment="1">
      <alignment vertical="center"/>
    </xf>
    <xf numFmtId="0" fontId="316" fillId="0" borderId="0" xfId="0" applyFont="1" applyAlignment="1">
      <alignment horizontal="left" vertical="center" wrapText="1"/>
    </xf>
    <xf numFmtId="0" fontId="317" fillId="0" borderId="0" xfId="0" applyFont="1" applyAlignment="1">
      <alignment horizontal="left" vertical="center"/>
    </xf>
    <xf numFmtId="0" fontId="126" fillId="0" borderId="370" xfId="0" applyFont="1" applyBorder="1" applyAlignment="1">
      <alignment horizontal="center" vertical="center" wrapText="1"/>
    </xf>
    <xf numFmtId="0" fontId="67" fillId="0" borderId="360" xfId="0" applyFont="1" applyBorder="1" applyAlignment="1">
      <alignment vertical="center" wrapText="1"/>
    </xf>
    <xf numFmtId="0" fontId="67" fillId="0" borderId="319" xfId="0" applyFont="1" applyBorder="1" applyAlignment="1">
      <alignment vertical="center" wrapText="1"/>
    </xf>
    <xf numFmtId="0" fontId="126" fillId="22" borderId="0" xfId="0" applyFont="1" applyFill="1" applyBorder="1" applyAlignment="1">
      <alignment horizontal="center" vertical="center" wrapText="1"/>
    </xf>
    <xf numFmtId="0" fontId="87" fillId="0" borderId="339" xfId="0" quotePrefix="1" applyFont="1" applyBorder="1" applyAlignment="1">
      <alignment horizontal="left" vertical="center" wrapText="1"/>
    </xf>
    <xf numFmtId="0" fontId="314" fillId="0" borderId="0" xfId="0" applyFont="1" applyBorder="1" applyAlignment="1">
      <alignment horizontal="left" vertical="center" wrapText="1"/>
    </xf>
    <xf numFmtId="0" fontId="314" fillId="0" borderId="0" xfId="0" applyFont="1" applyBorder="1" applyAlignment="1">
      <alignment horizontal="center" vertical="center" wrapText="1"/>
    </xf>
    <xf numFmtId="0" fontId="87" fillId="0" borderId="319" xfId="0" applyFont="1" applyBorder="1" applyAlignment="1">
      <alignment vertical="center" wrapText="1"/>
    </xf>
    <xf numFmtId="0" fontId="126" fillId="0" borderId="339" xfId="0" applyFont="1" applyBorder="1" applyAlignment="1">
      <alignment horizontal="left" vertical="center" wrapText="1"/>
    </xf>
    <xf numFmtId="0" fontId="315" fillId="0" borderId="0" xfId="0" applyFont="1" applyBorder="1" applyAlignment="1">
      <alignment horizontal="left" vertical="center" wrapText="1"/>
    </xf>
    <xf numFmtId="0" fontId="67" fillId="0" borderId="0" xfId="0" applyFont="1" applyAlignment="1">
      <alignment wrapText="1"/>
    </xf>
    <xf numFmtId="0" fontId="67" fillId="0" borderId="0" xfId="0" applyFont="1" applyBorder="1" applyAlignment="1">
      <alignment wrapText="1"/>
    </xf>
    <xf numFmtId="0" fontId="87" fillId="0" borderId="363" xfId="0" applyFont="1" applyBorder="1" applyAlignment="1">
      <alignment vertical="center" wrapText="1"/>
    </xf>
    <xf numFmtId="0" fontId="87" fillId="0" borderId="235" xfId="0" applyFont="1" applyBorder="1" applyAlignment="1">
      <alignment vertical="center" wrapText="1"/>
    </xf>
    <xf numFmtId="3" fontId="0" fillId="0" borderId="0" xfId="0" applyNumberFormat="1" applyBorder="1" applyAlignment="1">
      <alignment vertical="center"/>
    </xf>
    <xf numFmtId="0" fontId="97" fillId="0" borderId="0" xfId="0" applyFont="1" applyAlignment="1">
      <alignment horizontal="center"/>
    </xf>
    <xf numFmtId="0" fontId="0" fillId="0" borderId="0" xfId="0"/>
    <xf numFmtId="0" fontId="40" fillId="0" borderId="16" xfId="0" applyFont="1" applyBorder="1" applyAlignment="1">
      <alignment horizontal="center" vertical="center" wrapText="1"/>
    </xf>
    <xf numFmtId="0" fontId="23" fillId="0" borderId="16" xfId="0" applyFont="1" applyBorder="1" applyAlignment="1">
      <alignment horizontal="center" vertical="center" wrapText="1"/>
    </xf>
    <xf numFmtId="0" fontId="75" fillId="0" borderId="0" xfId="0" applyFont="1" applyAlignment="1">
      <alignment horizontal="left"/>
    </xf>
    <xf numFmtId="0" fontId="97" fillId="0" borderId="366" xfId="0" applyFont="1" applyBorder="1"/>
    <xf numFmtId="0" fontId="97" fillId="0" borderId="366" xfId="0" applyFont="1" applyBorder="1" applyAlignment="1">
      <alignment horizontal="center"/>
    </xf>
    <xf numFmtId="171" fontId="97" fillId="0" borderId="366" xfId="0" applyNumberFormat="1" applyFont="1" applyBorder="1" applyAlignment="1">
      <alignment horizontal="center" vertical="center"/>
    </xf>
    <xf numFmtId="1" fontId="89" fillId="0" borderId="366" xfId="211" applyNumberFormat="1" applyFont="1" applyBorder="1" applyAlignment="1">
      <alignment horizontal="center" vertical="center"/>
    </xf>
    <xf numFmtId="1" fontId="61" fillId="0" borderId="366" xfId="211" applyNumberFormat="1" applyFont="1" applyBorder="1" applyAlignment="1">
      <alignment horizontal="center" vertical="center"/>
    </xf>
    <xf numFmtId="171" fontId="97" fillId="0" borderId="106" xfId="0" applyNumberFormat="1" applyFont="1" applyBorder="1" applyAlignment="1">
      <alignment horizontal="center" vertical="center"/>
    </xf>
    <xf numFmtId="0" fontId="51" fillId="0" borderId="0" xfId="0" applyFont="1" applyBorder="1" applyAlignment="1">
      <alignment horizontal="center"/>
    </xf>
    <xf numFmtId="3" fontId="40" fillId="20" borderId="151" xfId="0" applyNumberFormat="1" applyFont="1" applyFill="1" applyBorder="1" applyAlignment="1">
      <alignment horizontal="right" indent="1"/>
    </xf>
    <xf numFmtId="168" fontId="225" fillId="37" borderId="270" xfId="0" applyNumberFormat="1" applyFont="1" applyFill="1" applyBorder="1" applyAlignment="1">
      <alignment horizontal="center" vertical="center" wrapText="1"/>
    </xf>
    <xf numFmtId="168" fontId="158" fillId="43" borderId="270" xfId="0" applyNumberFormat="1" applyFont="1" applyFill="1" applyBorder="1" applyAlignment="1">
      <alignment horizontal="center" vertical="center" wrapText="1"/>
    </xf>
    <xf numFmtId="0" fontId="313" fillId="0" borderId="0" xfId="0" applyFont="1"/>
    <xf numFmtId="0" fontId="216" fillId="0" borderId="0" xfId="0" applyFont="1"/>
    <xf numFmtId="0" fontId="277" fillId="0" borderId="0" xfId="0" applyFont="1"/>
    <xf numFmtId="0" fontId="97" fillId="0" borderId="0" xfId="0" applyFont="1" applyAlignment="1">
      <alignment horizontal="center"/>
    </xf>
    <xf numFmtId="0" fontId="75" fillId="0" borderId="0" xfId="0" applyFont="1" applyAlignment="1">
      <alignment horizontal="center"/>
    </xf>
    <xf numFmtId="0" fontId="97" fillId="0" borderId="0" xfId="0" applyFont="1" applyBorder="1" applyAlignment="1">
      <alignment horizontal="center"/>
    </xf>
    <xf numFmtId="0" fontId="0" fillId="0" borderId="0" xfId="0"/>
    <xf numFmtId="0" fontId="38" fillId="0" borderId="22" xfId="2318" applyBorder="1"/>
    <xf numFmtId="3" fontId="114" fillId="20" borderId="366" xfId="452" applyNumberFormat="1" applyFont="1" applyFill="1" applyBorder="1" applyAlignment="1">
      <alignment horizontal="right"/>
    </xf>
    <xf numFmtId="0" fontId="38" fillId="0" borderId="0" xfId="2318"/>
    <xf numFmtId="0" fontId="61" fillId="0" borderId="0" xfId="3786" applyFont="1" applyBorder="1" applyAlignment="1">
      <alignment horizontal="right" vertical="center" wrapText="1"/>
    </xf>
    <xf numFmtId="0" fontId="42" fillId="0" borderId="150" xfId="3786" applyFont="1" applyFill="1" applyBorder="1" applyAlignment="1">
      <alignment horizontal="center" vertical="center" wrapText="1"/>
    </xf>
    <xf numFmtId="0" fontId="42" fillId="33" borderId="148" xfId="3786" applyFont="1" applyFill="1" applyBorder="1" applyAlignment="1">
      <alignment horizontal="center" vertical="center" wrapText="1"/>
    </xf>
    <xf numFmtId="0" fontId="42" fillId="0" borderId="148" xfId="3786" applyFont="1" applyFill="1" applyBorder="1" applyAlignment="1">
      <alignment horizontal="center" vertical="center" wrapText="1"/>
    </xf>
    <xf numFmtId="0" fontId="42" fillId="0" borderId="196" xfId="3786" applyFont="1" applyFill="1" applyBorder="1" applyAlignment="1">
      <alignment horizontal="center" vertical="center" wrapText="1"/>
    </xf>
    <xf numFmtId="0" fontId="42" fillId="0" borderId="201" xfId="3786" applyFont="1" applyFill="1" applyBorder="1" applyAlignment="1">
      <alignment horizontal="center" vertical="center" wrapText="1"/>
    </xf>
    <xf numFmtId="0" fontId="42" fillId="0" borderId="193" xfId="3786" applyFont="1" applyFill="1" applyBorder="1" applyAlignment="1">
      <alignment horizontal="center" vertical="center" wrapText="1"/>
    </xf>
    <xf numFmtId="0" fontId="42" fillId="33" borderId="196" xfId="3786" applyFont="1" applyFill="1" applyBorder="1" applyAlignment="1">
      <alignment horizontal="center" vertical="center" wrapText="1"/>
    </xf>
    <xf numFmtId="0" fontId="42" fillId="0" borderId="145" xfId="3786" applyFont="1" applyFill="1" applyBorder="1" applyAlignment="1">
      <alignment horizontal="center" vertical="center" wrapText="1"/>
    </xf>
    <xf numFmtId="0" fontId="63" fillId="0" borderId="0" xfId="0" applyFont="1" applyAlignment="1">
      <alignment horizontal="center"/>
    </xf>
    <xf numFmtId="0" fontId="202" fillId="0" borderId="0" xfId="0" applyFont="1"/>
    <xf numFmtId="0" fontId="202" fillId="0" borderId="0" xfId="0" applyFont="1" applyAlignment="1">
      <alignment horizontal="center"/>
    </xf>
    <xf numFmtId="0" fontId="50" fillId="0" borderId="366" xfId="0" applyFont="1" applyBorder="1"/>
    <xf numFmtId="0" fontId="75" fillId="0" borderId="366" xfId="0" applyFont="1" applyBorder="1"/>
    <xf numFmtId="0" fontId="75" fillId="0" borderId="366" xfId="0" applyFont="1" applyBorder="1" applyAlignment="1">
      <alignment horizontal="center"/>
    </xf>
    <xf numFmtId="0" fontId="75" fillId="0" borderId="106" xfId="0" applyFont="1" applyBorder="1"/>
    <xf numFmtId="0" fontId="75" fillId="0" borderId="106" xfId="0" applyFont="1" applyBorder="1" applyAlignment="1">
      <alignment horizontal="center"/>
    </xf>
    <xf numFmtId="171" fontId="55" fillId="0" borderId="19" xfId="455" applyNumberFormat="1" applyFont="1" applyBorder="1" applyAlignment="1">
      <alignment horizontal="center" vertical="center"/>
    </xf>
    <xf numFmtId="171" fontId="97" fillId="0" borderId="0" xfId="0" applyNumberFormat="1" applyFont="1" applyBorder="1" applyAlignment="1">
      <alignment horizontal="center"/>
    </xf>
    <xf numFmtId="0" fontId="51" fillId="0" borderId="366" xfId="0" applyFont="1" applyBorder="1"/>
    <xf numFmtId="171" fontId="97" fillId="0" borderId="366" xfId="0" applyNumberFormat="1" applyFont="1" applyBorder="1" applyAlignment="1">
      <alignment horizontal="center"/>
    </xf>
    <xf numFmtId="0" fontId="51" fillId="0" borderId="366" xfId="0" applyFont="1" applyBorder="1" applyAlignment="1">
      <alignment horizontal="center" vertical="center"/>
    </xf>
    <xf numFmtId="0" fontId="74" fillId="0" borderId="16" xfId="238" applyFont="1" applyBorder="1" applyAlignment="1">
      <alignment vertical="center"/>
    </xf>
    <xf numFmtId="0" fontId="74" fillId="0" borderId="0" xfId="798" applyFont="1" applyAlignment="1">
      <alignment vertical="center"/>
    </xf>
    <xf numFmtId="2" fontId="75" fillId="0" borderId="0" xfId="0" applyNumberFormat="1" applyFont="1" applyAlignment="1">
      <alignment vertical="center"/>
    </xf>
    <xf numFmtId="0" fontId="88" fillId="0" borderId="0" xfId="0" applyFont="1" applyAlignment="1">
      <alignment horizontal="right"/>
    </xf>
    <xf numFmtId="0" fontId="103" fillId="0" borderId="0" xfId="0" applyFont="1" applyAlignment="1">
      <alignment horizontal="right"/>
    </xf>
    <xf numFmtId="0" fontId="80" fillId="0" borderId="16" xfId="142" applyFont="1" applyFill="1" applyBorder="1" applyAlignment="1">
      <alignment horizontal="center" vertical="center" wrapText="1"/>
    </xf>
    <xf numFmtId="0" fontId="40" fillId="0" borderId="278" xfId="142" applyFont="1" applyBorder="1" applyAlignment="1">
      <alignment horizontal="center" vertical="center" wrapText="1"/>
    </xf>
    <xf numFmtId="0" fontId="40" fillId="0" borderId="16" xfId="142" applyFont="1" applyBorder="1" applyAlignment="1">
      <alignment horizontal="center" vertical="center" wrapText="1"/>
    </xf>
    <xf numFmtId="0" fontId="80" fillId="20" borderId="366" xfId="142" applyFont="1" applyFill="1" applyBorder="1" applyAlignment="1">
      <alignment horizontal="center"/>
    </xf>
    <xf numFmtId="168" fontId="43" fillId="20" borderId="370" xfId="180" applyNumberFormat="1" applyFont="1" applyFill="1" applyBorder="1" applyAlignment="1">
      <alignment horizontal="right" vertical="center" indent="1"/>
    </xf>
    <xf numFmtId="0" fontId="80" fillId="20" borderId="366" xfId="142" applyFont="1" applyFill="1" applyBorder="1" applyAlignment="1">
      <alignment horizontal="center" vertical="center"/>
    </xf>
    <xf numFmtId="168" fontId="43" fillId="20" borderId="366" xfId="180" applyNumberFormat="1" applyFont="1" applyFill="1" applyBorder="1" applyAlignment="1">
      <alignment horizontal="right" vertical="center" indent="1"/>
    </xf>
    <xf numFmtId="0" fontId="116" fillId="0" borderId="366" xfId="3786" applyFont="1" applyFill="1" applyBorder="1" applyAlignment="1">
      <alignment vertical="center"/>
    </xf>
    <xf numFmtId="0" fontId="255" fillId="0" borderId="366" xfId="3786" applyFont="1" applyFill="1" applyBorder="1" applyAlignment="1">
      <alignment horizontal="right" vertical="center"/>
    </xf>
    <xf numFmtId="0" fontId="268" fillId="0" borderId="366" xfId="3786" applyFont="1" applyFill="1" applyBorder="1" applyAlignment="1">
      <alignment vertical="center"/>
    </xf>
    <xf numFmtId="0" fontId="257" fillId="0" borderId="366" xfId="3786" applyFont="1" applyFill="1" applyBorder="1" applyAlignment="1">
      <alignment horizontal="right" vertical="center"/>
    </xf>
    <xf numFmtId="0" fontId="42" fillId="0" borderId="372" xfId="3786" applyFont="1" applyFill="1" applyBorder="1" applyAlignment="1">
      <alignment horizontal="center" vertical="center" wrapText="1"/>
    </xf>
    <xf numFmtId="0" fontId="269" fillId="0" borderId="366" xfId="3786" applyFont="1" applyFill="1" applyBorder="1" applyAlignment="1">
      <alignment vertical="center"/>
    </xf>
    <xf numFmtId="0" fontId="260" fillId="0" borderId="366" xfId="3786" applyFont="1" applyFill="1" applyBorder="1" applyAlignment="1">
      <alignment horizontal="right" vertical="center"/>
    </xf>
    <xf numFmtId="0" fontId="268" fillId="0" borderId="366" xfId="3786" applyFont="1" applyBorder="1" applyAlignment="1">
      <alignment vertical="center"/>
    </xf>
    <xf numFmtId="0" fontId="262" fillId="0" borderId="366" xfId="3786" applyFont="1" applyBorder="1" applyAlignment="1">
      <alignment horizontal="right" vertical="center"/>
    </xf>
    <xf numFmtId="0" fontId="42" fillId="0" borderId="372" xfId="3786" applyFont="1" applyBorder="1" applyAlignment="1">
      <alignment horizontal="center" vertical="center" wrapText="1"/>
    </xf>
    <xf numFmtId="0" fontId="263" fillId="0" borderId="366" xfId="3786" applyFont="1" applyFill="1" applyBorder="1" applyAlignment="1">
      <alignment horizontal="right" vertical="center"/>
    </xf>
    <xf numFmtId="15" fontId="234" fillId="0" borderId="195" xfId="3786" applyNumberFormat="1" applyFont="1" applyFill="1" applyBorder="1" applyAlignment="1">
      <alignment horizontal="center" vertical="center"/>
    </xf>
    <xf numFmtId="0" fontId="185" fillId="22" borderId="366" xfId="3786" applyFont="1" applyFill="1" applyBorder="1" applyAlignment="1">
      <alignment vertical="center"/>
    </xf>
    <xf numFmtId="0" fontId="270" fillId="22" borderId="366" xfId="3786" applyFont="1" applyFill="1" applyBorder="1" applyAlignment="1">
      <alignment horizontal="right" vertical="center"/>
    </xf>
    <xf numFmtId="0" fontId="97" fillId="0" borderId="0" xfId="0" applyFont="1" applyAlignment="1">
      <alignment horizontal="center"/>
    </xf>
    <xf numFmtId="0" fontId="0" fillId="0" borderId="0" xfId="0"/>
    <xf numFmtId="0" fontId="51" fillId="0" borderId="0" xfId="0" applyFont="1" applyAlignment="1">
      <alignment horizontal="right"/>
    </xf>
    <xf numFmtId="0" fontId="97" fillId="0" borderId="16" xfId="0" applyFont="1" applyBorder="1" applyAlignment="1">
      <alignment horizontal="right"/>
    </xf>
    <xf numFmtId="10" fontId="97" fillId="0" borderId="0" xfId="176" applyNumberFormat="1" applyFont="1" applyBorder="1"/>
    <xf numFmtId="0" fontId="205" fillId="0" borderId="0" xfId="0" applyFont="1" applyAlignment="1">
      <alignment horizontal="center" vertical="center"/>
    </xf>
    <xf numFmtId="0" fontId="318" fillId="0" borderId="0" xfId="3795" applyFont="1" applyFill="1" applyBorder="1" applyAlignment="1">
      <alignment horizontal="center" wrapText="1"/>
    </xf>
    <xf numFmtId="0" fontId="319" fillId="0" borderId="366" xfId="3795" applyFont="1" applyFill="1" applyBorder="1" applyAlignment="1">
      <alignment horizontal="center" wrapText="1"/>
    </xf>
    <xf numFmtId="171" fontId="175" fillId="37" borderId="270" xfId="0" applyNumberFormat="1" applyFont="1" applyFill="1" applyBorder="1" applyAlignment="1">
      <alignment horizontal="center" vertical="center" wrapText="1"/>
    </xf>
    <xf numFmtId="9" fontId="225" fillId="37" borderId="270" xfId="0" applyNumberFormat="1" applyFont="1" applyFill="1" applyBorder="1" applyAlignment="1">
      <alignment horizontal="center" vertical="center" wrapText="1"/>
    </xf>
    <xf numFmtId="0" fontId="224" fillId="54" borderId="166" xfId="0" applyFont="1" applyFill="1" applyBorder="1" applyAlignment="1">
      <alignment horizontal="center" vertical="center" wrapText="1"/>
    </xf>
    <xf numFmtId="0" fontId="224" fillId="54" borderId="157" xfId="0" applyFont="1" applyFill="1" applyBorder="1" applyAlignment="1">
      <alignment horizontal="center" vertical="center" wrapText="1"/>
    </xf>
    <xf numFmtId="0" fontId="224" fillId="54" borderId="177" xfId="0" applyFont="1" applyFill="1" applyBorder="1" applyAlignment="1">
      <alignment horizontal="center" vertical="center" wrapText="1"/>
    </xf>
    <xf numFmtId="0" fontId="225" fillId="54" borderId="218" xfId="0" applyFont="1" applyFill="1" applyBorder="1" applyAlignment="1">
      <alignment horizontal="center" vertical="center" wrapText="1"/>
    </xf>
    <xf numFmtId="0" fontId="225" fillId="54" borderId="107" xfId="0" applyFont="1" applyFill="1" applyBorder="1" applyAlignment="1">
      <alignment horizontal="center" vertical="center" wrapText="1"/>
    </xf>
    <xf numFmtId="0" fontId="225" fillId="54" borderId="120" xfId="0" applyFont="1" applyFill="1" applyBorder="1" applyAlignment="1">
      <alignment horizontal="center" vertical="center" wrapText="1"/>
    </xf>
    <xf numFmtId="0" fontId="225" fillId="54" borderId="178" xfId="0" applyFont="1" applyFill="1" applyBorder="1" applyAlignment="1">
      <alignment horizontal="center" vertical="center" wrapText="1"/>
    </xf>
    <xf numFmtId="0" fontId="225" fillId="54" borderId="157" xfId="0" applyFont="1" applyFill="1" applyBorder="1" applyAlignment="1">
      <alignment horizontal="center" vertical="center" wrapText="1"/>
    </xf>
    <xf numFmtId="0" fontId="225" fillId="54" borderId="165" xfId="0" applyFont="1" applyFill="1" applyBorder="1" applyAlignment="1">
      <alignment horizontal="center" vertical="center" wrapText="1"/>
    </xf>
    <xf numFmtId="0" fontId="132" fillId="0" borderId="100" xfId="0" applyFont="1" applyBorder="1" applyAlignment="1">
      <alignment horizontal="center" vertical="center" wrapText="1"/>
    </xf>
    <xf numFmtId="0" fontId="132" fillId="0" borderId="13" xfId="0" applyFont="1" applyBorder="1" applyAlignment="1">
      <alignment horizontal="center" vertical="center" wrapText="1"/>
    </xf>
    <xf numFmtId="0" fontId="132" fillId="0" borderId="103" xfId="0" applyFont="1" applyBorder="1" applyAlignment="1">
      <alignment horizontal="center" vertical="center" wrapText="1"/>
    </xf>
    <xf numFmtId="0" fontId="132" fillId="0" borderId="100" xfId="0" applyFont="1" applyFill="1" applyBorder="1" applyAlignment="1">
      <alignment horizontal="center" vertical="center" wrapText="1"/>
    </xf>
    <xf numFmtId="0" fontId="132" fillId="0" borderId="13" xfId="0" applyFont="1" applyFill="1" applyBorder="1" applyAlignment="1">
      <alignment horizontal="center" vertical="center" wrapText="1"/>
    </xf>
    <xf numFmtId="0" fontId="132" fillId="0" borderId="103" xfId="0" applyFont="1" applyFill="1" applyBorder="1" applyAlignment="1">
      <alignment horizontal="center" vertical="center" wrapText="1"/>
    </xf>
    <xf numFmtId="0" fontId="132" fillId="0" borderId="131" xfId="0" applyFont="1" applyBorder="1" applyAlignment="1">
      <alignment horizontal="center" vertical="center" wrapText="1"/>
    </xf>
    <xf numFmtId="0" fontId="132" fillId="0" borderId="15" xfId="0" applyFont="1" applyBorder="1" applyAlignment="1">
      <alignment horizontal="center" vertical="center" wrapText="1"/>
    </xf>
    <xf numFmtId="0" fontId="225" fillId="54" borderId="334" xfId="0" applyFont="1" applyFill="1" applyBorder="1" applyAlignment="1">
      <alignment horizontal="center" vertical="center"/>
    </xf>
    <xf numFmtId="0" fontId="225" fillId="54" borderId="107" xfId="0" applyFont="1" applyFill="1" applyBorder="1" applyAlignment="1">
      <alignment horizontal="center" vertical="center"/>
    </xf>
    <xf numFmtId="0" fontId="225" fillId="54" borderId="275" xfId="0" applyFont="1" applyFill="1" applyBorder="1" applyAlignment="1">
      <alignment horizontal="center" vertical="center"/>
    </xf>
    <xf numFmtId="0" fontId="225" fillId="54" borderId="276" xfId="0" applyFont="1" applyFill="1" applyBorder="1" applyAlignment="1">
      <alignment horizontal="center" vertical="center"/>
    </xf>
    <xf numFmtId="0" fontId="225" fillId="54" borderId="333" xfId="0" applyFont="1" applyFill="1" applyBorder="1" applyAlignment="1">
      <alignment horizontal="center" vertical="center"/>
    </xf>
    <xf numFmtId="0" fontId="225" fillId="54" borderId="277" xfId="0" applyFont="1" applyFill="1" applyBorder="1" applyAlignment="1">
      <alignment horizontal="center" vertical="center"/>
    </xf>
    <xf numFmtId="0" fontId="44" fillId="0" borderId="0" xfId="0" applyFont="1" applyAlignment="1">
      <alignment horizontal="center" vertical="center"/>
    </xf>
    <xf numFmtId="0" fontId="67" fillId="41" borderId="107" xfId="0" applyFont="1" applyFill="1" applyBorder="1" applyAlignment="1">
      <alignment horizontal="center" vertical="center" wrapText="1"/>
    </xf>
    <xf numFmtId="0" fontId="67" fillId="41" borderId="0" xfId="0" applyFont="1" applyFill="1" applyBorder="1" applyAlignment="1">
      <alignment horizontal="center" vertical="center" wrapText="1"/>
    </xf>
    <xf numFmtId="0" fontId="275" fillId="0" borderId="0" xfId="0" applyFont="1" applyAlignment="1">
      <alignment horizontal="center" vertical="center"/>
    </xf>
    <xf numFmtId="0" fontId="132" fillId="0" borderId="83" xfId="0" applyFont="1" applyBorder="1" applyAlignment="1">
      <alignment vertical="center" wrapText="1"/>
    </xf>
    <xf numFmtId="0" fontId="132" fillId="0" borderId="142" xfId="0" applyFont="1" applyBorder="1" applyAlignment="1">
      <alignment horizontal="center" vertical="center" wrapText="1"/>
    </xf>
    <xf numFmtId="0" fontId="132" fillId="0" borderId="142" xfId="0" applyFont="1" applyBorder="1" applyAlignment="1">
      <alignment horizontal="left" vertical="center" wrapText="1"/>
    </xf>
    <xf numFmtId="0" fontId="132" fillId="0" borderId="103" xfId="0" applyFont="1" applyBorder="1" applyAlignment="1">
      <alignment horizontal="left" vertical="center" wrapText="1"/>
    </xf>
    <xf numFmtId="0" fontId="132" fillId="0" borderId="100" xfId="0" applyFont="1" applyBorder="1" applyAlignment="1">
      <alignment horizontal="left" vertical="center" wrapText="1"/>
    </xf>
    <xf numFmtId="0" fontId="224" fillId="54" borderId="188" xfId="0" applyFont="1" applyFill="1" applyBorder="1" applyAlignment="1">
      <alignment horizontal="center" vertical="center" wrapText="1"/>
    </xf>
    <xf numFmtId="0" fontId="224" fillId="54" borderId="107" xfId="0" applyFont="1" applyFill="1" applyBorder="1" applyAlignment="1">
      <alignment horizontal="center" vertical="center" wrapText="1"/>
    </xf>
    <xf numFmtId="0" fontId="224" fillId="54" borderId="217" xfId="0" applyFont="1" applyFill="1" applyBorder="1" applyAlignment="1">
      <alignment horizontal="center" vertical="center" wrapText="1"/>
    </xf>
    <xf numFmtId="0" fontId="132" fillId="0" borderId="170" xfId="0" applyFont="1" applyFill="1" applyBorder="1" applyAlignment="1">
      <alignment horizontal="center" vertical="center" wrapText="1"/>
    </xf>
    <xf numFmtId="0" fontId="132" fillId="0" borderId="325" xfId="0" applyFont="1" applyBorder="1" applyAlignment="1">
      <alignment horizontal="center" vertical="center" wrapText="1"/>
    </xf>
    <xf numFmtId="0" fontId="132" fillId="0" borderId="170" xfId="0" applyFont="1" applyBorder="1" applyAlignment="1">
      <alignment horizontal="center" vertical="center" wrapText="1"/>
    </xf>
    <xf numFmtId="0" fontId="132" fillId="0" borderId="319" xfId="0" applyFont="1" applyBorder="1" applyAlignment="1">
      <alignment horizontal="center" vertical="center" wrapText="1"/>
    </xf>
    <xf numFmtId="0" fontId="179" fillId="0" borderId="0" xfId="0" applyFont="1" applyAlignment="1">
      <alignment horizontal="center" vertical="center"/>
    </xf>
    <xf numFmtId="0" fontId="44" fillId="0" borderId="0" xfId="0" applyFont="1" applyAlignment="1">
      <alignment horizontal="left" vertical="center"/>
    </xf>
    <xf numFmtId="0" fontId="181" fillId="0" borderId="0" xfId="0" applyFont="1" applyAlignment="1">
      <alignment horizontal="center" vertical="center"/>
    </xf>
    <xf numFmtId="0" fontId="180" fillId="0" borderId="0" xfId="0" applyFont="1" applyAlignment="1">
      <alignment horizontal="center" vertical="center"/>
    </xf>
    <xf numFmtId="0" fontId="44" fillId="0" borderId="0" xfId="0" applyFont="1" applyAlignment="1">
      <alignment vertical="center"/>
    </xf>
    <xf numFmtId="0" fontId="99" fillId="0" borderId="0" xfId="173" applyFont="1" applyAlignment="1">
      <alignment horizontal="center" vertical="center"/>
    </xf>
    <xf numFmtId="0" fontId="99" fillId="0" borderId="99" xfId="454" applyFont="1" applyBorder="1" applyAlignment="1">
      <alignment horizontal="center" vertical="center"/>
    </xf>
    <xf numFmtId="0" fontId="99" fillId="0" borderId="93" xfId="238" applyFont="1" applyBorder="1" applyAlignment="1">
      <alignment horizontal="center" vertical="center"/>
    </xf>
    <xf numFmtId="0" fontId="99" fillId="0" borderId="95" xfId="238" applyFont="1" applyBorder="1" applyAlignment="1">
      <alignment horizontal="center" vertical="center"/>
    </xf>
    <xf numFmtId="0" fontId="99" fillId="0" borderId="94" xfId="238" applyFont="1" applyBorder="1" applyAlignment="1">
      <alignment horizontal="center" vertical="center"/>
    </xf>
    <xf numFmtId="0" fontId="80" fillId="0" borderId="93" xfId="238" applyFont="1" applyBorder="1" applyAlignment="1">
      <alignment horizontal="center" vertical="center"/>
    </xf>
    <xf numFmtId="0" fontId="80" fillId="0" borderId="95" xfId="238" applyFont="1" applyBorder="1" applyAlignment="1">
      <alignment horizontal="center" vertical="center"/>
    </xf>
    <xf numFmtId="0" fontId="80" fillId="0" borderId="94" xfId="238" applyFont="1" applyBorder="1" applyAlignment="1">
      <alignment horizontal="center" vertical="center"/>
    </xf>
    <xf numFmtId="0" fontId="49" fillId="0" borderId="93" xfId="0" applyFont="1" applyBorder="1" applyAlignment="1">
      <alignment horizontal="center" vertical="center"/>
    </xf>
    <xf numFmtId="0" fontId="49" fillId="0" borderId="95" xfId="0" applyFont="1" applyBorder="1" applyAlignment="1">
      <alignment horizontal="center" vertical="center"/>
    </xf>
    <xf numFmtId="0" fontId="49" fillId="0" borderId="94" xfId="0" applyFont="1" applyBorder="1" applyAlignment="1">
      <alignment horizontal="center" vertical="center"/>
    </xf>
    <xf numFmtId="0" fontId="97" fillId="0" borderId="93" xfId="0" applyFont="1" applyBorder="1" applyAlignment="1">
      <alignment horizontal="center" vertical="center"/>
    </xf>
    <xf numFmtId="0" fontId="97" fillId="0" borderId="95" xfId="0" applyFont="1" applyBorder="1" applyAlignment="1">
      <alignment horizontal="center" vertical="center"/>
    </xf>
    <xf numFmtId="0" fontId="97" fillId="0" borderId="94" xfId="0" applyFont="1" applyBorder="1" applyAlignment="1">
      <alignment horizontal="center" vertical="center"/>
    </xf>
    <xf numFmtId="0" fontId="97" fillId="0" borderId="366" xfId="0" applyFont="1" applyBorder="1" applyAlignment="1">
      <alignment horizontal="center"/>
    </xf>
    <xf numFmtId="0" fontId="122" fillId="0" borderId="311" xfId="0" applyFont="1" applyBorder="1" applyAlignment="1">
      <alignment horizontal="center"/>
    </xf>
    <xf numFmtId="0" fontId="97" fillId="0" borderId="0" xfId="0" applyFont="1" applyAlignment="1">
      <alignment horizontal="center"/>
    </xf>
    <xf numFmtId="0" fontId="178" fillId="0" borderId="0" xfId="227" applyFont="1" applyAlignment="1">
      <alignment horizontal="center" vertical="center"/>
    </xf>
    <xf numFmtId="0" fontId="182" fillId="0" borderId="93" xfId="227" applyFont="1" applyBorder="1" applyAlignment="1">
      <alignment horizontal="center" vertical="center"/>
    </xf>
    <xf numFmtId="0" fontId="182" fillId="0" borderId="95" xfId="227" applyFont="1" applyBorder="1" applyAlignment="1">
      <alignment horizontal="center" vertical="center"/>
    </xf>
    <xf numFmtId="0" fontId="182" fillId="0" borderId="94" xfId="227" applyFont="1" applyBorder="1" applyAlignment="1">
      <alignment horizontal="center" vertical="center"/>
    </xf>
    <xf numFmtId="0" fontId="40" fillId="0" borderId="163" xfId="0" applyFont="1" applyBorder="1" applyAlignment="1">
      <alignment horizontal="center"/>
    </xf>
    <xf numFmtId="0" fontId="99" fillId="0" borderId="156" xfId="821" applyFont="1" applyBorder="1" applyAlignment="1">
      <alignment horizontal="center"/>
    </xf>
    <xf numFmtId="0" fontId="99" fillId="0" borderId="157" xfId="821" applyFont="1" applyBorder="1" applyAlignment="1">
      <alignment horizontal="center"/>
    </xf>
    <xf numFmtId="0" fontId="80" fillId="0" borderId="0" xfId="454" applyFont="1" applyAlignment="1">
      <alignment horizontal="left" vertical="center" wrapText="1"/>
    </xf>
    <xf numFmtId="0" fontId="80" fillId="0" borderId="16" xfId="454" applyFont="1" applyBorder="1" applyAlignment="1">
      <alignment horizontal="left" vertical="center"/>
    </xf>
    <xf numFmtId="0" fontId="176" fillId="0" borderId="0" xfId="0" applyFont="1" applyAlignment="1">
      <alignment horizontal="right" vertical="center" wrapText="1"/>
    </xf>
    <xf numFmtId="0" fontId="183" fillId="0" borderId="16" xfId="0" applyFont="1" applyBorder="1" applyAlignment="1">
      <alignment horizontal="center" vertical="center"/>
    </xf>
    <xf numFmtId="0" fontId="212" fillId="0" borderId="16" xfId="0" applyFont="1" applyBorder="1" applyAlignment="1">
      <alignment horizontal="center" vertical="center"/>
    </xf>
    <xf numFmtId="0" fontId="102" fillId="0" borderId="16" xfId="0" applyFont="1" applyBorder="1" applyAlignment="1">
      <alignment horizontal="center" vertical="center"/>
    </xf>
    <xf numFmtId="0" fontId="189" fillId="0" borderId="0" xfId="227" applyFont="1" applyAlignment="1">
      <alignment horizontal="center"/>
    </xf>
    <xf numFmtId="0" fontId="99" fillId="0" borderId="99" xfId="428" applyFont="1" applyBorder="1" applyAlignment="1">
      <alignment horizontal="center"/>
    </xf>
    <xf numFmtId="0" fontId="75" fillId="0" borderId="99" xfId="0" applyFont="1" applyBorder="1" applyAlignment="1">
      <alignment horizontal="center"/>
    </xf>
    <xf numFmtId="0" fontId="75" fillId="0" borderId="0" xfId="0" applyFont="1" applyAlignment="1">
      <alignment horizontal="center"/>
    </xf>
    <xf numFmtId="0" fontId="40" fillId="0" borderId="0" xfId="0" applyFont="1" applyBorder="1" applyAlignment="1">
      <alignment horizontal="center"/>
    </xf>
    <xf numFmtId="0" fontId="177" fillId="0" borderId="0" xfId="144" applyFont="1" applyAlignment="1">
      <alignment horizontal="center"/>
    </xf>
    <xf numFmtId="0" fontId="5" fillId="0" borderId="0" xfId="0" applyFont="1" applyAlignment="1">
      <alignment horizontal="center"/>
    </xf>
    <xf numFmtId="0" fontId="177" fillId="0" borderId="0" xfId="227" applyFont="1" applyAlignment="1">
      <alignment horizontal="center"/>
    </xf>
    <xf numFmtId="0" fontId="134" fillId="0" borderId="0" xfId="451" applyFont="1" applyAlignment="1">
      <alignment horizontal="center" vertical="center"/>
    </xf>
    <xf numFmtId="0" fontId="134" fillId="0" borderId="0" xfId="797" applyFont="1" applyAlignment="1">
      <alignment horizontal="center"/>
    </xf>
    <xf numFmtId="0" fontId="189" fillId="0" borderId="99" xfId="227" applyFont="1" applyBorder="1" applyAlignment="1">
      <alignment horizontal="center" vertical="center"/>
    </xf>
    <xf numFmtId="0" fontId="122" fillId="0" borderId="0" xfId="0" applyFont="1" applyBorder="1" applyAlignment="1">
      <alignment horizontal="center"/>
    </xf>
    <xf numFmtId="0" fontId="40" fillId="0" borderId="226" xfId="0" applyFont="1" applyBorder="1" applyAlignment="1">
      <alignment horizontal="center" vertical="center"/>
    </xf>
    <xf numFmtId="0" fontId="75" fillId="0" borderId="163" xfId="0" applyFont="1" applyBorder="1" applyAlignment="1">
      <alignment horizontal="center"/>
    </xf>
    <xf numFmtId="0" fontId="99" fillId="0" borderId="156" xfId="3783" applyFont="1" applyBorder="1" applyAlignment="1">
      <alignment horizontal="center"/>
    </xf>
    <xf numFmtId="0" fontId="99" fillId="0" borderId="157" xfId="3783" applyFont="1" applyBorder="1" applyAlignment="1">
      <alignment horizontal="center"/>
    </xf>
    <xf numFmtId="0" fontId="99" fillId="0" borderId="161" xfId="3783" applyFont="1" applyBorder="1" applyAlignment="1">
      <alignment horizontal="center"/>
    </xf>
    <xf numFmtId="0" fontId="176" fillId="0" borderId="107" xfId="0" applyFont="1" applyBorder="1" applyAlignment="1">
      <alignment horizontal="right" vertical="center" wrapText="1"/>
    </xf>
    <xf numFmtId="0" fontId="176" fillId="0" borderId="0" xfId="0" applyFont="1" applyBorder="1" applyAlignment="1">
      <alignment horizontal="right" vertical="center" wrapText="1"/>
    </xf>
    <xf numFmtId="0" fontId="97" fillId="0" borderId="0" xfId="0" applyFont="1" applyBorder="1" applyAlignment="1">
      <alignment horizontal="center"/>
    </xf>
    <xf numFmtId="0" fontId="97" fillId="0" borderId="163" xfId="0" applyFont="1" applyBorder="1" applyAlignment="1">
      <alignment horizontal="center"/>
    </xf>
    <xf numFmtId="0" fontId="99" fillId="0" borderId="99" xfId="173" applyFont="1" applyBorder="1" applyAlignment="1">
      <alignment horizontal="center"/>
    </xf>
    <xf numFmtId="0" fontId="99" fillId="0" borderId="156" xfId="428" applyFont="1" applyBorder="1" applyAlignment="1">
      <alignment horizontal="center" vertical="center" wrapText="1"/>
    </xf>
    <xf numFmtId="0" fontId="99" fillId="0" borderId="157" xfId="428" applyFont="1" applyBorder="1" applyAlignment="1">
      <alignment horizontal="center" vertical="center" wrapText="1"/>
    </xf>
    <xf numFmtId="0" fontId="99" fillId="0" borderId="161" xfId="428" applyFont="1" applyBorder="1" applyAlignment="1">
      <alignment horizontal="center" vertical="center" wrapText="1"/>
    </xf>
    <xf numFmtId="0" fontId="189" fillId="0" borderId="99" xfId="227" applyFont="1" applyBorder="1" applyAlignment="1">
      <alignment horizontal="center"/>
    </xf>
    <xf numFmtId="0" fontId="6" fillId="0" borderId="0" xfId="0" applyFont="1" applyAlignment="1">
      <alignment horizontal="center"/>
    </xf>
    <xf numFmtId="0" fontId="177" fillId="0" borderId="0" xfId="0" applyFont="1" applyAlignment="1">
      <alignment horizontal="center"/>
    </xf>
    <xf numFmtId="0" fontId="134" fillId="0" borderId="0" xfId="453" applyFont="1" applyAlignment="1">
      <alignment horizontal="center"/>
    </xf>
    <xf numFmtId="0" fontId="134" fillId="0" borderId="0" xfId="239" applyFont="1" applyAlignment="1">
      <alignment horizontal="center"/>
    </xf>
    <xf numFmtId="0" fontId="79" fillId="0" borderId="99" xfId="0" applyFont="1" applyBorder="1" applyAlignment="1">
      <alignment horizontal="center"/>
    </xf>
    <xf numFmtId="0" fontId="40" fillId="0" borderId="226" xfId="0" applyFont="1" applyBorder="1" applyAlignment="1">
      <alignment horizontal="center"/>
    </xf>
    <xf numFmtId="0" fontId="176" fillId="0" borderId="163" xfId="0" applyFont="1" applyBorder="1" applyAlignment="1">
      <alignment horizontal="center"/>
    </xf>
    <xf numFmtId="0" fontId="99" fillId="0" borderId="99" xfId="238" applyFont="1" applyBorder="1" applyAlignment="1">
      <alignment horizontal="center"/>
    </xf>
    <xf numFmtId="0" fontId="99" fillId="0" borderId="156" xfId="3784" applyFont="1" applyBorder="1" applyAlignment="1">
      <alignment horizontal="center"/>
    </xf>
    <xf numFmtId="0" fontId="99" fillId="0" borderId="157" xfId="3784" applyFont="1" applyBorder="1" applyAlignment="1">
      <alignment horizontal="center"/>
    </xf>
    <xf numFmtId="0" fontId="99" fillId="0" borderId="158" xfId="3784" applyFont="1" applyBorder="1" applyAlignment="1">
      <alignment horizontal="center"/>
    </xf>
    <xf numFmtId="0" fontId="184" fillId="0" borderId="99" xfId="227" applyFont="1" applyBorder="1" applyAlignment="1">
      <alignment horizontal="center"/>
    </xf>
    <xf numFmtId="0" fontId="97" fillId="0" borderId="99" xfId="0" applyFont="1" applyBorder="1" applyAlignment="1">
      <alignment horizontal="center"/>
    </xf>
    <xf numFmtId="0" fontId="99" fillId="0" borderId="0" xfId="452" applyFont="1" applyAlignment="1">
      <alignment horizontal="center"/>
    </xf>
    <xf numFmtId="0" fontId="99" fillId="0" borderId="0" xfId="428" applyFont="1" applyAlignment="1">
      <alignment horizontal="center"/>
    </xf>
    <xf numFmtId="0" fontId="127" fillId="0" borderId="99" xfId="0" applyFont="1" applyBorder="1" applyAlignment="1">
      <alignment horizontal="center"/>
    </xf>
    <xf numFmtId="0" fontId="49" fillId="0" borderId="0" xfId="0" applyFont="1" applyAlignment="1">
      <alignment horizontal="left" vertical="center" wrapText="1"/>
    </xf>
    <xf numFmtId="0" fontId="122" fillId="0" borderId="0" xfId="0" applyFont="1" applyAlignment="1">
      <alignment horizontal="left" vertical="center" wrapText="1"/>
    </xf>
    <xf numFmtId="0" fontId="50" fillId="0" borderId="0" xfId="0" applyFont="1" applyAlignment="1">
      <alignment horizontal="left" wrapText="1"/>
    </xf>
    <xf numFmtId="0" fontId="40" fillId="0" borderId="0" xfId="0" applyFont="1" applyAlignment="1">
      <alignment horizontal="left" vertical="center" wrapText="1"/>
    </xf>
    <xf numFmtId="0" fontId="75" fillId="0" borderId="0" xfId="0" applyFont="1" applyAlignment="1">
      <alignment horizontal="left" vertical="center" wrapText="1"/>
    </xf>
    <xf numFmtId="0" fontId="50" fillId="0" borderId="0" xfId="0" applyFont="1" applyAlignment="1">
      <alignment horizontal="left" vertical="center" wrapText="1"/>
    </xf>
    <xf numFmtId="0" fontId="102" fillId="0" borderId="99" xfId="0" applyFont="1" applyBorder="1" applyAlignment="1">
      <alignment horizontal="center" vertical="center"/>
    </xf>
    <xf numFmtId="0" fontId="121" fillId="0" borderId="16" xfId="238" applyFont="1" applyBorder="1" applyAlignment="1">
      <alignment horizontal="center" vertical="center"/>
    </xf>
    <xf numFmtId="0" fontId="102" fillId="0" borderId="99" xfId="173" applyFont="1" applyBorder="1" applyAlignment="1">
      <alignment horizontal="center" vertical="center"/>
    </xf>
    <xf numFmtId="0" fontId="99" fillId="0" borderId="84" xfId="173" applyFont="1" applyBorder="1" applyAlignment="1">
      <alignment horizontal="center" vertical="center"/>
    </xf>
    <xf numFmtId="0" fontId="99" fillId="0" borderId="78" xfId="173" applyFont="1" applyBorder="1" applyAlignment="1">
      <alignment horizontal="center" vertical="center"/>
    </xf>
    <xf numFmtId="0" fontId="102" fillId="0" borderId="155" xfId="0" applyFont="1" applyBorder="1" applyAlignment="1">
      <alignment horizontal="center" vertical="center"/>
    </xf>
    <xf numFmtId="0" fontId="49" fillId="0" borderId="0" xfId="0" applyFont="1" applyAlignment="1">
      <alignment horizontal="center" vertical="center" wrapText="1"/>
    </xf>
    <xf numFmtId="0" fontId="43" fillId="0" borderId="0" xfId="0" applyFont="1" applyAlignment="1">
      <alignment horizontal="left" vertical="center" wrapText="1"/>
    </xf>
    <xf numFmtId="0" fontId="102" fillId="0" borderId="99" xfId="173" applyFont="1" applyBorder="1" applyAlignment="1">
      <alignment horizontal="center" vertical="center" wrapText="1"/>
    </xf>
    <xf numFmtId="0" fontId="102" fillId="0" borderId="155" xfId="173" applyFont="1" applyBorder="1" applyAlignment="1">
      <alignment horizontal="center" vertical="center" wrapText="1"/>
    </xf>
    <xf numFmtId="0" fontId="51" fillId="0" borderId="0" xfId="0" applyFont="1" applyAlignment="1">
      <alignment horizontal="left" vertical="center" wrapText="1"/>
    </xf>
    <xf numFmtId="0" fontId="152" fillId="0" borderId="0" xfId="0" applyFont="1" applyAlignment="1">
      <alignment horizontal="left" vertical="center" wrapText="1"/>
    </xf>
    <xf numFmtId="0" fontId="46" fillId="0" borderId="286" xfId="0" applyFont="1" applyBorder="1" applyAlignment="1">
      <alignment horizontal="center" vertical="center"/>
    </xf>
    <xf numFmtId="0" fontId="46" fillId="0" borderId="170" xfId="0" applyFont="1" applyBorder="1" applyAlignment="1">
      <alignment horizontal="center" vertical="center"/>
    </xf>
    <xf numFmtId="0" fontId="46" fillId="0" borderId="241" xfId="0" applyFont="1" applyBorder="1" applyAlignment="1">
      <alignment horizontal="center" vertical="center"/>
    </xf>
    <xf numFmtId="0" fontId="29" fillId="0" borderId="190" xfId="0" applyFont="1" applyBorder="1" applyAlignment="1">
      <alignment horizontal="center" vertical="center"/>
    </xf>
    <xf numFmtId="0" fontId="36" fillId="20" borderId="190" xfId="2459" applyFont="1" applyFill="1" applyBorder="1" applyAlignment="1">
      <alignment horizontal="center"/>
    </xf>
    <xf numFmtId="0" fontId="40" fillId="0" borderId="128" xfId="0" applyFont="1" applyBorder="1" applyAlignment="1">
      <alignment horizontal="center" vertical="center"/>
    </xf>
    <xf numFmtId="0" fontId="40" fillId="0" borderId="129" xfId="0" applyFont="1" applyBorder="1" applyAlignment="1">
      <alignment horizontal="center" vertical="center"/>
    </xf>
    <xf numFmtId="0" fontId="40" fillId="0" borderId="130" xfId="0" applyFont="1" applyBorder="1" applyAlignment="1">
      <alignment horizontal="center" vertical="center"/>
    </xf>
    <xf numFmtId="0" fontId="152" fillId="0" borderId="128" xfId="0" applyFont="1" applyBorder="1" applyAlignment="1">
      <alignment horizontal="center" vertical="center"/>
    </xf>
    <xf numFmtId="0" fontId="152" fillId="0" borderId="130" xfId="0" applyFont="1" applyBorder="1" applyAlignment="1">
      <alignment horizontal="center" vertical="center"/>
    </xf>
    <xf numFmtId="0" fontId="29" fillId="0" borderId="190" xfId="0" applyFont="1" applyBorder="1" applyAlignment="1">
      <alignment horizontal="center" vertical="center" wrapText="1"/>
    </xf>
    <xf numFmtId="0" fontId="29" fillId="0" borderId="192" xfId="0" applyFont="1" applyBorder="1" applyAlignment="1">
      <alignment horizontal="center" vertical="center" wrapText="1"/>
    </xf>
    <xf numFmtId="0" fontId="242" fillId="0" borderId="0" xfId="0" applyFont="1" applyAlignment="1">
      <alignment horizontal="left" vertical="center" wrapText="1"/>
    </xf>
    <xf numFmtId="0" fontId="0" fillId="0" borderId="0" xfId="0"/>
    <xf numFmtId="0" fontId="161" fillId="43" borderId="190" xfId="0" applyFont="1" applyFill="1" applyBorder="1" applyAlignment="1">
      <alignment horizontal="center"/>
    </xf>
    <xf numFmtId="0" fontId="161" fillId="0" borderId="190" xfId="0" applyFont="1" applyBorder="1" applyAlignment="1">
      <alignment horizontal="center"/>
    </xf>
    <xf numFmtId="0" fontId="36" fillId="0" borderId="190" xfId="0" applyFont="1" applyBorder="1" applyAlignment="1">
      <alignment horizontal="center"/>
    </xf>
    <xf numFmtId="0" fontId="46" fillId="0" borderId="179" xfId="0" applyFont="1" applyBorder="1" applyAlignment="1">
      <alignment horizontal="center" vertical="center"/>
    </xf>
    <xf numFmtId="0" fontId="46" fillId="0" borderId="175" xfId="0" applyFont="1" applyBorder="1" applyAlignment="1">
      <alignment horizontal="center" vertical="center"/>
    </xf>
    <xf numFmtId="0" fontId="46" fillId="0" borderId="179" xfId="0" applyFont="1" applyBorder="1" applyAlignment="1">
      <alignment horizontal="center" vertical="center" wrapText="1"/>
    </xf>
    <xf numFmtId="0" fontId="46" fillId="0" borderId="170" xfId="0" applyFont="1" applyBorder="1" applyAlignment="1">
      <alignment horizontal="center" vertical="center" wrapText="1"/>
    </xf>
    <xf numFmtId="0" fontId="46" fillId="0" borderId="175" xfId="0" applyFont="1" applyBorder="1" applyAlignment="1">
      <alignment horizontal="center" vertical="center" wrapText="1"/>
    </xf>
    <xf numFmtId="0" fontId="53" fillId="0" borderId="0" xfId="0" applyFont="1" applyAlignment="1">
      <alignment horizontal="left" vertical="center" wrapText="1"/>
    </xf>
    <xf numFmtId="0" fontId="40" fillId="43" borderId="167" xfId="0" applyFont="1" applyFill="1" applyBorder="1" applyAlignment="1">
      <alignment horizontal="center"/>
    </xf>
    <xf numFmtId="0" fontId="152" fillId="20" borderId="128" xfId="0" applyFont="1" applyFill="1" applyBorder="1" applyAlignment="1">
      <alignment horizontal="center" vertical="center"/>
    </xf>
    <xf numFmtId="0" fontId="152" fillId="20" borderId="129" xfId="0" applyFont="1" applyFill="1" applyBorder="1" applyAlignment="1">
      <alignment horizontal="center" vertical="center"/>
    </xf>
    <xf numFmtId="0" fontId="152" fillId="20" borderId="130" xfId="0" applyFont="1" applyFill="1" applyBorder="1" applyAlignment="1">
      <alignment horizontal="center" vertical="center"/>
    </xf>
    <xf numFmtId="0" fontId="176" fillId="0" borderId="93" xfId="0" applyFont="1" applyBorder="1" applyAlignment="1">
      <alignment horizontal="center" vertical="center"/>
    </xf>
    <xf numFmtId="0" fontId="176" fillId="0" borderId="95" xfId="0" applyFont="1" applyBorder="1" applyAlignment="1">
      <alignment horizontal="center" vertical="center"/>
    </xf>
    <xf numFmtId="0" fontId="176" fillId="0" borderId="94" xfId="0" applyFont="1" applyBorder="1" applyAlignment="1">
      <alignment horizontal="center" vertical="center"/>
    </xf>
    <xf numFmtId="0" fontId="82" fillId="20" borderId="92" xfId="0" applyFont="1" applyFill="1" applyBorder="1" applyAlignment="1">
      <alignment horizontal="center" vertical="center" wrapText="1"/>
    </xf>
    <xf numFmtId="0" fontId="40" fillId="0" borderId="167" xfId="0" applyFont="1" applyBorder="1" applyAlignment="1">
      <alignment horizontal="center"/>
    </xf>
    <xf numFmtId="0" fontId="152" fillId="0" borderId="166" xfId="0" applyFont="1" applyBorder="1" applyAlignment="1">
      <alignment horizontal="center"/>
    </xf>
    <xf numFmtId="0" fontId="152" fillId="0" borderId="165" xfId="0" applyFont="1" applyBorder="1" applyAlignment="1">
      <alignment horizontal="center"/>
    </xf>
    <xf numFmtId="0" fontId="46" fillId="0" borderId="0" xfId="0" applyFont="1" applyAlignment="1">
      <alignment horizontal="left" vertical="center" wrapText="1"/>
    </xf>
    <xf numFmtId="0" fontId="46" fillId="0" borderId="0" xfId="0" applyFont="1" applyAlignment="1">
      <alignment horizontal="left" vertical="top" wrapText="1"/>
    </xf>
    <xf numFmtId="0" fontId="45" fillId="0" borderId="166" xfId="0" applyFont="1" applyBorder="1" applyAlignment="1">
      <alignment horizontal="center" vertical="center"/>
    </xf>
    <xf numFmtId="0" fontId="45" fillId="0" borderId="157" xfId="0" applyFont="1" applyBorder="1" applyAlignment="1">
      <alignment horizontal="center" vertical="center"/>
    </xf>
    <xf numFmtId="0" fontId="45" fillId="0" borderId="165" xfId="0" applyFont="1" applyBorder="1" applyAlignment="1">
      <alignment horizontal="center" vertical="center"/>
    </xf>
    <xf numFmtId="0" fontId="82" fillId="34" borderId="167" xfId="0" applyFont="1" applyFill="1" applyBorder="1" applyAlignment="1">
      <alignment horizontal="center" vertical="top" wrapText="1"/>
    </xf>
    <xf numFmtId="0" fontId="82" fillId="43" borderId="166" xfId="0" applyFont="1" applyFill="1" applyBorder="1" applyAlignment="1">
      <alignment horizontal="center" vertical="center" wrapText="1"/>
    </xf>
    <xf numFmtId="0" fontId="82" fillId="43" borderId="165" xfId="0" applyFont="1" applyFill="1" applyBorder="1" applyAlignment="1">
      <alignment horizontal="center" vertical="center" wrapText="1"/>
    </xf>
    <xf numFmtId="183" fontId="57" fillId="0" borderId="0" xfId="819" applyNumberFormat="1" applyFont="1" applyAlignment="1">
      <alignment horizontal="left" vertical="center" wrapText="1"/>
    </xf>
    <xf numFmtId="0" fontId="27" fillId="0" borderId="0" xfId="0" applyFont="1" applyAlignment="1">
      <alignment horizontal="left" vertical="center" wrapText="1"/>
    </xf>
    <xf numFmtId="0" fontId="64" fillId="34" borderId="93" xfId="0" applyFont="1" applyFill="1" applyBorder="1" applyAlignment="1">
      <alignment horizontal="center" vertical="center" wrapText="1"/>
    </xf>
    <xf numFmtId="0" fontId="152" fillId="0" borderId="128" xfId="0" applyFont="1" applyBorder="1" applyAlignment="1">
      <alignment horizontal="center" vertical="center" wrapText="1"/>
    </xf>
    <xf numFmtId="0" fontId="152" fillId="0" borderId="129" xfId="0" applyFont="1" applyBorder="1" applyAlignment="1">
      <alignment horizontal="center" vertical="center" wrapText="1"/>
    </xf>
    <xf numFmtId="0" fontId="152" fillId="0" borderId="130" xfId="0" applyFont="1" applyBorder="1" applyAlignment="1">
      <alignment horizontal="center"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161" fillId="0" borderId="0" xfId="0" applyFont="1" applyAlignment="1">
      <alignment horizontal="left" vertical="center" wrapText="1"/>
    </xf>
    <xf numFmtId="0" fontId="161" fillId="43" borderId="270" xfId="0" applyFont="1" applyFill="1" applyBorder="1" applyAlignment="1">
      <alignment horizontal="center" vertical="center"/>
    </xf>
    <xf numFmtId="0" fontId="161" fillId="0" borderId="327" xfId="0" applyFont="1" applyBorder="1" applyAlignment="1">
      <alignment horizontal="left" vertical="center" wrapText="1"/>
    </xf>
    <xf numFmtId="0" fontId="161" fillId="0" borderId="328" xfId="0" applyFont="1" applyBorder="1" applyAlignment="1">
      <alignment horizontal="left" vertical="center" wrapText="1"/>
    </xf>
    <xf numFmtId="0" fontId="161" fillId="0" borderId="329" xfId="0" applyFont="1" applyBorder="1" applyAlignment="1">
      <alignment horizontal="left" vertical="center" wrapText="1"/>
    </xf>
    <xf numFmtId="0" fontId="36" fillId="43" borderId="270" xfId="0" applyFont="1" applyFill="1" applyBorder="1" applyAlignment="1">
      <alignment horizontal="center"/>
    </xf>
    <xf numFmtId="0" fontId="36" fillId="0" borderId="327" xfId="0" applyFont="1" applyBorder="1" applyAlignment="1">
      <alignment horizontal="left" wrapText="1"/>
    </xf>
    <xf numFmtId="0" fontId="36" fillId="0" borderId="328" xfId="0" applyFont="1" applyBorder="1" applyAlignment="1">
      <alignment horizontal="left" wrapText="1"/>
    </xf>
    <xf numFmtId="0" fontId="36" fillId="0" borderId="329" xfId="0" applyFont="1" applyBorder="1" applyAlignment="1">
      <alignment horizontal="left" wrapText="1"/>
    </xf>
    <xf numFmtId="0" fontId="29" fillId="0" borderId="270" xfId="0" applyFont="1" applyBorder="1" applyAlignment="1">
      <alignment horizontal="center" vertical="center" wrapText="1"/>
    </xf>
    <xf numFmtId="0" fontId="29" fillId="0" borderId="329" xfId="0" applyFont="1" applyBorder="1" applyAlignment="1">
      <alignment horizontal="center" vertical="center" wrapText="1"/>
    </xf>
    <xf numFmtId="0" fontId="29" fillId="0" borderId="270" xfId="0" applyFont="1" applyBorder="1" applyAlignment="1">
      <alignment horizontal="center" vertical="center"/>
    </xf>
    <xf numFmtId="0" fontId="36" fillId="20" borderId="270" xfId="2459" applyFont="1" applyFill="1" applyBorder="1" applyAlignment="1">
      <alignment horizontal="center"/>
    </xf>
    <xf numFmtId="0" fontId="29" fillId="0" borderId="286" xfId="0" applyFont="1" applyBorder="1" applyAlignment="1">
      <alignment horizontal="center" vertical="center"/>
    </xf>
    <xf numFmtId="0" fontId="29" fillId="0" borderId="170" xfId="0" applyFont="1" applyBorder="1" applyAlignment="1">
      <alignment horizontal="center" vertical="center"/>
    </xf>
    <xf numFmtId="0" fontId="29" fillId="0" borderId="286" xfId="0" applyFont="1" applyBorder="1" applyAlignment="1">
      <alignment horizontal="center" vertical="center" wrapText="1"/>
    </xf>
    <xf numFmtId="0" fontId="29" fillId="0" borderId="170" xfId="0" applyFont="1" applyBorder="1" applyAlignment="1">
      <alignment horizontal="center" vertical="center" wrapText="1"/>
    </xf>
    <xf numFmtId="0" fontId="29" fillId="0" borderId="319" xfId="0" applyFont="1" applyBorder="1" applyAlignment="1">
      <alignment horizontal="center" vertical="center" wrapText="1"/>
    </xf>
    <xf numFmtId="0" fontId="32" fillId="0" borderId="0" xfId="0" applyFont="1" applyAlignment="1">
      <alignment horizontal="left" vertical="center" wrapText="1"/>
    </xf>
    <xf numFmtId="0" fontId="161" fillId="43" borderId="339" xfId="0" applyFont="1" applyFill="1" applyBorder="1" applyAlignment="1">
      <alignment horizontal="center" vertical="center"/>
    </xf>
    <xf numFmtId="0" fontId="161" fillId="0" borderId="333" xfId="0" applyFont="1" applyBorder="1" applyAlignment="1">
      <alignment horizontal="left" vertical="center" wrapText="1"/>
    </xf>
    <xf numFmtId="0" fontId="161" fillId="43" borderId="339" xfId="0" applyFont="1" applyFill="1" applyBorder="1" applyAlignment="1">
      <alignment horizontal="center"/>
    </xf>
    <xf numFmtId="0" fontId="161" fillId="0" borderId="327" xfId="0" applyFont="1" applyBorder="1" applyAlignment="1">
      <alignment horizontal="left" wrapText="1"/>
    </xf>
    <xf numFmtId="0" fontId="161" fillId="0" borderId="333" xfId="0" applyFont="1" applyBorder="1" applyAlignment="1">
      <alignment horizontal="left" wrapText="1"/>
    </xf>
    <xf numFmtId="0" fontId="161" fillId="0" borderId="329" xfId="0" applyFont="1" applyBorder="1" applyAlignment="1">
      <alignment horizontal="left" wrapText="1"/>
    </xf>
    <xf numFmtId="0" fontId="32" fillId="0" borderId="339" xfId="0" applyFont="1" applyBorder="1" applyAlignment="1">
      <alignment horizontal="center" vertical="center" wrapText="1"/>
    </xf>
    <xf numFmtId="0" fontId="32" fillId="0" borderId="329" xfId="0" applyFont="1" applyBorder="1" applyAlignment="1">
      <alignment horizontal="center" vertical="center" wrapText="1"/>
    </xf>
    <xf numFmtId="0" fontId="32" fillId="0" borderId="339" xfId="0" applyFont="1" applyBorder="1" applyAlignment="1">
      <alignment horizontal="center" vertical="center"/>
    </xf>
    <xf numFmtId="0" fontId="32" fillId="0" borderId="286" xfId="0" applyFont="1" applyBorder="1" applyAlignment="1">
      <alignment horizontal="center" vertical="center" wrapText="1"/>
    </xf>
    <xf numFmtId="0" fontId="32" fillId="0" borderId="319" xfId="0" applyFont="1" applyBorder="1" applyAlignment="1">
      <alignment horizontal="center" vertical="center" wrapText="1"/>
    </xf>
    <xf numFmtId="0" fontId="161" fillId="20" borderId="339" xfId="2459" applyFont="1" applyFill="1" applyBorder="1" applyAlignment="1">
      <alignment horizontal="center"/>
    </xf>
    <xf numFmtId="0" fontId="32" fillId="0" borderId="286" xfId="0" applyFont="1" applyBorder="1" applyAlignment="1">
      <alignment horizontal="center" vertical="center"/>
    </xf>
    <xf numFmtId="0" fontId="32" fillId="0" borderId="170" xfId="0" applyFont="1" applyBorder="1" applyAlignment="1">
      <alignment horizontal="center" vertical="center"/>
    </xf>
    <xf numFmtId="0" fontId="32" fillId="0" borderId="170" xfId="0" applyFont="1" applyBorder="1" applyAlignment="1">
      <alignment horizontal="center" vertical="center" wrapText="1"/>
    </xf>
    <xf numFmtId="0" fontId="122" fillId="0" borderId="286" xfId="639" applyFont="1" applyBorder="1" applyAlignment="1">
      <alignment horizontal="center" vertical="center"/>
    </xf>
    <xf numFmtId="0" fontId="122" fillId="0" borderId="170" xfId="639" applyFont="1" applyBorder="1" applyAlignment="1">
      <alignment horizontal="center" vertical="center"/>
    </xf>
    <xf numFmtId="0" fontId="122" fillId="0" borderId="241" xfId="639" applyFont="1" applyBorder="1" applyAlignment="1">
      <alignment horizontal="center" vertical="center"/>
    </xf>
    <xf numFmtId="0" fontId="67" fillId="0" borderId="286" xfId="639" applyFont="1" applyBorder="1" applyAlignment="1">
      <alignment horizontal="center" vertical="center"/>
    </xf>
    <xf numFmtId="0" fontId="67" fillId="0" borderId="170" xfId="639" applyFont="1" applyBorder="1" applyAlignment="1">
      <alignment horizontal="center" vertical="center"/>
    </xf>
    <xf numFmtId="0" fontId="67" fillId="0" borderId="241" xfId="639" applyFont="1" applyBorder="1" applyAlignment="1">
      <alignment horizontal="center" vertical="center"/>
    </xf>
    <xf numFmtId="0" fontId="36" fillId="20" borderId="191" xfId="0" applyFont="1" applyFill="1" applyBorder="1" applyAlignment="1">
      <alignment horizontal="center"/>
    </xf>
    <xf numFmtId="0" fontId="36" fillId="20" borderId="183" xfId="0" applyFont="1" applyFill="1" applyBorder="1" applyAlignment="1">
      <alignment horizontal="center"/>
    </xf>
    <xf numFmtId="0" fontId="36" fillId="20" borderId="192" xfId="0" applyFont="1" applyFill="1" applyBorder="1" applyAlignment="1">
      <alignment horizontal="center"/>
    </xf>
    <xf numFmtId="0" fontId="29" fillId="0" borderId="190" xfId="239" applyFont="1" applyBorder="1" applyAlignment="1">
      <alignment horizontal="center" vertical="center"/>
    </xf>
    <xf numFmtId="0" fontId="29" fillId="0" borderId="190" xfId="239" applyFont="1" applyBorder="1" applyAlignment="1">
      <alignment horizontal="center" vertical="center" wrapText="1"/>
    </xf>
    <xf numFmtId="0" fontId="29" fillId="0" borderId="30" xfId="239" applyFont="1" applyBorder="1" applyAlignment="1">
      <alignment horizontal="center" vertical="center"/>
    </xf>
    <xf numFmtId="0" fontId="29" fillId="0" borderId="17" xfId="239" applyFont="1" applyBorder="1" applyAlignment="1">
      <alignment horizontal="center" vertical="center"/>
    </xf>
    <xf numFmtId="0" fontId="29" fillId="0" borderId="20" xfId="239" applyFont="1" applyBorder="1" applyAlignment="1">
      <alignment horizontal="center" vertical="center"/>
    </xf>
    <xf numFmtId="0" fontId="29" fillId="0" borderId="31" xfId="239" applyFont="1" applyBorder="1" applyAlignment="1">
      <alignment horizontal="center" vertical="center"/>
    </xf>
    <xf numFmtId="0" fontId="29" fillId="0" borderId="79" xfId="239" applyFont="1" applyBorder="1" applyAlignment="1">
      <alignment horizontal="center" vertical="center"/>
    </xf>
    <xf numFmtId="0" fontId="45" fillId="0" borderId="0" xfId="0" applyFont="1" applyAlignment="1">
      <alignment horizontal="left" vertical="center" wrapText="1"/>
    </xf>
    <xf numFmtId="0" fontId="122" fillId="0" borderId="110" xfId="639" applyFont="1" applyBorder="1" applyAlignment="1">
      <alignment horizontal="center"/>
    </xf>
    <xf numFmtId="0" fontId="67" fillId="0" borderId="0" xfId="822" applyFont="1" applyAlignment="1">
      <alignment horizontal="left" vertical="center" wrapText="1"/>
    </xf>
    <xf numFmtId="0" fontId="45" fillId="20" borderId="167" xfId="0" applyFont="1" applyFill="1" applyBorder="1" applyAlignment="1">
      <alignment horizontal="center" vertical="center" wrapText="1"/>
    </xf>
    <xf numFmtId="0" fontId="152" fillId="20" borderId="167" xfId="822" applyFont="1" applyFill="1" applyBorder="1" applyAlignment="1">
      <alignment horizontal="center" vertical="center"/>
    </xf>
    <xf numFmtId="0" fontId="152" fillId="20" borderId="174" xfId="822" applyFont="1" applyFill="1" applyBorder="1" applyAlignment="1">
      <alignment horizontal="center" vertical="center" wrapText="1"/>
    </xf>
    <xf numFmtId="0" fontId="152" fillId="20" borderId="175" xfId="822" applyFont="1" applyFill="1" applyBorder="1" applyAlignment="1">
      <alignment horizontal="center" vertical="center" wrapText="1"/>
    </xf>
    <xf numFmtId="2" fontId="152" fillId="20" borderId="174" xfId="822" applyNumberFormat="1" applyFont="1" applyFill="1" applyBorder="1" applyAlignment="1">
      <alignment horizontal="center" vertical="center" wrapText="1"/>
    </xf>
    <xf numFmtId="2" fontId="152" fillId="20" borderId="175" xfId="822" applyNumberFormat="1" applyFont="1" applyFill="1" applyBorder="1" applyAlignment="1">
      <alignment horizontal="center" vertical="center" wrapText="1"/>
    </xf>
    <xf numFmtId="0" fontId="152" fillId="0" borderId="167" xfId="822" applyFont="1" applyBorder="1" applyAlignment="1">
      <alignment horizontal="center" vertical="center"/>
    </xf>
    <xf numFmtId="0" fontId="152" fillId="0" borderId="174" xfId="0" applyFont="1" applyBorder="1" applyAlignment="1">
      <alignment horizontal="center" vertical="center"/>
    </xf>
    <xf numFmtId="0" fontId="152" fillId="0" borderId="170" xfId="0" applyFont="1" applyBorder="1" applyAlignment="1">
      <alignment horizontal="center" vertical="center"/>
    </xf>
    <xf numFmtId="0" fontId="152" fillId="0" borderId="175" xfId="0" applyFont="1" applyBorder="1" applyAlignment="1">
      <alignment horizontal="center" vertical="center"/>
    </xf>
    <xf numFmtId="0" fontId="152" fillId="0" borderId="167" xfId="0" applyFont="1" applyBorder="1" applyAlignment="1">
      <alignment horizontal="center" vertical="center"/>
    </xf>
    <xf numFmtId="2" fontId="122" fillId="0" borderId="128" xfId="639" applyNumberFormat="1" applyFont="1" applyBorder="1" applyAlignment="1">
      <alignment horizontal="center"/>
    </xf>
    <xf numFmtId="2" fontId="122" fillId="0" borderId="129" xfId="639" applyNumberFormat="1" applyFont="1" applyBorder="1" applyAlignment="1">
      <alignment horizontal="center"/>
    </xf>
    <xf numFmtId="2" fontId="122" fillId="0" borderId="130" xfId="639" applyNumberFormat="1" applyFont="1" applyBorder="1" applyAlignment="1">
      <alignment horizontal="center"/>
    </xf>
    <xf numFmtId="0" fontId="46" fillId="0" borderId="270" xfId="0" applyFont="1" applyBorder="1" applyAlignment="1">
      <alignment horizontal="center" vertical="center"/>
    </xf>
    <xf numFmtId="0" fontId="57" fillId="0" borderId="182" xfId="238" applyFont="1" applyBorder="1" applyAlignment="1">
      <alignment horizontal="center" vertical="center"/>
    </xf>
    <xf numFmtId="0" fontId="57" fillId="0" borderId="170" xfId="238" applyFont="1" applyBorder="1" applyAlignment="1">
      <alignment horizontal="center" vertical="center"/>
    </xf>
    <xf numFmtId="0" fontId="57" fillId="0" borderId="175" xfId="238" applyFont="1" applyBorder="1" applyAlignment="1">
      <alignment horizontal="center" vertical="center"/>
    </xf>
    <xf numFmtId="0" fontId="27" fillId="0" borderId="182" xfId="238" applyFont="1" applyBorder="1" applyAlignment="1">
      <alignment horizontal="center" vertical="center" wrapText="1"/>
    </xf>
    <xf numFmtId="0" fontId="27" fillId="0" borderId="170" xfId="238" applyFont="1" applyBorder="1" applyAlignment="1">
      <alignment horizontal="center" vertical="center" wrapText="1"/>
    </xf>
    <xf numFmtId="0" fontId="27" fillId="0" borderId="175" xfId="238" applyFont="1" applyBorder="1" applyAlignment="1">
      <alignment horizontal="center" vertical="center" wrapText="1"/>
    </xf>
    <xf numFmtId="0" fontId="27" fillId="0" borderId="79" xfId="238" applyFont="1" applyBorder="1" applyAlignment="1">
      <alignment horizontal="center" vertical="center"/>
    </xf>
    <xf numFmtId="0" fontId="27" fillId="0" borderId="17" xfId="238" applyFont="1" applyBorder="1" applyAlignment="1">
      <alignment horizontal="center" vertical="center"/>
    </xf>
    <xf numFmtId="0" fontId="27" fillId="0" borderId="31" xfId="238" applyFont="1" applyBorder="1" applyAlignment="1">
      <alignment horizontal="center" vertical="center"/>
    </xf>
    <xf numFmtId="0" fontId="27" fillId="0" borderId="20" xfId="238" applyFont="1" applyBorder="1" applyAlignment="1">
      <alignment horizontal="center" vertical="center"/>
    </xf>
    <xf numFmtId="0" fontId="27" fillId="0" borderId="30" xfId="238" applyFont="1" applyBorder="1" applyAlignment="1">
      <alignment horizontal="center" vertical="center"/>
    </xf>
    <xf numFmtId="2" fontId="152" fillId="20" borderId="270" xfId="822" applyNumberFormat="1" applyFont="1" applyFill="1" applyBorder="1" applyAlignment="1">
      <alignment horizontal="left"/>
    </xf>
    <xf numFmtId="0" fontId="44" fillId="0" borderId="0" xfId="822" applyFont="1" applyAlignment="1">
      <alignment horizontal="center" vertical="center" wrapText="1"/>
    </xf>
    <xf numFmtId="0" fontId="152" fillId="20" borderId="270" xfId="822" applyFont="1" applyFill="1" applyBorder="1" applyAlignment="1">
      <alignment horizontal="center" vertical="center"/>
    </xf>
    <xf numFmtId="0" fontId="152" fillId="20" borderId="270" xfId="822" applyFont="1" applyFill="1" applyBorder="1" applyAlignment="1">
      <alignment horizontal="center" vertical="center" wrapText="1"/>
    </xf>
    <xf numFmtId="2" fontId="152" fillId="20" borderId="270" xfId="822" applyNumberFormat="1" applyFont="1" applyFill="1" applyBorder="1" applyAlignment="1">
      <alignment horizontal="center" vertical="center" wrapText="1"/>
    </xf>
    <xf numFmtId="0" fontId="152" fillId="20" borderId="270" xfId="822" applyFont="1" applyFill="1" applyBorder="1" applyAlignment="1">
      <alignment horizontal="center"/>
    </xf>
    <xf numFmtId="0" fontId="152" fillId="20" borderId="167" xfId="822" applyFont="1" applyFill="1" applyBorder="1" applyAlignment="1">
      <alignment horizontal="center"/>
    </xf>
    <xf numFmtId="2" fontId="152" fillId="20" borderId="166" xfId="822" applyNumberFormat="1" applyFont="1" applyFill="1" applyBorder="1" applyAlignment="1">
      <alignment horizontal="left"/>
    </xf>
    <xf numFmtId="2" fontId="152" fillId="20" borderId="157" xfId="822" applyNumberFormat="1" applyFont="1" applyFill="1" applyBorder="1" applyAlignment="1">
      <alignment horizontal="left"/>
    </xf>
    <xf numFmtId="2" fontId="152" fillId="20" borderId="165" xfId="822" applyNumberFormat="1" applyFont="1" applyFill="1" applyBorder="1" applyAlignment="1">
      <alignment horizontal="left"/>
    </xf>
    <xf numFmtId="0" fontId="57" fillId="20" borderId="182" xfId="238" applyFont="1" applyFill="1" applyBorder="1" applyAlignment="1">
      <alignment horizontal="center" vertical="center"/>
    </xf>
    <xf numFmtId="0" fontId="57" fillId="20" borderId="175" xfId="238" applyFont="1" applyFill="1" applyBorder="1" applyAlignment="1">
      <alignment horizontal="center" vertical="center"/>
    </xf>
    <xf numFmtId="0" fontId="40" fillId="43" borderId="327" xfId="0" applyFont="1" applyFill="1" applyBorder="1" applyAlignment="1">
      <alignment horizontal="left"/>
    </xf>
    <xf numFmtId="0" fontId="40" fillId="43" borderId="329" xfId="0" applyFont="1" applyFill="1" applyBorder="1" applyAlignment="1">
      <alignment horizontal="left"/>
    </xf>
    <xf numFmtId="0" fontId="40" fillId="0" borderId="327" xfId="0" applyFont="1" applyBorder="1" applyAlignment="1">
      <alignment horizontal="left"/>
    </xf>
    <xf numFmtId="0" fontId="40" fillId="0" borderId="328" xfId="0" applyFont="1" applyBorder="1" applyAlignment="1">
      <alignment horizontal="left"/>
    </xf>
    <xf numFmtId="0" fontId="40" fillId="0" borderId="329" xfId="0" applyFont="1" applyBorder="1" applyAlignment="1">
      <alignment horizontal="left"/>
    </xf>
    <xf numFmtId="0" fontId="36" fillId="43" borderId="327" xfId="0" applyFont="1" applyFill="1" applyBorder="1" applyAlignment="1">
      <alignment horizontal="center"/>
    </xf>
    <xf numFmtId="0" fontId="36" fillId="43" borderId="329" xfId="0" applyFont="1" applyFill="1" applyBorder="1" applyAlignment="1">
      <alignment horizontal="center"/>
    </xf>
    <xf numFmtId="0" fontId="29" fillId="0" borderId="270" xfId="3792" applyFont="1" applyFill="1" applyBorder="1" applyAlignment="1">
      <alignment horizontal="center" vertical="center"/>
    </xf>
    <xf numFmtId="0" fontId="29" fillId="0" borderId="270" xfId="3792" applyFont="1" applyFill="1" applyBorder="1" applyAlignment="1">
      <alignment horizontal="center" vertical="center" wrapText="1"/>
    </xf>
    <xf numFmtId="0" fontId="57" fillId="0" borderId="180" xfId="238" applyFont="1" applyBorder="1" applyAlignment="1">
      <alignment horizontal="center" vertical="center"/>
    </xf>
    <xf numFmtId="0" fontId="57" fillId="0" borderId="184" xfId="238" applyFont="1" applyBorder="1" applyAlignment="1">
      <alignment horizontal="center" vertical="center"/>
    </xf>
    <xf numFmtId="2" fontId="152" fillId="0" borderId="180" xfId="822" applyNumberFormat="1" applyFont="1" applyBorder="1" applyAlignment="1">
      <alignment horizontal="center" vertical="center"/>
    </xf>
    <xf numFmtId="2" fontId="152" fillId="0" borderId="183" xfId="822" applyNumberFormat="1" applyFont="1" applyBorder="1" applyAlignment="1">
      <alignment horizontal="center" vertical="center"/>
    </xf>
    <xf numFmtId="2" fontId="152" fillId="0" borderId="184" xfId="822" applyNumberFormat="1" applyFont="1" applyBorder="1" applyAlignment="1">
      <alignment horizontal="center" vertical="center"/>
    </xf>
    <xf numFmtId="0" fontId="57" fillId="20" borderId="182" xfId="238" applyFont="1" applyFill="1" applyBorder="1" applyAlignment="1">
      <alignment horizontal="center" vertical="center" wrapText="1"/>
    </xf>
    <xf numFmtId="0" fontId="57" fillId="20" borderId="175" xfId="238" applyFont="1" applyFill="1" applyBorder="1" applyAlignment="1">
      <alignment horizontal="center" vertical="center" wrapText="1"/>
    </xf>
    <xf numFmtId="0" fontId="52" fillId="0" borderId="0" xfId="822" applyAlignment="1">
      <alignment horizontal="left" vertical="center" wrapText="1"/>
    </xf>
    <xf numFmtId="0" fontId="29" fillId="0" borderId="286" xfId="3792" applyFont="1" applyFill="1" applyBorder="1" applyAlignment="1">
      <alignment horizontal="center" vertical="center"/>
    </xf>
    <xf numFmtId="0" fontId="29" fillId="0" borderId="170" xfId="3792" applyFont="1" applyFill="1" applyBorder="1" applyAlignment="1">
      <alignment horizontal="center" vertical="center"/>
    </xf>
    <xf numFmtId="0" fontId="29" fillId="0" borderId="319" xfId="3792" applyFont="1" applyFill="1" applyBorder="1" applyAlignment="1">
      <alignment horizontal="center" vertical="center"/>
    </xf>
    <xf numFmtId="0" fontId="152" fillId="20" borderId="327" xfId="0" applyFont="1" applyFill="1" applyBorder="1" applyAlignment="1">
      <alignment horizontal="center" vertical="center"/>
    </xf>
    <xf numFmtId="0" fontId="152" fillId="20" borderId="329" xfId="0" applyFont="1" applyFill="1" applyBorder="1" applyAlignment="1">
      <alignment horizontal="center" vertical="center"/>
    </xf>
    <xf numFmtId="0" fontId="0" fillId="0" borderId="0" xfId="822" applyFont="1" applyAlignment="1">
      <alignment horizontal="left" vertical="center" wrapText="1"/>
    </xf>
    <xf numFmtId="0" fontId="38" fillId="0" borderId="0" xfId="822" applyFont="1" applyAlignment="1">
      <alignment horizontal="left" vertical="center" wrapText="1"/>
    </xf>
    <xf numFmtId="0" fontId="32" fillId="0" borderId="339" xfId="3792" applyFont="1" applyFill="1" applyBorder="1" applyAlignment="1">
      <alignment horizontal="center" vertical="center"/>
    </xf>
    <xf numFmtId="0" fontId="42" fillId="0" borderId="0" xfId="822" applyFont="1" applyAlignment="1">
      <alignment horizontal="left" vertical="center" wrapText="1"/>
    </xf>
    <xf numFmtId="0" fontId="161" fillId="43" borderId="327" xfId="0" applyFont="1" applyFill="1" applyBorder="1" applyAlignment="1">
      <alignment horizontal="left"/>
    </xf>
    <xf numFmtId="0" fontId="161" fillId="43" borderId="329" xfId="0" applyFont="1" applyFill="1" applyBorder="1" applyAlignment="1">
      <alignment horizontal="left"/>
    </xf>
    <xf numFmtId="0" fontId="161" fillId="0" borderId="327" xfId="0" applyFont="1" applyBorder="1" applyAlignment="1">
      <alignment horizontal="left"/>
    </xf>
    <xf numFmtId="0" fontId="161" fillId="0" borderId="333" xfId="0" applyFont="1" applyBorder="1" applyAlignment="1">
      <alignment horizontal="left"/>
    </xf>
    <xf numFmtId="0" fontId="161" fillId="0" borderId="329" xfId="0" applyFont="1" applyBorder="1" applyAlignment="1">
      <alignment horizontal="left"/>
    </xf>
    <xf numFmtId="0" fontId="32" fillId="0" borderId="340" xfId="797" applyFont="1" applyBorder="1" applyAlignment="1">
      <alignment horizontal="center" wrapText="1"/>
    </xf>
    <xf numFmtId="0" fontId="32" fillId="0" borderId="341" xfId="797" applyFont="1" applyBorder="1" applyAlignment="1">
      <alignment horizontal="center" wrapText="1"/>
    </xf>
    <xf numFmtId="0" fontId="161" fillId="61" borderId="339" xfId="3792" applyFont="1" applyFill="1" applyBorder="1" applyAlignment="1">
      <alignment horizontal="center" vertical="center"/>
    </xf>
    <xf numFmtId="0" fontId="161" fillId="0" borderId="339" xfId="3792" applyFont="1" applyFill="1" applyBorder="1" applyAlignment="1">
      <alignment horizontal="center" vertical="center"/>
    </xf>
    <xf numFmtId="0" fontId="161" fillId="0" borderId="0" xfId="797" applyFont="1" applyBorder="1" applyAlignment="1">
      <alignment horizontal="center" vertical="center" wrapText="1"/>
    </xf>
    <xf numFmtId="0" fontId="32" fillId="0" borderId="339" xfId="3793" applyFont="1" applyFill="1" applyBorder="1" applyAlignment="1">
      <alignment horizontal="center" vertical="center"/>
    </xf>
    <xf numFmtId="0" fontId="87" fillId="0" borderId="0" xfId="0" applyFont="1" applyBorder="1" applyAlignment="1">
      <alignment horizontal="right" vertical="center" wrapText="1"/>
    </xf>
    <xf numFmtId="0" fontId="42" fillId="55" borderId="282" xfId="0" applyFont="1" applyFill="1" applyBorder="1" applyAlignment="1">
      <alignment horizontal="center" vertical="center" wrapText="1"/>
    </xf>
    <xf numFmtId="0" fontId="42" fillId="55" borderId="150" xfId="0" applyFont="1" applyFill="1" applyBorder="1" applyAlignment="1">
      <alignment horizontal="center" vertical="center" wrapText="1"/>
    </xf>
    <xf numFmtId="0" fontId="42" fillId="55" borderId="322" xfId="0" applyFont="1" applyFill="1" applyBorder="1" applyAlignment="1">
      <alignment horizontal="center" vertical="center" wrapText="1"/>
    </xf>
    <xf numFmtId="0" fontId="42" fillId="0" borderId="145" xfId="0" applyFont="1" applyFill="1" applyBorder="1" applyAlignment="1">
      <alignment horizontal="center" vertical="center" wrapText="1"/>
    </xf>
    <xf numFmtId="0" fontId="42" fillId="0" borderId="146" xfId="0" applyFont="1" applyFill="1" applyBorder="1" applyAlignment="1">
      <alignment horizontal="center" vertical="center" wrapText="1"/>
    </xf>
    <xf numFmtId="0" fontId="42" fillId="0" borderId="149" xfId="0" applyFont="1" applyFill="1" applyBorder="1" applyAlignment="1">
      <alignment horizontal="center" vertical="center" wrapText="1"/>
    </xf>
    <xf numFmtId="0" fontId="42" fillId="0" borderId="145" xfId="0" applyFont="1" applyBorder="1" applyAlignment="1">
      <alignment horizontal="center" vertical="center" wrapText="1"/>
    </xf>
    <xf numFmtId="0" fontId="42" fillId="0" borderId="146" xfId="0" applyFont="1" applyBorder="1" applyAlignment="1">
      <alignment horizontal="center" vertical="center" wrapText="1"/>
    </xf>
    <xf numFmtId="0" fontId="42" fillId="0" borderId="149" xfId="0" applyFont="1" applyBorder="1" applyAlignment="1">
      <alignment horizontal="center" vertical="center" wrapText="1"/>
    </xf>
    <xf numFmtId="0" fontId="42" fillId="0" borderId="150" xfId="0" applyFont="1" applyBorder="1" applyAlignment="1">
      <alignment horizontal="center" vertical="center" wrapText="1"/>
    </xf>
    <xf numFmtId="0" fontId="42" fillId="0" borderId="322" xfId="0" applyFont="1" applyBorder="1" applyAlignment="1">
      <alignment horizontal="center" vertical="center" wrapText="1"/>
    </xf>
    <xf numFmtId="0" fontId="42" fillId="0" borderId="284" xfId="0" applyFont="1" applyFill="1" applyBorder="1" applyAlignment="1">
      <alignment horizontal="center" vertical="center" wrapText="1"/>
    </xf>
    <xf numFmtId="0" fontId="42" fillId="0" borderId="282" xfId="0" applyFont="1" applyFill="1" applyBorder="1" applyAlignment="1">
      <alignment horizontal="center" vertical="center" wrapText="1"/>
    </xf>
    <xf numFmtId="0" fontId="42" fillId="0" borderId="150" xfId="0" applyFont="1" applyFill="1" applyBorder="1" applyAlignment="1">
      <alignment horizontal="center" vertical="center" wrapText="1"/>
    </xf>
    <xf numFmtId="0" fontId="42" fillId="0" borderId="322" xfId="0" applyFont="1" applyFill="1" applyBorder="1" applyAlignment="1">
      <alignment horizontal="center" vertical="center" wrapText="1"/>
    </xf>
    <xf numFmtId="0" fontId="42" fillId="0" borderId="284" xfId="0" applyFont="1" applyBorder="1" applyAlignment="1">
      <alignment horizontal="center" vertical="center" wrapText="1"/>
    </xf>
    <xf numFmtId="0" fontId="42" fillId="0" borderId="153" xfId="0" applyFont="1" applyBorder="1" applyAlignment="1">
      <alignment horizontal="center" vertical="center" wrapText="1"/>
    </xf>
    <xf numFmtId="0" fontId="42" fillId="55" borderId="284" xfId="0" applyFont="1" applyFill="1" applyBorder="1" applyAlignment="1">
      <alignment horizontal="center" vertical="center" wrapText="1"/>
    </xf>
    <xf numFmtId="0" fontId="43" fillId="0" borderId="311" xfId="142" applyFont="1" applyFill="1" applyBorder="1" applyAlignment="1">
      <alignment horizontal="center" vertical="center"/>
    </xf>
    <xf numFmtId="0" fontId="5" fillId="0" borderId="0" xfId="576" applyFont="1" applyBorder="1" applyAlignment="1">
      <alignment horizontal="center" vertical="center"/>
    </xf>
    <xf numFmtId="0" fontId="80" fillId="0" borderId="0" xfId="576" applyFont="1" applyFill="1" applyBorder="1" applyAlignment="1">
      <alignment horizontal="center" vertical="center"/>
    </xf>
    <xf numFmtId="0" fontId="80" fillId="0" borderId="0" xfId="576" applyFont="1" applyFill="1" applyBorder="1" applyAlignment="1">
      <alignment horizontal="center" vertical="center" wrapText="1"/>
    </xf>
    <xf numFmtId="0" fontId="61" fillId="0" borderId="0" xfId="3786" applyFont="1" applyBorder="1" applyAlignment="1">
      <alignment horizontal="right" vertical="center" wrapText="1"/>
    </xf>
    <xf numFmtId="0" fontId="42" fillId="0" borderId="145" xfId="3786" applyFont="1" applyFill="1" applyBorder="1" applyAlignment="1">
      <alignment horizontal="center" vertical="center" wrapText="1"/>
    </xf>
    <xf numFmtId="0" fontId="42" fillId="0" borderId="146" xfId="3786" applyFont="1" applyFill="1" applyBorder="1" applyAlignment="1">
      <alignment horizontal="center" vertical="center" wrapText="1"/>
    </xf>
    <xf numFmtId="0" fontId="42" fillId="0" borderId="149" xfId="3786" applyFont="1" applyFill="1" applyBorder="1" applyAlignment="1">
      <alignment horizontal="center" vertical="center" wrapText="1"/>
    </xf>
    <xf numFmtId="0" fontId="42" fillId="33" borderId="201" xfId="3786" applyFont="1" applyFill="1" applyBorder="1" applyAlignment="1">
      <alignment horizontal="center" vertical="center" wrapText="1"/>
    </xf>
    <xf numFmtId="0" fontId="42" fillId="33" borderId="148" xfId="3786" applyFont="1" applyFill="1" applyBorder="1" applyAlignment="1">
      <alignment horizontal="center" vertical="center" wrapText="1"/>
    </xf>
    <xf numFmtId="0" fontId="42" fillId="0" borderId="153" xfId="3786" applyFont="1" applyFill="1" applyBorder="1" applyAlignment="1">
      <alignment horizontal="center" vertical="center" wrapText="1"/>
    </xf>
    <xf numFmtId="0" fontId="42" fillId="0" borderId="193" xfId="3786" applyFont="1" applyFill="1" applyBorder="1" applyAlignment="1">
      <alignment horizontal="center" vertical="center" wrapText="1"/>
    </xf>
    <xf numFmtId="0" fontId="42" fillId="0" borderId="148" xfId="3786" applyFont="1" applyFill="1" applyBorder="1" applyAlignment="1">
      <alignment horizontal="center" vertical="center" wrapText="1"/>
    </xf>
    <xf numFmtId="0" fontId="42" fillId="33" borderId="196" xfId="3786" applyFont="1" applyFill="1" applyBorder="1" applyAlignment="1">
      <alignment horizontal="center" vertical="center" wrapText="1"/>
    </xf>
    <xf numFmtId="0" fontId="61" fillId="0" borderId="107" xfId="3786" applyFont="1" applyBorder="1" applyAlignment="1">
      <alignment horizontal="right" vertical="center" wrapText="1"/>
    </xf>
    <xf numFmtId="0" fontId="61" fillId="0" borderId="0" xfId="3786" applyFont="1" applyAlignment="1">
      <alignment horizontal="right" vertical="center" wrapText="1"/>
    </xf>
    <xf numFmtId="0" fontId="42" fillId="0" borderId="373" xfId="3786" applyFont="1" applyFill="1" applyBorder="1" applyAlignment="1">
      <alignment horizontal="center" vertical="center" wrapText="1"/>
    </xf>
    <xf numFmtId="0" fontId="42" fillId="0" borderId="150" xfId="3786" applyFont="1" applyFill="1" applyBorder="1" applyAlignment="1">
      <alignment horizontal="center" vertical="center" wrapText="1"/>
    </xf>
    <xf numFmtId="0" fontId="42" fillId="0" borderId="336" xfId="3786" applyFont="1" applyFill="1" applyBorder="1" applyAlignment="1">
      <alignment horizontal="center" vertical="center" wrapText="1"/>
    </xf>
    <xf numFmtId="0" fontId="42" fillId="0" borderId="372" xfId="3786" applyFont="1" applyFill="1" applyBorder="1" applyAlignment="1">
      <alignment horizontal="center" vertical="center" wrapText="1"/>
    </xf>
    <xf numFmtId="0" fontId="42" fillId="0" borderId="196" xfId="3786" applyFont="1" applyFill="1" applyBorder="1" applyAlignment="1">
      <alignment horizontal="center" vertical="center" wrapText="1"/>
    </xf>
    <xf numFmtId="0" fontId="42" fillId="0" borderId="201" xfId="3786" applyFont="1" applyFill="1" applyBorder="1" applyAlignment="1">
      <alignment horizontal="center" vertical="center" wrapText="1"/>
    </xf>
    <xf numFmtId="0" fontId="80" fillId="0" borderId="0" xfId="142" applyFont="1" applyFill="1" applyBorder="1" applyAlignment="1">
      <alignment horizontal="center" vertical="center" wrapText="1"/>
    </xf>
    <xf numFmtId="0" fontId="80" fillId="0" borderId="16" xfId="142" applyFont="1" applyFill="1" applyBorder="1" applyAlignment="1">
      <alignment horizontal="center" vertical="center" wrapText="1"/>
    </xf>
    <xf numFmtId="0" fontId="80" fillId="0" borderId="0" xfId="142" applyFont="1" applyFill="1" applyBorder="1" applyAlignment="1">
      <alignment horizontal="center" vertical="center"/>
    </xf>
    <xf numFmtId="0" fontId="42" fillId="33" borderId="203" xfId="3786" applyFont="1" applyFill="1" applyBorder="1" applyAlignment="1">
      <alignment horizontal="center" vertical="center" wrapText="1"/>
    </xf>
    <xf numFmtId="0" fontId="42" fillId="33" borderId="147" xfId="3786" applyFont="1" applyFill="1" applyBorder="1" applyAlignment="1">
      <alignment horizontal="center" vertical="center" wrapText="1"/>
    </xf>
    <xf numFmtId="0" fontId="42" fillId="33" borderId="193" xfId="3786" applyFont="1" applyFill="1" applyBorder="1" applyAlignment="1">
      <alignment horizontal="center" vertical="center" wrapText="1"/>
    </xf>
    <xf numFmtId="0" fontId="40" fillId="0" borderId="0" xfId="142" applyFont="1" applyFill="1" applyBorder="1" applyAlignment="1">
      <alignment horizontal="center" vertical="center"/>
    </xf>
    <xf numFmtId="0" fontId="42" fillId="0" borderId="208" xfId="3786" applyFont="1" applyFill="1" applyBorder="1" applyAlignment="1">
      <alignment horizontal="center" vertical="center" wrapText="1"/>
    </xf>
    <xf numFmtId="0" fontId="42" fillId="0" borderId="147" xfId="3786" applyFont="1" applyFill="1" applyBorder="1" applyAlignment="1">
      <alignment horizontal="center" vertical="center" wrapText="1"/>
    </xf>
    <xf numFmtId="0" fontId="42" fillId="0" borderId="371" xfId="3786" applyFont="1" applyFill="1" applyBorder="1" applyAlignment="1">
      <alignment horizontal="center" vertical="center" wrapText="1"/>
    </xf>
    <xf numFmtId="0" fontId="56" fillId="0" borderId="0" xfId="0" applyFont="1" applyAlignment="1">
      <alignment horizontal="left" vertical="center" wrapText="1"/>
    </xf>
    <xf numFmtId="0" fontId="87" fillId="0" borderId="0" xfId="246" applyFont="1" applyAlignment="1">
      <alignment horizontal="center" vertical="center" wrapText="1"/>
    </xf>
    <xf numFmtId="0" fontId="80" fillId="0" borderId="0" xfId="0" applyFont="1" applyFill="1" applyBorder="1" applyAlignment="1">
      <alignment horizontal="center" vertical="center" wrapText="1"/>
    </xf>
    <xf numFmtId="0" fontId="42" fillId="0" borderId="16" xfId="0" applyFont="1" applyFill="1" applyBorder="1" applyAlignment="1">
      <alignment horizontal="center" vertical="center" wrapText="1"/>
    </xf>
    <xf numFmtId="170" fontId="185" fillId="0" borderId="226" xfId="217" applyNumberFormat="1" applyFont="1" applyFill="1" applyBorder="1" applyAlignment="1">
      <alignment horizontal="center" vertical="center"/>
    </xf>
    <xf numFmtId="0" fontId="51" fillId="0" borderId="0" xfId="0" applyFont="1" applyFill="1" applyBorder="1" applyAlignment="1">
      <alignment horizontal="center" vertical="center" wrapText="1"/>
    </xf>
    <xf numFmtId="0" fontId="51" fillId="0" borderId="16" xfId="0" applyFont="1" applyFill="1" applyBorder="1" applyAlignment="1">
      <alignment horizontal="center" vertical="center" wrapText="1"/>
    </xf>
    <xf numFmtId="1" fontId="41" fillId="0" borderId="226" xfId="173" applyNumberFormat="1" applyFont="1" applyFill="1" applyBorder="1" applyAlignment="1">
      <alignment horizontal="center" vertical="center" wrapText="1"/>
    </xf>
    <xf numFmtId="1" fontId="41" fillId="0" borderId="106" xfId="173" applyNumberFormat="1" applyFont="1" applyFill="1" applyBorder="1" applyAlignment="1">
      <alignment horizontal="center" vertical="center" wrapText="1"/>
    </xf>
    <xf numFmtId="1" fontId="43" fillId="0" borderId="0" xfId="173" applyNumberFormat="1" applyFont="1" applyFill="1" applyBorder="1" applyAlignment="1">
      <alignment horizontal="center" vertical="center" wrapText="1"/>
    </xf>
    <xf numFmtId="1" fontId="43" fillId="0" borderId="16" xfId="173" applyNumberFormat="1" applyFont="1" applyFill="1" applyBorder="1" applyAlignment="1">
      <alignment horizontal="center" vertical="center" wrapText="1"/>
    </xf>
    <xf numFmtId="0" fontId="43" fillId="0" borderId="226" xfId="0" applyFont="1" applyBorder="1" applyAlignment="1">
      <alignment horizontal="center" vertical="center"/>
    </xf>
    <xf numFmtId="1" fontId="41" fillId="0" borderId="0" xfId="173" applyNumberFormat="1" applyFont="1" applyFill="1" applyBorder="1" applyAlignment="1">
      <alignment horizontal="center" vertical="center" wrapText="1"/>
    </xf>
    <xf numFmtId="1" fontId="41" fillId="0" borderId="16" xfId="173" applyNumberFormat="1" applyFont="1" applyFill="1" applyBorder="1" applyAlignment="1">
      <alignment horizontal="center" vertical="center" wrapText="1"/>
    </xf>
    <xf numFmtId="0" fontId="87" fillId="0" borderId="189" xfId="149" applyFont="1" applyBorder="1" applyAlignment="1">
      <alignment horizontal="center" vertical="center"/>
    </xf>
    <xf numFmtId="0" fontId="87" fillId="0" borderId="170" xfId="149" applyFont="1" applyBorder="1" applyAlignment="1">
      <alignment horizontal="center" vertical="center"/>
    </xf>
    <xf numFmtId="0" fontId="87" fillId="0" borderId="175" xfId="149" applyFont="1" applyBorder="1" applyAlignment="1">
      <alignment horizontal="center" vertical="center"/>
    </xf>
    <xf numFmtId="0" fontId="104" fillId="20" borderId="191" xfId="149" applyFont="1" applyFill="1" applyBorder="1" applyAlignment="1">
      <alignment horizontal="center" vertical="center"/>
    </xf>
    <xf numFmtId="0" fontId="104" fillId="20" borderId="192" xfId="149" applyFont="1" applyFill="1" applyBorder="1" applyAlignment="1">
      <alignment horizontal="center" vertical="center"/>
    </xf>
    <xf numFmtId="0" fontId="87" fillId="0" borderId="188" xfId="149" applyFont="1" applyBorder="1" applyAlignment="1">
      <alignment horizontal="center" vertical="center"/>
    </xf>
    <xf numFmtId="0" fontId="87" fillId="0" borderId="10" xfId="149" applyFont="1" applyBorder="1" applyAlignment="1">
      <alignment horizontal="center" vertical="center"/>
    </xf>
    <xf numFmtId="0" fontId="87" fillId="0" borderId="168" xfId="149" applyFont="1" applyBorder="1" applyAlignment="1">
      <alignment horizontal="center" vertical="center"/>
    </xf>
    <xf numFmtId="0" fontId="42" fillId="0" borderId="0" xfId="229" applyFont="1" applyBorder="1" applyAlignment="1">
      <alignment horizontal="center" vertical="center"/>
    </xf>
    <xf numFmtId="167" fontId="42" fillId="0" borderId="151" xfId="197" applyNumberFormat="1" applyFont="1" applyBorder="1" applyAlignment="1">
      <alignment horizontal="center" vertical="center"/>
    </xf>
    <xf numFmtId="167" fontId="42" fillId="0" borderId="284" xfId="197" applyNumberFormat="1" applyFont="1" applyBorder="1" applyAlignment="1">
      <alignment horizontal="center" vertical="center"/>
    </xf>
    <xf numFmtId="167" fontId="42" fillId="0" borderId="282" xfId="197" applyNumberFormat="1" applyFont="1" applyBorder="1" applyAlignment="1">
      <alignment horizontal="center" vertical="center"/>
    </xf>
    <xf numFmtId="0" fontId="107" fillId="20" borderId="226" xfId="229" applyFont="1" applyFill="1" applyBorder="1" applyAlignment="1">
      <alignment horizontal="center" vertical="center"/>
    </xf>
    <xf numFmtId="0" fontId="106" fillId="20" borderId="150" xfId="229" applyFont="1" applyFill="1" applyBorder="1" applyAlignment="1">
      <alignment horizontal="center" vertical="center"/>
    </xf>
    <xf numFmtId="0" fontId="106" fillId="20" borderId="204" xfId="229" applyFont="1" applyFill="1" applyBorder="1" applyAlignment="1">
      <alignment horizontal="center" vertical="center" wrapText="1"/>
    </xf>
    <xf numFmtId="0" fontId="107" fillId="20" borderId="282" xfId="229" applyFont="1" applyFill="1" applyBorder="1" applyAlignment="1">
      <alignment horizontal="center" vertical="center"/>
    </xf>
    <xf numFmtId="0" fontId="107" fillId="20" borderId="150" xfId="229" applyFont="1" applyFill="1" applyBorder="1" applyAlignment="1">
      <alignment horizontal="center" vertical="center"/>
    </xf>
    <xf numFmtId="0" fontId="107" fillId="20" borderId="283" xfId="229" applyFont="1" applyFill="1" applyBorder="1" applyAlignment="1">
      <alignment horizontal="center" vertical="center" wrapText="1"/>
    </xf>
    <xf numFmtId="0" fontId="107" fillId="20" borderId="204" xfId="229" applyFont="1" applyFill="1" applyBorder="1" applyAlignment="1">
      <alignment horizontal="center" vertical="center" wrapText="1"/>
    </xf>
    <xf numFmtId="0" fontId="106" fillId="20" borderId="226" xfId="229" applyFont="1" applyFill="1" applyBorder="1" applyAlignment="1">
      <alignment horizontal="center" vertical="center"/>
    </xf>
    <xf numFmtId="0" fontId="111" fillId="20" borderId="150" xfId="229" applyFont="1" applyFill="1" applyBorder="1" applyAlignment="1">
      <alignment horizontal="center" vertical="center"/>
    </xf>
    <xf numFmtId="0" fontId="111" fillId="20" borderId="204" xfId="229" applyFont="1" applyFill="1" applyBorder="1" applyAlignment="1">
      <alignment horizontal="center" vertical="center" wrapText="1"/>
    </xf>
    <xf numFmtId="0" fontId="109" fillId="20" borderId="150" xfId="229" applyFont="1" applyFill="1" applyBorder="1" applyAlignment="1">
      <alignment horizontal="center" vertical="center"/>
    </xf>
    <xf numFmtId="0" fontId="109" fillId="20" borderId="204" xfId="229" applyFont="1" applyFill="1" applyBorder="1" applyAlignment="1">
      <alignment horizontal="center" vertical="center" wrapText="1"/>
    </xf>
    <xf numFmtId="167" fontId="42" fillId="0" borderId="150" xfId="197" applyNumberFormat="1" applyFont="1" applyBorder="1" applyAlignment="1">
      <alignment horizontal="center" vertical="center"/>
    </xf>
    <xf numFmtId="0" fontId="111" fillId="20" borderId="226" xfId="229" applyFont="1" applyFill="1" applyBorder="1" applyAlignment="1">
      <alignment horizontal="center" vertical="center"/>
    </xf>
    <xf numFmtId="167" fontId="114" fillId="20" borderId="226" xfId="197" applyNumberFormat="1" applyFont="1" applyFill="1" applyBorder="1" applyAlignment="1">
      <alignment horizontal="center" vertical="center" wrapText="1"/>
    </xf>
    <xf numFmtId="0" fontId="109" fillId="20" borderId="226" xfId="229" applyFont="1" applyFill="1" applyBorder="1" applyAlignment="1">
      <alignment horizontal="center" vertical="center"/>
    </xf>
    <xf numFmtId="0" fontId="114" fillId="20" borderId="150" xfId="229" applyFont="1" applyFill="1" applyBorder="1" applyAlignment="1">
      <alignment horizontal="center" vertical="center"/>
    </xf>
    <xf numFmtId="0" fontId="114" fillId="20" borderId="204" xfId="229" applyFont="1" applyFill="1" applyBorder="1" applyAlignment="1">
      <alignment horizontal="center" vertical="center" wrapText="1"/>
    </xf>
    <xf numFmtId="167" fontId="42" fillId="0" borderId="150" xfId="197" applyNumberFormat="1" applyFont="1" applyBorder="1" applyAlignment="1">
      <alignment horizontal="center" vertical="center" wrapText="1"/>
    </xf>
    <xf numFmtId="167" fontId="42" fillId="0" borderId="151" xfId="197" applyNumberFormat="1" applyFont="1" applyBorder="1" applyAlignment="1">
      <alignment horizontal="center" vertical="center" wrapText="1"/>
    </xf>
    <xf numFmtId="167" fontId="42" fillId="0" borderId="282" xfId="197" applyNumberFormat="1" applyFont="1" applyBorder="1" applyAlignment="1">
      <alignment horizontal="center" vertical="center" wrapText="1"/>
    </xf>
    <xf numFmtId="0" fontId="46" fillId="0" borderId="10" xfId="0" applyFont="1" applyBorder="1" applyAlignment="1">
      <alignment horizontal="center" vertical="center" wrapText="1"/>
    </xf>
    <xf numFmtId="0" fontId="46" fillId="0" borderId="0" xfId="0" applyFont="1" applyBorder="1" applyAlignment="1">
      <alignment horizontal="center" vertical="center" wrapText="1"/>
    </xf>
    <xf numFmtId="0" fontId="43" fillId="20" borderId="226" xfId="229" applyFont="1" applyFill="1" applyBorder="1" applyAlignment="1">
      <alignment horizontal="center" vertical="center"/>
    </xf>
    <xf numFmtId="0" fontId="43" fillId="20" borderId="150" xfId="229" applyFont="1" applyFill="1" applyBorder="1" applyAlignment="1">
      <alignment horizontal="center" vertical="center"/>
    </xf>
    <xf numFmtId="0" fontId="43" fillId="20" borderId="204" xfId="229" applyFont="1" applyFill="1" applyBorder="1" applyAlignment="1">
      <alignment horizontal="center" vertical="center" wrapText="1"/>
    </xf>
    <xf numFmtId="0" fontId="43" fillId="0" borderId="366" xfId="149" applyFont="1" applyBorder="1" applyAlignment="1">
      <alignment horizontal="center" vertical="center"/>
    </xf>
    <xf numFmtId="0" fontId="43" fillId="0" borderId="0" xfId="149" applyFont="1" applyFill="1" applyBorder="1" applyAlignment="1">
      <alignment horizontal="center" vertical="center"/>
    </xf>
    <xf numFmtId="0" fontId="43" fillId="20" borderId="242" xfId="173" applyFont="1" applyFill="1" applyBorder="1" applyAlignment="1">
      <alignment horizontal="center" vertical="center" wrapText="1"/>
    </xf>
    <xf numFmtId="0" fontId="43" fillId="20" borderId="243" xfId="173" applyFont="1" applyFill="1" applyBorder="1" applyAlignment="1">
      <alignment horizontal="center" vertical="center" wrapText="1"/>
    </xf>
    <xf numFmtId="0" fontId="111" fillId="22" borderId="244" xfId="173" applyFont="1" applyFill="1" applyBorder="1" applyAlignment="1">
      <alignment horizontal="center" vertical="center" wrapText="1"/>
    </xf>
    <xf numFmtId="0" fontId="111" fillId="22" borderId="245" xfId="173" applyFont="1" applyFill="1" applyBorder="1" applyAlignment="1">
      <alignment horizontal="center" vertical="center" wrapText="1"/>
    </xf>
    <xf numFmtId="0" fontId="109" fillId="22" borderId="244" xfId="173" applyFont="1" applyFill="1" applyBorder="1" applyAlignment="1">
      <alignment horizontal="center" vertical="center" wrapText="1"/>
    </xf>
    <xf numFmtId="0" fontId="109" fillId="22" borderId="245" xfId="173" applyFont="1" applyFill="1" applyBorder="1" applyAlignment="1">
      <alignment horizontal="center" vertical="center" wrapText="1"/>
    </xf>
    <xf numFmtId="0" fontId="107" fillId="22" borderId="244" xfId="173" applyFont="1" applyFill="1" applyBorder="1" applyAlignment="1">
      <alignment horizontal="center" vertical="center" wrapText="1"/>
    </xf>
    <xf numFmtId="0" fontId="107" fillId="22" borderId="245" xfId="173" applyFont="1" applyFill="1" applyBorder="1" applyAlignment="1">
      <alignment horizontal="center" vertical="center" wrapText="1"/>
    </xf>
    <xf numFmtId="0" fontId="106" fillId="22" borderId="244" xfId="173" applyFont="1" applyFill="1" applyBorder="1" applyAlignment="1">
      <alignment horizontal="center" vertical="center" wrapText="1"/>
    </xf>
    <xf numFmtId="0" fontId="106" fillId="22" borderId="245" xfId="173" applyFont="1" applyFill="1" applyBorder="1" applyAlignment="1">
      <alignment horizontal="center" vertical="center" wrapText="1"/>
    </xf>
    <xf numFmtId="0" fontId="43" fillId="20" borderId="125" xfId="173" applyFont="1" applyFill="1" applyBorder="1" applyAlignment="1">
      <alignment horizontal="center" vertical="center" wrapText="1"/>
    </xf>
    <xf numFmtId="0" fontId="43" fillId="20" borderId="126" xfId="173" applyFont="1" applyFill="1" applyBorder="1" applyAlignment="1">
      <alignment horizontal="center" vertical="center" wrapText="1"/>
    </xf>
    <xf numFmtId="0" fontId="2" fillId="0" borderId="0" xfId="149" applyFont="1" applyAlignment="1">
      <alignment horizontal="left" vertical="center" wrapText="1"/>
    </xf>
    <xf numFmtId="0" fontId="114" fillId="22" borderId="241" xfId="173" applyFont="1" applyFill="1" applyBorder="1" applyAlignment="1">
      <alignment horizontal="center" vertical="center" wrapText="1"/>
    </xf>
    <xf numFmtId="0" fontId="114" fillId="22" borderId="244" xfId="173" applyFont="1" applyFill="1" applyBorder="1" applyAlignment="1">
      <alignment horizontal="center" vertical="center" wrapText="1"/>
    </xf>
    <xf numFmtId="0" fontId="80" fillId="20" borderId="241" xfId="173" applyFont="1" applyFill="1" applyBorder="1" applyAlignment="1">
      <alignment horizontal="center" vertical="center" wrapText="1"/>
    </xf>
    <xf numFmtId="0" fontId="80" fillId="20" borderId="244" xfId="173" applyFont="1" applyFill="1" applyBorder="1" applyAlignment="1">
      <alignment horizontal="center" vertical="center" wrapText="1"/>
    </xf>
    <xf numFmtId="2" fontId="40" fillId="43" borderId="287" xfId="0" applyNumberFormat="1" applyFont="1" applyFill="1" applyBorder="1" applyAlignment="1">
      <alignment horizontal="center" vertical="center"/>
    </xf>
    <xf numFmtId="2" fontId="40" fillId="43" borderId="197" xfId="0" applyNumberFormat="1" applyFont="1" applyFill="1" applyBorder="1" applyAlignment="1">
      <alignment horizontal="center" vertical="center"/>
    </xf>
    <xf numFmtId="0" fontId="45" fillId="20" borderId="91" xfId="0" applyFont="1" applyFill="1" applyBorder="1" applyAlignment="1">
      <alignment horizontal="center" vertical="center"/>
    </xf>
    <xf numFmtId="0" fontId="45" fillId="20" borderId="81" xfId="0" applyFont="1" applyFill="1" applyBorder="1" applyAlignment="1">
      <alignment horizontal="center" vertical="center"/>
    </xf>
    <xf numFmtId="0" fontId="45" fillId="0" borderId="93" xfId="0" applyFont="1" applyBorder="1" applyAlignment="1">
      <alignment horizontal="center" vertical="center"/>
    </xf>
    <xf numFmtId="0" fontId="45" fillId="0" borderId="95" xfId="0" applyFont="1" applyBorder="1" applyAlignment="1">
      <alignment horizontal="center" vertical="center"/>
    </xf>
    <xf numFmtId="0" fontId="45" fillId="0" borderId="94" xfId="0" applyFont="1" applyBorder="1" applyAlignment="1">
      <alignment horizontal="center" vertical="center"/>
    </xf>
    <xf numFmtId="43" fontId="40" fillId="43" borderId="195" xfId="107" applyFont="1" applyFill="1" applyBorder="1" applyAlignment="1">
      <alignment horizontal="center" vertical="center"/>
    </xf>
    <xf numFmtId="43" fontId="40" fillId="43" borderId="197" xfId="107" applyFont="1" applyFill="1" applyBorder="1" applyAlignment="1">
      <alignment horizontal="center" vertical="center"/>
    </xf>
    <xf numFmtId="2" fontId="80" fillId="43" borderId="195" xfId="801" applyNumberFormat="1" applyFont="1" applyFill="1" applyBorder="1" applyAlignment="1">
      <alignment horizontal="center" vertical="center"/>
    </xf>
    <xf numFmtId="2" fontId="80" fillId="43" borderId="197" xfId="801" applyNumberFormat="1" applyFont="1" applyFill="1" applyBorder="1" applyAlignment="1">
      <alignment horizontal="center" vertical="center"/>
    </xf>
    <xf numFmtId="43" fontId="40" fillId="43" borderId="22" xfId="107" applyFont="1" applyFill="1" applyBorder="1" applyAlignment="1">
      <alignment vertical="center"/>
    </xf>
    <xf numFmtId="43" fontId="40" fillId="43" borderId="23" xfId="107" applyFont="1" applyFill="1" applyBorder="1" applyAlignment="1">
      <alignment vertical="center"/>
    </xf>
    <xf numFmtId="43" fontId="40" fillId="43" borderId="187" xfId="107" applyFont="1" applyFill="1" applyBorder="1" applyAlignment="1">
      <alignment vertical="center"/>
    </xf>
    <xf numFmtId="43" fontId="40" fillId="43" borderId="175" xfId="107" applyFont="1" applyFill="1" applyBorder="1" applyAlignment="1">
      <alignment vertical="center"/>
    </xf>
    <xf numFmtId="43" fontId="40" fillId="43" borderId="195" xfId="107" applyFont="1" applyFill="1" applyBorder="1" applyAlignment="1">
      <alignment vertical="center"/>
    </xf>
    <xf numFmtId="43" fontId="40" fillId="43" borderId="197" xfId="107" applyFont="1" applyFill="1" applyBorder="1" applyAlignment="1">
      <alignment vertical="center"/>
    </xf>
    <xf numFmtId="0" fontId="45" fillId="0" borderId="0" xfId="0" applyFont="1" applyAlignment="1">
      <alignment horizontal="center" vertical="center" wrapText="1"/>
    </xf>
    <xf numFmtId="0" fontId="62" fillId="0" borderId="0" xfId="0" applyFont="1" applyAlignment="1">
      <alignment horizontal="center" vertical="center" wrapText="1"/>
    </xf>
    <xf numFmtId="0" fontId="239" fillId="0" borderId="311" xfId="0" applyFont="1" applyBorder="1" applyAlignment="1">
      <alignment horizontal="center"/>
    </xf>
    <xf numFmtId="0" fontId="40" fillId="0" borderId="0" xfId="0" applyFont="1" applyAlignment="1">
      <alignment horizontal="center" vertical="center" wrapText="1"/>
    </xf>
    <xf numFmtId="0" fontId="40" fillId="0" borderId="16" xfId="0" applyFont="1" applyBorder="1" applyAlignment="1">
      <alignment horizontal="center" vertical="center" wrapText="1"/>
    </xf>
    <xf numFmtId="0" fontId="40" fillId="0" borderId="366" xfId="0" applyFont="1" applyFill="1" applyBorder="1" applyAlignment="1">
      <alignment horizontal="center"/>
    </xf>
    <xf numFmtId="0" fontId="40" fillId="0" borderId="366" xfId="0" applyFont="1" applyFill="1" applyBorder="1" applyAlignment="1">
      <alignment horizontal="center" vertical="center"/>
    </xf>
    <xf numFmtId="0" fontId="80" fillId="0" borderId="0" xfId="452" applyFont="1" applyAlignment="1">
      <alignment horizontal="center" vertical="center"/>
    </xf>
    <xf numFmtId="0" fontId="80" fillId="0" borderId="16" xfId="452" applyFont="1" applyBorder="1" applyAlignment="1">
      <alignment horizontal="center" vertical="center"/>
    </xf>
    <xf numFmtId="0" fontId="80" fillId="0" borderId="11" xfId="452" applyFont="1" applyBorder="1" applyAlignment="1">
      <alignment horizontal="center"/>
    </xf>
    <xf numFmtId="0" fontId="80" fillId="0" borderId="170" xfId="452" applyFont="1" applyBorder="1" applyAlignment="1">
      <alignment horizontal="center"/>
    </xf>
    <xf numFmtId="0" fontId="80" fillId="0" borderId="10" xfId="452" applyFont="1" applyBorder="1" applyAlignment="1">
      <alignment horizontal="center"/>
    </xf>
    <xf numFmtId="0" fontId="43" fillId="0" borderId="0" xfId="167" applyFont="1" applyFill="1" applyBorder="1" applyAlignment="1">
      <alignment horizontal="center" vertical="center"/>
    </xf>
    <xf numFmtId="0" fontId="43" fillId="0" borderId="0" xfId="167" applyFont="1" applyFill="1" applyBorder="1" applyAlignment="1">
      <alignment horizontal="center" vertical="center" wrapText="1"/>
    </xf>
    <xf numFmtId="0" fontId="43" fillId="0" borderId="16" xfId="167" applyFont="1" applyFill="1" applyBorder="1" applyAlignment="1">
      <alignment horizontal="center" vertical="center" wrapText="1"/>
    </xf>
    <xf numFmtId="0" fontId="66" fillId="0" borderId="93" xfId="0" applyFont="1" applyBorder="1" applyAlignment="1">
      <alignment horizontal="left" vertical="center" wrapText="1"/>
    </xf>
    <xf numFmtId="0" fontId="66" fillId="0" borderId="95" xfId="0" applyFont="1" applyBorder="1" applyAlignment="1">
      <alignment horizontal="left" vertical="center" wrapText="1"/>
    </xf>
    <xf numFmtId="0" fontId="66" fillId="0" borderId="94" xfId="0" applyFont="1" applyBorder="1" applyAlignment="1">
      <alignment horizontal="left" vertical="center" wrapText="1"/>
    </xf>
    <xf numFmtId="0" fontId="101" fillId="0" borderId="10" xfId="0" applyFont="1" applyBorder="1" applyAlignment="1">
      <alignment horizontal="center" vertical="center" wrapText="1"/>
    </xf>
    <xf numFmtId="0" fontId="101" fillId="0" borderId="0" xfId="0" applyFont="1" applyAlignment="1">
      <alignment horizontal="center" vertical="center" wrapText="1"/>
    </xf>
    <xf numFmtId="0" fontId="85" fillId="0" borderId="0" xfId="0" applyFont="1" applyAlignment="1">
      <alignment horizontal="center" vertical="center"/>
    </xf>
    <xf numFmtId="0" fontId="50" fillId="0" borderId="90" xfId="0" applyFont="1" applyBorder="1" applyAlignment="1">
      <alignment horizontal="left" vertical="center" wrapText="1"/>
    </xf>
    <xf numFmtId="0" fontId="56" fillId="0" borderId="0" xfId="0" applyFont="1" applyAlignment="1">
      <alignment horizontal="center" vertical="center" wrapText="1"/>
    </xf>
    <xf numFmtId="0" fontId="67" fillId="0" borderId="0" xfId="0" applyFont="1" applyAlignment="1">
      <alignment horizontal="right" vertical="center" wrapText="1"/>
    </xf>
    <xf numFmtId="0" fontId="3" fillId="0" borderId="0" xfId="0" applyFont="1" applyAlignment="1">
      <alignment horizontal="center"/>
    </xf>
    <xf numFmtId="0" fontId="56" fillId="0" borderId="0" xfId="0" applyFont="1" applyAlignment="1">
      <alignment horizontal="right"/>
    </xf>
    <xf numFmtId="0" fontId="80" fillId="0" borderId="16" xfId="0" applyFont="1" applyFill="1" applyBorder="1" applyAlignment="1">
      <alignment horizontal="center" vertical="center" wrapText="1"/>
    </xf>
    <xf numFmtId="0" fontId="40" fillId="0" borderId="226" xfId="0" applyFont="1" applyFill="1" applyBorder="1" applyAlignment="1">
      <alignment horizontal="center" vertical="center"/>
    </xf>
    <xf numFmtId="0" fontId="40" fillId="0" borderId="311" xfId="0" applyFont="1" applyFill="1" applyBorder="1" applyAlignment="1">
      <alignment horizontal="center" vertical="center"/>
    </xf>
    <xf numFmtId="0" fontId="247" fillId="0" borderId="0" xfId="0" applyFont="1" applyFill="1" applyBorder="1" applyAlignment="1">
      <alignment horizontal="center" vertical="center" wrapText="1"/>
    </xf>
    <xf numFmtId="0" fontId="247" fillId="0" borderId="16" xfId="0" applyFont="1" applyFill="1" applyBorder="1" applyAlignment="1">
      <alignment horizontal="center" vertical="center" wrapText="1"/>
    </xf>
    <xf numFmtId="0" fontId="40" fillId="0" borderId="93" xfId="0" applyFont="1" applyBorder="1" applyAlignment="1">
      <alignment horizontal="center" wrapText="1"/>
    </xf>
    <xf numFmtId="0" fontId="40" fillId="0" borderId="95" xfId="0" applyFont="1" applyBorder="1" applyAlignment="1">
      <alignment horizontal="center" wrapText="1"/>
    </xf>
    <xf numFmtId="0" fontId="40" fillId="0" borderId="94" xfId="0" applyFont="1" applyBorder="1" applyAlignment="1">
      <alignment horizontal="center" wrapText="1"/>
    </xf>
    <xf numFmtId="0" fontId="80" fillId="0" borderId="226" xfId="173" applyFont="1" applyFill="1" applyBorder="1" applyAlignment="1">
      <alignment horizontal="center" vertical="center"/>
    </xf>
    <xf numFmtId="0" fontId="80" fillId="0" borderId="0" xfId="173" applyFont="1" applyFill="1" applyBorder="1" applyAlignment="1">
      <alignment horizontal="center" vertical="center" wrapText="1"/>
    </xf>
    <xf numFmtId="0" fontId="0" fillId="0" borderId="0" xfId="0" applyFont="1" applyFill="1" applyBorder="1" applyAlignment="1">
      <alignment wrapText="1"/>
    </xf>
    <xf numFmtId="0" fontId="0" fillId="0" borderId="16" xfId="0" applyFont="1" applyFill="1" applyBorder="1" applyAlignment="1">
      <alignment wrapText="1"/>
    </xf>
    <xf numFmtId="0" fontId="80" fillId="0" borderId="0" xfId="173" applyFont="1" applyFill="1" applyBorder="1" applyAlignment="1">
      <alignment horizontal="center" vertical="center"/>
    </xf>
    <xf numFmtId="0" fontId="80" fillId="0" borderId="16" xfId="173" applyFont="1" applyFill="1" applyBorder="1" applyAlignment="1">
      <alignment horizontal="center" vertical="center"/>
    </xf>
    <xf numFmtId="0" fontId="55" fillId="0" borderId="273" xfId="173" applyFont="1" applyFill="1" applyBorder="1" applyAlignment="1">
      <alignment horizontal="center" vertical="center"/>
    </xf>
    <xf numFmtId="0" fontId="40" fillId="0" borderId="0" xfId="0" applyFont="1" applyFill="1" applyBorder="1" applyAlignment="1">
      <alignment horizontal="center" vertical="center" wrapText="1"/>
    </xf>
    <xf numFmtId="0" fontId="40" fillId="0" borderId="16" xfId="0" applyFont="1" applyFill="1" applyBorder="1" applyAlignment="1">
      <alignment horizontal="center" vertical="center" wrapText="1"/>
    </xf>
    <xf numFmtId="0" fontId="0" fillId="0" borderId="273" xfId="0" applyFont="1" applyBorder="1" applyAlignment="1">
      <alignment horizontal="center" vertical="center"/>
    </xf>
    <xf numFmtId="0" fontId="131" fillId="0" borderId="0" xfId="0" applyFont="1" applyAlignment="1">
      <alignment horizontal="center" vertical="center" wrapText="1"/>
    </xf>
    <xf numFmtId="0" fontId="254" fillId="0" borderId="0" xfId="0" applyFont="1" applyAlignment="1">
      <alignment horizontal="center" vertical="center" wrapText="1"/>
    </xf>
    <xf numFmtId="0" fontId="254" fillId="0" borderId="16" xfId="0" applyFont="1" applyBorder="1" applyAlignment="1">
      <alignment horizontal="center" vertical="center" wrapText="1"/>
    </xf>
    <xf numFmtId="0" fontId="103" fillId="0" borderId="163" xfId="0" applyFont="1" applyBorder="1" applyAlignment="1">
      <alignment horizontal="center" vertical="center"/>
    </xf>
    <xf numFmtId="0" fontId="23" fillId="0" borderId="0" xfId="0" applyFont="1" applyAlignment="1">
      <alignment horizontal="center" vertical="center" wrapText="1"/>
    </xf>
    <xf numFmtId="0" fontId="23" fillId="0" borderId="16" xfId="0" applyFont="1" applyBorder="1" applyAlignment="1">
      <alignment horizontal="center" vertical="center" wrapText="1"/>
    </xf>
    <xf numFmtId="0" fontId="43" fillId="0" borderId="0" xfId="0" applyFont="1" applyFill="1" applyBorder="1" applyAlignment="1">
      <alignment horizontal="center"/>
    </xf>
    <xf numFmtId="0" fontId="124" fillId="0" borderId="285" xfId="0" applyFont="1" applyBorder="1" applyAlignment="1">
      <alignment horizontal="center" vertical="center" wrapText="1"/>
    </xf>
    <xf numFmtId="0" fontId="124" fillId="0" borderId="11" xfId="0" applyFont="1" applyBorder="1" applyAlignment="1">
      <alignment horizontal="center" vertical="center" wrapText="1"/>
    </xf>
    <xf numFmtId="0" fontId="124" fillId="0" borderId="293" xfId="0" applyFont="1" applyBorder="1" applyAlignment="1">
      <alignment horizontal="center" vertical="center" wrapText="1"/>
    </xf>
    <xf numFmtId="0" fontId="43" fillId="0" borderId="285" xfId="0" applyFont="1" applyBorder="1" applyAlignment="1">
      <alignment horizontal="center" vertical="center"/>
    </xf>
    <xf numFmtId="0" fontId="43" fillId="0" borderId="11" xfId="0" applyFont="1" applyBorder="1" applyAlignment="1">
      <alignment horizontal="center" vertical="center"/>
    </xf>
    <xf numFmtId="0" fontId="43" fillId="0" borderId="293" xfId="0" applyFont="1" applyBorder="1" applyAlignment="1">
      <alignment horizontal="center" vertical="center"/>
    </xf>
    <xf numFmtId="0" fontId="2" fillId="0" borderId="0" xfId="0" applyFont="1" applyAlignment="1">
      <alignment horizontal="center" vertical="center" wrapText="1"/>
    </xf>
    <xf numFmtId="0" fontId="232" fillId="0" borderId="0" xfId="0" applyFont="1" applyAlignment="1">
      <alignment horizontal="center" vertical="center"/>
    </xf>
    <xf numFmtId="0" fontId="107" fillId="0" borderId="11" xfId="0" applyFont="1" applyBorder="1" applyAlignment="1">
      <alignment horizontal="center" vertical="center"/>
    </xf>
    <xf numFmtId="0" fontId="107" fillId="0" borderId="293" xfId="0" applyFont="1" applyBorder="1" applyAlignment="1">
      <alignment horizontal="center" vertical="center"/>
    </xf>
    <xf numFmtId="0" fontId="280" fillId="0" borderId="285" xfId="0" applyFont="1" applyBorder="1" applyAlignment="1">
      <alignment horizontal="center" vertical="center"/>
    </xf>
    <xf numFmtId="0" fontId="280" fillId="0" borderId="11" xfId="0" applyFont="1" applyBorder="1" applyAlignment="1">
      <alignment horizontal="center" vertical="center"/>
    </xf>
    <xf numFmtId="0" fontId="280" fillId="0" borderId="293" xfId="0" applyFont="1" applyBorder="1" applyAlignment="1">
      <alignment horizontal="center" vertical="center"/>
    </xf>
    <xf numFmtId="0" fontId="111" fillId="0" borderId="285" xfId="0" applyFont="1" applyBorder="1" applyAlignment="1">
      <alignment horizontal="center" vertical="center"/>
    </xf>
    <xf numFmtId="0" fontId="111" fillId="0" borderId="11" xfId="0" applyFont="1" applyBorder="1" applyAlignment="1">
      <alignment horizontal="center" vertical="center"/>
    </xf>
    <xf numFmtId="0" fontId="111" fillId="0" borderId="293" xfId="0" applyFont="1" applyBorder="1" applyAlignment="1">
      <alignment horizontal="center" vertical="center"/>
    </xf>
    <xf numFmtId="0" fontId="109" fillId="0" borderId="285" xfId="0" applyFont="1" applyBorder="1" applyAlignment="1">
      <alignment horizontal="center" vertical="center"/>
    </xf>
    <xf numFmtId="0" fontId="109" fillId="0" borderId="11" xfId="0" applyFont="1" applyBorder="1" applyAlignment="1">
      <alignment horizontal="center" vertical="center"/>
    </xf>
    <xf numFmtId="0" fontId="109" fillId="0" borderId="293" xfId="0" applyFont="1" applyBorder="1" applyAlignment="1">
      <alignment horizontal="center" vertical="center"/>
    </xf>
    <xf numFmtId="0" fontId="114" fillId="0" borderId="285" xfId="0" applyFont="1" applyBorder="1" applyAlignment="1">
      <alignment horizontal="center" vertical="center"/>
    </xf>
    <xf numFmtId="0" fontId="114" fillId="0" borderId="11" xfId="0" applyFont="1" applyBorder="1" applyAlignment="1">
      <alignment horizontal="center" vertical="center"/>
    </xf>
    <xf numFmtId="0" fontId="114" fillId="0" borderId="293" xfId="0" applyFont="1" applyBorder="1" applyAlignment="1">
      <alignment horizontal="center" vertical="center"/>
    </xf>
    <xf numFmtId="0" fontId="42" fillId="23" borderId="273" xfId="0" applyFont="1" applyFill="1" applyBorder="1" applyAlignment="1">
      <alignment horizontal="center"/>
    </xf>
    <xf numFmtId="0" fontId="42" fillId="23" borderId="272" xfId="0" applyFont="1" applyFill="1" applyBorder="1" applyAlignment="1">
      <alignment horizontal="center"/>
    </xf>
    <xf numFmtId="0" fontId="42" fillId="23" borderId="271" xfId="0" applyFont="1" applyFill="1" applyBorder="1" applyAlignment="1">
      <alignment horizontal="center"/>
    </xf>
    <xf numFmtId="0" fontId="131" fillId="0" borderId="0" xfId="0" applyFont="1" applyAlignment="1">
      <alignment horizontal="center"/>
    </xf>
    <xf numFmtId="0" fontId="56" fillId="0" borderId="0" xfId="0" applyFont="1" applyAlignment="1">
      <alignment horizontal="center"/>
    </xf>
    <xf numFmtId="0" fontId="86" fillId="20" borderId="271" xfId="0" applyFont="1" applyFill="1" applyBorder="1" applyAlignment="1">
      <alignment horizontal="center" vertical="center"/>
    </xf>
    <xf numFmtId="0" fontId="86" fillId="20" borderId="323" xfId="0" applyFont="1" applyFill="1" applyBorder="1" applyAlignment="1">
      <alignment horizontal="center" vertical="center"/>
    </xf>
    <xf numFmtId="0" fontId="86" fillId="20" borderId="324" xfId="0" applyFont="1" applyFill="1" applyBorder="1" applyAlignment="1">
      <alignment horizontal="center" vertical="center"/>
    </xf>
    <xf numFmtId="0" fontId="86" fillId="0" borderId="271" xfId="0" applyFont="1" applyFill="1" applyBorder="1" applyAlignment="1">
      <alignment horizontal="center" vertical="center"/>
    </xf>
    <xf numFmtId="0" fontId="86" fillId="0" borderId="323" xfId="0" applyFont="1" applyFill="1" applyBorder="1" applyAlignment="1">
      <alignment horizontal="center" vertical="center"/>
    </xf>
    <xf numFmtId="0" fontId="86" fillId="0" borderId="324" xfId="0" applyFont="1" applyFill="1" applyBorder="1" applyAlignment="1">
      <alignment horizontal="center" vertical="center"/>
    </xf>
    <xf numFmtId="0" fontId="5" fillId="20" borderId="270" xfId="149" applyFont="1" applyFill="1" applyBorder="1" applyAlignment="1">
      <alignment horizontal="center" vertical="center"/>
    </xf>
    <xf numFmtId="0" fontId="5" fillId="20" borderId="325" xfId="149" applyFont="1" applyFill="1" applyBorder="1" applyAlignment="1">
      <alignment horizontal="center" vertical="center" wrapText="1"/>
    </xf>
    <xf numFmtId="0" fontId="5" fillId="20" borderId="319" xfId="149" applyFont="1" applyFill="1" applyBorder="1" applyAlignment="1">
      <alignment horizontal="center" vertical="center" wrapText="1"/>
    </xf>
    <xf numFmtId="0" fontId="86" fillId="20" borderId="358" xfId="0" applyFont="1" applyFill="1" applyBorder="1" applyAlignment="1">
      <alignment horizontal="center" vertical="center"/>
    </xf>
    <xf numFmtId="0" fontId="86" fillId="20" borderId="359" xfId="0" applyFont="1" applyFill="1" applyBorder="1" applyAlignment="1">
      <alignment horizontal="center" vertical="center"/>
    </xf>
    <xf numFmtId="0" fontId="86" fillId="20" borderId="360" xfId="0" applyFont="1" applyFill="1" applyBorder="1" applyAlignment="1">
      <alignment horizontal="center" vertical="center"/>
    </xf>
    <xf numFmtId="0" fontId="86" fillId="0" borderId="358" xfId="0" applyFont="1" applyFill="1" applyBorder="1" applyAlignment="1">
      <alignment horizontal="center" vertical="center"/>
    </xf>
    <xf numFmtId="0" fontId="86" fillId="0" borderId="359" xfId="0" applyFont="1" applyFill="1" applyBorder="1" applyAlignment="1">
      <alignment horizontal="center" vertical="center"/>
    </xf>
    <xf numFmtId="0" fontId="86" fillId="0" borderId="360" xfId="0" applyFont="1" applyFill="1" applyBorder="1" applyAlignment="1">
      <alignment horizontal="center" vertical="center"/>
    </xf>
    <xf numFmtId="0" fontId="56" fillId="0" borderId="358" xfId="0" applyFont="1" applyFill="1" applyBorder="1" applyAlignment="1">
      <alignment horizontal="center" vertical="center"/>
    </xf>
    <xf numFmtId="0" fontId="56" fillId="0" borderId="359" xfId="0" applyFont="1" applyFill="1" applyBorder="1" applyAlignment="1">
      <alignment horizontal="center" vertical="center"/>
    </xf>
    <xf numFmtId="0" fontId="56" fillId="0" borderId="360" xfId="0" applyFont="1" applyFill="1" applyBorder="1" applyAlignment="1">
      <alignment horizontal="center" vertical="center"/>
    </xf>
    <xf numFmtId="0" fontId="30" fillId="20" borderId="362" xfId="149" applyFont="1" applyFill="1" applyBorder="1" applyAlignment="1">
      <alignment horizontal="center" vertical="center"/>
    </xf>
    <xf numFmtId="0" fontId="30" fillId="20" borderId="319" xfId="149" applyFont="1" applyFill="1" applyBorder="1" applyAlignment="1">
      <alignment horizontal="center" vertical="center"/>
    </xf>
    <xf numFmtId="0" fontId="30" fillId="20" borderId="358" xfId="149" applyFont="1" applyFill="1" applyBorder="1" applyAlignment="1">
      <alignment horizontal="center" vertical="center"/>
    </xf>
    <xf numFmtId="0" fontId="30" fillId="20" borderId="360" xfId="149" applyFont="1" applyFill="1" applyBorder="1" applyAlignment="1">
      <alignment horizontal="center" vertical="center"/>
    </xf>
    <xf numFmtId="0" fontId="5" fillId="20" borderId="362" xfId="149" applyFont="1" applyFill="1" applyBorder="1" applyAlignment="1">
      <alignment horizontal="center" vertical="center"/>
    </xf>
    <xf numFmtId="0" fontId="5" fillId="20" borderId="319" xfId="149" applyFont="1" applyFill="1" applyBorder="1" applyAlignment="1">
      <alignment horizontal="center" vertical="center"/>
    </xf>
    <xf numFmtId="0" fontId="5" fillId="20" borderId="362" xfId="149" applyFont="1" applyFill="1" applyBorder="1" applyAlignment="1">
      <alignment horizontal="center" vertical="center" wrapText="1"/>
    </xf>
    <xf numFmtId="0" fontId="86" fillId="20" borderId="233" xfId="0" applyFont="1" applyFill="1" applyBorder="1" applyAlignment="1">
      <alignment horizontal="center" vertical="center"/>
    </xf>
    <xf numFmtId="0" fontId="86" fillId="20" borderId="230" xfId="0" applyFont="1" applyFill="1" applyBorder="1" applyAlignment="1">
      <alignment horizontal="center" vertical="center"/>
    </xf>
    <xf numFmtId="0" fontId="86" fillId="20" borderId="231" xfId="0" applyFont="1" applyFill="1" applyBorder="1" applyAlignment="1">
      <alignment horizontal="center" vertical="center"/>
    </xf>
    <xf numFmtId="0" fontId="86" fillId="0" borderId="233" xfId="0" applyFont="1" applyFill="1" applyBorder="1" applyAlignment="1">
      <alignment horizontal="center" vertical="center"/>
    </xf>
    <xf numFmtId="0" fontId="86" fillId="0" borderId="230" xfId="0" applyFont="1" applyFill="1" applyBorder="1" applyAlignment="1">
      <alignment horizontal="center" vertical="center"/>
    </xf>
    <xf numFmtId="0" fontId="86" fillId="0" borderId="231" xfId="0" applyFont="1" applyFill="1" applyBorder="1" applyAlignment="1">
      <alignment horizontal="center" vertical="center"/>
    </xf>
    <xf numFmtId="0" fontId="5" fillId="20" borderId="232" xfId="149" applyFont="1" applyFill="1" applyBorder="1" applyAlignment="1">
      <alignment horizontal="center" vertical="center"/>
    </xf>
    <xf numFmtId="0" fontId="5" fillId="20" borderId="234" xfId="149" applyFont="1" applyFill="1" applyBorder="1" applyAlignment="1">
      <alignment horizontal="center" vertical="center" wrapText="1"/>
    </xf>
    <xf numFmtId="0" fontId="5" fillId="20" borderId="175" xfId="149" applyFont="1" applyFill="1" applyBorder="1" applyAlignment="1">
      <alignment horizontal="center" vertical="center" wrapText="1"/>
    </xf>
    <xf numFmtId="0" fontId="0" fillId="0" borderId="234" xfId="0" applyBorder="1" applyAlignment="1">
      <alignment horizontal="center" vertical="center" wrapText="1"/>
    </xf>
    <xf numFmtId="0" fontId="0" fillId="0" borderId="175" xfId="0" applyBorder="1" applyAlignment="1">
      <alignment horizontal="center" vertical="center" wrapText="1"/>
    </xf>
    <xf numFmtId="0" fontId="56" fillId="0" borderId="271" xfId="0" applyFont="1" applyFill="1" applyBorder="1" applyAlignment="1">
      <alignment horizontal="center" vertical="center"/>
    </xf>
    <xf numFmtId="0" fontId="56" fillId="0" borderId="323" xfId="0" applyFont="1" applyFill="1" applyBorder="1" applyAlignment="1">
      <alignment horizontal="center" vertical="center"/>
    </xf>
    <xf numFmtId="0" fontId="56" fillId="0" borderId="324" xfId="0" applyFont="1" applyFill="1" applyBorder="1" applyAlignment="1">
      <alignment horizontal="center" vertical="center"/>
    </xf>
    <xf numFmtId="0" fontId="30" fillId="20" borderId="325" xfId="149" applyFont="1" applyFill="1" applyBorder="1" applyAlignment="1">
      <alignment horizontal="center" vertical="center"/>
    </xf>
    <xf numFmtId="0" fontId="30" fillId="20" borderId="271" xfId="149" applyFont="1" applyFill="1" applyBorder="1" applyAlignment="1">
      <alignment horizontal="center" vertical="center"/>
    </xf>
    <xf numFmtId="0" fontId="30" fillId="20" borderId="324" xfId="149" applyFont="1" applyFill="1" applyBorder="1" applyAlignment="1">
      <alignment horizontal="center" vertical="center"/>
    </xf>
    <xf numFmtId="0" fontId="5" fillId="20" borderId="325" xfId="149" applyFont="1" applyFill="1" applyBorder="1" applyAlignment="1">
      <alignment horizontal="center" vertical="center"/>
    </xf>
    <xf numFmtId="0" fontId="5" fillId="20" borderId="181" xfId="149" applyFont="1" applyFill="1" applyBorder="1" applyAlignment="1">
      <alignment horizontal="center" vertical="center"/>
    </xf>
    <xf numFmtId="0" fontId="5" fillId="20" borderId="182" xfId="149" applyFont="1" applyFill="1" applyBorder="1" applyAlignment="1">
      <alignment horizontal="center" vertical="center" wrapText="1"/>
    </xf>
    <xf numFmtId="0" fontId="5" fillId="20" borderId="182" xfId="149" applyFont="1" applyFill="1" applyBorder="1" applyAlignment="1">
      <alignment horizontal="center" wrapText="1"/>
    </xf>
    <xf numFmtId="0" fontId="5" fillId="20" borderId="175" xfId="149" applyFont="1" applyFill="1" applyBorder="1" applyAlignment="1">
      <alignment horizontal="center" wrapText="1"/>
    </xf>
    <xf numFmtId="0" fontId="49" fillId="0" borderId="233" xfId="0" applyFont="1" applyBorder="1" applyAlignment="1">
      <alignment horizontal="center" vertical="center"/>
    </xf>
    <xf numFmtId="0" fontId="49" fillId="0" borderId="230" xfId="0" applyFont="1" applyBorder="1" applyAlignment="1">
      <alignment horizontal="center" vertical="center"/>
    </xf>
    <xf numFmtId="0" fontId="49" fillId="0" borderId="231" xfId="0" applyFont="1" applyBorder="1" applyAlignment="1">
      <alignment horizontal="center" vertical="center"/>
    </xf>
    <xf numFmtId="0" fontId="30" fillId="20" borderId="234" xfId="149" applyFont="1" applyFill="1" applyBorder="1" applyAlignment="1">
      <alignment horizontal="center" vertical="center"/>
    </xf>
    <xf numFmtId="0" fontId="30" fillId="20" borderId="175" xfId="149" applyFont="1" applyFill="1" applyBorder="1" applyAlignment="1">
      <alignment horizontal="center" vertical="center"/>
    </xf>
    <xf numFmtId="0" fontId="30" fillId="20" borderId="233" xfId="149" applyFont="1" applyFill="1" applyBorder="1" applyAlignment="1">
      <alignment horizontal="center" vertical="center"/>
    </xf>
    <xf numFmtId="0" fontId="30" fillId="20" borderId="231" xfId="149" applyFont="1" applyFill="1" applyBorder="1" applyAlignment="1">
      <alignment horizontal="center" vertical="center"/>
    </xf>
    <xf numFmtId="0" fontId="0" fillId="0" borderId="234" xfId="0" applyBorder="1" applyAlignment="1">
      <alignment horizontal="center" vertical="center"/>
    </xf>
    <xf numFmtId="0" fontId="0" fillId="0" borderId="175" xfId="0" applyBorder="1" applyAlignment="1">
      <alignment horizontal="center" vertical="center"/>
    </xf>
    <xf numFmtId="3" fontId="0" fillId="0" borderId="234" xfId="0" applyNumberFormat="1" applyBorder="1" applyAlignment="1">
      <alignment horizontal="center" vertical="center"/>
    </xf>
    <xf numFmtId="3" fontId="0" fillId="0" borderId="175" xfId="0" applyNumberFormat="1" applyBorder="1" applyAlignment="1">
      <alignment horizontal="center" vertical="center"/>
    </xf>
    <xf numFmtId="0" fontId="49" fillId="20" borderId="166" xfId="0" applyFont="1" applyFill="1" applyBorder="1" applyAlignment="1">
      <alignment horizontal="center" vertical="center"/>
    </xf>
    <xf numFmtId="0" fontId="49" fillId="20" borderId="157" xfId="0" applyFont="1" applyFill="1" applyBorder="1" applyAlignment="1">
      <alignment horizontal="center" vertical="center"/>
    </xf>
    <xf numFmtId="0" fontId="49" fillId="20" borderId="165" xfId="0" applyFont="1" applyFill="1" applyBorder="1" applyAlignment="1">
      <alignment horizontal="center" vertical="center"/>
    </xf>
    <xf numFmtId="0" fontId="40" fillId="0" borderId="166" xfId="0" applyFont="1" applyBorder="1" applyAlignment="1">
      <alignment horizontal="center" vertical="center"/>
    </xf>
    <xf numFmtId="0" fontId="40" fillId="0" borderId="157" xfId="0" applyFont="1" applyBorder="1" applyAlignment="1">
      <alignment horizontal="center" vertical="center"/>
    </xf>
    <xf numFmtId="0" fontId="40" fillId="0" borderId="165" xfId="0" applyFont="1" applyBorder="1" applyAlignment="1">
      <alignment horizontal="center" vertical="center"/>
    </xf>
    <xf numFmtId="0" fontId="5" fillId="20" borderId="167" xfId="149" applyFont="1" applyFill="1" applyBorder="1" applyAlignment="1">
      <alignment horizontal="center" vertical="center"/>
    </xf>
    <xf numFmtId="0" fontId="5" fillId="20" borderId="174" xfId="149" applyFont="1" applyFill="1" applyBorder="1" applyAlignment="1">
      <alignment horizontal="center" vertical="center" wrapText="1"/>
    </xf>
    <xf numFmtId="0" fontId="5" fillId="20" borderId="175" xfId="149" applyFont="1" applyFill="1" applyBorder="1" applyAlignment="1">
      <alignment horizontal="center" vertical="center"/>
    </xf>
    <xf numFmtId="0" fontId="49" fillId="0" borderId="166" xfId="0" applyFont="1" applyBorder="1" applyAlignment="1">
      <alignment horizontal="center" vertical="center"/>
    </xf>
    <xf numFmtId="0" fontId="49" fillId="0" borderId="157" xfId="0" applyFont="1" applyBorder="1" applyAlignment="1">
      <alignment horizontal="center" vertical="center"/>
    </xf>
    <xf numFmtId="0" fontId="49" fillId="0" borderId="165" xfId="0" applyFont="1" applyBorder="1" applyAlignment="1">
      <alignment horizontal="center" vertical="center"/>
    </xf>
    <xf numFmtId="173" fontId="219" fillId="0" borderId="167" xfId="0" applyNumberFormat="1" applyFont="1" applyBorder="1" applyAlignment="1">
      <alignment horizontal="center" vertical="center" wrapText="1"/>
    </xf>
    <xf numFmtId="3" fontId="219" fillId="0" borderId="167" xfId="0" applyNumberFormat="1" applyFont="1" applyBorder="1" applyAlignment="1">
      <alignment horizontal="center" vertical="center"/>
    </xf>
    <xf numFmtId="3" fontId="0" fillId="0" borderId="174" xfId="0" applyNumberFormat="1" applyBorder="1" applyAlignment="1">
      <alignment horizontal="center" vertical="center"/>
    </xf>
    <xf numFmtId="0" fontId="30" fillId="20" borderId="170" xfId="149" applyFont="1" applyFill="1" applyBorder="1" applyAlignment="1">
      <alignment horizontal="center" vertical="center"/>
    </xf>
    <xf numFmtId="0" fontId="30" fillId="20" borderId="174" xfId="149" applyFont="1" applyFill="1" applyBorder="1" applyAlignment="1">
      <alignment horizontal="center" vertical="center"/>
    </xf>
    <xf numFmtId="0" fontId="30" fillId="20" borderId="166" xfId="149" applyFont="1" applyFill="1" applyBorder="1" applyAlignment="1">
      <alignment horizontal="center" vertical="center"/>
    </xf>
    <xf numFmtId="0" fontId="30" fillId="20" borderId="165" xfId="149" applyFont="1" applyFill="1" applyBorder="1" applyAlignment="1">
      <alignment horizontal="center" vertical="center"/>
    </xf>
    <xf numFmtId="0" fontId="46" fillId="0" borderId="107" xfId="0" applyFont="1" applyBorder="1" applyAlignment="1">
      <alignment horizontal="left" wrapText="1"/>
    </xf>
    <xf numFmtId="0" fontId="40" fillId="20" borderId="166" xfId="0" applyFont="1" applyFill="1" applyBorder="1" applyAlignment="1">
      <alignment horizontal="center" vertical="center"/>
    </xf>
    <xf numFmtId="0" fontId="40" fillId="20" borderId="157" xfId="0" applyFont="1" applyFill="1" applyBorder="1" applyAlignment="1">
      <alignment horizontal="center" vertical="center"/>
    </xf>
    <xf numFmtId="0" fontId="40" fillId="20" borderId="165" xfId="0" applyFont="1" applyFill="1" applyBorder="1" applyAlignment="1">
      <alignment horizontal="center" vertical="center"/>
    </xf>
    <xf numFmtId="0" fontId="46" fillId="0" borderId="0" xfId="0" applyFont="1" applyAlignment="1">
      <alignment horizontal="left" wrapText="1"/>
    </xf>
    <xf numFmtId="173" fontId="5" fillId="0" borderId="174" xfId="0" applyNumberFormat="1" applyFont="1" applyBorder="1" applyAlignment="1">
      <alignment horizontal="center" vertical="center" wrapText="1"/>
    </xf>
    <xf numFmtId="173" fontId="5" fillId="0" borderId="175" xfId="0" applyNumberFormat="1" applyFont="1" applyBorder="1" applyAlignment="1">
      <alignment horizontal="center" vertical="center" wrapText="1"/>
    </xf>
    <xf numFmtId="3" fontId="1" fillId="0" borderId="174" xfId="0" applyNumberFormat="1" applyFont="1" applyBorder="1" applyAlignment="1">
      <alignment horizontal="center" vertical="center"/>
    </xf>
    <xf numFmtId="3" fontId="1" fillId="0" borderId="175" xfId="0" applyNumberFormat="1" applyFont="1" applyBorder="1" applyAlignment="1">
      <alignment horizontal="center" vertical="center"/>
    </xf>
    <xf numFmtId="3" fontId="48" fillId="0" borderId="174" xfId="0" applyNumberFormat="1" applyFont="1" applyBorder="1" applyAlignment="1">
      <alignment horizontal="center" vertical="center"/>
    </xf>
    <xf numFmtId="3" fontId="48" fillId="0" borderId="175" xfId="0" applyNumberFormat="1" applyFont="1" applyBorder="1" applyAlignment="1">
      <alignment horizontal="center" vertical="center"/>
    </xf>
    <xf numFmtId="173" fontId="5" fillId="0" borderId="170" xfId="0" applyNumberFormat="1" applyFont="1" applyBorder="1" applyAlignment="1">
      <alignment horizontal="center" vertical="center" wrapText="1"/>
    </xf>
    <xf numFmtId="3" fontId="1" fillId="0" borderId="170" xfId="0" applyNumberFormat="1" applyFont="1" applyBorder="1" applyAlignment="1">
      <alignment horizontal="center" vertical="center"/>
    </xf>
    <xf numFmtId="3" fontId="48" fillId="0" borderId="170" xfId="0" applyNumberFormat="1" applyFont="1" applyBorder="1" applyAlignment="1">
      <alignment horizontal="center" vertical="center"/>
    </xf>
    <xf numFmtId="173" fontId="1" fillId="0" borderId="170" xfId="0" applyNumberFormat="1" applyFont="1" applyBorder="1" applyAlignment="1">
      <alignment horizontal="center" vertical="center" wrapText="1"/>
    </xf>
    <xf numFmtId="173" fontId="1" fillId="0" borderId="175" xfId="0" applyNumberFormat="1" applyFont="1" applyBorder="1" applyAlignment="1">
      <alignment horizontal="center" vertical="center" wrapText="1"/>
    </xf>
    <xf numFmtId="3" fontId="1" fillId="0" borderId="170" xfId="0" applyNumberFormat="1" applyFont="1" applyBorder="1" applyAlignment="1">
      <alignment horizontal="center" vertical="center" wrapText="1"/>
    </xf>
    <xf numFmtId="3" fontId="1" fillId="0" borderId="175" xfId="0" applyNumberFormat="1" applyFont="1" applyBorder="1" applyAlignment="1">
      <alignment horizontal="center" vertical="center" wrapText="1"/>
    </xf>
    <xf numFmtId="0" fontId="5" fillId="20" borderId="170" xfId="149" applyFont="1" applyFill="1" applyBorder="1" applyAlignment="1">
      <alignment horizontal="center" vertical="center"/>
    </xf>
    <xf numFmtId="0" fontId="5" fillId="20" borderId="174" xfId="149" applyFont="1" applyFill="1" applyBorder="1" applyAlignment="1">
      <alignment horizontal="center" vertical="center"/>
    </xf>
    <xf numFmtId="0" fontId="5" fillId="20" borderId="166" xfId="149" applyFont="1" applyFill="1" applyBorder="1" applyAlignment="1">
      <alignment horizontal="center" vertical="center"/>
    </xf>
    <xf numFmtId="0" fontId="5" fillId="20" borderId="165" xfId="149" applyFont="1" applyFill="1" applyBorder="1" applyAlignment="1">
      <alignment horizontal="center" vertical="center"/>
    </xf>
    <xf numFmtId="17" fontId="1" fillId="0" borderId="174" xfId="0" quotePrefix="1" applyNumberFormat="1" applyFont="1" applyBorder="1" applyAlignment="1">
      <alignment horizontal="center" vertical="center"/>
    </xf>
    <xf numFmtId="0" fontId="1" fillId="0" borderId="170" xfId="0" applyFont="1" applyBorder="1" applyAlignment="1">
      <alignment horizontal="center" vertical="center"/>
    </xf>
    <xf numFmtId="3" fontId="1" fillId="0" borderId="174" xfId="149" applyNumberFormat="1" applyBorder="1" applyAlignment="1">
      <alignment horizontal="center" vertical="center"/>
    </xf>
    <xf numFmtId="3" fontId="1" fillId="0" borderId="170" xfId="149" applyNumberFormat="1" applyBorder="1" applyAlignment="1">
      <alignment horizontal="center" vertical="center"/>
    </xf>
    <xf numFmtId="3" fontId="1" fillId="0" borderId="175" xfId="149" applyNumberFormat="1" applyBorder="1" applyAlignment="1">
      <alignment horizontal="center" vertical="center"/>
    </xf>
    <xf numFmtId="0" fontId="0" fillId="0" borderId="174" xfId="0" applyBorder="1" applyAlignment="1">
      <alignment horizontal="center" vertical="center" wrapText="1"/>
    </xf>
    <xf numFmtId="173" fontId="218" fillId="0" borderId="174" xfId="0" applyNumberFormat="1" applyFont="1" applyBorder="1" applyAlignment="1">
      <alignment horizontal="center" vertical="center" wrapText="1"/>
    </xf>
    <xf numFmtId="173" fontId="218" fillId="0" borderId="175" xfId="0" applyNumberFormat="1" applyFont="1" applyBorder="1" applyAlignment="1">
      <alignment horizontal="center" vertical="center" wrapText="1"/>
    </xf>
    <xf numFmtId="3" fontId="219" fillId="0" borderId="174" xfId="0" applyNumberFormat="1" applyFont="1" applyBorder="1" applyAlignment="1">
      <alignment horizontal="center" vertical="center"/>
    </xf>
    <xf numFmtId="3" fontId="219" fillId="0" borderId="175" xfId="0" applyNumberFormat="1" applyFont="1" applyBorder="1" applyAlignment="1">
      <alignment horizontal="center" vertical="center"/>
    </xf>
    <xf numFmtId="173" fontId="218" fillId="0" borderId="170" xfId="0" applyNumberFormat="1" applyFont="1" applyBorder="1" applyAlignment="1">
      <alignment horizontal="center" vertical="center" wrapText="1"/>
    </xf>
    <xf numFmtId="3" fontId="219" fillId="0" borderId="170" xfId="0" applyNumberFormat="1" applyFont="1" applyBorder="1" applyAlignment="1">
      <alignment horizontal="center" vertical="center"/>
    </xf>
    <xf numFmtId="3" fontId="0" fillId="0" borderId="170" xfId="0" applyNumberFormat="1" applyBorder="1" applyAlignment="1">
      <alignment horizontal="center" vertical="center"/>
    </xf>
    <xf numFmtId="17" fontId="219" fillId="0" borderId="174" xfId="0" applyNumberFormat="1" applyFont="1" applyBorder="1" applyAlignment="1">
      <alignment horizontal="center" vertical="center" wrapText="1"/>
    </xf>
    <xf numFmtId="0" fontId="219" fillId="0" borderId="170" xfId="0" applyFont="1" applyBorder="1" applyAlignment="1">
      <alignment horizontal="center" vertical="center" wrapText="1"/>
    </xf>
    <xf numFmtId="3" fontId="219" fillId="0" borderId="174" xfId="149" applyNumberFormat="1" applyFont="1" applyBorder="1" applyAlignment="1">
      <alignment horizontal="center" vertical="center"/>
    </xf>
    <xf numFmtId="3" fontId="219" fillId="0" borderId="170" xfId="149" applyNumberFormat="1" applyFont="1" applyBorder="1" applyAlignment="1">
      <alignment horizontal="center" vertical="center"/>
    </xf>
    <xf numFmtId="3" fontId="219" fillId="0" borderId="175" xfId="149" applyNumberFormat="1" applyFont="1" applyBorder="1" applyAlignment="1">
      <alignment horizontal="center" vertical="center"/>
    </xf>
    <xf numFmtId="173" fontId="219" fillId="0" borderId="170" xfId="0" applyNumberFormat="1" applyFont="1" applyBorder="1" applyAlignment="1">
      <alignment horizontal="center" vertical="center" wrapText="1"/>
    </xf>
    <xf numFmtId="3" fontId="219" fillId="0" borderId="170" xfId="0" applyNumberFormat="1" applyFont="1" applyBorder="1" applyAlignment="1">
      <alignment horizontal="center" vertical="center" wrapText="1"/>
    </xf>
    <xf numFmtId="3" fontId="219" fillId="0" borderId="175" xfId="0" applyNumberFormat="1" applyFont="1" applyBorder="1" applyAlignment="1">
      <alignment horizontal="center" vertical="center" wrapText="1"/>
    </xf>
    <xf numFmtId="173" fontId="219" fillId="0" borderId="175" xfId="0" applyNumberFormat="1" applyFont="1" applyBorder="1" applyAlignment="1">
      <alignment horizontal="center" vertical="center" wrapText="1"/>
    </xf>
    <xf numFmtId="173" fontId="219" fillId="0" borderId="174" xfId="0" applyNumberFormat="1" applyFont="1" applyBorder="1" applyAlignment="1">
      <alignment horizontal="center" vertical="center"/>
    </xf>
    <xf numFmtId="173" fontId="219" fillId="0" borderId="175" xfId="0" applyNumberFormat="1" applyFont="1" applyBorder="1" applyAlignment="1">
      <alignment horizontal="center" vertical="center"/>
    </xf>
    <xf numFmtId="173" fontId="219" fillId="0" borderId="174" xfId="149" applyNumberFormat="1" applyFont="1" applyBorder="1" applyAlignment="1">
      <alignment horizontal="center" vertical="center" wrapText="1"/>
    </xf>
    <xf numFmtId="173" fontId="219" fillId="0" borderId="170" xfId="149" applyNumberFormat="1" applyFont="1" applyBorder="1" applyAlignment="1">
      <alignment horizontal="center" vertical="center" wrapText="1"/>
    </xf>
    <xf numFmtId="173" fontId="219" fillId="0" borderId="175" xfId="149" applyNumberFormat="1" applyFont="1" applyBorder="1" applyAlignment="1">
      <alignment horizontal="center" vertical="center" wrapText="1"/>
    </xf>
    <xf numFmtId="0" fontId="219" fillId="0" borderId="174" xfId="149" applyFont="1" applyBorder="1" applyAlignment="1">
      <alignment horizontal="center" vertical="center"/>
    </xf>
    <xf numFmtId="0" fontId="219" fillId="0" borderId="170" xfId="149" applyFont="1" applyBorder="1" applyAlignment="1">
      <alignment horizontal="center" vertical="center"/>
    </xf>
    <xf numFmtId="0" fontId="219" fillId="0" borderId="175" xfId="149" applyFont="1" applyBorder="1" applyAlignment="1">
      <alignment horizontal="center" vertical="center"/>
    </xf>
    <xf numFmtId="0" fontId="221" fillId="0" borderId="174" xfId="149" applyFont="1" applyBorder="1" applyAlignment="1">
      <alignment horizontal="center" vertical="center" wrapText="1"/>
    </xf>
    <xf numFmtId="0" fontId="221" fillId="0" borderId="170" xfId="149" applyFont="1" applyBorder="1" applyAlignment="1">
      <alignment horizontal="center" vertical="center" wrapText="1"/>
    </xf>
    <xf numFmtId="0" fontId="221" fillId="0" borderId="175" xfId="149" applyFont="1" applyBorder="1" applyAlignment="1">
      <alignment horizontal="center" vertical="center" wrapText="1"/>
    </xf>
    <xf numFmtId="3" fontId="221" fillId="0" borderId="174" xfId="149" applyNumberFormat="1" applyFont="1" applyBorder="1" applyAlignment="1">
      <alignment horizontal="center" vertical="center"/>
    </xf>
    <xf numFmtId="3" fontId="221" fillId="0" borderId="170" xfId="149" applyNumberFormat="1" applyFont="1" applyBorder="1" applyAlignment="1">
      <alignment horizontal="center" vertical="center"/>
    </xf>
    <xf numFmtId="3" fontId="221" fillId="0" borderId="175" xfId="149" applyNumberFormat="1" applyFont="1" applyBorder="1" applyAlignment="1">
      <alignment horizontal="center" vertical="center"/>
    </xf>
    <xf numFmtId="0" fontId="219" fillId="0" borderId="174" xfId="149" applyFont="1" applyBorder="1" applyAlignment="1">
      <alignment horizontal="center" vertical="center" wrapText="1"/>
    </xf>
    <xf numFmtId="0" fontId="219" fillId="0" borderId="170" xfId="149" applyFont="1" applyBorder="1" applyAlignment="1">
      <alignment horizontal="center" vertical="center" wrapText="1"/>
    </xf>
    <xf numFmtId="0" fontId="219" fillId="0" borderId="175" xfId="149" applyFont="1" applyBorder="1" applyAlignment="1">
      <alignment horizontal="center" vertical="center" wrapText="1"/>
    </xf>
    <xf numFmtId="0" fontId="56" fillId="0" borderId="166" xfId="0" applyFont="1" applyBorder="1" applyAlignment="1">
      <alignment horizontal="center" vertical="center"/>
    </xf>
    <xf numFmtId="0" fontId="56" fillId="0" borderId="157" xfId="0" applyFont="1" applyBorder="1" applyAlignment="1">
      <alignment horizontal="center" vertical="center"/>
    </xf>
    <xf numFmtId="0" fontId="56" fillId="0" borderId="165" xfId="0" applyFont="1" applyBorder="1" applyAlignment="1">
      <alignment horizontal="center" vertical="center"/>
    </xf>
    <xf numFmtId="0" fontId="30" fillId="0" borderId="166" xfId="149" applyFont="1" applyBorder="1" applyAlignment="1">
      <alignment horizontal="center" vertical="center"/>
    </xf>
    <xf numFmtId="0" fontId="30" fillId="0" borderId="165" xfId="149" applyFont="1" applyBorder="1" applyAlignment="1">
      <alignment horizontal="center" vertical="center"/>
    </xf>
    <xf numFmtId="173" fontId="220" fillId="0" borderId="174" xfId="149" applyNumberFormat="1" applyFont="1" applyBorder="1" applyAlignment="1">
      <alignment horizontal="center" vertical="center" wrapText="1"/>
    </xf>
    <xf numFmtId="173" fontId="220" fillId="0" borderId="170" xfId="149" applyNumberFormat="1" applyFont="1" applyBorder="1" applyAlignment="1">
      <alignment horizontal="center" vertical="center" wrapText="1"/>
    </xf>
    <xf numFmtId="173" fontId="220" fillId="0" borderId="175" xfId="149" applyNumberFormat="1" applyFont="1" applyBorder="1" applyAlignment="1">
      <alignment horizontal="center" vertical="center" wrapText="1"/>
    </xf>
    <xf numFmtId="0" fontId="0" fillId="0" borderId="142" xfId="0" applyBorder="1" applyAlignment="1">
      <alignment horizontal="center" vertical="center" wrapText="1"/>
    </xf>
    <xf numFmtId="0" fontId="0" fillId="0" borderId="132" xfId="0" applyBorder="1" applyAlignment="1">
      <alignment horizontal="center" vertical="center" wrapText="1"/>
    </xf>
    <xf numFmtId="0" fontId="49" fillId="20" borderId="156" xfId="0" applyFont="1" applyFill="1" applyBorder="1" applyAlignment="1">
      <alignment horizontal="center" vertical="center"/>
    </xf>
    <xf numFmtId="0" fontId="49" fillId="20" borderId="158" xfId="0" applyFont="1" applyFill="1" applyBorder="1" applyAlignment="1">
      <alignment horizontal="center" vertical="center"/>
    </xf>
    <xf numFmtId="0" fontId="49" fillId="0" borderId="156" xfId="0" applyFont="1" applyBorder="1" applyAlignment="1">
      <alignment horizontal="center" vertical="center"/>
    </xf>
    <xf numFmtId="0" fontId="49" fillId="0" borderId="158" xfId="0" applyFont="1" applyBorder="1" applyAlignment="1">
      <alignment horizontal="center" vertical="center"/>
    </xf>
    <xf numFmtId="0" fontId="43" fillId="20" borderId="159" xfId="149" applyFont="1" applyFill="1" applyBorder="1" applyAlignment="1">
      <alignment horizontal="center" vertical="center"/>
    </xf>
    <xf numFmtId="0" fontId="43" fillId="20" borderId="160" xfId="149" applyFont="1" applyFill="1" applyBorder="1" applyAlignment="1">
      <alignment horizontal="center" vertical="center" wrapText="1"/>
    </xf>
    <xf numFmtId="0" fontId="43" fillId="20" borderId="15" xfId="149" applyFont="1" applyFill="1" applyBorder="1" applyAlignment="1">
      <alignment horizontal="center" vertical="center" wrapText="1"/>
    </xf>
    <xf numFmtId="0" fontId="40" fillId="20" borderId="156" xfId="0" applyFont="1" applyFill="1" applyBorder="1" applyAlignment="1">
      <alignment horizontal="center" vertical="center"/>
    </xf>
    <xf numFmtId="0" fontId="40" fillId="20" borderId="158" xfId="0" applyFont="1" applyFill="1" applyBorder="1" applyAlignment="1">
      <alignment horizontal="center" vertical="center"/>
    </xf>
    <xf numFmtId="0" fontId="90" fillId="20" borderId="13" xfId="149" applyFont="1" applyFill="1" applyBorder="1" applyAlignment="1">
      <alignment horizontal="center" vertical="center"/>
    </xf>
    <xf numFmtId="0" fontId="90" fillId="20" borderId="15" xfId="149" applyFont="1" applyFill="1" applyBorder="1" applyAlignment="1">
      <alignment horizontal="center" vertical="center"/>
    </xf>
    <xf numFmtId="0" fontId="90" fillId="20" borderId="160" xfId="149" applyFont="1" applyFill="1" applyBorder="1" applyAlignment="1">
      <alignment horizontal="center" vertical="center"/>
    </xf>
    <xf numFmtId="0" fontId="90" fillId="0" borderId="156" xfId="149" applyFont="1" applyBorder="1" applyAlignment="1">
      <alignment horizontal="center" vertical="center"/>
    </xf>
    <xf numFmtId="0" fontId="90" fillId="0" borderId="158" xfId="149" applyFont="1" applyBorder="1" applyAlignment="1">
      <alignment horizontal="center" vertical="center"/>
    </xf>
    <xf numFmtId="0" fontId="0" fillId="0" borderId="174" xfId="0" applyBorder="1" applyAlignment="1">
      <alignment horizontal="center" vertical="center"/>
    </xf>
    <xf numFmtId="0" fontId="49" fillId="20" borderId="233" xfId="0" applyFont="1" applyFill="1" applyBorder="1" applyAlignment="1">
      <alignment horizontal="center" vertical="center"/>
    </xf>
    <xf numFmtId="0" fontId="49" fillId="20" borderId="230" xfId="0" applyFont="1" applyFill="1" applyBorder="1" applyAlignment="1">
      <alignment horizontal="center" vertical="center"/>
    </xf>
    <xf numFmtId="0" fontId="49" fillId="20" borderId="231" xfId="0" applyFont="1" applyFill="1" applyBorder="1" applyAlignment="1">
      <alignment horizontal="center" vertical="center"/>
    </xf>
    <xf numFmtId="0" fontId="56" fillId="0" borderId="233" xfId="0" applyFont="1" applyBorder="1" applyAlignment="1">
      <alignment horizontal="center" vertical="center"/>
    </xf>
    <xf numFmtId="0" fontId="56" fillId="0" borderId="230" xfId="0" applyFont="1" applyBorder="1" applyAlignment="1">
      <alignment horizontal="center" vertical="center"/>
    </xf>
    <xf numFmtId="0" fontId="56" fillId="0" borderId="231" xfId="0" applyFont="1" applyBorder="1" applyAlignment="1">
      <alignment horizontal="center" vertical="center"/>
    </xf>
    <xf numFmtId="0" fontId="5" fillId="20" borderId="234" xfId="149" applyFont="1" applyFill="1" applyBorder="1" applyAlignment="1">
      <alignment horizontal="center" vertical="center"/>
    </xf>
    <xf numFmtId="0" fontId="5" fillId="20" borderId="234" xfId="149" applyFont="1" applyFill="1" applyBorder="1" applyAlignment="1">
      <alignment horizontal="center" wrapText="1"/>
    </xf>
    <xf numFmtId="0" fontId="49" fillId="0" borderId="180" xfId="0" applyFont="1" applyBorder="1" applyAlignment="1">
      <alignment horizontal="center" vertical="center"/>
    </xf>
    <xf numFmtId="0" fontId="49" fillId="0" borderId="183" xfId="0" applyFont="1" applyBorder="1" applyAlignment="1">
      <alignment horizontal="center" vertical="center"/>
    </xf>
    <xf numFmtId="0" fontId="49" fillId="0" borderId="184" xfId="0" applyFont="1" applyBorder="1" applyAlignment="1">
      <alignment horizontal="center" vertical="center"/>
    </xf>
    <xf numFmtId="0" fontId="5" fillId="20" borderId="339" xfId="149" applyFont="1" applyFill="1" applyBorder="1" applyAlignment="1">
      <alignment horizontal="center" vertical="center"/>
    </xf>
    <xf numFmtId="0" fontId="30" fillId="20" borderId="361" xfId="149" applyFont="1" applyFill="1" applyBorder="1" applyAlignment="1">
      <alignment horizontal="center" vertical="center"/>
    </xf>
    <xf numFmtId="17" fontId="2" fillId="0" borderId="0" xfId="0" applyNumberFormat="1" applyFont="1" applyAlignment="1">
      <alignment horizontal="center" vertical="center" wrapText="1"/>
    </xf>
    <xf numFmtId="17" fontId="2" fillId="0" borderId="0" xfId="0" applyNumberFormat="1" applyFont="1" applyBorder="1" applyAlignment="1">
      <alignment horizontal="center" vertical="center" wrapText="1"/>
    </xf>
    <xf numFmtId="17" fontId="78" fillId="0" borderId="83" xfId="0" applyNumberFormat="1" applyFont="1" applyBorder="1" applyAlignment="1">
      <alignment horizontal="center" vertical="center" wrapText="1"/>
    </xf>
    <xf numFmtId="17" fontId="78" fillId="0" borderId="93" xfId="0" applyNumberFormat="1" applyFont="1" applyBorder="1" applyAlignment="1">
      <alignment horizontal="center" vertical="center" wrapText="1"/>
    </xf>
    <xf numFmtId="17" fontId="78" fillId="0" borderId="95" xfId="0" applyNumberFormat="1" applyFont="1" applyBorder="1" applyAlignment="1">
      <alignment horizontal="center" vertical="center" wrapText="1"/>
    </xf>
    <xf numFmtId="17" fontId="78" fillId="0" borderId="94" xfId="0" applyNumberFormat="1" applyFont="1" applyBorder="1" applyAlignment="1">
      <alignment horizontal="center" vertical="center" wrapText="1"/>
    </xf>
    <xf numFmtId="0" fontId="44" fillId="0" borderId="0" xfId="0" applyFont="1" applyAlignment="1">
      <alignment horizontal="center" vertical="center" wrapText="1"/>
    </xf>
    <xf numFmtId="0" fontId="200" fillId="0" borderId="107" xfId="377" applyFont="1" applyBorder="1" applyAlignment="1">
      <alignment horizontal="left" wrapText="1"/>
    </xf>
    <xf numFmtId="0" fontId="49" fillId="0" borderId="163" xfId="0" applyFont="1" applyBorder="1" applyAlignment="1">
      <alignment horizontal="center" wrapText="1"/>
    </xf>
    <xf numFmtId="0" fontId="185" fillId="0" borderId="163" xfId="0" applyFont="1" applyBorder="1" applyAlignment="1">
      <alignment horizontal="center" vertical="center" wrapText="1"/>
    </xf>
    <xf numFmtId="0" fontId="244" fillId="0" borderId="163" xfId="0" applyFont="1" applyBorder="1" applyAlignment="1">
      <alignment horizontal="center" vertical="center" wrapText="1"/>
    </xf>
    <xf numFmtId="0" fontId="103" fillId="0" borderId="140" xfId="0" applyFont="1" applyBorder="1" applyAlignment="1">
      <alignment horizontal="center" vertical="center" readingOrder="1"/>
    </xf>
    <xf numFmtId="0" fontId="103" fillId="0" borderId="143" xfId="0" applyFont="1" applyBorder="1" applyAlignment="1">
      <alignment horizontal="center" vertical="center" readingOrder="1"/>
    </xf>
    <xf numFmtId="0" fontId="103" fillId="0" borderId="141" xfId="0" applyFont="1" applyBorder="1" applyAlignment="1">
      <alignment horizontal="center" vertical="center" readingOrder="1"/>
    </xf>
    <xf numFmtId="0" fontId="103" fillId="0" borderId="93" xfId="0" applyFont="1" applyBorder="1" applyAlignment="1">
      <alignment horizontal="center" vertical="center" readingOrder="1"/>
    </xf>
    <xf numFmtId="0" fontId="103" fillId="0" borderId="95" xfId="0" applyFont="1" applyBorder="1" applyAlignment="1">
      <alignment horizontal="center" vertical="center" readingOrder="1"/>
    </xf>
    <xf numFmtId="0" fontId="103" fillId="0" borderId="94" xfId="0" applyFont="1" applyBorder="1" applyAlignment="1">
      <alignment horizontal="center" vertical="center" readingOrder="1"/>
    </xf>
    <xf numFmtId="0" fontId="42" fillId="0" borderId="0" xfId="0" applyFont="1" applyFill="1" applyBorder="1" applyAlignment="1">
      <alignment horizontal="center" vertical="center" wrapText="1"/>
    </xf>
    <xf numFmtId="0" fontId="40" fillId="0" borderId="0" xfId="0" applyFont="1" applyFill="1" applyBorder="1" applyAlignment="1">
      <alignment horizontal="center"/>
    </xf>
    <xf numFmtId="0" fontId="43" fillId="20" borderId="226" xfId="0" applyFont="1" applyFill="1" applyBorder="1" applyAlignment="1">
      <alignment horizontal="center" vertical="center"/>
    </xf>
    <xf numFmtId="0" fontId="43" fillId="0" borderId="0" xfId="0" applyFont="1" applyBorder="1" applyAlignment="1">
      <alignment horizontal="center"/>
    </xf>
    <xf numFmtId="0" fontId="42" fillId="0" borderId="10" xfId="0" applyFont="1" applyFill="1" applyBorder="1" applyAlignment="1">
      <alignment horizontal="center" vertical="center" wrapText="1"/>
    </xf>
    <xf numFmtId="0" fontId="43" fillId="0" borderId="0" xfId="2647" applyFont="1" applyBorder="1" applyAlignment="1">
      <alignment horizontal="center"/>
    </xf>
  </cellXfs>
  <cellStyles count="3796">
    <cellStyle name="20% - Énfasis1 2" xfId="1" xr:uid="{00000000-0005-0000-0000-000000000000}"/>
    <cellStyle name="20% - Énfasis1 2 2" xfId="2" xr:uid="{00000000-0005-0000-0000-000001000000}"/>
    <cellStyle name="20% - Énfasis1 2 2 2" xfId="3" xr:uid="{00000000-0005-0000-0000-000002000000}"/>
    <cellStyle name="20% - Énfasis1 2 2 2 2" xfId="823" xr:uid="{00000000-0005-0000-0000-000003000000}"/>
    <cellStyle name="20% - Énfasis1 2 2 2 2 2" xfId="824" xr:uid="{00000000-0005-0000-0000-000004000000}"/>
    <cellStyle name="20% - Énfasis1 2 2 2 3" xfId="825" xr:uid="{00000000-0005-0000-0000-000005000000}"/>
    <cellStyle name="20% - Énfasis1 2 2 3" xfId="826" xr:uid="{00000000-0005-0000-0000-000006000000}"/>
    <cellStyle name="20% - Énfasis1 2 2 3 2" xfId="827" xr:uid="{00000000-0005-0000-0000-000007000000}"/>
    <cellStyle name="20% - Énfasis1 2 2 4" xfId="828" xr:uid="{00000000-0005-0000-0000-000008000000}"/>
    <cellStyle name="20% - Énfasis1 2 2_ARTURO SSMC110113xls" xfId="829" xr:uid="{00000000-0005-0000-0000-000009000000}"/>
    <cellStyle name="20% - Énfasis1 2 3" xfId="4" xr:uid="{00000000-0005-0000-0000-00000A000000}"/>
    <cellStyle name="20% - Énfasis1 2 3 2" xfId="5" xr:uid="{00000000-0005-0000-0000-00000B000000}"/>
    <cellStyle name="20% - Énfasis1 2 3 2 2" xfId="830" xr:uid="{00000000-0005-0000-0000-00000C000000}"/>
    <cellStyle name="20% - Énfasis1 2 3 2 2 2" xfId="831" xr:uid="{00000000-0005-0000-0000-00000D000000}"/>
    <cellStyle name="20% - Énfasis1 2 3 2 3" xfId="832" xr:uid="{00000000-0005-0000-0000-00000E000000}"/>
    <cellStyle name="20% - Énfasis1 2 3 3" xfId="833" xr:uid="{00000000-0005-0000-0000-00000F000000}"/>
    <cellStyle name="20% - Énfasis1 2 3 3 2" xfId="834" xr:uid="{00000000-0005-0000-0000-000010000000}"/>
    <cellStyle name="20% - Énfasis1 2 3 4" xfId="835" xr:uid="{00000000-0005-0000-0000-000011000000}"/>
    <cellStyle name="20% - Énfasis1 2 3_ARTURO SSMC110113xls" xfId="836" xr:uid="{00000000-0005-0000-0000-000012000000}"/>
    <cellStyle name="20% - Énfasis1 2 4" xfId="6" xr:uid="{00000000-0005-0000-0000-000013000000}"/>
    <cellStyle name="20% - Énfasis1 2 4 2" xfId="837" xr:uid="{00000000-0005-0000-0000-000014000000}"/>
    <cellStyle name="20% - Énfasis1 2 4 2 2" xfId="838" xr:uid="{00000000-0005-0000-0000-000015000000}"/>
    <cellStyle name="20% - Énfasis1 2 4 3" xfId="839" xr:uid="{00000000-0005-0000-0000-000016000000}"/>
    <cellStyle name="20% - Énfasis1 2 5" xfId="840" xr:uid="{00000000-0005-0000-0000-000017000000}"/>
    <cellStyle name="20% - Énfasis1 2 5 2" xfId="841" xr:uid="{00000000-0005-0000-0000-000018000000}"/>
    <cellStyle name="20% - Énfasis1 2 6" xfId="842" xr:uid="{00000000-0005-0000-0000-000019000000}"/>
    <cellStyle name="20% - Énfasis1 2_ARTURO SSMC110113xls" xfId="843" xr:uid="{00000000-0005-0000-0000-00001A000000}"/>
    <cellStyle name="20% - Énfasis1 3" xfId="458" xr:uid="{00000000-0005-0000-0000-00001B000000}"/>
    <cellStyle name="20% - Énfasis2 2" xfId="7" xr:uid="{00000000-0005-0000-0000-00001C000000}"/>
    <cellStyle name="20% - Énfasis2 2 2" xfId="8" xr:uid="{00000000-0005-0000-0000-00001D000000}"/>
    <cellStyle name="20% - Énfasis2 2 2 2" xfId="9" xr:uid="{00000000-0005-0000-0000-00001E000000}"/>
    <cellStyle name="20% - Énfasis2 2 2 2 2" xfId="844" xr:uid="{00000000-0005-0000-0000-00001F000000}"/>
    <cellStyle name="20% - Énfasis2 2 2 2 2 2" xfId="845" xr:uid="{00000000-0005-0000-0000-000020000000}"/>
    <cellStyle name="20% - Énfasis2 2 2 2 3" xfId="846" xr:uid="{00000000-0005-0000-0000-000021000000}"/>
    <cellStyle name="20% - Énfasis2 2 2 3" xfId="847" xr:uid="{00000000-0005-0000-0000-000022000000}"/>
    <cellStyle name="20% - Énfasis2 2 2 3 2" xfId="848" xr:uid="{00000000-0005-0000-0000-000023000000}"/>
    <cellStyle name="20% - Énfasis2 2 2 4" xfId="849" xr:uid="{00000000-0005-0000-0000-000024000000}"/>
    <cellStyle name="20% - Énfasis2 2 2_ARTURO SSMC110113xls" xfId="850" xr:uid="{00000000-0005-0000-0000-000025000000}"/>
    <cellStyle name="20% - Énfasis2 2 3" xfId="10" xr:uid="{00000000-0005-0000-0000-000026000000}"/>
    <cellStyle name="20% - Énfasis2 2 3 2" xfId="11" xr:uid="{00000000-0005-0000-0000-000027000000}"/>
    <cellStyle name="20% - Énfasis2 2 3 2 2" xfId="851" xr:uid="{00000000-0005-0000-0000-000028000000}"/>
    <cellStyle name="20% - Énfasis2 2 3 2 2 2" xfId="852" xr:uid="{00000000-0005-0000-0000-000029000000}"/>
    <cellStyle name="20% - Énfasis2 2 3 2 3" xfId="853" xr:uid="{00000000-0005-0000-0000-00002A000000}"/>
    <cellStyle name="20% - Énfasis2 2 3 3" xfId="854" xr:uid="{00000000-0005-0000-0000-00002B000000}"/>
    <cellStyle name="20% - Énfasis2 2 3 3 2" xfId="855" xr:uid="{00000000-0005-0000-0000-00002C000000}"/>
    <cellStyle name="20% - Énfasis2 2 3 4" xfId="856" xr:uid="{00000000-0005-0000-0000-00002D000000}"/>
    <cellStyle name="20% - Énfasis2 2 3_ARTURO SSMC110113xls" xfId="857" xr:uid="{00000000-0005-0000-0000-00002E000000}"/>
    <cellStyle name="20% - Énfasis2 2 4" xfId="12" xr:uid="{00000000-0005-0000-0000-00002F000000}"/>
    <cellStyle name="20% - Énfasis2 2 4 2" xfId="858" xr:uid="{00000000-0005-0000-0000-000030000000}"/>
    <cellStyle name="20% - Énfasis2 2 4 2 2" xfId="859" xr:uid="{00000000-0005-0000-0000-000031000000}"/>
    <cellStyle name="20% - Énfasis2 2 4 3" xfId="860" xr:uid="{00000000-0005-0000-0000-000032000000}"/>
    <cellStyle name="20% - Énfasis2 2 5" xfId="861" xr:uid="{00000000-0005-0000-0000-000033000000}"/>
    <cellStyle name="20% - Énfasis2 2 5 2" xfId="862" xr:uid="{00000000-0005-0000-0000-000034000000}"/>
    <cellStyle name="20% - Énfasis2 2 6" xfId="863" xr:uid="{00000000-0005-0000-0000-000035000000}"/>
    <cellStyle name="20% - Énfasis2 2_ARTURO SSMC110113xls" xfId="864" xr:uid="{00000000-0005-0000-0000-000036000000}"/>
    <cellStyle name="20% - Énfasis2 3" xfId="459" xr:uid="{00000000-0005-0000-0000-000037000000}"/>
    <cellStyle name="20% - Énfasis3 2" xfId="13" xr:uid="{00000000-0005-0000-0000-000038000000}"/>
    <cellStyle name="20% - Énfasis3 2 2" xfId="14" xr:uid="{00000000-0005-0000-0000-000039000000}"/>
    <cellStyle name="20% - Énfasis3 2 2 2" xfId="15" xr:uid="{00000000-0005-0000-0000-00003A000000}"/>
    <cellStyle name="20% - Énfasis3 2 2 2 2" xfId="865" xr:uid="{00000000-0005-0000-0000-00003B000000}"/>
    <cellStyle name="20% - Énfasis3 2 2 2 2 2" xfId="866" xr:uid="{00000000-0005-0000-0000-00003C000000}"/>
    <cellStyle name="20% - Énfasis3 2 2 2 3" xfId="867" xr:uid="{00000000-0005-0000-0000-00003D000000}"/>
    <cellStyle name="20% - Énfasis3 2 2 3" xfId="868" xr:uid="{00000000-0005-0000-0000-00003E000000}"/>
    <cellStyle name="20% - Énfasis3 2 2 3 2" xfId="869" xr:uid="{00000000-0005-0000-0000-00003F000000}"/>
    <cellStyle name="20% - Énfasis3 2 2 4" xfId="870" xr:uid="{00000000-0005-0000-0000-000040000000}"/>
    <cellStyle name="20% - Énfasis3 2 2_ARTURO SSMC110113xls" xfId="871" xr:uid="{00000000-0005-0000-0000-000041000000}"/>
    <cellStyle name="20% - Énfasis3 2 3" xfId="16" xr:uid="{00000000-0005-0000-0000-000042000000}"/>
    <cellStyle name="20% - Énfasis3 2 3 2" xfId="17" xr:uid="{00000000-0005-0000-0000-000043000000}"/>
    <cellStyle name="20% - Énfasis3 2 3 2 2" xfId="872" xr:uid="{00000000-0005-0000-0000-000044000000}"/>
    <cellStyle name="20% - Énfasis3 2 3 2 2 2" xfId="873" xr:uid="{00000000-0005-0000-0000-000045000000}"/>
    <cellStyle name="20% - Énfasis3 2 3 2 3" xfId="874" xr:uid="{00000000-0005-0000-0000-000046000000}"/>
    <cellStyle name="20% - Énfasis3 2 3 3" xfId="875" xr:uid="{00000000-0005-0000-0000-000047000000}"/>
    <cellStyle name="20% - Énfasis3 2 3 3 2" xfId="876" xr:uid="{00000000-0005-0000-0000-000048000000}"/>
    <cellStyle name="20% - Énfasis3 2 3 4" xfId="877" xr:uid="{00000000-0005-0000-0000-000049000000}"/>
    <cellStyle name="20% - Énfasis3 2 3_ARTURO SSMC110113xls" xfId="878" xr:uid="{00000000-0005-0000-0000-00004A000000}"/>
    <cellStyle name="20% - Énfasis3 2 4" xfId="18" xr:uid="{00000000-0005-0000-0000-00004B000000}"/>
    <cellStyle name="20% - Énfasis3 2 4 2" xfId="879" xr:uid="{00000000-0005-0000-0000-00004C000000}"/>
    <cellStyle name="20% - Énfasis3 2 4 2 2" xfId="880" xr:uid="{00000000-0005-0000-0000-00004D000000}"/>
    <cellStyle name="20% - Énfasis3 2 4 3" xfId="881" xr:uid="{00000000-0005-0000-0000-00004E000000}"/>
    <cellStyle name="20% - Énfasis3 2 5" xfId="882" xr:uid="{00000000-0005-0000-0000-00004F000000}"/>
    <cellStyle name="20% - Énfasis3 2 5 2" xfId="883" xr:uid="{00000000-0005-0000-0000-000050000000}"/>
    <cellStyle name="20% - Énfasis3 2 6" xfId="884" xr:uid="{00000000-0005-0000-0000-000051000000}"/>
    <cellStyle name="20% - Énfasis3 2_ARTURO SSMC110113xls" xfId="885" xr:uid="{00000000-0005-0000-0000-000052000000}"/>
    <cellStyle name="20% - Énfasis3 3" xfId="460" xr:uid="{00000000-0005-0000-0000-000053000000}"/>
    <cellStyle name="20% - Énfasis4 2" xfId="19" xr:uid="{00000000-0005-0000-0000-000054000000}"/>
    <cellStyle name="20% - Énfasis4 2 2" xfId="20" xr:uid="{00000000-0005-0000-0000-000055000000}"/>
    <cellStyle name="20% - Énfasis4 2 2 2" xfId="21" xr:uid="{00000000-0005-0000-0000-000056000000}"/>
    <cellStyle name="20% - Énfasis4 2 2 2 2" xfId="886" xr:uid="{00000000-0005-0000-0000-000057000000}"/>
    <cellStyle name="20% - Énfasis4 2 2 2 2 2" xfId="887" xr:uid="{00000000-0005-0000-0000-000058000000}"/>
    <cellStyle name="20% - Énfasis4 2 2 2 3" xfId="888" xr:uid="{00000000-0005-0000-0000-000059000000}"/>
    <cellStyle name="20% - Énfasis4 2 2 3" xfId="889" xr:uid="{00000000-0005-0000-0000-00005A000000}"/>
    <cellStyle name="20% - Énfasis4 2 2 3 2" xfId="890" xr:uid="{00000000-0005-0000-0000-00005B000000}"/>
    <cellStyle name="20% - Énfasis4 2 2 4" xfId="891" xr:uid="{00000000-0005-0000-0000-00005C000000}"/>
    <cellStyle name="20% - Énfasis4 2 2_ARTURO SSMC110113xls" xfId="892" xr:uid="{00000000-0005-0000-0000-00005D000000}"/>
    <cellStyle name="20% - Énfasis4 2 3" xfId="22" xr:uid="{00000000-0005-0000-0000-00005E000000}"/>
    <cellStyle name="20% - Énfasis4 2 3 2" xfId="23" xr:uid="{00000000-0005-0000-0000-00005F000000}"/>
    <cellStyle name="20% - Énfasis4 2 3 2 2" xfId="893" xr:uid="{00000000-0005-0000-0000-000060000000}"/>
    <cellStyle name="20% - Énfasis4 2 3 2 2 2" xfId="894" xr:uid="{00000000-0005-0000-0000-000061000000}"/>
    <cellStyle name="20% - Énfasis4 2 3 2 3" xfId="895" xr:uid="{00000000-0005-0000-0000-000062000000}"/>
    <cellStyle name="20% - Énfasis4 2 3 3" xfId="896" xr:uid="{00000000-0005-0000-0000-000063000000}"/>
    <cellStyle name="20% - Énfasis4 2 3 3 2" xfId="897" xr:uid="{00000000-0005-0000-0000-000064000000}"/>
    <cellStyle name="20% - Énfasis4 2 3 4" xfId="898" xr:uid="{00000000-0005-0000-0000-000065000000}"/>
    <cellStyle name="20% - Énfasis4 2 3_ARTURO SSMC110113xls" xfId="899" xr:uid="{00000000-0005-0000-0000-000066000000}"/>
    <cellStyle name="20% - Énfasis4 2 4" xfId="24" xr:uid="{00000000-0005-0000-0000-000067000000}"/>
    <cellStyle name="20% - Énfasis4 2 4 2" xfId="900" xr:uid="{00000000-0005-0000-0000-000068000000}"/>
    <cellStyle name="20% - Énfasis4 2 4 2 2" xfId="901" xr:uid="{00000000-0005-0000-0000-000069000000}"/>
    <cellStyle name="20% - Énfasis4 2 4 3" xfId="902" xr:uid="{00000000-0005-0000-0000-00006A000000}"/>
    <cellStyle name="20% - Énfasis4 2 5" xfId="903" xr:uid="{00000000-0005-0000-0000-00006B000000}"/>
    <cellStyle name="20% - Énfasis4 2 5 2" xfId="904" xr:uid="{00000000-0005-0000-0000-00006C000000}"/>
    <cellStyle name="20% - Énfasis4 2 6" xfId="905" xr:uid="{00000000-0005-0000-0000-00006D000000}"/>
    <cellStyle name="20% - Énfasis4 2_ARTURO SSMC110113xls" xfId="906" xr:uid="{00000000-0005-0000-0000-00006E000000}"/>
    <cellStyle name="20% - Énfasis4 3" xfId="461" xr:uid="{00000000-0005-0000-0000-00006F000000}"/>
    <cellStyle name="20% - Énfasis5 2" xfId="25" xr:uid="{00000000-0005-0000-0000-000070000000}"/>
    <cellStyle name="20% - Énfasis5 2 2" xfId="26" xr:uid="{00000000-0005-0000-0000-000071000000}"/>
    <cellStyle name="20% - Énfasis5 2 2 2" xfId="27" xr:uid="{00000000-0005-0000-0000-000072000000}"/>
    <cellStyle name="20% - Énfasis5 2 2 2 2" xfId="907" xr:uid="{00000000-0005-0000-0000-000073000000}"/>
    <cellStyle name="20% - Énfasis5 2 2 2 2 2" xfId="908" xr:uid="{00000000-0005-0000-0000-000074000000}"/>
    <cellStyle name="20% - Énfasis5 2 2 2 3" xfId="909" xr:uid="{00000000-0005-0000-0000-000075000000}"/>
    <cellStyle name="20% - Énfasis5 2 2 3" xfId="910" xr:uid="{00000000-0005-0000-0000-000076000000}"/>
    <cellStyle name="20% - Énfasis5 2 2 3 2" xfId="911" xr:uid="{00000000-0005-0000-0000-000077000000}"/>
    <cellStyle name="20% - Énfasis5 2 2 4" xfId="912" xr:uid="{00000000-0005-0000-0000-000078000000}"/>
    <cellStyle name="20% - Énfasis5 2 2_ARTURO SSMC110113xls" xfId="913" xr:uid="{00000000-0005-0000-0000-000079000000}"/>
    <cellStyle name="20% - Énfasis5 2 3" xfId="28" xr:uid="{00000000-0005-0000-0000-00007A000000}"/>
    <cellStyle name="20% - Énfasis5 2 3 2" xfId="29" xr:uid="{00000000-0005-0000-0000-00007B000000}"/>
    <cellStyle name="20% - Énfasis5 2 3 2 2" xfId="914" xr:uid="{00000000-0005-0000-0000-00007C000000}"/>
    <cellStyle name="20% - Énfasis5 2 3 2 2 2" xfId="915" xr:uid="{00000000-0005-0000-0000-00007D000000}"/>
    <cellStyle name="20% - Énfasis5 2 3 2 3" xfId="916" xr:uid="{00000000-0005-0000-0000-00007E000000}"/>
    <cellStyle name="20% - Énfasis5 2 3 3" xfId="917" xr:uid="{00000000-0005-0000-0000-00007F000000}"/>
    <cellStyle name="20% - Énfasis5 2 3 3 2" xfId="918" xr:uid="{00000000-0005-0000-0000-000080000000}"/>
    <cellStyle name="20% - Énfasis5 2 3 4" xfId="919" xr:uid="{00000000-0005-0000-0000-000081000000}"/>
    <cellStyle name="20% - Énfasis5 2 3_ARTURO SSMC110113xls" xfId="920" xr:uid="{00000000-0005-0000-0000-000082000000}"/>
    <cellStyle name="20% - Énfasis5 2 4" xfId="30" xr:uid="{00000000-0005-0000-0000-000083000000}"/>
    <cellStyle name="20% - Énfasis5 2 4 2" xfId="921" xr:uid="{00000000-0005-0000-0000-000084000000}"/>
    <cellStyle name="20% - Énfasis5 2 4 2 2" xfId="922" xr:uid="{00000000-0005-0000-0000-000085000000}"/>
    <cellStyle name="20% - Énfasis5 2 4 3" xfId="923" xr:uid="{00000000-0005-0000-0000-000086000000}"/>
    <cellStyle name="20% - Énfasis5 2 5" xfId="924" xr:uid="{00000000-0005-0000-0000-000087000000}"/>
    <cellStyle name="20% - Énfasis5 2 5 2" xfId="925" xr:uid="{00000000-0005-0000-0000-000088000000}"/>
    <cellStyle name="20% - Énfasis5 2 6" xfId="926" xr:uid="{00000000-0005-0000-0000-000089000000}"/>
    <cellStyle name="20% - Énfasis5 2_ARTURO SSMC110113xls" xfId="927" xr:uid="{00000000-0005-0000-0000-00008A000000}"/>
    <cellStyle name="20% - Énfasis5 3" xfId="31" xr:uid="{00000000-0005-0000-0000-00008B000000}"/>
    <cellStyle name="20% - Énfasis5 3 10" xfId="928" xr:uid="{00000000-0005-0000-0000-00008C000000}"/>
    <cellStyle name="20% - Énfasis5 3 2" xfId="462" xr:uid="{00000000-0005-0000-0000-00008D000000}"/>
    <cellStyle name="20% - Énfasis5 3 2 2" xfId="463" xr:uid="{00000000-0005-0000-0000-00008E000000}"/>
    <cellStyle name="20% - Énfasis5 3 2 2 2" xfId="929" xr:uid="{00000000-0005-0000-0000-00008F000000}"/>
    <cellStyle name="20% - Énfasis5 3 2 2 2 2" xfId="930" xr:uid="{00000000-0005-0000-0000-000090000000}"/>
    <cellStyle name="20% - Énfasis5 3 2 2 3" xfId="931" xr:uid="{00000000-0005-0000-0000-000091000000}"/>
    <cellStyle name="20% - Énfasis5 3 2 3" xfId="932" xr:uid="{00000000-0005-0000-0000-000092000000}"/>
    <cellStyle name="20% - Énfasis5 3 2 3 2" xfId="933" xr:uid="{00000000-0005-0000-0000-000093000000}"/>
    <cellStyle name="20% - Énfasis5 3 2 4" xfId="934" xr:uid="{00000000-0005-0000-0000-000094000000}"/>
    <cellStyle name="20% - Énfasis5 3 3" xfId="935" xr:uid="{00000000-0005-0000-0000-000095000000}"/>
    <cellStyle name="20% - Énfasis5 3 3 2" xfId="936" xr:uid="{00000000-0005-0000-0000-000096000000}"/>
    <cellStyle name="20% - Énfasis5 3 3 2 2" xfId="937" xr:uid="{00000000-0005-0000-0000-000097000000}"/>
    <cellStyle name="20% - Énfasis5 3 3 2 2 2" xfId="938" xr:uid="{00000000-0005-0000-0000-000098000000}"/>
    <cellStyle name="20% - Énfasis5 3 3 2 3" xfId="939" xr:uid="{00000000-0005-0000-0000-000099000000}"/>
    <cellStyle name="20% - Énfasis5 3 3 3" xfId="940" xr:uid="{00000000-0005-0000-0000-00009A000000}"/>
    <cellStyle name="20% - Énfasis5 3 3 3 2" xfId="941" xr:uid="{00000000-0005-0000-0000-00009B000000}"/>
    <cellStyle name="20% - Énfasis5 3 3 4" xfId="942" xr:uid="{00000000-0005-0000-0000-00009C000000}"/>
    <cellStyle name="20% - Énfasis5 3 4" xfId="943" xr:uid="{00000000-0005-0000-0000-00009D000000}"/>
    <cellStyle name="20% - Énfasis5 3 4 2" xfId="944" xr:uid="{00000000-0005-0000-0000-00009E000000}"/>
    <cellStyle name="20% - Énfasis5 3 4 2 2" xfId="945" xr:uid="{00000000-0005-0000-0000-00009F000000}"/>
    <cellStyle name="20% - Énfasis5 3 4 2 2 2" xfId="946" xr:uid="{00000000-0005-0000-0000-0000A0000000}"/>
    <cellStyle name="20% - Énfasis5 3 4 2 3" xfId="947" xr:uid="{00000000-0005-0000-0000-0000A1000000}"/>
    <cellStyle name="20% - Énfasis5 3 4 3" xfId="948" xr:uid="{00000000-0005-0000-0000-0000A2000000}"/>
    <cellStyle name="20% - Énfasis5 3 4 3 2" xfId="949" xr:uid="{00000000-0005-0000-0000-0000A3000000}"/>
    <cellStyle name="20% - Énfasis5 3 4 4" xfId="950" xr:uid="{00000000-0005-0000-0000-0000A4000000}"/>
    <cellStyle name="20% - Énfasis5 3 5" xfId="951" xr:uid="{00000000-0005-0000-0000-0000A5000000}"/>
    <cellStyle name="20% - Énfasis5 3 5 2" xfId="952" xr:uid="{00000000-0005-0000-0000-0000A6000000}"/>
    <cellStyle name="20% - Énfasis5 3 5 2 2" xfId="953" xr:uid="{00000000-0005-0000-0000-0000A7000000}"/>
    <cellStyle name="20% - Énfasis5 3 5 2 2 2" xfId="954" xr:uid="{00000000-0005-0000-0000-0000A8000000}"/>
    <cellStyle name="20% - Énfasis5 3 5 2 3" xfId="955" xr:uid="{00000000-0005-0000-0000-0000A9000000}"/>
    <cellStyle name="20% - Énfasis5 3 5 3" xfId="956" xr:uid="{00000000-0005-0000-0000-0000AA000000}"/>
    <cellStyle name="20% - Énfasis5 3 5 3 2" xfId="957" xr:uid="{00000000-0005-0000-0000-0000AB000000}"/>
    <cellStyle name="20% - Énfasis5 3 5 4" xfId="958" xr:uid="{00000000-0005-0000-0000-0000AC000000}"/>
    <cellStyle name="20% - Énfasis5 3 6" xfId="959" xr:uid="{00000000-0005-0000-0000-0000AD000000}"/>
    <cellStyle name="20% - Énfasis5 3 6 2" xfId="960" xr:uid="{00000000-0005-0000-0000-0000AE000000}"/>
    <cellStyle name="20% - Énfasis5 3 6 2 2" xfId="961" xr:uid="{00000000-0005-0000-0000-0000AF000000}"/>
    <cellStyle name="20% - Énfasis5 3 6 2 2 2" xfId="962" xr:uid="{00000000-0005-0000-0000-0000B0000000}"/>
    <cellStyle name="20% - Énfasis5 3 6 2 3" xfId="963" xr:uid="{00000000-0005-0000-0000-0000B1000000}"/>
    <cellStyle name="20% - Énfasis5 3 6 3" xfId="964" xr:uid="{00000000-0005-0000-0000-0000B2000000}"/>
    <cellStyle name="20% - Énfasis5 3 6 3 2" xfId="965" xr:uid="{00000000-0005-0000-0000-0000B3000000}"/>
    <cellStyle name="20% - Énfasis5 3 6 4" xfId="966" xr:uid="{00000000-0005-0000-0000-0000B4000000}"/>
    <cellStyle name="20% - Énfasis5 3 7" xfId="967" xr:uid="{00000000-0005-0000-0000-0000B5000000}"/>
    <cellStyle name="20% - Énfasis5 3 7 2" xfId="968" xr:uid="{00000000-0005-0000-0000-0000B6000000}"/>
    <cellStyle name="20% - Énfasis5 3 7 2 2" xfId="969" xr:uid="{00000000-0005-0000-0000-0000B7000000}"/>
    <cellStyle name="20% - Énfasis5 3 7 2 2 2" xfId="970" xr:uid="{00000000-0005-0000-0000-0000B8000000}"/>
    <cellStyle name="20% - Énfasis5 3 7 2 3" xfId="971" xr:uid="{00000000-0005-0000-0000-0000B9000000}"/>
    <cellStyle name="20% - Énfasis5 3 7 3" xfId="972" xr:uid="{00000000-0005-0000-0000-0000BA000000}"/>
    <cellStyle name="20% - Énfasis5 3 7 3 2" xfId="973" xr:uid="{00000000-0005-0000-0000-0000BB000000}"/>
    <cellStyle name="20% - Énfasis5 3 7 4" xfId="974" xr:uid="{00000000-0005-0000-0000-0000BC000000}"/>
    <cellStyle name="20% - Énfasis5 3 8" xfId="975" xr:uid="{00000000-0005-0000-0000-0000BD000000}"/>
    <cellStyle name="20% - Énfasis5 3 8 2" xfId="976" xr:uid="{00000000-0005-0000-0000-0000BE000000}"/>
    <cellStyle name="20% - Énfasis5 3 8 2 2" xfId="977" xr:uid="{00000000-0005-0000-0000-0000BF000000}"/>
    <cellStyle name="20% - Énfasis5 3 8 3" xfId="978" xr:uid="{00000000-0005-0000-0000-0000C0000000}"/>
    <cellStyle name="20% - Énfasis5 3 9" xfId="979" xr:uid="{00000000-0005-0000-0000-0000C1000000}"/>
    <cellStyle name="20% - Énfasis5 3 9 2" xfId="980" xr:uid="{00000000-0005-0000-0000-0000C2000000}"/>
    <cellStyle name="20% - Énfasis5 4" xfId="32" xr:uid="{00000000-0005-0000-0000-0000C3000000}"/>
    <cellStyle name="20% - Énfasis5 4 10" xfId="981" xr:uid="{00000000-0005-0000-0000-0000C4000000}"/>
    <cellStyle name="20% - Énfasis5 4 2" xfId="464" xr:uid="{00000000-0005-0000-0000-0000C5000000}"/>
    <cellStyle name="20% - Énfasis5 4 2 2" xfId="982" xr:uid="{00000000-0005-0000-0000-0000C6000000}"/>
    <cellStyle name="20% - Énfasis5 4 2 2 2" xfId="983" xr:uid="{00000000-0005-0000-0000-0000C7000000}"/>
    <cellStyle name="20% - Énfasis5 4 2 2 2 2" xfId="984" xr:uid="{00000000-0005-0000-0000-0000C8000000}"/>
    <cellStyle name="20% - Énfasis5 4 2 2 3" xfId="985" xr:uid="{00000000-0005-0000-0000-0000C9000000}"/>
    <cellStyle name="20% - Énfasis5 4 2 3" xfId="986" xr:uid="{00000000-0005-0000-0000-0000CA000000}"/>
    <cellStyle name="20% - Énfasis5 4 2 3 2" xfId="987" xr:uid="{00000000-0005-0000-0000-0000CB000000}"/>
    <cellStyle name="20% - Énfasis5 4 2 4" xfId="988" xr:uid="{00000000-0005-0000-0000-0000CC000000}"/>
    <cellStyle name="20% - Énfasis5 4 3" xfId="989" xr:uid="{00000000-0005-0000-0000-0000CD000000}"/>
    <cellStyle name="20% - Énfasis5 4 3 2" xfId="990" xr:uid="{00000000-0005-0000-0000-0000CE000000}"/>
    <cellStyle name="20% - Énfasis5 4 3 2 2" xfId="991" xr:uid="{00000000-0005-0000-0000-0000CF000000}"/>
    <cellStyle name="20% - Énfasis5 4 3 2 2 2" xfId="992" xr:uid="{00000000-0005-0000-0000-0000D0000000}"/>
    <cellStyle name="20% - Énfasis5 4 3 2 3" xfId="993" xr:uid="{00000000-0005-0000-0000-0000D1000000}"/>
    <cellStyle name="20% - Énfasis5 4 3 3" xfId="994" xr:uid="{00000000-0005-0000-0000-0000D2000000}"/>
    <cellStyle name="20% - Énfasis5 4 3 3 2" xfId="995" xr:uid="{00000000-0005-0000-0000-0000D3000000}"/>
    <cellStyle name="20% - Énfasis5 4 3 4" xfId="996" xr:uid="{00000000-0005-0000-0000-0000D4000000}"/>
    <cellStyle name="20% - Énfasis5 4 4" xfId="997" xr:uid="{00000000-0005-0000-0000-0000D5000000}"/>
    <cellStyle name="20% - Énfasis5 4 4 2" xfId="998" xr:uid="{00000000-0005-0000-0000-0000D6000000}"/>
    <cellStyle name="20% - Énfasis5 4 4 2 2" xfId="999" xr:uid="{00000000-0005-0000-0000-0000D7000000}"/>
    <cellStyle name="20% - Énfasis5 4 4 2 2 2" xfId="1000" xr:uid="{00000000-0005-0000-0000-0000D8000000}"/>
    <cellStyle name="20% - Énfasis5 4 4 2 3" xfId="1001" xr:uid="{00000000-0005-0000-0000-0000D9000000}"/>
    <cellStyle name="20% - Énfasis5 4 4 3" xfId="1002" xr:uid="{00000000-0005-0000-0000-0000DA000000}"/>
    <cellStyle name="20% - Énfasis5 4 4 3 2" xfId="1003" xr:uid="{00000000-0005-0000-0000-0000DB000000}"/>
    <cellStyle name="20% - Énfasis5 4 4 4" xfId="1004" xr:uid="{00000000-0005-0000-0000-0000DC000000}"/>
    <cellStyle name="20% - Énfasis5 4 5" xfId="1005" xr:uid="{00000000-0005-0000-0000-0000DD000000}"/>
    <cellStyle name="20% - Énfasis5 4 5 2" xfId="1006" xr:uid="{00000000-0005-0000-0000-0000DE000000}"/>
    <cellStyle name="20% - Énfasis5 4 5 2 2" xfId="1007" xr:uid="{00000000-0005-0000-0000-0000DF000000}"/>
    <cellStyle name="20% - Énfasis5 4 5 2 2 2" xfId="1008" xr:uid="{00000000-0005-0000-0000-0000E0000000}"/>
    <cellStyle name="20% - Énfasis5 4 5 2 3" xfId="1009" xr:uid="{00000000-0005-0000-0000-0000E1000000}"/>
    <cellStyle name="20% - Énfasis5 4 5 3" xfId="1010" xr:uid="{00000000-0005-0000-0000-0000E2000000}"/>
    <cellStyle name="20% - Énfasis5 4 5 3 2" xfId="1011" xr:uid="{00000000-0005-0000-0000-0000E3000000}"/>
    <cellStyle name="20% - Énfasis5 4 5 4" xfId="1012" xr:uid="{00000000-0005-0000-0000-0000E4000000}"/>
    <cellStyle name="20% - Énfasis5 4 6" xfId="1013" xr:uid="{00000000-0005-0000-0000-0000E5000000}"/>
    <cellStyle name="20% - Énfasis5 4 6 2" xfId="1014" xr:uid="{00000000-0005-0000-0000-0000E6000000}"/>
    <cellStyle name="20% - Énfasis5 4 6 2 2" xfId="1015" xr:uid="{00000000-0005-0000-0000-0000E7000000}"/>
    <cellStyle name="20% - Énfasis5 4 6 2 2 2" xfId="1016" xr:uid="{00000000-0005-0000-0000-0000E8000000}"/>
    <cellStyle name="20% - Énfasis5 4 6 2 3" xfId="1017" xr:uid="{00000000-0005-0000-0000-0000E9000000}"/>
    <cellStyle name="20% - Énfasis5 4 6 3" xfId="1018" xr:uid="{00000000-0005-0000-0000-0000EA000000}"/>
    <cellStyle name="20% - Énfasis5 4 6 3 2" xfId="1019" xr:uid="{00000000-0005-0000-0000-0000EB000000}"/>
    <cellStyle name="20% - Énfasis5 4 6 4" xfId="1020" xr:uid="{00000000-0005-0000-0000-0000EC000000}"/>
    <cellStyle name="20% - Énfasis5 4 7" xfId="1021" xr:uid="{00000000-0005-0000-0000-0000ED000000}"/>
    <cellStyle name="20% - Énfasis5 4 7 2" xfId="1022" xr:uid="{00000000-0005-0000-0000-0000EE000000}"/>
    <cellStyle name="20% - Énfasis5 4 7 2 2" xfId="1023" xr:uid="{00000000-0005-0000-0000-0000EF000000}"/>
    <cellStyle name="20% - Énfasis5 4 7 2 2 2" xfId="1024" xr:uid="{00000000-0005-0000-0000-0000F0000000}"/>
    <cellStyle name="20% - Énfasis5 4 7 2 3" xfId="1025" xr:uid="{00000000-0005-0000-0000-0000F1000000}"/>
    <cellStyle name="20% - Énfasis5 4 7 3" xfId="1026" xr:uid="{00000000-0005-0000-0000-0000F2000000}"/>
    <cellStyle name="20% - Énfasis5 4 7 3 2" xfId="1027" xr:uid="{00000000-0005-0000-0000-0000F3000000}"/>
    <cellStyle name="20% - Énfasis5 4 7 4" xfId="1028" xr:uid="{00000000-0005-0000-0000-0000F4000000}"/>
    <cellStyle name="20% - Énfasis5 4 8" xfId="1029" xr:uid="{00000000-0005-0000-0000-0000F5000000}"/>
    <cellStyle name="20% - Énfasis5 4 8 2" xfId="1030" xr:uid="{00000000-0005-0000-0000-0000F6000000}"/>
    <cellStyle name="20% - Énfasis5 4 8 2 2" xfId="1031" xr:uid="{00000000-0005-0000-0000-0000F7000000}"/>
    <cellStyle name="20% - Énfasis5 4 8 3" xfId="1032" xr:uid="{00000000-0005-0000-0000-0000F8000000}"/>
    <cellStyle name="20% - Énfasis5 4 9" xfId="1033" xr:uid="{00000000-0005-0000-0000-0000F9000000}"/>
    <cellStyle name="20% - Énfasis5 4 9 2" xfId="1034" xr:uid="{00000000-0005-0000-0000-0000FA000000}"/>
    <cellStyle name="20% - Énfasis5 5" xfId="33" xr:uid="{00000000-0005-0000-0000-0000FB000000}"/>
    <cellStyle name="20% - Énfasis5 5 10" xfId="1035" xr:uid="{00000000-0005-0000-0000-0000FC000000}"/>
    <cellStyle name="20% - Énfasis5 5 2" xfId="465" xr:uid="{00000000-0005-0000-0000-0000FD000000}"/>
    <cellStyle name="20% - Énfasis5 5 2 2" xfId="1036" xr:uid="{00000000-0005-0000-0000-0000FE000000}"/>
    <cellStyle name="20% - Énfasis5 5 2 2 2" xfId="1037" xr:uid="{00000000-0005-0000-0000-0000FF000000}"/>
    <cellStyle name="20% - Énfasis5 5 2 2 2 2" xfId="1038" xr:uid="{00000000-0005-0000-0000-000000010000}"/>
    <cellStyle name="20% - Énfasis5 5 2 2 3" xfId="1039" xr:uid="{00000000-0005-0000-0000-000001010000}"/>
    <cellStyle name="20% - Énfasis5 5 2 3" xfId="1040" xr:uid="{00000000-0005-0000-0000-000002010000}"/>
    <cellStyle name="20% - Énfasis5 5 2 3 2" xfId="1041" xr:uid="{00000000-0005-0000-0000-000003010000}"/>
    <cellStyle name="20% - Énfasis5 5 2 4" xfId="1042" xr:uid="{00000000-0005-0000-0000-000004010000}"/>
    <cellStyle name="20% - Énfasis5 5 3" xfId="1043" xr:uid="{00000000-0005-0000-0000-000005010000}"/>
    <cellStyle name="20% - Énfasis5 5 3 2" xfId="1044" xr:uid="{00000000-0005-0000-0000-000006010000}"/>
    <cellStyle name="20% - Énfasis5 5 3 2 2" xfId="1045" xr:uid="{00000000-0005-0000-0000-000007010000}"/>
    <cellStyle name="20% - Énfasis5 5 3 2 2 2" xfId="1046" xr:uid="{00000000-0005-0000-0000-000008010000}"/>
    <cellStyle name="20% - Énfasis5 5 3 2 3" xfId="1047" xr:uid="{00000000-0005-0000-0000-000009010000}"/>
    <cellStyle name="20% - Énfasis5 5 3 3" xfId="1048" xr:uid="{00000000-0005-0000-0000-00000A010000}"/>
    <cellStyle name="20% - Énfasis5 5 3 3 2" xfId="1049" xr:uid="{00000000-0005-0000-0000-00000B010000}"/>
    <cellStyle name="20% - Énfasis5 5 3 4" xfId="1050" xr:uid="{00000000-0005-0000-0000-00000C010000}"/>
    <cellStyle name="20% - Énfasis5 5 4" xfId="1051" xr:uid="{00000000-0005-0000-0000-00000D010000}"/>
    <cellStyle name="20% - Énfasis5 5 4 2" xfId="1052" xr:uid="{00000000-0005-0000-0000-00000E010000}"/>
    <cellStyle name="20% - Énfasis5 5 4 2 2" xfId="1053" xr:uid="{00000000-0005-0000-0000-00000F010000}"/>
    <cellStyle name="20% - Énfasis5 5 4 2 2 2" xfId="1054" xr:uid="{00000000-0005-0000-0000-000010010000}"/>
    <cellStyle name="20% - Énfasis5 5 4 2 3" xfId="1055" xr:uid="{00000000-0005-0000-0000-000011010000}"/>
    <cellStyle name="20% - Énfasis5 5 4 3" xfId="1056" xr:uid="{00000000-0005-0000-0000-000012010000}"/>
    <cellStyle name="20% - Énfasis5 5 4 3 2" xfId="1057" xr:uid="{00000000-0005-0000-0000-000013010000}"/>
    <cellStyle name="20% - Énfasis5 5 4 4" xfId="1058" xr:uid="{00000000-0005-0000-0000-000014010000}"/>
    <cellStyle name="20% - Énfasis5 5 5" xfId="1059" xr:uid="{00000000-0005-0000-0000-000015010000}"/>
    <cellStyle name="20% - Énfasis5 5 5 2" xfId="1060" xr:uid="{00000000-0005-0000-0000-000016010000}"/>
    <cellStyle name="20% - Énfasis5 5 5 2 2" xfId="1061" xr:uid="{00000000-0005-0000-0000-000017010000}"/>
    <cellStyle name="20% - Énfasis5 5 5 2 2 2" xfId="1062" xr:uid="{00000000-0005-0000-0000-000018010000}"/>
    <cellStyle name="20% - Énfasis5 5 5 2 3" xfId="1063" xr:uid="{00000000-0005-0000-0000-000019010000}"/>
    <cellStyle name="20% - Énfasis5 5 5 3" xfId="1064" xr:uid="{00000000-0005-0000-0000-00001A010000}"/>
    <cellStyle name="20% - Énfasis5 5 5 3 2" xfId="1065" xr:uid="{00000000-0005-0000-0000-00001B010000}"/>
    <cellStyle name="20% - Énfasis5 5 5 4" xfId="1066" xr:uid="{00000000-0005-0000-0000-00001C010000}"/>
    <cellStyle name="20% - Énfasis5 5 6" xfId="1067" xr:uid="{00000000-0005-0000-0000-00001D010000}"/>
    <cellStyle name="20% - Énfasis5 5 6 2" xfId="1068" xr:uid="{00000000-0005-0000-0000-00001E010000}"/>
    <cellStyle name="20% - Énfasis5 5 6 2 2" xfId="1069" xr:uid="{00000000-0005-0000-0000-00001F010000}"/>
    <cellStyle name="20% - Énfasis5 5 6 2 2 2" xfId="1070" xr:uid="{00000000-0005-0000-0000-000020010000}"/>
    <cellStyle name="20% - Énfasis5 5 6 2 3" xfId="1071" xr:uid="{00000000-0005-0000-0000-000021010000}"/>
    <cellStyle name="20% - Énfasis5 5 6 3" xfId="1072" xr:uid="{00000000-0005-0000-0000-000022010000}"/>
    <cellStyle name="20% - Énfasis5 5 6 3 2" xfId="1073" xr:uid="{00000000-0005-0000-0000-000023010000}"/>
    <cellStyle name="20% - Énfasis5 5 6 4" xfId="1074" xr:uid="{00000000-0005-0000-0000-000024010000}"/>
    <cellStyle name="20% - Énfasis5 5 7" xfId="1075" xr:uid="{00000000-0005-0000-0000-000025010000}"/>
    <cellStyle name="20% - Énfasis5 5 7 2" xfId="1076" xr:uid="{00000000-0005-0000-0000-000026010000}"/>
    <cellStyle name="20% - Énfasis5 5 7 2 2" xfId="1077" xr:uid="{00000000-0005-0000-0000-000027010000}"/>
    <cellStyle name="20% - Énfasis5 5 7 2 2 2" xfId="1078" xr:uid="{00000000-0005-0000-0000-000028010000}"/>
    <cellStyle name="20% - Énfasis5 5 7 2 3" xfId="1079" xr:uid="{00000000-0005-0000-0000-000029010000}"/>
    <cellStyle name="20% - Énfasis5 5 7 3" xfId="1080" xr:uid="{00000000-0005-0000-0000-00002A010000}"/>
    <cellStyle name="20% - Énfasis5 5 7 3 2" xfId="1081" xr:uid="{00000000-0005-0000-0000-00002B010000}"/>
    <cellStyle name="20% - Énfasis5 5 7 4" xfId="1082" xr:uid="{00000000-0005-0000-0000-00002C010000}"/>
    <cellStyle name="20% - Énfasis5 5 8" xfId="1083" xr:uid="{00000000-0005-0000-0000-00002D010000}"/>
    <cellStyle name="20% - Énfasis5 5 8 2" xfId="1084" xr:uid="{00000000-0005-0000-0000-00002E010000}"/>
    <cellStyle name="20% - Énfasis5 5 8 2 2" xfId="1085" xr:uid="{00000000-0005-0000-0000-00002F010000}"/>
    <cellStyle name="20% - Énfasis5 5 8 3" xfId="1086" xr:uid="{00000000-0005-0000-0000-000030010000}"/>
    <cellStyle name="20% - Énfasis5 5 9" xfId="1087" xr:uid="{00000000-0005-0000-0000-000031010000}"/>
    <cellStyle name="20% - Énfasis5 5 9 2" xfId="1088" xr:uid="{00000000-0005-0000-0000-000032010000}"/>
    <cellStyle name="20% - Énfasis5 6" xfId="34" xr:uid="{00000000-0005-0000-0000-000033010000}"/>
    <cellStyle name="20% - Énfasis5 6 10" xfId="1089" xr:uid="{00000000-0005-0000-0000-000034010000}"/>
    <cellStyle name="20% - Énfasis5 6 2" xfId="466" xr:uid="{00000000-0005-0000-0000-000035010000}"/>
    <cellStyle name="20% - Énfasis5 6 2 2" xfId="1090" xr:uid="{00000000-0005-0000-0000-000036010000}"/>
    <cellStyle name="20% - Énfasis5 6 2 2 2" xfId="1091" xr:uid="{00000000-0005-0000-0000-000037010000}"/>
    <cellStyle name="20% - Énfasis5 6 2 2 2 2" xfId="1092" xr:uid="{00000000-0005-0000-0000-000038010000}"/>
    <cellStyle name="20% - Énfasis5 6 2 2 3" xfId="1093" xr:uid="{00000000-0005-0000-0000-000039010000}"/>
    <cellStyle name="20% - Énfasis5 6 2 3" xfId="1094" xr:uid="{00000000-0005-0000-0000-00003A010000}"/>
    <cellStyle name="20% - Énfasis5 6 2 3 2" xfId="1095" xr:uid="{00000000-0005-0000-0000-00003B010000}"/>
    <cellStyle name="20% - Énfasis5 6 2 4" xfId="1096" xr:uid="{00000000-0005-0000-0000-00003C010000}"/>
    <cellStyle name="20% - Énfasis5 6 3" xfId="1097" xr:uid="{00000000-0005-0000-0000-00003D010000}"/>
    <cellStyle name="20% - Énfasis5 6 3 2" xfId="1098" xr:uid="{00000000-0005-0000-0000-00003E010000}"/>
    <cellStyle name="20% - Énfasis5 6 3 2 2" xfId="1099" xr:uid="{00000000-0005-0000-0000-00003F010000}"/>
    <cellStyle name="20% - Énfasis5 6 3 2 2 2" xfId="1100" xr:uid="{00000000-0005-0000-0000-000040010000}"/>
    <cellStyle name="20% - Énfasis5 6 3 2 3" xfId="1101" xr:uid="{00000000-0005-0000-0000-000041010000}"/>
    <cellStyle name="20% - Énfasis5 6 3 3" xfId="1102" xr:uid="{00000000-0005-0000-0000-000042010000}"/>
    <cellStyle name="20% - Énfasis5 6 3 3 2" xfId="1103" xr:uid="{00000000-0005-0000-0000-000043010000}"/>
    <cellStyle name="20% - Énfasis5 6 3 4" xfId="1104" xr:uid="{00000000-0005-0000-0000-000044010000}"/>
    <cellStyle name="20% - Énfasis5 6 4" xfId="1105" xr:uid="{00000000-0005-0000-0000-000045010000}"/>
    <cellStyle name="20% - Énfasis5 6 4 2" xfId="1106" xr:uid="{00000000-0005-0000-0000-000046010000}"/>
    <cellStyle name="20% - Énfasis5 6 4 2 2" xfId="1107" xr:uid="{00000000-0005-0000-0000-000047010000}"/>
    <cellStyle name="20% - Énfasis5 6 4 2 2 2" xfId="1108" xr:uid="{00000000-0005-0000-0000-000048010000}"/>
    <cellStyle name="20% - Énfasis5 6 4 2 3" xfId="1109" xr:uid="{00000000-0005-0000-0000-000049010000}"/>
    <cellStyle name="20% - Énfasis5 6 4 3" xfId="1110" xr:uid="{00000000-0005-0000-0000-00004A010000}"/>
    <cellStyle name="20% - Énfasis5 6 4 3 2" xfId="1111" xr:uid="{00000000-0005-0000-0000-00004B010000}"/>
    <cellStyle name="20% - Énfasis5 6 4 4" xfId="1112" xr:uid="{00000000-0005-0000-0000-00004C010000}"/>
    <cellStyle name="20% - Énfasis5 6 5" xfId="1113" xr:uid="{00000000-0005-0000-0000-00004D010000}"/>
    <cellStyle name="20% - Énfasis5 6 5 2" xfId="1114" xr:uid="{00000000-0005-0000-0000-00004E010000}"/>
    <cellStyle name="20% - Énfasis5 6 5 2 2" xfId="1115" xr:uid="{00000000-0005-0000-0000-00004F010000}"/>
    <cellStyle name="20% - Énfasis5 6 5 2 2 2" xfId="1116" xr:uid="{00000000-0005-0000-0000-000050010000}"/>
    <cellStyle name="20% - Énfasis5 6 5 2 3" xfId="1117" xr:uid="{00000000-0005-0000-0000-000051010000}"/>
    <cellStyle name="20% - Énfasis5 6 5 3" xfId="1118" xr:uid="{00000000-0005-0000-0000-000052010000}"/>
    <cellStyle name="20% - Énfasis5 6 5 3 2" xfId="1119" xr:uid="{00000000-0005-0000-0000-000053010000}"/>
    <cellStyle name="20% - Énfasis5 6 5 4" xfId="1120" xr:uid="{00000000-0005-0000-0000-000054010000}"/>
    <cellStyle name="20% - Énfasis5 6 6" xfId="1121" xr:uid="{00000000-0005-0000-0000-000055010000}"/>
    <cellStyle name="20% - Énfasis5 6 6 2" xfId="1122" xr:uid="{00000000-0005-0000-0000-000056010000}"/>
    <cellStyle name="20% - Énfasis5 6 6 2 2" xfId="1123" xr:uid="{00000000-0005-0000-0000-000057010000}"/>
    <cellStyle name="20% - Énfasis5 6 6 2 2 2" xfId="1124" xr:uid="{00000000-0005-0000-0000-000058010000}"/>
    <cellStyle name="20% - Énfasis5 6 6 2 3" xfId="1125" xr:uid="{00000000-0005-0000-0000-000059010000}"/>
    <cellStyle name="20% - Énfasis5 6 6 3" xfId="1126" xr:uid="{00000000-0005-0000-0000-00005A010000}"/>
    <cellStyle name="20% - Énfasis5 6 6 3 2" xfId="1127" xr:uid="{00000000-0005-0000-0000-00005B010000}"/>
    <cellStyle name="20% - Énfasis5 6 6 4" xfId="1128" xr:uid="{00000000-0005-0000-0000-00005C010000}"/>
    <cellStyle name="20% - Énfasis5 6 7" xfId="1129" xr:uid="{00000000-0005-0000-0000-00005D010000}"/>
    <cellStyle name="20% - Énfasis5 6 7 2" xfId="1130" xr:uid="{00000000-0005-0000-0000-00005E010000}"/>
    <cellStyle name="20% - Énfasis5 6 7 2 2" xfId="1131" xr:uid="{00000000-0005-0000-0000-00005F010000}"/>
    <cellStyle name="20% - Énfasis5 6 7 2 2 2" xfId="1132" xr:uid="{00000000-0005-0000-0000-000060010000}"/>
    <cellStyle name="20% - Énfasis5 6 7 2 3" xfId="1133" xr:uid="{00000000-0005-0000-0000-000061010000}"/>
    <cellStyle name="20% - Énfasis5 6 7 3" xfId="1134" xr:uid="{00000000-0005-0000-0000-000062010000}"/>
    <cellStyle name="20% - Énfasis5 6 7 3 2" xfId="1135" xr:uid="{00000000-0005-0000-0000-000063010000}"/>
    <cellStyle name="20% - Énfasis5 6 7 4" xfId="1136" xr:uid="{00000000-0005-0000-0000-000064010000}"/>
    <cellStyle name="20% - Énfasis5 6 8" xfId="1137" xr:uid="{00000000-0005-0000-0000-000065010000}"/>
    <cellStyle name="20% - Énfasis5 6 8 2" xfId="1138" xr:uid="{00000000-0005-0000-0000-000066010000}"/>
    <cellStyle name="20% - Énfasis5 6 8 2 2" xfId="1139" xr:uid="{00000000-0005-0000-0000-000067010000}"/>
    <cellStyle name="20% - Énfasis5 6 8 3" xfId="1140" xr:uid="{00000000-0005-0000-0000-000068010000}"/>
    <cellStyle name="20% - Énfasis5 6 9" xfId="1141" xr:uid="{00000000-0005-0000-0000-000069010000}"/>
    <cellStyle name="20% - Énfasis5 6 9 2" xfId="1142" xr:uid="{00000000-0005-0000-0000-00006A010000}"/>
    <cellStyle name="20% - Énfasis6 2" xfId="35" xr:uid="{00000000-0005-0000-0000-00006B010000}"/>
    <cellStyle name="20% - Énfasis6 2 2" xfId="36" xr:uid="{00000000-0005-0000-0000-00006C010000}"/>
    <cellStyle name="20% - Énfasis6 2 2 2" xfId="37" xr:uid="{00000000-0005-0000-0000-00006D010000}"/>
    <cellStyle name="20% - Énfasis6 2 2 2 2" xfId="1143" xr:uid="{00000000-0005-0000-0000-00006E010000}"/>
    <cellStyle name="20% - Énfasis6 2 2 2 2 2" xfId="1144" xr:uid="{00000000-0005-0000-0000-00006F010000}"/>
    <cellStyle name="20% - Énfasis6 2 2 2 3" xfId="1145" xr:uid="{00000000-0005-0000-0000-000070010000}"/>
    <cellStyle name="20% - Énfasis6 2 2 3" xfId="1146" xr:uid="{00000000-0005-0000-0000-000071010000}"/>
    <cellStyle name="20% - Énfasis6 2 2 3 2" xfId="1147" xr:uid="{00000000-0005-0000-0000-000072010000}"/>
    <cellStyle name="20% - Énfasis6 2 2 4" xfId="1148" xr:uid="{00000000-0005-0000-0000-000073010000}"/>
    <cellStyle name="20% - Énfasis6 2 2_ARTURO SSMC110113xls" xfId="1149" xr:uid="{00000000-0005-0000-0000-000074010000}"/>
    <cellStyle name="20% - Énfasis6 2 3" xfId="38" xr:uid="{00000000-0005-0000-0000-000075010000}"/>
    <cellStyle name="20% - Énfasis6 2 3 2" xfId="39" xr:uid="{00000000-0005-0000-0000-000076010000}"/>
    <cellStyle name="20% - Énfasis6 2 3 2 2" xfId="1150" xr:uid="{00000000-0005-0000-0000-000077010000}"/>
    <cellStyle name="20% - Énfasis6 2 3 2 2 2" xfId="1151" xr:uid="{00000000-0005-0000-0000-000078010000}"/>
    <cellStyle name="20% - Énfasis6 2 3 2 3" xfId="1152" xr:uid="{00000000-0005-0000-0000-000079010000}"/>
    <cellStyle name="20% - Énfasis6 2 3 3" xfId="1153" xr:uid="{00000000-0005-0000-0000-00007A010000}"/>
    <cellStyle name="20% - Énfasis6 2 3 3 2" xfId="1154" xr:uid="{00000000-0005-0000-0000-00007B010000}"/>
    <cellStyle name="20% - Énfasis6 2 3 4" xfId="1155" xr:uid="{00000000-0005-0000-0000-00007C010000}"/>
    <cellStyle name="20% - Énfasis6 2 3_ARTURO SSMC110113xls" xfId="1156" xr:uid="{00000000-0005-0000-0000-00007D010000}"/>
    <cellStyle name="20% - Énfasis6 2 4" xfId="40" xr:uid="{00000000-0005-0000-0000-00007E010000}"/>
    <cellStyle name="20% - Énfasis6 2 4 2" xfId="1157" xr:uid="{00000000-0005-0000-0000-00007F010000}"/>
    <cellStyle name="20% - Énfasis6 2 4 2 2" xfId="1158" xr:uid="{00000000-0005-0000-0000-000080010000}"/>
    <cellStyle name="20% - Énfasis6 2 4 3" xfId="1159" xr:uid="{00000000-0005-0000-0000-000081010000}"/>
    <cellStyle name="20% - Énfasis6 2 5" xfId="1160" xr:uid="{00000000-0005-0000-0000-000082010000}"/>
    <cellStyle name="20% - Énfasis6 2 5 2" xfId="1161" xr:uid="{00000000-0005-0000-0000-000083010000}"/>
    <cellStyle name="20% - Énfasis6 2 6" xfId="1162" xr:uid="{00000000-0005-0000-0000-000084010000}"/>
    <cellStyle name="20% - Énfasis6 2_ARTURO SSMC110113xls" xfId="1163" xr:uid="{00000000-0005-0000-0000-000085010000}"/>
    <cellStyle name="20% - Énfasis6 3" xfId="467" xr:uid="{00000000-0005-0000-0000-000086010000}"/>
    <cellStyle name="40% - Énfasis1 2" xfId="41" xr:uid="{00000000-0005-0000-0000-000087010000}"/>
    <cellStyle name="40% - Énfasis1 2 2" xfId="42" xr:uid="{00000000-0005-0000-0000-000088010000}"/>
    <cellStyle name="40% - Énfasis1 2 2 2" xfId="43" xr:uid="{00000000-0005-0000-0000-000089010000}"/>
    <cellStyle name="40% - Énfasis1 2 2 2 2" xfId="1164" xr:uid="{00000000-0005-0000-0000-00008A010000}"/>
    <cellStyle name="40% - Énfasis1 2 2 2 2 2" xfId="1165" xr:uid="{00000000-0005-0000-0000-00008B010000}"/>
    <cellStyle name="40% - Énfasis1 2 2 2 3" xfId="1166" xr:uid="{00000000-0005-0000-0000-00008C010000}"/>
    <cellStyle name="40% - Énfasis1 2 2 3" xfId="1167" xr:uid="{00000000-0005-0000-0000-00008D010000}"/>
    <cellStyle name="40% - Énfasis1 2 2 3 2" xfId="1168" xr:uid="{00000000-0005-0000-0000-00008E010000}"/>
    <cellStyle name="40% - Énfasis1 2 2 4" xfId="1169" xr:uid="{00000000-0005-0000-0000-00008F010000}"/>
    <cellStyle name="40% - Énfasis1 2 2_ARTURO SSMC110113xls" xfId="1170" xr:uid="{00000000-0005-0000-0000-000090010000}"/>
    <cellStyle name="40% - Énfasis1 2 3" xfId="44" xr:uid="{00000000-0005-0000-0000-000091010000}"/>
    <cellStyle name="40% - Énfasis1 2 3 2" xfId="45" xr:uid="{00000000-0005-0000-0000-000092010000}"/>
    <cellStyle name="40% - Énfasis1 2 3 2 2" xfId="1171" xr:uid="{00000000-0005-0000-0000-000093010000}"/>
    <cellStyle name="40% - Énfasis1 2 3 2 2 2" xfId="1172" xr:uid="{00000000-0005-0000-0000-000094010000}"/>
    <cellStyle name="40% - Énfasis1 2 3 2 3" xfId="1173" xr:uid="{00000000-0005-0000-0000-000095010000}"/>
    <cellStyle name="40% - Énfasis1 2 3 3" xfId="1174" xr:uid="{00000000-0005-0000-0000-000096010000}"/>
    <cellStyle name="40% - Énfasis1 2 3 3 2" xfId="1175" xr:uid="{00000000-0005-0000-0000-000097010000}"/>
    <cellStyle name="40% - Énfasis1 2 3 4" xfId="1176" xr:uid="{00000000-0005-0000-0000-000098010000}"/>
    <cellStyle name="40% - Énfasis1 2 3_ARTURO SSMC110113xls" xfId="1177" xr:uid="{00000000-0005-0000-0000-000099010000}"/>
    <cellStyle name="40% - Énfasis1 2 4" xfId="46" xr:uid="{00000000-0005-0000-0000-00009A010000}"/>
    <cellStyle name="40% - Énfasis1 2 4 2" xfId="1178" xr:uid="{00000000-0005-0000-0000-00009B010000}"/>
    <cellStyle name="40% - Énfasis1 2 4 2 2" xfId="1179" xr:uid="{00000000-0005-0000-0000-00009C010000}"/>
    <cellStyle name="40% - Énfasis1 2 4 3" xfId="1180" xr:uid="{00000000-0005-0000-0000-00009D010000}"/>
    <cellStyle name="40% - Énfasis1 2 5" xfId="1181" xr:uid="{00000000-0005-0000-0000-00009E010000}"/>
    <cellStyle name="40% - Énfasis1 2 5 2" xfId="1182" xr:uid="{00000000-0005-0000-0000-00009F010000}"/>
    <cellStyle name="40% - Énfasis1 2 6" xfId="1183" xr:uid="{00000000-0005-0000-0000-0000A0010000}"/>
    <cellStyle name="40% - Énfasis1 2_ARTURO SSMC110113xls" xfId="1184" xr:uid="{00000000-0005-0000-0000-0000A1010000}"/>
    <cellStyle name="40% - Énfasis1 3" xfId="468" xr:uid="{00000000-0005-0000-0000-0000A2010000}"/>
    <cellStyle name="40% - Énfasis2 2" xfId="47" xr:uid="{00000000-0005-0000-0000-0000A3010000}"/>
    <cellStyle name="40% - Énfasis2 2 2" xfId="48" xr:uid="{00000000-0005-0000-0000-0000A4010000}"/>
    <cellStyle name="40% - Énfasis2 2 2 2" xfId="49" xr:uid="{00000000-0005-0000-0000-0000A5010000}"/>
    <cellStyle name="40% - Énfasis2 2 2 2 2" xfId="1185" xr:uid="{00000000-0005-0000-0000-0000A6010000}"/>
    <cellStyle name="40% - Énfasis2 2 2 2 2 2" xfId="1186" xr:uid="{00000000-0005-0000-0000-0000A7010000}"/>
    <cellStyle name="40% - Énfasis2 2 2 2 3" xfId="1187" xr:uid="{00000000-0005-0000-0000-0000A8010000}"/>
    <cellStyle name="40% - Énfasis2 2 2 3" xfId="1188" xr:uid="{00000000-0005-0000-0000-0000A9010000}"/>
    <cellStyle name="40% - Énfasis2 2 2 3 2" xfId="1189" xr:uid="{00000000-0005-0000-0000-0000AA010000}"/>
    <cellStyle name="40% - Énfasis2 2 2 4" xfId="1190" xr:uid="{00000000-0005-0000-0000-0000AB010000}"/>
    <cellStyle name="40% - Énfasis2 2 2_ARTURO SSMC110113xls" xfId="1191" xr:uid="{00000000-0005-0000-0000-0000AC010000}"/>
    <cellStyle name="40% - Énfasis2 2 3" xfId="50" xr:uid="{00000000-0005-0000-0000-0000AD010000}"/>
    <cellStyle name="40% - Énfasis2 2 3 2" xfId="51" xr:uid="{00000000-0005-0000-0000-0000AE010000}"/>
    <cellStyle name="40% - Énfasis2 2 3 2 2" xfId="1192" xr:uid="{00000000-0005-0000-0000-0000AF010000}"/>
    <cellStyle name="40% - Énfasis2 2 3 2 2 2" xfId="1193" xr:uid="{00000000-0005-0000-0000-0000B0010000}"/>
    <cellStyle name="40% - Énfasis2 2 3 2 3" xfId="1194" xr:uid="{00000000-0005-0000-0000-0000B1010000}"/>
    <cellStyle name="40% - Énfasis2 2 3 3" xfId="1195" xr:uid="{00000000-0005-0000-0000-0000B2010000}"/>
    <cellStyle name="40% - Énfasis2 2 3 3 2" xfId="1196" xr:uid="{00000000-0005-0000-0000-0000B3010000}"/>
    <cellStyle name="40% - Énfasis2 2 3 4" xfId="1197" xr:uid="{00000000-0005-0000-0000-0000B4010000}"/>
    <cellStyle name="40% - Énfasis2 2 3_ARTURO SSMC110113xls" xfId="1198" xr:uid="{00000000-0005-0000-0000-0000B5010000}"/>
    <cellStyle name="40% - Énfasis2 2 4" xfId="52" xr:uid="{00000000-0005-0000-0000-0000B6010000}"/>
    <cellStyle name="40% - Énfasis2 2 4 2" xfId="1199" xr:uid="{00000000-0005-0000-0000-0000B7010000}"/>
    <cellStyle name="40% - Énfasis2 2 4 2 2" xfId="1200" xr:uid="{00000000-0005-0000-0000-0000B8010000}"/>
    <cellStyle name="40% - Énfasis2 2 4 3" xfId="1201" xr:uid="{00000000-0005-0000-0000-0000B9010000}"/>
    <cellStyle name="40% - Énfasis2 2 5" xfId="1202" xr:uid="{00000000-0005-0000-0000-0000BA010000}"/>
    <cellStyle name="40% - Énfasis2 2 5 2" xfId="1203" xr:uid="{00000000-0005-0000-0000-0000BB010000}"/>
    <cellStyle name="40% - Énfasis2 2 6" xfId="1204" xr:uid="{00000000-0005-0000-0000-0000BC010000}"/>
    <cellStyle name="40% - Énfasis2 2_ARTURO SSMC110113xls" xfId="1205" xr:uid="{00000000-0005-0000-0000-0000BD010000}"/>
    <cellStyle name="40% - Énfasis2 3" xfId="469" xr:uid="{00000000-0005-0000-0000-0000BE010000}"/>
    <cellStyle name="40% - Énfasis3 2" xfId="53" xr:uid="{00000000-0005-0000-0000-0000BF010000}"/>
    <cellStyle name="40% - Énfasis3 2 2" xfId="54" xr:uid="{00000000-0005-0000-0000-0000C0010000}"/>
    <cellStyle name="40% - Énfasis3 2 2 2" xfId="55" xr:uid="{00000000-0005-0000-0000-0000C1010000}"/>
    <cellStyle name="40% - Énfasis3 2 2 2 2" xfId="1206" xr:uid="{00000000-0005-0000-0000-0000C2010000}"/>
    <cellStyle name="40% - Énfasis3 2 2 2 2 2" xfId="1207" xr:uid="{00000000-0005-0000-0000-0000C3010000}"/>
    <cellStyle name="40% - Énfasis3 2 2 2 3" xfId="1208" xr:uid="{00000000-0005-0000-0000-0000C4010000}"/>
    <cellStyle name="40% - Énfasis3 2 2 3" xfId="1209" xr:uid="{00000000-0005-0000-0000-0000C5010000}"/>
    <cellStyle name="40% - Énfasis3 2 2 3 2" xfId="1210" xr:uid="{00000000-0005-0000-0000-0000C6010000}"/>
    <cellStyle name="40% - Énfasis3 2 2 4" xfId="1211" xr:uid="{00000000-0005-0000-0000-0000C7010000}"/>
    <cellStyle name="40% - Énfasis3 2 2_ARTURO SSMC110113xls" xfId="1212" xr:uid="{00000000-0005-0000-0000-0000C8010000}"/>
    <cellStyle name="40% - Énfasis3 2 3" xfId="56" xr:uid="{00000000-0005-0000-0000-0000C9010000}"/>
    <cellStyle name="40% - Énfasis3 2 3 2" xfId="57" xr:uid="{00000000-0005-0000-0000-0000CA010000}"/>
    <cellStyle name="40% - Énfasis3 2 3 2 2" xfId="1213" xr:uid="{00000000-0005-0000-0000-0000CB010000}"/>
    <cellStyle name="40% - Énfasis3 2 3 2 2 2" xfId="1214" xr:uid="{00000000-0005-0000-0000-0000CC010000}"/>
    <cellStyle name="40% - Énfasis3 2 3 2 3" xfId="1215" xr:uid="{00000000-0005-0000-0000-0000CD010000}"/>
    <cellStyle name="40% - Énfasis3 2 3 3" xfId="1216" xr:uid="{00000000-0005-0000-0000-0000CE010000}"/>
    <cellStyle name="40% - Énfasis3 2 3 3 2" xfId="1217" xr:uid="{00000000-0005-0000-0000-0000CF010000}"/>
    <cellStyle name="40% - Énfasis3 2 3 4" xfId="1218" xr:uid="{00000000-0005-0000-0000-0000D0010000}"/>
    <cellStyle name="40% - Énfasis3 2 3_ARTURO SSMC110113xls" xfId="1219" xr:uid="{00000000-0005-0000-0000-0000D1010000}"/>
    <cellStyle name="40% - Énfasis3 2 4" xfId="58" xr:uid="{00000000-0005-0000-0000-0000D2010000}"/>
    <cellStyle name="40% - Énfasis3 2 4 2" xfId="1220" xr:uid="{00000000-0005-0000-0000-0000D3010000}"/>
    <cellStyle name="40% - Énfasis3 2 4 2 2" xfId="1221" xr:uid="{00000000-0005-0000-0000-0000D4010000}"/>
    <cellStyle name="40% - Énfasis3 2 4 3" xfId="1222" xr:uid="{00000000-0005-0000-0000-0000D5010000}"/>
    <cellStyle name="40% - Énfasis3 2 5" xfId="1223" xr:uid="{00000000-0005-0000-0000-0000D6010000}"/>
    <cellStyle name="40% - Énfasis3 2 5 2" xfId="1224" xr:uid="{00000000-0005-0000-0000-0000D7010000}"/>
    <cellStyle name="40% - Énfasis3 2 6" xfId="1225" xr:uid="{00000000-0005-0000-0000-0000D8010000}"/>
    <cellStyle name="40% - Énfasis3 2_ARTURO SSMC110113xls" xfId="1226" xr:uid="{00000000-0005-0000-0000-0000D9010000}"/>
    <cellStyle name="40% - Énfasis3 3" xfId="470" xr:uid="{00000000-0005-0000-0000-0000DA010000}"/>
    <cellStyle name="40% - Énfasis4 2" xfId="59" xr:uid="{00000000-0005-0000-0000-0000DB010000}"/>
    <cellStyle name="40% - Énfasis4 2 2" xfId="60" xr:uid="{00000000-0005-0000-0000-0000DC010000}"/>
    <cellStyle name="40% - Énfasis4 2 2 2" xfId="61" xr:uid="{00000000-0005-0000-0000-0000DD010000}"/>
    <cellStyle name="40% - Énfasis4 2 2 2 2" xfId="1227" xr:uid="{00000000-0005-0000-0000-0000DE010000}"/>
    <cellStyle name="40% - Énfasis4 2 2 2 2 2" xfId="1228" xr:uid="{00000000-0005-0000-0000-0000DF010000}"/>
    <cellStyle name="40% - Énfasis4 2 2 2 3" xfId="1229" xr:uid="{00000000-0005-0000-0000-0000E0010000}"/>
    <cellStyle name="40% - Énfasis4 2 2 3" xfId="1230" xr:uid="{00000000-0005-0000-0000-0000E1010000}"/>
    <cellStyle name="40% - Énfasis4 2 2 3 2" xfId="1231" xr:uid="{00000000-0005-0000-0000-0000E2010000}"/>
    <cellStyle name="40% - Énfasis4 2 2 4" xfId="1232" xr:uid="{00000000-0005-0000-0000-0000E3010000}"/>
    <cellStyle name="40% - Énfasis4 2 2_ARTURO SSMC110113xls" xfId="1233" xr:uid="{00000000-0005-0000-0000-0000E4010000}"/>
    <cellStyle name="40% - Énfasis4 2 3" xfId="62" xr:uid="{00000000-0005-0000-0000-0000E5010000}"/>
    <cellStyle name="40% - Énfasis4 2 3 2" xfId="63" xr:uid="{00000000-0005-0000-0000-0000E6010000}"/>
    <cellStyle name="40% - Énfasis4 2 3 2 2" xfId="1234" xr:uid="{00000000-0005-0000-0000-0000E7010000}"/>
    <cellStyle name="40% - Énfasis4 2 3 2 2 2" xfId="1235" xr:uid="{00000000-0005-0000-0000-0000E8010000}"/>
    <cellStyle name="40% - Énfasis4 2 3 2 3" xfId="1236" xr:uid="{00000000-0005-0000-0000-0000E9010000}"/>
    <cellStyle name="40% - Énfasis4 2 3 3" xfId="1237" xr:uid="{00000000-0005-0000-0000-0000EA010000}"/>
    <cellStyle name="40% - Énfasis4 2 3 3 2" xfId="1238" xr:uid="{00000000-0005-0000-0000-0000EB010000}"/>
    <cellStyle name="40% - Énfasis4 2 3 4" xfId="1239" xr:uid="{00000000-0005-0000-0000-0000EC010000}"/>
    <cellStyle name="40% - Énfasis4 2 3_ARTURO SSMC110113xls" xfId="1240" xr:uid="{00000000-0005-0000-0000-0000ED010000}"/>
    <cellStyle name="40% - Énfasis4 2 4" xfId="64" xr:uid="{00000000-0005-0000-0000-0000EE010000}"/>
    <cellStyle name="40% - Énfasis4 2 4 2" xfId="1241" xr:uid="{00000000-0005-0000-0000-0000EF010000}"/>
    <cellStyle name="40% - Énfasis4 2 4 2 2" xfId="1242" xr:uid="{00000000-0005-0000-0000-0000F0010000}"/>
    <cellStyle name="40% - Énfasis4 2 4 3" xfId="1243" xr:uid="{00000000-0005-0000-0000-0000F1010000}"/>
    <cellStyle name="40% - Énfasis4 2 5" xfId="1244" xr:uid="{00000000-0005-0000-0000-0000F2010000}"/>
    <cellStyle name="40% - Énfasis4 2 5 2" xfId="1245" xr:uid="{00000000-0005-0000-0000-0000F3010000}"/>
    <cellStyle name="40% - Énfasis4 2 6" xfId="1246" xr:uid="{00000000-0005-0000-0000-0000F4010000}"/>
    <cellStyle name="40% - Énfasis4 2_ARTURO SSMC110113xls" xfId="1247" xr:uid="{00000000-0005-0000-0000-0000F5010000}"/>
    <cellStyle name="40% - Énfasis4 3" xfId="471" xr:uid="{00000000-0005-0000-0000-0000F6010000}"/>
    <cellStyle name="40% - Énfasis5 2" xfId="65" xr:uid="{00000000-0005-0000-0000-0000F7010000}"/>
    <cellStyle name="40% - Énfasis5 2 2" xfId="66" xr:uid="{00000000-0005-0000-0000-0000F8010000}"/>
    <cellStyle name="40% - Énfasis5 2 2 2" xfId="67" xr:uid="{00000000-0005-0000-0000-0000F9010000}"/>
    <cellStyle name="40% - Énfasis5 2 2 2 2" xfId="1248" xr:uid="{00000000-0005-0000-0000-0000FA010000}"/>
    <cellStyle name="40% - Énfasis5 2 2 2 2 2" xfId="1249" xr:uid="{00000000-0005-0000-0000-0000FB010000}"/>
    <cellStyle name="40% - Énfasis5 2 2 2 3" xfId="1250" xr:uid="{00000000-0005-0000-0000-0000FC010000}"/>
    <cellStyle name="40% - Énfasis5 2 2 3" xfId="1251" xr:uid="{00000000-0005-0000-0000-0000FD010000}"/>
    <cellStyle name="40% - Énfasis5 2 2 3 2" xfId="1252" xr:uid="{00000000-0005-0000-0000-0000FE010000}"/>
    <cellStyle name="40% - Énfasis5 2 2 4" xfId="1253" xr:uid="{00000000-0005-0000-0000-0000FF010000}"/>
    <cellStyle name="40% - Énfasis5 2 2_ARTURO SSMC110113xls" xfId="1254" xr:uid="{00000000-0005-0000-0000-000000020000}"/>
    <cellStyle name="40% - Énfasis5 2 3" xfId="68" xr:uid="{00000000-0005-0000-0000-000001020000}"/>
    <cellStyle name="40% - Énfasis5 2 3 2" xfId="69" xr:uid="{00000000-0005-0000-0000-000002020000}"/>
    <cellStyle name="40% - Énfasis5 2 3 2 2" xfId="1255" xr:uid="{00000000-0005-0000-0000-000003020000}"/>
    <cellStyle name="40% - Énfasis5 2 3 2 2 2" xfId="1256" xr:uid="{00000000-0005-0000-0000-000004020000}"/>
    <cellStyle name="40% - Énfasis5 2 3 2 3" xfId="1257" xr:uid="{00000000-0005-0000-0000-000005020000}"/>
    <cellStyle name="40% - Énfasis5 2 3 3" xfId="1258" xr:uid="{00000000-0005-0000-0000-000006020000}"/>
    <cellStyle name="40% - Énfasis5 2 3 3 2" xfId="1259" xr:uid="{00000000-0005-0000-0000-000007020000}"/>
    <cellStyle name="40% - Énfasis5 2 3 4" xfId="1260" xr:uid="{00000000-0005-0000-0000-000008020000}"/>
    <cellStyle name="40% - Énfasis5 2 3_ARTURO SSMC110113xls" xfId="1261" xr:uid="{00000000-0005-0000-0000-000009020000}"/>
    <cellStyle name="40% - Énfasis5 2 4" xfId="70" xr:uid="{00000000-0005-0000-0000-00000A020000}"/>
    <cellStyle name="40% - Énfasis5 2 4 2" xfId="1262" xr:uid="{00000000-0005-0000-0000-00000B020000}"/>
    <cellStyle name="40% - Énfasis5 2 4 2 2" xfId="1263" xr:uid="{00000000-0005-0000-0000-00000C020000}"/>
    <cellStyle name="40% - Énfasis5 2 4 3" xfId="1264" xr:uid="{00000000-0005-0000-0000-00000D020000}"/>
    <cellStyle name="40% - Énfasis5 2 5" xfId="1265" xr:uid="{00000000-0005-0000-0000-00000E020000}"/>
    <cellStyle name="40% - Énfasis5 2 5 2" xfId="1266" xr:uid="{00000000-0005-0000-0000-00000F020000}"/>
    <cellStyle name="40% - Énfasis5 2 6" xfId="1267" xr:uid="{00000000-0005-0000-0000-000010020000}"/>
    <cellStyle name="40% - Énfasis5 2_ARTURO SSMC110113xls" xfId="1268" xr:uid="{00000000-0005-0000-0000-000011020000}"/>
    <cellStyle name="40% - Énfasis5 3" xfId="472" xr:uid="{00000000-0005-0000-0000-000012020000}"/>
    <cellStyle name="40% - Énfasis6 2" xfId="71" xr:uid="{00000000-0005-0000-0000-000013020000}"/>
    <cellStyle name="40% - Énfasis6 2 2" xfId="72" xr:uid="{00000000-0005-0000-0000-000014020000}"/>
    <cellStyle name="40% - Énfasis6 2 2 2" xfId="73" xr:uid="{00000000-0005-0000-0000-000015020000}"/>
    <cellStyle name="40% - Énfasis6 2 2 2 2" xfId="1269" xr:uid="{00000000-0005-0000-0000-000016020000}"/>
    <cellStyle name="40% - Énfasis6 2 2 2 2 2" xfId="1270" xr:uid="{00000000-0005-0000-0000-000017020000}"/>
    <cellStyle name="40% - Énfasis6 2 2 2 3" xfId="1271" xr:uid="{00000000-0005-0000-0000-000018020000}"/>
    <cellStyle name="40% - Énfasis6 2 2 3" xfId="1272" xr:uid="{00000000-0005-0000-0000-000019020000}"/>
    <cellStyle name="40% - Énfasis6 2 2 3 2" xfId="1273" xr:uid="{00000000-0005-0000-0000-00001A020000}"/>
    <cellStyle name="40% - Énfasis6 2 2 4" xfId="1274" xr:uid="{00000000-0005-0000-0000-00001B020000}"/>
    <cellStyle name="40% - Énfasis6 2 2_ARTURO SSMC110113xls" xfId="1275" xr:uid="{00000000-0005-0000-0000-00001C020000}"/>
    <cellStyle name="40% - Énfasis6 2 3" xfId="74" xr:uid="{00000000-0005-0000-0000-00001D020000}"/>
    <cellStyle name="40% - Énfasis6 2 3 2" xfId="75" xr:uid="{00000000-0005-0000-0000-00001E020000}"/>
    <cellStyle name="40% - Énfasis6 2 3 2 2" xfId="1276" xr:uid="{00000000-0005-0000-0000-00001F020000}"/>
    <cellStyle name="40% - Énfasis6 2 3 2 2 2" xfId="1277" xr:uid="{00000000-0005-0000-0000-000020020000}"/>
    <cellStyle name="40% - Énfasis6 2 3 2 3" xfId="1278" xr:uid="{00000000-0005-0000-0000-000021020000}"/>
    <cellStyle name="40% - Énfasis6 2 3 3" xfId="1279" xr:uid="{00000000-0005-0000-0000-000022020000}"/>
    <cellStyle name="40% - Énfasis6 2 3 3 2" xfId="1280" xr:uid="{00000000-0005-0000-0000-000023020000}"/>
    <cellStyle name="40% - Énfasis6 2 3 4" xfId="1281" xr:uid="{00000000-0005-0000-0000-000024020000}"/>
    <cellStyle name="40% - Énfasis6 2 3_ARTURO SSMC110113xls" xfId="1282" xr:uid="{00000000-0005-0000-0000-000025020000}"/>
    <cellStyle name="40% - Énfasis6 2 4" xfId="76" xr:uid="{00000000-0005-0000-0000-000026020000}"/>
    <cellStyle name="40% - Énfasis6 2 4 2" xfId="1283" xr:uid="{00000000-0005-0000-0000-000027020000}"/>
    <cellStyle name="40% - Énfasis6 2 4 2 2" xfId="1284" xr:uid="{00000000-0005-0000-0000-000028020000}"/>
    <cellStyle name="40% - Énfasis6 2 4 3" xfId="1285" xr:uid="{00000000-0005-0000-0000-000029020000}"/>
    <cellStyle name="40% - Énfasis6 2 5" xfId="1286" xr:uid="{00000000-0005-0000-0000-00002A020000}"/>
    <cellStyle name="40% - Énfasis6 2 5 2" xfId="1287" xr:uid="{00000000-0005-0000-0000-00002B020000}"/>
    <cellStyle name="40% - Énfasis6 2 6" xfId="1288" xr:uid="{00000000-0005-0000-0000-00002C020000}"/>
    <cellStyle name="40% - Énfasis6 2_ARTURO SSMC110113xls" xfId="1289" xr:uid="{00000000-0005-0000-0000-00002D020000}"/>
    <cellStyle name="40% - Énfasis6 3" xfId="77" xr:uid="{00000000-0005-0000-0000-00002E020000}"/>
    <cellStyle name="40% - Énfasis6 3 10" xfId="1290" xr:uid="{00000000-0005-0000-0000-00002F020000}"/>
    <cellStyle name="40% - Énfasis6 3 2" xfId="473" xr:uid="{00000000-0005-0000-0000-000030020000}"/>
    <cellStyle name="40% - Énfasis6 3 2 2" xfId="474" xr:uid="{00000000-0005-0000-0000-000031020000}"/>
    <cellStyle name="40% - Énfasis6 3 2 2 2" xfId="1291" xr:uid="{00000000-0005-0000-0000-000032020000}"/>
    <cellStyle name="40% - Énfasis6 3 2 2 2 2" xfId="1292" xr:uid="{00000000-0005-0000-0000-000033020000}"/>
    <cellStyle name="40% - Énfasis6 3 2 2 3" xfId="1293" xr:uid="{00000000-0005-0000-0000-000034020000}"/>
    <cellStyle name="40% - Énfasis6 3 2 3" xfId="1294" xr:uid="{00000000-0005-0000-0000-000035020000}"/>
    <cellStyle name="40% - Énfasis6 3 2 3 2" xfId="1295" xr:uid="{00000000-0005-0000-0000-000036020000}"/>
    <cellStyle name="40% - Énfasis6 3 2 4" xfId="1296" xr:uid="{00000000-0005-0000-0000-000037020000}"/>
    <cellStyle name="40% - Énfasis6 3 3" xfId="1297" xr:uid="{00000000-0005-0000-0000-000038020000}"/>
    <cellStyle name="40% - Énfasis6 3 3 2" xfId="1298" xr:uid="{00000000-0005-0000-0000-000039020000}"/>
    <cellStyle name="40% - Énfasis6 3 3 2 2" xfId="1299" xr:uid="{00000000-0005-0000-0000-00003A020000}"/>
    <cellStyle name="40% - Énfasis6 3 3 2 2 2" xfId="1300" xr:uid="{00000000-0005-0000-0000-00003B020000}"/>
    <cellStyle name="40% - Énfasis6 3 3 2 3" xfId="1301" xr:uid="{00000000-0005-0000-0000-00003C020000}"/>
    <cellStyle name="40% - Énfasis6 3 3 3" xfId="1302" xr:uid="{00000000-0005-0000-0000-00003D020000}"/>
    <cellStyle name="40% - Énfasis6 3 3 3 2" xfId="1303" xr:uid="{00000000-0005-0000-0000-00003E020000}"/>
    <cellStyle name="40% - Énfasis6 3 3 4" xfId="1304" xr:uid="{00000000-0005-0000-0000-00003F020000}"/>
    <cellStyle name="40% - Énfasis6 3 4" xfId="1305" xr:uid="{00000000-0005-0000-0000-000040020000}"/>
    <cellStyle name="40% - Énfasis6 3 4 2" xfId="1306" xr:uid="{00000000-0005-0000-0000-000041020000}"/>
    <cellStyle name="40% - Énfasis6 3 4 2 2" xfId="1307" xr:uid="{00000000-0005-0000-0000-000042020000}"/>
    <cellStyle name="40% - Énfasis6 3 4 2 2 2" xfId="1308" xr:uid="{00000000-0005-0000-0000-000043020000}"/>
    <cellStyle name="40% - Énfasis6 3 4 2 3" xfId="1309" xr:uid="{00000000-0005-0000-0000-000044020000}"/>
    <cellStyle name="40% - Énfasis6 3 4 3" xfId="1310" xr:uid="{00000000-0005-0000-0000-000045020000}"/>
    <cellStyle name="40% - Énfasis6 3 4 3 2" xfId="1311" xr:uid="{00000000-0005-0000-0000-000046020000}"/>
    <cellStyle name="40% - Énfasis6 3 4 4" xfId="1312" xr:uid="{00000000-0005-0000-0000-000047020000}"/>
    <cellStyle name="40% - Énfasis6 3 5" xfId="1313" xr:uid="{00000000-0005-0000-0000-000048020000}"/>
    <cellStyle name="40% - Énfasis6 3 5 2" xfId="1314" xr:uid="{00000000-0005-0000-0000-000049020000}"/>
    <cellStyle name="40% - Énfasis6 3 5 2 2" xfId="1315" xr:uid="{00000000-0005-0000-0000-00004A020000}"/>
    <cellStyle name="40% - Énfasis6 3 5 2 2 2" xfId="1316" xr:uid="{00000000-0005-0000-0000-00004B020000}"/>
    <cellStyle name="40% - Énfasis6 3 5 2 3" xfId="1317" xr:uid="{00000000-0005-0000-0000-00004C020000}"/>
    <cellStyle name="40% - Énfasis6 3 5 3" xfId="1318" xr:uid="{00000000-0005-0000-0000-00004D020000}"/>
    <cellStyle name="40% - Énfasis6 3 5 3 2" xfId="1319" xr:uid="{00000000-0005-0000-0000-00004E020000}"/>
    <cellStyle name="40% - Énfasis6 3 5 4" xfId="1320" xr:uid="{00000000-0005-0000-0000-00004F020000}"/>
    <cellStyle name="40% - Énfasis6 3 6" xfId="1321" xr:uid="{00000000-0005-0000-0000-000050020000}"/>
    <cellStyle name="40% - Énfasis6 3 6 2" xfId="1322" xr:uid="{00000000-0005-0000-0000-000051020000}"/>
    <cellStyle name="40% - Énfasis6 3 6 2 2" xfId="1323" xr:uid="{00000000-0005-0000-0000-000052020000}"/>
    <cellStyle name="40% - Énfasis6 3 6 2 2 2" xfId="1324" xr:uid="{00000000-0005-0000-0000-000053020000}"/>
    <cellStyle name="40% - Énfasis6 3 6 2 3" xfId="1325" xr:uid="{00000000-0005-0000-0000-000054020000}"/>
    <cellStyle name="40% - Énfasis6 3 6 3" xfId="1326" xr:uid="{00000000-0005-0000-0000-000055020000}"/>
    <cellStyle name="40% - Énfasis6 3 6 3 2" xfId="1327" xr:uid="{00000000-0005-0000-0000-000056020000}"/>
    <cellStyle name="40% - Énfasis6 3 6 4" xfId="1328" xr:uid="{00000000-0005-0000-0000-000057020000}"/>
    <cellStyle name="40% - Énfasis6 3 7" xfId="1329" xr:uid="{00000000-0005-0000-0000-000058020000}"/>
    <cellStyle name="40% - Énfasis6 3 7 2" xfId="1330" xr:uid="{00000000-0005-0000-0000-000059020000}"/>
    <cellStyle name="40% - Énfasis6 3 7 2 2" xfId="1331" xr:uid="{00000000-0005-0000-0000-00005A020000}"/>
    <cellStyle name="40% - Énfasis6 3 7 2 2 2" xfId="1332" xr:uid="{00000000-0005-0000-0000-00005B020000}"/>
    <cellStyle name="40% - Énfasis6 3 7 2 3" xfId="1333" xr:uid="{00000000-0005-0000-0000-00005C020000}"/>
    <cellStyle name="40% - Énfasis6 3 7 3" xfId="1334" xr:uid="{00000000-0005-0000-0000-00005D020000}"/>
    <cellStyle name="40% - Énfasis6 3 7 3 2" xfId="1335" xr:uid="{00000000-0005-0000-0000-00005E020000}"/>
    <cellStyle name="40% - Énfasis6 3 7 4" xfId="1336" xr:uid="{00000000-0005-0000-0000-00005F020000}"/>
    <cellStyle name="40% - Énfasis6 3 8" xfId="1337" xr:uid="{00000000-0005-0000-0000-000060020000}"/>
    <cellStyle name="40% - Énfasis6 3 8 2" xfId="1338" xr:uid="{00000000-0005-0000-0000-000061020000}"/>
    <cellStyle name="40% - Énfasis6 3 8 2 2" xfId="1339" xr:uid="{00000000-0005-0000-0000-000062020000}"/>
    <cellStyle name="40% - Énfasis6 3 8 3" xfId="1340" xr:uid="{00000000-0005-0000-0000-000063020000}"/>
    <cellStyle name="40% - Énfasis6 3 9" xfId="1341" xr:uid="{00000000-0005-0000-0000-000064020000}"/>
    <cellStyle name="40% - Énfasis6 3 9 2" xfId="1342" xr:uid="{00000000-0005-0000-0000-000065020000}"/>
    <cellStyle name="60% - Énfasis1 2" xfId="78" xr:uid="{00000000-0005-0000-0000-000066020000}"/>
    <cellStyle name="60% - Énfasis1 3" xfId="475" xr:uid="{00000000-0005-0000-0000-000067020000}"/>
    <cellStyle name="60% - Énfasis2 2" xfId="79" xr:uid="{00000000-0005-0000-0000-000068020000}"/>
    <cellStyle name="60% - Énfasis2 3" xfId="476" xr:uid="{00000000-0005-0000-0000-000069020000}"/>
    <cellStyle name="60% - Énfasis3 2" xfId="80" xr:uid="{00000000-0005-0000-0000-00006A020000}"/>
    <cellStyle name="60% - Énfasis3 3" xfId="477" xr:uid="{00000000-0005-0000-0000-00006B020000}"/>
    <cellStyle name="60% - Énfasis4 2" xfId="81" xr:uid="{00000000-0005-0000-0000-00006C020000}"/>
    <cellStyle name="60% - Énfasis4 3" xfId="478" xr:uid="{00000000-0005-0000-0000-00006D020000}"/>
    <cellStyle name="60% - Énfasis5 2" xfId="82" xr:uid="{00000000-0005-0000-0000-00006E020000}"/>
    <cellStyle name="60% - Énfasis5 3" xfId="479" xr:uid="{00000000-0005-0000-0000-00006F020000}"/>
    <cellStyle name="60% - Énfasis6 2" xfId="83" xr:uid="{00000000-0005-0000-0000-000070020000}"/>
    <cellStyle name="60% - Énfasis6 3" xfId="480" xr:uid="{00000000-0005-0000-0000-000071020000}"/>
    <cellStyle name="Buena 2" xfId="84" xr:uid="{00000000-0005-0000-0000-000072020000}"/>
    <cellStyle name="Buena 3" xfId="481" xr:uid="{00000000-0005-0000-0000-000073020000}"/>
    <cellStyle name="Cálculo 2" xfId="85" xr:uid="{00000000-0005-0000-0000-000074020000}"/>
    <cellStyle name="Cálculo 2 2" xfId="230" xr:uid="{00000000-0005-0000-0000-000075020000}"/>
    <cellStyle name="Cálculo 2 2 2" xfId="241" xr:uid="{00000000-0005-0000-0000-000076020000}"/>
    <cellStyle name="Cálculo 2 2 2 10" xfId="1343" xr:uid="{00000000-0005-0000-0000-000077020000}"/>
    <cellStyle name="Cálculo 2 2 2 11" xfId="1344" xr:uid="{00000000-0005-0000-0000-000078020000}"/>
    <cellStyle name="Cálculo 2 2 2 2" xfId="262" xr:uid="{00000000-0005-0000-0000-000079020000}"/>
    <cellStyle name="Cálculo 2 2 2 2 2" xfId="1345" xr:uid="{00000000-0005-0000-0000-00007A020000}"/>
    <cellStyle name="Cálculo 2 2 2 2 3" xfId="1346" xr:uid="{00000000-0005-0000-0000-00007B020000}"/>
    <cellStyle name="Cálculo 2 2 2 2 4" xfId="1347" xr:uid="{00000000-0005-0000-0000-00007C020000}"/>
    <cellStyle name="Cálculo 2 2 2 2 5" xfId="1348" xr:uid="{00000000-0005-0000-0000-00007D020000}"/>
    <cellStyle name="Cálculo 2 2 2 3" xfId="291" xr:uid="{00000000-0005-0000-0000-00007E020000}"/>
    <cellStyle name="Cálculo 2 2 2 3 2" xfId="1349" xr:uid="{00000000-0005-0000-0000-00007F020000}"/>
    <cellStyle name="Cálculo 2 2 2 3 3" xfId="1350" xr:uid="{00000000-0005-0000-0000-000080020000}"/>
    <cellStyle name="Cálculo 2 2 2 3 4" xfId="1351" xr:uid="{00000000-0005-0000-0000-000081020000}"/>
    <cellStyle name="Cálculo 2 2 2 3 5" xfId="1352" xr:uid="{00000000-0005-0000-0000-000082020000}"/>
    <cellStyle name="Cálculo 2 2 2 4" xfId="323" xr:uid="{00000000-0005-0000-0000-000083020000}"/>
    <cellStyle name="Cálculo 2 2 2 4 2" xfId="1353" xr:uid="{00000000-0005-0000-0000-000084020000}"/>
    <cellStyle name="Cálculo 2 2 2 4 3" xfId="1354" xr:uid="{00000000-0005-0000-0000-000085020000}"/>
    <cellStyle name="Cálculo 2 2 2 4 4" xfId="1355" xr:uid="{00000000-0005-0000-0000-000086020000}"/>
    <cellStyle name="Cálculo 2 2 2 4 5" xfId="1356" xr:uid="{00000000-0005-0000-0000-000087020000}"/>
    <cellStyle name="Cálculo 2 2 2 5" xfId="335" xr:uid="{00000000-0005-0000-0000-000088020000}"/>
    <cellStyle name="Cálculo 2 2 2 5 2" xfId="1357" xr:uid="{00000000-0005-0000-0000-000089020000}"/>
    <cellStyle name="Cálculo 2 2 2 5 3" xfId="1358" xr:uid="{00000000-0005-0000-0000-00008A020000}"/>
    <cellStyle name="Cálculo 2 2 2 5 4" xfId="1359" xr:uid="{00000000-0005-0000-0000-00008B020000}"/>
    <cellStyle name="Cálculo 2 2 2 5 5" xfId="1360" xr:uid="{00000000-0005-0000-0000-00008C020000}"/>
    <cellStyle name="Cálculo 2 2 2 6" xfId="351" xr:uid="{00000000-0005-0000-0000-00008D020000}"/>
    <cellStyle name="Cálculo 2 2 2 6 2" xfId="1361" xr:uid="{00000000-0005-0000-0000-00008E020000}"/>
    <cellStyle name="Cálculo 2 2 2 6 3" xfId="1362" xr:uid="{00000000-0005-0000-0000-00008F020000}"/>
    <cellStyle name="Cálculo 2 2 2 6 4" xfId="1363" xr:uid="{00000000-0005-0000-0000-000090020000}"/>
    <cellStyle name="Cálculo 2 2 2 6 5" xfId="1364" xr:uid="{00000000-0005-0000-0000-000091020000}"/>
    <cellStyle name="Cálculo 2 2 2 7" xfId="367" xr:uid="{00000000-0005-0000-0000-000092020000}"/>
    <cellStyle name="Cálculo 2 2 2 7 2" xfId="1365" xr:uid="{00000000-0005-0000-0000-000093020000}"/>
    <cellStyle name="Cálculo 2 2 2 7 3" xfId="1366" xr:uid="{00000000-0005-0000-0000-000094020000}"/>
    <cellStyle name="Cálculo 2 2 2 7 4" xfId="1367" xr:uid="{00000000-0005-0000-0000-000095020000}"/>
    <cellStyle name="Cálculo 2 2 2 7 5" xfId="1368" xr:uid="{00000000-0005-0000-0000-000096020000}"/>
    <cellStyle name="Cálculo 2 2 2 8" xfId="1369" xr:uid="{00000000-0005-0000-0000-000097020000}"/>
    <cellStyle name="Cálculo 2 2 2 9" xfId="1370" xr:uid="{00000000-0005-0000-0000-000098020000}"/>
    <cellStyle name="Cálculo 2 2 3" xfId="312" xr:uid="{00000000-0005-0000-0000-000099020000}"/>
    <cellStyle name="Cálculo 2 2 3 2" xfId="1371" xr:uid="{00000000-0005-0000-0000-00009A020000}"/>
    <cellStyle name="Cálculo 2 2 3 3" xfId="1372" xr:uid="{00000000-0005-0000-0000-00009B020000}"/>
    <cellStyle name="Cálculo 2 2 3 4" xfId="1373" xr:uid="{00000000-0005-0000-0000-00009C020000}"/>
    <cellStyle name="Cálculo 2 2 3 5" xfId="1374" xr:uid="{00000000-0005-0000-0000-00009D020000}"/>
    <cellStyle name="Cálculo 2 2 4" xfId="398" xr:uid="{00000000-0005-0000-0000-00009E020000}"/>
    <cellStyle name="Cálculo 2 2 4 2" xfId="1375" xr:uid="{00000000-0005-0000-0000-00009F020000}"/>
    <cellStyle name="Cálculo 2 2 4 3" xfId="1376" xr:uid="{00000000-0005-0000-0000-0000A0020000}"/>
    <cellStyle name="Cálculo 2 2 4 4" xfId="1377" xr:uid="{00000000-0005-0000-0000-0000A1020000}"/>
    <cellStyle name="Cálculo 2 2 4 5" xfId="1378" xr:uid="{00000000-0005-0000-0000-0000A2020000}"/>
    <cellStyle name="Cálculo 2 2 5" xfId="418" xr:uid="{00000000-0005-0000-0000-0000A3020000}"/>
    <cellStyle name="Cálculo 2 2 5 2" xfId="1379" xr:uid="{00000000-0005-0000-0000-0000A4020000}"/>
    <cellStyle name="Cálculo 2 2 5 3" xfId="1380" xr:uid="{00000000-0005-0000-0000-0000A5020000}"/>
    <cellStyle name="Cálculo 2 2 5 4" xfId="1381" xr:uid="{00000000-0005-0000-0000-0000A6020000}"/>
    <cellStyle name="Cálculo 2 2 5 5" xfId="1382" xr:uid="{00000000-0005-0000-0000-0000A7020000}"/>
    <cellStyle name="Cálculo 2 3" xfId="213" xr:uid="{00000000-0005-0000-0000-0000A8020000}"/>
    <cellStyle name="Cálculo 2 3 2" xfId="242" xr:uid="{00000000-0005-0000-0000-0000A9020000}"/>
    <cellStyle name="Cálculo 2 3 2 10" xfId="1383" xr:uid="{00000000-0005-0000-0000-0000AA020000}"/>
    <cellStyle name="Cálculo 2 3 2 11" xfId="1384" xr:uid="{00000000-0005-0000-0000-0000AB020000}"/>
    <cellStyle name="Cálculo 2 3 2 2" xfId="261" xr:uid="{00000000-0005-0000-0000-0000AC020000}"/>
    <cellStyle name="Cálculo 2 3 2 2 2" xfId="1385" xr:uid="{00000000-0005-0000-0000-0000AD020000}"/>
    <cellStyle name="Cálculo 2 3 2 2 3" xfId="1386" xr:uid="{00000000-0005-0000-0000-0000AE020000}"/>
    <cellStyle name="Cálculo 2 3 2 2 4" xfId="1387" xr:uid="{00000000-0005-0000-0000-0000AF020000}"/>
    <cellStyle name="Cálculo 2 3 2 2 5" xfId="1388" xr:uid="{00000000-0005-0000-0000-0000B0020000}"/>
    <cellStyle name="Cálculo 2 3 2 3" xfId="292" xr:uid="{00000000-0005-0000-0000-0000B1020000}"/>
    <cellStyle name="Cálculo 2 3 2 3 2" xfId="1389" xr:uid="{00000000-0005-0000-0000-0000B2020000}"/>
    <cellStyle name="Cálculo 2 3 2 3 3" xfId="1390" xr:uid="{00000000-0005-0000-0000-0000B3020000}"/>
    <cellStyle name="Cálculo 2 3 2 3 4" xfId="1391" xr:uid="{00000000-0005-0000-0000-0000B4020000}"/>
    <cellStyle name="Cálculo 2 3 2 3 5" xfId="1392" xr:uid="{00000000-0005-0000-0000-0000B5020000}"/>
    <cellStyle name="Cálculo 2 3 2 4" xfId="324" xr:uid="{00000000-0005-0000-0000-0000B6020000}"/>
    <cellStyle name="Cálculo 2 3 2 4 2" xfId="1393" xr:uid="{00000000-0005-0000-0000-0000B7020000}"/>
    <cellStyle name="Cálculo 2 3 2 4 3" xfId="1394" xr:uid="{00000000-0005-0000-0000-0000B8020000}"/>
    <cellStyle name="Cálculo 2 3 2 4 4" xfId="1395" xr:uid="{00000000-0005-0000-0000-0000B9020000}"/>
    <cellStyle name="Cálculo 2 3 2 4 5" xfId="1396" xr:uid="{00000000-0005-0000-0000-0000BA020000}"/>
    <cellStyle name="Cálculo 2 3 2 5" xfId="336" xr:uid="{00000000-0005-0000-0000-0000BB020000}"/>
    <cellStyle name="Cálculo 2 3 2 5 2" xfId="1397" xr:uid="{00000000-0005-0000-0000-0000BC020000}"/>
    <cellStyle name="Cálculo 2 3 2 5 3" xfId="1398" xr:uid="{00000000-0005-0000-0000-0000BD020000}"/>
    <cellStyle name="Cálculo 2 3 2 5 4" xfId="1399" xr:uid="{00000000-0005-0000-0000-0000BE020000}"/>
    <cellStyle name="Cálculo 2 3 2 5 5" xfId="1400" xr:uid="{00000000-0005-0000-0000-0000BF020000}"/>
    <cellStyle name="Cálculo 2 3 2 6" xfId="352" xr:uid="{00000000-0005-0000-0000-0000C0020000}"/>
    <cellStyle name="Cálculo 2 3 2 6 2" xfId="1401" xr:uid="{00000000-0005-0000-0000-0000C1020000}"/>
    <cellStyle name="Cálculo 2 3 2 6 3" xfId="1402" xr:uid="{00000000-0005-0000-0000-0000C2020000}"/>
    <cellStyle name="Cálculo 2 3 2 6 4" xfId="1403" xr:uid="{00000000-0005-0000-0000-0000C3020000}"/>
    <cellStyle name="Cálculo 2 3 2 6 5" xfId="1404" xr:uid="{00000000-0005-0000-0000-0000C4020000}"/>
    <cellStyle name="Cálculo 2 3 2 7" xfId="368" xr:uid="{00000000-0005-0000-0000-0000C5020000}"/>
    <cellStyle name="Cálculo 2 3 2 7 2" xfId="1405" xr:uid="{00000000-0005-0000-0000-0000C6020000}"/>
    <cellStyle name="Cálculo 2 3 2 7 3" xfId="1406" xr:uid="{00000000-0005-0000-0000-0000C7020000}"/>
    <cellStyle name="Cálculo 2 3 2 7 4" xfId="1407" xr:uid="{00000000-0005-0000-0000-0000C8020000}"/>
    <cellStyle name="Cálculo 2 3 2 7 5" xfId="1408" xr:uid="{00000000-0005-0000-0000-0000C9020000}"/>
    <cellStyle name="Cálculo 2 3 2 8" xfId="1409" xr:uid="{00000000-0005-0000-0000-0000CA020000}"/>
    <cellStyle name="Cálculo 2 3 2 9" xfId="1410" xr:uid="{00000000-0005-0000-0000-0000CB020000}"/>
    <cellStyle name="Cálculo 2 3 3" xfId="283" xr:uid="{00000000-0005-0000-0000-0000CC020000}"/>
    <cellStyle name="Cálculo 2 3 3 2" xfId="1411" xr:uid="{00000000-0005-0000-0000-0000CD020000}"/>
    <cellStyle name="Cálculo 2 3 3 3" xfId="1412" xr:uid="{00000000-0005-0000-0000-0000CE020000}"/>
    <cellStyle name="Cálculo 2 3 3 4" xfId="1413" xr:uid="{00000000-0005-0000-0000-0000CF020000}"/>
    <cellStyle name="Cálculo 2 3 3 5" xfId="1414" xr:uid="{00000000-0005-0000-0000-0000D0020000}"/>
    <cellStyle name="Cálculo 2 3 4" xfId="399" xr:uid="{00000000-0005-0000-0000-0000D1020000}"/>
    <cellStyle name="Cálculo 2 3 4 2" xfId="1415" xr:uid="{00000000-0005-0000-0000-0000D2020000}"/>
    <cellStyle name="Cálculo 2 3 4 3" xfId="1416" xr:uid="{00000000-0005-0000-0000-0000D3020000}"/>
    <cellStyle name="Cálculo 2 3 4 4" xfId="1417" xr:uid="{00000000-0005-0000-0000-0000D4020000}"/>
    <cellStyle name="Cálculo 2 3 4 5" xfId="1418" xr:uid="{00000000-0005-0000-0000-0000D5020000}"/>
    <cellStyle name="Cálculo 2 3 5" xfId="419" xr:uid="{00000000-0005-0000-0000-0000D6020000}"/>
    <cellStyle name="Cálculo 2 3 5 2" xfId="1419" xr:uid="{00000000-0005-0000-0000-0000D7020000}"/>
    <cellStyle name="Cálculo 2 3 5 3" xfId="1420" xr:uid="{00000000-0005-0000-0000-0000D8020000}"/>
    <cellStyle name="Cálculo 2 3 5 4" xfId="1421" xr:uid="{00000000-0005-0000-0000-0000D9020000}"/>
    <cellStyle name="Cálculo 2 3 5 5" xfId="1422" xr:uid="{00000000-0005-0000-0000-0000DA020000}"/>
    <cellStyle name="Cálculo 2 4" xfId="240" xr:uid="{00000000-0005-0000-0000-0000DB020000}"/>
    <cellStyle name="Cálculo 2 4 2" xfId="268" xr:uid="{00000000-0005-0000-0000-0000DC020000}"/>
    <cellStyle name="Cálculo 2 4 2 2" xfId="1423" xr:uid="{00000000-0005-0000-0000-0000DD020000}"/>
    <cellStyle name="Cálculo 2 4 2 3" xfId="1424" xr:uid="{00000000-0005-0000-0000-0000DE020000}"/>
    <cellStyle name="Cálculo 2 4 2 4" xfId="1425" xr:uid="{00000000-0005-0000-0000-0000DF020000}"/>
    <cellStyle name="Cálculo 2 4 2 5" xfId="1426" xr:uid="{00000000-0005-0000-0000-0000E0020000}"/>
    <cellStyle name="Cálculo 2 4 3" xfId="285" xr:uid="{00000000-0005-0000-0000-0000E1020000}"/>
    <cellStyle name="Cálculo 2 4 3 2" xfId="1427" xr:uid="{00000000-0005-0000-0000-0000E2020000}"/>
    <cellStyle name="Cálculo 2 4 3 3" xfId="1428" xr:uid="{00000000-0005-0000-0000-0000E3020000}"/>
    <cellStyle name="Cálculo 2 4 3 4" xfId="1429" xr:uid="{00000000-0005-0000-0000-0000E4020000}"/>
    <cellStyle name="Cálculo 2 4 3 5" xfId="1430" xr:uid="{00000000-0005-0000-0000-0000E5020000}"/>
    <cellStyle name="Cálculo 2 4 4" xfId="317" xr:uid="{00000000-0005-0000-0000-0000E6020000}"/>
    <cellStyle name="Cálculo 2 4 4 2" xfId="1431" xr:uid="{00000000-0005-0000-0000-0000E7020000}"/>
    <cellStyle name="Cálculo 2 4 4 3" xfId="1432" xr:uid="{00000000-0005-0000-0000-0000E8020000}"/>
    <cellStyle name="Cálculo 2 4 4 4" xfId="1433" xr:uid="{00000000-0005-0000-0000-0000E9020000}"/>
    <cellStyle name="Cálculo 2 4 4 5" xfId="1434" xr:uid="{00000000-0005-0000-0000-0000EA020000}"/>
    <cellStyle name="Cálculo 2 4 5" xfId="301" xr:uid="{00000000-0005-0000-0000-0000EB020000}"/>
    <cellStyle name="Cálculo 2 4 5 2" xfId="1435" xr:uid="{00000000-0005-0000-0000-0000EC020000}"/>
    <cellStyle name="Cálculo 2 4 5 3" xfId="1436" xr:uid="{00000000-0005-0000-0000-0000ED020000}"/>
    <cellStyle name="Cálculo 2 4 5 4" xfId="1437" xr:uid="{00000000-0005-0000-0000-0000EE020000}"/>
    <cellStyle name="Cálculo 2 4 5 5" xfId="1438" xr:uid="{00000000-0005-0000-0000-0000EF020000}"/>
    <cellStyle name="Cálculo 2 4 6" xfId="345" xr:uid="{00000000-0005-0000-0000-0000F0020000}"/>
    <cellStyle name="Cálculo 2 4 6 2" xfId="1439" xr:uid="{00000000-0005-0000-0000-0000F1020000}"/>
    <cellStyle name="Cálculo 2 4 6 3" xfId="1440" xr:uid="{00000000-0005-0000-0000-0000F2020000}"/>
    <cellStyle name="Cálculo 2 4 6 4" xfId="1441" xr:uid="{00000000-0005-0000-0000-0000F3020000}"/>
    <cellStyle name="Cálculo 2 4 6 5" xfId="1442" xr:uid="{00000000-0005-0000-0000-0000F4020000}"/>
    <cellStyle name="Cálculo 2 4 7" xfId="361" xr:uid="{00000000-0005-0000-0000-0000F5020000}"/>
    <cellStyle name="Cálculo 2 4 7 2" xfId="1443" xr:uid="{00000000-0005-0000-0000-0000F6020000}"/>
    <cellStyle name="Cálculo 2 4 7 3" xfId="1444" xr:uid="{00000000-0005-0000-0000-0000F7020000}"/>
    <cellStyle name="Cálculo 2 4 7 4" xfId="1445" xr:uid="{00000000-0005-0000-0000-0000F8020000}"/>
    <cellStyle name="Cálculo 2 4 7 5" xfId="1446" xr:uid="{00000000-0005-0000-0000-0000F9020000}"/>
    <cellStyle name="Cálculo 2 5" xfId="270" xr:uid="{00000000-0005-0000-0000-0000FA020000}"/>
    <cellStyle name="Cálculo 2 5 2" xfId="1447" xr:uid="{00000000-0005-0000-0000-0000FB020000}"/>
    <cellStyle name="Cálculo 2 5 3" xfId="1448" xr:uid="{00000000-0005-0000-0000-0000FC020000}"/>
    <cellStyle name="Cálculo 2 5 4" xfId="1449" xr:uid="{00000000-0005-0000-0000-0000FD020000}"/>
    <cellStyle name="Cálculo 2 5 5" xfId="1450" xr:uid="{00000000-0005-0000-0000-0000FE020000}"/>
    <cellStyle name="Cálculo 2 6" xfId="389" xr:uid="{00000000-0005-0000-0000-0000FF020000}"/>
    <cellStyle name="Cálculo 2 6 2" xfId="1451" xr:uid="{00000000-0005-0000-0000-000000030000}"/>
    <cellStyle name="Cálculo 2 6 3" xfId="1452" xr:uid="{00000000-0005-0000-0000-000001030000}"/>
    <cellStyle name="Cálculo 2 6 4" xfId="1453" xr:uid="{00000000-0005-0000-0000-000002030000}"/>
    <cellStyle name="Cálculo 2 6 5" xfId="1454" xr:uid="{00000000-0005-0000-0000-000003030000}"/>
    <cellStyle name="Cálculo 2 7" xfId="393" xr:uid="{00000000-0005-0000-0000-000004030000}"/>
    <cellStyle name="Cálculo 2 7 2" xfId="1455" xr:uid="{00000000-0005-0000-0000-000005030000}"/>
    <cellStyle name="Cálculo 2 7 3" xfId="1456" xr:uid="{00000000-0005-0000-0000-000006030000}"/>
    <cellStyle name="Cálculo 2 7 4" xfId="1457" xr:uid="{00000000-0005-0000-0000-000007030000}"/>
    <cellStyle name="Cálculo 2 7 5" xfId="1458" xr:uid="{00000000-0005-0000-0000-000008030000}"/>
    <cellStyle name="Cálculo 2 8" xfId="1459" xr:uid="{00000000-0005-0000-0000-000009030000}"/>
    <cellStyle name="Cálculo 3" xfId="482" xr:uid="{00000000-0005-0000-0000-00000A030000}"/>
    <cellStyle name="Cálculo 3 2" xfId="483" xr:uid="{00000000-0005-0000-0000-00000B030000}"/>
    <cellStyle name="Celda de comprobación 2" xfId="86" xr:uid="{00000000-0005-0000-0000-00000C030000}"/>
    <cellStyle name="Celda de comprobación 3" xfId="484" xr:uid="{00000000-0005-0000-0000-00000D030000}"/>
    <cellStyle name="Celda vinculada 2" xfId="87" xr:uid="{00000000-0005-0000-0000-00000E030000}"/>
    <cellStyle name="Celda vinculada 3" xfId="485" xr:uid="{00000000-0005-0000-0000-00000F030000}"/>
    <cellStyle name="Comma" xfId="88" xr:uid="{00000000-0005-0000-0000-000010030000}"/>
    <cellStyle name="Comma [0]" xfId="89" xr:uid="{00000000-0005-0000-0000-000011030000}"/>
    <cellStyle name="Comma [0] 2" xfId="1460" xr:uid="{00000000-0005-0000-0000-000012030000}"/>
    <cellStyle name="Comma 2" xfId="1461" xr:uid="{00000000-0005-0000-0000-000013030000}"/>
    <cellStyle name="Comma 2 2" xfId="1462" xr:uid="{00000000-0005-0000-0000-000014030000}"/>
    <cellStyle name="Comma 3" xfId="1463" xr:uid="{00000000-0005-0000-0000-000015030000}"/>
    <cellStyle name="Comma 4" xfId="1464" xr:uid="{00000000-0005-0000-0000-000016030000}"/>
    <cellStyle name="Comma 5" xfId="1465" xr:uid="{00000000-0005-0000-0000-000017030000}"/>
    <cellStyle name="Currency" xfId="90" xr:uid="{00000000-0005-0000-0000-000018030000}"/>
    <cellStyle name="Currency [0]" xfId="91" xr:uid="{00000000-0005-0000-0000-000019030000}"/>
    <cellStyle name="Currency [0] 2" xfId="1466" xr:uid="{00000000-0005-0000-0000-00001A030000}"/>
    <cellStyle name="Currency 2" xfId="1467" xr:uid="{00000000-0005-0000-0000-00001B030000}"/>
    <cellStyle name="Currency 2 2" xfId="1468" xr:uid="{00000000-0005-0000-0000-00001C030000}"/>
    <cellStyle name="Currency 3" xfId="1469" xr:uid="{00000000-0005-0000-0000-00001D030000}"/>
    <cellStyle name="Currency 3 2" xfId="1470" xr:uid="{00000000-0005-0000-0000-00001E030000}"/>
    <cellStyle name="Currency 4" xfId="1471" xr:uid="{00000000-0005-0000-0000-00001F030000}"/>
    <cellStyle name="Currency 5" xfId="1472" xr:uid="{00000000-0005-0000-0000-000020030000}"/>
    <cellStyle name="Date" xfId="92" xr:uid="{00000000-0005-0000-0000-000021030000}"/>
    <cellStyle name="Encabezado 4 2" xfId="93" xr:uid="{00000000-0005-0000-0000-000022030000}"/>
    <cellStyle name="Encabezado 4 3" xfId="486" xr:uid="{00000000-0005-0000-0000-000023030000}"/>
    <cellStyle name="Énfasis1 2" xfId="94" xr:uid="{00000000-0005-0000-0000-000024030000}"/>
    <cellStyle name="Énfasis1 3" xfId="487" xr:uid="{00000000-0005-0000-0000-000025030000}"/>
    <cellStyle name="Énfasis2 2" xfId="95" xr:uid="{00000000-0005-0000-0000-000026030000}"/>
    <cellStyle name="Énfasis2 3" xfId="488" xr:uid="{00000000-0005-0000-0000-000027030000}"/>
    <cellStyle name="Énfasis3 2" xfId="96" xr:uid="{00000000-0005-0000-0000-000028030000}"/>
    <cellStyle name="Énfasis3 3" xfId="489" xr:uid="{00000000-0005-0000-0000-000029030000}"/>
    <cellStyle name="Énfasis4 2" xfId="97" xr:uid="{00000000-0005-0000-0000-00002A030000}"/>
    <cellStyle name="Énfasis4 3" xfId="490" xr:uid="{00000000-0005-0000-0000-00002B030000}"/>
    <cellStyle name="Énfasis5 2" xfId="98" xr:uid="{00000000-0005-0000-0000-00002C030000}"/>
    <cellStyle name="Énfasis5 3" xfId="491" xr:uid="{00000000-0005-0000-0000-00002D030000}"/>
    <cellStyle name="Énfasis6 2" xfId="99" xr:uid="{00000000-0005-0000-0000-00002E030000}"/>
    <cellStyle name="Énfasis6 3" xfId="492" xr:uid="{00000000-0005-0000-0000-00002F030000}"/>
    <cellStyle name="Entrada 2" xfId="100" xr:uid="{00000000-0005-0000-0000-000030030000}"/>
    <cellStyle name="Entrada 2 2" xfId="231" xr:uid="{00000000-0005-0000-0000-000031030000}"/>
    <cellStyle name="Entrada 2 2 2" xfId="244" xr:uid="{00000000-0005-0000-0000-000032030000}"/>
    <cellStyle name="Entrada 2 2 2 10" xfId="1473" xr:uid="{00000000-0005-0000-0000-000033030000}"/>
    <cellStyle name="Entrada 2 2 2 11" xfId="1474" xr:uid="{00000000-0005-0000-0000-000034030000}"/>
    <cellStyle name="Entrada 2 2 2 2" xfId="260" xr:uid="{00000000-0005-0000-0000-000035030000}"/>
    <cellStyle name="Entrada 2 2 2 2 2" xfId="1475" xr:uid="{00000000-0005-0000-0000-000036030000}"/>
    <cellStyle name="Entrada 2 2 2 2 3" xfId="1476" xr:uid="{00000000-0005-0000-0000-000037030000}"/>
    <cellStyle name="Entrada 2 2 2 2 4" xfId="1477" xr:uid="{00000000-0005-0000-0000-000038030000}"/>
    <cellStyle name="Entrada 2 2 2 2 5" xfId="1478" xr:uid="{00000000-0005-0000-0000-000039030000}"/>
    <cellStyle name="Entrada 2 2 2 3" xfId="293" xr:uid="{00000000-0005-0000-0000-00003A030000}"/>
    <cellStyle name="Entrada 2 2 2 3 2" xfId="1479" xr:uid="{00000000-0005-0000-0000-00003B030000}"/>
    <cellStyle name="Entrada 2 2 2 3 3" xfId="1480" xr:uid="{00000000-0005-0000-0000-00003C030000}"/>
    <cellStyle name="Entrada 2 2 2 3 4" xfId="1481" xr:uid="{00000000-0005-0000-0000-00003D030000}"/>
    <cellStyle name="Entrada 2 2 2 3 5" xfId="1482" xr:uid="{00000000-0005-0000-0000-00003E030000}"/>
    <cellStyle name="Entrada 2 2 2 4" xfId="325" xr:uid="{00000000-0005-0000-0000-00003F030000}"/>
    <cellStyle name="Entrada 2 2 2 4 2" xfId="1483" xr:uid="{00000000-0005-0000-0000-000040030000}"/>
    <cellStyle name="Entrada 2 2 2 4 3" xfId="1484" xr:uid="{00000000-0005-0000-0000-000041030000}"/>
    <cellStyle name="Entrada 2 2 2 4 4" xfId="1485" xr:uid="{00000000-0005-0000-0000-000042030000}"/>
    <cellStyle name="Entrada 2 2 2 4 5" xfId="1486" xr:uid="{00000000-0005-0000-0000-000043030000}"/>
    <cellStyle name="Entrada 2 2 2 5" xfId="337" xr:uid="{00000000-0005-0000-0000-000044030000}"/>
    <cellStyle name="Entrada 2 2 2 5 2" xfId="1487" xr:uid="{00000000-0005-0000-0000-000045030000}"/>
    <cellStyle name="Entrada 2 2 2 5 3" xfId="1488" xr:uid="{00000000-0005-0000-0000-000046030000}"/>
    <cellStyle name="Entrada 2 2 2 5 4" xfId="1489" xr:uid="{00000000-0005-0000-0000-000047030000}"/>
    <cellStyle name="Entrada 2 2 2 5 5" xfId="1490" xr:uid="{00000000-0005-0000-0000-000048030000}"/>
    <cellStyle name="Entrada 2 2 2 6" xfId="353" xr:uid="{00000000-0005-0000-0000-000049030000}"/>
    <cellStyle name="Entrada 2 2 2 6 2" xfId="1491" xr:uid="{00000000-0005-0000-0000-00004A030000}"/>
    <cellStyle name="Entrada 2 2 2 6 3" xfId="1492" xr:uid="{00000000-0005-0000-0000-00004B030000}"/>
    <cellStyle name="Entrada 2 2 2 6 4" xfId="1493" xr:uid="{00000000-0005-0000-0000-00004C030000}"/>
    <cellStyle name="Entrada 2 2 2 6 5" xfId="1494" xr:uid="{00000000-0005-0000-0000-00004D030000}"/>
    <cellStyle name="Entrada 2 2 2 7" xfId="369" xr:uid="{00000000-0005-0000-0000-00004E030000}"/>
    <cellStyle name="Entrada 2 2 2 7 2" xfId="1495" xr:uid="{00000000-0005-0000-0000-00004F030000}"/>
    <cellStyle name="Entrada 2 2 2 7 3" xfId="1496" xr:uid="{00000000-0005-0000-0000-000050030000}"/>
    <cellStyle name="Entrada 2 2 2 7 4" xfId="1497" xr:uid="{00000000-0005-0000-0000-000051030000}"/>
    <cellStyle name="Entrada 2 2 2 7 5" xfId="1498" xr:uid="{00000000-0005-0000-0000-000052030000}"/>
    <cellStyle name="Entrada 2 2 2 8" xfId="1499" xr:uid="{00000000-0005-0000-0000-000053030000}"/>
    <cellStyle name="Entrada 2 2 2 9" xfId="1500" xr:uid="{00000000-0005-0000-0000-000054030000}"/>
    <cellStyle name="Entrada 2 2 3" xfId="309" xr:uid="{00000000-0005-0000-0000-000055030000}"/>
    <cellStyle name="Entrada 2 2 3 2" xfId="1501" xr:uid="{00000000-0005-0000-0000-000056030000}"/>
    <cellStyle name="Entrada 2 2 3 3" xfId="1502" xr:uid="{00000000-0005-0000-0000-000057030000}"/>
    <cellStyle name="Entrada 2 2 3 4" xfId="1503" xr:uid="{00000000-0005-0000-0000-000058030000}"/>
    <cellStyle name="Entrada 2 2 3 5" xfId="1504" xr:uid="{00000000-0005-0000-0000-000059030000}"/>
    <cellStyle name="Entrada 2 2 4" xfId="400" xr:uid="{00000000-0005-0000-0000-00005A030000}"/>
    <cellStyle name="Entrada 2 2 4 2" xfId="1505" xr:uid="{00000000-0005-0000-0000-00005B030000}"/>
    <cellStyle name="Entrada 2 2 4 3" xfId="1506" xr:uid="{00000000-0005-0000-0000-00005C030000}"/>
    <cellStyle name="Entrada 2 2 4 4" xfId="1507" xr:uid="{00000000-0005-0000-0000-00005D030000}"/>
    <cellStyle name="Entrada 2 2 4 5" xfId="1508" xr:uid="{00000000-0005-0000-0000-00005E030000}"/>
    <cellStyle name="Entrada 2 2 5" xfId="420" xr:uid="{00000000-0005-0000-0000-00005F030000}"/>
    <cellStyle name="Entrada 2 2 5 2" xfId="1509" xr:uid="{00000000-0005-0000-0000-000060030000}"/>
    <cellStyle name="Entrada 2 2 5 3" xfId="1510" xr:uid="{00000000-0005-0000-0000-000061030000}"/>
    <cellStyle name="Entrada 2 2 5 4" xfId="1511" xr:uid="{00000000-0005-0000-0000-000062030000}"/>
    <cellStyle name="Entrada 2 2 5 5" xfId="1512" xr:uid="{00000000-0005-0000-0000-000063030000}"/>
    <cellStyle name="Entrada 2 3" xfId="214" xr:uid="{00000000-0005-0000-0000-000064030000}"/>
    <cellStyle name="Entrada 2 3 2" xfId="245" xr:uid="{00000000-0005-0000-0000-000065030000}"/>
    <cellStyle name="Entrada 2 3 2 10" xfId="1513" xr:uid="{00000000-0005-0000-0000-000066030000}"/>
    <cellStyle name="Entrada 2 3 2 11" xfId="1514" xr:uid="{00000000-0005-0000-0000-000067030000}"/>
    <cellStyle name="Entrada 2 3 2 2" xfId="259" xr:uid="{00000000-0005-0000-0000-000068030000}"/>
    <cellStyle name="Entrada 2 3 2 2 2" xfId="1515" xr:uid="{00000000-0005-0000-0000-000069030000}"/>
    <cellStyle name="Entrada 2 3 2 2 3" xfId="1516" xr:uid="{00000000-0005-0000-0000-00006A030000}"/>
    <cellStyle name="Entrada 2 3 2 2 4" xfId="1517" xr:uid="{00000000-0005-0000-0000-00006B030000}"/>
    <cellStyle name="Entrada 2 3 2 2 5" xfId="1518" xr:uid="{00000000-0005-0000-0000-00006C030000}"/>
    <cellStyle name="Entrada 2 3 2 3" xfId="294" xr:uid="{00000000-0005-0000-0000-00006D030000}"/>
    <cellStyle name="Entrada 2 3 2 3 2" xfId="1519" xr:uid="{00000000-0005-0000-0000-00006E030000}"/>
    <cellStyle name="Entrada 2 3 2 3 3" xfId="1520" xr:uid="{00000000-0005-0000-0000-00006F030000}"/>
    <cellStyle name="Entrada 2 3 2 3 4" xfId="1521" xr:uid="{00000000-0005-0000-0000-000070030000}"/>
    <cellStyle name="Entrada 2 3 2 3 5" xfId="1522" xr:uid="{00000000-0005-0000-0000-000071030000}"/>
    <cellStyle name="Entrada 2 3 2 4" xfId="326" xr:uid="{00000000-0005-0000-0000-000072030000}"/>
    <cellStyle name="Entrada 2 3 2 4 2" xfId="1523" xr:uid="{00000000-0005-0000-0000-000073030000}"/>
    <cellStyle name="Entrada 2 3 2 4 3" xfId="1524" xr:uid="{00000000-0005-0000-0000-000074030000}"/>
    <cellStyle name="Entrada 2 3 2 4 4" xfId="1525" xr:uid="{00000000-0005-0000-0000-000075030000}"/>
    <cellStyle name="Entrada 2 3 2 4 5" xfId="1526" xr:uid="{00000000-0005-0000-0000-000076030000}"/>
    <cellStyle name="Entrada 2 3 2 5" xfId="338" xr:uid="{00000000-0005-0000-0000-000077030000}"/>
    <cellStyle name="Entrada 2 3 2 5 2" xfId="1527" xr:uid="{00000000-0005-0000-0000-000078030000}"/>
    <cellStyle name="Entrada 2 3 2 5 3" xfId="1528" xr:uid="{00000000-0005-0000-0000-000079030000}"/>
    <cellStyle name="Entrada 2 3 2 5 4" xfId="1529" xr:uid="{00000000-0005-0000-0000-00007A030000}"/>
    <cellStyle name="Entrada 2 3 2 5 5" xfId="1530" xr:uid="{00000000-0005-0000-0000-00007B030000}"/>
    <cellStyle name="Entrada 2 3 2 6" xfId="354" xr:uid="{00000000-0005-0000-0000-00007C030000}"/>
    <cellStyle name="Entrada 2 3 2 6 2" xfId="1531" xr:uid="{00000000-0005-0000-0000-00007D030000}"/>
    <cellStyle name="Entrada 2 3 2 6 3" xfId="1532" xr:uid="{00000000-0005-0000-0000-00007E030000}"/>
    <cellStyle name="Entrada 2 3 2 6 4" xfId="1533" xr:uid="{00000000-0005-0000-0000-00007F030000}"/>
    <cellStyle name="Entrada 2 3 2 6 5" xfId="1534" xr:uid="{00000000-0005-0000-0000-000080030000}"/>
    <cellStyle name="Entrada 2 3 2 7" xfId="370" xr:uid="{00000000-0005-0000-0000-000081030000}"/>
    <cellStyle name="Entrada 2 3 2 7 2" xfId="1535" xr:uid="{00000000-0005-0000-0000-000082030000}"/>
    <cellStyle name="Entrada 2 3 2 7 3" xfId="1536" xr:uid="{00000000-0005-0000-0000-000083030000}"/>
    <cellStyle name="Entrada 2 3 2 7 4" xfId="1537" xr:uid="{00000000-0005-0000-0000-000084030000}"/>
    <cellStyle name="Entrada 2 3 2 7 5" xfId="1538" xr:uid="{00000000-0005-0000-0000-000085030000}"/>
    <cellStyle name="Entrada 2 3 2 8" xfId="1539" xr:uid="{00000000-0005-0000-0000-000086030000}"/>
    <cellStyle name="Entrada 2 3 2 9" xfId="1540" xr:uid="{00000000-0005-0000-0000-000087030000}"/>
    <cellStyle name="Entrada 2 3 3" xfId="313" xr:uid="{00000000-0005-0000-0000-000088030000}"/>
    <cellStyle name="Entrada 2 3 3 2" xfId="1541" xr:uid="{00000000-0005-0000-0000-000089030000}"/>
    <cellStyle name="Entrada 2 3 3 3" xfId="1542" xr:uid="{00000000-0005-0000-0000-00008A030000}"/>
    <cellStyle name="Entrada 2 3 3 4" xfId="1543" xr:uid="{00000000-0005-0000-0000-00008B030000}"/>
    <cellStyle name="Entrada 2 3 3 5" xfId="1544" xr:uid="{00000000-0005-0000-0000-00008C030000}"/>
    <cellStyle name="Entrada 2 3 4" xfId="401" xr:uid="{00000000-0005-0000-0000-00008D030000}"/>
    <cellStyle name="Entrada 2 3 4 2" xfId="1545" xr:uid="{00000000-0005-0000-0000-00008E030000}"/>
    <cellStyle name="Entrada 2 3 4 3" xfId="1546" xr:uid="{00000000-0005-0000-0000-00008F030000}"/>
    <cellStyle name="Entrada 2 3 4 4" xfId="1547" xr:uid="{00000000-0005-0000-0000-000090030000}"/>
    <cellStyle name="Entrada 2 3 4 5" xfId="1548" xr:uid="{00000000-0005-0000-0000-000091030000}"/>
    <cellStyle name="Entrada 2 3 5" xfId="421" xr:uid="{00000000-0005-0000-0000-000092030000}"/>
    <cellStyle name="Entrada 2 3 5 2" xfId="1549" xr:uid="{00000000-0005-0000-0000-000093030000}"/>
    <cellStyle name="Entrada 2 3 5 3" xfId="1550" xr:uid="{00000000-0005-0000-0000-000094030000}"/>
    <cellStyle name="Entrada 2 3 5 4" xfId="1551" xr:uid="{00000000-0005-0000-0000-000095030000}"/>
    <cellStyle name="Entrada 2 3 5 5" xfId="1552" xr:uid="{00000000-0005-0000-0000-000096030000}"/>
    <cellStyle name="Entrada 2 4" xfId="243" xr:uid="{00000000-0005-0000-0000-000097030000}"/>
    <cellStyle name="Entrada 2 4 2" xfId="267" xr:uid="{00000000-0005-0000-0000-000098030000}"/>
    <cellStyle name="Entrada 2 4 2 2" xfId="1553" xr:uid="{00000000-0005-0000-0000-000099030000}"/>
    <cellStyle name="Entrada 2 4 2 3" xfId="1554" xr:uid="{00000000-0005-0000-0000-00009A030000}"/>
    <cellStyle name="Entrada 2 4 2 4" xfId="1555" xr:uid="{00000000-0005-0000-0000-00009B030000}"/>
    <cellStyle name="Entrada 2 4 2 5" xfId="1556" xr:uid="{00000000-0005-0000-0000-00009C030000}"/>
    <cellStyle name="Entrada 2 4 3" xfId="286" xr:uid="{00000000-0005-0000-0000-00009D030000}"/>
    <cellStyle name="Entrada 2 4 3 2" xfId="1557" xr:uid="{00000000-0005-0000-0000-00009E030000}"/>
    <cellStyle name="Entrada 2 4 3 3" xfId="1558" xr:uid="{00000000-0005-0000-0000-00009F030000}"/>
    <cellStyle name="Entrada 2 4 3 4" xfId="1559" xr:uid="{00000000-0005-0000-0000-0000A0030000}"/>
    <cellStyle name="Entrada 2 4 3 5" xfId="1560" xr:uid="{00000000-0005-0000-0000-0000A1030000}"/>
    <cellStyle name="Entrada 2 4 4" xfId="318" xr:uid="{00000000-0005-0000-0000-0000A2030000}"/>
    <cellStyle name="Entrada 2 4 4 2" xfId="1561" xr:uid="{00000000-0005-0000-0000-0000A3030000}"/>
    <cellStyle name="Entrada 2 4 4 3" xfId="1562" xr:uid="{00000000-0005-0000-0000-0000A4030000}"/>
    <cellStyle name="Entrada 2 4 4 4" xfId="1563" xr:uid="{00000000-0005-0000-0000-0000A5030000}"/>
    <cellStyle name="Entrada 2 4 4 5" xfId="1564" xr:uid="{00000000-0005-0000-0000-0000A6030000}"/>
    <cellStyle name="Entrada 2 4 5" xfId="306" xr:uid="{00000000-0005-0000-0000-0000A7030000}"/>
    <cellStyle name="Entrada 2 4 5 2" xfId="1565" xr:uid="{00000000-0005-0000-0000-0000A8030000}"/>
    <cellStyle name="Entrada 2 4 5 3" xfId="1566" xr:uid="{00000000-0005-0000-0000-0000A9030000}"/>
    <cellStyle name="Entrada 2 4 5 4" xfId="1567" xr:uid="{00000000-0005-0000-0000-0000AA030000}"/>
    <cellStyle name="Entrada 2 4 5 5" xfId="1568" xr:uid="{00000000-0005-0000-0000-0000AB030000}"/>
    <cellStyle name="Entrada 2 4 6" xfId="346" xr:uid="{00000000-0005-0000-0000-0000AC030000}"/>
    <cellStyle name="Entrada 2 4 6 2" xfId="1569" xr:uid="{00000000-0005-0000-0000-0000AD030000}"/>
    <cellStyle name="Entrada 2 4 6 3" xfId="1570" xr:uid="{00000000-0005-0000-0000-0000AE030000}"/>
    <cellStyle name="Entrada 2 4 6 4" xfId="1571" xr:uid="{00000000-0005-0000-0000-0000AF030000}"/>
    <cellStyle name="Entrada 2 4 6 5" xfId="1572" xr:uid="{00000000-0005-0000-0000-0000B0030000}"/>
    <cellStyle name="Entrada 2 4 7" xfId="362" xr:uid="{00000000-0005-0000-0000-0000B1030000}"/>
    <cellStyle name="Entrada 2 4 7 2" xfId="1573" xr:uid="{00000000-0005-0000-0000-0000B2030000}"/>
    <cellStyle name="Entrada 2 4 7 3" xfId="1574" xr:uid="{00000000-0005-0000-0000-0000B3030000}"/>
    <cellStyle name="Entrada 2 4 7 4" xfId="1575" xr:uid="{00000000-0005-0000-0000-0000B4030000}"/>
    <cellStyle name="Entrada 2 4 7 5" xfId="1576" xr:uid="{00000000-0005-0000-0000-0000B5030000}"/>
    <cellStyle name="Entrada 2 5" xfId="269" xr:uid="{00000000-0005-0000-0000-0000B6030000}"/>
    <cellStyle name="Entrada 2 5 2" xfId="1577" xr:uid="{00000000-0005-0000-0000-0000B7030000}"/>
    <cellStyle name="Entrada 2 5 3" xfId="1578" xr:uid="{00000000-0005-0000-0000-0000B8030000}"/>
    <cellStyle name="Entrada 2 5 4" xfId="1579" xr:uid="{00000000-0005-0000-0000-0000B9030000}"/>
    <cellStyle name="Entrada 2 5 5" xfId="1580" xr:uid="{00000000-0005-0000-0000-0000BA030000}"/>
    <cellStyle name="Entrada 2 6" xfId="388" xr:uid="{00000000-0005-0000-0000-0000BB030000}"/>
    <cellStyle name="Entrada 2 6 2" xfId="1581" xr:uid="{00000000-0005-0000-0000-0000BC030000}"/>
    <cellStyle name="Entrada 2 6 3" xfId="1582" xr:uid="{00000000-0005-0000-0000-0000BD030000}"/>
    <cellStyle name="Entrada 2 6 4" xfId="1583" xr:uid="{00000000-0005-0000-0000-0000BE030000}"/>
    <cellStyle name="Entrada 2 6 5" xfId="1584" xr:uid="{00000000-0005-0000-0000-0000BF030000}"/>
    <cellStyle name="Entrada 2 7" xfId="404" xr:uid="{00000000-0005-0000-0000-0000C0030000}"/>
    <cellStyle name="Entrada 2 7 2" xfId="1585" xr:uid="{00000000-0005-0000-0000-0000C1030000}"/>
    <cellStyle name="Entrada 2 7 3" xfId="1586" xr:uid="{00000000-0005-0000-0000-0000C2030000}"/>
    <cellStyle name="Entrada 2 7 4" xfId="1587" xr:uid="{00000000-0005-0000-0000-0000C3030000}"/>
    <cellStyle name="Entrada 2 7 5" xfId="1588" xr:uid="{00000000-0005-0000-0000-0000C4030000}"/>
    <cellStyle name="Entrada 2 8" xfId="1589" xr:uid="{00000000-0005-0000-0000-0000C5030000}"/>
    <cellStyle name="Entrada 3" xfId="493" xr:uid="{00000000-0005-0000-0000-0000C6030000}"/>
    <cellStyle name="Entrada 3 2" xfId="494" xr:uid="{00000000-0005-0000-0000-0000C7030000}"/>
    <cellStyle name="Euro" xfId="101" xr:uid="{00000000-0005-0000-0000-0000C8030000}"/>
    <cellStyle name="Euro 2" xfId="194" xr:uid="{00000000-0005-0000-0000-0000C9030000}"/>
    <cellStyle name="Excel Built-in Normal" xfId="395" xr:uid="{00000000-0005-0000-0000-0000CA030000}"/>
    <cellStyle name="Excel Built-in Normal 2" xfId="1590" xr:uid="{00000000-0005-0000-0000-0000CB030000}"/>
    <cellStyle name="Fixed" xfId="102" xr:uid="{00000000-0005-0000-0000-0000CC030000}"/>
    <cellStyle name="Heading1" xfId="103" xr:uid="{00000000-0005-0000-0000-0000CD030000}"/>
    <cellStyle name="Heading2" xfId="104" xr:uid="{00000000-0005-0000-0000-0000CE030000}"/>
    <cellStyle name="Hipervínculo" xfId="377" builtinId="8"/>
    <cellStyle name="Hipervínculo 14" xfId="1591" xr:uid="{00000000-0005-0000-0000-0000D0030000}"/>
    <cellStyle name="Hipervínculo 2" xfId="105" xr:uid="{00000000-0005-0000-0000-0000D1030000}"/>
    <cellStyle name="Hipervínculo 2 2" xfId="1592" xr:uid="{00000000-0005-0000-0000-0000D2030000}"/>
    <cellStyle name="Hipervínculo 3" xfId="805" xr:uid="{00000000-0005-0000-0000-0000D3030000}"/>
    <cellStyle name="Hipervínculo 4" xfId="1593" xr:uid="{00000000-0005-0000-0000-0000D4030000}"/>
    <cellStyle name="Incorrecto 2" xfId="106" xr:uid="{00000000-0005-0000-0000-0000D5030000}"/>
    <cellStyle name="Incorrecto 3" xfId="495" xr:uid="{00000000-0005-0000-0000-0000D6030000}"/>
    <cellStyle name="Millares" xfId="107" builtinId="3"/>
    <cellStyle name="Millares 10" xfId="108" xr:uid="{00000000-0005-0000-0000-0000D8030000}"/>
    <cellStyle name="Millares 10 10" xfId="1594" xr:uid="{00000000-0005-0000-0000-0000D9030000}"/>
    <cellStyle name="Millares 10 10 2" xfId="1595" xr:uid="{00000000-0005-0000-0000-0000DA030000}"/>
    <cellStyle name="Millares 10 10 2 2" xfId="1596" xr:uid="{00000000-0005-0000-0000-0000DB030000}"/>
    <cellStyle name="Millares 10 10 2 2 2" xfId="1597" xr:uid="{00000000-0005-0000-0000-0000DC030000}"/>
    <cellStyle name="Millares 10 10 2 3" xfId="1598" xr:uid="{00000000-0005-0000-0000-0000DD030000}"/>
    <cellStyle name="Millares 10 10 3" xfId="1599" xr:uid="{00000000-0005-0000-0000-0000DE030000}"/>
    <cellStyle name="Millares 10 10 3 2" xfId="1600" xr:uid="{00000000-0005-0000-0000-0000DF030000}"/>
    <cellStyle name="Millares 10 10 4" xfId="1601" xr:uid="{00000000-0005-0000-0000-0000E0030000}"/>
    <cellStyle name="Millares 10 11" xfId="1602" xr:uid="{00000000-0005-0000-0000-0000E1030000}"/>
    <cellStyle name="Millares 10 11 2" xfId="1603" xr:uid="{00000000-0005-0000-0000-0000E2030000}"/>
    <cellStyle name="Millares 10 11 2 2" xfId="1604" xr:uid="{00000000-0005-0000-0000-0000E3030000}"/>
    <cellStyle name="Millares 10 11 3" xfId="1605" xr:uid="{00000000-0005-0000-0000-0000E4030000}"/>
    <cellStyle name="Millares 10 12" xfId="1606" xr:uid="{00000000-0005-0000-0000-0000E5030000}"/>
    <cellStyle name="Millares 10 12 2" xfId="1607" xr:uid="{00000000-0005-0000-0000-0000E6030000}"/>
    <cellStyle name="Millares 10 13" xfId="1608" xr:uid="{00000000-0005-0000-0000-0000E7030000}"/>
    <cellStyle name="Millares 10 2" xfId="109" xr:uid="{00000000-0005-0000-0000-0000E8030000}"/>
    <cellStyle name="Millares 10 2 10" xfId="1609" xr:uid="{00000000-0005-0000-0000-0000E9030000}"/>
    <cellStyle name="Millares 10 2 10 2" xfId="1610" xr:uid="{00000000-0005-0000-0000-0000EA030000}"/>
    <cellStyle name="Millares 10 2 11" xfId="1611" xr:uid="{00000000-0005-0000-0000-0000EB030000}"/>
    <cellStyle name="Millares 10 2 2" xfId="379" xr:uid="{00000000-0005-0000-0000-0000EC030000}"/>
    <cellStyle name="Millares 10 2 2 2" xfId="496" xr:uid="{00000000-0005-0000-0000-0000ED030000}"/>
    <cellStyle name="Millares 10 2 2 2 2" xfId="497" xr:uid="{00000000-0005-0000-0000-0000EE030000}"/>
    <cellStyle name="Millares 10 2 2 3" xfId="498" xr:uid="{00000000-0005-0000-0000-0000EF030000}"/>
    <cellStyle name="Millares 10 2 3" xfId="499" xr:uid="{00000000-0005-0000-0000-0000F0030000}"/>
    <cellStyle name="Millares 10 2 3 2" xfId="500" xr:uid="{00000000-0005-0000-0000-0000F1030000}"/>
    <cellStyle name="Millares 10 2 3 2 2" xfId="1612" xr:uid="{00000000-0005-0000-0000-0000F2030000}"/>
    <cellStyle name="Millares 10 2 3 2 2 2" xfId="1613" xr:uid="{00000000-0005-0000-0000-0000F3030000}"/>
    <cellStyle name="Millares 10 2 3 2 2 2 2" xfId="1614" xr:uid="{00000000-0005-0000-0000-0000F4030000}"/>
    <cellStyle name="Millares 10 2 3 2 2 3" xfId="1615" xr:uid="{00000000-0005-0000-0000-0000F5030000}"/>
    <cellStyle name="Millares 10 2 3 2 3" xfId="1616" xr:uid="{00000000-0005-0000-0000-0000F6030000}"/>
    <cellStyle name="Millares 10 2 3 2 3 2" xfId="1617" xr:uid="{00000000-0005-0000-0000-0000F7030000}"/>
    <cellStyle name="Millares 10 2 3 2 4" xfId="1618" xr:uid="{00000000-0005-0000-0000-0000F8030000}"/>
    <cellStyle name="Millares 10 2 3 3" xfId="1619" xr:uid="{00000000-0005-0000-0000-0000F9030000}"/>
    <cellStyle name="Millares 10 2 3 3 2" xfId="1620" xr:uid="{00000000-0005-0000-0000-0000FA030000}"/>
    <cellStyle name="Millares 10 2 3 3 2 2" xfId="1621" xr:uid="{00000000-0005-0000-0000-0000FB030000}"/>
    <cellStyle name="Millares 10 2 3 3 3" xfId="1622" xr:uid="{00000000-0005-0000-0000-0000FC030000}"/>
    <cellStyle name="Millares 10 2 3 4" xfId="1623" xr:uid="{00000000-0005-0000-0000-0000FD030000}"/>
    <cellStyle name="Millares 10 2 3 4 2" xfId="1624" xr:uid="{00000000-0005-0000-0000-0000FE030000}"/>
    <cellStyle name="Millares 10 2 3 5" xfId="1625" xr:uid="{00000000-0005-0000-0000-0000FF030000}"/>
    <cellStyle name="Millares 10 2 4" xfId="501" xr:uid="{00000000-0005-0000-0000-000000040000}"/>
    <cellStyle name="Millares 10 2 4 2" xfId="502" xr:uid="{00000000-0005-0000-0000-000001040000}"/>
    <cellStyle name="Millares 10 2 4 2 2" xfId="1626" xr:uid="{00000000-0005-0000-0000-000002040000}"/>
    <cellStyle name="Millares 10 2 4 2 2 2" xfId="1627" xr:uid="{00000000-0005-0000-0000-000003040000}"/>
    <cellStyle name="Millares 10 2 4 2 2 2 2" xfId="1628" xr:uid="{00000000-0005-0000-0000-000004040000}"/>
    <cellStyle name="Millares 10 2 4 2 2 3" xfId="1629" xr:uid="{00000000-0005-0000-0000-000005040000}"/>
    <cellStyle name="Millares 10 2 4 2 3" xfId="1630" xr:uid="{00000000-0005-0000-0000-000006040000}"/>
    <cellStyle name="Millares 10 2 4 2 3 2" xfId="1631" xr:uid="{00000000-0005-0000-0000-000007040000}"/>
    <cellStyle name="Millares 10 2 4 2 4" xfId="1632" xr:uid="{00000000-0005-0000-0000-000008040000}"/>
    <cellStyle name="Millares 10 2 4 3" xfId="1633" xr:uid="{00000000-0005-0000-0000-000009040000}"/>
    <cellStyle name="Millares 10 2 4 3 2" xfId="1634" xr:uid="{00000000-0005-0000-0000-00000A040000}"/>
    <cellStyle name="Millares 10 2 4 3 2 2" xfId="1635" xr:uid="{00000000-0005-0000-0000-00000B040000}"/>
    <cellStyle name="Millares 10 2 4 3 3" xfId="1636" xr:uid="{00000000-0005-0000-0000-00000C040000}"/>
    <cellStyle name="Millares 10 2 4 4" xfId="1637" xr:uid="{00000000-0005-0000-0000-00000D040000}"/>
    <cellStyle name="Millares 10 2 4 4 2" xfId="1638" xr:uid="{00000000-0005-0000-0000-00000E040000}"/>
    <cellStyle name="Millares 10 2 4 5" xfId="1639" xr:uid="{00000000-0005-0000-0000-00000F040000}"/>
    <cellStyle name="Millares 10 2 5" xfId="503" xr:uid="{00000000-0005-0000-0000-000010040000}"/>
    <cellStyle name="Millares 10 2 5 2" xfId="1640" xr:uid="{00000000-0005-0000-0000-000011040000}"/>
    <cellStyle name="Millares 10 2 5 2 2" xfId="1641" xr:uid="{00000000-0005-0000-0000-000012040000}"/>
    <cellStyle name="Millares 10 2 5 2 2 2" xfId="1642" xr:uid="{00000000-0005-0000-0000-000013040000}"/>
    <cellStyle name="Millares 10 2 5 2 2 2 2" xfId="1643" xr:uid="{00000000-0005-0000-0000-000014040000}"/>
    <cellStyle name="Millares 10 2 5 2 2 3" xfId="1644" xr:uid="{00000000-0005-0000-0000-000015040000}"/>
    <cellStyle name="Millares 10 2 5 2 3" xfId="1645" xr:uid="{00000000-0005-0000-0000-000016040000}"/>
    <cellStyle name="Millares 10 2 5 2 3 2" xfId="1646" xr:uid="{00000000-0005-0000-0000-000017040000}"/>
    <cellStyle name="Millares 10 2 5 2 4" xfId="1647" xr:uid="{00000000-0005-0000-0000-000018040000}"/>
    <cellStyle name="Millares 10 2 5 3" xfId="1648" xr:uid="{00000000-0005-0000-0000-000019040000}"/>
    <cellStyle name="Millares 10 2 5 3 2" xfId="1649" xr:uid="{00000000-0005-0000-0000-00001A040000}"/>
    <cellStyle name="Millares 10 2 5 3 2 2" xfId="1650" xr:uid="{00000000-0005-0000-0000-00001B040000}"/>
    <cellStyle name="Millares 10 2 5 3 3" xfId="1651" xr:uid="{00000000-0005-0000-0000-00001C040000}"/>
    <cellStyle name="Millares 10 2 5 4" xfId="1652" xr:uid="{00000000-0005-0000-0000-00001D040000}"/>
    <cellStyle name="Millares 10 2 5 4 2" xfId="1653" xr:uid="{00000000-0005-0000-0000-00001E040000}"/>
    <cellStyle name="Millares 10 2 5 5" xfId="1654" xr:uid="{00000000-0005-0000-0000-00001F040000}"/>
    <cellStyle name="Millares 10 2 6" xfId="1655" xr:uid="{00000000-0005-0000-0000-000020040000}"/>
    <cellStyle name="Millares 10 2 6 2" xfId="1656" xr:uid="{00000000-0005-0000-0000-000021040000}"/>
    <cellStyle name="Millares 10 2 6 2 2" xfId="1657" xr:uid="{00000000-0005-0000-0000-000022040000}"/>
    <cellStyle name="Millares 10 2 6 2 2 2" xfId="1658" xr:uid="{00000000-0005-0000-0000-000023040000}"/>
    <cellStyle name="Millares 10 2 6 2 2 2 2" xfId="1659" xr:uid="{00000000-0005-0000-0000-000024040000}"/>
    <cellStyle name="Millares 10 2 6 2 2 3" xfId="1660" xr:uid="{00000000-0005-0000-0000-000025040000}"/>
    <cellStyle name="Millares 10 2 6 2 3" xfId="1661" xr:uid="{00000000-0005-0000-0000-000026040000}"/>
    <cellStyle name="Millares 10 2 6 2 3 2" xfId="1662" xr:uid="{00000000-0005-0000-0000-000027040000}"/>
    <cellStyle name="Millares 10 2 6 2 4" xfId="1663" xr:uid="{00000000-0005-0000-0000-000028040000}"/>
    <cellStyle name="Millares 10 2 6 3" xfId="1664" xr:uid="{00000000-0005-0000-0000-000029040000}"/>
    <cellStyle name="Millares 10 2 6 3 2" xfId="1665" xr:uid="{00000000-0005-0000-0000-00002A040000}"/>
    <cellStyle name="Millares 10 2 6 3 2 2" xfId="1666" xr:uid="{00000000-0005-0000-0000-00002B040000}"/>
    <cellStyle name="Millares 10 2 6 3 3" xfId="1667" xr:uid="{00000000-0005-0000-0000-00002C040000}"/>
    <cellStyle name="Millares 10 2 6 4" xfId="1668" xr:uid="{00000000-0005-0000-0000-00002D040000}"/>
    <cellStyle name="Millares 10 2 6 4 2" xfId="1669" xr:uid="{00000000-0005-0000-0000-00002E040000}"/>
    <cellStyle name="Millares 10 2 6 5" xfId="1670" xr:uid="{00000000-0005-0000-0000-00002F040000}"/>
    <cellStyle name="Millares 10 2 7" xfId="1671" xr:uid="{00000000-0005-0000-0000-000030040000}"/>
    <cellStyle name="Millares 10 2 7 2" xfId="1672" xr:uid="{00000000-0005-0000-0000-000031040000}"/>
    <cellStyle name="Millares 10 2 7 2 2" xfId="1673" xr:uid="{00000000-0005-0000-0000-000032040000}"/>
    <cellStyle name="Millares 10 2 7 2 2 2" xfId="1674" xr:uid="{00000000-0005-0000-0000-000033040000}"/>
    <cellStyle name="Millares 10 2 7 2 2 2 2" xfId="1675" xr:uid="{00000000-0005-0000-0000-000034040000}"/>
    <cellStyle name="Millares 10 2 7 2 2 3" xfId="1676" xr:uid="{00000000-0005-0000-0000-000035040000}"/>
    <cellStyle name="Millares 10 2 7 2 3" xfId="1677" xr:uid="{00000000-0005-0000-0000-000036040000}"/>
    <cellStyle name="Millares 10 2 7 2 3 2" xfId="1678" xr:uid="{00000000-0005-0000-0000-000037040000}"/>
    <cellStyle name="Millares 10 2 7 2 4" xfId="1679" xr:uid="{00000000-0005-0000-0000-000038040000}"/>
    <cellStyle name="Millares 10 2 7 3" xfId="1680" xr:uid="{00000000-0005-0000-0000-000039040000}"/>
    <cellStyle name="Millares 10 2 7 3 2" xfId="1681" xr:uid="{00000000-0005-0000-0000-00003A040000}"/>
    <cellStyle name="Millares 10 2 7 3 2 2" xfId="1682" xr:uid="{00000000-0005-0000-0000-00003B040000}"/>
    <cellStyle name="Millares 10 2 7 3 3" xfId="1683" xr:uid="{00000000-0005-0000-0000-00003C040000}"/>
    <cellStyle name="Millares 10 2 7 4" xfId="1684" xr:uid="{00000000-0005-0000-0000-00003D040000}"/>
    <cellStyle name="Millares 10 2 7 4 2" xfId="1685" xr:uid="{00000000-0005-0000-0000-00003E040000}"/>
    <cellStyle name="Millares 10 2 7 5" xfId="1686" xr:uid="{00000000-0005-0000-0000-00003F040000}"/>
    <cellStyle name="Millares 10 2 8" xfId="1687" xr:uid="{00000000-0005-0000-0000-000040040000}"/>
    <cellStyle name="Millares 10 2 8 2" xfId="1688" xr:uid="{00000000-0005-0000-0000-000041040000}"/>
    <cellStyle name="Millares 10 2 8 2 2" xfId="1689" xr:uid="{00000000-0005-0000-0000-000042040000}"/>
    <cellStyle name="Millares 10 2 8 2 2 2" xfId="1690" xr:uid="{00000000-0005-0000-0000-000043040000}"/>
    <cellStyle name="Millares 10 2 8 2 3" xfId="1691" xr:uid="{00000000-0005-0000-0000-000044040000}"/>
    <cellStyle name="Millares 10 2 8 3" xfId="1692" xr:uid="{00000000-0005-0000-0000-000045040000}"/>
    <cellStyle name="Millares 10 2 8 3 2" xfId="1693" xr:uid="{00000000-0005-0000-0000-000046040000}"/>
    <cellStyle name="Millares 10 2 8 4" xfId="1694" xr:uid="{00000000-0005-0000-0000-000047040000}"/>
    <cellStyle name="Millares 10 2 9" xfId="1695" xr:uid="{00000000-0005-0000-0000-000048040000}"/>
    <cellStyle name="Millares 10 2 9 2" xfId="1696" xr:uid="{00000000-0005-0000-0000-000049040000}"/>
    <cellStyle name="Millares 10 2 9 2 2" xfId="1697" xr:uid="{00000000-0005-0000-0000-00004A040000}"/>
    <cellStyle name="Millares 10 2 9 3" xfId="1698" xr:uid="{00000000-0005-0000-0000-00004B040000}"/>
    <cellStyle name="Millares 10 3" xfId="235" xr:uid="{00000000-0005-0000-0000-00004C040000}"/>
    <cellStyle name="Millares 10 3 2" xfId="504" xr:uid="{00000000-0005-0000-0000-00004D040000}"/>
    <cellStyle name="Millares 10 3 2 2" xfId="505" xr:uid="{00000000-0005-0000-0000-00004E040000}"/>
    <cellStyle name="Millares 10 3 3" xfId="506" xr:uid="{00000000-0005-0000-0000-00004F040000}"/>
    <cellStyle name="Millares 10 3 4" xfId="507" xr:uid="{00000000-0005-0000-0000-000050040000}"/>
    <cellStyle name="Millares 10 4" xfId="508" xr:uid="{00000000-0005-0000-0000-000051040000}"/>
    <cellStyle name="Millares 10 4 2" xfId="509" xr:uid="{00000000-0005-0000-0000-000052040000}"/>
    <cellStyle name="Millares 10 4 2 2" xfId="1699" xr:uid="{00000000-0005-0000-0000-000053040000}"/>
    <cellStyle name="Millares 10 4 2 2 2" xfId="1700" xr:uid="{00000000-0005-0000-0000-000054040000}"/>
    <cellStyle name="Millares 10 4 2 2 2 2" xfId="1701" xr:uid="{00000000-0005-0000-0000-000055040000}"/>
    <cellStyle name="Millares 10 4 2 2 3" xfId="1702" xr:uid="{00000000-0005-0000-0000-000056040000}"/>
    <cellStyle name="Millares 10 4 2 3" xfId="1703" xr:uid="{00000000-0005-0000-0000-000057040000}"/>
    <cellStyle name="Millares 10 4 2 3 2" xfId="1704" xr:uid="{00000000-0005-0000-0000-000058040000}"/>
    <cellStyle name="Millares 10 4 2 4" xfId="1705" xr:uid="{00000000-0005-0000-0000-000059040000}"/>
    <cellStyle name="Millares 10 4 3" xfId="1706" xr:uid="{00000000-0005-0000-0000-00005A040000}"/>
    <cellStyle name="Millares 10 4 3 2" xfId="1707" xr:uid="{00000000-0005-0000-0000-00005B040000}"/>
    <cellStyle name="Millares 10 4 3 2 2" xfId="1708" xr:uid="{00000000-0005-0000-0000-00005C040000}"/>
    <cellStyle name="Millares 10 4 3 3" xfId="1709" xr:uid="{00000000-0005-0000-0000-00005D040000}"/>
    <cellStyle name="Millares 10 4 4" xfId="1710" xr:uid="{00000000-0005-0000-0000-00005E040000}"/>
    <cellStyle name="Millares 10 4 4 2" xfId="1711" xr:uid="{00000000-0005-0000-0000-00005F040000}"/>
    <cellStyle name="Millares 10 4 5" xfId="1712" xr:uid="{00000000-0005-0000-0000-000060040000}"/>
    <cellStyle name="Millares 10 5" xfId="510" xr:uid="{00000000-0005-0000-0000-000061040000}"/>
    <cellStyle name="Millares 10 5 2" xfId="511" xr:uid="{00000000-0005-0000-0000-000062040000}"/>
    <cellStyle name="Millares 10 5 2 2" xfId="1713" xr:uid="{00000000-0005-0000-0000-000063040000}"/>
    <cellStyle name="Millares 10 5 2 2 2" xfId="1714" xr:uid="{00000000-0005-0000-0000-000064040000}"/>
    <cellStyle name="Millares 10 5 2 2 2 2" xfId="1715" xr:uid="{00000000-0005-0000-0000-000065040000}"/>
    <cellStyle name="Millares 10 5 2 2 3" xfId="1716" xr:uid="{00000000-0005-0000-0000-000066040000}"/>
    <cellStyle name="Millares 10 5 2 3" xfId="1717" xr:uid="{00000000-0005-0000-0000-000067040000}"/>
    <cellStyle name="Millares 10 5 2 3 2" xfId="1718" xr:uid="{00000000-0005-0000-0000-000068040000}"/>
    <cellStyle name="Millares 10 5 2 4" xfId="1719" xr:uid="{00000000-0005-0000-0000-000069040000}"/>
    <cellStyle name="Millares 10 5 3" xfId="1720" xr:uid="{00000000-0005-0000-0000-00006A040000}"/>
    <cellStyle name="Millares 10 5 3 2" xfId="1721" xr:uid="{00000000-0005-0000-0000-00006B040000}"/>
    <cellStyle name="Millares 10 5 3 2 2" xfId="1722" xr:uid="{00000000-0005-0000-0000-00006C040000}"/>
    <cellStyle name="Millares 10 5 3 3" xfId="1723" xr:uid="{00000000-0005-0000-0000-00006D040000}"/>
    <cellStyle name="Millares 10 5 4" xfId="1724" xr:uid="{00000000-0005-0000-0000-00006E040000}"/>
    <cellStyle name="Millares 10 5 4 2" xfId="1725" xr:uid="{00000000-0005-0000-0000-00006F040000}"/>
    <cellStyle name="Millares 10 5 5" xfId="1726" xr:uid="{00000000-0005-0000-0000-000070040000}"/>
    <cellStyle name="Millares 10 6" xfId="512" xr:uid="{00000000-0005-0000-0000-000071040000}"/>
    <cellStyle name="Millares 10 6 2" xfId="1727" xr:uid="{00000000-0005-0000-0000-000072040000}"/>
    <cellStyle name="Millares 10 6 2 2" xfId="1728" xr:uid="{00000000-0005-0000-0000-000073040000}"/>
    <cellStyle name="Millares 10 6 2 2 2" xfId="1729" xr:uid="{00000000-0005-0000-0000-000074040000}"/>
    <cellStyle name="Millares 10 6 2 2 2 2" xfId="1730" xr:uid="{00000000-0005-0000-0000-000075040000}"/>
    <cellStyle name="Millares 10 6 2 2 3" xfId="1731" xr:uid="{00000000-0005-0000-0000-000076040000}"/>
    <cellStyle name="Millares 10 6 2 3" xfId="1732" xr:uid="{00000000-0005-0000-0000-000077040000}"/>
    <cellStyle name="Millares 10 6 2 3 2" xfId="1733" xr:uid="{00000000-0005-0000-0000-000078040000}"/>
    <cellStyle name="Millares 10 6 2 4" xfId="1734" xr:uid="{00000000-0005-0000-0000-000079040000}"/>
    <cellStyle name="Millares 10 6 3" xfId="1735" xr:uid="{00000000-0005-0000-0000-00007A040000}"/>
    <cellStyle name="Millares 10 6 3 2" xfId="1736" xr:uid="{00000000-0005-0000-0000-00007B040000}"/>
    <cellStyle name="Millares 10 6 3 2 2" xfId="1737" xr:uid="{00000000-0005-0000-0000-00007C040000}"/>
    <cellStyle name="Millares 10 6 3 3" xfId="1738" xr:uid="{00000000-0005-0000-0000-00007D040000}"/>
    <cellStyle name="Millares 10 6 4" xfId="1739" xr:uid="{00000000-0005-0000-0000-00007E040000}"/>
    <cellStyle name="Millares 10 6 4 2" xfId="1740" xr:uid="{00000000-0005-0000-0000-00007F040000}"/>
    <cellStyle name="Millares 10 6 5" xfId="1741" xr:uid="{00000000-0005-0000-0000-000080040000}"/>
    <cellStyle name="Millares 10 7" xfId="1742" xr:uid="{00000000-0005-0000-0000-000081040000}"/>
    <cellStyle name="Millares 10 7 2" xfId="1743" xr:uid="{00000000-0005-0000-0000-000082040000}"/>
    <cellStyle name="Millares 10 7 2 2" xfId="1744" xr:uid="{00000000-0005-0000-0000-000083040000}"/>
    <cellStyle name="Millares 10 7 2 2 2" xfId="1745" xr:uid="{00000000-0005-0000-0000-000084040000}"/>
    <cellStyle name="Millares 10 7 2 2 2 2" xfId="1746" xr:uid="{00000000-0005-0000-0000-000085040000}"/>
    <cellStyle name="Millares 10 7 2 2 3" xfId="1747" xr:uid="{00000000-0005-0000-0000-000086040000}"/>
    <cellStyle name="Millares 10 7 2 3" xfId="1748" xr:uid="{00000000-0005-0000-0000-000087040000}"/>
    <cellStyle name="Millares 10 7 2 3 2" xfId="1749" xr:uid="{00000000-0005-0000-0000-000088040000}"/>
    <cellStyle name="Millares 10 7 2 4" xfId="1750" xr:uid="{00000000-0005-0000-0000-000089040000}"/>
    <cellStyle name="Millares 10 7 3" xfId="1751" xr:uid="{00000000-0005-0000-0000-00008A040000}"/>
    <cellStyle name="Millares 10 7 3 2" xfId="1752" xr:uid="{00000000-0005-0000-0000-00008B040000}"/>
    <cellStyle name="Millares 10 7 3 2 2" xfId="1753" xr:uid="{00000000-0005-0000-0000-00008C040000}"/>
    <cellStyle name="Millares 10 7 3 3" xfId="1754" xr:uid="{00000000-0005-0000-0000-00008D040000}"/>
    <cellStyle name="Millares 10 7 4" xfId="1755" xr:uid="{00000000-0005-0000-0000-00008E040000}"/>
    <cellStyle name="Millares 10 7 4 2" xfId="1756" xr:uid="{00000000-0005-0000-0000-00008F040000}"/>
    <cellStyle name="Millares 10 7 5" xfId="1757" xr:uid="{00000000-0005-0000-0000-000090040000}"/>
    <cellStyle name="Millares 10 8" xfId="1758" xr:uid="{00000000-0005-0000-0000-000091040000}"/>
    <cellStyle name="Millares 10 8 2" xfId="1759" xr:uid="{00000000-0005-0000-0000-000092040000}"/>
    <cellStyle name="Millares 10 8 2 2" xfId="1760" xr:uid="{00000000-0005-0000-0000-000093040000}"/>
    <cellStyle name="Millares 10 8 2 2 2" xfId="1761" xr:uid="{00000000-0005-0000-0000-000094040000}"/>
    <cellStyle name="Millares 10 8 2 2 2 2" xfId="1762" xr:uid="{00000000-0005-0000-0000-000095040000}"/>
    <cellStyle name="Millares 10 8 2 2 3" xfId="1763" xr:uid="{00000000-0005-0000-0000-000096040000}"/>
    <cellStyle name="Millares 10 8 2 3" xfId="1764" xr:uid="{00000000-0005-0000-0000-000097040000}"/>
    <cellStyle name="Millares 10 8 2 3 2" xfId="1765" xr:uid="{00000000-0005-0000-0000-000098040000}"/>
    <cellStyle name="Millares 10 8 2 4" xfId="1766" xr:uid="{00000000-0005-0000-0000-000099040000}"/>
    <cellStyle name="Millares 10 8 3" xfId="1767" xr:uid="{00000000-0005-0000-0000-00009A040000}"/>
    <cellStyle name="Millares 10 8 3 2" xfId="1768" xr:uid="{00000000-0005-0000-0000-00009B040000}"/>
    <cellStyle name="Millares 10 8 3 2 2" xfId="1769" xr:uid="{00000000-0005-0000-0000-00009C040000}"/>
    <cellStyle name="Millares 10 8 3 3" xfId="1770" xr:uid="{00000000-0005-0000-0000-00009D040000}"/>
    <cellStyle name="Millares 10 8 4" xfId="1771" xr:uid="{00000000-0005-0000-0000-00009E040000}"/>
    <cellStyle name="Millares 10 8 4 2" xfId="1772" xr:uid="{00000000-0005-0000-0000-00009F040000}"/>
    <cellStyle name="Millares 10 8 5" xfId="1773" xr:uid="{00000000-0005-0000-0000-0000A0040000}"/>
    <cellStyle name="Millares 10 9" xfId="1774" xr:uid="{00000000-0005-0000-0000-0000A1040000}"/>
    <cellStyle name="Millares 10 9 2" xfId="1775" xr:uid="{00000000-0005-0000-0000-0000A2040000}"/>
    <cellStyle name="Millares 10 9 2 2" xfId="1776" xr:uid="{00000000-0005-0000-0000-0000A3040000}"/>
    <cellStyle name="Millares 10 9 2 2 2" xfId="1777" xr:uid="{00000000-0005-0000-0000-0000A4040000}"/>
    <cellStyle name="Millares 10 9 2 3" xfId="1778" xr:uid="{00000000-0005-0000-0000-0000A5040000}"/>
    <cellStyle name="Millares 10 9 3" xfId="1779" xr:uid="{00000000-0005-0000-0000-0000A6040000}"/>
    <cellStyle name="Millares 10 9 3 2" xfId="1780" xr:uid="{00000000-0005-0000-0000-0000A7040000}"/>
    <cellStyle name="Millares 10 9 4" xfId="1781" xr:uid="{00000000-0005-0000-0000-0000A8040000}"/>
    <cellStyle name="Millares 11" xfId="110" xr:uid="{00000000-0005-0000-0000-0000A9040000}"/>
    <cellStyle name="Millares 11 2" xfId="111" xr:uid="{00000000-0005-0000-0000-0000AA040000}"/>
    <cellStyle name="Millares 11 2 2" xfId="1782" xr:uid="{00000000-0005-0000-0000-0000AB040000}"/>
    <cellStyle name="Millares 11 2 2 2" xfId="1783" xr:uid="{00000000-0005-0000-0000-0000AC040000}"/>
    <cellStyle name="Millares 11 2 3" xfId="1784" xr:uid="{00000000-0005-0000-0000-0000AD040000}"/>
    <cellStyle name="Millares 11 3" xfId="1785" xr:uid="{00000000-0005-0000-0000-0000AE040000}"/>
    <cellStyle name="Millares 11 3 2" xfId="1786" xr:uid="{00000000-0005-0000-0000-0000AF040000}"/>
    <cellStyle name="Millares 11 4" xfId="1787" xr:uid="{00000000-0005-0000-0000-0000B0040000}"/>
    <cellStyle name="Millares 12" xfId="215" xr:uid="{00000000-0005-0000-0000-0000B1040000}"/>
    <cellStyle name="Millares 12 10" xfId="1788" xr:uid="{00000000-0005-0000-0000-0000B2040000}"/>
    <cellStyle name="Millares 12 10 2" xfId="1789" xr:uid="{00000000-0005-0000-0000-0000B3040000}"/>
    <cellStyle name="Millares 12 11" xfId="1790" xr:uid="{00000000-0005-0000-0000-0000B4040000}"/>
    <cellStyle name="Millares 12 2" xfId="380" xr:uid="{00000000-0005-0000-0000-0000B5040000}"/>
    <cellStyle name="Millares 12 2 2" xfId="513" xr:uid="{00000000-0005-0000-0000-0000B6040000}"/>
    <cellStyle name="Millares 12 2 2 2" xfId="514" xr:uid="{00000000-0005-0000-0000-0000B7040000}"/>
    <cellStyle name="Millares 12 2 3" xfId="515" xr:uid="{00000000-0005-0000-0000-0000B8040000}"/>
    <cellStyle name="Millares 12 3" xfId="516" xr:uid="{00000000-0005-0000-0000-0000B9040000}"/>
    <cellStyle name="Millares 12 3 2" xfId="517" xr:uid="{00000000-0005-0000-0000-0000BA040000}"/>
    <cellStyle name="Millares 12 3 2 2" xfId="1791" xr:uid="{00000000-0005-0000-0000-0000BB040000}"/>
    <cellStyle name="Millares 12 3 2 2 2" xfId="1792" xr:uid="{00000000-0005-0000-0000-0000BC040000}"/>
    <cellStyle name="Millares 12 3 2 2 2 2" xfId="1793" xr:uid="{00000000-0005-0000-0000-0000BD040000}"/>
    <cellStyle name="Millares 12 3 2 2 3" xfId="1794" xr:uid="{00000000-0005-0000-0000-0000BE040000}"/>
    <cellStyle name="Millares 12 3 2 3" xfId="1795" xr:uid="{00000000-0005-0000-0000-0000BF040000}"/>
    <cellStyle name="Millares 12 3 2 3 2" xfId="1796" xr:uid="{00000000-0005-0000-0000-0000C0040000}"/>
    <cellStyle name="Millares 12 3 2 4" xfId="1797" xr:uid="{00000000-0005-0000-0000-0000C1040000}"/>
    <cellStyle name="Millares 12 3 3" xfId="1798" xr:uid="{00000000-0005-0000-0000-0000C2040000}"/>
    <cellStyle name="Millares 12 3 3 2" xfId="1799" xr:uid="{00000000-0005-0000-0000-0000C3040000}"/>
    <cellStyle name="Millares 12 3 3 2 2" xfId="1800" xr:uid="{00000000-0005-0000-0000-0000C4040000}"/>
    <cellStyle name="Millares 12 3 3 3" xfId="1801" xr:uid="{00000000-0005-0000-0000-0000C5040000}"/>
    <cellStyle name="Millares 12 3 4" xfId="1802" xr:uid="{00000000-0005-0000-0000-0000C6040000}"/>
    <cellStyle name="Millares 12 3 4 2" xfId="1803" xr:uid="{00000000-0005-0000-0000-0000C7040000}"/>
    <cellStyle name="Millares 12 3 5" xfId="1804" xr:uid="{00000000-0005-0000-0000-0000C8040000}"/>
    <cellStyle name="Millares 12 4" xfId="518" xr:uid="{00000000-0005-0000-0000-0000C9040000}"/>
    <cellStyle name="Millares 12 4 2" xfId="519" xr:uid="{00000000-0005-0000-0000-0000CA040000}"/>
    <cellStyle name="Millares 12 4 2 2" xfId="1805" xr:uid="{00000000-0005-0000-0000-0000CB040000}"/>
    <cellStyle name="Millares 12 4 2 2 2" xfId="1806" xr:uid="{00000000-0005-0000-0000-0000CC040000}"/>
    <cellStyle name="Millares 12 4 2 2 2 2" xfId="1807" xr:uid="{00000000-0005-0000-0000-0000CD040000}"/>
    <cellStyle name="Millares 12 4 2 2 3" xfId="1808" xr:uid="{00000000-0005-0000-0000-0000CE040000}"/>
    <cellStyle name="Millares 12 4 2 3" xfId="1809" xr:uid="{00000000-0005-0000-0000-0000CF040000}"/>
    <cellStyle name="Millares 12 4 2 3 2" xfId="1810" xr:uid="{00000000-0005-0000-0000-0000D0040000}"/>
    <cellStyle name="Millares 12 4 2 4" xfId="1811" xr:uid="{00000000-0005-0000-0000-0000D1040000}"/>
    <cellStyle name="Millares 12 4 3" xfId="1812" xr:uid="{00000000-0005-0000-0000-0000D2040000}"/>
    <cellStyle name="Millares 12 4 3 2" xfId="1813" xr:uid="{00000000-0005-0000-0000-0000D3040000}"/>
    <cellStyle name="Millares 12 4 3 2 2" xfId="1814" xr:uid="{00000000-0005-0000-0000-0000D4040000}"/>
    <cellStyle name="Millares 12 4 3 3" xfId="1815" xr:uid="{00000000-0005-0000-0000-0000D5040000}"/>
    <cellStyle name="Millares 12 4 4" xfId="1816" xr:uid="{00000000-0005-0000-0000-0000D6040000}"/>
    <cellStyle name="Millares 12 4 4 2" xfId="1817" xr:uid="{00000000-0005-0000-0000-0000D7040000}"/>
    <cellStyle name="Millares 12 4 5" xfId="1818" xr:uid="{00000000-0005-0000-0000-0000D8040000}"/>
    <cellStyle name="Millares 12 5" xfId="520" xr:uid="{00000000-0005-0000-0000-0000D9040000}"/>
    <cellStyle name="Millares 12 5 2" xfId="1819" xr:uid="{00000000-0005-0000-0000-0000DA040000}"/>
    <cellStyle name="Millares 12 5 2 2" xfId="1820" xr:uid="{00000000-0005-0000-0000-0000DB040000}"/>
    <cellStyle name="Millares 12 5 2 2 2" xfId="1821" xr:uid="{00000000-0005-0000-0000-0000DC040000}"/>
    <cellStyle name="Millares 12 5 2 2 2 2" xfId="1822" xr:uid="{00000000-0005-0000-0000-0000DD040000}"/>
    <cellStyle name="Millares 12 5 2 2 3" xfId="1823" xr:uid="{00000000-0005-0000-0000-0000DE040000}"/>
    <cellStyle name="Millares 12 5 2 3" xfId="1824" xr:uid="{00000000-0005-0000-0000-0000DF040000}"/>
    <cellStyle name="Millares 12 5 2 3 2" xfId="1825" xr:uid="{00000000-0005-0000-0000-0000E0040000}"/>
    <cellStyle name="Millares 12 5 2 4" xfId="1826" xr:uid="{00000000-0005-0000-0000-0000E1040000}"/>
    <cellStyle name="Millares 12 5 3" xfId="1827" xr:uid="{00000000-0005-0000-0000-0000E2040000}"/>
    <cellStyle name="Millares 12 5 3 2" xfId="1828" xr:uid="{00000000-0005-0000-0000-0000E3040000}"/>
    <cellStyle name="Millares 12 5 3 2 2" xfId="1829" xr:uid="{00000000-0005-0000-0000-0000E4040000}"/>
    <cellStyle name="Millares 12 5 3 3" xfId="1830" xr:uid="{00000000-0005-0000-0000-0000E5040000}"/>
    <cellStyle name="Millares 12 5 4" xfId="1831" xr:uid="{00000000-0005-0000-0000-0000E6040000}"/>
    <cellStyle name="Millares 12 5 4 2" xfId="1832" xr:uid="{00000000-0005-0000-0000-0000E7040000}"/>
    <cellStyle name="Millares 12 5 5" xfId="1833" xr:uid="{00000000-0005-0000-0000-0000E8040000}"/>
    <cellStyle name="Millares 12 6" xfId="1834" xr:uid="{00000000-0005-0000-0000-0000E9040000}"/>
    <cellStyle name="Millares 12 6 2" xfId="1835" xr:uid="{00000000-0005-0000-0000-0000EA040000}"/>
    <cellStyle name="Millares 12 6 2 2" xfId="1836" xr:uid="{00000000-0005-0000-0000-0000EB040000}"/>
    <cellStyle name="Millares 12 6 2 2 2" xfId="1837" xr:uid="{00000000-0005-0000-0000-0000EC040000}"/>
    <cellStyle name="Millares 12 6 2 2 2 2" xfId="1838" xr:uid="{00000000-0005-0000-0000-0000ED040000}"/>
    <cellStyle name="Millares 12 6 2 2 3" xfId="1839" xr:uid="{00000000-0005-0000-0000-0000EE040000}"/>
    <cellStyle name="Millares 12 6 2 3" xfId="1840" xr:uid="{00000000-0005-0000-0000-0000EF040000}"/>
    <cellStyle name="Millares 12 6 2 3 2" xfId="1841" xr:uid="{00000000-0005-0000-0000-0000F0040000}"/>
    <cellStyle name="Millares 12 6 2 4" xfId="1842" xr:uid="{00000000-0005-0000-0000-0000F1040000}"/>
    <cellStyle name="Millares 12 6 3" xfId="1843" xr:uid="{00000000-0005-0000-0000-0000F2040000}"/>
    <cellStyle name="Millares 12 6 3 2" xfId="1844" xr:uid="{00000000-0005-0000-0000-0000F3040000}"/>
    <cellStyle name="Millares 12 6 3 2 2" xfId="1845" xr:uid="{00000000-0005-0000-0000-0000F4040000}"/>
    <cellStyle name="Millares 12 6 3 3" xfId="1846" xr:uid="{00000000-0005-0000-0000-0000F5040000}"/>
    <cellStyle name="Millares 12 6 4" xfId="1847" xr:uid="{00000000-0005-0000-0000-0000F6040000}"/>
    <cellStyle name="Millares 12 6 4 2" xfId="1848" xr:uid="{00000000-0005-0000-0000-0000F7040000}"/>
    <cellStyle name="Millares 12 6 5" xfId="1849" xr:uid="{00000000-0005-0000-0000-0000F8040000}"/>
    <cellStyle name="Millares 12 7" xfId="1850" xr:uid="{00000000-0005-0000-0000-0000F9040000}"/>
    <cellStyle name="Millares 12 7 2" xfId="1851" xr:uid="{00000000-0005-0000-0000-0000FA040000}"/>
    <cellStyle name="Millares 12 7 2 2" xfId="1852" xr:uid="{00000000-0005-0000-0000-0000FB040000}"/>
    <cellStyle name="Millares 12 7 2 2 2" xfId="1853" xr:uid="{00000000-0005-0000-0000-0000FC040000}"/>
    <cellStyle name="Millares 12 7 2 2 2 2" xfId="1854" xr:uid="{00000000-0005-0000-0000-0000FD040000}"/>
    <cellStyle name="Millares 12 7 2 2 3" xfId="1855" xr:uid="{00000000-0005-0000-0000-0000FE040000}"/>
    <cellStyle name="Millares 12 7 2 3" xfId="1856" xr:uid="{00000000-0005-0000-0000-0000FF040000}"/>
    <cellStyle name="Millares 12 7 2 3 2" xfId="1857" xr:uid="{00000000-0005-0000-0000-000000050000}"/>
    <cellStyle name="Millares 12 7 2 4" xfId="1858" xr:uid="{00000000-0005-0000-0000-000001050000}"/>
    <cellStyle name="Millares 12 7 3" xfId="1859" xr:uid="{00000000-0005-0000-0000-000002050000}"/>
    <cellStyle name="Millares 12 7 3 2" xfId="1860" xr:uid="{00000000-0005-0000-0000-000003050000}"/>
    <cellStyle name="Millares 12 7 3 2 2" xfId="1861" xr:uid="{00000000-0005-0000-0000-000004050000}"/>
    <cellStyle name="Millares 12 7 3 3" xfId="1862" xr:uid="{00000000-0005-0000-0000-000005050000}"/>
    <cellStyle name="Millares 12 7 4" xfId="1863" xr:uid="{00000000-0005-0000-0000-000006050000}"/>
    <cellStyle name="Millares 12 7 4 2" xfId="1864" xr:uid="{00000000-0005-0000-0000-000007050000}"/>
    <cellStyle name="Millares 12 7 5" xfId="1865" xr:uid="{00000000-0005-0000-0000-000008050000}"/>
    <cellStyle name="Millares 12 8" xfId="1866" xr:uid="{00000000-0005-0000-0000-000009050000}"/>
    <cellStyle name="Millares 12 8 2" xfId="1867" xr:uid="{00000000-0005-0000-0000-00000A050000}"/>
    <cellStyle name="Millares 12 8 2 2" xfId="1868" xr:uid="{00000000-0005-0000-0000-00000B050000}"/>
    <cellStyle name="Millares 12 8 2 2 2" xfId="1869" xr:uid="{00000000-0005-0000-0000-00000C050000}"/>
    <cellStyle name="Millares 12 8 2 3" xfId="1870" xr:uid="{00000000-0005-0000-0000-00000D050000}"/>
    <cellStyle name="Millares 12 8 3" xfId="1871" xr:uid="{00000000-0005-0000-0000-00000E050000}"/>
    <cellStyle name="Millares 12 8 3 2" xfId="1872" xr:uid="{00000000-0005-0000-0000-00000F050000}"/>
    <cellStyle name="Millares 12 8 4" xfId="1873" xr:uid="{00000000-0005-0000-0000-000010050000}"/>
    <cellStyle name="Millares 12 9" xfId="1874" xr:uid="{00000000-0005-0000-0000-000011050000}"/>
    <cellStyle name="Millares 12 9 2" xfId="1875" xr:uid="{00000000-0005-0000-0000-000012050000}"/>
    <cellStyle name="Millares 12 9 2 2" xfId="1876" xr:uid="{00000000-0005-0000-0000-000013050000}"/>
    <cellStyle name="Millares 12 9 3" xfId="1877" xr:uid="{00000000-0005-0000-0000-000014050000}"/>
    <cellStyle name="Millares 13" xfId="521" xr:uid="{00000000-0005-0000-0000-000015050000}"/>
    <cellStyle name="Millares 13 2" xfId="522" xr:uid="{00000000-0005-0000-0000-000016050000}"/>
    <cellStyle name="Millares 13 2 2" xfId="523" xr:uid="{00000000-0005-0000-0000-000017050000}"/>
    <cellStyle name="Millares 13 2 2 2" xfId="524" xr:uid="{00000000-0005-0000-0000-000018050000}"/>
    <cellStyle name="Millares 13 2 2 2 2" xfId="1878" xr:uid="{00000000-0005-0000-0000-000019050000}"/>
    <cellStyle name="Millares 13 2 2 3" xfId="1879" xr:uid="{00000000-0005-0000-0000-00001A050000}"/>
    <cellStyle name="Millares 13 2 3" xfId="525" xr:uid="{00000000-0005-0000-0000-00001B050000}"/>
    <cellStyle name="Millares 13 2 3 2" xfId="1880" xr:uid="{00000000-0005-0000-0000-00001C050000}"/>
    <cellStyle name="Millares 13 2 4" xfId="1881" xr:uid="{00000000-0005-0000-0000-00001D050000}"/>
    <cellStyle name="Millares 13 3" xfId="526" xr:uid="{00000000-0005-0000-0000-00001E050000}"/>
    <cellStyle name="Millares 13 3 2" xfId="527" xr:uid="{00000000-0005-0000-0000-00001F050000}"/>
    <cellStyle name="Millares 13 4" xfId="528" xr:uid="{00000000-0005-0000-0000-000020050000}"/>
    <cellStyle name="Millares 14" xfId="529" xr:uid="{00000000-0005-0000-0000-000021050000}"/>
    <cellStyle name="Millares 14 2" xfId="530" xr:uid="{00000000-0005-0000-0000-000022050000}"/>
    <cellStyle name="Millares 15" xfId="531" xr:uid="{00000000-0005-0000-0000-000023050000}"/>
    <cellStyle name="Millares 15 2" xfId="532" xr:uid="{00000000-0005-0000-0000-000024050000}"/>
    <cellStyle name="Millares 16" xfId="397" xr:uid="{00000000-0005-0000-0000-000025050000}"/>
    <cellStyle name="Millares 17" xfId="533" xr:uid="{00000000-0005-0000-0000-000026050000}"/>
    <cellStyle name="Millares 17 2" xfId="534" xr:uid="{00000000-0005-0000-0000-000027050000}"/>
    <cellStyle name="Millares 18" xfId="535" xr:uid="{00000000-0005-0000-0000-000028050000}"/>
    <cellStyle name="Millares 18 2" xfId="536" xr:uid="{00000000-0005-0000-0000-000029050000}"/>
    <cellStyle name="Millares 19" xfId="440" xr:uid="{00000000-0005-0000-0000-00002A050000}"/>
    <cellStyle name="Millares 19 2" xfId="537" xr:uid="{00000000-0005-0000-0000-00002B050000}"/>
    <cellStyle name="Millares 19 2 2" xfId="538" xr:uid="{00000000-0005-0000-0000-00002C050000}"/>
    <cellStyle name="Millares 19 3" xfId="539" xr:uid="{00000000-0005-0000-0000-00002D050000}"/>
    <cellStyle name="Millares 2" xfId="112" xr:uid="{00000000-0005-0000-0000-00002E050000}"/>
    <cellStyle name="Millares 2 2" xfId="113" xr:uid="{00000000-0005-0000-0000-00002F050000}"/>
    <cellStyle name="Millares 2 2 2" xfId="195" xr:uid="{00000000-0005-0000-0000-000030050000}"/>
    <cellStyle name="Millares 2 2 2 2" xfId="1882" xr:uid="{00000000-0005-0000-0000-000031050000}"/>
    <cellStyle name="Millares 2 2 3" xfId="1883" xr:uid="{00000000-0005-0000-0000-000032050000}"/>
    <cellStyle name="Millares 2 3" xfId="114" xr:uid="{00000000-0005-0000-0000-000033050000}"/>
    <cellStyle name="Millares 2 3 2" xfId="1884" xr:uid="{00000000-0005-0000-0000-000034050000}"/>
    <cellStyle name="Millares 2 4" xfId="1885" xr:uid="{00000000-0005-0000-0000-000035050000}"/>
    <cellStyle name="Millares 3" xfId="115" xr:uid="{00000000-0005-0000-0000-000036050000}"/>
    <cellStyle name="Millares 3 2" xfId="116" xr:uid="{00000000-0005-0000-0000-000037050000}"/>
    <cellStyle name="Millares 3 2 2" xfId="197" xr:uid="{00000000-0005-0000-0000-000038050000}"/>
    <cellStyle name="Millares 3 2 2 2" xfId="1886" xr:uid="{00000000-0005-0000-0000-000039050000}"/>
    <cellStyle name="Millares 3 2 3" xfId="1887" xr:uid="{00000000-0005-0000-0000-00003A050000}"/>
    <cellStyle name="Millares 3 3" xfId="196" xr:uid="{00000000-0005-0000-0000-00003B050000}"/>
    <cellStyle name="Millares 3 3 2" xfId="1888" xr:uid="{00000000-0005-0000-0000-00003C050000}"/>
    <cellStyle name="Millares 3 4" xfId="216" xr:uid="{00000000-0005-0000-0000-00003D050000}"/>
    <cellStyle name="Millares 3 4 2" xfId="1889" xr:uid="{00000000-0005-0000-0000-00003E050000}"/>
    <cellStyle name="Millares 3 5" xfId="1890" xr:uid="{00000000-0005-0000-0000-00003F050000}"/>
    <cellStyle name="Millares 4" xfId="117" xr:uid="{00000000-0005-0000-0000-000040050000}"/>
    <cellStyle name="Millares 4 2" xfId="118" xr:uid="{00000000-0005-0000-0000-000041050000}"/>
    <cellStyle name="Millares 4 2 2" xfId="119" xr:uid="{00000000-0005-0000-0000-000042050000}"/>
    <cellStyle name="Millares 4 2 2 2" xfId="1891" xr:uid="{00000000-0005-0000-0000-000043050000}"/>
    <cellStyle name="Millares 4 2 2 2 2" xfId="1892" xr:uid="{00000000-0005-0000-0000-000044050000}"/>
    <cellStyle name="Millares 4 2 2 3" xfId="1893" xr:uid="{00000000-0005-0000-0000-000045050000}"/>
    <cellStyle name="Millares 4 2 3" xfId="1894" xr:uid="{00000000-0005-0000-0000-000046050000}"/>
    <cellStyle name="Millares 4 2 3 2" xfId="1895" xr:uid="{00000000-0005-0000-0000-000047050000}"/>
    <cellStyle name="Millares 4 2 4" xfId="1896" xr:uid="{00000000-0005-0000-0000-000048050000}"/>
    <cellStyle name="Millares 4 3" xfId="120" xr:uid="{00000000-0005-0000-0000-000049050000}"/>
    <cellStyle name="Millares 4 3 2" xfId="121" xr:uid="{00000000-0005-0000-0000-00004A050000}"/>
    <cellStyle name="Millares 4 3 2 2" xfId="1897" xr:uid="{00000000-0005-0000-0000-00004B050000}"/>
    <cellStyle name="Millares 4 3 2 2 2" xfId="1898" xr:uid="{00000000-0005-0000-0000-00004C050000}"/>
    <cellStyle name="Millares 4 3 2 3" xfId="1899" xr:uid="{00000000-0005-0000-0000-00004D050000}"/>
    <cellStyle name="Millares 4 3 3" xfId="1900" xr:uid="{00000000-0005-0000-0000-00004E050000}"/>
    <cellStyle name="Millares 4 3 3 2" xfId="1901" xr:uid="{00000000-0005-0000-0000-00004F050000}"/>
    <cellStyle name="Millares 4 3 4" xfId="1902" xr:uid="{00000000-0005-0000-0000-000050050000}"/>
    <cellStyle name="Millares 4 4" xfId="122" xr:uid="{00000000-0005-0000-0000-000051050000}"/>
    <cellStyle name="Millares 4 4 2" xfId="1903" xr:uid="{00000000-0005-0000-0000-000052050000}"/>
    <cellStyle name="Millares 4 4 2 2" xfId="1904" xr:uid="{00000000-0005-0000-0000-000053050000}"/>
    <cellStyle name="Millares 4 4 3" xfId="1905" xr:uid="{00000000-0005-0000-0000-000054050000}"/>
    <cellStyle name="Millares 4 5" xfId="1906" xr:uid="{00000000-0005-0000-0000-000055050000}"/>
    <cellStyle name="Millares 4 5 2" xfId="1907" xr:uid="{00000000-0005-0000-0000-000056050000}"/>
    <cellStyle name="Millares 4 6" xfId="1908" xr:uid="{00000000-0005-0000-0000-000057050000}"/>
    <cellStyle name="Millares 5" xfId="123" xr:uid="{00000000-0005-0000-0000-000058050000}"/>
    <cellStyle name="Millares 5 2" xfId="124" xr:uid="{00000000-0005-0000-0000-000059050000}"/>
    <cellStyle name="Millares 5 2 2" xfId="217" xr:uid="{00000000-0005-0000-0000-00005A050000}"/>
    <cellStyle name="Millares 5 2 2 2" xfId="1909" xr:uid="{00000000-0005-0000-0000-00005B050000}"/>
    <cellStyle name="Millares 5 2 3" xfId="1910" xr:uid="{00000000-0005-0000-0000-00005C050000}"/>
    <cellStyle name="Millares 5 3" xfId="198" xr:uid="{00000000-0005-0000-0000-00005D050000}"/>
    <cellStyle name="Millares 5 3 2" xfId="1911" xr:uid="{00000000-0005-0000-0000-00005E050000}"/>
    <cellStyle name="Millares 5 4" xfId="1912" xr:uid="{00000000-0005-0000-0000-00005F050000}"/>
    <cellStyle name="Millares 6" xfId="125" xr:uid="{00000000-0005-0000-0000-000060050000}"/>
    <cellStyle name="Millares 6 2" xfId="199" xr:uid="{00000000-0005-0000-0000-000061050000}"/>
    <cellStyle name="Millares 6 2 2" xfId="1913" xr:uid="{00000000-0005-0000-0000-000062050000}"/>
    <cellStyle name="Millares 6 3" xfId="1914" xr:uid="{00000000-0005-0000-0000-000063050000}"/>
    <cellStyle name="Millares 7" xfId="126" xr:uid="{00000000-0005-0000-0000-000064050000}"/>
    <cellStyle name="Millares 7 2" xfId="127" xr:uid="{00000000-0005-0000-0000-000065050000}"/>
    <cellStyle name="Millares 7 2 10" xfId="1915" xr:uid="{00000000-0005-0000-0000-000066050000}"/>
    <cellStyle name="Millares 7 2 10 2" xfId="1916" xr:uid="{00000000-0005-0000-0000-000067050000}"/>
    <cellStyle name="Millares 7 2 11" xfId="1917" xr:uid="{00000000-0005-0000-0000-000068050000}"/>
    <cellStyle name="Millares 7 2 2" xfId="381" xr:uid="{00000000-0005-0000-0000-000069050000}"/>
    <cellStyle name="Millares 7 2 2 2" xfId="540" xr:uid="{00000000-0005-0000-0000-00006A050000}"/>
    <cellStyle name="Millares 7 2 2 2 2" xfId="541" xr:uid="{00000000-0005-0000-0000-00006B050000}"/>
    <cellStyle name="Millares 7 2 2 3" xfId="542" xr:uid="{00000000-0005-0000-0000-00006C050000}"/>
    <cellStyle name="Millares 7 2 3" xfId="543" xr:uid="{00000000-0005-0000-0000-00006D050000}"/>
    <cellStyle name="Millares 7 2 3 2" xfId="544" xr:uid="{00000000-0005-0000-0000-00006E050000}"/>
    <cellStyle name="Millares 7 2 3 2 2" xfId="1918" xr:uid="{00000000-0005-0000-0000-00006F050000}"/>
    <cellStyle name="Millares 7 2 3 2 2 2" xfId="1919" xr:uid="{00000000-0005-0000-0000-000070050000}"/>
    <cellStyle name="Millares 7 2 3 2 2 2 2" xfId="1920" xr:uid="{00000000-0005-0000-0000-000071050000}"/>
    <cellStyle name="Millares 7 2 3 2 2 3" xfId="1921" xr:uid="{00000000-0005-0000-0000-000072050000}"/>
    <cellStyle name="Millares 7 2 3 2 3" xfId="1922" xr:uid="{00000000-0005-0000-0000-000073050000}"/>
    <cellStyle name="Millares 7 2 3 2 3 2" xfId="1923" xr:uid="{00000000-0005-0000-0000-000074050000}"/>
    <cellStyle name="Millares 7 2 3 2 4" xfId="1924" xr:uid="{00000000-0005-0000-0000-000075050000}"/>
    <cellStyle name="Millares 7 2 3 3" xfId="1925" xr:uid="{00000000-0005-0000-0000-000076050000}"/>
    <cellStyle name="Millares 7 2 3 3 2" xfId="1926" xr:uid="{00000000-0005-0000-0000-000077050000}"/>
    <cellStyle name="Millares 7 2 3 3 2 2" xfId="1927" xr:uid="{00000000-0005-0000-0000-000078050000}"/>
    <cellStyle name="Millares 7 2 3 3 3" xfId="1928" xr:uid="{00000000-0005-0000-0000-000079050000}"/>
    <cellStyle name="Millares 7 2 3 4" xfId="1929" xr:uid="{00000000-0005-0000-0000-00007A050000}"/>
    <cellStyle name="Millares 7 2 3 4 2" xfId="1930" xr:uid="{00000000-0005-0000-0000-00007B050000}"/>
    <cellStyle name="Millares 7 2 3 5" xfId="1931" xr:uid="{00000000-0005-0000-0000-00007C050000}"/>
    <cellStyle name="Millares 7 2 4" xfId="545" xr:uid="{00000000-0005-0000-0000-00007D050000}"/>
    <cellStyle name="Millares 7 2 4 2" xfId="546" xr:uid="{00000000-0005-0000-0000-00007E050000}"/>
    <cellStyle name="Millares 7 2 4 2 2" xfId="1932" xr:uid="{00000000-0005-0000-0000-00007F050000}"/>
    <cellStyle name="Millares 7 2 4 2 2 2" xfId="1933" xr:uid="{00000000-0005-0000-0000-000080050000}"/>
    <cellStyle name="Millares 7 2 4 2 2 2 2" xfId="1934" xr:uid="{00000000-0005-0000-0000-000081050000}"/>
    <cellStyle name="Millares 7 2 4 2 2 3" xfId="1935" xr:uid="{00000000-0005-0000-0000-000082050000}"/>
    <cellStyle name="Millares 7 2 4 2 3" xfId="1936" xr:uid="{00000000-0005-0000-0000-000083050000}"/>
    <cellStyle name="Millares 7 2 4 2 3 2" xfId="1937" xr:uid="{00000000-0005-0000-0000-000084050000}"/>
    <cellStyle name="Millares 7 2 4 2 4" xfId="1938" xr:uid="{00000000-0005-0000-0000-000085050000}"/>
    <cellStyle name="Millares 7 2 4 3" xfId="1939" xr:uid="{00000000-0005-0000-0000-000086050000}"/>
    <cellStyle name="Millares 7 2 4 3 2" xfId="1940" xr:uid="{00000000-0005-0000-0000-000087050000}"/>
    <cellStyle name="Millares 7 2 4 3 2 2" xfId="1941" xr:uid="{00000000-0005-0000-0000-000088050000}"/>
    <cellStyle name="Millares 7 2 4 3 3" xfId="1942" xr:uid="{00000000-0005-0000-0000-000089050000}"/>
    <cellStyle name="Millares 7 2 4 4" xfId="1943" xr:uid="{00000000-0005-0000-0000-00008A050000}"/>
    <cellStyle name="Millares 7 2 4 4 2" xfId="1944" xr:uid="{00000000-0005-0000-0000-00008B050000}"/>
    <cellStyle name="Millares 7 2 4 5" xfId="1945" xr:uid="{00000000-0005-0000-0000-00008C050000}"/>
    <cellStyle name="Millares 7 2 5" xfId="547" xr:uid="{00000000-0005-0000-0000-00008D050000}"/>
    <cellStyle name="Millares 7 2 5 2" xfId="1946" xr:uid="{00000000-0005-0000-0000-00008E050000}"/>
    <cellStyle name="Millares 7 2 5 2 2" xfId="1947" xr:uid="{00000000-0005-0000-0000-00008F050000}"/>
    <cellStyle name="Millares 7 2 5 2 2 2" xfId="1948" xr:uid="{00000000-0005-0000-0000-000090050000}"/>
    <cellStyle name="Millares 7 2 5 2 2 2 2" xfId="1949" xr:uid="{00000000-0005-0000-0000-000091050000}"/>
    <cellStyle name="Millares 7 2 5 2 2 3" xfId="1950" xr:uid="{00000000-0005-0000-0000-000092050000}"/>
    <cellStyle name="Millares 7 2 5 2 3" xfId="1951" xr:uid="{00000000-0005-0000-0000-000093050000}"/>
    <cellStyle name="Millares 7 2 5 2 3 2" xfId="1952" xr:uid="{00000000-0005-0000-0000-000094050000}"/>
    <cellStyle name="Millares 7 2 5 2 4" xfId="1953" xr:uid="{00000000-0005-0000-0000-000095050000}"/>
    <cellStyle name="Millares 7 2 5 3" xfId="1954" xr:uid="{00000000-0005-0000-0000-000096050000}"/>
    <cellStyle name="Millares 7 2 5 3 2" xfId="1955" xr:uid="{00000000-0005-0000-0000-000097050000}"/>
    <cellStyle name="Millares 7 2 5 3 2 2" xfId="1956" xr:uid="{00000000-0005-0000-0000-000098050000}"/>
    <cellStyle name="Millares 7 2 5 3 3" xfId="1957" xr:uid="{00000000-0005-0000-0000-000099050000}"/>
    <cellStyle name="Millares 7 2 5 4" xfId="1958" xr:uid="{00000000-0005-0000-0000-00009A050000}"/>
    <cellStyle name="Millares 7 2 5 4 2" xfId="1959" xr:uid="{00000000-0005-0000-0000-00009B050000}"/>
    <cellStyle name="Millares 7 2 5 5" xfId="1960" xr:uid="{00000000-0005-0000-0000-00009C050000}"/>
    <cellStyle name="Millares 7 2 6" xfId="1961" xr:uid="{00000000-0005-0000-0000-00009D050000}"/>
    <cellStyle name="Millares 7 2 6 2" xfId="1962" xr:uid="{00000000-0005-0000-0000-00009E050000}"/>
    <cellStyle name="Millares 7 2 6 2 2" xfId="1963" xr:uid="{00000000-0005-0000-0000-00009F050000}"/>
    <cellStyle name="Millares 7 2 6 2 2 2" xfId="1964" xr:uid="{00000000-0005-0000-0000-0000A0050000}"/>
    <cellStyle name="Millares 7 2 6 2 2 2 2" xfId="1965" xr:uid="{00000000-0005-0000-0000-0000A1050000}"/>
    <cellStyle name="Millares 7 2 6 2 2 3" xfId="1966" xr:uid="{00000000-0005-0000-0000-0000A2050000}"/>
    <cellStyle name="Millares 7 2 6 2 3" xfId="1967" xr:uid="{00000000-0005-0000-0000-0000A3050000}"/>
    <cellStyle name="Millares 7 2 6 2 3 2" xfId="1968" xr:uid="{00000000-0005-0000-0000-0000A4050000}"/>
    <cellStyle name="Millares 7 2 6 2 4" xfId="1969" xr:uid="{00000000-0005-0000-0000-0000A5050000}"/>
    <cellStyle name="Millares 7 2 6 3" xfId="1970" xr:uid="{00000000-0005-0000-0000-0000A6050000}"/>
    <cellStyle name="Millares 7 2 6 3 2" xfId="1971" xr:uid="{00000000-0005-0000-0000-0000A7050000}"/>
    <cellStyle name="Millares 7 2 6 3 2 2" xfId="1972" xr:uid="{00000000-0005-0000-0000-0000A8050000}"/>
    <cellStyle name="Millares 7 2 6 3 3" xfId="1973" xr:uid="{00000000-0005-0000-0000-0000A9050000}"/>
    <cellStyle name="Millares 7 2 6 4" xfId="1974" xr:uid="{00000000-0005-0000-0000-0000AA050000}"/>
    <cellStyle name="Millares 7 2 6 4 2" xfId="1975" xr:uid="{00000000-0005-0000-0000-0000AB050000}"/>
    <cellStyle name="Millares 7 2 6 5" xfId="1976" xr:uid="{00000000-0005-0000-0000-0000AC050000}"/>
    <cellStyle name="Millares 7 2 7" xfId="1977" xr:uid="{00000000-0005-0000-0000-0000AD050000}"/>
    <cellStyle name="Millares 7 2 7 2" xfId="1978" xr:uid="{00000000-0005-0000-0000-0000AE050000}"/>
    <cellStyle name="Millares 7 2 7 2 2" xfId="1979" xr:uid="{00000000-0005-0000-0000-0000AF050000}"/>
    <cellStyle name="Millares 7 2 7 2 2 2" xfId="1980" xr:uid="{00000000-0005-0000-0000-0000B0050000}"/>
    <cellStyle name="Millares 7 2 7 2 2 2 2" xfId="1981" xr:uid="{00000000-0005-0000-0000-0000B1050000}"/>
    <cellStyle name="Millares 7 2 7 2 2 3" xfId="1982" xr:uid="{00000000-0005-0000-0000-0000B2050000}"/>
    <cellStyle name="Millares 7 2 7 2 3" xfId="1983" xr:uid="{00000000-0005-0000-0000-0000B3050000}"/>
    <cellStyle name="Millares 7 2 7 2 3 2" xfId="1984" xr:uid="{00000000-0005-0000-0000-0000B4050000}"/>
    <cellStyle name="Millares 7 2 7 2 4" xfId="1985" xr:uid="{00000000-0005-0000-0000-0000B5050000}"/>
    <cellStyle name="Millares 7 2 7 3" xfId="1986" xr:uid="{00000000-0005-0000-0000-0000B6050000}"/>
    <cellStyle name="Millares 7 2 7 3 2" xfId="1987" xr:uid="{00000000-0005-0000-0000-0000B7050000}"/>
    <cellStyle name="Millares 7 2 7 3 2 2" xfId="1988" xr:uid="{00000000-0005-0000-0000-0000B8050000}"/>
    <cellStyle name="Millares 7 2 7 3 3" xfId="1989" xr:uid="{00000000-0005-0000-0000-0000B9050000}"/>
    <cellStyle name="Millares 7 2 7 4" xfId="1990" xr:uid="{00000000-0005-0000-0000-0000BA050000}"/>
    <cellStyle name="Millares 7 2 7 4 2" xfId="1991" xr:uid="{00000000-0005-0000-0000-0000BB050000}"/>
    <cellStyle name="Millares 7 2 7 5" xfId="1992" xr:uid="{00000000-0005-0000-0000-0000BC050000}"/>
    <cellStyle name="Millares 7 2 8" xfId="1993" xr:uid="{00000000-0005-0000-0000-0000BD050000}"/>
    <cellStyle name="Millares 7 2 8 2" xfId="1994" xr:uid="{00000000-0005-0000-0000-0000BE050000}"/>
    <cellStyle name="Millares 7 2 8 2 2" xfId="1995" xr:uid="{00000000-0005-0000-0000-0000BF050000}"/>
    <cellStyle name="Millares 7 2 8 2 2 2" xfId="1996" xr:uid="{00000000-0005-0000-0000-0000C0050000}"/>
    <cellStyle name="Millares 7 2 8 2 3" xfId="1997" xr:uid="{00000000-0005-0000-0000-0000C1050000}"/>
    <cellStyle name="Millares 7 2 8 3" xfId="1998" xr:uid="{00000000-0005-0000-0000-0000C2050000}"/>
    <cellStyle name="Millares 7 2 8 3 2" xfId="1999" xr:uid="{00000000-0005-0000-0000-0000C3050000}"/>
    <cellStyle name="Millares 7 2 8 4" xfId="2000" xr:uid="{00000000-0005-0000-0000-0000C4050000}"/>
    <cellStyle name="Millares 7 2 9" xfId="2001" xr:uid="{00000000-0005-0000-0000-0000C5050000}"/>
    <cellStyle name="Millares 7 2 9 2" xfId="2002" xr:uid="{00000000-0005-0000-0000-0000C6050000}"/>
    <cellStyle name="Millares 7 2 9 2 2" xfId="2003" xr:uid="{00000000-0005-0000-0000-0000C7050000}"/>
    <cellStyle name="Millares 7 2 9 3" xfId="2004" xr:uid="{00000000-0005-0000-0000-0000C8050000}"/>
    <cellStyle name="Millares 7 3" xfId="200" xr:uid="{00000000-0005-0000-0000-0000C9050000}"/>
    <cellStyle name="Millares 7 3 2" xfId="548" xr:uid="{00000000-0005-0000-0000-0000CA050000}"/>
    <cellStyle name="Millares 7 3 2 2" xfId="549" xr:uid="{00000000-0005-0000-0000-0000CB050000}"/>
    <cellStyle name="Millares 7 3 3" xfId="550" xr:uid="{00000000-0005-0000-0000-0000CC050000}"/>
    <cellStyle name="Millares 7 3 4" xfId="551" xr:uid="{00000000-0005-0000-0000-0000CD050000}"/>
    <cellStyle name="Millares 7 4" xfId="552" xr:uid="{00000000-0005-0000-0000-0000CE050000}"/>
    <cellStyle name="Millares 7 4 2" xfId="553" xr:uid="{00000000-0005-0000-0000-0000CF050000}"/>
    <cellStyle name="Millares 7 5" xfId="554" xr:uid="{00000000-0005-0000-0000-0000D0050000}"/>
    <cellStyle name="Millares 7 6" xfId="555" xr:uid="{00000000-0005-0000-0000-0000D1050000}"/>
    <cellStyle name="Millares 8" xfId="128" xr:uid="{00000000-0005-0000-0000-0000D2050000}"/>
    <cellStyle name="Millares 8 2" xfId="129" xr:uid="{00000000-0005-0000-0000-0000D3050000}"/>
    <cellStyle name="Millares 8 2 2" xfId="2005" xr:uid="{00000000-0005-0000-0000-0000D4050000}"/>
    <cellStyle name="Millares 8 2 2 2" xfId="2006" xr:uid="{00000000-0005-0000-0000-0000D5050000}"/>
    <cellStyle name="Millares 8 2 3" xfId="2007" xr:uid="{00000000-0005-0000-0000-0000D6050000}"/>
    <cellStyle name="Millares 8 3" xfId="130" xr:uid="{00000000-0005-0000-0000-0000D7050000}"/>
    <cellStyle name="Millares 8 3 2" xfId="2008" xr:uid="{00000000-0005-0000-0000-0000D8050000}"/>
    <cellStyle name="Millares 8 3 2 2" xfId="2009" xr:uid="{00000000-0005-0000-0000-0000D9050000}"/>
    <cellStyle name="Millares 8 3 3" xfId="2010" xr:uid="{00000000-0005-0000-0000-0000DA050000}"/>
    <cellStyle name="Millares 8 4" xfId="2011" xr:uid="{00000000-0005-0000-0000-0000DB050000}"/>
    <cellStyle name="Millares 8 4 2" xfId="2012" xr:uid="{00000000-0005-0000-0000-0000DC050000}"/>
    <cellStyle name="Millares 8 5" xfId="2013" xr:uid="{00000000-0005-0000-0000-0000DD050000}"/>
    <cellStyle name="Millares 9" xfId="131" xr:uid="{00000000-0005-0000-0000-0000DE050000}"/>
    <cellStyle name="Millares 9 2" xfId="201" xr:uid="{00000000-0005-0000-0000-0000DF050000}"/>
    <cellStyle name="Millares 9 2 2" xfId="2014" xr:uid="{00000000-0005-0000-0000-0000E0050000}"/>
    <cellStyle name="Millares 9 3" xfId="2015" xr:uid="{00000000-0005-0000-0000-0000E1050000}"/>
    <cellStyle name="Moneda 2" xfId="132" xr:uid="{00000000-0005-0000-0000-0000E2050000}"/>
    <cellStyle name="Moneda 2 2" xfId="133" xr:uid="{00000000-0005-0000-0000-0000E3050000}"/>
    <cellStyle name="Moneda 2 2 2" xfId="134" xr:uid="{00000000-0005-0000-0000-0000E4050000}"/>
    <cellStyle name="Moneda 2 2 2 2" xfId="2016" xr:uid="{00000000-0005-0000-0000-0000E5050000}"/>
    <cellStyle name="Moneda 2 2 2 2 2" xfId="2017" xr:uid="{00000000-0005-0000-0000-0000E6050000}"/>
    <cellStyle name="Moneda 2 2 2 3" xfId="2018" xr:uid="{00000000-0005-0000-0000-0000E7050000}"/>
    <cellStyle name="Moneda 2 2 3" xfId="2019" xr:uid="{00000000-0005-0000-0000-0000E8050000}"/>
    <cellStyle name="Moneda 2 2 3 2" xfId="2020" xr:uid="{00000000-0005-0000-0000-0000E9050000}"/>
    <cellStyle name="Moneda 2 2 4" xfId="2021" xr:uid="{00000000-0005-0000-0000-0000EA050000}"/>
    <cellStyle name="Moneda 2 3" xfId="135" xr:uid="{00000000-0005-0000-0000-0000EB050000}"/>
    <cellStyle name="Moneda 2 3 2" xfId="136" xr:uid="{00000000-0005-0000-0000-0000EC050000}"/>
    <cellStyle name="Moneda 2 3 2 2" xfId="2022" xr:uid="{00000000-0005-0000-0000-0000ED050000}"/>
    <cellStyle name="Moneda 2 3 2 2 2" xfId="2023" xr:uid="{00000000-0005-0000-0000-0000EE050000}"/>
    <cellStyle name="Moneda 2 3 2 3" xfId="2024" xr:uid="{00000000-0005-0000-0000-0000EF050000}"/>
    <cellStyle name="Moneda 2 3 3" xfId="2025" xr:uid="{00000000-0005-0000-0000-0000F0050000}"/>
    <cellStyle name="Moneda 2 3 3 2" xfId="2026" xr:uid="{00000000-0005-0000-0000-0000F1050000}"/>
    <cellStyle name="Moneda 2 3 4" xfId="2027" xr:uid="{00000000-0005-0000-0000-0000F2050000}"/>
    <cellStyle name="Moneda 2 4" xfId="137" xr:uid="{00000000-0005-0000-0000-0000F3050000}"/>
    <cellStyle name="Moneda 2 4 2" xfId="2028" xr:uid="{00000000-0005-0000-0000-0000F4050000}"/>
    <cellStyle name="Moneda 2 4 2 2" xfId="2029" xr:uid="{00000000-0005-0000-0000-0000F5050000}"/>
    <cellStyle name="Moneda 2 4 3" xfId="2030" xr:uid="{00000000-0005-0000-0000-0000F6050000}"/>
    <cellStyle name="Moneda 2 5" xfId="2031" xr:uid="{00000000-0005-0000-0000-0000F7050000}"/>
    <cellStyle name="Moneda 2 5 2" xfId="2032" xr:uid="{00000000-0005-0000-0000-0000F8050000}"/>
    <cellStyle name="Moneda 2 6" xfId="2033" xr:uid="{00000000-0005-0000-0000-0000F9050000}"/>
    <cellStyle name="Moneda 2 6 2" xfId="2034" xr:uid="{00000000-0005-0000-0000-0000FA050000}"/>
    <cellStyle name="Moneda 2 7" xfId="2035" xr:uid="{00000000-0005-0000-0000-0000FB050000}"/>
    <cellStyle name="Moneda 3" xfId="138" xr:uid="{00000000-0005-0000-0000-0000FC050000}"/>
    <cellStyle name="Moneda 3 2" xfId="202" xr:uid="{00000000-0005-0000-0000-0000FD050000}"/>
    <cellStyle name="Moneda 3 2 2" xfId="2036" xr:uid="{00000000-0005-0000-0000-0000FE050000}"/>
    <cellStyle name="Moneda 3 3" xfId="2037" xr:uid="{00000000-0005-0000-0000-0000FF050000}"/>
    <cellStyle name="Moneda 4" xfId="139" xr:uid="{00000000-0005-0000-0000-000000060000}"/>
    <cellStyle name="Moneda 4 2" xfId="140" xr:uid="{00000000-0005-0000-0000-000001060000}"/>
    <cellStyle name="Moneda 4 2 2" xfId="2038" xr:uid="{00000000-0005-0000-0000-000002060000}"/>
    <cellStyle name="Moneda 4 2 2 2" xfId="2039" xr:uid="{00000000-0005-0000-0000-000003060000}"/>
    <cellStyle name="Moneda 4 2 3" xfId="2040" xr:uid="{00000000-0005-0000-0000-000004060000}"/>
    <cellStyle name="Moneda 4 3" xfId="2041" xr:uid="{00000000-0005-0000-0000-000005060000}"/>
    <cellStyle name="Moneda 4 3 2" xfId="2042" xr:uid="{00000000-0005-0000-0000-000006060000}"/>
    <cellStyle name="Moneda 4 4" xfId="2043" xr:uid="{00000000-0005-0000-0000-000007060000}"/>
    <cellStyle name="Moneda 5" xfId="378" xr:uid="{00000000-0005-0000-0000-000008060000}"/>
    <cellStyle name="Moneda 5 2" xfId="2044" xr:uid="{00000000-0005-0000-0000-000009060000}"/>
    <cellStyle name="Moneda 5 2 2" xfId="2045" xr:uid="{00000000-0005-0000-0000-00000A060000}"/>
    <cellStyle name="Moneda 5 2 2 2" xfId="2046" xr:uid="{00000000-0005-0000-0000-00000B060000}"/>
    <cellStyle name="Moneda 5 2 2 2 2" xfId="2047" xr:uid="{00000000-0005-0000-0000-00000C060000}"/>
    <cellStyle name="Moneda 5 2 2 2 2 2" xfId="2048" xr:uid="{00000000-0005-0000-0000-00000D060000}"/>
    <cellStyle name="Moneda 5 2 2 2 3" xfId="2049" xr:uid="{00000000-0005-0000-0000-00000E060000}"/>
    <cellStyle name="Moneda 5 2 2 3" xfId="2050" xr:uid="{00000000-0005-0000-0000-00000F060000}"/>
    <cellStyle name="Moneda 5 2 2 3 2" xfId="2051" xr:uid="{00000000-0005-0000-0000-000010060000}"/>
    <cellStyle name="Moneda 5 2 2 4" xfId="2052" xr:uid="{00000000-0005-0000-0000-000011060000}"/>
    <cellStyle name="Moneda 5 2 3" xfId="2053" xr:uid="{00000000-0005-0000-0000-000012060000}"/>
    <cellStyle name="Moneda 5 2 3 2" xfId="2054" xr:uid="{00000000-0005-0000-0000-000013060000}"/>
    <cellStyle name="Moneda 5 2 3 2 2" xfId="2055" xr:uid="{00000000-0005-0000-0000-000014060000}"/>
    <cellStyle name="Moneda 5 2 3 3" xfId="2056" xr:uid="{00000000-0005-0000-0000-000015060000}"/>
    <cellStyle name="Moneda 5 2 4" xfId="2057" xr:uid="{00000000-0005-0000-0000-000016060000}"/>
    <cellStyle name="Moneda 5 2 4 2" xfId="2058" xr:uid="{00000000-0005-0000-0000-000017060000}"/>
    <cellStyle name="Moneda 5 2 5" xfId="2059" xr:uid="{00000000-0005-0000-0000-000018060000}"/>
    <cellStyle name="Moneda 5 3" xfId="2060" xr:uid="{00000000-0005-0000-0000-000019060000}"/>
    <cellStyle name="Moneda 5 3 2" xfId="2061" xr:uid="{00000000-0005-0000-0000-00001A060000}"/>
    <cellStyle name="Moneda 5 3 2 2" xfId="2062" xr:uid="{00000000-0005-0000-0000-00001B060000}"/>
    <cellStyle name="Moneda 5 3 2 2 2" xfId="2063" xr:uid="{00000000-0005-0000-0000-00001C060000}"/>
    <cellStyle name="Moneda 5 3 2 3" xfId="2064" xr:uid="{00000000-0005-0000-0000-00001D060000}"/>
    <cellStyle name="Moneda 5 3 3" xfId="2065" xr:uid="{00000000-0005-0000-0000-00001E060000}"/>
    <cellStyle name="Moneda 5 3 3 2" xfId="2066" xr:uid="{00000000-0005-0000-0000-00001F060000}"/>
    <cellStyle name="Moneda 5 3 4" xfId="2067" xr:uid="{00000000-0005-0000-0000-000020060000}"/>
    <cellStyle name="Moneda 5 4" xfId="2068" xr:uid="{00000000-0005-0000-0000-000021060000}"/>
    <cellStyle name="Moneda 5 4 2" xfId="2069" xr:uid="{00000000-0005-0000-0000-000022060000}"/>
    <cellStyle name="Moneda 5 5" xfId="2070" xr:uid="{00000000-0005-0000-0000-000023060000}"/>
    <cellStyle name="Moneda 6" xfId="2071" xr:uid="{00000000-0005-0000-0000-000024060000}"/>
    <cellStyle name="Moneda 6 2" xfId="2072" xr:uid="{00000000-0005-0000-0000-000025060000}"/>
    <cellStyle name="Moneda 7" xfId="2073" xr:uid="{00000000-0005-0000-0000-000026060000}"/>
    <cellStyle name="Moneda 7 2" xfId="2074" xr:uid="{00000000-0005-0000-0000-000027060000}"/>
    <cellStyle name="Moneda 7 2 2" xfId="2075" xr:uid="{00000000-0005-0000-0000-000028060000}"/>
    <cellStyle name="Moneda 7 2 2 2" xfId="2076" xr:uid="{00000000-0005-0000-0000-000029060000}"/>
    <cellStyle name="Moneda 7 2 3" xfId="2077" xr:uid="{00000000-0005-0000-0000-00002A060000}"/>
    <cellStyle name="Moneda 7 3" xfId="2078" xr:uid="{00000000-0005-0000-0000-00002B060000}"/>
    <cellStyle name="Moneda 7 3 2" xfId="2079" xr:uid="{00000000-0005-0000-0000-00002C060000}"/>
    <cellStyle name="Moneda 7 4" xfId="2080" xr:uid="{00000000-0005-0000-0000-00002D060000}"/>
    <cellStyle name="Moneda 8" xfId="2081" xr:uid="{00000000-0005-0000-0000-00002E060000}"/>
    <cellStyle name="Moneda 8 2" xfId="2082" xr:uid="{00000000-0005-0000-0000-00002F060000}"/>
    <cellStyle name="Neutral 2" xfId="141" xr:uid="{00000000-0005-0000-0000-000030060000}"/>
    <cellStyle name="Neutral 3" xfId="556" xr:uid="{00000000-0005-0000-0000-000031060000}"/>
    <cellStyle name="Normal" xfId="0" builtinId="0"/>
    <cellStyle name="Normal - Modelo1" xfId="806" xr:uid="{00000000-0005-0000-0000-000033060000}"/>
    <cellStyle name="Normal - Modelo2" xfId="807" xr:uid="{00000000-0005-0000-0000-000034060000}"/>
    <cellStyle name="Normal - Modelo3" xfId="808" xr:uid="{00000000-0005-0000-0000-000035060000}"/>
    <cellStyle name="Normal - Modelo4" xfId="809" xr:uid="{00000000-0005-0000-0000-000036060000}"/>
    <cellStyle name="Normal - Modelo5" xfId="810" xr:uid="{00000000-0005-0000-0000-000037060000}"/>
    <cellStyle name="Normal - Modelo6" xfId="811" xr:uid="{00000000-0005-0000-0000-000038060000}"/>
    <cellStyle name="Normal - Modelo7" xfId="812" xr:uid="{00000000-0005-0000-0000-000039060000}"/>
    <cellStyle name="Normal - Modelo8" xfId="813" xr:uid="{00000000-0005-0000-0000-00003A060000}"/>
    <cellStyle name="Normal 10" xfId="142" xr:uid="{00000000-0005-0000-0000-00003B060000}"/>
    <cellStyle name="Normal 10 10" xfId="434" xr:uid="{00000000-0005-0000-0000-00003C060000}"/>
    <cellStyle name="Normal 10 10 10 2" xfId="3789" xr:uid="{00000000-0005-0000-0000-00003D060000}"/>
    <cellStyle name="Normal 10 10 2" xfId="557" xr:uid="{00000000-0005-0000-0000-00003E060000}"/>
    <cellStyle name="Normal 10 10 3" xfId="2083" xr:uid="{00000000-0005-0000-0000-00003F060000}"/>
    <cellStyle name="Normal 10 10 4" xfId="2084" xr:uid="{00000000-0005-0000-0000-000040060000}"/>
    <cellStyle name="Normal 10 10 5" xfId="2085" xr:uid="{00000000-0005-0000-0000-000041060000}"/>
    <cellStyle name="Normal 10 11" xfId="2086" xr:uid="{00000000-0005-0000-0000-000042060000}"/>
    <cellStyle name="Normal 10 2" xfId="143" xr:uid="{00000000-0005-0000-0000-000043060000}"/>
    <cellStyle name="Normal 10 2 10" xfId="2087" xr:uid="{00000000-0005-0000-0000-000044060000}"/>
    <cellStyle name="Normal 10 2 2" xfId="558" xr:uid="{00000000-0005-0000-0000-000045060000}"/>
    <cellStyle name="Normal 10 2 2 2" xfId="559" xr:uid="{00000000-0005-0000-0000-000046060000}"/>
    <cellStyle name="Normal 10 2 2 2 2" xfId="560" xr:uid="{00000000-0005-0000-0000-000047060000}"/>
    <cellStyle name="Normal 10 2 2 2 2 2" xfId="2088" xr:uid="{00000000-0005-0000-0000-000048060000}"/>
    <cellStyle name="Normal 10 2 2 2 2 2 2" xfId="2089" xr:uid="{00000000-0005-0000-0000-000049060000}"/>
    <cellStyle name="Normal 10 2 2 2 2 3" xfId="2090" xr:uid="{00000000-0005-0000-0000-00004A060000}"/>
    <cellStyle name="Normal 10 2 2 2 3" xfId="2091" xr:uid="{00000000-0005-0000-0000-00004B060000}"/>
    <cellStyle name="Normal 10 2 2 2 3 2" xfId="2092" xr:uid="{00000000-0005-0000-0000-00004C060000}"/>
    <cellStyle name="Normal 10 2 2 2 3 2 2" xfId="2093" xr:uid="{00000000-0005-0000-0000-00004D060000}"/>
    <cellStyle name="Normal 10 2 2 2 3 2 2 2" xfId="2094" xr:uid="{00000000-0005-0000-0000-00004E060000}"/>
    <cellStyle name="Normal 10 2 2 2 3 2 3" xfId="2095" xr:uid="{00000000-0005-0000-0000-00004F060000}"/>
    <cellStyle name="Normal 10 2 2 2 3 3" xfId="2096" xr:uid="{00000000-0005-0000-0000-000050060000}"/>
    <cellStyle name="Normal 10 2 2 2 3 3 2" xfId="2097" xr:uid="{00000000-0005-0000-0000-000051060000}"/>
    <cellStyle name="Normal 10 2 2 2 3 4" xfId="2098" xr:uid="{00000000-0005-0000-0000-000052060000}"/>
    <cellStyle name="Normal 10 2 2 2 4" xfId="2099" xr:uid="{00000000-0005-0000-0000-000053060000}"/>
    <cellStyle name="Normal 10 2 2 2 4 2" xfId="2100" xr:uid="{00000000-0005-0000-0000-000054060000}"/>
    <cellStyle name="Normal 10 2 2 2 5" xfId="2101" xr:uid="{00000000-0005-0000-0000-000055060000}"/>
    <cellStyle name="Normal 10 2 2 3" xfId="561" xr:uid="{00000000-0005-0000-0000-000056060000}"/>
    <cellStyle name="Normal 10 2 2 3 2" xfId="2102" xr:uid="{00000000-0005-0000-0000-000057060000}"/>
    <cellStyle name="Normal 10 2 2 3 2 2" xfId="2103" xr:uid="{00000000-0005-0000-0000-000058060000}"/>
    <cellStyle name="Normal 10 2 2 3 2 2 2" xfId="2104" xr:uid="{00000000-0005-0000-0000-000059060000}"/>
    <cellStyle name="Normal 10 2 2 3 2 2 2 2" xfId="2105" xr:uid="{00000000-0005-0000-0000-00005A060000}"/>
    <cellStyle name="Normal 10 2 2 3 2 2 3" xfId="2106" xr:uid="{00000000-0005-0000-0000-00005B060000}"/>
    <cellStyle name="Normal 10 2 2 3 2 3" xfId="2107" xr:uid="{00000000-0005-0000-0000-00005C060000}"/>
    <cellStyle name="Normal 10 2 2 3 2 3 2" xfId="2108" xr:uid="{00000000-0005-0000-0000-00005D060000}"/>
    <cellStyle name="Normal 10 2 2 3 2 4" xfId="2109" xr:uid="{00000000-0005-0000-0000-00005E060000}"/>
    <cellStyle name="Normal 10 2 2 3 3" xfId="2110" xr:uid="{00000000-0005-0000-0000-00005F060000}"/>
    <cellStyle name="Normal 10 2 2 3 3 2" xfId="2111" xr:uid="{00000000-0005-0000-0000-000060060000}"/>
    <cellStyle name="Normal 10 2 2 3 4" xfId="2112" xr:uid="{00000000-0005-0000-0000-000061060000}"/>
    <cellStyle name="Normal 10 2 2 4" xfId="2113" xr:uid="{00000000-0005-0000-0000-000062060000}"/>
    <cellStyle name="Normal 10 2 2 4 2" xfId="2114" xr:uid="{00000000-0005-0000-0000-000063060000}"/>
    <cellStyle name="Normal 10 2 2 5" xfId="2115" xr:uid="{00000000-0005-0000-0000-000064060000}"/>
    <cellStyle name="Normal 10 2 3" xfId="562" xr:uid="{00000000-0005-0000-0000-000065060000}"/>
    <cellStyle name="Normal 10 2 3 2" xfId="563" xr:uid="{00000000-0005-0000-0000-000066060000}"/>
    <cellStyle name="Normal 10 2 3 2 2" xfId="2116" xr:uid="{00000000-0005-0000-0000-000067060000}"/>
    <cellStyle name="Normal 10 2 3 2 2 2" xfId="2117" xr:uid="{00000000-0005-0000-0000-000068060000}"/>
    <cellStyle name="Normal 10 2 3 2 3" xfId="2118" xr:uid="{00000000-0005-0000-0000-000069060000}"/>
    <cellStyle name="Normal 10 2 3 3" xfId="2119" xr:uid="{00000000-0005-0000-0000-00006A060000}"/>
    <cellStyle name="Normal 10 2 3 3 2" xfId="2120" xr:uid="{00000000-0005-0000-0000-00006B060000}"/>
    <cellStyle name="Normal 10 2 3 4" xfId="2121" xr:uid="{00000000-0005-0000-0000-00006C060000}"/>
    <cellStyle name="Normal 10 2 4" xfId="564" xr:uid="{00000000-0005-0000-0000-00006D060000}"/>
    <cellStyle name="Normal 10 2 4 2" xfId="565" xr:uid="{00000000-0005-0000-0000-00006E060000}"/>
    <cellStyle name="Normal 10 2 4 2 2" xfId="2122" xr:uid="{00000000-0005-0000-0000-00006F060000}"/>
    <cellStyle name="Normal 10 2 4 2 2 2" xfId="2123" xr:uid="{00000000-0005-0000-0000-000070060000}"/>
    <cellStyle name="Normal 10 2 4 2 3" xfId="2124" xr:uid="{00000000-0005-0000-0000-000071060000}"/>
    <cellStyle name="Normal 10 2 4 3" xfId="2125" xr:uid="{00000000-0005-0000-0000-000072060000}"/>
    <cellStyle name="Normal 10 2 4 3 2" xfId="2126" xr:uid="{00000000-0005-0000-0000-000073060000}"/>
    <cellStyle name="Normal 10 2 4 4" xfId="2127" xr:uid="{00000000-0005-0000-0000-000074060000}"/>
    <cellStyle name="Normal 10 2 5" xfId="566" xr:uid="{00000000-0005-0000-0000-000075060000}"/>
    <cellStyle name="Normal 10 2 5 2" xfId="2128" xr:uid="{00000000-0005-0000-0000-000076060000}"/>
    <cellStyle name="Normal 10 2 5 2 2" xfId="2129" xr:uid="{00000000-0005-0000-0000-000077060000}"/>
    <cellStyle name="Normal 10 2 5 2 2 2" xfId="2130" xr:uid="{00000000-0005-0000-0000-000078060000}"/>
    <cellStyle name="Normal 10 2 5 2 3" xfId="2131" xr:uid="{00000000-0005-0000-0000-000079060000}"/>
    <cellStyle name="Normal 10 2 5 3" xfId="2132" xr:uid="{00000000-0005-0000-0000-00007A060000}"/>
    <cellStyle name="Normal 10 2 5 3 2" xfId="2133" xr:uid="{00000000-0005-0000-0000-00007B060000}"/>
    <cellStyle name="Normal 10 2 5 4" xfId="2134" xr:uid="{00000000-0005-0000-0000-00007C060000}"/>
    <cellStyle name="Normal 10 2 6" xfId="2135" xr:uid="{00000000-0005-0000-0000-00007D060000}"/>
    <cellStyle name="Normal 10 2 6 2" xfId="2136" xr:uid="{00000000-0005-0000-0000-00007E060000}"/>
    <cellStyle name="Normal 10 2 6 2 2" xfId="2137" xr:uid="{00000000-0005-0000-0000-00007F060000}"/>
    <cellStyle name="Normal 10 2 6 2 2 2" xfId="2138" xr:uid="{00000000-0005-0000-0000-000080060000}"/>
    <cellStyle name="Normal 10 2 6 2 3" xfId="2139" xr:uid="{00000000-0005-0000-0000-000081060000}"/>
    <cellStyle name="Normal 10 2 6 3" xfId="2140" xr:uid="{00000000-0005-0000-0000-000082060000}"/>
    <cellStyle name="Normal 10 2 6 3 2" xfId="2141" xr:uid="{00000000-0005-0000-0000-000083060000}"/>
    <cellStyle name="Normal 10 2 6 4" xfId="2142" xr:uid="{00000000-0005-0000-0000-000084060000}"/>
    <cellStyle name="Normal 10 2 7" xfId="2143" xr:uid="{00000000-0005-0000-0000-000085060000}"/>
    <cellStyle name="Normal 10 2 7 2" xfId="2144" xr:uid="{00000000-0005-0000-0000-000086060000}"/>
    <cellStyle name="Normal 10 2 7 2 2" xfId="2145" xr:uid="{00000000-0005-0000-0000-000087060000}"/>
    <cellStyle name="Normal 10 2 7 2 2 2" xfId="2146" xr:uid="{00000000-0005-0000-0000-000088060000}"/>
    <cellStyle name="Normal 10 2 7 2 3" xfId="2147" xr:uid="{00000000-0005-0000-0000-000089060000}"/>
    <cellStyle name="Normal 10 2 7 3" xfId="2148" xr:uid="{00000000-0005-0000-0000-00008A060000}"/>
    <cellStyle name="Normal 10 2 7 3 2" xfId="2149" xr:uid="{00000000-0005-0000-0000-00008B060000}"/>
    <cellStyle name="Normal 10 2 7 4" xfId="2150" xr:uid="{00000000-0005-0000-0000-00008C060000}"/>
    <cellStyle name="Normal 10 2 8" xfId="2151" xr:uid="{00000000-0005-0000-0000-00008D060000}"/>
    <cellStyle name="Normal 10 2 8 2" xfId="2152" xr:uid="{00000000-0005-0000-0000-00008E060000}"/>
    <cellStyle name="Normal 10 2 8 2 2" xfId="2153" xr:uid="{00000000-0005-0000-0000-00008F060000}"/>
    <cellStyle name="Normal 10 2 8 3" xfId="2154" xr:uid="{00000000-0005-0000-0000-000090060000}"/>
    <cellStyle name="Normal 10 2 9" xfId="2155" xr:uid="{00000000-0005-0000-0000-000091060000}"/>
    <cellStyle name="Normal 10 2 9 2" xfId="2156" xr:uid="{00000000-0005-0000-0000-000092060000}"/>
    <cellStyle name="Normal 10 3" xfId="567" xr:uid="{00000000-0005-0000-0000-000093060000}"/>
    <cellStyle name="Normal 10 3 2" xfId="568" xr:uid="{00000000-0005-0000-0000-000094060000}"/>
    <cellStyle name="Normal 10 3 2 2" xfId="569" xr:uid="{00000000-0005-0000-0000-000095060000}"/>
    <cellStyle name="Normal 10 3 2 2 2" xfId="2157" xr:uid="{00000000-0005-0000-0000-000096060000}"/>
    <cellStyle name="Normal 10 3 2 3" xfId="2158" xr:uid="{00000000-0005-0000-0000-000097060000}"/>
    <cellStyle name="Normal 10 3 3" xfId="570" xr:uid="{00000000-0005-0000-0000-000098060000}"/>
    <cellStyle name="Normal 10 3 3 2" xfId="2159" xr:uid="{00000000-0005-0000-0000-000099060000}"/>
    <cellStyle name="Normal 10 3 4" xfId="2160" xr:uid="{00000000-0005-0000-0000-00009A060000}"/>
    <cellStyle name="Normal 10 4" xfId="571" xr:uid="{00000000-0005-0000-0000-00009B060000}"/>
    <cellStyle name="Normal 10 4 2" xfId="572" xr:uid="{00000000-0005-0000-0000-00009C060000}"/>
    <cellStyle name="Normal 10 4 2 2" xfId="2161" xr:uid="{00000000-0005-0000-0000-00009D060000}"/>
    <cellStyle name="Normal 10 4 2 2 2" xfId="2162" xr:uid="{00000000-0005-0000-0000-00009E060000}"/>
    <cellStyle name="Normal 10 4 2 3" xfId="2163" xr:uid="{00000000-0005-0000-0000-00009F060000}"/>
    <cellStyle name="Normal 10 4 3" xfId="2164" xr:uid="{00000000-0005-0000-0000-0000A0060000}"/>
    <cellStyle name="Normal 10 4 3 2" xfId="2165" xr:uid="{00000000-0005-0000-0000-0000A1060000}"/>
    <cellStyle name="Normal 10 4 3 2 2" xfId="2166" xr:uid="{00000000-0005-0000-0000-0000A2060000}"/>
    <cellStyle name="Normal 10 4 3 2 2 2" xfId="2167" xr:uid="{00000000-0005-0000-0000-0000A3060000}"/>
    <cellStyle name="Normal 10 4 3 2 2 2 2" xfId="2168" xr:uid="{00000000-0005-0000-0000-0000A4060000}"/>
    <cellStyle name="Normal 10 4 3 2 2 2 2 2" xfId="2169" xr:uid="{00000000-0005-0000-0000-0000A5060000}"/>
    <cellStyle name="Normal 10 4 3 2 2 2 3" xfId="2170" xr:uid="{00000000-0005-0000-0000-0000A6060000}"/>
    <cellStyle name="Normal 10 4 3 2 2 3" xfId="2171" xr:uid="{00000000-0005-0000-0000-0000A7060000}"/>
    <cellStyle name="Normal 10 4 3 2 2 3 2" xfId="2172" xr:uid="{00000000-0005-0000-0000-0000A8060000}"/>
    <cellStyle name="Normal 10 4 3 2 2 3 2 2" xfId="2173" xr:uid="{00000000-0005-0000-0000-0000A9060000}"/>
    <cellStyle name="Normal 10 4 3 2 2 3 3" xfId="2174" xr:uid="{00000000-0005-0000-0000-0000AA060000}"/>
    <cellStyle name="Normal 10 4 3 2 2 4" xfId="2175" xr:uid="{00000000-0005-0000-0000-0000AB060000}"/>
    <cellStyle name="Normal 10 4 3 2 2 4 2" xfId="2176" xr:uid="{00000000-0005-0000-0000-0000AC060000}"/>
    <cellStyle name="Normal 10 4 3 2 2 4 2 2" xfId="2177" xr:uid="{00000000-0005-0000-0000-0000AD060000}"/>
    <cellStyle name="Normal 10 4 3 2 2 4 3" xfId="2178" xr:uid="{00000000-0005-0000-0000-0000AE060000}"/>
    <cellStyle name="Normal 10 4 3 2 2 5" xfId="2179" xr:uid="{00000000-0005-0000-0000-0000AF060000}"/>
    <cellStyle name="Normal 10 4 3 2 2 5 2" xfId="2180" xr:uid="{00000000-0005-0000-0000-0000B0060000}"/>
    <cellStyle name="Normal 10 4 3 2 2 6" xfId="2181" xr:uid="{00000000-0005-0000-0000-0000B1060000}"/>
    <cellStyle name="Normal 10 4 3 2 2 6 2" xfId="2182" xr:uid="{00000000-0005-0000-0000-0000B2060000}"/>
    <cellStyle name="Normal 10 4 3 2 3" xfId="2183" xr:uid="{00000000-0005-0000-0000-0000B3060000}"/>
    <cellStyle name="Normal 10 4 3 2 3 2" xfId="2184" xr:uid="{00000000-0005-0000-0000-0000B4060000}"/>
    <cellStyle name="Normal 10 4 3 2 4" xfId="2185" xr:uid="{00000000-0005-0000-0000-0000B5060000}"/>
    <cellStyle name="Normal 10 4 3 3" xfId="2186" xr:uid="{00000000-0005-0000-0000-0000B6060000}"/>
    <cellStyle name="Normal 10 4 3 3 2" xfId="2187" xr:uid="{00000000-0005-0000-0000-0000B7060000}"/>
    <cellStyle name="Normal 10 4 3 4" xfId="2188" xr:uid="{00000000-0005-0000-0000-0000B8060000}"/>
    <cellStyle name="Normal 10 4 4" xfId="2189" xr:uid="{00000000-0005-0000-0000-0000B9060000}"/>
    <cellStyle name="Normal 10 4 4 2" xfId="2190" xr:uid="{00000000-0005-0000-0000-0000BA060000}"/>
    <cellStyle name="Normal 10 4 5" xfId="2191" xr:uid="{00000000-0005-0000-0000-0000BB060000}"/>
    <cellStyle name="Normal 10 5" xfId="573" xr:uid="{00000000-0005-0000-0000-0000BC060000}"/>
    <cellStyle name="Normal 10 5 2" xfId="574" xr:uid="{00000000-0005-0000-0000-0000BD060000}"/>
    <cellStyle name="Normal 10 5 2 2" xfId="2192" xr:uid="{00000000-0005-0000-0000-0000BE060000}"/>
    <cellStyle name="Normal 10 5 2 2 2" xfId="2193" xr:uid="{00000000-0005-0000-0000-0000BF060000}"/>
    <cellStyle name="Normal 10 5 2 3" xfId="2194" xr:uid="{00000000-0005-0000-0000-0000C0060000}"/>
    <cellStyle name="Normal 10 5 3" xfId="2195" xr:uid="{00000000-0005-0000-0000-0000C1060000}"/>
    <cellStyle name="Normal 10 5 3 2" xfId="2196" xr:uid="{00000000-0005-0000-0000-0000C2060000}"/>
    <cellStyle name="Normal 10 5 4" xfId="2197" xr:uid="{00000000-0005-0000-0000-0000C3060000}"/>
    <cellStyle name="Normal 10 6" xfId="575" xr:uid="{00000000-0005-0000-0000-0000C4060000}"/>
    <cellStyle name="Normal 10 6 2" xfId="2198" xr:uid="{00000000-0005-0000-0000-0000C5060000}"/>
    <cellStyle name="Normal 10 6 2 2" xfId="2199" xr:uid="{00000000-0005-0000-0000-0000C6060000}"/>
    <cellStyle name="Normal 10 6 2 2 2" xfId="2200" xr:uid="{00000000-0005-0000-0000-0000C7060000}"/>
    <cellStyle name="Normal 10 6 2 3" xfId="2201" xr:uid="{00000000-0005-0000-0000-0000C8060000}"/>
    <cellStyle name="Normal 10 6 3" xfId="2202" xr:uid="{00000000-0005-0000-0000-0000C9060000}"/>
    <cellStyle name="Normal 10 6 3 2" xfId="2203" xr:uid="{00000000-0005-0000-0000-0000CA060000}"/>
    <cellStyle name="Normal 10 6 4" xfId="2204" xr:uid="{00000000-0005-0000-0000-0000CB060000}"/>
    <cellStyle name="Normal 10 7" xfId="576" xr:uid="{00000000-0005-0000-0000-0000CC060000}"/>
    <cellStyle name="Normal 10 7 2" xfId="2205" xr:uid="{00000000-0005-0000-0000-0000CD060000}"/>
    <cellStyle name="Normal 10 7 2 2" xfId="2206" xr:uid="{00000000-0005-0000-0000-0000CE060000}"/>
    <cellStyle name="Normal 10 7 2 2 2" xfId="2207" xr:uid="{00000000-0005-0000-0000-0000CF060000}"/>
    <cellStyle name="Normal 10 7 2 3" xfId="2208" xr:uid="{00000000-0005-0000-0000-0000D0060000}"/>
    <cellStyle name="Normal 10 7 3" xfId="2209" xr:uid="{00000000-0005-0000-0000-0000D1060000}"/>
    <cellStyle name="Normal 10 7 3 2" xfId="2210" xr:uid="{00000000-0005-0000-0000-0000D2060000}"/>
    <cellStyle name="Normal 10 7 4" xfId="2211" xr:uid="{00000000-0005-0000-0000-0000D3060000}"/>
    <cellStyle name="Normal 10 8" xfId="2212" xr:uid="{00000000-0005-0000-0000-0000D4060000}"/>
    <cellStyle name="Normal 10 8 2" xfId="2213" xr:uid="{00000000-0005-0000-0000-0000D5060000}"/>
    <cellStyle name="Normal 10 8 2 2" xfId="2214" xr:uid="{00000000-0005-0000-0000-0000D6060000}"/>
    <cellStyle name="Normal 10 8 2 2 2" xfId="2215" xr:uid="{00000000-0005-0000-0000-0000D7060000}"/>
    <cellStyle name="Normal 10 8 2 3" xfId="2216" xr:uid="{00000000-0005-0000-0000-0000D8060000}"/>
    <cellStyle name="Normal 10 8 3" xfId="2217" xr:uid="{00000000-0005-0000-0000-0000D9060000}"/>
    <cellStyle name="Normal 10 8 3 2" xfId="2218" xr:uid="{00000000-0005-0000-0000-0000DA060000}"/>
    <cellStyle name="Normal 10 8 4" xfId="2219" xr:uid="{00000000-0005-0000-0000-0000DB060000}"/>
    <cellStyle name="Normal 10 9" xfId="2220" xr:uid="{00000000-0005-0000-0000-0000DC060000}"/>
    <cellStyle name="Normal 10 9 2" xfId="2221" xr:uid="{00000000-0005-0000-0000-0000DD060000}"/>
    <cellStyle name="Normal 10 9 2 2" xfId="2222" xr:uid="{00000000-0005-0000-0000-0000DE060000}"/>
    <cellStyle name="Normal 10 9 3" xfId="2223" xr:uid="{00000000-0005-0000-0000-0000DF060000}"/>
    <cellStyle name="Normal 10_ARTURO SSMC110113xls" xfId="2224" xr:uid="{00000000-0005-0000-0000-0000E0060000}"/>
    <cellStyle name="Normal 100" xfId="2225" xr:uid="{00000000-0005-0000-0000-0000E1060000}"/>
    <cellStyle name="Normal 101" xfId="2226" xr:uid="{00000000-0005-0000-0000-0000E2060000}"/>
    <cellStyle name="Normal 102" xfId="2227" xr:uid="{00000000-0005-0000-0000-0000E3060000}"/>
    <cellStyle name="Normal 103" xfId="2228" xr:uid="{00000000-0005-0000-0000-0000E4060000}"/>
    <cellStyle name="Normal 104" xfId="2229" xr:uid="{00000000-0005-0000-0000-0000E5060000}"/>
    <cellStyle name="Normal 105" xfId="2230" xr:uid="{00000000-0005-0000-0000-0000E6060000}"/>
    <cellStyle name="Normal 106" xfId="2231" xr:uid="{00000000-0005-0000-0000-0000E7060000}"/>
    <cellStyle name="Normal 107" xfId="2232" xr:uid="{00000000-0005-0000-0000-0000E8060000}"/>
    <cellStyle name="Normal 108" xfId="2233" xr:uid="{00000000-0005-0000-0000-0000E9060000}"/>
    <cellStyle name="Normal 109" xfId="2234" xr:uid="{00000000-0005-0000-0000-0000EA060000}"/>
    <cellStyle name="Normal 11" xfId="144" xr:uid="{00000000-0005-0000-0000-0000EB060000}"/>
    <cellStyle name="Normal 11 2" xfId="577" xr:uid="{00000000-0005-0000-0000-0000EC060000}"/>
    <cellStyle name="Normal 11 2 2" xfId="578" xr:uid="{00000000-0005-0000-0000-0000ED060000}"/>
    <cellStyle name="Normal 11 2 2 2" xfId="579" xr:uid="{00000000-0005-0000-0000-0000EE060000}"/>
    <cellStyle name="Normal 11 2 2 2 2" xfId="2235" xr:uid="{00000000-0005-0000-0000-0000EF060000}"/>
    <cellStyle name="Normal 11 2 2 3" xfId="2236" xr:uid="{00000000-0005-0000-0000-0000F0060000}"/>
    <cellStyle name="Normal 11 2 3" xfId="580" xr:uid="{00000000-0005-0000-0000-0000F1060000}"/>
    <cellStyle name="Normal 11 2 3 2" xfId="2237" xr:uid="{00000000-0005-0000-0000-0000F2060000}"/>
    <cellStyle name="Normal 11 2 4" xfId="2238" xr:uid="{00000000-0005-0000-0000-0000F3060000}"/>
    <cellStyle name="Normal 11 3" xfId="581" xr:uid="{00000000-0005-0000-0000-0000F4060000}"/>
    <cellStyle name="Normal 11 3 2" xfId="582" xr:uid="{00000000-0005-0000-0000-0000F5060000}"/>
    <cellStyle name="Normal 11 4" xfId="583" xr:uid="{00000000-0005-0000-0000-0000F6060000}"/>
    <cellStyle name="Normal 11 5" xfId="584" xr:uid="{00000000-0005-0000-0000-0000F7060000}"/>
    <cellStyle name="Normal 11_Evolución de becas SEP-UAM-PRONABES" xfId="2239" xr:uid="{00000000-0005-0000-0000-0000F8060000}"/>
    <cellStyle name="Normal 110" xfId="2240" xr:uid="{00000000-0005-0000-0000-0000F9060000}"/>
    <cellStyle name="Normal 111" xfId="2241" xr:uid="{00000000-0005-0000-0000-0000FA060000}"/>
    <cellStyle name="Normal 112" xfId="2242" xr:uid="{00000000-0005-0000-0000-0000FB060000}"/>
    <cellStyle name="Normal 113" xfId="2243" xr:uid="{00000000-0005-0000-0000-0000FC060000}"/>
    <cellStyle name="Normal 114" xfId="2244" xr:uid="{00000000-0005-0000-0000-0000FD060000}"/>
    <cellStyle name="Normal 115" xfId="2245" xr:uid="{00000000-0005-0000-0000-0000FE060000}"/>
    <cellStyle name="Normal 116" xfId="2246" xr:uid="{00000000-0005-0000-0000-0000FF060000}"/>
    <cellStyle name="Normal 117" xfId="2247" xr:uid="{00000000-0005-0000-0000-000000070000}"/>
    <cellStyle name="Normal 118" xfId="2248" xr:uid="{00000000-0005-0000-0000-000001070000}"/>
    <cellStyle name="Normal 119" xfId="2249" xr:uid="{00000000-0005-0000-0000-000002070000}"/>
    <cellStyle name="Normal 12" xfId="145" xr:uid="{00000000-0005-0000-0000-000003070000}"/>
    <cellStyle name="Normal 12 2" xfId="585" xr:uid="{00000000-0005-0000-0000-000004070000}"/>
    <cellStyle name="Normal 12 2 2" xfId="586" xr:uid="{00000000-0005-0000-0000-000005070000}"/>
    <cellStyle name="Normal 12 2 2 2" xfId="587" xr:uid="{00000000-0005-0000-0000-000006070000}"/>
    <cellStyle name="Normal 12 2 3" xfId="588" xr:uid="{00000000-0005-0000-0000-000007070000}"/>
    <cellStyle name="Normal 12 3" xfId="589" xr:uid="{00000000-0005-0000-0000-000008070000}"/>
    <cellStyle name="Normal 12 3 2" xfId="590" xr:uid="{00000000-0005-0000-0000-000009070000}"/>
    <cellStyle name="Normal 12 4" xfId="591" xr:uid="{00000000-0005-0000-0000-00000A070000}"/>
    <cellStyle name="Normal 12 5" xfId="592" xr:uid="{00000000-0005-0000-0000-00000B070000}"/>
    <cellStyle name="Normal 120" xfId="2250" xr:uid="{00000000-0005-0000-0000-00000C070000}"/>
    <cellStyle name="Normal 121" xfId="2251" xr:uid="{00000000-0005-0000-0000-00000D070000}"/>
    <cellStyle name="Normal 122" xfId="2252" xr:uid="{00000000-0005-0000-0000-00000E070000}"/>
    <cellStyle name="Normal 123" xfId="2253" xr:uid="{00000000-0005-0000-0000-00000F070000}"/>
    <cellStyle name="Normal 124" xfId="2254" xr:uid="{00000000-0005-0000-0000-000010070000}"/>
    <cellStyle name="Normal 125" xfId="2255" xr:uid="{00000000-0005-0000-0000-000011070000}"/>
    <cellStyle name="Normal 13" xfId="146" xr:uid="{00000000-0005-0000-0000-000012070000}"/>
    <cellStyle name="Normal 13 2" xfId="211" xr:uid="{00000000-0005-0000-0000-000013070000}"/>
    <cellStyle name="Normal 13 2 2" xfId="593" xr:uid="{00000000-0005-0000-0000-000014070000}"/>
    <cellStyle name="Normal 13 2 3" xfId="594" xr:uid="{00000000-0005-0000-0000-000015070000}"/>
    <cellStyle name="Normal 13 3" xfId="595" xr:uid="{00000000-0005-0000-0000-000016070000}"/>
    <cellStyle name="Normal 13 4" xfId="596" xr:uid="{00000000-0005-0000-0000-000017070000}"/>
    <cellStyle name="Normal 13_Evolución de becas SEP-UAM-PRONABES" xfId="2256" xr:uid="{00000000-0005-0000-0000-000018070000}"/>
    <cellStyle name="Normal 131" xfId="3781" xr:uid="{00000000-0005-0000-0000-000019070000}"/>
    <cellStyle name="Normal 136" xfId="3779" xr:uid="{00000000-0005-0000-0000-00001A070000}"/>
    <cellStyle name="Normal 14" xfId="209" xr:uid="{00000000-0005-0000-0000-00001B070000}"/>
    <cellStyle name="Normal 14 2" xfId="227" xr:uid="{00000000-0005-0000-0000-00001C070000}"/>
    <cellStyle name="Normal 14 2 2" xfId="597" xr:uid="{00000000-0005-0000-0000-00001D070000}"/>
    <cellStyle name="Normal 14 2 3" xfId="598" xr:uid="{00000000-0005-0000-0000-00001E070000}"/>
    <cellStyle name="Normal 14 3" xfId="599" xr:uid="{00000000-0005-0000-0000-00001F070000}"/>
    <cellStyle name="Normal 14 4" xfId="600" xr:uid="{00000000-0005-0000-0000-000020070000}"/>
    <cellStyle name="Normal 14 4 2" xfId="601" xr:uid="{00000000-0005-0000-0000-000021070000}"/>
    <cellStyle name="Normal 14 4 2 2" xfId="602" xr:uid="{00000000-0005-0000-0000-000022070000}"/>
    <cellStyle name="Normal 14 4 3" xfId="603" xr:uid="{00000000-0005-0000-0000-000023070000}"/>
    <cellStyle name="Normal 14 5" xfId="604" xr:uid="{00000000-0005-0000-0000-000024070000}"/>
    <cellStyle name="Normal 14 6" xfId="2257" xr:uid="{00000000-0005-0000-0000-000025070000}"/>
    <cellStyle name="Normal 15" xfId="234" xr:uid="{00000000-0005-0000-0000-000026070000}"/>
    <cellStyle name="Normal 15 2" xfId="246" xr:uid="{00000000-0005-0000-0000-000027070000}"/>
    <cellStyle name="Normal 15 2 2" xfId="605" xr:uid="{00000000-0005-0000-0000-000028070000}"/>
    <cellStyle name="Normal 15 2 2 2" xfId="2258" xr:uid="{00000000-0005-0000-0000-000029070000}"/>
    <cellStyle name="Normal 15 2 2 2 2" xfId="2259" xr:uid="{00000000-0005-0000-0000-00002A070000}"/>
    <cellStyle name="Normal 15 2 2 2 2 2" xfId="2260" xr:uid="{00000000-0005-0000-0000-00002B070000}"/>
    <cellStyle name="Normal 15 2 2 2 3" xfId="2261" xr:uid="{00000000-0005-0000-0000-00002C070000}"/>
    <cellStyle name="Normal 15 2 2 3" xfId="2262" xr:uid="{00000000-0005-0000-0000-00002D070000}"/>
    <cellStyle name="Normal 15 2 2 3 2" xfId="2263" xr:uid="{00000000-0005-0000-0000-00002E070000}"/>
    <cellStyle name="Normal 15 2 2 3 2 2" xfId="2264" xr:uid="{00000000-0005-0000-0000-00002F070000}"/>
    <cellStyle name="Normal 15 2 2 3 2 2 2" xfId="2265" xr:uid="{00000000-0005-0000-0000-000030070000}"/>
    <cellStyle name="Normal 15 2 2 3 2 3" xfId="2266" xr:uid="{00000000-0005-0000-0000-000031070000}"/>
    <cellStyle name="Normal 15 2 2 3 3" xfId="2267" xr:uid="{00000000-0005-0000-0000-000032070000}"/>
    <cellStyle name="Normal 15 2 2 3 3 2" xfId="2268" xr:uid="{00000000-0005-0000-0000-000033070000}"/>
    <cellStyle name="Normal 15 2 2 3 4" xfId="2269" xr:uid="{00000000-0005-0000-0000-000034070000}"/>
    <cellStyle name="Normal 15 2 2 4" xfId="2270" xr:uid="{00000000-0005-0000-0000-000035070000}"/>
    <cellStyle name="Normal 15 2 2 4 2" xfId="2271" xr:uid="{00000000-0005-0000-0000-000036070000}"/>
    <cellStyle name="Normal 15 2 2 4 2 2" xfId="2272" xr:uid="{00000000-0005-0000-0000-000037070000}"/>
    <cellStyle name="Normal 15 2 2 4 3" xfId="2273" xr:uid="{00000000-0005-0000-0000-000038070000}"/>
    <cellStyle name="Normal 15 2 2 5" xfId="2274" xr:uid="{00000000-0005-0000-0000-000039070000}"/>
    <cellStyle name="Normal 15 2 2 5 2" xfId="2275" xr:uid="{00000000-0005-0000-0000-00003A070000}"/>
    <cellStyle name="Normal 15 2 2 6" xfId="2276" xr:uid="{00000000-0005-0000-0000-00003B070000}"/>
    <cellStyle name="Normal 15 2 3" xfId="2277" xr:uid="{00000000-0005-0000-0000-00003C070000}"/>
    <cellStyle name="Normal 15 2 3 2" xfId="2278" xr:uid="{00000000-0005-0000-0000-00003D070000}"/>
    <cellStyle name="Normal 15 2 3 2 2" xfId="2279" xr:uid="{00000000-0005-0000-0000-00003E070000}"/>
    <cellStyle name="Normal 15 2 3 2 2 2" xfId="2280" xr:uid="{00000000-0005-0000-0000-00003F070000}"/>
    <cellStyle name="Normal 15 2 3 2 2 2 2" xfId="2281" xr:uid="{00000000-0005-0000-0000-000040070000}"/>
    <cellStyle name="Normal 15 2 3 2 2 2 2 2" xfId="2282" xr:uid="{00000000-0005-0000-0000-000041070000}"/>
    <cellStyle name="Normal 15 2 3 2 2 2 3" xfId="2283" xr:uid="{00000000-0005-0000-0000-000042070000}"/>
    <cellStyle name="Normal 15 2 3 2 2 3" xfId="2284" xr:uid="{00000000-0005-0000-0000-000043070000}"/>
    <cellStyle name="Normal 15 2 3 2 2 3 2" xfId="2285" xr:uid="{00000000-0005-0000-0000-000044070000}"/>
    <cellStyle name="Normal 15 2 3 2 2 3 2 2" xfId="2286" xr:uid="{00000000-0005-0000-0000-000045070000}"/>
    <cellStyle name="Normal 15 2 3 2 2 3 3" xfId="2287" xr:uid="{00000000-0005-0000-0000-000046070000}"/>
    <cellStyle name="Normal 15 2 3 2 2 4" xfId="2288" xr:uid="{00000000-0005-0000-0000-000047070000}"/>
    <cellStyle name="Normal 15 2 3 2 2 4 2" xfId="2289" xr:uid="{00000000-0005-0000-0000-000048070000}"/>
    <cellStyle name="Normal 15 2 3 2 2 4 2 2" xfId="2290" xr:uid="{00000000-0005-0000-0000-000049070000}"/>
    <cellStyle name="Normal 15 2 3 2 2 4 3" xfId="2291" xr:uid="{00000000-0005-0000-0000-00004A070000}"/>
    <cellStyle name="Normal 15 2 3 2 2 5" xfId="2292" xr:uid="{00000000-0005-0000-0000-00004B070000}"/>
    <cellStyle name="Normal 15 2 3 2 2 5 2" xfId="2293" xr:uid="{00000000-0005-0000-0000-00004C070000}"/>
    <cellStyle name="Normal 15 2 3 2 2 6" xfId="2294" xr:uid="{00000000-0005-0000-0000-00004D070000}"/>
    <cellStyle name="Normal 15 2 3 2 3" xfId="2295" xr:uid="{00000000-0005-0000-0000-00004E070000}"/>
    <cellStyle name="Normal 15 2 3 2 3 2" xfId="2296" xr:uid="{00000000-0005-0000-0000-00004F070000}"/>
    <cellStyle name="Normal 15 2 3 2 4" xfId="2297" xr:uid="{00000000-0005-0000-0000-000050070000}"/>
    <cellStyle name="Normal 15 2 3 3" xfId="2298" xr:uid="{00000000-0005-0000-0000-000051070000}"/>
    <cellStyle name="Normal 15 2 3 3 2" xfId="2299" xr:uid="{00000000-0005-0000-0000-000052070000}"/>
    <cellStyle name="Normal 15 2 3 4" xfId="2300" xr:uid="{00000000-0005-0000-0000-000053070000}"/>
    <cellStyle name="Normal 15 2 4" xfId="2301" xr:uid="{00000000-0005-0000-0000-000054070000}"/>
    <cellStyle name="Normal 15 2 4 2" xfId="2302" xr:uid="{00000000-0005-0000-0000-000055070000}"/>
    <cellStyle name="Normal 15 2 5" xfId="2303" xr:uid="{00000000-0005-0000-0000-000056070000}"/>
    <cellStyle name="Normal 15 3" xfId="2304" xr:uid="{00000000-0005-0000-0000-000057070000}"/>
    <cellStyle name="Normal 15 4" xfId="2305" xr:uid="{00000000-0005-0000-0000-000058070000}"/>
    <cellStyle name="Normal 15 5" xfId="2306" xr:uid="{00000000-0005-0000-0000-000059070000}"/>
    <cellStyle name="Normal 15_Evolución de becas SEP-UAM-PRONABES" xfId="2307" xr:uid="{00000000-0005-0000-0000-00005A070000}"/>
    <cellStyle name="Normal 16" xfId="236" xr:uid="{00000000-0005-0000-0000-00005B070000}"/>
    <cellStyle name="Normal 16 2" xfId="247" xr:uid="{00000000-0005-0000-0000-00005C070000}"/>
    <cellStyle name="Normal 16 2 2" xfId="606" xr:uid="{00000000-0005-0000-0000-00005D070000}"/>
    <cellStyle name="Normal 16_Evolución de becas SEP-UAM-PRONABES" xfId="2308" xr:uid="{00000000-0005-0000-0000-00005E070000}"/>
    <cellStyle name="Normal 17" xfId="444" xr:uid="{00000000-0005-0000-0000-00005F070000}"/>
    <cellStyle name="Normal 17 2" xfId="607" xr:uid="{00000000-0005-0000-0000-000060070000}"/>
    <cellStyle name="Normal 17 3" xfId="822" xr:uid="{00000000-0005-0000-0000-000061070000}"/>
    <cellStyle name="Normal 17_Evolución de becas SEP-UAM-PRONABES" xfId="2309" xr:uid="{00000000-0005-0000-0000-000062070000}"/>
    <cellStyle name="Normal 18" xfId="608" xr:uid="{00000000-0005-0000-0000-000063070000}"/>
    <cellStyle name="Normal 18 2" xfId="609" xr:uid="{00000000-0005-0000-0000-000064070000}"/>
    <cellStyle name="Normal 18 3" xfId="3782" xr:uid="{00000000-0005-0000-0000-000065070000}"/>
    <cellStyle name="Normal 18_Evolución de becas SEP-UAM-PRONABES" xfId="2310" xr:uid="{00000000-0005-0000-0000-000066070000}"/>
    <cellStyle name="Normal 19" xfId="445" xr:uid="{00000000-0005-0000-0000-000067070000}"/>
    <cellStyle name="Normal 19 2" xfId="610" xr:uid="{00000000-0005-0000-0000-000068070000}"/>
    <cellStyle name="Normal 19 2 2" xfId="2311" xr:uid="{00000000-0005-0000-0000-000069070000}"/>
    <cellStyle name="Normal 19 3" xfId="2312" xr:uid="{00000000-0005-0000-0000-00006A070000}"/>
    <cellStyle name="Normal 19 4" xfId="2313" xr:uid="{00000000-0005-0000-0000-00006B070000}"/>
    <cellStyle name="Normal 2" xfId="147" xr:uid="{00000000-0005-0000-0000-00006C070000}"/>
    <cellStyle name="Normal 2 2" xfId="148" xr:uid="{00000000-0005-0000-0000-00006D070000}"/>
    <cellStyle name="Normal 2 2 2" xfId="149" xr:uid="{00000000-0005-0000-0000-00006E070000}"/>
    <cellStyle name="Normal 2 2 3" xfId="2314" xr:uid="{00000000-0005-0000-0000-00006F070000}"/>
    <cellStyle name="Normal 2 2_Evolución de becas SEP-UAM-PRONABES" xfId="2315" xr:uid="{00000000-0005-0000-0000-000070070000}"/>
    <cellStyle name="Normal 2 3" xfId="611" xr:uid="{00000000-0005-0000-0000-000071070000}"/>
    <cellStyle name="Normal 2 3 2" xfId="612" xr:uid="{00000000-0005-0000-0000-000072070000}"/>
    <cellStyle name="Normal 2 3 3" xfId="2316" xr:uid="{00000000-0005-0000-0000-000073070000}"/>
    <cellStyle name="Normal 2 3_Evolución de becas SEP-UAM-PRONABES" xfId="2317" xr:uid="{00000000-0005-0000-0000-000074070000}"/>
    <cellStyle name="Normal 2 4" xfId="800" xr:uid="{00000000-0005-0000-0000-000075070000}"/>
    <cellStyle name="Normal 2 4 2" xfId="2318" xr:uid="{00000000-0005-0000-0000-000076070000}"/>
    <cellStyle name="Normal 2 4 2 2" xfId="2319" xr:uid="{00000000-0005-0000-0000-000077070000}"/>
    <cellStyle name="Normal 2 4 2 2 2" xfId="2320" xr:uid="{00000000-0005-0000-0000-000078070000}"/>
    <cellStyle name="Normal 2 4 2 3" xfId="2321" xr:uid="{00000000-0005-0000-0000-000079070000}"/>
    <cellStyle name="Normal 2 4 3" xfId="2322" xr:uid="{00000000-0005-0000-0000-00007A070000}"/>
    <cellStyle name="Normal 2 4 3 2" xfId="2323" xr:uid="{00000000-0005-0000-0000-00007B070000}"/>
    <cellStyle name="Normal 2 4 3 2 2" xfId="2324" xr:uid="{00000000-0005-0000-0000-00007C070000}"/>
    <cellStyle name="Normal 2 4 3 3" xfId="2325" xr:uid="{00000000-0005-0000-0000-00007D070000}"/>
    <cellStyle name="Normal 2 4 4" xfId="2326" xr:uid="{00000000-0005-0000-0000-00007E070000}"/>
    <cellStyle name="Normal 2 4 4 2" xfId="2327" xr:uid="{00000000-0005-0000-0000-00007F070000}"/>
    <cellStyle name="Normal 2 4 4 2 2" xfId="2328" xr:uid="{00000000-0005-0000-0000-000080070000}"/>
    <cellStyle name="Normal 2 4 4 3" xfId="2329" xr:uid="{00000000-0005-0000-0000-000081070000}"/>
    <cellStyle name="Normal 2 4 5" xfId="2330" xr:uid="{00000000-0005-0000-0000-000082070000}"/>
    <cellStyle name="Normal 2 4 5 2" xfId="2331" xr:uid="{00000000-0005-0000-0000-000083070000}"/>
    <cellStyle name="Normal 2 4 5 2 2" xfId="2332" xr:uid="{00000000-0005-0000-0000-000084070000}"/>
    <cellStyle name="Normal 2 4 5 2 2 2" xfId="2333" xr:uid="{00000000-0005-0000-0000-000085070000}"/>
    <cellStyle name="Normal 2 4 5 2 3" xfId="2334" xr:uid="{00000000-0005-0000-0000-000086070000}"/>
    <cellStyle name="Normal 2 4 5 3" xfId="2335" xr:uid="{00000000-0005-0000-0000-000087070000}"/>
    <cellStyle name="Normal 2 4 5 3 2" xfId="2336" xr:uid="{00000000-0005-0000-0000-000088070000}"/>
    <cellStyle name="Normal 2 4 5 4" xfId="2337" xr:uid="{00000000-0005-0000-0000-000089070000}"/>
    <cellStyle name="Normal 2 4 5 5" xfId="2338" xr:uid="{00000000-0005-0000-0000-00008A070000}"/>
    <cellStyle name="Normal 2 4 6" xfId="2339" xr:uid="{00000000-0005-0000-0000-00008B070000}"/>
    <cellStyle name="Normal 2 4 6 2" xfId="2340" xr:uid="{00000000-0005-0000-0000-00008C070000}"/>
    <cellStyle name="Normal 2 4 7" xfId="2341" xr:uid="{00000000-0005-0000-0000-00008D070000}"/>
    <cellStyle name="Normal 2 6" xfId="3780" xr:uid="{00000000-0005-0000-0000-00008E070000}"/>
    <cellStyle name="Normal 2_BASE_POSTULADOS_NOPOSTULADOS_G08_020211(2)" xfId="2342" xr:uid="{00000000-0005-0000-0000-00008F070000}"/>
    <cellStyle name="Normal 20" xfId="435" xr:uid="{00000000-0005-0000-0000-000090070000}"/>
    <cellStyle name="Normal 20 2" xfId="613" xr:uid="{00000000-0005-0000-0000-000091070000}"/>
    <cellStyle name="Normal 21" xfId="436" xr:uid="{00000000-0005-0000-0000-000092070000}"/>
    <cellStyle name="Normal 21 2" xfId="437" xr:uid="{00000000-0005-0000-0000-000093070000}"/>
    <cellStyle name="Normal 22" xfId="614" xr:uid="{00000000-0005-0000-0000-000094070000}"/>
    <cellStyle name="Normal 22 2" xfId="615" xr:uid="{00000000-0005-0000-0000-000095070000}"/>
    <cellStyle name="Normal 23" xfId="616" xr:uid="{00000000-0005-0000-0000-000096070000}"/>
    <cellStyle name="Normal 23 2" xfId="617" xr:uid="{00000000-0005-0000-0000-000097070000}"/>
    <cellStyle name="Normal 23 2 2" xfId="2343" xr:uid="{00000000-0005-0000-0000-000098070000}"/>
    <cellStyle name="Normal 23 3" xfId="2344" xr:uid="{00000000-0005-0000-0000-000099070000}"/>
    <cellStyle name="Normal 24" xfId="618" xr:uid="{00000000-0005-0000-0000-00009A070000}"/>
    <cellStyle name="Normal 24 2" xfId="619" xr:uid="{00000000-0005-0000-0000-00009B070000}"/>
    <cellStyle name="Normal 25" xfId="620" xr:uid="{00000000-0005-0000-0000-00009C070000}"/>
    <cellStyle name="Normal 25 2" xfId="621" xr:uid="{00000000-0005-0000-0000-00009D070000}"/>
    <cellStyle name="Normal 26" xfId="446" xr:uid="{00000000-0005-0000-0000-00009E070000}"/>
    <cellStyle name="Normal 26 10" xfId="2345" xr:uid="{00000000-0005-0000-0000-00009F070000}"/>
    <cellStyle name="Normal 26 11" xfId="2346" xr:uid="{00000000-0005-0000-0000-0000A0070000}"/>
    <cellStyle name="Normal 26 12" xfId="2347" xr:uid="{00000000-0005-0000-0000-0000A1070000}"/>
    <cellStyle name="Normal 26 2" xfId="622" xr:uid="{00000000-0005-0000-0000-0000A2070000}"/>
    <cellStyle name="Normal 26 2 2" xfId="2348" xr:uid="{00000000-0005-0000-0000-0000A3070000}"/>
    <cellStyle name="Normal 26 2 2 2" xfId="2349" xr:uid="{00000000-0005-0000-0000-0000A4070000}"/>
    <cellStyle name="Normal 26 2 2 2 2" xfId="2350" xr:uid="{00000000-0005-0000-0000-0000A5070000}"/>
    <cellStyle name="Normal 26 2 2 2 2 2" xfId="2351" xr:uid="{00000000-0005-0000-0000-0000A6070000}"/>
    <cellStyle name="Normal 26 2 2 2 3" xfId="2352" xr:uid="{00000000-0005-0000-0000-0000A7070000}"/>
    <cellStyle name="Normal 26 2 2 3" xfId="2353" xr:uid="{00000000-0005-0000-0000-0000A8070000}"/>
    <cellStyle name="Normal 26 2 2 3 2" xfId="2354" xr:uid="{00000000-0005-0000-0000-0000A9070000}"/>
    <cellStyle name="Normal 26 2 2 3 2 2" xfId="2355" xr:uid="{00000000-0005-0000-0000-0000AA070000}"/>
    <cellStyle name="Normal 26 2 2 3 3" xfId="2356" xr:uid="{00000000-0005-0000-0000-0000AB070000}"/>
    <cellStyle name="Normal 26 2 2 4" xfId="2357" xr:uid="{00000000-0005-0000-0000-0000AC070000}"/>
    <cellStyle name="Normal 26 2 2 4 2" xfId="2358" xr:uid="{00000000-0005-0000-0000-0000AD070000}"/>
    <cellStyle name="Normal 26 2 2 4 2 2" xfId="2359" xr:uid="{00000000-0005-0000-0000-0000AE070000}"/>
    <cellStyle name="Normal 26 2 2 4 3" xfId="2360" xr:uid="{00000000-0005-0000-0000-0000AF070000}"/>
    <cellStyle name="Normal 26 2 2 5" xfId="2361" xr:uid="{00000000-0005-0000-0000-0000B0070000}"/>
    <cellStyle name="Normal 26 2 2 5 2" xfId="2362" xr:uid="{00000000-0005-0000-0000-0000B1070000}"/>
    <cellStyle name="Normal 26 2 2 6" xfId="431" xr:uid="{00000000-0005-0000-0000-0000B2070000}"/>
    <cellStyle name="Normal 26 2 2 6 2" xfId="623" xr:uid="{00000000-0005-0000-0000-0000B3070000}"/>
    <cellStyle name="Normal 26 2 3" xfId="2363" xr:uid="{00000000-0005-0000-0000-0000B4070000}"/>
    <cellStyle name="Normal 26 2 3 2" xfId="2364" xr:uid="{00000000-0005-0000-0000-0000B5070000}"/>
    <cellStyle name="Normal 26 2 4" xfId="2365" xr:uid="{00000000-0005-0000-0000-0000B6070000}"/>
    <cellStyle name="Normal 26 3" xfId="2366" xr:uid="{00000000-0005-0000-0000-0000B7070000}"/>
    <cellStyle name="Normal 26 3 2" xfId="2367" xr:uid="{00000000-0005-0000-0000-0000B8070000}"/>
    <cellStyle name="Normal 26 3 2 2" xfId="2368" xr:uid="{00000000-0005-0000-0000-0000B9070000}"/>
    <cellStyle name="Normal 26 3 3" xfId="2369" xr:uid="{00000000-0005-0000-0000-0000BA070000}"/>
    <cellStyle name="Normal 26 4" xfId="2370" xr:uid="{00000000-0005-0000-0000-0000BB070000}"/>
    <cellStyle name="Normal 26 4 2" xfId="2371" xr:uid="{00000000-0005-0000-0000-0000BC070000}"/>
    <cellStyle name="Normal 26 4 2 2" xfId="2372" xr:uid="{00000000-0005-0000-0000-0000BD070000}"/>
    <cellStyle name="Normal 26 4 3" xfId="2373" xr:uid="{00000000-0005-0000-0000-0000BE070000}"/>
    <cellStyle name="Normal 26 5" xfId="2374" xr:uid="{00000000-0005-0000-0000-0000BF070000}"/>
    <cellStyle name="Normal 26 5 2" xfId="2375" xr:uid="{00000000-0005-0000-0000-0000C0070000}"/>
    <cellStyle name="Normal 26 5 2 2" xfId="2376" xr:uid="{00000000-0005-0000-0000-0000C1070000}"/>
    <cellStyle name="Normal 26 5 3" xfId="2377" xr:uid="{00000000-0005-0000-0000-0000C2070000}"/>
    <cellStyle name="Normal 26 6" xfId="2378" xr:uid="{00000000-0005-0000-0000-0000C3070000}"/>
    <cellStyle name="Normal 26 6 2" xfId="2379" xr:uid="{00000000-0005-0000-0000-0000C4070000}"/>
    <cellStyle name="Normal 26 6 2 2" xfId="2380" xr:uid="{00000000-0005-0000-0000-0000C5070000}"/>
    <cellStyle name="Normal 26 6 3" xfId="2381" xr:uid="{00000000-0005-0000-0000-0000C6070000}"/>
    <cellStyle name="Normal 26 7" xfId="2382" xr:uid="{00000000-0005-0000-0000-0000C7070000}"/>
    <cellStyle name="Normal 26 7 2" xfId="2383" xr:uid="{00000000-0005-0000-0000-0000C8070000}"/>
    <cellStyle name="Normal 26 7 2 2" xfId="2384" xr:uid="{00000000-0005-0000-0000-0000C9070000}"/>
    <cellStyle name="Normal 26 7 2 2 2" xfId="2385" xr:uid="{00000000-0005-0000-0000-0000CA070000}"/>
    <cellStyle name="Normal 26 7 2 3" xfId="2386" xr:uid="{00000000-0005-0000-0000-0000CB070000}"/>
    <cellStyle name="Normal 26 7 3" xfId="2387" xr:uid="{00000000-0005-0000-0000-0000CC070000}"/>
    <cellStyle name="Normal 26 7 3 2" xfId="2388" xr:uid="{00000000-0005-0000-0000-0000CD070000}"/>
    <cellStyle name="Normal 26 7 4" xfId="2389" xr:uid="{00000000-0005-0000-0000-0000CE070000}"/>
    <cellStyle name="Normal 26 8" xfId="2390" xr:uid="{00000000-0005-0000-0000-0000CF070000}"/>
    <cellStyle name="Normal 26 8 2" xfId="2391" xr:uid="{00000000-0005-0000-0000-0000D0070000}"/>
    <cellStyle name="Normal 26 8 2 2" xfId="2392" xr:uid="{00000000-0005-0000-0000-0000D1070000}"/>
    <cellStyle name="Normal 26 8 3" xfId="2393" xr:uid="{00000000-0005-0000-0000-0000D2070000}"/>
    <cellStyle name="Normal 26 8 3 2" xfId="2394" xr:uid="{00000000-0005-0000-0000-0000D3070000}"/>
    <cellStyle name="Normal 26 9" xfId="2395" xr:uid="{00000000-0005-0000-0000-0000D4070000}"/>
    <cellStyle name="Normal 26 9 2" xfId="2396" xr:uid="{00000000-0005-0000-0000-0000D5070000}"/>
    <cellStyle name="Normal 27" xfId="624" xr:uid="{00000000-0005-0000-0000-0000D6070000}"/>
    <cellStyle name="Normal 27 2" xfId="625" xr:uid="{00000000-0005-0000-0000-0000D7070000}"/>
    <cellStyle name="Normal 28" xfId="626" xr:uid="{00000000-0005-0000-0000-0000D8070000}"/>
    <cellStyle name="Normal 28 2" xfId="627" xr:uid="{00000000-0005-0000-0000-0000D9070000}"/>
    <cellStyle name="Normal 29" xfId="628" xr:uid="{00000000-0005-0000-0000-0000DA070000}"/>
    <cellStyle name="Normal 29 2" xfId="629" xr:uid="{00000000-0005-0000-0000-0000DB070000}"/>
    <cellStyle name="Normal 29 2 2" xfId="630" xr:uid="{00000000-0005-0000-0000-0000DC070000}"/>
    <cellStyle name="Normal 29 2 2 2" xfId="2397" xr:uid="{00000000-0005-0000-0000-0000DD070000}"/>
    <cellStyle name="Normal 29 2 2 2 2" xfId="2398" xr:uid="{00000000-0005-0000-0000-0000DE070000}"/>
    <cellStyle name="Normal 29 2 2 2 2 2" xfId="2399" xr:uid="{00000000-0005-0000-0000-0000DF070000}"/>
    <cellStyle name="Normal 29 2 2 2 3" xfId="2400" xr:uid="{00000000-0005-0000-0000-0000E0070000}"/>
    <cellStyle name="Normal 29 2 2 3" xfId="2401" xr:uid="{00000000-0005-0000-0000-0000E1070000}"/>
    <cellStyle name="Normal 29 2 2 3 2" xfId="2402" xr:uid="{00000000-0005-0000-0000-0000E2070000}"/>
    <cellStyle name="Normal 29 2 2 3 2 2" xfId="2403" xr:uid="{00000000-0005-0000-0000-0000E3070000}"/>
    <cellStyle name="Normal 29 2 2 3 3" xfId="2404" xr:uid="{00000000-0005-0000-0000-0000E4070000}"/>
    <cellStyle name="Normal 29 2 2 4" xfId="2405" xr:uid="{00000000-0005-0000-0000-0000E5070000}"/>
    <cellStyle name="Normal 29 2 2 4 2" xfId="2406" xr:uid="{00000000-0005-0000-0000-0000E6070000}"/>
    <cellStyle name="Normal 29 2 2 4 2 2" xfId="2407" xr:uid="{00000000-0005-0000-0000-0000E7070000}"/>
    <cellStyle name="Normal 29 2 2 4 3" xfId="2408" xr:uid="{00000000-0005-0000-0000-0000E8070000}"/>
    <cellStyle name="Normal 29 2 2 5" xfId="2409" xr:uid="{00000000-0005-0000-0000-0000E9070000}"/>
    <cellStyle name="Normal 29 2 2 5 2" xfId="2410" xr:uid="{00000000-0005-0000-0000-0000EA070000}"/>
    <cellStyle name="Normal 29 2 2 6" xfId="2411" xr:uid="{00000000-0005-0000-0000-0000EB070000}"/>
    <cellStyle name="Normal 29 2 2 7" xfId="2412" xr:uid="{00000000-0005-0000-0000-0000EC070000}"/>
    <cellStyle name="Normal 29 2 3" xfId="2413" xr:uid="{00000000-0005-0000-0000-0000ED070000}"/>
    <cellStyle name="Normal 29 2 3 2" xfId="2414" xr:uid="{00000000-0005-0000-0000-0000EE070000}"/>
    <cellStyle name="Normal 29 2 4" xfId="2415" xr:uid="{00000000-0005-0000-0000-0000EF070000}"/>
    <cellStyle name="Normal 29 3" xfId="631" xr:uid="{00000000-0005-0000-0000-0000F0070000}"/>
    <cellStyle name="Normal 29 3 2" xfId="2416" xr:uid="{00000000-0005-0000-0000-0000F1070000}"/>
    <cellStyle name="Normal 29 4" xfId="2417" xr:uid="{00000000-0005-0000-0000-0000F2070000}"/>
    <cellStyle name="Normal 3" xfId="150" xr:uid="{00000000-0005-0000-0000-0000F3070000}"/>
    <cellStyle name="Normal 3 10" xfId="2418" xr:uid="{00000000-0005-0000-0000-0000F4070000}"/>
    <cellStyle name="Normal 3 11" xfId="2419" xr:uid="{00000000-0005-0000-0000-0000F5070000}"/>
    <cellStyle name="Normal 3 12" xfId="2420" xr:uid="{00000000-0005-0000-0000-0000F6070000}"/>
    <cellStyle name="Normal 3 12 2" xfId="2421" xr:uid="{00000000-0005-0000-0000-0000F7070000}"/>
    <cellStyle name="Normal 3 12 2 2" xfId="2422" xr:uid="{00000000-0005-0000-0000-0000F8070000}"/>
    <cellStyle name="Normal 3 12 2 2 2" xfId="2423" xr:uid="{00000000-0005-0000-0000-0000F9070000}"/>
    <cellStyle name="Normal 3 12 2 3" xfId="2424" xr:uid="{00000000-0005-0000-0000-0000FA070000}"/>
    <cellStyle name="Normal 3 12 3" xfId="2425" xr:uid="{00000000-0005-0000-0000-0000FB070000}"/>
    <cellStyle name="Normal 3 12 3 2" xfId="2426" xr:uid="{00000000-0005-0000-0000-0000FC070000}"/>
    <cellStyle name="Normal 3 12 3 2 2" xfId="2427" xr:uid="{00000000-0005-0000-0000-0000FD070000}"/>
    <cellStyle name="Normal 3 12 3 3" xfId="2428" xr:uid="{00000000-0005-0000-0000-0000FE070000}"/>
    <cellStyle name="Normal 3 12 4" xfId="2429" xr:uid="{00000000-0005-0000-0000-0000FF070000}"/>
    <cellStyle name="Normal 3 12 4 2" xfId="2430" xr:uid="{00000000-0005-0000-0000-000000080000}"/>
    <cellStyle name="Normal 3 12 4 2 2" xfId="2431" xr:uid="{00000000-0005-0000-0000-000001080000}"/>
    <cellStyle name="Normal 3 12 4 2 2 2" xfId="2432" xr:uid="{00000000-0005-0000-0000-000002080000}"/>
    <cellStyle name="Normal 3 12 4 2 3" xfId="2433" xr:uid="{00000000-0005-0000-0000-000003080000}"/>
    <cellStyle name="Normal 3 12 4 3" xfId="2434" xr:uid="{00000000-0005-0000-0000-000004080000}"/>
    <cellStyle name="Normal 3 12 4 3 2" xfId="2435" xr:uid="{00000000-0005-0000-0000-000005080000}"/>
    <cellStyle name="Normal 3 12 4 3 2 2" xfId="2436" xr:uid="{00000000-0005-0000-0000-000006080000}"/>
    <cellStyle name="Normal 3 12 4 3 3" xfId="2437" xr:uid="{00000000-0005-0000-0000-000007080000}"/>
    <cellStyle name="Normal 3 12 4 4" xfId="2438" xr:uid="{00000000-0005-0000-0000-000008080000}"/>
    <cellStyle name="Normal 3 12 4 4 2" xfId="2439" xr:uid="{00000000-0005-0000-0000-000009080000}"/>
    <cellStyle name="Normal 3 12 4 4 2 2" xfId="2440" xr:uid="{00000000-0005-0000-0000-00000A080000}"/>
    <cellStyle name="Normal 3 12 4 4 3" xfId="2441" xr:uid="{00000000-0005-0000-0000-00000B080000}"/>
    <cellStyle name="Normal 3 12 4 5" xfId="2442" xr:uid="{00000000-0005-0000-0000-00000C080000}"/>
    <cellStyle name="Normal 3 12 4 5 2" xfId="2443" xr:uid="{00000000-0005-0000-0000-00000D080000}"/>
    <cellStyle name="Normal 3 12 4 6" xfId="2444" xr:uid="{00000000-0005-0000-0000-00000E080000}"/>
    <cellStyle name="Normal 3 12 5" xfId="2445" xr:uid="{00000000-0005-0000-0000-00000F080000}"/>
    <cellStyle name="Normal 3 12 5 2" xfId="2446" xr:uid="{00000000-0005-0000-0000-000010080000}"/>
    <cellStyle name="Normal 3 12 6" xfId="2447" xr:uid="{00000000-0005-0000-0000-000011080000}"/>
    <cellStyle name="Normal 3 13" xfId="2448" xr:uid="{00000000-0005-0000-0000-000012080000}"/>
    <cellStyle name="Normal 3 14" xfId="2449" xr:uid="{00000000-0005-0000-0000-000013080000}"/>
    <cellStyle name="Normal 3 15" xfId="2450" xr:uid="{00000000-0005-0000-0000-000014080000}"/>
    <cellStyle name="Normal 3 15 2" xfId="2451" xr:uid="{00000000-0005-0000-0000-000015080000}"/>
    <cellStyle name="Normal 3 15 2 2" xfId="2452" xr:uid="{00000000-0005-0000-0000-000016080000}"/>
    <cellStyle name="Normal 3 15 3" xfId="2453" xr:uid="{00000000-0005-0000-0000-000017080000}"/>
    <cellStyle name="Normal 3 16" xfId="2454" xr:uid="{00000000-0005-0000-0000-000018080000}"/>
    <cellStyle name="Normal 3 17" xfId="2455" xr:uid="{00000000-0005-0000-0000-000019080000}"/>
    <cellStyle name="Normal 3 18" xfId="2456" xr:uid="{00000000-0005-0000-0000-00001A080000}"/>
    <cellStyle name="Normal 3 18 2" xfId="2457" xr:uid="{00000000-0005-0000-0000-00001B080000}"/>
    <cellStyle name="Normal 3 19" xfId="2458" xr:uid="{00000000-0005-0000-0000-00001C080000}"/>
    <cellStyle name="Normal 3 2" xfId="151" xr:uid="{00000000-0005-0000-0000-00001D080000}"/>
    <cellStyle name="Normal 3 2 2" xfId="152" xr:uid="{00000000-0005-0000-0000-00001E080000}"/>
    <cellStyle name="Normal 3 2 2 2" xfId="2459" xr:uid="{00000000-0005-0000-0000-00001F080000}"/>
    <cellStyle name="Normal 3 2 2 2 2" xfId="2460" xr:uid="{00000000-0005-0000-0000-000020080000}"/>
    <cellStyle name="Normal 3 2 2 3" xfId="2461" xr:uid="{00000000-0005-0000-0000-000021080000}"/>
    <cellStyle name="Normal 3 2 3" xfId="816" xr:uid="{00000000-0005-0000-0000-000022080000}"/>
    <cellStyle name="Normal 3 2 3 2" xfId="2462" xr:uid="{00000000-0005-0000-0000-000023080000}"/>
    <cellStyle name="Normal 3 2 4" xfId="2463" xr:uid="{00000000-0005-0000-0000-000024080000}"/>
    <cellStyle name="Normal 3 2_ARTURO SSMC110113xls" xfId="2464" xr:uid="{00000000-0005-0000-0000-000025080000}"/>
    <cellStyle name="Normal 3 3" xfId="153" xr:uid="{00000000-0005-0000-0000-000026080000}"/>
    <cellStyle name="Normal 3 3 2" xfId="154" xr:uid="{00000000-0005-0000-0000-000027080000}"/>
    <cellStyle name="Normal 3 3 2 2" xfId="2465" xr:uid="{00000000-0005-0000-0000-000028080000}"/>
    <cellStyle name="Normal 3 3 2 2 2" xfId="2466" xr:uid="{00000000-0005-0000-0000-000029080000}"/>
    <cellStyle name="Normal 3 3 2 3" xfId="2467" xr:uid="{00000000-0005-0000-0000-00002A080000}"/>
    <cellStyle name="Normal 3 3 3" xfId="2468" xr:uid="{00000000-0005-0000-0000-00002B080000}"/>
    <cellStyle name="Normal 3 3 3 2" xfId="2469" xr:uid="{00000000-0005-0000-0000-00002C080000}"/>
    <cellStyle name="Normal 3 3 4" xfId="2470" xr:uid="{00000000-0005-0000-0000-00002D080000}"/>
    <cellStyle name="Normal 3 3_ARTURO SSMC110113xls" xfId="2471" xr:uid="{00000000-0005-0000-0000-00002E080000}"/>
    <cellStyle name="Normal 3 4" xfId="155" xr:uid="{00000000-0005-0000-0000-00002F080000}"/>
    <cellStyle name="Normal 3 4 2" xfId="2472" xr:uid="{00000000-0005-0000-0000-000030080000}"/>
    <cellStyle name="Normal 3 4 2 2" xfId="2473" xr:uid="{00000000-0005-0000-0000-000031080000}"/>
    <cellStyle name="Normal 3 4 3" xfId="2474" xr:uid="{00000000-0005-0000-0000-000032080000}"/>
    <cellStyle name="Normal 3 5" xfId="218" xr:uid="{00000000-0005-0000-0000-000033080000}"/>
    <cellStyle name="Normal 3 5 2" xfId="2475" xr:uid="{00000000-0005-0000-0000-000034080000}"/>
    <cellStyle name="Normal 3 5 2 2" xfId="2476" xr:uid="{00000000-0005-0000-0000-000035080000}"/>
    <cellStyle name="Normal 3 5 3" xfId="2477" xr:uid="{00000000-0005-0000-0000-000036080000}"/>
    <cellStyle name="Normal 3 6" xfId="382" xr:uid="{00000000-0005-0000-0000-000037080000}"/>
    <cellStyle name="Normal 3 6 2" xfId="632" xr:uid="{00000000-0005-0000-0000-000038080000}"/>
    <cellStyle name="Normal 3 6 2 2" xfId="2478" xr:uid="{00000000-0005-0000-0000-000039080000}"/>
    <cellStyle name="Normal 3 6 2 2 2" xfId="2479" xr:uid="{00000000-0005-0000-0000-00003A080000}"/>
    <cellStyle name="Normal 3 6 2 3" xfId="2480" xr:uid="{00000000-0005-0000-0000-00003B080000}"/>
    <cellStyle name="Normal 3 7" xfId="2481" xr:uid="{00000000-0005-0000-0000-00003C080000}"/>
    <cellStyle name="Normal 3 7 2" xfId="2482" xr:uid="{00000000-0005-0000-0000-00003D080000}"/>
    <cellStyle name="Normal 3 7 2 2" xfId="2483" xr:uid="{00000000-0005-0000-0000-00003E080000}"/>
    <cellStyle name="Normal 3 7 2 2 2" xfId="2484" xr:uid="{00000000-0005-0000-0000-00003F080000}"/>
    <cellStyle name="Normal 3 7 2 3" xfId="2485" xr:uid="{00000000-0005-0000-0000-000040080000}"/>
    <cellStyle name="Normal 3 7 3" xfId="2486" xr:uid="{00000000-0005-0000-0000-000041080000}"/>
    <cellStyle name="Normal 3 7 3 2" xfId="2487" xr:uid="{00000000-0005-0000-0000-000042080000}"/>
    <cellStyle name="Normal 3 7 4" xfId="2488" xr:uid="{00000000-0005-0000-0000-000043080000}"/>
    <cellStyle name="Normal 3 8" xfId="2489" xr:uid="{00000000-0005-0000-0000-000044080000}"/>
    <cellStyle name="Normal 3 9" xfId="2490" xr:uid="{00000000-0005-0000-0000-000045080000}"/>
    <cellStyle name="Normal 3_ARTURO SSMC110113xls" xfId="2491" xr:uid="{00000000-0005-0000-0000-000046080000}"/>
    <cellStyle name="Normal 30" xfId="633" xr:uid="{00000000-0005-0000-0000-000047080000}"/>
    <cellStyle name="Normal 30 2" xfId="634" xr:uid="{00000000-0005-0000-0000-000048080000}"/>
    <cellStyle name="Normal 30 2 2" xfId="2492" xr:uid="{00000000-0005-0000-0000-000049080000}"/>
    <cellStyle name="Normal 30 2 2 2" xfId="2493" xr:uid="{00000000-0005-0000-0000-00004A080000}"/>
    <cellStyle name="Normal 30 2 2 2 2" xfId="2494" xr:uid="{00000000-0005-0000-0000-00004B080000}"/>
    <cellStyle name="Normal 30 2 2 2 2 2" xfId="2495" xr:uid="{00000000-0005-0000-0000-00004C080000}"/>
    <cellStyle name="Normal 30 2 2 2 3" xfId="2496" xr:uid="{00000000-0005-0000-0000-00004D080000}"/>
    <cellStyle name="Normal 30 2 2 3" xfId="2497" xr:uid="{00000000-0005-0000-0000-00004E080000}"/>
    <cellStyle name="Normal 30 2 2 3 2" xfId="2498" xr:uid="{00000000-0005-0000-0000-00004F080000}"/>
    <cellStyle name="Normal 30 2 2 3 2 2" xfId="2499" xr:uid="{00000000-0005-0000-0000-000050080000}"/>
    <cellStyle name="Normal 30 2 2 3 3" xfId="2500" xr:uid="{00000000-0005-0000-0000-000051080000}"/>
    <cellStyle name="Normal 30 2 2 4" xfId="2501" xr:uid="{00000000-0005-0000-0000-000052080000}"/>
    <cellStyle name="Normal 30 2 2 4 2" xfId="2502" xr:uid="{00000000-0005-0000-0000-000053080000}"/>
    <cellStyle name="Normal 30 2 2 4 2 2" xfId="2503" xr:uid="{00000000-0005-0000-0000-000054080000}"/>
    <cellStyle name="Normal 30 2 2 4 3" xfId="2504" xr:uid="{00000000-0005-0000-0000-000055080000}"/>
    <cellStyle name="Normal 30 2 2 5" xfId="2505" xr:uid="{00000000-0005-0000-0000-000056080000}"/>
    <cellStyle name="Normal 30 2 2 5 2" xfId="2506" xr:uid="{00000000-0005-0000-0000-000057080000}"/>
    <cellStyle name="Normal 30 2 2 6" xfId="2507" xr:uid="{00000000-0005-0000-0000-000058080000}"/>
    <cellStyle name="Normal 30 2 2 7" xfId="2508" xr:uid="{00000000-0005-0000-0000-000059080000}"/>
    <cellStyle name="Normal 30 2 3" xfId="2509" xr:uid="{00000000-0005-0000-0000-00005A080000}"/>
    <cellStyle name="Normal 30 2 3 2" xfId="2510" xr:uid="{00000000-0005-0000-0000-00005B080000}"/>
    <cellStyle name="Normal 30 2 4" xfId="2511" xr:uid="{00000000-0005-0000-0000-00005C080000}"/>
    <cellStyle name="Normal 30 3" xfId="2512" xr:uid="{00000000-0005-0000-0000-00005D080000}"/>
    <cellStyle name="Normal 30 3 2" xfId="2513" xr:uid="{00000000-0005-0000-0000-00005E080000}"/>
    <cellStyle name="Normal 30 4" xfId="2514" xr:uid="{00000000-0005-0000-0000-00005F080000}"/>
    <cellStyle name="Normal 31" xfId="635" xr:uid="{00000000-0005-0000-0000-000060080000}"/>
    <cellStyle name="Normal 31 2" xfId="636" xr:uid="{00000000-0005-0000-0000-000061080000}"/>
    <cellStyle name="Normal 32" xfId="637" xr:uid="{00000000-0005-0000-0000-000062080000}"/>
    <cellStyle name="Normal 32 2" xfId="2515" xr:uid="{00000000-0005-0000-0000-000063080000}"/>
    <cellStyle name="Normal 32 2 2" xfId="2516" xr:uid="{00000000-0005-0000-0000-000064080000}"/>
    <cellStyle name="Normal 32 2 2 2" xfId="2517" xr:uid="{00000000-0005-0000-0000-000065080000}"/>
    <cellStyle name="Normal 32 2 2 2 2" xfId="2518" xr:uid="{00000000-0005-0000-0000-000066080000}"/>
    <cellStyle name="Normal 32 2 2 2 2 2" xfId="2519" xr:uid="{00000000-0005-0000-0000-000067080000}"/>
    <cellStyle name="Normal 32 2 2 2 2 2 2" xfId="2520" xr:uid="{00000000-0005-0000-0000-000068080000}"/>
    <cellStyle name="Normal 32 2 2 2 2 3" xfId="2521" xr:uid="{00000000-0005-0000-0000-000069080000}"/>
    <cellStyle name="Normal 32 2 2 2 3" xfId="2522" xr:uid="{00000000-0005-0000-0000-00006A080000}"/>
    <cellStyle name="Normal 32 2 2 2 3 2" xfId="2523" xr:uid="{00000000-0005-0000-0000-00006B080000}"/>
    <cellStyle name="Normal 32 2 2 2 3 2 2" xfId="2524" xr:uid="{00000000-0005-0000-0000-00006C080000}"/>
    <cellStyle name="Normal 32 2 2 2 3 3" xfId="2525" xr:uid="{00000000-0005-0000-0000-00006D080000}"/>
    <cellStyle name="Normal 32 2 2 2 4" xfId="2526" xr:uid="{00000000-0005-0000-0000-00006E080000}"/>
    <cellStyle name="Normal 32 2 2 2 4 2" xfId="2527" xr:uid="{00000000-0005-0000-0000-00006F080000}"/>
    <cellStyle name="Normal 32 2 2 2 4 2 2" xfId="2528" xr:uid="{00000000-0005-0000-0000-000070080000}"/>
    <cellStyle name="Normal 32 2 2 2 4 3" xfId="2529" xr:uid="{00000000-0005-0000-0000-000071080000}"/>
    <cellStyle name="Normal 32 2 2 2 5" xfId="2530" xr:uid="{00000000-0005-0000-0000-000072080000}"/>
    <cellStyle name="Normal 32 2 2 2 5 2" xfId="2531" xr:uid="{00000000-0005-0000-0000-000073080000}"/>
    <cellStyle name="Normal 32 2 2 2 6" xfId="2532" xr:uid="{00000000-0005-0000-0000-000074080000}"/>
    <cellStyle name="Normal 32 2 2 2 7" xfId="2533" xr:uid="{00000000-0005-0000-0000-000075080000}"/>
    <cellStyle name="Normal 32 2 2 3" xfId="2534" xr:uid="{00000000-0005-0000-0000-000076080000}"/>
    <cellStyle name="Normal 32 2 2 3 2" xfId="2535" xr:uid="{00000000-0005-0000-0000-000077080000}"/>
    <cellStyle name="Normal 32 2 2 4" xfId="2536" xr:uid="{00000000-0005-0000-0000-000078080000}"/>
    <cellStyle name="Normal 32 2 3" xfId="2537" xr:uid="{00000000-0005-0000-0000-000079080000}"/>
    <cellStyle name="Normal 32 2 3 2" xfId="2538" xr:uid="{00000000-0005-0000-0000-00007A080000}"/>
    <cellStyle name="Normal 32 2 4" xfId="2539" xr:uid="{00000000-0005-0000-0000-00007B080000}"/>
    <cellStyle name="Normal 32 3" xfId="2540" xr:uid="{00000000-0005-0000-0000-00007C080000}"/>
    <cellStyle name="Normal 32 3 2" xfId="2541" xr:uid="{00000000-0005-0000-0000-00007D080000}"/>
    <cellStyle name="Normal 32 4" xfId="2542" xr:uid="{00000000-0005-0000-0000-00007E080000}"/>
    <cellStyle name="Normal 33" xfId="638" xr:uid="{00000000-0005-0000-0000-00007F080000}"/>
    <cellStyle name="Normal 33 2" xfId="2543" xr:uid="{00000000-0005-0000-0000-000080080000}"/>
    <cellStyle name="Normal 33 2 2" xfId="2544" xr:uid="{00000000-0005-0000-0000-000081080000}"/>
    <cellStyle name="Normal 33 2 2 2" xfId="2545" xr:uid="{00000000-0005-0000-0000-000082080000}"/>
    <cellStyle name="Normal 33 2 2 2 2" xfId="2546" xr:uid="{00000000-0005-0000-0000-000083080000}"/>
    <cellStyle name="Normal 33 2 2 2 2 2" xfId="2547" xr:uid="{00000000-0005-0000-0000-000084080000}"/>
    <cellStyle name="Normal 33 2 2 2 3" xfId="2548" xr:uid="{00000000-0005-0000-0000-000085080000}"/>
    <cellStyle name="Normal 33 2 2 3" xfId="2549" xr:uid="{00000000-0005-0000-0000-000086080000}"/>
    <cellStyle name="Normal 33 2 2 3 2" xfId="2550" xr:uid="{00000000-0005-0000-0000-000087080000}"/>
    <cellStyle name="Normal 33 2 2 3 2 2" xfId="2551" xr:uid="{00000000-0005-0000-0000-000088080000}"/>
    <cellStyle name="Normal 33 2 2 3 3" xfId="2552" xr:uid="{00000000-0005-0000-0000-000089080000}"/>
    <cellStyle name="Normal 33 2 2 4" xfId="2553" xr:uid="{00000000-0005-0000-0000-00008A080000}"/>
    <cellStyle name="Normal 33 2 2 4 2" xfId="2554" xr:uid="{00000000-0005-0000-0000-00008B080000}"/>
    <cellStyle name="Normal 33 2 2 4 2 2" xfId="2555" xr:uid="{00000000-0005-0000-0000-00008C080000}"/>
    <cellStyle name="Normal 33 2 2 4 3" xfId="2556" xr:uid="{00000000-0005-0000-0000-00008D080000}"/>
    <cellStyle name="Normal 33 2 2 5" xfId="2557" xr:uid="{00000000-0005-0000-0000-00008E080000}"/>
    <cellStyle name="Normal 33 2 2 5 2" xfId="2558" xr:uid="{00000000-0005-0000-0000-00008F080000}"/>
    <cellStyle name="Normal 33 2 2 6" xfId="2559" xr:uid="{00000000-0005-0000-0000-000090080000}"/>
    <cellStyle name="Normal 33 2 2 6 2" xfId="2560" xr:uid="{00000000-0005-0000-0000-000091080000}"/>
    <cellStyle name="Normal 33 2 2 6 2 2" xfId="2561" xr:uid="{00000000-0005-0000-0000-000092080000}"/>
    <cellStyle name="Normal 33 2 2 7" xfId="2562" xr:uid="{00000000-0005-0000-0000-000093080000}"/>
    <cellStyle name="Normal 33 2 3" xfId="2563" xr:uid="{00000000-0005-0000-0000-000094080000}"/>
    <cellStyle name="Normal 33 2 3 2" xfId="2564" xr:uid="{00000000-0005-0000-0000-000095080000}"/>
    <cellStyle name="Normal 33 2 4" xfId="2565" xr:uid="{00000000-0005-0000-0000-000096080000}"/>
    <cellStyle name="Normal 33 3" xfId="2566" xr:uid="{00000000-0005-0000-0000-000097080000}"/>
    <cellStyle name="Normal 33 3 2" xfId="2567" xr:uid="{00000000-0005-0000-0000-000098080000}"/>
    <cellStyle name="Normal 33 4" xfId="2568" xr:uid="{00000000-0005-0000-0000-000099080000}"/>
    <cellStyle name="Normal 34" xfId="639" xr:uid="{00000000-0005-0000-0000-00009A080000}"/>
    <cellStyle name="Normal 34 2" xfId="2569" xr:uid="{00000000-0005-0000-0000-00009B080000}"/>
    <cellStyle name="Normal 34 2 2" xfId="2570" xr:uid="{00000000-0005-0000-0000-00009C080000}"/>
    <cellStyle name="Normal 34 2 2 2" xfId="2571" xr:uid="{00000000-0005-0000-0000-00009D080000}"/>
    <cellStyle name="Normal 34 2 2 2 2" xfId="2572" xr:uid="{00000000-0005-0000-0000-00009E080000}"/>
    <cellStyle name="Normal 34 2 2 3" xfId="2573" xr:uid="{00000000-0005-0000-0000-00009F080000}"/>
    <cellStyle name="Normal 34 2 3" xfId="2574" xr:uid="{00000000-0005-0000-0000-0000A0080000}"/>
    <cellStyle name="Normal 34 2 3 10" xfId="2575" xr:uid="{00000000-0005-0000-0000-0000A1080000}"/>
    <cellStyle name="Normal 34 2 3 2" xfId="2576" xr:uid="{00000000-0005-0000-0000-0000A2080000}"/>
    <cellStyle name="Normal 34 2 3 2 2" xfId="2577" xr:uid="{00000000-0005-0000-0000-0000A3080000}"/>
    <cellStyle name="Normal 34 2 3 2 2 2" xfId="2578" xr:uid="{00000000-0005-0000-0000-0000A4080000}"/>
    <cellStyle name="Normal 34 2 3 2 3" xfId="2579" xr:uid="{00000000-0005-0000-0000-0000A5080000}"/>
    <cellStyle name="Normal 34 2 3 3" xfId="2580" xr:uid="{00000000-0005-0000-0000-0000A6080000}"/>
    <cellStyle name="Normal 34 2 3 3 2" xfId="2581" xr:uid="{00000000-0005-0000-0000-0000A7080000}"/>
    <cellStyle name="Normal 34 2 3 3 2 2" xfId="2582" xr:uid="{00000000-0005-0000-0000-0000A8080000}"/>
    <cellStyle name="Normal 34 2 3 3 3" xfId="2583" xr:uid="{00000000-0005-0000-0000-0000A9080000}"/>
    <cellStyle name="Normal 34 2 3 4" xfId="2584" xr:uid="{00000000-0005-0000-0000-0000AA080000}"/>
    <cellStyle name="Normal 34 2 3 4 2" xfId="2585" xr:uid="{00000000-0005-0000-0000-0000AB080000}"/>
    <cellStyle name="Normal 34 2 3 4 2 2" xfId="2586" xr:uid="{00000000-0005-0000-0000-0000AC080000}"/>
    <cellStyle name="Normal 34 2 3 4 3" xfId="2587" xr:uid="{00000000-0005-0000-0000-0000AD080000}"/>
    <cellStyle name="Normal 34 2 3 5" xfId="2588" xr:uid="{00000000-0005-0000-0000-0000AE080000}"/>
    <cellStyle name="Normal 34 2 3 5 2" xfId="2589" xr:uid="{00000000-0005-0000-0000-0000AF080000}"/>
    <cellStyle name="Normal 34 2 3 6" xfId="2590" xr:uid="{00000000-0005-0000-0000-0000B0080000}"/>
    <cellStyle name="Normal 34 2 3 7" xfId="2591" xr:uid="{00000000-0005-0000-0000-0000B1080000}"/>
    <cellStyle name="Normal 34 2 3 8" xfId="2592" xr:uid="{00000000-0005-0000-0000-0000B2080000}"/>
    <cellStyle name="Normal 34 2 3 9" xfId="2593" xr:uid="{00000000-0005-0000-0000-0000B3080000}"/>
    <cellStyle name="Normal 34 2 4" xfId="2594" xr:uid="{00000000-0005-0000-0000-0000B4080000}"/>
    <cellStyle name="Normal 34 2 4 2" xfId="2595" xr:uid="{00000000-0005-0000-0000-0000B5080000}"/>
    <cellStyle name="Normal 34 2 5" xfId="2596" xr:uid="{00000000-0005-0000-0000-0000B6080000}"/>
    <cellStyle name="Normal 34 3" xfId="2597" xr:uid="{00000000-0005-0000-0000-0000B7080000}"/>
    <cellStyle name="Normal 34 3 2" xfId="2598" xr:uid="{00000000-0005-0000-0000-0000B8080000}"/>
    <cellStyle name="Normal 34 4" xfId="2599" xr:uid="{00000000-0005-0000-0000-0000B9080000}"/>
    <cellStyle name="Normal 35" xfId="801" xr:uid="{00000000-0005-0000-0000-0000BA080000}"/>
    <cellStyle name="Normal 35 2" xfId="2600" xr:uid="{00000000-0005-0000-0000-0000BB080000}"/>
    <cellStyle name="Normal 35 2 2" xfId="2601" xr:uid="{00000000-0005-0000-0000-0000BC080000}"/>
    <cellStyle name="Normal 35 2 2 2" xfId="2602" xr:uid="{00000000-0005-0000-0000-0000BD080000}"/>
    <cellStyle name="Normal 35 2 2 2 2" xfId="2603" xr:uid="{00000000-0005-0000-0000-0000BE080000}"/>
    <cellStyle name="Normal 35 2 2 2 2 2" xfId="2604" xr:uid="{00000000-0005-0000-0000-0000BF080000}"/>
    <cellStyle name="Normal 35 2 2 2 3" xfId="2605" xr:uid="{00000000-0005-0000-0000-0000C0080000}"/>
    <cellStyle name="Normal 35 2 2 3" xfId="2606" xr:uid="{00000000-0005-0000-0000-0000C1080000}"/>
    <cellStyle name="Normal 35 2 2 3 2" xfId="2607" xr:uid="{00000000-0005-0000-0000-0000C2080000}"/>
    <cellStyle name="Normal 35 2 2 3 2 2" xfId="2608" xr:uid="{00000000-0005-0000-0000-0000C3080000}"/>
    <cellStyle name="Normal 35 2 2 3 3" xfId="2609" xr:uid="{00000000-0005-0000-0000-0000C4080000}"/>
    <cellStyle name="Normal 35 2 2 4" xfId="2610" xr:uid="{00000000-0005-0000-0000-0000C5080000}"/>
    <cellStyle name="Normal 35 2 2 4 2" xfId="2611" xr:uid="{00000000-0005-0000-0000-0000C6080000}"/>
    <cellStyle name="Normal 35 2 2 4 2 2" xfId="2612" xr:uid="{00000000-0005-0000-0000-0000C7080000}"/>
    <cellStyle name="Normal 35 2 2 4 3" xfId="2613" xr:uid="{00000000-0005-0000-0000-0000C8080000}"/>
    <cellStyle name="Normal 35 2 2 5" xfId="2614" xr:uid="{00000000-0005-0000-0000-0000C9080000}"/>
    <cellStyle name="Normal 35 2 2 5 2" xfId="2615" xr:uid="{00000000-0005-0000-0000-0000CA080000}"/>
    <cellStyle name="Normal 35 2 2 6" xfId="2616" xr:uid="{00000000-0005-0000-0000-0000CB080000}"/>
    <cellStyle name="Normal 35 2 3" xfId="2617" xr:uid="{00000000-0005-0000-0000-0000CC080000}"/>
    <cellStyle name="Normal 35 2 3 2" xfId="2618" xr:uid="{00000000-0005-0000-0000-0000CD080000}"/>
    <cellStyle name="Normal 35 2 4" xfId="2619" xr:uid="{00000000-0005-0000-0000-0000CE080000}"/>
    <cellStyle name="Normal 35 3" xfId="2620" xr:uid="{00000000-0005-0000-0000-0000CF080000}"/>
    <cellStyle name="Normal 35 3 2" xfId="2621" xr:uid="{00000000-0005-0000-0000-0000D0080000}"/>
    <cellStyle name="Normal 35 4" xfId="2622" xr:uid="{00000000-0005-0000-0000-0000D1080000}"/>
    <cellStyle name="Normal 36" xfId="2623" xr:uid="{00000000-0005-0000-0000-0000D2080000}"/>
    <cellStyle name="Normal 36 2" xfId="2624" xr:uid="{00000000-0005-0000-0000-0000D3080000}"/>
    <cellStyle name="Normal 36 2 2" xfId="2625" xr:uid="{00000000-0005-0000-0000-0000D4080000}"/>
    <cellStyle name="Normal 36 2 2 2" xfId="2626" xr:uid="{00000000-0005-0000-0000-0000D5080000}"/>
    <cellStyle name="Normal 36 2 3" xfId="2627" xr:uid="{00000000-0005-0000-0000-0000D6080000}"/>
    <cellStyle name="Normal 36 3" xfId="2628" xr:uid="{00000000-0005-0000-0000-0000D7080000}"/>
    <cellStyle name="Normal 36 3 2" xfId="2629" xr:uid="{00000000-0005-0000-0000-0000D8080000}"/>
    <cellStyle name="Normal 36 3 2 2" xfId="2630" xr:uid="{00000000-0005-0000-0000-0000D9080000}"/>
    <cellStyle name="Normal 36 3 2 2 2" xfId="2631" xr:uid="{00000000-0005-0000-0000-0000DA080000}"/>
    <cellStyle name="Normal 36 3 2 3" xfId="2632" xr:uid="{00000000-0005-0000-0000-0000DB080000}"/>
    <cellStyle name="Normal 36 3 3" xfId="2633" xr:uid="{00000000-0005-0000-0000-0000DC080000}"/>
    <cellStyle name="Normal 36 3 3 2" xfId="2634" xr:uid="{00000000-0005-0000-0000-0000DD080000}"/>
    <cellStyle name="Normal 36 3 3 2 2" xfId="2635" xr:uid="{00000000-0005-0000-0000-0000DE080000}"/>
    <cellStyle name="Normal 36 3 3 3" xfId="2636" xr:uid="{00000000-0005-0000-0000-0000DF080000}"/>
    <cellStyle name="Normal 36 3 4" xfId="2637" xr:uid="{00000000-0005-0000-0000-0000E0080000}"/>
    <cellStyle name="Normal 36 3 4 2" xfId="2638" xr:uid="{00000000-0005-0000-0000-0000E1080000}"/>
    <cellStyle name="Normal 36 3 4 2 2" xfId="2639" xr:uid="{00000000-0005-0000-0000-0000E2080000}"/>
    <cellStyle name="Normal 36 3 4 3" xfId="2640" xr:uid="{00000000-0005-0000-0000-0000E3080000}"/>
    <cellStyle name="Normal 36 3 5" xfId="2641" xr:uid="{00000000-0005-0000-0000-0000E4080000}"/>
    <cellStyle name="Normal 36 3 5 2" xfId="2642" xr:uid="{00000000-0005-0000-0000-0000E5080000}"/>
    <cellStyle name="Normal 36 3 6" xfId="2643" xr:uid="{00000000-0005-0000-0000-0000E6080000}"/>
    <cellStyle name="Normal 36 4" xfId="2644" xr:uid="{00000000-0005-0000-0000-0000E7080000}"/>
    <cellStyle name="Normal 36 4 2" xfId="2645" xr:uid="{00000000-0005-0000-0000-0000E8080000}"/>
    <cellStyle name="Normal 36 5" xfId="2646" xr:uid="{00000000-0005-0000-0000-0000E9080000}"/>
    <cellStyle name="Normal 37" xfId="2647" xr:uid="{00000000-0005-0000-0000-0000EA080000}"/>
    <cellStyle name="Normal 37 2" xfId="2648" xr:uid="{00000000-0005-0000-0000-0000EB080000}"/>
    <cellStyle name="Normal 37 2 2" xfId="2649" xr:uid="{00000000-0005-0000-0000-0000EC080000}"/>
    <cellStyle name="Normal 37 2 2 2" xfId="2650" xr:uid="{00000000-0005-0000-0000-0000ED080000}"/>
    <cellStyle name="Normal 37 2 3" xfId="2651" xr:uid="{00000000-0005-0000-0000-0000EE080000}"/>
    <cellStyle name="Normal 37 3" xfId="2652" xr:uid="{00000000-0005-0000-0000-0000EF080000}"/>
    <cellStyle name="Normal 37 3 2" xfId="2653" xr:uid="{00000000-0005-0000-0000-0000F0080000}"/>
    <cellStyle name="Normal 37 3 2 2" xfId="2654" xr:uid="{00000000-0005-0000-0000-0000F1080000}"/>
    <cellStyle name="Normal 37 3 3" xfId="2655" xr:uid="{00000000-0005-0000-0000-0000F2080000}"/>
    <cellStyle name="Normal 37 4" xfId="2656" xr:uid="{00000000-0005-0000-0000-0000F3080000}"/>
    <cellStyle name="Normal 37 4 2" xfId="2657" xr:uid="{00000000-0005-0000-0000-0000F4080000}"/>
    <cellStyle name="Normal 37 4 2 2" xfId="2658" xr:uid="{00000000-0005-0000-0000-0000F5080000}"/>
    <cellStyle name="Normal 37 4 3" xfId="2659" xr:uid="{00000000-0005-0000-0000-0000F6080000}"/>
    <cellStyle name="Normal 37 5" xfId="2660" xr:uid="{00000000-0005-0000-0000-0000F7080000}"/>
    <cellStyle name="Normal 37 5 2" xfId="2661" xr:uid="{00000000-0005-0000-0000-0000F8080000}"/>
    <cellStyle name="Normal 37 5 2 2" xfId="2662" xr:uid="{00000000-0005-0000-0000-0000F9080000}"/>
    <cellStyle name="Normal 37 5 3" xfId="2663" xr:uid="{00000000-0005-0000-0000-0000FA080000}"/>
    <cellStyle name="Normal 37 6" xfId="2664" xr:uid="{00000000-0005-0000-0000-0000FB080000}"/>
    <cellStyle name="Normal 37 6 2" xfId="2665" xr:uid="{00000000-0005-0000-0000-0000FC080000}"/>
    <cellStyle name="Normal 37 7" xfId="2666" xr:uid="{00000000-0005-0000-0000-0000FD080000}"/>
    <cellStyle name="Normal 38" xfId="2667" xr:uid="{00000000-0005-0000-0000-0000FE080000}"/>
    <cellStyle name="Normal 38 2" xfId="2668" xr:uid="{00000000-0005-0000-0000-0000FF080000}"/>
    <cellStyle name="Normal 38 2 2" xfId="2669" xr:uid="{00000000-0005-0000-0000-000000090000}"/>
    <cellStyle name="Normal 38 2 2 2" xfId="2670" xr:uid="{00000000-0005-0000-0000-000001090000}"/>
    <cellStyle name="Normal 38 2 2 2 2" xfId="2671" xr:uid="{00000000-0005-0000-0000-000002090000}"/>
    <cellStyle name="Normal 38 2 2 3" xfId="2672" xr:uid="{00000000-0005-0000-0000-000003090000}"/>
    <cellStyle name="Normal 38 2 3" xfId="2673" xr:uid="{00000000-0005-0000-0000-000004090000}"/>
    <cellStyle name="Normal 38 2 3 2" xfId="2674" xr:uid="{00000000-0005-0000-0000-000005090000}"/>
    <cellStyle name="Normal 38 2 4" xfId="2675" xr:uid="{00000000-0005-0000-0000-000006090000}"/>
    <cellStyle name="Normal 38 3" xfId="2676" xr:uid="{00000000-0005-0000-0000-000007090000}"/>
    <cellStyle name="Normal 38 3 2" xfId="2677" xr:uid="{00000000-0005-0000-0000-000008090000}"/>
    <cellStyle name="Normal 38 4" xfId="2678" xr:uid="{00000000-0005-0000-0000-000009090000}"/>
    <cellStyle name="Normal 39" xfId="2679" xr:uid="{00000000-0005-0000-0000-00000A090000}"/>
    <cellStyle name="Normal 39 2" xfId="2680" xr:uid="{00000000-0005-0000-0000-00000B090000}"/>
    <cellStyle name="Normal 39 2 2" xfId="2681" xr:uid="{00000000-0005-0000-0000-00000C090000}"/>
    <cellStyle name="Normal 39 3" xfId="2682" xr:uid="{00000000-0005-0000-0000-00000D090000}"/>
    <cellStyle name="Normal 4" xfId="156" xr:uid="{00000000-0005-0000-0000-00000E090000}"/>
    <cellStyle name="Normal 4 2" xfId="157" xr:uid="{00000000-0005-0000-0000-00000F090000}"/>
    <cellStyle name="Normal 4 2 10" xfId="2683" xr:uid="{00000000-0005-0000-0000-000010090000}"/>
    <cellStyle name="Normal 4 2 10 2" xfId="2684" xr:uid="{00000000-0005-0000-0000-000011090000}"/>
    <cellStyle name="Normal 4 2 11" xfId="2685" xr:uid="{00000000-0005-0000-0000-000012090000}"/>
    <cellStyle name="Normal 4 2 2" xfId="158" xr:uid="{00000000-0005-0000-0000-000013090000}"/>
    <cellStyle name="Normal 4 2 2 10" xfId="2686" xr:uid="{00000000-0005-0000-0000-000014090000}"/>
    <cellStyle name="Normal 4 2 2 2" xfId="640" xr:uid="{00000000-0005-0000-0000-000015090000}"/>
    <cellStyle name="Normal 4 2 2 2 2" xfId="641" xr:uid="{00000000-0005-0000-0000-000016090000}"/>
    <cellStyle name="Normal 4 2 2 2 2 2" xfId="642" xr:uid="{00000000-0005-0000-0000-000017090000}"/>
    <cellStyle name="Normal 4 2 2 2 2 2 2" xfId="2687" xr:uid="{00000000-0005-0000-0000-000018090000}"/>
    <cellStyle name="Normal 4 2 2 2 2 3" xfId="2688" xr:uid="{00000000-0005-0000-0000-000019090000}"/>
    <cellStyle name="Normal 4 2 2 2 3" xfId="643" xr:uid="{00000000-0005-0000-0000-00001A090000}"/>
    <cellStyle name="Normal 4 2 2 2 3 2" xfId="2689" xr:uid="{00000000-0005-0000-0000-00001B090000}"/>
    <cellStyle name="Normal 4 2 2 2 4" xfId="2690" xr:uid="{00000000-0005-0000-0000-00001C090000}"/>
    <cellStyle name="Normal 4 2 2 3" xfId="644" xr:uid="{00000000-0005-0000-0000-00001D090000}"/>
    <cellStyle name="Normal 4 2 2 3 2" xfId="645" xr:uid="{00000000-0005-0000-0000-00001E090000}"/>
    <cellStyle name="Normal 4 2 2 3 2 2" xfId="2691" xr:uid="{00000000-0005-0000-0000-00001F090000}"/>
    <cellStyle name="Normal 4 2 2 3 2 2 2" xfId="2692" xr:uid="{00000000-0005-0000-0000-000020090000}"/>
    <cellStyle name="Normal 4 2 2 3 2 3" xfId="2693" xr:uid="{00000000-0005-0000-0000-000021090000}"/>
    <cellStyle name="Normal 4 2 2 3 3" xfId="2694" xr:uid="{00000000-0005-0000-0000-000022090000}"/>
    <cellStyle name="Normal 4 2 2 3 3 2" xfId="2695" xr:uid="{00000000-0005-0000-0000-000023090000}"/>
    <cellStyle name="Normal 4 2 2 3 4" xfId="2696" xr:uid="{00000000-0005-0000-0000-000024090000}"/>
    <cellStyle name="Normal 4 2 2 4" xfId="646" xr:uid="{00000000-0005-0000-0000-000025090000}"/>
    <cellStyle name="Normal 4 2 2 4 2" xfId="647" xr:uid="{00000000-0005-0000-0000-000026090000}"/>
    <cellStyle name="Normal 4 2 2 4 2 2" xfId="2697" xr:uid="{00000000-0005-0000-0000-000027090000}"/>
    <cellStyle name="Normal 4 2 2 4 2 2 2" xfId="2698" xr:uid="{00000000-0005-0000-0000-000028090000}"/>
    <cellStyle name="Normal 4 2 2 4 2 3" xfId="2699" xr:uid="{00000000-0005-0000-0000-000029090000}"/>
    <cellStyle name="Normal 4 2 2 4 3" xfId="2700" xr:uid="{00000000-0005-0000-0000-00002A090000}"/>
    <cellStyle name="Normal 4 2 2 4 3 2" xfId="2701" xr:uid="{00000000-0005-0000-0000-00002B090000}"/>
    <cellStyle name="Normal 4 2 2 4 4" xfId="2702" xr:uid="{00000000-0005-0000-0000-00002C090000}"/>
    <cellStyle name="Normal 4 2 2 5" xfId="648" xr:uid="{00000000-0005-0000-0000-00002D090000}"/>
    <cellStyle name="Normal 4 2 2 5 2" xfId="2703" xr:uid="{00000000-0005-0000-0000-00002E090000}"/>
    <cellStyle name="Normal 4 2 2 5 2 2" xfId="2704" xr:uid="{00000000-0005-0000-0000-00002F090000}"/>
    <cellStyle name="Normal 4 2 2 5 2 2 2" xfId="2705" xr:uid="{00000000-0005-0000-0000-000030090000}"/>
    <cellStyle name="Normal 4 2 2 5 2 3" xfId="2706" xr:uid="{00000000-0005-0000-0000-000031090000}"/>
    <cellStyle name="Normal 4 2 2 5 3" xfId="2707" xr:uid="{00000000-0005-0000-0000-000032090000}"/>
    <cellStyle name="Normal 4 2 2 5 3 2" xfId="2708" xr:uid="{00000000-0005-0000-0000-000033090000}"/>
    <cellStyle name="Normal 4 2 2 5 4" xfId="2709" xr:uid="{00000000-0005-0000-0000-000034090000}"/>
    <cellStyle name="Normal 4 2 2 6" xfId="2710" xr:uid="{00000000-0005-0000-0000-000035090000}"/>
    <cellStyle name="Normal 4 2 2 6 2" xfId="2711" xr:uid="{00000000-0005-0000-0000-000036090000}"/>
    <cellStyle name="Normal 4 2 2 6 2 2" xfId="2712" xr:uid="{00000000-0005-0000-0000-000037090000}"/>
    <cellStyle name="Normal 4 2 2 6 2 2 2" xfId="2713" xr:uid="{00000000-0005-0000-0000-000038090000}"/>
    <cellStyle name="Normal 4 2 2 6 2 3" xfId="2714" xr:uid="{00000000-0005-0000-0000-000039090000}"/>
    <cellStyle name="Normal 4 2 2 6 3" xfId="2715" xr:uid="{00000000-0005-0000-0000-00003A090000}"/>
    <cellStyle name="Normal 4 2 2 6 3 2" xfId="2716" xr:uid="{00000000-0005-0000-0000-00003B090000}"/>
    <cellStyle name="Normal 4 2 2 6 4" xfId="2717" xr:uid="{00000000-0005-0000-0000-00003C090000}"/>
    <cellStyle name="Normal 4 2 2 7" xfId="2718" xr:uid="{00000000-0005-0000-0000-00003D090000}"/>
    <cellStyle name="Normal 4 2 2 7 2" xfId="2719" xr:uid="{00000000-0005-0000-0000-00003E090000}"/>
    <cellStyle name="Normal 4 2 2 7 2 2" xfId="2720" xr:uid="{00000000-0005-0000-0000-00003F090000}"/>
    <cellStyle name="Normal 4 2 2 7 2 2 2" xfId="2721" xr:uid="{00000000-0005-0000-0000-000040090000}"/>
    <cellStyle name="Normal 4 2 2 7 2 3" xfId="2722" xr:uid="{00000000-0005-0000-0000-000041090000}"/>
    <cellStyle name="Normal 4 2 2 7 3" xfId="2723" xr:uid="{00000000-0005-0000-0000-000042090000}"/>
    <cellStyle name="Normal 4 2 2 7 3 2" xfId="2724" xr:uid="{00000000-0005-0000-0000-000043090000}"/>
    <cellStyle name="Normal 4 2 2 7 4" xfId="2725" xr:uid="{00000000-0005-0000-0000-000044090000}"/>
    <cellStyle name="Normal 4 2 2 8" xfId="2726" xr:uid="{00000000-0005-0000-0000-000045090000}"/>
    <cellStyle name="Normal 4 2 2 8 2" xfId="2727" xr:uid="{00000000-0005-0000-0000-000046090000}"/>
    <cellStyle name="Normal 4 2 2 8 2 2" xfId="2728" xr:uid="{00000000-0005-0000-0000-000047090000}"/>
    <cellStyle name="Normal 4 2 2 8 3" xfId="2729" xr:uid="{00000000-0005-0000-0000-000048090000}"/>
    <cellStyle name="Normal 4 2 2 9" xfId="2730" xr:uid="{00000000-0005-0000-0000-000049090000}"/>
    <cellStyle name="Normal 4 2 2 9 2" xfId="2731" xr:uid="{00000000-0005-0000-0000-00004A090000}"/>
    <cellStyle name="Normal 4 2 3" xfId="649" xr:uid="{00000000-0005-0000-0000-00004B090000}"/>
    <cellStyle name="Normal 4 2 3 2" xfId="650" xr:uid="{00000000-0005-0000-0000-00004C090000}"/>
    <cellStyle name="Normal 4 2 3 2 2" xfId="651" xr:uid="{00000000-0005-0000-0000-00004D090000}"/>
    <cellStyle name="Normal 4 2 3 2 2 2" xfId="2732" xr:uid="{00000000-0005-0000-0000-00004E090000}"/>
    <cellStyle name="Normal 4 2 3 2 3" xfId="2733" xr:uid="{00000000-0005-0000-0000-00004F090000}"/>
    <cellStyle name="Normal 4 2 3 3" xfId="652" xr:uid="{00000000-0005-0000-0000-000050090000}"/>
    <cellStyle name="Normal 4 2 3 3 2" xfId="2734" xr:uid="{00000000-0005-0000-0000-000051090000}"/>
    <cellStyle name="Normal 4 2 3 4" xfId="2735" xr:uid="{00000000-0005-0000-0000-000052090000}"/>
    <cellStyle name="Normal 4 2 3 5" xfId="3778" xr:uid="{00000000-0005-0000-0000-000053090000}"/>
    <cellStyle name="Normal 4 2 4" xfId="653" xr:uid="{00000000-0005-0000-0000-000054090000}"/>
    <cellStyle name="Normal 4 2 4 2" xfId="654" xr:uid="{00000000-0005-0000-0000-000055090000}"/>
    <cellStyle name="Normal 4 2 4 2 2" xfId="2736" xr:uid="{00000000-0005-0000-0000-000056090000}"/>
    <cellStyle name="Normal 4 2 4 2 2 2" xfId="2737" xr:uid="{00000000-0005-0000-0000-000057090000}"/>
    <cellStyle name="Normal 4 2 4 2 3" xfId="2738" xr:uid="{00000000-0005-0000-0000-000058090000}"/>
    <cellStyle name="Normal 4 2 4 3" xfId="2739" xr:uid="{00000000-0005-0000-0000-000059090000}"/>
    <cellStyle name="Normal 4 2 4 3 2" xfId="2740" xr:uid="{00000000-0005-0000-0000-00005A090000}"/>
    <cellStyle name="Normal 4 2 4 4" xfId="2741" xr:uid="{00000000-0005-0000-0000-00005B090000}"/>
    <cellStyle name="Normal 4 2 5" xfId="655" xr:uid="{00000000-0005-0000-0000-00005C090000}"/>
    <cellStyle name="Normal 4 2 5 2" xfId="656" xr:uid="{00000000-0005-0000-0000-00005D090000}"/>
    <cellStyle name="Normal 4 2 5 2 2" xfId="2742" xr:uid="{00000000-0005-0000-0000-00005E090000}"/>
    <cellStyle name="Normal 4 2 5 2 2 2" xfId="2743" xr:uid="{00000000-0005-0000-0000-00005F090000}"/>
    <cellStyle name="Normal 4 2 5 2 3" xfId="2744" xr:uid="{00000000-0005-0000-0000-000060090000}"/>
    <cellStyle name="Normal 4 2 5 3" xfId="2745" xr:uid="{00000000-0005-0000-0000-000061090000}"/>
    <cellStyle name="Normal 4 2 5 3 2" xfId="2746" xr:uid="{00000000-0005-0000-0000-000062090000}"/>
    <cellStyle name="Normal 4 2 5 4" xfId="2747" xr:uid="{00000000-0005-0000-0000-000063090000}"/>
    <cellStyle name="Normal 4 2 6" xfId="657" xr:uid="{00000000-0005-0000-0000-000064090000}"/>
    <cellStyle name="Normal 4 2 6 2" xfId="2748" xr:uid="{00000000-0005-0000-0000-000065090000}"/>
    <cellStyle name="Normal 4 2 6 2 2" xfId="2749" xr:uid="{00000000-0005-0000-0000-000066090000}"/>
    <cellStyle name="Normal 4 2 6 2 2 2" xfId="2750" xr:uid="{00000000-0005-0000-0000-000067090000}"/>
    <cellStyle name="Normal 4 2 6 2 3" xfId="2751" xr:uid="{00000000-0005-0000-0000-000068090000}"/>
    <cellStyle name="Normal 4 2 6 3" xfId="2752" xr:uid="{00000000-0005-0000-0000-000069090000}"/>
    <cellStyle name="Normal 4 2 6 3 2" xfId="2753" xr:uid="{00000000-0005-0000-0000-00006A090000}"/>
    <cellStyle name="Normal 4 2 6 4" xfId="2754" xr:uid="{00000000-0005-0000-0000-00006B090000}"/>
    <cellStyle name="Normal 4 2 7" xfId="2755" xr:uid="{00000000-0005-0000-0000-00006C090000}"/>
    <cellStyle name="Normal 4 2 7 2" xfId="2756" xr:uid="{00000000-0005-0000-0000-00006D090000}"/>
    <cellStyle name="Normal 4 2 7 2 2" xfId="2757" xr:uid="{00000000-0005-0000-0000-00006E090000}"/>
    <cellStyle name="Normal 4 2 7 2 2 2" xfId="2758" xr:uid="{00000000-0005-0000-0000-00006F090000}"/>
    <cellStyle name="Normal 4 2 7 2 3" xfId="2759" xr:uid="{00000000-0005-0000-0000-000070090000}"/>
    <cellStyle name="Normal 4 2 7 3" xfId="2760" xr:uid="{00000000-0005-0000-0000-000071090000}"/>
    <cellStyle name="Normal 4 2 7 3 2" xfId="2761" xr:uid="{00000000-0005-0000-0000-000072090000}"/>
    <cellStyle name="Normal 4 2 7 4" xfId="2762" xr:uid="{00000000-0005-0000-0000-000073090000}"/>
    <cellStyle name="Normal 4 2 8" xfId="2763" xr:uid="{00000000-0005-0000-0000-000074090000}"/>
    <cellStyle name="Normal 4 2 8 2" xfId="2764" xr:uid="{00000000-0005-0000-0000-000075090000}"/>
    <cellStyle name="Normal 4 2 8 2 2" xfId="2765" xr:uid="{00000000-0005-0000-0000-000076090000}"/>
    <cellStyle name="Normal 4 2 8 2 2 2" xfId="2766" xr:uid="{00000000-0005-0000-0000-000077090000}"/>
    <cellStyle name="Normal 4 2 8 2 3" xfId="2767" xr:uid="{00000000-0005-0000-0000-000078090000}"/>
    <cellStyle name="Normal 4 2 8 3" xfId="2768" xr:uid="{00000000-0005-0000-0000-000079090000}"/>
    <cellStyle name="Normal 4 2 8 3 2" xfId="2769" xr:uid="{00000000-0005-0000-0000-00007A090000}"/>
    <cellStyle name="Normal 4 2 8 4" xfId="2770" xr:uid="{00000000-0005-0000-0000-00007B090000}"/>
    <cellStyle name="Normal 4 2 9" xfId="2771" xr:uid="{00000000-0005-0000-0000-00007C090000}"/>
    <cellStyle name="Normal 4 2 9 2" xfId="2772" xr:uid="{00000000-0005-0000-0000-00007D090000}"/>
    <cellStyle name="Normal 4 2 9 2 2" xfId="2773" xr:uid="{00000000-0005-0000-0000-00007E090000}"/>
    <cellStyle name="Normal 4 2 9 3" xfId="2774" xr:uid="{00000000-0005-0000-0000-00007F090000}"/>
    <cellStyle name="Normal 4 2_ARTURO SSMC110113xls" xfId="2775" xr:uid="{00000000-0005-0000-0000-000080090000}"/>
    <cellStyle name="Normal 4 3" xfId="159" xr:uid="{00000000-0005-0000-0000-000081090000}"/>
    <cellStyle name="Normal 4 3 10" xfId="2776" xr:uid="{00000000-0005-0000-0000-000082090000}"/>
    <cellStyle name="Normal 4 3 2" xfId="658" xr:uid="{00000000-0005-0000-0000-000083090000}"/>
    <cellStyle name="Normal 4 3 2 2" xfId="659" xr:uid="{00000000-0005-0000-0000-000084090000}"/>
    <cellStyle name="Normal 4 3 2 2 2" xfId="660" xr:uid="{00000000-0005-0000-0000-000085090000}"/>
    <cellStyle name="Normal 4 3 2 2 2 2" xfId="2777" xr:uid="{00000000-0005-0000-0000-000086090000}"/>
    <cellStyle name="Normal 4 3 2 2 3" xfId="2778" xr:uid="{00000000-0005-0000-0000-000087090000}"/>
    <cellStyle name="Normal 4 3 2 3" xfId="661" xr:uid="{00000000-0005-0000-0000-000088090000}"/>
    <cellStyle name="Normal 4 3 2 3 2" xfId="2779" xr:uid="{00000000-0005-0000-0000-000089090000}"/>
    <cellStyle name="Normal 4 3 2 4" xfId="2780" xr:uid="{00000000-0005-0000-0000-00008A090000}"/>
    <cellStyle name="Normal 4 3 3" xfId="662" xr:uid="{00000000-0005-0000-0000-00008B090000}"/>
    <cellStyle name="Normal 4 3 3 2" xfId="663" xr:uid="{00000000-0005-0000-0000-00008C090000}"/>
    <cellStyle name="Normal 4 3 3 2 2" xfId="2781" xr:uid="{00000000-0005-0000-0000-00008D090000}"/>
    <cellStyle name="Normal 4 3 3 2 2 2" xfId="2782" xr:uid="{00000000-0005-0000-0000-00008E090000}"/>
    <cellStyle name="Normal 4 3 3 2 3" xfId="2783" xr:uid="{00000000-0005-0000-0000-00008F090000}"/>
    <cellStyle name="Normal 4 3 3 3" xfId="2784" xr:uid="{00000000-0005-0000-0000-000090090000}"/>
    <cellStyle name="Normal 4 3 3 3 2" xfId="2785" xr:uid="{00000000-0005-0000-0000-000091090000}"/>
    <cellStyle name="Normal 4 3 3 4" xfId="2786" xr:uid="{00000000-0005-0000-0000-000092090000}"/>
    <cellStyle name="Normal 4 3 4" xfId="664" xr:uid="{00000000-0005-0000-0000-000093090000}"/>
    <cellStyle name="Normal 4 3 4 2" xfId="665" xr:uid="{00000000-0005-0000-0000-000094090000}"/>
    <cellStyle name="Normal 4 3 4 2 2" xfId="2787" xr:uid="{00000000-0005-0000-0000-000095090000}"/>
    <cellStyle name="Normal 4 3 4 2 2 2" xfId="2788" xr:uid="{00000000-0005-0000-0000-000096090000}"/>
    <cellStyle name="Normal 4 3 4 2 3" xfId="2789" xr:uid="{00000000-0005-0000-0000-000097090000}"/>
    <cellStyle name="Normal 4 3 4 3" xfId="2790" xr:uid="{00000000-0005-0000-0000-000098090000}"/>
    <cellStyle name="Normal 4 3 4 3 2" xfId="2791" xr:uid="{00000000-0005-0000-0000-000099090000}"/>
    <cellStyle name="Normal 4 3 4 4" xfId="2792" xr:uid="{00000000-0005-0000-0000-00009A090000}"/>
    <cellStyle name="Normal 4 3 5" xfId="666" xr:uid="{00000000-0005-0000-0000-00009B090000}"/>
    <cellStyle name="Normal 4 3 5 2" xfId="2793" xr:uid="{00000000-0005-0000-0000-00009C090000}"/>
    <cellStyle name="Normal 4 3 5 2 2" xfId="2794" xr:uid="{00000000-0005-0000-0000-00009D090000}"/>
    <cellStyle name="Normal 4 3 5 2 2 2" xfId="2795" xr:uid="{00000000-0005-0000-0000-00009E090000}"/>
    <cellStyle name="Normal 4 3 5 2 3" xfId="2796" xr:uid="{00000000-0005-0000-0000-00009F090000}"/>
    <cellStyle name="Normal 4 3 5 3" xfId="2797" xr:uid="{00000000-0005-0000-0000-0000A0090000}"/>
    <cellStyle name="Normal 4 3 5 3 2" xfId="2798" xr:uid="{00000000-0005-0000-0000-0000A1090000}"/>
    <cellStyle name="Normal 4 3 5 4" xfId="2799" xr:uid="{00000000-0005-0000-0000-0000A2090000}"/>
    <cellStyle name="Normal 4 3 6" xfId="2800" xr:uid="{00000000-0005-0000-0000-0000A3090000}"/>
    <cellStyle name="Normal 4 3 6 2" xfId="2801" xr:uid="{00000000-0005-0000-0000-0000A4090000}"/>
    <cellStyle name="Normal 4 3 6 2 2" xfId="2802" xr:uid="{00000000-0005-0000-0000-0000A5090000}"/>
    <cellStyle name="Normal 4 3 6 2 2 2" xfId="2803" xr:uid="{00000000-0005-0000-0000-0000A6090000}"/>
    <cellStyle name="Normal 4 3 6 2 3" xfId="2804" xr:uid="{00000000-0005-0000-0000-0000A7090000}"/>
    <cellStyle name="Normal 4 3 6 3" xfId="2805" xr:uid="{00000000-0005-0000-0000-0000A8090000}"/>
    <cellStyle name="Normal 4 3 6 3 2" xfId="2806" xr:uid="{00000000-0005-0000-0000-0000A9090000}"/>
    <cellStyle name="Normal 4 3 6 4" xfId="2807" xr:uid="{00000000-0005-0000-0000-0000AA090000}"/>
    <cellStyle name="Normal 4 3 7" xfId="2808" xr:uid="{00000000-0005-0000-0000-0000AB090000}"/>
    <cellStyle name="Normal 4 3 7 2" xfId="2809" xr:uid="{00000000-0005-0000-0000-0000AC090000}"/>
    <cellStyle name="Normal 4 3 7 2 2" xfId="2810" xr:uid="{00000000-0005-0000-0000-0000AD090000}"/>
    <cellStyle name="Normal 4 3 7 2 2 2" xfId="2811" xr:uid="{00000000-0005-0000-0000-0000AE090000}"/>
    <cellStyle name="Normal 4 3 7 2 3" xfId="2812" xr:uid="{00000000-0005-0000-0000-0000AF090000}"/>
    <cellStyle name="Normal 4 3 7 3" xfId="2813" xr:uid="{00000000-0005-0000-0000-0000B0090000}"/>
    <cellStyle name="Normal 4 3 7 3 2" xfId="2814" xr:uid="{00000000-0005-0000-0000-0000B1090000}"/>
    <cellStyle name="Normal 4 3 7 4" xfId="2815" xr:uid="{00000000-0005-0000-0000-0000B2090000}"/>
    <cellStyle name="Normal 4 3 8" xfId="2816" xr:uid="{00000000-0005-0000-0000-0000B3090000}"/>
    <cellStyle name="Normal 4 3 8 2" xfId="2817" xr:uid="{00000000-0005-0000-0000-0000B4090000}"/>
    <cellStyle name="Normal 4 3 8 2 2" xfId="2818" xr:uid="{00000000-0005-0000-0000-0000B5090000}"/>
    <cellStyle name="Normal 4 3 8 3" xfId="2819" xr:uid="{00000000-0005-0000-0000-0000B6090000}"/>
    <cellStyle name="Normal 4 3 9" xfId="2820" xr:uid="{00000000-0005-0000-0000-0000B7090000}"/>
    <cellStyle name="Normal 4 3 9 2" xfId="2821" xr:uid="{00000000-0005-0000-0000-0000B8090000}"/>
    <cellStyle name="Normal 4 4" xfId="219" xr:uid="{00000000-0005-0000-0000-0000B9090000}"/>
    <cellStyle name="Normal 4 4 10" xfId="2822" xr:uid="{00000000-0005-0000-0000-0000BA090000}"/>
    <cellStyle name="Normal 4 4 2" xfId="667" xr:uid="{00000000-0005-0000-0000-0000BB090000}"/>
    <cellStyle name="Normal 4 4 2 2" xfId="668" xr:uid="{00000000-0005-0000-0000-0000BC090000}"/>
    <cellStyle name="Normal 4 4 2 2 2" xfId="2823" xr:uid="{00000000-0005-0000-0000-0000BD090000}"/>
    <cellStyle name="Normal 4 4 2 2 2 2" xfId="2824" xr:uid="{00000000-0005-0000-0000-0000BE090000}"/>
    <cellStyle name="Normal 4 4 2 2 3" xfId="2825" xr:uid="{00000000-0005-0000-0000-0000BF090000}"/>
    <cellStyle name="Normal 4 4 2 3" xfId="2826" xr:uid="{00000000-0005-0000-0000-0000C0090000}"/>
    <cellStyle name="Normal 4 4 2 3 2" xfId="2827" xr:uid="{00000000-0005-0000-0000-0000C1090000}"/>
    <cellStyle name="Normal 4 4 2 4" xfId="2828" xr:uid="{00000000-0005-0000-0000-0000C2090000}"/>
    <cellStyle name="Normal 4 4 3" xfId="669" xr:uid="{00000000-0005-0000-0000-0000C3090000}"/>
    <cellStyle name="Normal 4 4 3 2" xfId="670" xr:uid="{00000000-0005-0000-0000-0000C4090000}"/>
    <cellStyle name="Normal 4 4 3 2 2" xfId="2829" xr:uid="{00000000-0005-0000-0000-0000C5090000}"/>
    <cellStyle name="Normal 4 4 3 2 2 2" xfId="2830" xr:uid="{00000000-0005-0000-0000-0000C6090000}"/>
    <cellStyle name="Normal 4 4 3 2 3" xfId="2831" xr:uid="{00000000-0005-0000-0000-0000C7090000}"/>
    <cellStyle name="Normal 4 4 3 3" xfId="2832" xr:uid="{00000000-0005-0000-0000-0000C8090000}"/>
    <cellStyle name="Normal 4 4 3 3 2" xfId="2833" xr:uid="{00000000-0005-0000-0000-0000C9090000}"/>
    <cellStyle name="Normal 4 4 3 4" xfId="2834" xr:uid="{00000000-0005-0000-0000-0000CA090000}"/>
    <cellStyle name="Normal 4 4 4" xfId="671" xr:uid="{00000000-0005-0000-0000-0000CB090000}"/>
    <cellStyle name="Normal 4 4 4 2" xfId="2835" xr:uid="{00000000-0005-0000-0000-0000CC090000}"/>
    <cellStyle name="Normal 4 4 4 2 2" xfId="2836" xr:uid="{00000000-0005-0000-0000-0000CD090000}"/>
    <cellStyle name="Normal 4 4 4 2 2 2" xfId="2837" xr:uid="{00000000-0005-0000-0000-0000CE090000}"/>
    <cellStyle name="Normal 4 4 4 2 3" xfId="2838" xr:uid="{00000000-0005-0000-0000-0000CF090000}"/>
    <cellStyle name="Normal 4 4 4 3" xfId="2839" xr:uid="{00000000-0005-0000-0000-0000D0090000}"/>
    <cellStyle name="Normal 4 4 4 3 2" xfId="2840" xr:uid="{00000000-0005-0000-0000-0000D1090000}"/>
    <cellStyle name="Normal 4 4 4 4" xfId="2841" xr:uid="{00000000-0005-0000-0000-0000D2090000}"/>
    <cellStyle name="Normal 4 4 5" xfId="2842" xr:uid="{00000000-0005-0000-0000-0000D3090000}"/>
    <cellStyle name="Normal 4 4 5 2" xfId="2843" xr:uid="{00000000-0005-0000-0000-0000D4090000}"/>
    <cellStyle name="Normal 4 4 5 2 2" xfId="2844" xr:uid="{00000000-0005-0000-0000-0000D5090000}"/>
    <cellStyle name="Normal 4 4 5 2 2 2" xfId="2845" xr:uid="{00000000-0005-0000-0000-0000D6090000}"/>
    <cellStyle name="Normal 4 4 5 2 3" xfId="2846" xr:uid="{00000000-0005-0000-0000-0000D7090000}"/>
    <cellStyle name="Normal 4 4 5 3" xfId="2847" xr:uid="{00000000-0005-0000-0000-0000D8090000}"/>
    <cellStyle name="Normal 4 4 5 3 2" xfId="2848" xr:uid="{00000000-0005-0000-0000-0000D9090000}"/>
    <cellStyle name="Normal 4 4 5 4" xfId="2849" xr:uid="{00000000-0005-0000-0000-0000DA090000}"/>
    <cellStyle name="Normal 4 4 6" xfId="2850" xr:uid="{00000000-0005-0000-0000-0000DB090000}"/>
    <cellStyle name="Normal 4 4 6 2" xfId="2851" xr:uid="{00000000-0005-0000-0000-0000DC090000}"/>
    <cellStyle name="Normal 4 4 6 2 2" xfId="2852" xr:uid="{00000000-0005-0000-0000-0000DD090000}"/>
    <cellStyle name="Normal 4 4 6 2 2 2" xfId="2853" xr:uid="{00000000-0005-0000-0000-0000DE090000}"/>
    <cellStyle name="Normal 4 4 6 2 3" xfId="2854" xr:uid="{00000000-0005-0000-0000-0000DF090000}"/>
    <cellStyle name="Normal 4 4 6 3" xfId="2855" xr:uid="{00000000-0005-0000-0000-0000E0090000}"/>
    <cellStyle name="Normal 4 4 6 3 2" xfId="2856" xr:uid="{00000000-0005-0000-0000-0000E1090000}"/>
    <cellStyle name="Normal 4 4 6 4" xfId="2857" xr:uid="{00000000-0005-0000-0000-0000E2090000}"/>
    <cellStyle name="Normal 4 4 7" xfId="2858" xr:uid="{00000000-0005-0000-0000-0000E3090000}"/>
    <cellStyle name="Normal 4 4 7 2" xfId="2859" xr:uid="{00000000-0005-0000-0000-0000E4090000}"/>
    <cellStyle name="Normal 4 4 7 2 2" xfId="2860" xr:uid="{00000000-0005-0000-0000-0000E5090000}"/>
    <cellStyle name="Normal 4 4 7 2 2 2" xfId="2861" xr:uid="{00000000-0005-0000-0000-0000E6090000}"/>
    <cellStyle name="Normal 4 4 7 2 3" xfId="2862" xr:uid="{00000000-0005-0000-0000-0000E7090000}"/>
    <cellStyle name="Normal 4 4 7 3" xfId="2863" xr:uid="{00000000-0005-0000-0000-0000E8090000}"/>
    <cellStyle name="Normal 4 4 7 3 2" xfId="2864" xr:uid="{00000000-0005-0000-0000-0000E9090000}"/>
    <cellStyle name="Normal 4 4 7 4" xfId="2865" xr:uid="{00000000-0005-0000-0000-0000EA090000}"/>
    <cellStyle name="Normal 4 4 8" xfId="2866" xr:uid="{00000000-0005-0000-0000-0000EB090000}"/>
    <cellStyle name="Normal 4 4 8 2" xfId="2867" xr:uid="{00000000-0005-0000-0000-0000EC090000}"/>
    <cellStyle name="Normal 4 4 8 2 2" xfId="2868" xr:uid="{00000000-0005-0000-0000-0000ED090000}"/>
    <cellStyle name="Normal 4 4 8 3" xfId="2869" xr:uid="{00000000-0005-0000-0000-0000EE090000}"/>
    <cellStyle name="Normal 4 4 9" xfId="2870" xr:uid="{00000000-0005-0000-0000-0000EF090000}"/>
    <cellStyle name="Normal 4 4 9 2" xfId="2871" xr:uid="{00000000-0005-0000-0000-0000F0090000}"/>
    <cellStyle name="Normal 4 5" xfId="229" xr:uid="{00000000-0005-0000-0000-0000F1090000}"/>
    <cellStyle name="Normal 4 6" xfId="212" xr:uid="{00000000-0005-0000-0000-0000F2090000}"/>
    <cellStyle name="Normal 4 6 2" xfId="672" xr:uid="{00000000-0005-0000-0000-0000F3090000}"/>
    <cellStyle name="Normal 4 6 3" xfId="673" xr:uid="{00000000-0005-0000-0000-0000F4090000}"/>
    <cellStyle name="Normal 4 7" xfId="674" xr:uid="{00000000-0005-0000-0000-0000F5090000}"/>
    <cellStyle name="Normal 4 7 2" xfId="675" xr:uid="{00000000-0005-0000-0000-0000F6090000}"/>
    <cellStyle name="Normal 4 8" xfId="676" xr:uid="{00000000-0005-0000-0000-0000F7090000}"/>
    <cellStyle name="Normal 4 8 2" xfId="677" xr:uid="{00000000-0005-0000-0000-0000F8090000}"/>
    <cellStyle name="Normal 4 9" xfId="678" xr:uid="{00000000-0005-0000-0000-0000F9090000}"/>
    <cellStyle name="Normal 4_Evolución de becas SEP-UAM-PRONABES" xfId="2872" xr:uid="{00000000-0005-0000-0000-0000FA090000}"/>
    <cellStyle name="Normal 40" xfId="2873" xr:uid="{00000000-0005-0000-0000-0000FB090000}"/>
    <cellStyle name="Normal 40 2" xfId="2874" xr:uid="{00000000-0005-0000-0000-0000FC090000}"/>
    <cellStyle name="Normal 40 2 2" xfId="2875" xr:uid="{00000000-0005-0000-0000-0000FD090000}"/>
    <cellStyle name="Normal 40 3" xfId="2876" xr:uid="{00000000-0005-0000-0000-0000FE090000}"/>
    <cellStyle name="Normal 41" xfId="442" xr:uid="{00000000-0005-0000-0000-0000FF090000}"/>
    <cellStyle name="Normal 41 2" xfId="443" xr:uid="{00000000-0005-0000-0000-0000000A0000}"/>
    <cellStyle name="Normal 42" xfId="447" xr:uid="{00000000-0005-0000-0000-0000010A0000}"/>
    <cellStyle name="Normal 42 2" xfId="2877" xr:uid="{00000000-0005-0000-0000-0000020A0000}"/>
    <cellStyle name="Normal 43" xfId="2878" xr:uid="{00000000-0005-0000-0000-0000030A0000}"/>
    <cellStyle name="Normal 43 2" xfId="2879" xr:uid="{00000000-0005-0000-0000-0000040A0000}"/>
    <cellStyle name="Normal 44" xfId="448" xr:uid="{00000000-0005-0000-0000-0000050A0000}"/>
    <cellStyle name="Normal 45" xfId="449" xr:uid="{00000000-0005-0000-0000-0000060A0000}"/>
    <cellStyle name="Normal 46" xfId="2880" xr:uid="{00000000-0005-0000-0000-0000070A0000}"/>
    <cellStyle name="Normal 47" xfId="2881" xr:uid="{00000000-0005-0000-0000-0000080A0000}"/>
    <cellStyle name="Normal 48" xfId="2882" xr:uid="{00000000-0005-0000-0000-0000090A0000}"/>
    <cellStyle name="Normal 49" xfId="2883" xr:uid="{00000000-0005-0000-0000-00000A0A0000}"/>
    <cellStyle name="Normal 5" xfId="160" xr:uid="{00000000-0005-0000-0000-00000B0A0000}"/>
    <cellStyle name="Normal 5 2" xfId="203" xr:uid="{00000000-0005-0000-0000-00000C0A0000}"/>
    <cellStyle name="Normal 5 3" xfId="220" xr:uid="{00000000-0005-0000-0000-00000D0A0000}"/>
    <cellStyle name="Normal 5 4" xfId="815" xr:uid="{00000000-0005-0000-0000-00000E0A0000}"/>
    <cellStyle name="Normal 5_Evolución de becas SEP-UAM-PRONABES" xfId="2884" xr:uid="{00000000-0005-0000-0000-00000F0A0000}"/>
    <cellStyle name="Normal 50" xfId="2885" xr:uid="{00000000-0005-0000-0000-0000100A0000}"/>
    <cellStyle name="Normal 51" xfId="2886" xr:uid="{00000000-0005-0000-0000-0000110A0000}"/>
    <cellStyle name="Normal 52" xfId="2887" xr:uid="{00000000-0005-0000-0000-0000120A0000}"/>
    <cellStyle name="Normal 53" xfId="2888" xr:uid="{00000000-0005-0000-0000-0000130A0000}"/>
    <cellStyle name="Normal 54" xfId="2889" xr:uid="{00000000-0005-0000-0000-0000140A0000}"/>
    <cellStyle name="Normal 55" xfId="2890" xr:uid="{00000000-0005-0000-0000-0000150A0000}"/>
    <cellStyle name="Normal 56" xfId="2891" xr:uid="{00000000-0005-0000-0000-0000160A0000}"/>
    <cellStyle name="Normal 57" xfId="2892" xr:uid="{00000000-0005-0000-0000-0000170A0000}"/>
    <cellStyle name="Normal 58" xfId="2893" xr:uid="{00000000-0005-0000-0000-0000180A0000}"/>
    <cellStyle name="Normal 59" xfId="2894" xr:uid="{00000000-0005-0000-0000-0000190A0000}"/>
    <cellStyle name="Normal 6" xfId="161" xr:uid="{00000000-0005-0000-0000-00001A0A0000}"/>
    <cellStyle name="Normal 6 2" xfId="162" xr:uid="{00000000-0005-0000-0000-00001B0A0000}"/>
    <cellStyle name="Normal 6 2 2" xfId="163" xr:uid="{00000000-0005-0000-0000-00001C0A0000}"/>
    <cellStyle name="Normal 6 2 2 2" xfId="2895" xr:uid="{00000000-0005-0000-0000-00001D0A0000}"/>
    <cellStyle name="Normal 6 2 2 2 2" xfId="2896" xr:uid="{00000000-0005-0000-0000-00001E0A0000}"/>
    <cellStyle name="Normal 6 2 2 3" xfId="2897" xr:uid="{00000000-0005-0000-0000-00001F0A0000}"/>
    <cellStyle name="Normal 6 2 3" xfId="2898" xr:uid="{00000000-0005-0000-0000-0000200A0000}"/>
    <cellStyle name="Normal 6 2 3 2" xfId="2899" xr:uid="{00000000-0005-0000-0000-0000210A0000}"/>
    <cellStyle name="Normal 6 2 4" xfId="2900" xr:uid="{00000000-0005-0000-0000-0000220A0000}"/>
    <cellStyle name="Normal 6 2_ARTURO SSMC110113xls" xfId="2901" xr:uid="{00000000-0005-0000-0000-0000230A0000}"/>
    <cellStyle name="Normal 6 3" xfId="164" xr:uid="{00000000-0005-0000-0000-0000240A0000}"/>
    <cellStyle name="Normal 6 3 2" xfId="165" xr:uid="{00000000-0005-0000-0000-0000250A0000}"/>
    <cellStyle name="Normal 6 3 2 2" xfId="2902" xr:uid="{00000000-0005-0000-0000-0000260A0000}"/>
    <cellStyle name="Normal 6 3 2 2 2" xfId="2903" xr:uid="{00000000-0005-0000-0000-0000270A0000}"/>
    <cellStyle name="Normal 6 3 2 3" xfId="2904" xr:uid="{00000000-0005-0000-0000-0000280A0000}"/>
    <cellStyle name="Normal 6 3 3" xfId="2905" xr:uid="{00000000-0005-0000-0000-0000290A0000}"/>
    <cellStyle name="Normal 6 3 3 2" xfId="2906" xr:uid="{00000000-0005-0000-0000-00002A0A0000}"/>
    <cellStyle name="Normal 6 3 4" xfId="2907" xr:uid="{00000000-0005-0000-0000-00002B0A0000}"/>
    <cellStyle name="Normal 6 3_ARTURO SSMC110113xls" xfId="2908" xr:uid="{00000000-0005-0000-0000-00002C0A0000}"/>
    <cellStyle name="Normal 6 4" xfId="166" xr:uid="{00000000-0005-0000-0000-00002D0A0000}"/>
    <cellStyle name="Normal 6 4 2" xfId="2909" xr:uid="{00000000-0005-0000-0000-00002E0A0000}"/>
    <cellStyle name="Normal 6 4 2 2" xfId="2910" xr:uid="{00000000-0005-0000-0000-00002F0A0000}"/>
    <cellStyle name="Normal 6 4 3" xfId="2911" xr:uid="{00000000-0005-0000-0000-0000300A0000}"/>
    <cellStyle name="Normal 6 5" xfId="2912" xr:uid="{00000000-0005-0000-0000-0000310A0000}"/>
    <cellStyle name="Normal 6 5 2" xfId="2913" xr:uid="{00000000-0005-0000-0000-0000320A0000}"/>
    <cellStyle name="Normal 6 6" xfId="2914" xr:uid="{00000000-0005-0000-0000-0000330A0000}"/>
    <cellStyle name="Normal 6_ARTURO SSMC110113xls" xfId="2915" xr:uid="{00000000-0005-0000-0000-0000340A0000}"/>
    <cellStyle name="Normal 60" xfId="2916" xr:uid="{00000000-0005-0000-0000-0000350A0000}"/>
    <cellStyle name="Normal 61" xfId="2917" xr:uid="{00000000-0005-0000-0000-0000360A0000}"/>
    <cellStyle name="Normal 62" xfId="2918" xr:uid="{00000000-0005-0000-0000-0000370A0000}"/>
    <cellStyle name="Normal 63" xfId="2919" xr:uid="{00000000-0005-0000-0000-0000380A0000}"/>
    <cellStyle name="Normal 64" xfId="2920" xr:uid="{00000000-0005-0000-0000-0000390A0000}"/>
    <cellStyle name="Normal 65" xfId="2921" xr:uid="{00000000-0005-0000-0000-00003A0A0000}"/>
    <cellStyle name="Normal 66" xfId="2922" xr:uid="{00000000-0005-0000-0000-00003B0A0000}"/>
    <cellStyle name="Normal 67" xfId="2923" xr:uid="{00000000-0005-0000-0000-00003C0A0000}"/>
    <cellStyle name="Normal 68" xfId="2924" xr:uid="{00000000-0005-0000-0000-00003D0A0000}"/>
    <cellStyle name="Normal 69" xfId="2925" xr:uid="{00000000-0005-0000-0000-00003E0A0000}"/>
    <cellStyle name="Normal 7" xfId="167" xr:uid="{00000000-0005-0000-0000-00003F0A0000}"/>
    <cellStyle name="Normal 7 10" xfId="2926" xr:uid="{00000000-0005-0000-0000-0000400A0000}"/>
    <cellStyle name="Normal 7 10 2" xfId="2927" xr:uid="{00000000-0005-0000-0000-0000410A0000}"/>
    <cellStyle name="Normal 7 11" xfId="2928" xr:uid="{00000000-0005-0000-0000-0000420A0000}"/>
    <cellStyle name="Normal 7 2" xfId="168" xr:uid="{00000000-0005-0000-0000-0000430A0000}"/>
    <cellStyle name="Normal 7 2 10" xfId="2929" xr:uid="{00000000-0005-0000-0000-0000440A0000}"/>
    <cellStyle name="Normal 7 2 2" xfId="679" xr:uid="{00000000-0005-0000-0000-0000450A0000}"/>
    <cellStyle name="Normal 7 2 2 2" xfId="680" xr:uid="{00000000-0005-0000-0000-0000460A0000}"/>
    <cellStyle name="Normal 7 2 2 2 2" xfId="681" xr:uid="{00000000-0005-0000-0000-0000470A0000}"/>
    <cellStyle name="Normal 7 2 2 2 2 2" xfId="2930" xr:uid="{00000000-0005-0000-0000-0000480A0000}"/>
    <cellStyle name="Normal 7 2 2 2 3" xfId="2931" xr:uid="{00000000-0005-0000-0000-0000490A0000}"/>
    <cellStyle name="Normal 7 2 2 3" xfId="682" xr:uid="{00000000-0005-0000-0000-00004A0A0000}"/>
    <cellStyle name="Normal 7 2 2 3 2" xfId="2932" xr:uid="{00000000-0005-0000-0000-00004B0A0000}"/>
    <cellStyle name="Normal 7 2 2 4" xfId="2933" xr:uid="{00000000-0005-0000-0000-00004C0A0000}"/>
    <cellStyle name="Normal 7 2 3" xfId="683" xr:uid="{00000000-0005-0000-0000-00004D0A0000}"/>
    <cellStyle name="Normal 7 2 3 2" xfId="684" xr:uid="{00000000-0005-0000-0000-00004E0A0000}"/>
    <cellStyle name="Normal 7 2 3 2 2" xfId="2934" xr:uid="{00000000-0005-0000-0000-00004F0A0000}"/>
    <cellStyle name="Normal 7 2 3 2 2 2" xfId="2935" xr:uid="{00000000-0005-0000-0000-0000500A0000}"/>
    <cellStyle name="Normal 7 2 3 2 3" xfId="2936" xr:uid="{00000000-0005-0000-0000-0000510A0000}"/>
    <cellStyle name="Normal 7 2 3 3" xfId="2937" xr:uid="{00000000-0005-0000-0000-0000520A0000}"/>
    <cellStyle name="Normal 7 2 3 3 2" xfId="2938" xr:uid="{00000000-0005-0000-0000-0000530A0000}"/>
    <cellStyle name="Normal 7 2 3 4" xfId="2939" xr:uid="{00000000-0005-0000-0000-0000540A0000}"/>
    <cellStyle name="Normal 7 2 4" xfId="685" xr:uid="{00000000-0005-0000-0000-0000550A0000}"/>
    <cellStyle name="Normal 7 2 4 2" xfId="686" xr:uid="{00000000-0005-0000-0000-0000560A0000}"/>
    <cellStyle name="Normal 7 2 4 2 2" xfId="2940" xr:uid="{00000000-0005-0000-0000-0000570A0000}"/>
    <cellStyle name="Normal 7 2 4 2 2 2" xfId="2941" xr:uid="{00000000-0005-0000-0000-0000580A0000}"/>
    <cellStyle name="Normal 7 2 4 2 3" xfId="2942" xr:uid="{00000000-0005-0000-0000-0000590A0000}"/>
    <cellStyle name="Normal 7 2 4 3" xfId="2943" xr:uid="{00000000-0005-0000-0000-00005A0A0000}"/>
    <cellStyle name="Normal 7 2 4 3 2" xfId="2944" xr:uid="{00000000-0005-0000-0000-00005B0A0000}"/>
    <cellStyle name="Normal 7 2 4 4" xfId="2945" xr:uid="{00000000-0005-0000-0000-00005C0A0000}"/>
    <cellStyle name="Normal 7 2 5" xfId="687" xr:uid="{00000000-0005-0000-0000-00005D0A0000}"/>
    <cellStyle name="Normal 7 2 5 2" xfId="2946" xr:uid="{00000000-0005-0000-0000-00005E0A0000}"/>
    <cellStyle name="Normal 7 2 5 2 2" xfId="2947" xr:uid="{00000000-0005-0000-0000-00005F0A0000}"/>
    <cellStyle name="Normal 7 2 5 2 2 2" xfId="2948" xr:uid="{00000000-0005-0000-0000-0000600A0000}"/>
    <cellStyle name="Normal 7 2 5 2 3" xfId="2949" xr:uid="{00000000-0005-0000-0000-0000610A0000}"/>
    <cellStyle name="Normal 7 2 5 3" xfId="2950" xr:uid="{00000000-0005-0000-0000-0000620A0000}"/>
    <cellStyle name="Normal 7 2 5 3 2" xfId="2951" xr:uid="{00000000-0005-0000-0000-0000630A0000}"/>
    <cellStyle name="Normal 7 2 5 4" xfId="2952" xr:uid="{00000000-0005-0000-0000-0000640A0000}"/>
    <cellStyle name="Normal 7 2 6" xfId="2953" xr:uid="{00000000-0005-0000-0000-0000650A0000}"/>
    <cellStyle name="Normal 7 2 6 2" xfId="2954" xr:uid="{00000000-0005-0000-0000-0000660A0000}"/>
    <cellStyle name="Normal 7 2 6 2 2" xfId="2955" xr:uid="{00000000-0005-0000-0000-0000670A0000}"/>
    <cellStyle name="Normal 7 2 6 2 2 2" xfId="2956" xr:uid="{00000000-0005-0000-0000-0000680A0000}"/>
    <cellStyle name="Normal 7 2 6 2 3" xfId="2957" xr:uid="{00000000-0005-0000-0000-0000690A0000}"/>
    <cellStyle name="Normal 7 2 6 3" xfId="2958" xr:uid="{00000000-0005-0000-0000-00006A0A0000}"/>
    <cellStyle name="Normal 7 2 6 3 2" xfId="2959" xr:uid="{00000000-0005-0000-0000-00006B0A0000}"/>
    <cellStyle name="Normal 7 2 6 4" xfId="2960" xr:uid="{00000000-0005-0000-0000-00006C0A0000}"/>
    <cellStyle name="Normal 7 2 7" xfId="2961" xr:uid="{00000000-0005-0000-0000-00006D0A0000}"/>
    <cellStyle name="Normal 7 2 7 2" xfId="2962" xr:uid="{00000000-0005-0000-0000-00006E0A0000}"/>
    <cellStyle name="Normal 7 2 7 2 2" xfId="2963" xr:uid="{00000000-0005-0000-0000-00006F0A0000}"/>
    <cellStyle name="Normal 7 2 7 2 2 2" xfId="2964" xr:uid="{00000000-0005-0000-0000-0000700A0000}"/>
    <cellStyle name="Normal 7 2 7 2 3" xfId="2965" xr:uid="{00000000-0005-0000-0000-0000710A0000}"/>
    <cellStyle name="Normal 7 2 7 3" xfId="2966" xr:uid="{00000000-0005-0000-0000-0000720A0000}"/>
    <cellStyle name="Normal 7 2 7 3 2" xfId="2967" xr:uid="{00000000-0005-0000-0000-0000730A0000}"/>
    <cellStyle name="Normal 7 2 7 4" xfId="2968" xr:uid="{00000000-0005-0000-0000-0000740A0000}"/>
    <cellStyle name="Normal 7 2 8" xfId="2969" xr:uid="{00000000-0005-0000-0000-0000750A0000}"/>
    <cellStyle name="Normal 7 2 8 2" xfId="2970" xr:uid="{00000000-0005-0000-0000-0000760A0000}"/>
    <cellStyle name="Normal 7 2 8 2 2" xfId="2971" xr:uid="{00000000-0005-0000-0000-0000770A0000}"/>
    <cellStyle name="Normal 7 2 8 3" xfId="2972" xr:uid="{00000000-0005-0000-0000-0000780A0000}"/>
    <cellStyle name="Normal 7 2 9" xfId="2973" xr:uid="{00000000-0005-0000-0000-0000790A0000}"/>
    <cellStyle name="Normal 7 2 9 2" xfId="2974" xr:uid="{00000000-0005-0000-0000-00007A0A0000}"/>
    <cellStyle name="Normal 7 3" xfId="438" xr:uid="{00000000-0005-0000-0000-00007B0A0000}"/>
    <cellStyle name="Normal 7 3 2" xfId="688" xr:uid="{00000000-0005-0000-0000-00007C0A0000}"/>
    <cellStyle name="Normal 7 3 2 2" xfId="689" xr:uid="{00000000-0005-0000-0000-00007D0A0000}"/>
    <cellStyle name="Normal 7 3 2 2 2" xfId="2975" xr:uid="{00000000-0005-0000-0000-00007E0A0000}"/>
    <cellStyle name="Normal 7 3 2 3" xfId="2976" xr:uid="{00000000-0005-0000-0000-00007F0A0000}"/>
    <cellStyle name="Normal 7 3 3" xfId="690" xr:uid="{00000000-0005-0000-0000-0000800A0000}"/>
    <cellStyle name="Normal 7 3 3 2" xfId="2977" xr:uid="{00000000-0005-0000-0000-0000810A0000}"/>
    <cellStyle name="Normal 7 3 4" xfId="2978" xr:uid="{00000000-0005-0000-0000-0000820A0000}"/>
    <cellStyle name="Normal 7 4" xfId="691" xr:uid="{00000000-0005-0000-0000-0000830A0000}"/>
    <cellStyle name="Normal 7 4 2" xfId="692" xr:uid="{00000000-0005-0000-0000-0000840A0000}"/>
    <cellStyle name="Normal 7 4 2 2" xfId="2979" xr:uid="{00000000-0005-0000-0000-0000850A0000}"/>
    <cellStyle name="Normal 7 4 2 2 2" xfId="2980" xr:uid="{00000000-0005-0000-0000-0000860A0000}"/>
    <cellStyle name="Normal 7 4 2 3" xfId="2981" xr:uid="{00000000-0005-0000-0000-0000870A0000}"/>
    <cellStyle name="Normal 7 4 3" xfId="2982" xr:uid="{00000000-0005-0000-0000-0000880A0000}"/>
    <cellStyle name="Normal 7 4 3 2" xfId="2983" xr:uid="{00000000-0005-0000-0000-0000890A0000}"/>
    <cellStyle name="Normal 7 4 4" xfId="2984" xr:uid="{00000000-0005-0000-0000-00008A0A0000}"/>
    <cellStyle name="Normal 7 5" xfId="693" xr:uid="{00000000-0005-0000-0000-00008B0A0000}"/>
    <cellStyle name="Normal 7 5 2" xfId="694" xr:uid="{00000000-0005-0000-0000-00008C0A0000}"/>
    <cellStyle name="Normal 7 5 2 2" xfId="2985" xr:uid="{00000000-0005-0000-0000-00008D0A0000}"/>
    <cellStyle name="Normal 7 5 2 2 2" xfId="2986" xr:uid="{00000000-0005-0000-0000-00008E0A0000}"/>
    <cellStyle name="Normal 7 5 2 3" xfId="2987" xr:uid="{00000000-0005-0000-0000-00008F0A0000}"/>
    <cellStyle name="Normal 7 5 3" xfId="2988" xr:uid="{00000000-0005-0000-0000-0000900A0000}"/>
    <cellStyle name="Normal 7 5 3 2" xfId="2989" xr:uid="{00000000-0005-0000-0000-0000910A0000}"/>
    <cellStyle name="Normal 7 5 4" xfId="2990" xr:uid="{00000000-0005-0000-0000-0000920A0000}"/>
    <cellStyle name="Normal 7 6" xfId="695" xr:uid="{00000000-0005-0000-0000-0000930A0000}"/>
    <cellStyle name="Normal 7 6 2" xfId="696" xr:uid="{00000000-0005-0000-0000-0000940A0000}"/>
    <cellStyle name="Normal 7 6 2 2" xfId="2991" xr:uid="{00000000-0005-0000-0000-0000950A0000}"/>
    <cellStyle name="Normal 7 6 2 2 2" xfId="2992" xr:uid="{00000000-0005-0000-0000-0000960A0000}"/>
    <cellStyle name="Normal 7 6 2 3" xfId="2993" xr:uid="{00000000-0005-0000-0000-0000970A0000}"/>
    <cellStyle name="Normal 7 6 3" xfId="2994" xr:uid="{00000000-0005-0000-0000-0000980A0000}"/>
    <cellStyle name="Normal 7 6 3 2" xfId="2995" xr:uid="{00000000-0005-0000-0000-0000990A0000}"/>
    <cellStyle name="Normal 7 6 4" xfId="2996" xr:uid="{00000000-0005-0000-0000-00009A0A0000}"/>
    <cellStyle name="Normal 7 7" xfId="697" xr:uid="{00000000-0005-0000-0000-00009B0A0000}"/>
    <cellStyle name="Normal 7 7 2" xfId="2997" xr:uid="{00000000-0005-0000-0000-00009C0A0000}"/>
    <cellStyle name="Normal 7 7 2 2" xfId="2998" xr:uid="{00000000-0005-0000-0000-00009D0A0000}"/>
    <cellStyle name="Normal 7 7 2 2 2" xfId="2999" xr:uid="{00000000-0005-0000-0000-00009E0A0000}"/>
    <cellStyle name="Normal 7 7 2 3" xfId="3000" xr:uid="{00000000-0005-0000-0000-00009F0A0000}"/>
    <cellStyle name="Normal 7 7 3" xfId="3001" xr:uid="{00000000-0005-0000-0000-0000A00A0000}"/>
    <cellStyle name="Normal 7 7 3 2" xfId="3002" xr:uid="{00000000-0005-0000-0000-0000A10A0000}"/>
    <cellStyle name="Normal 7 7 4" xfId="3003" xr:uid="{00000000-0005-0000-0000-0000A20A0000}"/>
    <cellStyle name="Normal 7 8" xfId="3004" xr:uid="{00000000-0005-0000-0000-0000A30A0000}"/>
    <cellStyle name="Normal 7 8 2" xfId="3005" xr:uid="{00000000-0005-0000-0000-0000A40A0000}"/>
    <cellStyle name="Normal 7 8 2 2" xfId="3006" xr:uid="{00000000-0005-0000-0000-0000A50A0000}"/>
    <cellStyle name="Normal 7 8 2 2 2" xfId="3007" xr:uid="{00000000-0005-0000-0000-0000A60A0000}"/>
    <cellStyle name="Normal 7 8 2 3" xfId="3008" xr:uid="{00000000-0005-0000-0000-0000A70A0000}"/>
    <cellStyle name="Normal 7 8 3" xfId="3009" xr:uid="{00000000-0005-0000-0000-0000A80A0000}"/>
    <cellStyle name="Normal 7 8 3 2" xfId="3010" xr:uid="{00000000-0005-0000-0000-0000A90A0000}"/>
    <cellStyle name="Normal 7 8 4" xfId="3011" xr:uid="{00000000-0005-0000-0000-0000AA0A0000}"/>
    <cellStyle name="Normal 7 9" xfId="3012" xr:uid="{00000000-0005-0000-0000-0000AB0A0000}"/>
    <cellStyle name="Normal 7 9 2" xfId="3013" xr:uid="{00000000-0005-0000-0000-0000AC0A0000}"/>
    <cellStyle name="Normal 7 9 2 2" xfId="3014" xr:uid="{00000000-0005-0000-0000-0000AD0A0000}"/>
    <cellStyle name="Normal 7 9 3" xfId="3015" xr:uid="{00000000-0005-0000-0000-0000AE0A0000}"/>
    <cellStyle name="Normal 7_ARTURO SSMC110113xls" xfId="3016" xr:uid="{00000000-0005-0000-0000-0000AF0A0000}"/>
    <cellStyle name="Normal 70" xfId="3017" xr:uid="{00000000-0005-0000-0000-0000B00A0000}"/>
    <cellStyle name="Normal 71" xfId="3018" xr:uid="{00000000-0005-0000-0000-0000B10A0000}"/>
    <cellStyle name="Normal 72" xfId="3019" xr:uid="{00000000-0005-0000-0000-0000B20A0000}"/>
    <cellStyle name="Normal 73" xfId="3020" xr:uid="{00000000-0005-0000-0000-0000B30A0000}"/>
    <cellStyle name="Normal 74" xfId="3021" xr:uid="{00000000-0005-0000-0000-0000B40A0000}"/>
    <cellStyle name="Normal 75" xfId="3022" xr:uid="{00000000-0005-0000-0000-0000B50A0000}"/>
    <cellStyle name="Normal 76" xfId="3023" xr:uid="{00000000-0005-0000-0000-0000B60A0000}"/>
    <cellStyle name="Normal 77" xfId="3024" xr:uid="{00000000-0005-0000-0000-0000B70A0000}"/>
    <cellStyle name="Normal 78" xfId="3025" xr:uid="{00000000-0005-0000-0000-0000B80A0000}"/>
    <cellStyle name="Normal 79" xfId="3026" xr:uid="{00000000-0005-0000-0000-0000B90A0000}"/>
    <cellStyle name="Normal 8" xfId="169" xr:uid="{00000000-0005-0000-0000-0000BA0A0000}"/>
    <cellStyle name="Normal 8 2" xfId="170" xr:uid="{00000000-0005-0000-0000-0000BB0A0000}"/>
    <cellStyle name="Normal 8 2 10" xfId="3027" xr:uid="{00000000-0005-0000-0000-0000BC0A0000}"/>
    <cellStyle name="Normal 8 2 2" xfId="698" xr:uid="{00000000-0005-0000-0000-0000BD0A0000}"/>
    <cellStyle name="Normal 8 2 2 2" xfId="699" xr:uid="{00000000-0005-0000-0000-0000BE0A0000}"/>
    <cellStyle name="Normal 8 2 2 2 2" xfId="700" xr:uid="{00000000-0005-0000-0000-0000BF0A0000}"/>
    <cellStyle name="Normal 8 2 2 2 2 2" xfId="3028" xr:uid="{00000000-0005-0000-0000-0000C00A0000}"/>
    <cellStyle name="Normal 8 2 2 2 3" xfId="3029" xr:uid="{00000000-0005-0000-0000-0000C10A0000}"/>
    <cellStyle name="Normal 8 2 2 3" xfId="701" xr:uid="{00000000-0005-0000-0000-0000C20A0000}"/>
    <cellStyle name="Normal 8 2 2 3 2" xfId="3030" xr:uid="{00000000-0005-0000-0000-0000C30A0000}"/>
    <cellStyle name="Normal 8 2 2 4" xfId="3031" xr:uid="{00000000-0005-0000-0000-0000C40A0000}"/>
    <cellStyle name="Normal 8 2 3" xfId="702" xr:uid="{00000000-0005-0000-0000-0000C50A0000}"/>
    <cellStyle name="Normal 8 2 3 2" xfId="703" xr:uid="{00000000-0005-0000-0000-0000C60A0000}"/>
    <cellStyle name="Normal 8 2 3 2 2" xfId="3032" xr:uid="{00000000-0005-0000-0000-0000C70A0000}"/>
    <cellStyle name="Normal 8 2 3 2 2 2" xfId="3033" xr:uid="{00000000-0005-0000-0000-0000C80A0000}"/>
    <cellStyle name="Normal 8 2 3 2 3" xfId="3034" xr:uid="{00000000-0005-0000-0000-0000C90A0000}"/>
    <cellStyle name="Normal 8 2 3 3" xfId="3035" xr:uid="{00000000-0005-0000-0000-0000CA0A0000}"/>
    <cellStyle name="Normal 8 2 3 3 2" xfId="3036" xr:uid="{00000000-0005-0000-0000-0000CB0A0000}"/>
    <cellStyle name="Normal 8 2 3 4" xfId="3037" xr:uid="{00000000-0005-0000-0000-0000CC0A0000}"/>
    <cellStyle name="Normal 8 2 4" xfId="704" xr:uid="{00000000-0005-0000-0000-0000CD0A0000}"/>
    <cellStyle name="Normal 8 2 4 2" xfId="705" xr:uid="{00000000-0005-0000-0000-0000CE0A0000}"/>
    <cellStyle name="Normal 8 2 4 2 2" xfId="3038" xr:uid="{00000000-0005-0000-0000-0000CF0A0000}"/>
    <cellStyle name="Normal 8 2 4 2 2 2" xfId="3039" xr:uid="{00000000-0005-0000-0000-0000D00A0000}"/>
    <cellStyle name="Normal 8 2 4 2 3" xfId="3040" xr:uid="{00000000-0005-0000-0000-0000D10A0000}"/>
    <cellStyle name="Normal 8 2 4 3" xfId="3041" xr:uid="{00000000-0005-0000-0000-0000D20A0000}"/>
    <cellStyle name="Normal 8 2 4 3 2" xfId="3042" xr:uid="{00000000-0005-0000-0000-0000D30A0000}"/>
    <cellStyle name="Normal 8 2 4 4" xfId="3043" xr:uid="{00000000-0005-0000-0000-0000D40A0000}"/>
    <cellStyle name="Normal 8 2 5" xfId="706" xr:uid="{00000000-0005-0000-0000-0000D50A0000}"/>
    <cellStyle name="Normal 8 2 5 2" xfId="3044" xr:uid="{00000000-0005-0000-0000-0000D60A0000}"/>
    <cellStyle name="Normal 8 2 5 2 2" xfId="3045" xr:uid="{00000000-0005-0000-0000-0000D70A0000}"/>
    <cellStyle name="Normal 8 2 5 2 2 2" xfId="3046" xr:uid="{00000000-0005-0000-0000-0000D80A0000}"/>
    <cellStyle name="Normal 8 2 5 2 3" xfId="3047" xr:uid="{00000000-0005-0000-0000-0000D90A0000}"/>
    <cellStyle name="Normal 8 2 5 3" xfId="3048" xr:uid="{00000000-0005-0000-0000-0000DA0A0000}"/>
    <cellStyle name="Normal 8 2 5 3 2" xfId="3049" xr:uid="{00000000-0005-0000-0000-0000DB0A0000}"/>
    <cellStyle name="Normal 8 2 5 4" xfId="3050" xr:uid="{00000000-0005-0000-0000-0000DC0A0000}"/>
    <cellStyle name="Normal 8 2 6" xfId="3051" xr:uid="{00000000-0005-0000-0000-0000DD0A0000}"/>
    <cellStyle name="Normal 8 2 6 2" xfId="3052" xr:uid="{00000000-0005-0000-0000-0000DE0A0000}"/>
    <cellStyle name="Normal 8 2 6 2 2" xfId="3053" xr:uid="{00000000-0005-0000-0000-0000DF0A0000}"/>
    <cellStyle name="Normal 8 2 6 2 2 2" xfId="3054" xr:uid="{00000000-0005-0000-0000-0000E00A0000}"/>
    <cellStyle name="Normal 8 2 6 2 3" xfId="3055" xr:uid="{00000000-0005-0000-0000-0000E10A0000}"/>
    <cellStyle name="Normal 8 2 6 3" xfId="3056" xr:uid="{00000000-0005-0000-0000-0000E20A0000}"/>
    <cellStyle name="Normal 8 2 6 3 2" xfId="3057" xr:uid="{00000000-0005-0000-0000-0000E30A0000}"/>
    <cellStyle name="Normal 8 2 6 4" xfId="3058" xr:uid="{00000000-0005-0000-0000-0000E40A0000}"/>
    <cellStyle name="Normal 8 2 7" xfId="3059" xr:uid="{00000000-0005-0000-0000-0000E50A0000}"/>
    <cellStyle name="Normal 8 2 7 2" xfId="3060" xr:uid="{00000000-0005-0000-0000-0000E60A0000}"/>
    <cellStyle name="Normal 8 2 7 2 2" xfId="3061" xr:uid="{00000000-0005-0000-0000-0000E70A0000}"/>
    <cellStyle name="Normal 8 2 7 2 2 2" xfId="3062" xr:uid="{00000000-0005-0000-0000-0000E80A0000}"/>
    <cellStyle name="Normal 8 2 7 2 3" xfId="3063" xr:uid="{00000000-0005-0000-0000-0000E90A0000}"/>
    <cellStyle name="Normal 8 2 7 3" xfId="3064" xr:uid="{00000000-0005-0000-0000-0000EA0A0000}"/>
    <cellStyle name="Normal 8 2 7 3 2" xfId="3065" xr:uid="{00000000-0005-0000-0000-0000EB0A0000}"/>
    <cellStyle name="Normal 8 2 7 4" xfId="3066" xr:uid="{00000000-0005-0000-0000-0000EC0A0000}"/>
    <cellStyle name="Normal 8 2 8" xfId="3067" xr:uid="{00000000-0005-0000-0000-0000ED0A0000}"/>
    <cellStyle name="Normal 8 2 8 2" xfId="3068" xr:uid="{00000000-0005-0000-0000-0000EE0A0000}"/>
    <cellStyle name="Normal 8 2 8 2 2" xfId="3069" xr:uid="{00000000-0005-0000-0000-0000EF0A0000}"/>
    <cellStyle name="Normal 8 2 8 3" xfId="3070" xr:uid="{00000000-0005-0000-0000-0000F00A0000}"/>
    <cellStyle name="Normal 8 2 9" xfId="3071" xr:uid="{00000000-0005-0000-0000-0000F10A0000}"/>
    <cellStyle name="Normal 8 2 9 2" xfId="3072" xr:uid="{00000000-0005-0000-0000-0000F20A0000}"/>
    <cellStyle name="Normal 8 3" xfId="204" xr:uid="{00000000-0005-0000-0000-0000F30A0000}"/>
    <cellStyle name="Normal 8 3 2" xfId="707" xr:uid="{00000000-0005-0000-0000-0000F40A0000}"/>
    <cellStyle name="Normal 8 3 2 2" xfId="708" xr:uid="{00000000-0005-0000-0000-0000F50A0000}"/>
    <cellStyle name="Normal 8 3 3" xfId="709" xr:uid="{00000000-0005-0000-0000-0000F60A0000}"/>
    <cellStyle name="Normal 8 3 4" xfId="710" xr:uid="{00000000-0005-0000-0000-0000F70A0000}"/>
    <cellStyle name="Normal 8 4" xfId="711" xr:uid="{00000000-0005-0000-0000-0000F80A0000}"/>
    <cellStyle name="Normal 8 4 2" xfId="712" xr:uid="{00000000-0005-0000-0000-0000F90A0000}"/>
    <cellStyle name="Normal 8 5" xfId="713" xr:uid="{00000000-0005-0000-0000-0000FA0A0000}"/>
    <cellStyle name="Normal 8 6" xfId="714" xr:uid="{00000000-0005-0000-0000-0000FB0A0000}"/>
    <cellStyle name="Normal 8 6 2" xfId="715" xr:uid="{00000000-0005-0000-0000-0000FC0A0000}"/>
    <cellStyle name="Normal 8 7" xfId="716" xr:uid="{00000000-0005-0000-0000-0000FD0A0000}"/>
    <cellStyle name="Normal 8_Evolución de becas SEP-UAM-PRONABES" xfId="3073" xr:uid="{00000000-0005-0000-0000-0000FE0A0000}"/>
    <cellStyle name="Normal 80" xfId="3074" xr:uid="{00000000-0005-0000-0000-0000FF0A0000}"/>
    <cellStyle name="Normal 81" xfId="3075" xr:uid="{00000000-0005-0000-0000-0000000B0000}"/>
    <cellStyle name="Normal 82" xfId="3076" xr:uid="{00000000-0005-0000-0000-0000010B0000}"/>
    <cellStyle name="Normal 83" xfId="3077" xr:uid="{00000000-0005-0000-0000-0000020B0000}"/>
    <cellStyle name="Normal 84" xfId="3078" xr:uid="{00000000-0005-0000-0000-0000030B0000}"/>
    <cellStyle name="Normal 85" xfId="3079" xr:uid="{00000000-0005-0000-0000-0000040B0000}"/>
    <cellStyle name="Normal 86" xfId="3080" xr:uid="{00000000-0005-0000-0000-0000050B0000}"/>
    <cellStyle name="Normal 87" xfId="3081" xr:uid="{00000000-0005-0000-0000-0000060B0000}"/>
    <cellStyle name="Normal 88" xfId="3082" xr:uid="{00000000-0005-0000-0000-0000070B0000}"/>
    <cellStyle name="Normal 89" xfId="3083" xr:uid="{00000000-0005-0000-0000-0000080B0000}"/>
    <cellStyle name="Normal 9" xfId="171" xr:uid="{00000000-0005-0000-0000-0000090B0000}"/>
    <cellStyle name="Normal 9 10" xfId="439" xr:uid="{00000000-0005-0000-0000-00000A0B0000}"/>
    <cellStyle name="Normal 9 10 2" xfId="432" xr:uid="{00000000-0005-0000-0000-00000B0B0000}"/>
    <cellStyle name="Normal 9 10 2 2" xfId="717" xr:uid="{00000000-0005-0000-0000-00000C0B0000}"/>
    <cellStyle name="Normal 9 11" xfId="433" xr:uid="{00000000-0005-0000-0000-00000D0B0000}"/>
    <cellStyle name="Normal 9 11 2" xfId="718" xr:uid="{00000000-0005-0000-0000-00000E0B0000}"/>
    <cellStyle name="Normal 9 2" xfId="172" xr:uid="{00000000-0005-0000-0000-00000F0B0000}"/>
    <cellStyle name="Normal 9 2 10" xfId="3084" xr:uid="{00000000-0005-0000-0000-0000100B0000}"/>
    <cellStyle name="Normal 9 2 2" xfId="719" xr:uid="{00000000-0005-0000-0000-0000110B0000}"/>
    <cellStyle name="Normal 9 2 2 2" xfId="720" xr:uid="{00000000-0005-0000-0000-0000120B0000}"/>
    <cellStyle name="Normal 9 2 2 2 2" xfId="721" xr:uid="{00000000-0005-0000-0000-0000130B0000}"/>
    <cellStyle name="Normal 9 2 2 2 2 2" xfId="3085" xr:uid="{00000000-0005-0000-0000-0000140B0000}"/>
    <cellStyle name="Normal 9 2 2 2 3" xfId="3086" xr:uid="{00000000-0005-0000-0000-0000150B0000}"/>
    <cellStyle name="Normal 9 2 2 3" xfId="722" xr:uid="{00000000-0005-0000-0000-0000160B0000}"/>
    <cellStyle name="Normal 9 2 2 3 2" xfId="3087" xr:uid="{00000000-0005-0000-0000-0000170B0000}"/>
    <cellStyle name="Normal 9 2 2 4" xfId="3088" xr:uid="{00000000-0005-0000-0000-0000180B0000}"/>
    <cellStyle name="Normal 9 2 3" xfId="723" xr:uid="{00000000-0005-0000-0000-0000190B0000}"/>
    <cellStyle name="Normal 9 2 3 2" xfId="724" xr:uid="{00000000-0005-0000-0000-00001A0B0000}"/>
    <cellStyle name="Normal 9 2 3 2 2" xfId="3089" xr:uid="{00000000-0005-0000-0000-00001B0B0000}"/>
    <cellStyle name="Normal 9 2 3 2 2 2" xfId="3090" xr:uid="{00000000-0005-0000-0000-00001C0B0000}"/>
    <cellStyle name="Normal 9 2 3 2 3" xfId="3091" xr:uid="{00000000-0005-0000-0000-00001D0B0000}"/>
    <cellStyle name="Normal 9 2 3 3" xfId="3092" xr:uid="{00000000-0005-0000-0000-00001E0B0000}"/>
    <cellStyle name="Normal 9 2 3 3 2" xfId="3093" xr:uid="{00000000-0005-0000-0000-00001F0B0000}"/>
    <cellStyle name="Normal 9 2 3 4" xfId="3094" xr:uid="{00000000-0005-0000-0000-0000200B0000}"/>
    <cellStyle name="Normal 9 2 4" xfId="725" xr:uid="{00000000-0005-0000-0000-0000210B0000}"/>
    <cellStyle name="Normal 9 2 4 2" xfId="726" xr:uid="{00000000-0005-0000-0000-0000220B0000}"/>
    <cellStyle name="Normal 9 2 4 2 2" xfId="3095" xr:uid="{00000000-0005-0000-0000-0000230B0000}"/>
    <cellStyle name="Normal 9 2 4 2 2 2" xfId="3096" xr:uid="{00000000-0005-0000-0000-0000240B0000}"/>
    <cellStyle name="Normal 9 2 4 2 3" xfId="3097" xr:uid="{00000000-0005-0000-0000-0000250B0000}"/>
    <cellStyle name="Normal 9 2 4 3" xfId="3098" xr:uid="{00000000-0005-0000-0000-0000260B0000}"/>
    <cellStyle name="Normal 9 2 4 3 2" xfId="3099" xr:uid="{00000000-0005-0000-0000-0000270B0000}"/>
    <cellStyle name="Normal 9 2 4 4" xfId="3100" xr:uid="{00000000-0005-0000-0000-0000280B0000}"/>
    <cellStyle name="Normal 9 2 5" xfId="727" xr:uid="{00000000-0005-0000-0000-0000290B0000}"/>
    <cellStyle name="Normal 9 2 5 2" xfId="3101" xr:uid="{00000000-0005-0000-0000-00002A0B0000}"/>
    <cellStyle name="Normal 9 2 5 2 2" xfId="3102" xr:uid="{00000000-0005-0000-0000-00002B0B0000}"/>
    <cellStyle name="Normal 9 2 5 2 2 2" xfId="3103" xr:uid="{00000000-0005-0000-0000-00002C0B0000}"/>
    <cellStyle name="Normal 9 2 5 2 3" xfId="3104" xr:uid="{00000000-0005-0000-0000-00002D0B0000}"/>
    <cellStyle name="Normal 9 2 5 3" xfId="3105" xr:uid="{00000000-0005-0000-0000-00002E0B0000}"/>
    <cellStyle name="Normal 9 2 5 3 2" xfId="3106" xr:uid="{00000000-0005-0000-0000-00002F0B0000}"/>
    <cellStyle name="Normal 9 2 5 4" xfId="3107" xr:uid="{00000000-0005-0000-0000-0000300B0000}"/>
    <cellStyle name="Normal 9 2 6" xfId="3108" xr:uid="{00000000-0005-0000-0000-0000310B0000}"/>
    <cellStyle name="Normal 9 2 6 2" xfId="3109" xr:uid="{00000000-0005-0000-0000-0000320B0000}"/>
    <cellStyle name="Normal 9 2 6 2 2" xfId="3110" xr:uid="{00000000-0005-0000-0000-0000330B0000}"/>
    <cellStyle name="Normal 9 2 6 2 2 2" xfId="3111" xr:uid="{00000000-0005-0000-0000-0000340B0000}"/>
    <cellStyle name="Normal 9 2 6 2 3" xfId="3112" xr:uid="{00000000-0005-0000-0000-0000350B0000}"/>
    <cellStyle name="Normal 9 2 6 3" xfId="3113" xr:uid="{00000000-0005-0000-0000-0000360B0000}"/>
    <cellStyle name="Normal 9 2 6 3 2" xfId="3114" xr:uid="{00000000-0005-0000-0000-0000370B0000}"/>
    <cellStyle name="Normal 9 2 6 4" xfId="3115" xr:uid="{00000000-0005-0000-0000-0000380B0000}"/>
    <cellStyle name="Normal 9 2 7" xfId="3116" xr:uid="{00000000-0005-0000-0000-0000390B0000}"/>
    <cellStyle name="Normal 9 2 7 2" xfId="3117" xr:uid="{00000000-0005-0000-0000-00003A0B0000}"/>
    <cellStyle name="Normal 9 2 7 2 2" xfId="3118" xr:uid="{00000000-0005-0000-0000-00003B0B0000}"/>
    <cellStyle name="Normal 9 2 7 2 2 2" xfId="3119" xr:uid="{00000000-0005-0000-0000-00003C0B0000}"/>
    <cellStyle name="Normal 9 2 7 2 3" xfId="3120" xr:uid="{00000000-0005-0000-0000-00003D0B0000}"/>
    <cellStyle name="Normal 9 2 7 3" xfId="3121" xr:uid="{00000000-0005-0000-0000-00003E0B0000}"/>
    <cellStyle name="Normal 9 2 7 3 2" xfId="3122" xr:uid="{00000000-0005-0000-0000-00003F0B0000}"/>
    <cellStyle name="Normal 9 2 7 4" xfId="3123" xr:uid="{00000000-0005-0000-0000-0000400B0000}"/>
    <cellStyle name="Normal 9 2 8" xfId="3124" xr:uid="{00000000-0005-0000-0000-0000410B0000}"/>
    <cellStyle name="Normal 9 2 8 2" xfId="3125" xr:uid="{00000000-0005-0000-0000-0000420B0000}"/>
    <cellStyle name="Normal 9 2 8 2 2" xfId="3126" xr:uid="{00000000-0005-0000-0000-0000430B0000}"/>
    <cellStyle name="Normal 9 2 8 3" xfId="3127" xr:uid="{00000000-0005-0000-0000-0000440B0000}"/>
    <cellStyle name="Normal 9 2 9" xfId="3128" xr:uid="{00000000-0005-0000-0000-0000450B0000}"/>
    <cellStyle name="Normal 9 2 9 2" xfId="3129" xr:uid="{00000000-0005-0000-0000-0000460B0000}"/>
    <cellStyle name="Normal 9 3" xfId="205" xr:uid="{00000000-0005-0000-0000-0000470B0000}"/>
    <cellStyle name="Normal 9 3 2" xfId="728" xr:uid="{00000000-0005-0000-0000-0000480B0000}"/>
    <cellStyle name="Normal 9 3 2 2" xfId="729" xr:uid="{00000000-0005-0000-0000-0000490B0000}"/>
    <cellStyle name="Normal 9 3 3" xfId="730" xr:uid="{00000000-0005-0000-0000-00004A0B0000}"/>
    <cellStyle name="Normal 9 3 4" xfId="731" xr:uid="{00000000-0005-0000-0000-00004B0B0000}"/>
    <cellStyle name="Normal 9 4" xfId="394" xr:uid="{00000000-0005-0000-0000-00004C0B0000}"/>
    <cellStyle name="Normal 9 4 2" xfId="396" xr:uid="{00000000-0005-0000-0000-00004D0B0000}"/>
    <cellStyle name="Normal 9 4 2 2" xfId="732" xr:uid="{00000000-0005-0000-0000-00004E0B0000}"/>
    <cellStyle name="Normal 9 4 3" xfId="733" xr:uid="{00000000-0005-0000-0000-00004F0B0000}"/>
    <cellStyle name="Normal 9 4 7" xfId="3130" xr:uid="{00000000-0005-0000-0000-0000500B0000}"/>
    <cellStyle name="Normal 9 5" xfId="734" xr:uid="{00000000-0005-0000-0000-0000510B0000}"/>
    <cellStyle name="Normal 9 6" xfId="735" xr:uid="{00000000-0005-0000-0000-0000520B0000}"/>
    <cellStyle name="Normal 9_Evolución de becas SEP-UAM-PRONABES" xfId="3131" xr:uid="{00000000-0005-0000-0000-0000530B0000}"/>
    <cellStyle name="Normal 90" xfId="3132" xr:uid="{00000000-0005-0000-0000-0000540B0000}"/>
    <cellStyle name="Normal 91" xfId="3133" xr:uid="{00000000-0005-0000-0000-0000550B0000}"/>
    <cellStyle name="Normal 92" xfId="3134" xr:uid="{00000000-0005-0000-0000-0000560B0000}"/>
    <cellStyle name="Normal 93" xfId="3135" xr:uid="{00000000-0005-0000-0000-0000570B0000}"/>
    <cellStyle name="Normal 94" xfId="3136" xr:uid="{00000000-0005-0000-0000-0000580B0000}"/>
    <cellStyle name="Normal 95" xfId="3137" xr:uid="{00000000-0005-0000-0000-0000590B0000}"/>
    <cellStyle name="Normal 96" xfId="3138" xr:uid="{00000000-0005-0000-0000-00005A0B0000}"/>
    <cellStyle name="Normal 97" xfId="3139" xr:uid="{00000000-0005-0000-0000-00005B0B0000}"/>
    <cellStyle name="Normal 98" xfId="3140" xr:uid="{00000000-0005-0000-0000-00005C0B0000}"/>
    <cellStyle name="Normal 99" xfId="3141" xr:uid="{00000000-0005-0000-0000-00005D0B0000}"/>
    <cellStyle name="Normal_2005-2011 X UDD" xfId="803" xr:uid="{00000000-0005-0000-0000-00005E0B0000}"/>
    <cellStyle name="Normal_2008 2" xfId="820" xr:uid="{00000000-0005-0000-0000-00005F0B0000}"/>
    <cellStyle name="Normal_2009O-" xfId="736" xr:uid="{00000000-0005-0000-0000-0000600B0000}"/>
    <cellStyle name="Normal_CAP_3_ANEXO_2007" xfId="429" xr:uid="{00000000-0005-0000-0000-0000610B0000}"/>
    <cellStyle name="Normal_D1.5 Empleabilidad_Lic_1" xfId="819" xr:uid="{00000000-0005-0000-0000-0000620B0000}"/>
    <cellStyle name="Normal_D1.5 Empleabilidad_Pos" xfId="802" xr:uid="{00000000-0005-0000-0000-0000630B0000}"/>
    <cellStyle name="Normal_Desglose ET D.2" xfId="3795" xr:uid="{9BF9EA17-AB2C-4578-B415-2E494F8D01A4}"/>
    <cellStyle name="Normal_Efic Term Doc 2015" xfId="3784" xr:uid="{00000000-0005-0000-0000-0000640B0000}"/>
    <cellStyle name="Normal_Efic Term Esp 2015" xfId="3783" xr:uid="{00000000-0005-0000-0000-0000650B0000}"/>
    <cellStyle name="Normal_Eficiencia 2014 Especialidad" xfId="451" xr:uid="{00000000-0005-0000-0000-0000660B0000}"/>
    <cellStyle name="Normal_Eficiencia 2014 Maestría" xfId="453" xr:uid="{00000000-0005-0000-0000-0000670B0000}"/>
    <cellStyle name="Normal_Eficiencia Esp 2012-2013" xfId="814" xr:uid="{00000000-0005-0000-0000-0000680B0000}"/>
    <cellStyle name="Normal_Eficiencia Lic 10 años" xfId="454" xr:uid="{00000000-0005-0000-0000-0000690B0000}"/>
    <cellStyle name="Normal_Eficiencia Terminal a 10 años" xfId="821" xr:uid="{00000000-0005-0000-0000-00006A0B0000}"/>
    <cellStyle name="Normal_Empleabilidad_ POS" xfId="3787" xr:uid="{00000000-0005-0000-0000-00006B0B0000}"/>
    <cellStyle name="Normal_Hoja1" xfId="173" xr:uid="{00000000-0005-0000-0000-00006C0B0000}"/>
    <cellStyle name="Normal_Hoja1 2" xfId="452" xr:uid="{00000000-0005-0000-0000-00006D0B0000}"/>
    <cellStyle name="Normal_Hoja1_1" xfId="818" xr:uid="{00000000-0005-0000-0000-00006E0B0000}"/>
    <cellStyle name="Normal_Hoja2" xfId="238" xr:uid="{00000000-0005-0000-0000-00006F0B0000}"/>
    <cellStyle name="Normal_Hoja2_1" xfId="239" xr:uid="{00000000-0005-0000-0000-0000700B0000}"/>
    <cellStyle name="Normal_Hoja3" xfId="430" xr:uid="{00000000-0005-0000-0000-0000710B0000}"/>
    <cellStyle name="Normal_Hoja3 2" xfId="3792" xr:uid="{00000000-0005-0000-0000-0000720B0000}"/>
    <cellStyle name="Normal_Hoja3_1" xfId="797" xr:uid="{00000000-0005-0000-0000-0000730B0000}"/>
    <cellStyle name="Normal_Hoja3_2" xfId="3790" xr:uid="{00000000-0005-0000-0000-0000740B0000}"/>
    <cellStyle name="Normal_Hoja4" xfId="428" xr:uid="{00000000-0005-0000-0000-0000750B0000}"/>
    <cellStyle name="Normal_Hoja4_1" xfId="3791" xr:uid="{00000000-0005-0000-0000-0000760B0000}"/>
    <cellStyle name="Normal_Hoja5" xfId="3793" xr:uid="{EA1E90B8-5AE7-4483-8714-1360DD5A1751}"/>
    <cellStyle name="Normal_Hoja6" xfId="441" xr:uid="{00000000-0005-0000-0000-0000770B0000}"/>
    <cellStyle name="Normal_NTRC Doctorado" xfId="799" xr:uid="{00000000-0005-0000-0000-0000780B0000}"/>
    <cellStyle name="Normal_NTRC Maestría" xfId="798" xr:uid="{00000000-0005-0000-0000-0000790B0000}"/>
    <cellStyle name="Normal_Posgrados evaluados 2007 2" xfId="3786" xr:uid="{00000000-0005-0000-0000-00007A0B0000}"/>
    <cellStyle name="Normal_Ptos Acum 2011-2014" xfId="804" xr:uid="{00000000-0005-0000-0000-00007B0B0000}"/>
    <cellStyle name="Normal_SNI_2011 NOV (914) X DEPTO" xfId="817" xr:uid="{00000000-0005-0000-0000-00007C0B0000}"/>
    <cellStyle name="Normal_Tiempo Prom para Egresar 2012" xfId="796" xr:uid="{00000000-0005-0000-0000-00007D0B0000}"/>
    <cellStyle name="Normal_TRC Para Egresar Doc 2014" xfId="457" xr:uid="{00000000-0005-0000-0000-00007E0B0000}"/>
    <cellStyle name="Normal_TRC Para Egresar Mtría 2014" xfId="456" xr:uid="{00000000-0005-0000-0000-00007F0B0000}"/>
    <cellStyle name="Normal_TRC Para Egresar Posg 2014" xfId="455" xr:uid="{00000000-0005-0000-0000-0000800B0000}"/>
    <cellStyle name="Normal_Trim Prom Acred Plan Est Lic" xfId="3785" xr:uid="{00000000-0005-0000-0000-0000810B0000}"/>
    <cellStyle name="Nota 2" xfId="3788" xr:uid="{00000000-0005-0000-0000-0000820B0000}"/>
    <cellStyle name="Notas" xfId="3794" builtinId="10"/>
    <cellStyle name="Notas 2" xfId="174" xr:uid="{00000000-0005-0000-0000-0000830B0000}"/>
    <cellStyle name="Notas 2 2" xfId="206" xr:uid="{00000000-0005-0000-0000-0000840B0000}"/>
    <cellStyle name="Notas 2 2 2" xfId="226" xr:uid="{00000000-0005-0000-0000-0000850B0000}"/>
    <cellStyle name="Notas 2 2 2 2" xfId="250" xr:uid="{00000000-0005-0000-0000-0000860B0000}"/>
    <cellStyle name="Notas 2 2 2 2 10" xfId="3142" xr:uid="{00000000-0005-0000-0000-0000870B0000}"/>
    <cellStyle name="Notas 2 2 2 2 11" xfId="3143" xr:uid="{00000000-0005-0000-0000-0000880B0000}"/>
    <cellStyle name="Notas 2 2 2 2 12" xfId="3144" xr:uid="{00000000-0005-0000-0000-0000890B0000}"/>
    <cellStyle name="Notas 2 2 2 2 2" xfId="275" xr:uid="{00000000-0005-0000-0000-00008A0B0000}"/>
    <cellStyle name="Notas 2 2 2 2 2 2" xfId="3145" xr:uid="{00000000-0005-0000-0000-00008B0B0000}"/>
    <cellStyle name="Notas 2 2 2 2 2 3" xfId="3146" xr:uid="{00000000-0005-0000-0000-00008C0B0000}"/>
    <cellStyle name="Notas 2 2 2 2 2 4" xfId="3147" xr:uid="{00000000-0005-0000-0000-00008D0B0000}"/>
    <cellStyle name="Notas 2 2 2 2 2 5" xfId="3148" xr:uid="{00000000-0005-0000-0000-00008E0B0000}"/>
    <cellStyle name="Notas 2 2 2 2 3" xfId="277" xr:uid="{00000000-0005-0000-0000-00008F0B0000}"/>
    <cellStyle name="Notas 2 2 2 2 3 2" xfId="3149" xr:uid="{00000000-0005-0000-0000-0000900B0000}"/>
    <cellStyle name="Notas 2 2 2 2 3 3" xfId="3150" xr:uid="{00000000-0005-0000-0000-0000910B0000}"/>
    <cellStyle name="Notas 2 2 2 2 3 4" xfId="3151" xr:uid="{00000000-0005-0000-0000-0000920B0000}"/>
    <cellStyle name="Notas 2 2 2 2 3 5" xfId="3152" xr:uid="{00000000-0005-0000-0000-0000930B0000}"/>
    <cellStyle name="Notas 2 2 2 2 4" xfId="295" xr:uid="{00000000-0005-0000-0000-0000940B0000}"/>
    <cellStyle name="Notas 2 2 2 2 4 2" xfId="3153" xr:uid="{00000000-0005-0000-0000-0000950B0000}"/>
    <cellStyle name="Notas 2 2 2 2 4 3" xfId="3154" xr:uid="{00000000-0005-0000-0000-0000960B0000}"/>
    <cellStyle name="Notas 2 2 2 2 4 4" xfId="3155" xr:uid="{00000000-0005-0000-0000-0000970B0000}"/>
    <cellStyle name="Notas 2 2 2 2 4 5" xfId="3156" xr:uid="{00000000-0005-0000-0000-0000980B0000}"/>
    <cellStyle name="Notas 2 2 2 2 5" xfId="327" xr:uid="{00000000-0005-0000-0000-0000990B0000}"/>
    <cellStyle name="Notas 2 2 2 2 5 2" xfId="3157" xr:uid="{00000000-0005-0000-0000-00009A0B0000}"/>
    <cellStyle name="Notas 2 2 2 2 5 3" xfId="3158" xr:uid="{00000000-0005-0000-0000-00009B0B0000}"/>
    <cellStyle name="Notas 2 2 2 2 5 4" xfId="3159" xr:uid="{00000000-0005-0000-0000-00009C0B0000}"/>
    <cellStyle name="Notas 2 2 2 2 5 5" xfId="3160" xr:uid="{00000000-0005-0000-0000-00009D0B0000}"/>
    <cellStyle name="Notas 2 2 2 2 6" xfId="339" xr:uid="{00000000-0005-0000-0000-00009E0B0000}"/>
    <cellStyle name="Notas 2 2 2 2 6 2" xfId="3161" xr:uid="{00000000-0005-0000-0000-00009F0B0000}"/>
    <cellStyle name="Notas 2 2 2 2 6 3" xfId="3162" xr:uid="{00000000-0005-0000-0000-0000A00B0000}"/>
    <cellStyle name="Notas 2 2 2 2 6 4" xfId="3163" xr:uid="{00000000-0005-0000-0000-0000A10B0000}"/>
    <cellStyle name="Notas 2 2 2 2 6 5" xfId="3164" xr:uid="{00000000-0005-0000-0000-0000A20B0000}"/>
    <cellStyle name="Notas 2 2 2 2 7" xfId="355" xr:uid="{00000000-0005-0000-0000-0000A30B0000}"/>
    <cellStyle name="Notas 2 2 2 2 7 2" xfId="3165" xr:uid="{00000000-0005-0000-0000-0000A40B0000}"/>
    <cellStyle name="Notas 2 2 2 2 7 3" xfId="3166" xr:uid="{00000000-0005-0000-0000-0000A50B0000}"/>
    <cellStyle name="Notas 2 2 2 2 7 4" xfId="3167" xr:uid="{00000000-0005-0000-0000-0000A60B0000}"/>
    <cellStyle name="Notas 2 2 2 2 7 5" xfId="3168" xr:uid="{00000000-0005-0000-0000-0000A70B0000}"/>
    <cellStyle name="Notas 2 2 2 2 8" xfId="371" xr:uid="{00000000-0005-0000-0000-0000A80B0000}"/>
    <cellStyle name="Notas 2 2 2 2 8 2" xfId="3169" xr:uid="{00000000-0005-0000-0000-0000A90B0000}"/>
    <cellStyle name="Notas 2 2 2 2 8 3" xfId="3170" xr:uid="{00000000-0005-0000-0000-0000AA0B0000}"/>
    <cellStyle name="Notas 2 2 2 2 8 4" xfId="3171" xr:uid="{00000000-0005-0000-0000-0000AB0B0000}"/>
    <cellStyle name="Notas 2 2 2 2 8 5" xfId="3172" xr:uid="{00000000-0005-0000-0000-0000AC0B0000}"/>
    <cellStyle name="Notas 2 2 2 2 9" xfId="3173" xr:uid="{00000000-0005-0000-0000-0000AD0B0000}"/>
    <cellStyle name="Notas 2 2 2 3" xfId="271" xr:uid="{00000000-0005-0000-0000-0000AE0B0000}"/>
    <cellStyle name="Notas 2 2 2 3 2" xfId="3174" xr:uid="{00000000-0005-0000-0000-0000AF0B0000}"/>
    <cellStyle name="Notas 2 2 2 3 3" xfId="3175" xr:uid="{00000000-0005-0000-0000-0000B00B0000}"/>
    <cellStyle name="Notas 2 2 2 3 4" xfId="3176" xr:uid="{00000000-0005-0000-0000-0000B10B0000}"/>
    <cellStyle name="Notas 2 2 2 3 5" xfId="3177" xr:uid="{00000000-0005-0000-0000-0000B20B0000}"/>
    <cellStyle name="Notas 2 2 2 4" xfId="310" xr:uid="{00000000-0005-0000-0000-0000B30B0000}"/>
    <cellStyle name="Notas 2 2 2 4 2" xfId="3178" xr:uid="{00000000-0005-0000-0000-0000B40B0000}"/>
    <cellStyle name="Notas 2 2 2 4 3" xfId="3179" xr:uid="{00000000-0005-0000-0000-0000B50B0000}"/>
    <cellStyle name="Notas 2 2 2 4 4" xfId="3180" xr:uid="{00000000-0005-0000-0000-0000B60B0000}"/>
    <cellStyle name="Notas 2 2 2 4 5" xfId="3181" xr:uid="{00000000-0005-0000-0000-0000B70B0000}"/>
    <cellStyle name="Notas 2 2 2 5" xfId="410" xr:uid="{00000000-0005-0000-0000-0000B80B0000}"/>
    <cellStyle name="Notas 2 2 2 5 2" xfId="3182" xr:uid="{00000000-0005-0000-0000-0000B90B0000}"/>
    <cellStyle name="Notas 2 2 2 5 3" xfId="3183" xr:uid="{00000000-0005-0000-0000-0000BA0B0000}"/>
    <cellStyle name="Notas 2 2 2 5 4" xfId="3184" xr:uid="{00000000-0005-0000-0000-0000BB0B0000}"/>
    <cellStyle name="Notas 2 2 2 5 5" xfId="3185" xr:uid="{00000000-0005-0000-0000-0000BC0B0000}"/>
    <cellStyle name="Notas 2 2 2 6" xfId="422" xr:uid="{00000000-0005-0000-0000-0000BD0B0000}"/>
    <cellStyle name="Notas 2 2 2 6 2" xfId="3186" xr:uid="{00000000-0005-0000-0000-0000BE0B0000}"/>
    <cellStyle name="Notas 2 2 2 6 3" xfId="3187" xr:uid="{00000000-0005-0000-0000-0000BF0B0000}"/>
    <cellStyle name="Notas 2 2 2 6 4" xfId="3188" xr:uid="{00000000-0005-0000-0000-0000C00B0000}"/>
    <cellStyle name="Notas 2 2 2 6 5" xfId="3189" xr:uid="{00000000-0005-0000-0000-0000C10B0000}"/>
    <cellStyle name="Notas 2 2 2 7" xfId="3190" xr:uid="{00000000-0005-0000-0000-0000C20B0000}"/>
    <cellStyle name="Notas 2 2 3" xfId="249" xr:uid="{00000000-0005-0000-0000-0000C30B0000}"/>
    <cellStyle name="Notas 2 2 3 2" xfId="274" xr:uid="{00000000-0005-0000-0000-0000C40B0000}"/>
    <cellStyle name="Notas 2 2 3 2 2" xfId="3191" xr:uid="{00000000-0005-0000-0000-0000C50B0000}"/>
    <cellStyle name="Notas 2 2 3 2 3" xfId="3192" xr:uid="{00000000-0005-0000-0000-0000C60B0000}"/>
    <cellStyle name="Notas 2 2 3 2 4" xfId="3193" xr:uid="{00000000-0005-0000-0000-0000C70B0000}"/>
    <cellStyle name="Notas 2 2 3 2 5" xfId="3194" xr:uid="{00000000-0005-0000-0000-0000C80B0000}"/>
    <cellStyle name="Notas 2 2 3 3" xfId="263" xr:uid="{00000000-0005-0000-0000-0000C90B0000}"/>
    <cellStyle name="Notas 2 2 3 3 2" xfId="3195" xr:uid="{00000000-0005-0000-0000-0000CA0B0000}"/>
    <cellStyle name="Notas 2 2 3 3 3" xfId="3196" xr:uid="{00000000-0005-0000-0000-0000CB0B0000}"/>
    <cellStyle name="Notas 2 2 3 3 4" xfId="3197" xr:uid="{00000000-0005-0000-0000-0000CC0B0000}"/>
    <cellStyle name="Notas 2 2 3 3 5" xfId="3198" xr:uid="{00000000-0005-0000-0000-0000CD0B0000}"/>
    <cellStyle name="Notas 2 2 3 4" xfId="290" xr:uid="{00000000-0005-0000-0000-0000CE0B0000}"/>
    <cellStyle name="Notas 2 2 3 4 2" xfId="3199" xr:uid="{00000000-0005-0000-0000-0000CF0B0000}"/>
    <cellStyle name="Notas 2 2 3 4 3" xfId="3200" xr:uid="{00000000-0005-0000-0000-0000D00B0000}"/>
    <cellStyle name="Notas 2 2 3 4 4" xfId="3201" xr:uid="{00000000-0005-0000-0000-0000D10B0000}"/>
    <cellStyle name="Notas 2 2 3 4 5" xfId="3202" xr:uid="{00000000-0005-0000-0000-0000D20B0000}"/>
    <cellStyle name="Notas 2 2 3 5" xfId="322" xr:uid="{00000000-0005-0000-0000-0000D30B0000}"/>
    <cellStyle name="Notas 2 2 3 5 2" xfId="3203" xr:uid="{00000000-0005-0000-0000-0000D40B0000}"/>
    <cellStyle name="Notas 2 2 3 5 3" xfId="3204" xr:uid="{00000000-0005-0000-0000-0000D50B0000}"/>
    <cellStyle name="Notas 2 2 3 5 4" xfId="3205" xr:uid="{00000000-0005-0000-0000-0000D60B0000}"/>
    <cellStyle name="Notas 2 2 3 5 5" xfId="3206" xr:uid="{00000000-0005-0000-0000-0000D70B0000}"/>
    <cellStyle name="Notas 2 2 3 6" xfId="284" xr:uid="{00000000-0005-0000-0000-0000D80B0000}"/>
    <cellStyle name="Notas 2 2 3 6 2" xfId="3207" xr:uid="{00000000-0005-0000-0000-0000D90B0000}"/>
    <cellStyle name="Notas 2 2 3 6 3" xfId="3208" xr:uid="{00000000-0005-0000-0000-0000DA0B0000}"/>
    <cellStyle name="Notas 2 2 3 6 4" xfId="3209" xr:uid="{00000000-0005-0000-0000-0000DB0B0000}"/>
    <cellStyle name="Notas 2 2 3 6 5" xfId="3210" xr:uid="{00000000-0005-0000-0000-0000DC0B0000}"/>
    <cellStyle name="Notas 2 2 3 7" xfId="350" xr:uid="{00000000-0005-0000-0000-0000DD0B0000}"/>
    <cellStyle name="Notas 2 2 3 7 2" xfId="3211" xr:uid="{00000000-0005-0000-0000-0000DE0B0000}"/>
    <cellStyle name="Notas 2 2 3 7 3" xfId="3212" xr:uid="{00000000-0005-0000-0000-0000DF0B0000}"/>
    <cellStyle name="Notas 2 2 3 7 4" xfId="3213" xr:uid="{00000000-0005-0000-0000-0000E00B0000}"/>
    <cellStyle name="Notas 2 2 3 7 5" xfId="3214" xr:uid="{00000000-0005-0000-0000-0000E10B0000}"/>
    <cellStyle name="Notas 2 2 3 8" xfId="366" xr:uid="{00000000-0005-0000-0000-0000E20B0000}"/>
    <cellStyle name="Notas 2 2 3 8 2" xfId="3215" xr:uid="{00000000-0005-0000-0000-0000E30B0000}"/>
    <cellStyle name="Notas 2 2 3 8 3" xfId="3216" xr:uid="{00000000-0005-0000-0000-0000E40B0000}"/>
    <cellStyle name="Notas 2 2 3 8 4" xfId="3217" xr:uid="{00000000-0005-0000-0000-0000E50B0000}"/>
    <cellStyle name="Notas 2 2 3 8 5" xfId="3218" xr:uid="{00000000-0005-0000-0000-0000E60B0000}"/>
    <cellStyle name="Notas 2 2 3 9" xfId="3219" xr:uid="{00000000-0005-0000-0000-0000E70B0000}"/>
    <cellStyle name="Notas 2 2 4" xfId="308" xr:uid="{00000000-0005-0000-0000-0000E80B0000}"/>
    <cellStyle name="Notas 2 2 4 2" xfId="3220" xr:uid="{00000000-0005-0000-0000-0000E90B0000}"/>
    <cellStyle name="Notas 2 2 4 3" xfId="3221" xr:uid="{00000000-0005-0000-0000-0000EA0B0000}"/>
    <cellStyle name="Notas 2 2 4 4" xfId="3222" xr:uid="{00000000-0005-0000-0000-0000EB0B0000}"/>
    <cellStyle name="Notas 2 2 4 5" xfId="3223" xr:uid="{00000000-0005-0000-0000-0000EC0B0000}"/>
    <cellStyle name="Notas 2 2 5" xfId="405" xr:uid="{00000000-0005-0000-0000-0000ED0B0000}"/>
    <cellStyle name="Notas 2 2 5 2" xfId="3224" xr:uid="{00000000-0005-0000-0000-0000EE0B0000}"/>
    <cellStyle name="Notas 2 2 5 3" xfId="3225" xr:uid="{00000000-0005-0000-0000-0000EF0B0000}"/>
    <cellStyle name="Notas 2 2 5 4" xfId="3226" xr:uid="{00000000-0005-0000-0000-0000F00B0000}"/>
    <cellStyle name="Notas 2 2 5 5" xfId="3227" xr:uid="{00000000-0005-0000-0000-0000F10B0000}"/>
    <cellStyle name="Notas 2 2 6" xfId="417" xr:uid="{00000000-0005-0000-0000-0000F20B0000}"/>
    <cellStyle name="Notas 2 2 6 2" xfId="3228" xr:uid="{00000000-0005-0000-0000-0000F30B0000}"/>
    <cellStyle name="Notas 2 2 6 3" xfId="3229" xr:uid="{00000000-0005-0000-0000-0000F40B0000}"/>
    <cellStyle name="Notas 2 2 6 4" xfId="3230" xr:uid="{00000000-0005-0000-0000-0000F50B0000}"/>
    <cellStyle name="Notas 2 2 6 5" xfId="3231" xr:uid="{00000000-0005-0000-0000-0000F60B0000}"/>
    <cellStyle name="Notas 2 2 7" xfId="3232" xr:uid="{00000000-0005-0000-0000-0000F70B0000}"/>
    <cellStyle name="Notas 2 3" xfId="221" xr:uid="{00000000-0005-0000-0000-0000F80B0000}"/>
    <cellStyle name="Notas 2 3 2" xfId="251" xr:uid="{00000000-0005-0000-0000-0000F90B0000}"/>
    <cellStyle name="Notas 2 3 2 10" xfId="3233" xr:uid="{00000000-0005-0000-0000-0000FA0B0000}"/>
    <cellStyle name="Notas 2 3 2 11" xfId="3234" xr:uid="{00000000-0005-0000-0000-0000FB0B0000}"/>
    <cellStyle name="Notas 2 3 2 12" xfId="3235" xr:uid="{00000000-0005-0000-0000-0000FC0B0000}"/>
    <cellStyle name="Notas 2 3 2 2" xfId="276" xr:uid="{00000000-0005-0000-0000-0000FD0B0000}"/>
    <cellStyle name="Notas 2 3 2 2 2" xfId="3236" xr:uid="{00000000-0005-0000-0000-0000FE0B0000}"/>
    <cellStyle name="Notas 2 3 2 2 3" xfId="3237" xr:uid="{00000000-0005-0000-0000-0000FF0B0000}"/>
    <cellStyle name="Notas 2 3 2 2 4" xfId="3238" xr:uid="{00000000-0005-0000-0000-0000000C0000}"/>
    <cellStyle name="Notas 2 3 2 2 5" xfId="3239" xr:uid="{00000000-0005-0000-0000-0000010C0000}"/>
    <cellStyle name="Notas 2 3 2 3" xfId="278" xr:uid="{00000000-0005-0000-0000-0000020C0000}"/>
    <cellStyle name="Notas 2 3 2 3 2" xfId="3240" xr:uid="{00000000-0005-0000-0000-0000030C0000}"/>
    <cellStyle name="Notas 2 3 2 3 3" xfId="3241" xr:uid="{00000000-0005-0000-0000-0000040C0000}"/>
    <cellStyle name="Notas 2 3 2 3 4" xfId="3242" xr:uid="{00000000-0005-0000-0000-0000050C0000}"/>
    <cellStyle name="Notas 2 3 2 3 5" xfId="3243" xr:uid="{00000000-0005-0000-0000-0000060C0000}"/>
    <cellStyle name="Notas 2 3 2 4" xfId="296" xr:uid="{00000000-0005-0000-0000-0000070C0000}"/>
    <cellStyle name="Notas 2 3 2 4 2" xfId="3244" xr:uid="{00000000-0005-0000-0000-0000080C0000}"/>
    <cellStyle name="Notas 2 3 2 4 3" xfId="3245" xr:uid="{00000000-0005-0000-0000-0000090C0000}"/>
    <cellStyle name="Notas 2 3 2 4 4" xfId="3246" xr:uid="{00000000-0005-0000-0000-00000A0C0000}"/>
    <cellStyle name="Notas 2 3 2 4 5" xfId="3247" xr:uid="{00000000-0005-0000-0000-00000B0C0000}"/>
    <cellStyle name="Notas 2 3 2 5" xfId="328" xr:uid="{00000000-0005-0000-0000-00000C0C0000}"/>
    <cellStyle name="Notas 2 3 2 5 2" xfId="3248" xr:uid="{00000000-0005-0000-0000-00000D0C0000}"/>
    <cellStyle name="Notas 2 3 2 5 3" xfId="3249" xr:uid="{00000000-0005-0000-0000-00000E0C0000}"/>
    <cellStyle name="Notas 2 3 2 5 4" xfId="3250" xr:uid="{00000000-0005-0000-0000-00000F0C0000}"/>
    <cellStyle name="Notas 2 3 2 5 5" xfId="3251" xr:uid="{00000000-0005-0000-0000-0000100C0000}"/>
    <cellStyle name="Notas 2 3 2 6" xfId="340" xr:uid="{00000000-0005-0000-0000-0000110C0000}"/>
    <cellStyle name="Notas 2 3 2 6 2" xfId="3252" xr:uid="{00000000-0005-0000-0000-0000120C0000}"/>
    <cellStyle name="Notas 2 3 2 6 3" xfId="3253" xr:uid="{00000000-0005-0000-0000-0000130C0000}"/>
    <cellStyle name="Notas 2 3 2 6 4" xfId="3254" xr:uid="{00000000-0005-0000-0000-0000140C0000}"/>
    <cellStyle name="Notas 2 3 2 6 5" xfId="3255" xr:uid="{00000000-0005-0000-0000-0000150C0000}"/>
    <cellStyle name="Notas 2 3 2 7" xfId="356" xr:uid="{00000000-0005-0000-0000-0000160C0000}"/>
    <cellStyle name="Notas 2 3 2 7 2" xfId="3256" xr:uid="{00000000-0005-0000-0000-0000170C0000}"/>
    <cellStyle name="Notas 2 3 2 7 3" xfId="3257" xr:uid="{00000000-0005-0000-0000-0000180C0000}"/>
    <cellStyle name="Notas 2 3 2 7 4" xfId="3258" xr:uid="{00000000-0005-0000-0000-0000190C0000}"/>
    <cellStyle name="Notas 2 3 2 7 5" xfId="3259" xr:uid="{00000000-0005-0000-0000-00001A0C0000}"/>
    <cellStyle name="Notas 2 3 2 8" xfId="372" xr:uid="{00000000-0005-0000-0000-00001B0C0000}"/>
    <cellStyle name="Notas 2 3 2 8 2" xfId="3260" xr:uid="{00000000-0005-0000-0000-00001C0C0000}"/>
    <cellStyle name="Notas 2 3 2 8 3" xfId="3261" xr:uid="{00000000-0005-0000-0000-00001D0C0000}"/>
    <cellStyle name="Notas 2 3 2 8 4" xfId="3262" xr:uid="{00000000-0005-0000-0000-00001E0C0000}"/>
    <cellStyle name="Notas 2 3 2 8 5" xfId="3263" xr:uid="{00000000-0005-0000-0000-00001F0C0000}"/>
    <cellStyle name="Notas 2 3 2 9" xfId="3264" xr:uid="{00000000-0005-0000-0000-0000200C0000}"/>
    <cellStyle name="Notas 2 3 3" xfId="272" xr:uid="{00000000-0005-0000-0000-0000210C0000}"/>
    <cellStyle name="Notas 2 3 3 2" xfId="3265" xr:uid="{00000000-0005-0000-0000-0000220C0000}"/>
    <cellStyle name="Notas 2 3 3 3" xfId="3266" xr:uid="{00000000-0005-0000-0000-0000230C0000}"/>
    <cellStyle name="Notas 2 3 3 4" xfId="3267" xr:uid="{00000000-0005-0000-0000-0000240C0000}"/>
    <cellStyle name="Notas 2 3 3 5" xfId="3268" xr:uid="{00000000-0005-0000-0000-0000250C0000}"/>
    <cellStyle name="Notas 2 3 4" xfId="316" xr:uid="{00000000-0005-0000-0000-0000260C0000}"/>
    <cellStyle name="Notas 2 3 4 2" xfId="3269" xr:uid="{00000000-0005-0000-0000-0000270C0000}"/>
    <cellStyle name="Notas 2 3 4 3" xfId="3270" xr:uid="{00000000-0005-0000-0000-0000280C0000}"/>
    <cellStyle name="Notas 2 3 4 4" xfId="3271" xr:uid="{00000000-0005-0000-0000-0000290C0000}"/>
    <cellStyle name="Notas 2 3 4 5" xfId="3272" xr:uid="{00000000-0005-0000-0000-00002A0C0000}"/>
    <cellStyle name="Notas 2 3 5" xfId="411" xr:uid="{00000000-0005-0000-0000-00002B0C0000}"/>
    <cellStyle name="Notas 2 3 5 2" xfId="3273" xr:uid="{00000000-0005-0000-0000-00002C0C0000}"/>
    <cellStyle name="Notas 2 3 5 3" xfId="3274" xr:uid="{00000000-0005-0000-0000-00002D0C0000}"/>
    <cellStyle name="Notas 2 3 5 4" xfId="3275" xr:uid="{00000000-0005-0000-0000-00002E0C0000}"/>
    <cellStyle name="Notas 2 3 5 5" xfId="3276" xr:uid="{00000000-0005-0000-0000-00002F0C0000}"/>
    <cellStyle name="Notas 2 3 6" xfId="423" xr:uid="{00000000-0005-0000-0000-0000300C0000}"/>
    <cellStyle name="Notas 2 3 6 2" xfId="3277" xr:uid="{00000000-0005-0000-0000-0000310C0000}"/>
    <cellStyle name="Notas 2 3 6 3" xfId="3278" xr:uid="{00000000-0005-0000-0000-0000320C0000}"/>
    <cellStyle name="Notas 2 3 6 4" xfId="3279" xr:uid="{00000000-0005-0000-0000-0000330C0000}"/>
    <cellStyle name="Notas 2 3 6 5" xfId="3280" xr:uid="{00000000-0005-0000-0000-0000340C0000}"/>
    <cellStyle name="Notas 2 3 7" xfId="3281" xr:uid="{00000000-0005-0000-0000-0000350C0000}"/>
    <cellStyle name="Notas 2 4" xfId="248" xr:uid="{00000000-0005-0000-0000-0000360C0000}"/>
    <cellStyle name="Notas 2 4 2" xfId="273" xr:uid="{00000000-0005-0000-0000-0000370C0000}"/>
    <cellStyle name="Notas 2 4 2 2" xfId="3282" xr:uid="{00000000-0005-0000-0000-0000380C0000}"/>
    <cellStyle name="Notas 2 4 2 3" xfId="3283" xr:uid="{00000000-0005-0000-0000-0000390C0000}"/>
    <cellStyle name="Notas 2 4 2 4" xfId="3284" xr:uid="{00000000-0005-0000-0000-00003A0C0000}"/>
    <cellStyle name="Notas 2 4 2 5" xfId="3285" xr:uid="{00000000-0005-0000-0000-00003B0C0000}"/>
    <cellStyle name="Notas 2 4 3" xfId="266" xr:uid="{00000000-0005-0000-0000-00003C0C0000}"/>
    <cellStyle name="Notas 2 4 3 2" xfId="3286" xr:uid="{00000000-0005-0000-0000-00003D0C0000}"/>
    <cellStyle name="Notas 2 4 3 3" xfId="3287" xr:uid="{00000000-0005-0000-0000-00003E0C0000}"/>
    <cellStyle name="Notas 2 4 3 4" xfId="3288" xr:uid="{00000000-0005-0000-0000-00003F0C0000}"/>
    <cellStyle name="Notas 2 4 3 5" xfId="3289" xr:uid="{00000000-0005-0000-0000-0000400C0000}"/>
    <cellStyle name="Notas 2 4 4" xfId="287" xr:uid="{00000000-0005-0000-0000-0000410C0000}"/>
    <cellStyle name="Notas 2 4 4 2" xfId="3290" xr:uid="{00000000-0005-0000-0000-0000420C0000}"/>
    <cellStyle name="Notas 2 4 4 3" xfId="3291" xr:uid="{00000000-0005-0000-0000-0000430C0000}"/>
    <cellStyle name="Notas 2 4 4 4" xfId="3292" xr:uid="{00000000-0005-0000-0000-0000440C0000}"/>
    <cellStyle name="Notas 2 4 4 5" xfId="3293" xr:uid="{00000000-0005-0000-0000-0000450C0000}"/>
    <cellStyle name="Notas 2 4 5" xfId="319" xr:uid="{00000000-0005-0000-0000-0000460C0000}"/>
    <cellStyle name="Notas 2 4 5 2" xfId="3294" xr:uid="{00000000-0005-0000-0000-0000470C0000}"/>
    <cellStyle name="Notas 2 4 5 3" xfId="3295" xr:uid="{00000000-0005-0000-0000-0000480C0000}"/>
    <cellStyle name="Notas 2 4 5 4" xfId="3296" xr:uid="{00000000-0005-0000-0000-0000490C0000}"/>
    <cellStyle name="Notas 2 4 5 5" xfId="3297" xr:uid="{00000000-0005-0000-0000-00004A0C0000}"/>
    <cellStyle name="Notas 2 4 6" xfId="302" xr:uid="{00000000-0005-0000-0000-00004B0C0000}"/>
    <cellStyle name="Notas 2 4 6 2" xfId="3298" xr:uid="{00000000-0005-0000-0000-00004C0C0000}"/>
    <cellStyle name="Notas 2 4 6 3" xfId="3299" xr:uid="{00000000-0005-0000-0000-00004D0C0000}"/>
    <cellStyle name="Notas 2 4 6 4" xfId="3300" xr:uid="{00000000-0005-0000-0000-00004E0C0000}"/>
    <cellStyle name="Notas 2 4 6 5" xfId="3301" xr:uid="{00000000-0005-0000-0000-00004F0C0000}"/>
    <cellStyle name="Notas 2 4 7" xfId="347" xr:uid="{00000000-0005-0000-0000-0000500C0000}"/>
    <cellStyle name="Notas 2 4 7 2" xfId="3302" xr:uid="{00000000-0005-0000-0000-0000510C0000}"/>
    <cellStyle name="Notas 2 4 7 3" xfId="3303" xr:uid="{00000000-0005-0000-0000-0000520C0000}"/>
    <cellStyle name="Notas 2 4 7 4" xfId="3304" xr:uid="{00000000-0005-0000-0000-0000530C0000}"/>
    <cellStyle name="Notas 2 4 7 5" xfId="3305" xr:uid="{00000000-0005-0000-0000-0000540C0000}"/>
    <cellStyle name="Notas 2 4 8" xfId="363" xr:uid="{00000000-0005-0000-0000-0000550C0000}"/>
    <cellStyle name="Notas 2 4 8 2" xfId="3306" xr:uid="{00000000-0005-0000-0000-0000560C0000}"/>
    <cellStyle name="Notas 2 4 8 3" xfId="3307" xr:uid="{00000000-0005-0000-0000-0000570C0000}"/>
    <cellStyle name="Notas 2 4 8 4" xfId="3308" xr:uid="{00000000-0005-0000-0000-0000580C0000}"/>
    <cellStyle name="Notas 2 4 8 5" xfId="3309" xr:uid="{00000000-0005-0000-0000-0000590C0000}"/>
    <cellStyle name="Notas 2 4 9" xfId="3310" xr:uid="{00000000-0005-0000-0000-00005A0C0000}"/>
    <cellStyle name="Notas 2 5" xfId="315" xr:uid="{00000000-0005-0000-0000-00005B0C0000}"/>
    <cellStyle name="Notas 2 5 2" xfId="3311" xr:uid="{00000000-0005-0000-0000-00005C0C0000}"/>
    <cellStyle name="Notas 2 5 3" xfId="3312" xr:uid="{00000000-0005-0000-0000-00005D0C0000}"/>
    <cellStyle name="Notas 2 5 4" xfId="3313" xr:uid="{00000000-0005-0000-0000-00005E0C0000}"/>
    <cellStyle name="Notas 2 5 5" xfId="3314" xr:uid="{00000000-0005-0000-0000-00005F0C0000}"/>
    <cellStyle name="Notas 2 6" xfId="387" xr:uid="{00000000-0005-0000-0000-0000600C0000}"/>
    <cellStyle name="Notas 2 6 2" xfId="3315" xr:uid="{00000000-0005-0000-0000-0000610C0000}"/>
    <cellStyle name="Notas 2 6 3" xfId="3316" xr:uid="{00000000-0005-0000-0000-0000620C0000}"/>
    <cellStyle name="Notas 2 6 4" xfId="3317" xr:uid="{00000000-0005-0000-0000-0000630C0000}"/>
    <cellStyle name="Notas 2 6 5" xfId="3318" xr:uid="{00000000-0005-0000-0000-0000640C0000}"/>
    <cellStyle name="Notas 2 7" xfId="386" xr:uid="{00000000-0005-0000-0000-0000650C0000}"/>
    <cellStyle name="Notas 2 7 2" xfId="3319" xr:uid="{00000000-0005-0000-0000-0000660C0000}"/>
    <cellStyle name="Notas 2 7 3" xfId="3320" xr:uid="{00000000-0005-0000-0000-0000670C0000}"/>
    <cellStyle name="Notas 2 7 4" xfId="3321" xr:uid="{00000000-0005-0000-0000-0000680C0000}"/>
    <cellStyle name="Notas 2 7 5" xfId="3322" xr:uid="{00000000-0005-0000-0000-0000690C0000}"/>
    <cellStyle name="Notas 2 8" xfId="3323" xr:uid="{00000000-0005-0000-0000-00006A0C0000}"/>
    <cellStyle name="Notas 3" xfId="737" xr:uid="{00000000-0005-0000-0000-00006B0C0000}"/>
    <cellStyle name="Notas 3 2" xfId="738" xr:uid="{00000000-0005-0000-0000-00006C0C0000}"/>
    <cellStyle name="Notas 4" xfId="3324" xr:uid="{00000000-0005-0000-0000-00006D0C0000}"/>
    <cellStyle name="Percent" xfId="175" xr:uid="{00000000-0005-0000-0000-00006E0C0000}"/>
    <cellStyle name="Percent 2" xfId="3325" xr:uid="{00000000-0005-0000-0000-00006F0C0000}"/>
    <cellStyle name="Percent 2 2" xfId="3326" xr:uid="{00000000-0005-0000-0000-0000700C0000}"/>
    <cellStyle name="Percent 3" xfId="3327" xr:uid="{00000000-0005-0000-0000-0000710C0000}"/>
    <cellStyle name="Porcentaje" xfId="176" builtinId="5"/>
    <cellStyle name="Porcentaje 2" xfId="739" xr:uid="{00000000-0005-0000-0000-0000730C0000}"/>
    <cellStyle name="Porcentaje 2 2" xfId="740" xr:uid="{00000000-0005-0000-0000-0000740C0000}"/>
    <cellStyle name="Porcentaje 2 2 2" xfId="3328" xr:uid="{00000000-0005-0000-0000-0000750C0000}"/>
    <cellStyle name="Porcentaje 2 2 2 2" xfId="3329" xr:uid="{00000000-0005-0000-0000-0000760C0000}"/>
    <cellStyle name="Porcentaje 2 2 2 2 2" xfId="3330" xr:uid="{00000000-0005-0000-0000-0000770C0000}"/>
    <cellStyle name="Porcentaje 2 2 2 3" xfId="3331" xr:uid="{00000000-0005-0000-0000-0000780C0000}"/>
    <cellStyle name="Porcentaje 2 2 3" xfId="3332" xr:uid="{00000000-0005-0000-0000-0000790C0000}"/>
    <cellStyle name="Porcentaje 2 2 3 2" xfId="3333" xr:uid="{00000000-0005-0000-0000-00007A0C0000}"/>
    <cellStyle name="Porcentaje 2 2 3 2 2" xfId="3334" xr:uid="{00000000-0005-0000-0000-00007B0C0000}"/>
    <cellStyle name="Porcentaje 2 2 3 2 2 2" xfId="3335" xr:uid="{00000000-0005-0000-0000-00007C0C0000}"/>
    <cellStyle name="Porcentaje 2 2 3 2 2 2 2" xfId="3336" xr:uid="{00000000-0005-0000-0000-00007D0C0000}"/>
    <cellStyle name="Porcentaje 2 2 3 2 2 2 2 2" xfId="3337" xr:uid="{00000000-0005-0000-0000-00007E0C0000}"/>
    <cellStyle name="Porcentaje 2 2 3 2 2 2 3" xfId="3338" xr:uid="{00000000-0005-0000-0000-00007F0C0000}"/>
    <cellStyle name="Porcentaje 2 2 3 2 2 3" xfId="3339" xr:uid="{00000000-0005-0000-0000-0000800C0000}"/>
    <cellStyle name="Porcentaje 2 2 3 2 2 3 2" xfId="3340" xr:uid="{00000000-0005-0000-0000-0000810C0000}"/>
    <cellStyle name="Porcentaje 2 2 3 2 2 3 2 2" xfId="3341" xr:uid="{00000000-0005-0000-0000-0000820C0000}"/>
    <cellStyle name="Porcentaje 2 2 3 2 2 3 3" xfId="3342" xr:uid="{00000000-0005-0000-0000-0000830C0000}"/>
    <cellStyle name="Porcentaje 2 2 3 2 2 4" xfId="3343" xr:uid="{00000000-0005-0000-0000-0000840C0000}"/>
    <cellStyle name="Porcentaje 2 2 3 2 2 4 2" xfId="3344" xr:uid="{00000000-0005-0000-0000-0000850C0000}"/>
    <cellStyle name="Porcentaje 2 2 3 2 2 4 2 2" xfId="3345" xr:uid="{00000000-0005-0000-0000-0000860C0000}"/>
    <cellStyle name="Porcentaje 2 2 3 2 2 4 3" xfId="3346" xr:uid="{00000000-0005-0000-0000-0000870C0000}"/>
    <cellStyle name="Porcentaje 2 2 3 2 2 5" xfId="3347" xr:uid="{00000000-0005-0000-0000-0000880C0000}"/>
    <cellStyle name="Porcentaje 2 2 3 2 2 5 2" xfId="3348" xr:uid="{00000000-0005-0000-0000-0000890C0000}"/>
    <cellStyle name="Porcentaje 2 2 3 2 2 6" xfId="3349" xr:uid="{00000000-0005-0000-0000-00008A0C0000}"/>
    <cellStyle name="Porcentaje 2 2 3 2 3" xfId="3350" xr:uid="{00000000-0005-0000-0000-00008B0C0000}"/>
    <cellStyle name="Porcentaje 2 2 3 2 3 2" xfId="3351" xr:uid="{00000000-0005-0000-0000-00008C0C0000}"/>
    <cellStyle name="Porcentaje 2 2 3 2 4" xfId="3352" xr:uid="{00000000-0005-0000-0000-00008D0C0000}"/>
    <cellStyle name="Porcentaje 2 2 3 3" xfId="3353" xr:uid="{00000000-0005-0000-0000-00008E0C0000}"/>
    <cellStyle name="Porcentaje 2 2 3 3 2" xfId="3354" xr:uid="{00000000-0005-0000-0000-00008F0C0000}"/>
    <cellStyle name="Porcentaje 2 2 3 4" xfId="3355" xr:uid="{00000000-0005-0000-0000-0000900C0000}"/>
    <cellStyle name="Porcentaje 2 2 4" xfId="3356" xr:uid="{00000000-0005-0000-0000-0000910C0000}"/>
    <cellStyle name="Porcentaje 2 2 4 2" xfId="3357" xr:uid="{00000000-0005-0000-0000-0000920C0000}"/>
    <cellStyle name="Porcentaje 2 2 5" xfId="3358" xr:uid="{00000000-0005-0000-0000-0000930C0000}"/>
    <cellStyle name="Porcentaje 2 2 6" xfId="3359" xr:uid="{00000000-0005-0000-0000-0000940C0000}"/>
    <cellStyle name="Porcentaje 2 3" xfId="3360" xr:uid="{00000000-0005-0000-0000-0000950C0000}"/>
    <cellStyle name="Porcentaje 3" xfId="741" xr:uid="{00000000-0005-0000-0000-0000960C0000}"/>
    <cellStyle name="Porcentaje 3 2" xfId="742" xr:uid="{00000000-0005-0000-0000-0000970C0000}"/>
    <cellStyle name="Porcentaje 3 2 2" xfId="743" xr:uid="{00000000-0005-0000-0000-0000980C0000}"/>
    <cellStyle name="Porcentaje 3 2 2 2" xfId="3361" xr:uid="{00000000-0005-0000-0000-0000990C0000}"/>
    <cellStyle name="Porcentaje 3 2 3" xfId="3362" xr:uid="{00000000-0005-0000-0000-00009A0C0000}"/>
    <cellStyle name="Porcentaje 3 3" xfId="744" xr:uid="{00000000-0005-0000-0000-00009B0C0000}"/>
    <cellStyle name="Porcentaje 3 3 2" xfId="3363" xr:uid="{00000000-0005-0000-0000-00009C0C0000}"/>
    <cellStyle name="Porcentaje 3 4" xfId="3364" xr:uid="{00000000-0005-0000-0000-00009D0C0000}"/>
    <cellStyle name="Porcentaje 4" xfId="745" xr:uid="{00000000-0005-0000-0000-00009E0C0000}"/>
    <cellStyle name="Porcentaje 4 2" xfId="746" xr:uid="{00000000-0005-0000-0000-00009F0C0000}"/>
    <cellStyle name="Porcentaje 4 2 2" xfId="3365" xr:uid="{00000000-0005-0000-0000-0000A00C0000}"/>
    <cellStyle name="Porcentaje 4 2 2 2" xfId="3366" xr:uid="{00000000-0005-0000-0000-0000A10C0000}"/>
    <cellStyle name="Porcentaje 4 2 3" xfId="3367" xr:uid="{00000000-0005-0000-0000-0000A20C0000}"/>
    <cellStyle name="Porcentaje 4 3" xfId="3368" xr:uid="{00000000-0005-0000-0000-0000A30C0000}"/>
    <cellStyle name="Porcentaje 4 3 2" xfId="3369" xr:uid="{00000000-0005-0000-0000-0000A40C0000}"/>
    <cellStyle name="Porcentaje 4 3 2 2" xfId="3370" xr:uid="{00000000-0005-0000-0000-0000A50C0000}"/>
    <cellStyle name="Porcentaje 4 3 3" xfId="3371" xr:uid="{00000000-0005-0000-0000-0000A60C0000}"/>
    <cellStyle name="Porcentaje 4 4" xfId="3372" xr:uid="{00000000-0005-0000-0000-0000A70C0000}"/>
    <cellStyle name="Porcentaje 4 4 2" xfId="3373" xr:uid="{00000000-0005-0000-0000-0000A80C0000}"/>
    <cellStyle name="Porcentaje 4 4 2 2" xfId="3374" xr:uid="{00000000-0005-0000-0000-0000A90C0000}"/>
    <cellStyle name="Porcentaje 4 4 2 2 2" xfId="3375" xr:uid="{00000000-0005-0000-0000-0000AA0C0000}"/>
    <cellStyle name="Porcentaje 4 4 2 3" xfId="3376" xr:uid="{00000000-0005-0000-0000-0000AB0C0000}"/>
    <cellStyle name="Porcentaje 4 4 3" xfId="3377" xr:uid="{00000000-0005-0000-0000-0000AC0C0000}"/>
    <cellStyle name="Porcentaje 4 4 3 2" xfId="3378" xr:uid="{00000000-0005-0000-0000-0000AD0C0000}"/>
    <cellStyle name="Porcentaje 4 4 4" xfId="3379" xr:uid="{00000000-0005-0000-0000-0000AE0C0000}"/>
    <cellStyle name="Porcentaje 4 5" xfId="3380" xr:uid="{00000000-0005-0000-0000-0000AF0C0000}"/>
    <cellStyle name="Porcentaje 4 5 2" xfId="3381" xr:uid="{00000000-0005-0000-0000-0000B00C0000}"/>
    <cellStyle name="Porcentaje 4 6" xfId="3382" xr:uid="{00000000-0005-0000-0000-0000B10C0000}"/>
    <cellStyle name="Porcentaje 5" xfId="747" xr:uid="{00000000-0005-0000-0000-0000B20C0000}"/>
    <cellStyle name="Porcentaje 6" xfId="748" xr:uid="{00000000-0005-0000-0000-0000B30C0000}"/>
    <cellStyle name="Porcentaje 6 2" xfId="749" xr:uid="{00000000-0005-0000-0000-0000B40C0000}"/>
    <cellStyle name="Porcentaje 7" xfId="750" xr:uid="{00000000-0005-0000-0000-0000B50C0000}"/>
    <cellStyle name="Porcentaje 7 2" xfId="751" xr:uid="{00000000-0005-0000-0000-0000B60C0000}"/>
    <cellStyle name="Porcentaje 8" xfId="752" xr:uid="{00000000-0005-0000-0000-0000B70C0000}"/>
    <cellStyle name="Porcentaje 8 2" xfId="753" xr:uid="{00000000-0005-0000-0000-0000B80C0000}"/>
    <cellStyle name="Porcentaje 8 2 2" xfId="754" xr:uid="{00000000-0005-0000-0000-0000B90C0000}"/>
    <cellStyle name="Porcentaje 8 3" xfId="755" xr:uid="{00000000-0005-0000-0000-0000BA0C0000}"/>
    <cellStyle name="Porcentaje 9" xfId="3383" xr:uid="{00000000-0005-0000-0000-0000BB0C0000}"/>
    <cellStyle name="Porcentual 10" xfId="222" xr:uid="{00000000-0005-0000-0000-0000BC0C0000}"/>
    <cellStyle name="Porcentual 10 10" xfId="3384" xr:uid="{00000000-0005-0000-0000-0000BD0C0000}"/>
    <cellStyle name="Porcentual 10 2" xfId="383" xr:uid="{00000000-0005-0000-0000-0000BE0C0000}"/>
    <cellStyle name="Porcentual 10 2 2" xfId="3385" xr:uid="{00000000-0005-0000-0000-0000BF0C0000}"/>
    <cellStyle name="Porcentual 10 3" xfId="756" xr:uid="{00000000-0005-0000-0000-0000C00C0000}"/>
    <cellStyle name="Porcentual 10 3 2" xfId="3386" xr:uid="{00000000-0005-0000-0000-0000C10C0000}"/>
    <cellStyle name="Porcentual 10 3 2 2" xfId="3387" xr:uid="{00000000-0005-0000-0000-0000C20C0000}"/>
    <cellStyle name="Porcentual 10 3 2 2 2" xfId="3388" xr:uid="{00000000-0005-0000-0000-0000C30C0000}"/>
    <cellStyle name="Porcentual 10 3 2 3" xfId="3389" xr:uid="{00000000-0005-0000-0000-0000C40C0000}"/>
    <cellStyle name="Porcentual 10 3 3" xfId="3390" xr:uid="{00000000-0005-0000-0000-0000C50C0000}"/>
    <cellStyle name="Porcentual 10 3 3 2" xfId="3391" xr:uid="{00000000-0005-0000-0000-0000C60C0000}"/>
    <cellStyle name="Porcentual 10 3 4" xfId="3392" xr:uid="{00000000-0005-0000-0000-0000C70C0000}"/>
    <cellStyle name="Porcentual 10 4" xfId="3393" xr:uid="{00000000-0005-0000-0000-0000C80C0000}"/>
    <cellStyle name="Porcentual 10 4 2" xfId="3394" xr:uid="{00000000-0005-0000-0000-0000C90C0000}"/>
    <cellStyle name="Porcentual 10 4 2 2" xfId="3395" xr:uid="{00000000-0005-0000-0000-0000CA0C0000}"/>
    <cellStyle name="Porcentual 10 4 2 2 2" xfId="3396" xr:uid="{00000000-0005-0000-0000-0000CB0C0000}"/>
    <cellStyle name="Porcentual 10 4 2 3" xfId="3397" xr:uid="{00000000-0005-0000-0000-0000CC0C0000}"/>
    <cellStyle name="Porcentual 10 4 3" xfId="3398" xr:uid="{00000000-0005-0000-0000-0000CD0C0000}"/>
    <cellStyle name="Porcentual 10 4 3 2" xfId="3399" xr:uid="{00000000-0005-0000-0000-0000CE0C0000}"/>
    <cellStyle name="Porcentual 10 4 4" xfId="3400" xr:uid="{00000000-0005-0000-0000-0000CF0C0000}"/>
    <cellStyle name="Porcentual 10 5" xfId="3401" xr:uid="{00000000-0005-0000-0000-0000D00C0000}"/>
    <cellStyle name="Porcentual 10 5 2" xfId="3402" xr:uid="{00000000-0005-0000-0000-0000D10C0000}"/>
    <cellStyle name="Porcentual 10 5 2 2" xfId="3403" xr:uid="{00000000-0005-0000-0000-0000D20C0000}"/>
    <cellStyle name="Porcentual 10 5 2 2 2" xfId="3404" xr:uid="{00000000-0005-0000-0000-0000D30C0000}"/>
    <cellStyle name="Porcentual 10 5 2 3" xfId="3405" xr:uid="{00000000-0005-0000-0000-0000D40C0000}"/>
    <cellStyle name="Porcentual 10 5 3" xfId="3406" xr:uid="{00000000-0005-0000-0000-0000D50C0000}"/>
    <cellStyle name="Porcentual 10 5 3 2" xfId="3407" xr:uid="{00000000-0005-0000-0000-0000D60C0000}"/>
    <cellStyle name="Porcentual 10 5 4" xfId="3408" xr:uid="{00000000-0005-0000-0000-0000D70C0000}"/>
    <cellStyle name="Porcentual 10 6" xfId="3409" xr:uid="{00000000-0005-0000-0000-0000D80C0000}"/>
    <cellStyle name="Porcentual 10 6 2" xfId="3410" xr:uid="{00000000-0005-0000-0000-0000D90C0000}"/>
    <cellStyle name="Porcentual 10 6 2 2" xfId="3411" xr:uid="{00000000-0005-0000-0000-0000DA0C0000}"/>
    <cellStyle name="Porcentual 10 6 2 2 2" xfId="3412" xr:uid="{00000000-0005-0000-0000-0000DB0C0000}"/>
    <cellStyle name="Porcentual 10 6 2 3" xfId="3413" xr:uid="{00000000-0005-0000-0000-0000DC0C0000}"/>
    <cellStyle name="Porcentual 10 6 3" xfId="3414" xr:uid="{00000000-0005-0000-0000-0000DD0C0000}"/>
    <cellStyle name="Porcentual 10 6 3 2" xfId="3415" xr:uid="{00000000-0005-0000-0000-0000DE0C0000}"/>
    <cellStyle name="Porcentual 10 6 4" xfId="3416" xr:uid="{00000000-0005-0000-0000-0000DF0C0000}"/>
    <cellStyle name="Porcentual 10 7" xfId="3417" xr:uid="{00000000-0005-0000-0000-0000E00C0000}"/>
    <cellStyle name="Porcentual 10 7 2" xfId="3418" xr:uid="{00000000-0005-0000-0000-0000E10C0000}"/>
    <cellStyle name="Porcentual 10 7 2 2" xfId="3419" xr:uid="{00000000-0005-0000-0000-0000E20C0000}"/>
    <cellStyle name="Porcentual 10 7 2 2 2" xfId="3420" xr:uid="{00000000-0005-0000-0000-0000E30C0000}"/>
    <cellStyle name="Porcentual 10 7 2 3" xfId="3421" xr:uid="{00000000-0005-0000-0000-0000E40C0000}"/>
    <cellStyle name="Porcentual 10 7 3" xfId="3422" xr:uid="{00000000-0005-0000-0000-0000E50C0000}"/>
    <cellStyle name="Porcentual 10 7 3 2" xfId="3423" xr:uid="{00000000-0005-0000-0000-0000E60C0000}"/>
    <cellStyle name="Porcentual 10 7 4" xfId="3424" xr:uid="{00000000-0005-0000-0000-0000E70C0000}"/>
    <cellStyle name="Porcentual 10 8" xfId="3425" xr:uid="{00000000-0005-0000-0000-0000E80C0000}"/>
    <cellStyle name="Porcentual 10 8 2" xfId="3426" xr:uid="{00000000-0005-0000-0000-0000E90C0000}"/>
    <cellStyle name="Porcentual 10 8 2 2" xfId="3427" xr:uid="{00000000-0005-0000-0000-0000EA0C0000}"/>
    <cellStyle name="Porcentual 10 8 3" xfId="3428" xr:uid="{00000000-0005-0000-0000-0000EB0C0000}"/>
    <cellStyle name="Porcentual 10 9" xfId="3429" xr:uid="{00000000-0005-0000-0000-0000EC0C0000}"/>
    <cellStyle name="Porcentual 10 9 2" xfId="3430" xr:uid="{00000000-0005-0000-0000-0000ED0C0000}"/>
    <cellStyle name="Porcentual 11" xfId="237" xr:uid="{00000000-0005-0000-0000-0000EE0C0000}"/>
    <cellStyle name="Porcentual 11 2" xfId="252" xr:uid="{00000000-0005-0000-0000-0000EF0C0000}"/>
    <cellStyle name="Porcentual 2" xfId="177" xr:uid="{00000000-0005-0000-0000-0000F00C0000}"/>
    <cellStyle name="Porcentual 2 2" xfId="207" xr:uid="{00000000-0005-0000-0000-0000F10C0000}"/>
    <cellStyle name="Porcentual 3" xfId="178" xr:uid="{00000000-0005-0000-0000-0000F20C0000}"/>
    <cellStyle name="Porcentual 3 2" xfId="179" xr:uid="{00000000-0005-0000-0000-0000F30C0000}"/>
    <cellStyle name="Porcentual 3 2 10" xfId="3431" xr:uid="{00000000-0005-0000-0000-0000F40C0000}"/>
    <cellStyle name="Porcentual 3 2 2" xfId="384" xr:uid="{00000000-0005-0000-0000-0000F50C0000}"/>
    <cellStyle name="Porcentual 3 2 2 2" xfId="757" xr:uid="{00000000-0005-0000-0000-0000F60C0000}"/>
    <cellStyle name="Porcentual 3 2 2 2 2" xfId="758" xr:uid="{00000000-0005-0000-0000-0000F70C0000}"/>
    <cellStyle name="Porcentual 3 2 2 3" xfId="759" xr:uid="{00000000-0005-0000-0000-0000F80C0000}"/>
    <cellStyle name="Porcentual 3 2 3" xfId="760" xr:uid="{00000000-0005-0000-0000-0000F90C0000}"/>
    <cellStyle name="Porcentual 3 2 3 2" xfId="761" xr:uid="{00000000-0005-0000-0000-0000FA0C0000}"/>
    <cellStyle name="Porcentual 3 2 3 2 2" xfId="3432" xr:uid="{00000000-0005-0000-0000-0000FB0C0000}"/>
    <cellStyle name="Porcentual 3 2 3 2 2 2" xfId="3433" xr:uid="{00000000-0005-0000-0000-0000FC0C0000}"/>
    <cellStyle name="Porcentual 3 2 3 2 3" xfId="3434" xr:uid="{00000000-0005-0000-0000-0000FD0C0000}"/>
    <cellStyle name="Porcentual 3 2 3 3" xfId="3435" xr:uid="{00000000-0005-0000-0000-0000FE0C0000}"/>
    <cellStyle name="Porcentual 3 2 3 3 2" xfId="3436" xr:uid="{00000000-0005-0000-0000-0000FF0C0000}"/>
    <cellStyle name="Porcentual 3 2 3 4" xfId="3437" xr:uid="{00000000-0005-0000-0000-0000000D0000}"/>
    <cellStyle name="Porcentual 3 2 4" xfId="762" xr:uid="{00000000-0005-0000-0000-0000010D0000}"/>
    <cellStyle name="Porcentual 3 2 4 2" xfId="763" xr:uid="{00000000-0005-0000-0000-0000020D0000}"/>
    <cellStyle name="Porcentual 3 2 4 2 2" xfId="3438" xr:uid="{00000000-0005-0000-0000-0000030D0000}"/>
    <cellStyle name="Porcentual 3 2 4 2 2 2" xfId="3439" xr:uid="{00000000-0005-0000-0000-0000040D0000}"/>
    <cellStyle name="Porcentual 3 2 4 2 3" xfId="3440" xr:uid="{00000000-0005-0000-0000-0000050D0000}"/>
    <cellStyle name="Porcentual 3 2 4 3" xfId="3441" xr:uid="{00000000-0005-0000-0000-0000060D0000}"/>
    <cellStyle name="Porcentual 3 2 4 3 2" xfId="3442" xr:uid="{00000000-0005-0000-0000-0000070D0000}"/>
    <cellStyle name="Porcentual 3 2 4 4" xfId="3443" xr:uid="{00000000-0005-0000-0000-0000080D0000}"/>
    <cellStyle name="Porcentual 3 2 5" xfId="764" xr:uid="{00000000-0005-0000-0000-0000090D0000}"/>
    <cellStyle name="Porcentual 3 2 5 2" xfId="3444" xr:uid="{00000000-0005-0000-0000-00000A0D0000}"/>
    <cellStyle name="Porcentual 3 2 5 2 2" xfId="3445" xr:uid="{00000000-0005-0000-0000-00000B0D0000}"/>
    <cellStyle name="Porcentual 3 2 5 2 2 2" xfId="3446" xr:uid="{00000000-0005-0000-0000-00000C0D0000}"/>
    <cellStyle name="Porcentual 3 2 5 2 3" xfId="3447" xr:uid="{00000000-0005-0000-0000-00000D0D0000}"/>
    <cellStyle name="Porcentual 3 2 5 3" xfId="3448" xr:uid="{00000000-0005-0000-0000-00000E0D0000}"/>
    <cellStyle name="Porcentual 3 2 5 3 2" xfId="3449" xr:uid="{00000000-0005-0000-0000-00000F0D0000}"/>
    <cellStyle name="Porcentual 3 2 5 4" xfId="3450" xr:uid="{00000000-0005-0000-0000-0000100D0000}"/>
    <cellStyle name="Porcentual 3 2 6" xfId="3451" xr:uid="{00000000-0005-0000-0000-0000110D0000}"/>
    <cellStyle name="Porcentual 3 2 6 2" xfId="3452" xr:uid="{00000000-0005-0000-0000-0000120D0000}"/>
    <cellStyle name="Porcentual 3 2 6 2 2" xfId="3453" xr:uid="{00000000-0005-0000-0000-0000130D0000}"/>
    <cellStyle name="Porcentual 3 2 6 2 2 2" xfId="3454" xr:uid="{00000000-0005-0000-0000-0000140D0000}"/>
    <cellStyle name="Porcentual 3 2 6 2 3" xfId="3455" xr:uid="{00000000-0005-0000-0000-0000150D0000}"/>
    <cellStyle name="Porcentual 3 2 6 3" xfId="3456" xr:uid="{00000000-0005-0000-0000-0000160D0000}"/>
    <cellStyle name="Porcentual 3 2 6 3 2" xfId="3457" xr:uid="{00000000-0005-0000-0000-0000170D0000}"/>
    <cellStyle name="Porcentual 3 2 6 4" xfId="3458" xr:uid="{00000000-0005-0000-0000-0000180D0000}"/>
    <cellStyle name="Porcentual 3 2 7" xfId="3459" xr:uid="{00000000-0005-0000-0000-0000190D0000}"/>
    <cellStyle name="Porcentual 3 2 7 2" xfId="3460" xr:uid="{00000000-0005-0000-0000-00001A0D0000}"/>
    <cellStyle name="Porcentual 3 2 7 2 2" xfId="3461" xr:uid="{00000000-0005-0000-0000-00001B0D0000}"/>
    <cellStyle name="Porcentual 3 2 7 2 2 2" xfId="3462" xr:uid="{00000000-0005-0000-0000-00001C0D0000}"/>
    <cellStyle name="Porcentual 3 2 7 2 3" xfId="3463" xr:uid="{00000000-0005-0000-0000-00001D0D0000}"/>
    <cellStyle name="Porcentual 3 2 7 3" xfId="3464" xr:uid="{00000000-0005-0000-0000-00001E0D0000}"/>
    <cellStyle name="Porcentual 3 2 7 3 2" xfId="3465" xr:uid="{00000000-0005-0000-0000-00001F0D0000}"/>
    <cellStyle name="Porcentual 3 2 7 4" xfId="3466" xr:uid="{00000000-0005-0000-0000-0000200D0000}"/>
    <cellStyle name="Porcentual 3 2 8" xfId="3467" xr:uid="{00000000-0005-0000-0000-0000210D0000}"/>
    <cellStyle name="Porcentual 3 2 8 2" xfId="3468" xr:uid="{00000000-0005-0000-0000-0000220D0000}"/>
    <cellStyle name="Porcentual 3 2 8 2 2" xfId="3469" xr:uid="{00000000-0005-0000-0000-0000230D0000}"/>
    <cellStyle name="Porcentual 3 2 8 3" xfId="3470" xr:uid="{00000000-0005-0000-0000-0000240D0000}"/>
    <cellStyle name="Porcentual 3 2 9" xfId="3471" xr:uid="{00000000-0005-0000-0000-0000250D0000}"/>
    <cellStyle name="Porcentual 3 2 9 2" xfId="3472" xr:uid="{00000000-0005-0000-0000-0000260D0000}"/>
    <cellStyle name="Porcentual 3 3" xfId="208" xr:uid="{00000000-0005-0000-0000-0000270D0000}"/>
    <cellStyle name="Porcentual 3 3 2" xfId="765" xr:uid="{00000000-0005-0000-0000-0000280D0000}"/>
    <cellStyle name="Porcentual 3 3 2 2" xfId="766" xr:uid="{00000000-0005-0000-0000-0000290D0000}"/>
    <cellStyle name="Porcentual 3 3 3" xfId="767" xr:uid="{00000000-0005-0000-0000-00002A0D0000}"/>
    <cellStyle name="Porcentual 3 3 4" xfId="768" xr:uid="{00000000-0005-0000-0000-00002B0D0000}"/>
    <cellStyle name="Porcentual 3 4" xfId="769" xr:uid="{00000000-0005-0000-0000-00002C0D0000}"/>
    <cellStyle name="Porcentual 3 4 2" xfId="770" xr:uid="{00000000-0005-0000-0000-00002D0D0000}"/>
    <cellStyle name="Porcentual 3 5" xfId="771" xr:uid="{00000000-0005-0000-0000-00002E0D0000}"/>
    <cellStyle name="Porcentual 3 6" xfId="772" xr:uid="{00000000-0005-0000-0000-00002F0D0000}"/>
    <cellStyle name="Porcentual 4" xfId="180" xr:uid="{00000000-0005-0000-0000-0000300D0000}"/>
    <cellStyle name="Porcentual 4 2" xfId="181" xr:uid="{00000000-0005-0000-0000-0000310D0000}"/>
    <cellStyle name="Porcentual 4 2 2" xfId="3473" xr:uid="{00000000-0005-0000-0000-0000320D0000}"/>
    <cellStyle name="Porcentual 4 2 2 2" xfId="3474" xr:uid="{00000000-0005-0000-0000-0000330D0000}"/>
    <cellStyle name="Porcentual 4 2 3" xfId="3475" xr:uid="{00000000-0005-0000-0000-0000340D0000}"/>
    <cellStyle name="Porcentual 4 3" xfId="3476" xr:uid="{00000000-0005-0000-0000-0000350D0000}"/>
    <cellStyle name="Porcentual 4 3 2" xfId="3477" xr:uid="{00000000-0005-0000-0000-0000360D0000}"/>
    <cellStyle name="Porcentual 4 4" xfId="3478" xr:uid="{00000000-0005-0000-0000-0000370D0000}"/>
    <cellStyle name="Porcentual 5" xfId="182" xr:uid="{00000000-0005-0000-0000-0000380D0000}"/>
    <cellStyle name="Porcentual 5 10" xfId="3479" xr:uid="{00000000-0005-0000-0000-0000390D0000}"/>
    <cellStyle name="Porcentual 5 2" xfId="385" xr:uid="{00000000-0005-0000-0000-00003A0D0000}"/>
    <cellStyle name="Porcentual 5 2 2" xfId="773" xr:uid="{00000000-0005-0000-0000-00003B0D0000}"/>
    <cellStyle name="Porcentual 5 2 2 2" xfId="774" xr:uid="{00000000-0005-0000-0000-00003C0D0000}"/>
    <cellStyle name="Porcentual 5 2 3" xfId="775" xr:uid="{00000000-0005-0000-0000-00003D0D0000}"/>
    <cellStyle name="Porcentual 5 3" xfId="776" xr:uid="{00000000-0005-0000-0000-00003E0D0000}"/>
    <cellStyle name="Porcentual 5 3 2" xfId="777" xr:uid="{00000000-0005-0000-0000-00003F0D0000}"/>
    <cellStyle name="Porcentual 5 3 2 2" xfId="3480" xr:uid="{00000000-0005-0000-0000-0000400D0000}"/>
    <cellStyle name="Porcentual 5 3 2 2 2" xfId="3481" xr:uid="{00000000-0005-0000-0000-0000410D0000}"/>
    <cellStyle name="Porcentual 5 3 2 3" xfId="3482" xr:uid="{00000000-0005-0000-0000-0000420D0000}"/>
    <cellStyle name="Porcentual 5 3 3" xfId="3483" xr:uid="{00000000-0005-0000-0000-0000430D0000}"/>
    <cellStyle name="Porcentual 5 3 3 2" xfId="3484" xr:uid="{00000000-0005-0000-0000-0000440D0000}"/>
    <cellStyle name="Porcentual 5 3 4" xfId="3485" xr:uid="{00000000-0005-0000-0000-0000450D0000}"/>
    <cellStyle name="Porcentual 5 4" xfId="778" xr:uid="{00000000-0005-0000-0000-0000460D0000}"/>
    <cellStyle name="Porcentual 5 4 2" xfId="779" xr:uid="{00000000-0005-0000-0000-0000470D0000}"/>
    <cellStyle name="Porcentual 5 4 2 2" xfId="3486" xr:uid="{00000000-0005-0000-0000-0000480D0000}"/>
    <cellStyle name="Porcentual 5 4 2 2 2" xfId="3487" xr:uid="{00000000-0005-0000-0000-0000490D0000}"/>
    <cellStyle name="Porcentual 5 4 2 3" xfId="3488" xr:uid="{00000000-0005-0000-0000-00004A0D0000}"/>
    <cellStyle name="Porcentual 5 4 3" xfId="3489" xr:uid="{00000000-0005-0000-0000-00004B0D0000}"/>
    <cellStyle name="Porcentual 5 4 3 2" xfId="3490" xr:uid="{00000000-0005-0000-0000-00004C0D0000}"/>
    <cellStyle name="Porcentual 5 4 4" xfId="3491" xr:uid="{00000000-0005-0000-0000-00004D0D0000}"/>
    <cellStyle name="Porcentual 5 5" xfId="780" xr:uid="{00000000-0005-0000-0000-00004E0D0000}"/>
    <cellStyle name="Porcentual 5 5 2" xfId="3492" xr:uid="{00000000-0005-0000-0000-00004F0D0000}"/>
    <cellStyle name="Porcentual 5 5 2 2" xfId="3493" xr:uid="{00000000-0005-0000-0000-0000500D0000}"/>
    <cellStyle name="Porcentual 5 5 2 2 2" xfId="3494" xr:uid="{00000000-0005-0000-0000-0000510D0000}"/>
    <cellStyle name="Porcentual 5 5 2 3" xfId="3495" xr:uid="{00000000-0005-0000-0000-0000520D0000}"/>
    <cellStyle name="Porcentual 5 5 3" xfId="3496" xr:uid="{00000000-0005-0000-0000-0000530D0000}"/>
    <cellStyle name="Porcentual 5 5 3 2" xfId="3497" xr:uid="{00000000-0005-0000-0000-0000540D0000}"/>
    <cellStyle name="Porcentual 5 5 4" xfId="3498" xr:uid="{00000000-0005-0000-0000-0000550D0000}"/>
    <cellStyle name="Porcentual 5 6" xfId="3499" xr:uid="{00000000-0005-0000-0000-0000560D0000}"/>
    <cellStyle name="Porcentual 5 6 2" xfId="3500" xr:uid="{00000000-0005-0000-0000-0000570D0000}"/>
    <cellStyle name="Porcentual 5 6 2 2" xfId="3501" xr:uid="{00000000-0005-0000-0000-0000580D0000}"/>
    <cellStyle name="Porcentual 5 6 2 2 2" xfId="3502" xr:uid="{00000000-0005-0000-0000-0000590D0000}"/>
    <cellStyle name="Porcentual 5 6 2 3" xfId="3503" xr:uid="{00000000-0005-0000-0000-00005A0D0000}"/>
    <cellStyle name="Porcentual 5 6 3" xfId="3504" xr:uid="{00000000-0005-0000-0000-00005B0D0000}"/>
    <cellStyle name="Porcentual 5 6 3 2" xfId="3505" xr:uid="{00000000-0005-0000-0000-00005C0D0000}"/>
    <cellStyle name="Porcentual 5 6 4" xfId="3506" xr:uid="{00000000-0005-0000-0000-00005D0D0000}"/>
    <cellStyle name="Porcentual 5 7" xfId="3507" xr:uid="{00000000-0005-0000-0000-00005E0D0000}"/>
    <cellStyle name="Porcentual 5 7 2" xfId="3508" xr:uid="{00000000-0005-0000-0000-00005F0D0000}"/>
    <cellStyle name="Porcentual 5 7 2 2" xfId="3509" xr:uid="{00000000-0005-0000-0000-0000600D0000}"/>
    <cellStyle name="Porcentual 5 7 2 2 2" xfId="3510" xr:uid="{00000000-0005-0000-0000-0000610D0000}"/>
    <cellStyle name="Porcentual 5 7 2 3" xfId="3511" xr:uid="{00000000-0005-0000-0000-0000620D0000}"/>
    <cellStyle name="Porcentual 5 7 3" xfId="3512" xr:uid="{00000000-0005-0000-0000-0000630D0000}"/>
    <cellStyle name="Porcentual 5 7 3 2" xfId="3513" xr:uid="{00000000-0005-0000-0000-0000640D0000}"/>
    <cellStyle name="Porcentual 5 7 4" xfId="3514" xr:uid="{00000000-0005-0000-0000-0000650D0000}"/>
    <cellStyle name="Porcentual 5 8" xfId="3515" xr:uid="{00000000-0005-0000-0000-0000660D0000}"/>
    <cellStyle name="Porcentual 5 8 2" xfId="3516" xr:uid="{00000000-0005-0000-0000-0000670D0000}"/>
    <cellStyle name="Porcentual 5 8 2 2" xfId="3517" xr:uid="{00000000-0005-0000-0000-0000680D0000}"/>
    <cellStyle name="Porcentual 5 8 3" xfId="3518" xr:uid="{00000000-0005-0000-0000-0000690D0000}"/>
    <cellStyle name="Porcentual 5 9" xfId="3519" xr:uid="{00000000-0005-0000-0000-00006A0D0000}"/>
    <cellStyle name="Porcentual 5 9 2" xfId="3520" xr:uid="{00000000-0005-0000-0000-00006B0D0000}"/>
    <cellStyle name="Porcentual 6" xfId="183" xr:uid="{00000000-0005-0000-0000-00006C0D0000}"/>
    <cellStyle name="Porcentual 6 2" xfId="781" xr:uid="{00000000-0005-0000-0000-00006D0D0000}"/>
    <cellStyle name="Porcentual 7" xfId="184" xr:uid="{00000000-0005-0000-0000-00006E0D0000}"/>
    <cellStyle name="Porcentual 7 2" xfId="782" xr:uid="{00000000-0005-0000-0000-00006F0D0000}"/>
    <cellStyle name="Porcentual 7 2 2" xfId="783" xr:uid="{00000000-0005-0000-0000-0000700D0000}"/>
    <cellStyle name="Porcentual 7 3" xfId="784" xr:uid="{00000000-0005-0000-0000-0000710D0000}"/>
    <cellStyle name="Porcentual 7 4" xfId="785" xr:uid="{00000000-0005-0000-0000-0000720D0000}"/>
    <cellStyle name="Porcentual 8" xfId="185" xr:uid="{00000000-0005-0000-0000-0000730D0000}"/>
    <cellStyle name="Porcentual 8 2" xfId="223" xr:uid="{00000000-0005-0000-0000-0000740D0000}"/>
    <cellStyle name="Porcentual 9" xfId="210" xr:uid="{00000000-0005-0000-0000-0000750D0000}"/>
    <cellStyle name="Porcentual 9 2" xfId="228" xr:uid="{00000000-0005-0000-0000-0000760D0000}"/>
    <cellStyle name="Salida 2" xfId="186" xr:uid="{00000000-0005-0000-0000-0000770D0000}"/>
    <cellStyle name="Salida 2 2" xfId="232" xr:uid="{00000000-0005-0000-0000-0000780D0000}"/>
    <cellStyle name="Salida 2 2 2" xfId="254" xr:uid="{00000000-0005-0000-0000-0000790D0000}"/>
    <cellStyle name="Salida 2 2 2 10" xfId="3521" xr:uid="{00000000-0005-0000-0000-00007A0D0000}"/>
    <cellStyle name="Salida 2 2 2 11" xfId="3522" xr:uid="{00000000-0005-0000-0000-00007B0D0000}"/>
    <cellStyle name="Salida 2 2 2 2" xfId="279" xr:uid="{00000000-0005-0000-0000-00007C0D0000}"/>
    <cellStyle name="Salida 2 2 2 2 2" xfId="3523" xr:uid="{00000000-0005-0000-0000-00007D0D0000}"/>
    <cellStyle name="Salida 2 2 2 2 3" xfId="3524" xr:uid="{00000000-0005-0000-0000-00007E0D0000}"/>
    <cellStyle name="Salida 2 2 2 2 4" xfId="3525" xr:uid="{00000000-0005-0000-0000-00007F0D0000}"/>
    <cellStyle name="Salida 2 2 2 2 5" xfId="3526" xr:uid="{00000000-0005-0000-0000-0000800D0000}"/>
    <cellStyle name="Salida 2 2 2 3" xfId="297" xr:uid="{00000000-0005-0000-0000-0000810D0000}"/>
    <cellStyle name="Salida 2 2 2 3 2" xfId="3527" xr:uid="{00000000-0005-0000-0000-0000820D0000}"/>
    <cellStyle name="Salida 2 2 2 3 3" xfId="3528" xr:uid="{00000000-0005-0000-0000-0000830D0000}"/>
    <cellStyle name="Salida 2 2 2 3 4" xfId="3529" xr:uid="{00000000-0005-0000-0000-0000840D0000}"/>
    <cellStyle name="Salida 2 2 2 3 5" xfId="3530" xr:uid="{00000000-0005-0000-0000-0000850D0000}"/>
    <cellStyle name="Salida 2 2 2 4" xfId="329" xr:uid="{00000000-0005-0000-0000-0000860D0000}"/>
    <cellStyle name="Salida 2 2 2 4 2" xfId="3531" xr:uid="{00000000-0005-0000-0000-0000870D0000}"/>
    <cellStyle name="Salida 2 2 2 4 3" xfId="3532" xr:uid="{00000000-0005-0000-0000-0000880D0000}"/>
    <cellStyle name="Salida 2 2 2 4 4" xfId="3533" xr:uid="{00000000-0005-0000-0000-0000890D0000}"/>
    <cellStyle name="Salida 2 2 2 4 5" xfId="3534" xr:uid="{00000000-0005-0000-0000-00008A0D0000}"/>
    <cellStyle name="Salida 2 2 2 5" xfId="341" xr:uid="{00000000-0005-0000-0000-00008B0D0000}"/>
    <cellStyle name="Salida 2 2 2 5 2" xfId="3535" xr:uid="{00000000-0005-0000-0000-00008C0D0000}"/>
    <cellStyle name="Salida 2 2 2 5 3" xfId="3536" xr:uid="{00000000-0005-0000-0000-00008D0D0000}"/>
    <cellStyle name="Salida 2 2 2 5 4" xfId="3537" xr:uid="{00000000-0005-0000-0000-00008E0D0000}"/>
    <cellStyle name="Salida 2 2 2 5 5" xfId="3538" xr:uid="{00000000-0005-0000-0000-00008F0D0000}"/>
    <cellStyle name="Salida 2 2 2 6" xfId="357" xr:uid="{00000000-0005-0000-0000-0000900D0000}"/>
    <cellStyle name="Salida 2 2 2 6 2" xfId="3539" xr:uid="{00000000-0005-0000-0000-0000910D0000}"/>
    <cellStyle name="Salida 2 2 2 6 3" xfId="3540" xr:uid="{00000000-0005-0000-0000-0000920D0000}"/>
    <cellStyle name="Salida 2 2 2 6 4" xfId="3541" xr:uid="{00000000-0005-0000-0000-0000930D0000}"/>
    <cellStyle name="Salida 2 2 2 6 5" xfId="3542" xr:uid="{00000000-0005-0000-0000-0000940D0000}"/>
    <cellStyle name="Salida 2 2 2 7" xfId="373" xr:uid="{00000000-0005-0000-0000-0000950D0000}"/>
    <cellStyle name="Salida 2 2 2 7 2" xfId="3543" xr:uid="{00000000-0005-0000-0000-0000960D0000}"/>
    <cellStyle name="Salida 2 2 2 7 3" xfId="3544" xr:uid="{00000000-0005-0000-0000-0000970D0000}"/>
    <cellStyle name="Salida 2 2 2 7 4" xfId="3545" xr:uid="{00000000-0005-0000-0000-0000980D0000}"/>
    <cellStyle name="Salida 2 2 2 7 5" xfId="3546" xr:uid="{00000000-0005-0000-0000-0000990D0000}"/>
    <cellStyle name="Salida 2 2 2 8" xfId="3547" xr:uid="{00000000-0005-0000-0000-00009A0D0000}"/>
    <cellStyle name="Salida 2 2 2 9" xfId="3548" xr:uid="{00000000-0005-0000-0000-00009B0D0000}"/>
    <cellStyle name="Salida 2 2 3" xfId="311" xr:uid="{00000000-0005-0000-0000-00009C0D0000}"/>
    <cellStyle name="Salida 2 2 3 2" xfId="3549" xr:uid="{00000000-0005-0000-0000-00009D0D0000}"/>
    <cellStyle name="Salida 2 2 3 3" xfId="3550" xr:uid="{00000000-0005-0000-0000-00009E0D0000}"/>
    <cellStyle name="Salida 2 2 3 4" xfId="3551" xr:uid="{00000000-0005-0000-0000-00009F0D0000}"/>
    <cellStyle name="Salida 2 2 3 5" xfId="3552" xr:uid="{00000000-0005-0000-0000-0000A00D0000}"/>
    <cellStyle name="Salida 2 2 4" xfId="408" xr:uid="{00000000-0005-0000-0000-0000A10D0000}"/>
    <cellStyle name="Salida 2 2 4 2" xfId="3553" xr:uid="{00000000-0005-0000-0000-0000A20D0000}"/>
    <cellStyle name="Salida 2 2 4 3" xfId="3554" xr:uid="{00000000-0005-0000-0000-0000A30D0000}"/>
    <cellStyle name="Salida 2 2 4 4" xfId="3555" xr:uid="{00000000-0005-0000-0000-0000A40D0000}"/>
    <cellStyle name="Salida 2 2 4 5" xfId="3556" xr:uid="{00000000-0005-0000-0000-0000A50D0000}"/>
    <cellStyle name="Salida 2 2 5" xfId="412" xr:uid="{00000000-0005-0000-0000-0000A60D0000}"/>
    <cellStyle name="Salida 2 2 5 2" xfId="3557" xr:uid="{00000000-0005-0000-0000-0000A70D0000}"/>
    <cellStyle name="Salida 2 2 5 3" xfId="3558" xr:uid="{00000000-0005-0000-0000-0000A80D0000}"/>
    <cellStyle name="Salida 2 2 5 4" xfId="3559" xr:uid="{00000000-0005-0000-0000-0000A90D0000}"/>
    <cellStyle name="Salida 2 2 5 5" xfId="3560" xr:uid="{00000000-0005-0000-0000-0000AA0D0000}"/>
    <cellStyle name="Salida 2 2 6" xfId="424" xr:uid="{00000000-0005-0000-0000-0000AB0D0000}"/>
    <cellStyle name="Salida 2 2 6 2" xfId="3561" xr:uid="{00000000-0005-0000-0000-0000AC0D0000}"/>
    <cellStyle name="Salida 2 2 6 3" xfId="3562" xr:uid="{00000000-0005-0000-0000-0000AD0D0000}"/>
    <cellStyle name="Salida 2 2 6 4" xfId="3563" xr:uid="{00000000-0005-0000-0000-0000AE0D0000}"/>
    <cellStyle name="Salida 2 2 6 5" xfId="3564" xr:uid="{00000000-0005-0000-0000-0000AF0D0000}"/>
    <cellStyle name="Salida 2 3" xfId="224" xr:uid="{00000000-0005-0000-0000-0000B00D0000}"/>
    <cellStyle name="Salida 2 3 2" xfId="255" xr:uid="{00000000-0005-0000-0000-0000B10D0000}"/>
    <cellStyle name="Salida 2 3 2 10" xfId="3565" xr:uid="{00000000-0005-0000-0000-0000B20D0000}"/>
    <cellStyle name="Salida 2 3 2 11" xfId="3566" xr:uid="{00000000-0005-0000-0000-0000B30D0000}"/>
    <cellStyle name="Salida 2 3 2 2" xfId="280" xr:uid="{00000000-0005-0000-0000-0000B40D0000}"/>
    <cellStyle name="Salida 2 3 2 2 2" xfId="3567" xr:uid="{00000000-0005-0000-0000-0000B50D0000}"/>
    <cellStyle name="Salida 2 3 2 2 3" xfId="3568" xr:uid="{00000000-0005-0000-0000-0000B60D0000}"/>
    <cellStyle name="Salida 2 3 2 2 4" xfId="3569" xr:uid="{00000000-0005-0000-0000-0000B70D0000}"/>
    <cellStyle name="Salida 2 3 2 2 5" xfId="3570" xr:uid="{00000000-0005-0000-0000-0000B80D0000}"/>
    <cellStyle name="Salida 2 3 2 3" xfId="298" xr:uid="{00000000-0005-0000-0000-0000B90D0000}"/>
    <cellStyle name="Salida 2 3 2 3 2" xfId="3571" xr:uid="{00000000-0005-0000-0000-0000BA0D0000}"/>
    <cellStyle name="Salida 2 3 2 3 3" xfId="3572" xr:uid="{00000000-0005-0000-0000-0000BB0D0000}"/>
    <cellStyle name="Salida 2 3 2 3 4" xfId="3573" xr:uid="{00000000-0005-0000-0000-0000BC0D0000}"/>
    <cellStyle name="Salida 2 3 2 3 5" xfId="3574" xr:uid="{00000000-0005-0000-0000-0000BD0D0000}"/>
    <cellStyle name="Salida 2 3 2 4" xfId="330" xr:uid="{00000000-0005-0000-0000-0000BE0D0000}"/>
    <cellStyle name="Salida 2 3 2 4 2" xfId="3575" xr:uid="{00000000-0005-0000-0000-0000BF0D0000}"/>
    <cellStyle name="Salida 2 3 2 4 3" xfId="3576" xr:uid="{00000000-0005-0000-0000-0000C00D0000}"/>
    <cellStyle name="Salida 2 3 2 4 4" xfId="3577" xr:uid="{00000000-0005-0000-0000-0000C10D0000}"/>
    <cellStyle name="Salida 2 3 2 4 5" xfId="3578" xr:uid="{00000000-0005-0000-0000-0000C20D0000}"/>
    <cellStyle name="Salida 2 3 2 5" xfId="342" xr:uid="{00000000-0005-0000-0000-0000C30D0000}"/>
    <cellStyle name="Salida 2 3 2 5 2" xfId="3579" xr:uid="{00000000-0005-0000-0000-0000C40D0000}"/>
    <cellStyle name="Salida 2 3 2 5 3" xfId="3580" xr:uid="{00000000-0005-0000-0000-0000C50D0000}"/>
    <cellStyle name="Salida 2 3 2 5 4" xfId="3581" xr:uid="{00000000-0005-0000-0000-0000C60D0000}"/>
    <cellStyle name="Salida 2 3 2 5 5" xfId="3582" xr:uid="{00000000-0005-0000-0000-0000C70D0000}"/>
    <cellStyle name="Salida 2 3 2 6" xfId="358" xr:uid="{00000000-0005-0000-0000-0000C80D0000}"/>
    <cellStyle name="Salida 2 3 2 6 2" xfId="3583" xr:uid="{00000000-0005-0000-0000-0000C90D0000}"/>
    <cellStyle name="Salida 2 3 2 6 3" xfId="3584" xr:uid="{00000000-0005-0000-0000-0000CA0D0000}"/>
    <cellStyle name="Salida 2 3 2 6 4" xfId="3585" xr:uid="{00000000-0005-0000-0000-0000CB0D0000}"/>
    <cellStyle name="Salida 2 3 2 6 5" xfId="3586" xr:uid="{00000000-0005-0000-0000-0000CC0D0000}"/>
    <cellStyle name="Salida 2 3 2 7" xfId="374" xr:uid="{00000000-0005-0000-0000-0000CD0D0000}"/>
    <cellStyle name="Salida 2 3 2 7 2" xfId="3587" xr:uid="{00000000-0005-0000-0000-0000CE0D0000}"/>
    <cellStyle name="Salida 2 3 2 7 3" xfId="3588" xr:uid="{00000000-0005-0000-0000-0000CF0D0000}"/>
    <cellStyle name="Salida 2 3 2 7 4" xfId="3589" xr:uid="{00000000-0005-0000-0000-0000D00D0000}"/>
    <cellStyle name="Salida 2 3 2 7 5" xfId="3590" xr:uid="{00000000-0005-0000-0000-0000D10D0000}"/>
    <cellStyle name="Salida 2 3 2 8" xfId="3591" xr:uid="{00000000-0005-0000-0000-0000D20D0000}"/>
    <cellStyle name="Salida 2 3 2 9" xfId="3592" xr:uid="{00000000-0005-0000-0000-0000D30D0000}"/>
    <cellStyle name="Salida 2 3 3" xfId="314" xr:uid="{00000000-0005-0000-0000-0000D40D0000}"/>
    <cellStyle name="Salida 2 3 3 2" xfId="3593" xr:uid="{00000000-0005-0000-0000-0000D50D0000}"/>
    <cellStyle name="Salida 2 3 3 3" xfId="3594" xr:uid="{00000000-0005-0000-0000-0000D60D0000}"/>
    <cellStyle name="Salida 2 3 3 4" xfId="3595" xr:uid="{00000000-0005-0000-0000-0000D70D0000}"/>
    <cellStyle name="Salida 2 3 3 5" xfId="3596" xr:uid="{00000000-0005-0000-0000-0000D80D0000}"/>
    <cellStyle name="Salida 2 3 4" xfId="409" xr:uid="{00000000-0005-0000-0000-0000D90D0000}"/>
    <cellStyle name="Salida 2 3 4 2" xfId="3597" xr:uid="{00000000-0005-0000-0000-0000DA0D0000}"/>
    <cellStyle name="Salida 2 3 4 3" xfId="3598" xr:uid="{00000000-0005-0000-0000-0000DB0D0000}"/>
    <cellStyle name="Salida 2 3 4 4" xfId="3599" xr:uid="{00000000-0005-0000-0000-0000DC0D0000}"/>
    <cellStyle name="Salida 2 3 4 5" xfId="3600" xr:uid="{00000000-0005-0000-0000-0000DD0D0000}"/>
    <cellStyle name="Salida 2 3 5" xfId="413" xr:uid="{00000000-0005-0000-0000-0000DE0D0000}"/>
    <cellStyle name="Salida 2 3 5 2" xfId="3601" xr:uid="{00000000-0005-0000-0000-0000DF0D0000}"/>
    <cellStyle name="Salida 2 3 5 3" xfId="3602" xr:uid="{00000000-0005-0000-0000-0000E00D0000}"/>
    <cellStyle name="Salida 2 3 5 4" xfId="3603" xr:uid="{00000000-0005-0000-0000-0000E10D0000}"/>
    <cellStyle name="Salida 2 3 5 5" xfId="3604" xr:uid="{00000000-0005-0000-0000-0000E20D0000}"/>
    <cellStyle name="Salida 2 3 6" xfId="425" xr:uid="{00000000-0005-0000-0000-0000E30D0000}"/>
    <cellStyle name="Salida 2 3 6 2" xfId="3605" xr:uid="{00000000-0005-0000-0000-0000E40D0000}"/>
    <cellStyle name="Salida 2 3 6 3" xfId="3606" xr:uid="{00000000-0005-0000-0000-0000E50D0000}"/>
    <cellStyle name="Salida 2 3 6 4" xfId="3607" xr:uid="{00000000-0005-0000-0000-0000E60D0000}"/>
    <cellStyle name="Salida 2 3 6 5" xfId="3608" xr:uid="{00000000-0005-0000-0000-0000E70D0000}"/>
    <cellStyle name="Salida 2 4" xfId="253" xr:uid="{00000000-0005-0000-0000-0000E80D0000}"/>
    <cellStyle name="Salida 2 4 2" xfId="265" xr:uid="{00000000-0005-0000-0000-0000E90D0000}"/>
    <cellStyle name="Salida 2 4 2 2" xfId="3609" xr:uid="{00000000-0005-0000-0000-0000EA0D0000}"/>
    <cellStyle name="Salida 2 4 2 3" xfId="3610" xr:uid="{00000000-0005-0000-0000-0000EB0D0000}"/>
    <cellStyle name="Salida 2 4 2 4" xfId="3611" xr:uid="{00000000-0005-0000-0000-0000EC0D0000}"/>
    <cellStyle name="Salida 2 4 2 5" xfId="3612" xr:uid="{00000000-0005-0000-0000-0000ED0D0000}"/>
    <cellStyle name="Salida 2 4 3" xfId="288" xr:uid="{00000000-0005-0000-0000-0000EE0D0000}"/>
    <cellStyle name="Salida 2 4 3 2" xfId="3613" xr:uid="{00000000-0005-0000-0000-0000EF0D0000}"/>
    <cellStyle name="Salida 2 4 3 3" xfId="3614" xr:uid="{00000000-0005-0000-0000-0000F00D0000}"/>
    <cellStyle name="Salida 2 4 3 4" xfId="3615" xr:uid="{00000000-0005-0000-0000-0000F10D0000}"/>
    <cellStyle name="Salida 2 4 3 5" xfId="3616" xr:uid="{00000000-0005-0000-0000-0000F20D0000}"/>
    <cellStyle name="Salida 2 4 4" xfId="320" xr:uid="{00000000-0005-0000-0000-0000F30D0000}"/>
    <cellStyle name="Salida 2 4 4 2" xfId="3617" xr:uid="{00000000-0005-0000-0000-0000F40D0000}"/>
    <cellStyle name="Salida 2 4 4 3" xfId="3618" xr:uid="{00000000-0005-0000-0000-0000F50D0000}"/>
    <cellStyle name="Salida 2 4 4 4" xfId="3619" xr:uid="{00000000-0005-0000-0000-0000F60D0000}"/>
    <cellStyle name="Salida 2 4 4 5" xfId="3620" xr:uid="{00000000-0005-0000-0000-0000F70D0000}"/>
    <cellStyle name="Salida 2 4 5" xfId="303" xr:uid="{00000000-0005-0000-0000-0000F80D0000}"/>
    <cellStyle name="Salida 2 4 5 2" xfId="3621" xr:uid="{00000000-0005-0000-0000-0000F90D0000}"/>
    <cellStyle name="Salida 2 4 5 3" xfId="3622" xr:uid="{00000000-0005-0000-0000-0000FA0D0000}"/>
    <cellStyle name="Salida 2 4 5 4" xfId="3623" xr:uid="{00000000-0005-0000-0000-0000FB0D0000}"/>
    <cellStyle name="Salida 2 4 5 5" xfId="3624" xr:uid="{00000000-0005-0000-0000-0000FC0D0000}"/>
    <cellStyle name="Salida 2 4 6" xfId="348" xr:uid="{00000000-0005-0000-0000-0000FD0D0000}"/>
    <cellStyle name="Salida 2 4 6 2" xfId="3625" xr:uid="{00000000-0005-0000-0000-0000FE0D0000}"/>
    <cellStyle name="Salida 2 4 6 3" xfId="3626" xr:uid="{00000000-0005-0000-0000-0000FF0D0000}"/>
    <cellStyle name="Salida 2 4 6 4" xfId="3627" xr:uid="{00000000-0005-0000-0000-0000000E0000}"/>
    <cellStyle name="Salida 2 4 6 5" xfId="3628" xr:uid="{00000000-0005-0000-0000-0000010E0000}"/>
    <cellStyle name="Salida 2 4 7" xfId="364" xr:uid="{00000000-0005-0000-0000-0000020E0000}"/>
    <cellStyle name="Salida 2 4 7 2" xfId="3629" xr:uid="{00000000-0005-0000-0000-0000030E0000}"/>
    <cellStyle name="Salida 2 4 7 3" xfId="3630" xr:uid="{00000000-0005-0000-0000-0000040E0000}"/>
    <cellStyle name="Salida 2 4 7 4" xfId="3631" xr:uid="{00000000-0005-0000-0000-0000050E0000}"/>
    <cellStyle name="Salida 2 4 7 5" xfId="3632" xr:uid="{00000000-0005-0000-0000-0000060E0000}"/>
    <cellStyle name="Salida 2 4 8" xfId="3633" xr:uid="{00000000-0005-0000-0000-0000070E0000}"/>
    <cellStyle name="Salida 2 5" xfId="304" xr:uid="{00000000-0005-0000-0000-0000080E0000}"/>
    <cellStyle name="Salida 2 5 2" xfId="3634" xr:uid="{00000000-0005-0000-0000-0000090E0000}"/>
    <cellStyle name="Salida 2 5 3" xfId="3635" xr:uid="{00000000-0005-0000-0000-00000A0E0000}"/>
    <cellStyle name="Salida 2 5 4" xfId="3636" xr:uid="{00000000-0005-0000-0000-00000B0E0000}"/>
    <cellStyle name="Salida 2 5 5" xfId="3637" xr:uid="{00000000-0005-0000-0000-00000C0E0000}"/>
    <cellStyle name="Salida 2 6" xfId="391" xr:uid="{00000000-0005-0000-0000-00000D0E0000}"/>
    <cellStyle name="Salida 2 6 2" xfId="3638" xr:uid="{00000000-0005-0000-0000-00000E0E0000}"/>
    <cellStyle name="Salida 2 6 3" xfId="3639" xr:uid="{00000000-0005-0000-0000-00000F0E0000}"/>
    <cellStyle name="Salida 2 6 4" xfId="3640" xr:uid="{00000000-0005-0000-0000-0000100E0000}"/>
    <cellStyle name="Salida 2 6 5" xfId="3641" xr:uid="{00000000-0005-0000-0000-0000110E0000}"/>
    <cellStyle name="Salida 2 7" xfId="403" xr:uid="{00000000-0005-0000-0000-0000120E0000}"/>
    <cellStyle name="Salida 2 7 2" xfId="3642" xr:uid="{00000000-0005-0000-0000-0000130E0000}"/>
    <cellStyle name="Salida 2 7 3" xfId="3643" xr:uid="{00000000-0005-0000-0000-0000140E0000}"/>
    <cellStyle name="Salida 2 7 4" xfId="3644" xr:uid="{00000000-0005-0000-0000-0000150E0000}"/>
    <cellStyle name="Salida 2 7 5" xfId="3645" xr:uid="{00000000-0005-0000-0000-0000160E0000}"/>
    <cellStyle name="Salida 2 8" xfId="390" xr:uid="{00000000-0005-0000-0000-0000170E0000}"/>
    <cellStyle name="Salida 2 8 2" xfId="3646" xr:uid="{00000000-0005-0000-0000-0000180E0000}"/>
    <cellStyle name="Salida 2 8 3" xfId="3647" xr:uid="{00000000-0005-0000-0000-0000190E0000}"/>
    <cellStyle name="Salida 2 8 4" xfId="3648" xr:uid="{00000000-0005-0000-0000-00001A0E0000}"/>
    <cellStyle name="Salida 2 8 5" xfId="3649" xr:uid="{00000000-0005-0000-0000-00001B0E0000}"/>
    <cellStyle name="Salida 3" xfId="786" xr:uid="{00000000-0005-0000-0000-00001C0E0000}"/>
    <cellStyle name="Salida 3 2" xfId="787" xr:uid="{00000000-0005-0000-0000-00001D0E0000}"/>
    <cellStyle name="TableStyleLight1" xfId="450" xr:uid="{00000000-0005-0000-0000-00001E0E0000}"/>
    <cellStyle name="Texto de advertencia 2" xfId="187" xr:uid="{00000000-0005-0000-0000-00001F0E0000}"/>
    <cellStyle name="Texto de advertencia 3" xfId="788" xr:uid="{00000000-0005-0000-0000-0000200E0000}"/>
    <cellStyle name="Texto explicativo 2" xfId="188" xr:uid="{00000000-0005-0000-0000-0000210E0000}"/>
    <cellStyle name="Texto explicativo 3" xfId="789" xr:uid="{00000000-0005-0000-0000-0000220E0000}"/>
    <cellStyle name="Título 1 2" xfId="189" xr:uid="{00000000-0005-0000-0000-0000230E0000}"/>
    <cellStyle name="Título 1 3" xfId="790" xr:uid="{00000000-0005-0000-0000-0000240E0000}"/>
    <cellStyle name="Título 2 2" xfId="190" xr:uid="{00000000-0005-0000-0000-0000250E0000}"/>
    <cellStyle name="Título 2 3" xfId="791" xr:uid="{00000000-0005-0000-0000-0000260E0000}"/>
    <cellStyle name="Título 3 2" xfId="191" xr:uid="{00000000-0005-0000-0000-0000270E0000}"/>
    <cellStyle name="Título 3 3" xfId="792" xr:uid="{00000000-0005-0000-0000-0000280E0000}"/>
    <cellStyle name="Título 4" xfId="192" xr:uid="{00000000-0005-0000-0000-0000290E0000}"/>
    <cellStyle name="Título 5" xfId="793" xr:uid="{00000000-0005-0000-0000-00002A0E0000}"/>
    <cellStyle name="Total 2" xfId="193" xr:uid="{00000000-0005-0000-0000-00002B0E0000}"/>
    <cellStyle name="Total 2 2" xfId="233" xr:uid="{00000000-0005-0000-0000-00002C0E0000}"/>
    <cellStyle name="Total 2 2 2" xfId="257" xr:uid="{00000000-0005-0000-0000-00002D0E0000}"/>
    <cellStyle name="Total 2 2 2 10" xfId="3650" xr:uid="{00000000-0005-0000-0000-00002E0E0000}"/>
    <cellStyle name="Total 2 2 2 11" xfId="3651" xr:uid="{00000000-0005-0000-0000-00002F0E0000}"/>
    <cellStyle name="Total 2 2 2 2" xfId="281" xr:uid="{00000000-0005-0000-0000-0000300E0000}"/>
    <cellStyle name="Total 2 2 2 2 2" xfId="3652" xr:uid="{00000000-0005-0000-0000-0000310E0000}"/>
    <cellStyle name="Total 2 2 2 2 3" xfId="3653" xr:uid="{00000000-0005-0000-0000-0000320E0000}"/>
    <cellStyle name="Total 2 2 2 2 4" xfId="3654" xr:uid="{00000000-0005-0000-0000-0000330E0000}"/>
    <cellStyle name="Total 2 2 2 2 5" xfId="3655" xr:uid="{00000000-0005-0000-0000-0000340E0000}"/>
    <cellStyle name="Total 2 2 2 3" xfId="299" xr:uid="{00000000-0005-0000-0000-0000350E0000}"/>
    <cellStyle name="Total 2 2 2 3 2" xfId="3656" xr:uid="{00000000-0005-0000-0000-0000360E0000}"/>
    <cellStyle name="Total 2 2 2 3 3" xfId="3657" xr:uid="{00000000-0005-0000-0000-0000370E0000}"/>
    <cellStyle name="Total 2 2 2 3 4" xfId="3658" xr:uid="{00000000-0005-0000-0000-0000380E0000}"/>
    <cellStyle name="Total 2 2 2 3 5" xfId="3659" xr:uid="{00000000-0005-0000-0000-0000390E0000}"/>
    <cellStyle name="Total 2 2 2 4" xfId="331" xr:uid="{00000000-0005-0000-0000-00003A0E0000}"/>
    <cellStyle name="Total 2 2 2 4 2" xfId="3660" xr:uid="{00000000-0005-0000-0000-00003B0E0000}"/>
    <cellStyle name="Total 2 2 2 4 3" xfId="3661" xr:uid="{00000000-0005-0000-0000-00003C0E0000}"/>
    <cellStyle name="Total 2 2 2 4 4" xfId="3662" xr:uid="{00000000-0005-0000-0000-00003D0E0000}"/>
    <cellStyle name="Total 2 2 2 4 5" xfId="3663" xr:uid="{00000000-0005-0000-0000-00003E0E0000}"/>
    <cellStyle name="Total 2 2 2 5" xfId="343" xr:uid="{00000000-0005-0000-0000-00003F0E0000}"/>
    <cellStyle name="Total 2 2 2 5 2" xfId="3664" xr:uid="{00000000-0005-0000-0000-0000400E0000}"/>
    <cellStyle name="Total 2 2 2 5 3" xfId="3665" xr:uid="{00000000-0005-0000-0000-0000410E0000}"/>
    <cellStyle name="Total 2 2 2 5 4" xfId="3666" xr:uid="{00000000-0005-0000-0000-0000420E0000}"/>
    <cellStyle name="Total 2 2 2 5 5" xfId="3667" xr:uid="{00000000-0005-0000-0000-0000430E0000}"/>
    <cellStyle name="Total 2 2 2 6" xfId="359" xr:uid="{00000000-0005-0000-0000-0000440E0000}"/>
    <cellStyle name="Total 2 2 2 6 2" xfId="3668" xr:uid="{00000000-0005-0000-0000-0000450E0000}"/>
    <cellStyle name="Total 2 2 2 6 3" xfId="3669" xr:uid="{00000000-0005-0000-0000-0000460E0000}"/>
    <cellStyle name="Total 2 2 2 6 4" xfId="3670" xr:uid="{00000000-0005-0000-0000-0000470E0000}"/>
    <cellStyle name="Total 2 2 2 6 5" xfId="3671" xr:uid="{00000000-0005-0000-0000-0000480E0000}"/>
    <cellStyle name="Total 2 2 2 7" xfId="375" xr:uid="{00000000-0005-0000-0000-0000490E0000}"/>
    <cellStyle name="Total 2 2 2 7 2" xfId="3672" xr:uid="{00000000-0005-0000-0000-00004A0E0000}"/>
    <cellStyle name="Total 2 2 2 7 3" xfId="3673" xr:uid="{00000000-0005-0000-0000-00004B0E0000}"/>
    <cellStyle name="Total 2 2 2 7 4" xfId="3674" xr:uid="{00000000-0005-0000-0000-00004C0E0000}"/>
    <cellStyle name="Total 2 2 2 7 5" xfId="3675" xr:uid="{00000000-0005-0000-0000-00004D0E0000}"/>
    <cellStyle name="Total 2 2 2 8" xfId="3676" xr:uid="{00000000-0005-0000-0000-00004E0E0000}"/>
    <cellStyle name="Total 2 2 2 9" xfId="3677" xr:uid="{00000000-0005-0000-0000-00004F0E0000}"/>
    <cellStyle name="Total 2 2 3" xfId="333" xr:uid="{00000000-0005-0000-0000-0000500E0000}"/>
    <cellStyle name="Total 2 2 3 2" xfId="3678" xr:uid="{00000000-0005-0000-0000-0000510E0000}"/>
    <cellStyle name="Total 2 2 3 3" xfId="3679" xr:uid="{00000000-0005-0000-0000-0000520E0000}"/>
    <cellStyle name="Total 2 2 3 4" xfId="3680" xr:uid="{00000000-0005-0000-0000-0000530E0000}"/>
    <cellStyle name="Total 2 2 3 5" xfId="3681" xr:uid="{00000000-0005-0000-0000-0000540E0000}"/>
    <cellStyle name="Total 2 2 4" xfId="406" xr:uid="{00000000-0005-0000-0000-0000550E0000}"/>
    <cellStyle name="Total 2 2 4 2" xfId="3682" xr:uid="{00000000-0005-0000-0000-0000560E0000}"/>
    <cellStyle name="Total 2 2 4 3" xfId="3683" xr:uid="{00000000-0005-0000-0000-0000570E0000}"/>
    <cellStyle name="Total 2 2 4 4" xfId="3684" xr:uid="{00000000-0005-0000-0000-0000580E0000}"/>
    <cellStyle name="Total 2 2 4 5" xfId="3685" xr:uid="{00000000-0005-0000-0000-0000590E0000}"/>
    <cellStyle name="Total 2 2 5" xfId="414" xr:uid="{00000000-0005-0000-0000-00005A0E0000}"/>
    <cellStyle name="Total 2 2 5 2" xfId="3686" xr:uid="{00000000-0005-0000-0000-00005B0E0000}"/>
    <cellStyle name="Total 2 2 5 3" xfId="3687" xr:uid="{00000000-0005-0000-0000-00005C0E0000}"/>
    <cellStyle name="Total 2 2 5 4" xfId="3688" xr:uid="{00000000-0005-0000-0000-00005D0E0000}"/>
    <cellStyle name="Total 2 2 5 5" xfId="3689" xr:uid="{00000000-0005-0000-0000-00005E0E0000}"/>
    <cellStyle name="Total 2 2 6" xfId="426" xr:uid="{00000000-0005-0000-0000-00005F0E0000}"/>
    <cellStyle name="Total 2 2 6 2" xfId="3690" xr:uid="{00000000-0005-0000-0000-0000600E0000}"/>
    <cellStyle name="Total 2 2 6 3" xfId="3691" xr:uid="{00000000-0005-0000-0000-0000610E0000}"/>
    <cellStyle name="Total 2 2 6 4" xfId="3692" xr:uid="{00000000-0005-0000-0000-0000620E0000}"/>
    <cellStyle name="Total 2 2 6 5" xfId="3693" xr:uid="{00000000-0005-0000-0000-0000630E0000}"/>
    <cellStyle name="Total 2 3" xfId="225" xr:uid="{00000000-0005-0000-0000-0000640E0000}"/>
    <cellStyle name="Total 2 3 2" xfId="258" xr:uid="{00000000-0005-0000-0000-0000650E0000}"/>
    <cellStyle name="Total 2 3 2 10" xfId="3694" xr:uid="{00000000-0005-0000-0000-0000660E0000}"/>
    <cellStyle name="Total 2 3 2 11" xfId="3695" xr:uid="{00000000-0005-0000-0000-0000670E0000}"/>
    <cellStyle name="Total 2 3 2 2" xfId="282" xr:uid="{00000000-0005-0000-0000-0000680E0000}"/>
    <cellStyle name="Total 2 3 2 2 2" xfId="3696" xr:uid="{00000000-0005-0000-0000-0000690E0000}"/>
    <cellStyle name="Total 2 3 2 2 3" xfId="3697" xr:uid="{00000000-0005-0000-0000-00006A0E0000}"/>
    <cellStyle name="Total 2 3 2 2 4" xfId="3698" xr:uid="{00000000-0005-0000-0000-00006B0E0000}"/>
    <cellStyle name="Total 2 3 2 2 5" xfId="3699" xr:uid="{00000000-0005-0000-0000-00006C0E0000}"/>
    <cellStyle name="Total 2 3 2 3" xfId="300" xr:uid="{00000000-0005-0000-0000-00006D0E0000}"/>
    <cellStyle name="Total 2 3 2 3 2" xfId="3700" xr:uid="{00000000-0005-0000-0000-00006E0E0000}"/>
    <cellStyle name="Total 2 3 2 3 3" xfId="3701" xr:uid="{00000000-0005-0000-0000-00006F0E0000}"/>
    <cellStyle name="Total 2 3 2 3 4" xfId="3702" xr:uid="{00000000-0005-0000-0000-0000700E0000}"/>
    <cellStyle name="Total 2 3 2 3 5" xfId="3703" xr:uid="{00000000-0005-0000-0000-0000710E0000}"/>
    <cellStyle name="Total 2 3 2 4" xfId="332" xr:uid="{00000000-0005-0000-0000-0000720E0000}"/>
    <cellStyle name="Total 2 3 2 4 2" xfId="3704" xr:uid="{00000000-0005-0000-0000-0000730E0000}"/>
    <cellStyle name="Total 2 3 2 4 3" xfId="3705" xr:uid="{00000000-0005-0000-0000-0000740E0000}"/>
    <cellStyle name="Total 2 3 2 4 4" xfId="3706" xr:uid="{00000000-0005-0000-0000-0000750E0000}"/>
    <cellStyle name="Total 2 3 2 4 5" xfId="3707" xr:uid="{00000000-0005-0000-0000-0000760E0000}"/>
    <cellStyle name="Total 2 3 2 5" xfId="344" xr:uid="{00000000-0005-0000-0000-0000770E0000}"/>
    <cellStyle name="Total 2 3 2 5 2" xfId="3708" xr:uid="{00000000-0005-0000-0000-0000780E0000}"/>
    <cellStyle name="Total 2 3 2 5 3" xfId="3709" xr:uid="{00000000-0005-0000-0000-0000790E0000}"/>
    <cellStyle name="Total 2 3 2 5 4" xfId="3710" xr:uid="{00000000-0005-0000-0000-00007A0E0000}"/>
    <cellStyle name="Total 2 3 2 5 5" xfId="3711" xr:uid="{00000000-0005-0000-0000-00007B0E0000}"/>
    <cellStyle name="Total 2 3 2 6" xfId="360" xr:uid="{00000000-0005-0000-0000-00007C0E0000}"/>
    <cellStyle name="Total 2 3 2 6 2" xfId="3712" xr:uid="{00000000-0005-0000-0000-00007D0E0000}"/>
    <cellStyle name="Total 2 3 2 6 3" xfId="3713" xr:uid="{00000000-0005-0000-0000-00007E0E0000}"/>
    <cellStyle name="Total 2 3 2 6 4" xfId="3714" xr:uid="{00000000-0005-0000-0000-00007F0E0000}"/>
    <cellStyle name="Total 2 3 2 6 5" xfId="3715" xr:uid="{00000000-0005-0000-0000-0000800E0000}"/>
    <cellStyle name="Total 2 3 2 7" xfId="376" xr:uid="{00000000-0005-0000-0000-0000810E0000}"/>
    <cellStyle name="Total 2 3 2 7 2" xfId="3716" xr:uid="{00000000-0005-0000-0000-0000820E0000}"/>
    <cellStyle name="Total 2 3 2 7 3" xfId="3717" xr:uid="{00000000-0005-0000-0000-0000830E0000}"/>
    <cellStyle name="Total 2 3 2 7 4" xfId="3718" xr:uid="{00000000-0005-0000-0000-0000840E0000}"/>
    <cellStyle name="Total 2 3 2 7 5" xfId="3719" xr:uid="{00000000-0005-0000-0000-0000850E0000}"/>
    <cellStyle name="Total 2 3 2 8" xfId="3720" xr:uid="{00000000-0005-0000-0000-0000860E0000}"/>
    <cellStyle name="Total 2 3 2 9" xfId="3721" xr:uid="{00000000-0005-0000-0000-0000870E0000}"/>
    <cellStyle name="Total 2 3 3" xfId="334" xr:uid="{00000000-0005-0000-0000-0000880E0000}"/>
    <cellStyle name="Total 2 3 3 2" xfId="3722" xr:uid="{00000000-0005-0000-0000-0000890E0000}"/>
    <cellStyle name="Total 2 3 3 3" xfId="3723" xr:uid="{00000000-0005-0000-0000-00008A0E0000}"/>
    <cellStyle name="Total 2 3 3 4" xfId="3724" xr:uid="{00000000-0005-0000-0000-00008B0E0000}"/>
    <cellStyle name="Total 2 3 3 5" xfId="3725" xr:uid="{00000000-0005-0000-0000-00008C0E0000}"/>
    <cellStyle name="Total 2 3 4" xfId="407" xr:uid="{00000000-0005-0000-0000-00008D0E0000}"/>
    <cellStyle name="Total 2 3 4 2" xfId="3726" xr:uid="{00000000-0005-0000-0000-00008E0E0000}"/>
    <cellStyle name="Total 2 3 4 3" xfId="3727" xr:uid="{00000000-0005-0000-0000-00008F0E0000}"/>
    <cellStyle name="Total 2 3 4 4" xfId="3728" xr:uid="{00000000-0005-0000-0000-0000900E0000}"/>
    <cellStyle name="Total 2 3 4 5" xfId="3729" xr:uid="{00000000-0005-0000-0000-0000910E0000}"/>
    <cellStyle name="Total 2 3 5" xfId="415" xr:uid="{00000000-0005-0000-0000-0000920E0000}"/>
    <cellStyle name="Total 2 3 5 2" xfId="3730" xr:uid="{00000000-0005-0000-0000-0000930E0000}"/>
    <cellStyle name="Total 2 3 5 3" xfId="3731" xr:uid="{00000000-0005-0000-0000-0000940E0000}"/>
    <cellStyle name="Total 2 3 5 4" xfId="3732" xr:uid="{00000000-0005-0000-0000-0000950E0000}"/>
    <cellStyle name="Total 2 3 5 5" xfId="3733" xr:uid="{00000000-0005-0000-0000-0000960E0000}"/>
    <cellStyle name="Total 2 3 6" xfId="427" xr:uid="{00000000-0005-0000-0000-0000970E0000}"/>
    <cellStyle name="Total 2 3 6 2" xfId="3734" xr:uid="{00000000-0005-0000-0000-0000980E0000}"/>
    <cellStyle name="Total 2 3 6 3" xfId="3735" xr:uid="{00000000-0005-0000-0000-0000990E0000}"/>
    <cellStyle name="Total 2 3 6 4" xfId="3736" xr:uid="{00000000-0005-0000-0000-00009A0E0000}"/>
    <cellStyle name="Total 2 3 6 5" xfId="3737" xr:uid="{00000000-0005-0000-0000-00009B0E0000}"/>
    <cellStyle name="Total 2 4" xfId="256" xr:uid="{00000000-0005-0000-0000-00009C0E0000}"/>
    <cellStyle name="Total 2 4 2" xfId="264" xr:uid="{00000000-0005-0000-0000-00009D0E0000}"/>
    <cellStyle name="Total 2 4 2 2" xfId="3738" xr:uid="{00000000-0005-0000-0000-00009E0E0000}"/>
    <cellStyle name="Total 2 4 2 3" xfId="3739" xr:uid="{00000000-0005-0000-0000-00009F0E0000}"/>
    <cellStyle name="Total 2 4 2 4" xfId="3740" xr:uid="{00000000-0005-0000-0000-0000A00E0000}"/>
    <cellStyle name="Total 2 4 2 5" xfId="3741" xr:uid="{00000000-0005-0000-0000-0000A10E0000}"/>
    <cellStyle name="Total 2 4 3" xfId="289" xr:uid="{00000000-0005-0000-0000-0000A20E0000}"/>
    <cellStyle name="Total 2 4 3 2" xfId="3742" xr:uid="{00000000-0005-0000-0000-0000A30E0000}"/>
    <cellStyle name="Total 2 4 3 3" xfId="3743" xr:uid="{00000000-0005-0000-0000-0000A40E0000}"/>
    <cellStyle name="Total 2 4 3 4" xfId="3744" xr:uid="{00000000-0005-0000-0000-0000A50E0000}"/>
    <cellStyle name="Total 2 4 3 5" xfId="3745" xr:uid="{00000000-0005-0000-0000-0000A60E0000}"/>
    <cellStyle name="Total 2 4 4" xfId="321" xr:uid="{00000000-0005-0000-0000-0000A70E0000}"/>
    <cellStyle name="Total 2 4 4 2" xfId="3746" xr:uid="{00000000-0005-0000-0000-0000A80E0000}"/>
    <cellStyle name="Total 2 4 4 3" xfId="3747" xr:uid="{00000000-0005-0000-0000-0000A90E0000}"/>
    <cellStyle name="Total 2 4 4 4" xfId="3748" xr:uid="{00000000-0005-0000-0000-0000AA0E0000}"/>
    <cellStyle name="Total 2 4 4 5" xfId="3749" xr:uid="{00000000-0005-0000-0000-0000AB0E0000}"/>
    <cellStyle name="Total 2 4 5" xfId="307" xr:uid="{00000000-0005-0000-0000-0000AC0E0000}"/>
    <cellStyle name="Total 2 4 5 2" xfId="3750" xr:uid="{00000000-0005-0000-0000-0000AD0E0000}"/>
    <cellStyle name="Total 2 4 5 3" xfId="3751" xr:uid="{00000000-0005-0000-0000-0000AE0E0000}"/>
    <cellStyle name="Total 2 4 5 4" xfId="3752" xr:uid="{00000000-0005-0000-0000-0000AF0E0000}"/>
    <cellStyle name="Total 2 4 5 5" xfId="3753" xr:uid="{00000000-0005-0000-0000-0000B00E0000}"/>
    <cellStyle name="Total 2 4 6" xfId="349" xr:uid="{00000000-0005-0000-0000-0000B10E0000}"/>
    <cellStyle name="Total 2 4 6 2" xfId="3754" xr:uid="{00000000-0005-0000-0000-0000B20E0000}"/>
    <cellStyle name="Total 2 4 6 3" xfId="3755" xr:uid="{00000000-0005-0000-0000-0000B30E0000}"/>
    <cellStyle name="Total 2 4 6 4" xfId="3756" xr:uid="{00000000-0005-0000-0000-0000B40E0000}"/>
    <cellStyle name="Total 2 4 6 5" xfId="3757" xr:uid="{00000000-0005-0000-0000-0000B50E0000}"/>
    <cellStyle name="Total 2 4 7" xfId="365" xr:uid="{00000000-0005-0000-0000-0000B60E0000}"/>
    <cellStyle name="Total 2 4 7 2" xfId="3758" xr:uid="{00000000-0005-0000-0000-0000B70E0000}"/>
    <cellStyle name="Total 2 4 7 3" xfId="3759" xr:uid="{00000000-0005-0000-0000-0000B80E0000}"/>
    <cellStyle name="Total 2 4 7 4" xfId="3760" xr:uid="{00000000-0005-0000-0000-0000B90E0000}"/>
    <cellStyle name="Total 2 4 7 5" xfId="3761" xr:uid="{00000000-0005-0000-0000-0000BA0E0000}"/>
    <cellStyle name="Total 2 5" xfId="305" xr:uid="{00000000-0005-0000-0000-0000BB0E0000}"/>
    <cellStyle name="Total 2 5 2" xfId="3762" xr:uid="{00000000-0005-0000-0000-0000BC0E0000}"/>
    <cellStyle name="Total 2 5 3" xfId="3763" xr:uid="{00000000-0005-0000-0000-0000BD0E0000}"/>
    <cellStyle name="Total 2 5 4" xfId="3764" xr:uid="{00000000-0005-0000-0000-0000BE0E0000}"/>
    <cellStyle name="Total 2 5 5" xfId="3765" xr:uid="{00000000-0005-0000-0000-0000BF0E0000}"/>
    <cellStyle name="Total 2 6" xfId="402" xr:uid="{00000000-0005-0000-0000-0000C00E0000}"/>
    <cellStyle name="Total 2 6 2" xfId="3766" xr:uid="{00000000-0005-0000-0000-0000C10E0000}"/>
    <cellStyle name="Total 2 6 3" xfId="3767" xr:uid="{00000000-0005-0000-0000-0000C20E0000}"/>
    <cellStyle name="Total 2 6 4" xfId="3768" xr:uid="{00000000-0005-0000-0000-0000C30E0000}"/>
    <cellStyle name="Total 2 6 5" xfId="3769" xr:uid="{00000000-0005-0000-0000-0000C40E0000}"/>
    <cellStyle name="Total 2 7" xfId="392" xr:uid="{00000000-0005-0000-0000-0000C50E0000}"/>
    <cellStyle name="Total 2 7 2" xfId="3770" xr:uid="{00000000-0005-0000-0000-0000C60E0000}"/>
    <cellStyle name="Total 2 7 3" xfId="3771" xr:uid="{00000000-0005-0000-0000-0000C70E0000}"/>
    <cellStyle name="Total 2 7 4" xfId="3772" xr:uid="{00000000-0005-0000-0000-0000C80E0000}"/>
    <cellStyle name="Total 2 7 5" xfId="3773" xr:uid="{00000000-0005-0000-0000-0000C90E0000}"/>
    <cellStyle name="Total 2 8" xfId="416" xr:uid="{00000000-0005-0000-0000-0000CA0E0000}"/>
    <cellStyle name="Total 2 8 2" xfId="3774" xr:uid="{00000000-0005-0000-0000-0000CB0E0000}"/>
    <cellStyle name="Total 2 8 3" xfId="3775" xr:uid="{00000000-0005-0000-0000-0000CC0E0000}"/>
    <cellStyle name="Total 2 8 4" xfId="3776" xr:uid="{00000000-0005-0000-0000-0000CD0E0000}"/>
    <cellStyle name="Total 2 8 5" xfId="3777" xr:uid="{00000000-0005-0000-0000-0000CE0E0000}"/>
    <cellStyle name="Total 3" xfId="794" xr:uid="{00000000-0005-0000-0000-0000CF0E0000}"/>
    <cellStyle name="Total 3 2" xfId="795" xr:uid="{00000000-0005-0000-0000-0000D00E0000}"/>
  </cellStyles>
  <dxfs count="1">
    <dxf>
      <fill>
        <patternFill>
          <bgColor rgb="FFFF0000"/>
        </patternFill>
      </fill>
    </dxf>
  </dxfs>
  <tableStyles count="0" defaultTableStyle="TableStyleMedium9" defaultPivotStyle="PivotStyleLight16"/>
  <colors>
    <mruColors>
      <color rgb="FF57A519"/>
      <color rgb="FF0072CE"/>
      <color rgb="FFAD25A8"/>
      <color rgb="FFF08200"/>
      <color rgb="FFCD032E"/>
      <color rgb="FFFF9900"/>
      <color rgb="FFFFCC00"/>
      <color rgb="FFFFFF66"/>
      <color rgb="FFFFFF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6.xml"/><Relationship Id="rId68"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externalLink" Target="externalLinks/externalLink9.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CSH</a:t>
            </a:r>
          </a:p>
        </c:rich>
      </c:tx>
      <c:layout>
        <c:manualLayout>
          <c:xMode val="edge"/>
          <c:yMode val="edge"/>
          <c:x val="0.45744688755932195"/>
          <c:y val="1.6736334635619805E-2"/>
        </c:manualLayout>
      </c:layout>
      <c:overlay val="0"/>
    </c:title>
    <c:autoTitleDeleted val="0"/>
    <c:plotArea>
      <c:layout>
        <c:manualLayout>
          <c:layoutTarget val="inner"/>
          <c:xMode val="edge"/>
          <c:yMode val="edge"/>
          <c:x val="3.3485532308505081E-2"/>
          <c:y val="9.9866089084489601E-2"/>
          <c:w val="0.93302893538298992"/>
          <c:h val="0.66336372751321193"/>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('I.30.'!$C$7,'I.30.'!$I$7,'I.30.'!$O$7,'I.30.'!$U$7,'I.30.'!$AA$7)</c:f>
              <c:numCache>
                <c:formatCode>General</c:formatCode>
                <c:ptCount val="5"/>
                <c:pt idx="0">
                  <c:v>6</c:v>
                </c:pt>
                <c:pt idx="1">
                  <c:v>6</c:v>
                </c:pt>
                <c:pt idx="2">
                  <c:v>6</c:v>
                </c:pt>
                <c:pt idx="3">
                  <c:v>6</c:v>
                </c:pt>
                <c:pt idx="4">
                  <c:v>7</c:v>
                </c:pt>
              </c:numCache>
            </c:numRef>
          </c:val>
          <c:smooth val="0"/>
          <c:extLst>
            <c:ext xmlns:c16="http://schemas.microsoft.com/office/drawing/2014/chart" uri="{C3380CC4-5D6E-409C-BE32-E72D297353CC}">
              <c16:uniqueId val="{00000000-1DF6-4B78-87E2-3BE544B8F7B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4"/>
              <c:layout>
                <c:manualLayout>
                  <c:x val="-4.4307567370757597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F6-4B78-87E2-3BE544B8F7BF}"/>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('I.30.'!$D$7,'I.30.'!$J$7,'I.30.'!$P$7,'I.30.'!$V$7,'I.30.'!$AB$7)</c:f>
              <c:numCache>
                <c:formatCode>General</c:formatCode>
                <c:ptCount val="5"/>
                <c:pt idx="0">
                  <c:v>16</c:v>
                </c:pt>
                <c:pt idx="1">
                  <c:v>17</c:v>
                </c:pt>
                <c:pt idx="2">
                  <c:v>15</c:v>
                </c:pt>
                <c:pt idx="3">
                  <c:v>15</c:v>
                </c:pt>
                <c:pt idx="4">
                  <c:v>11</c:v>
                </c:pt>
              </c:numCache>
            </c:numRef>
          </c:val>
          <c:smooth val="0"/>
          <c:extLst>
            <c:ext xmlns:c16="http://schemas.microsoft.com/office/drawing/2014/chart" uri="{C3380CC4-5D6E-409C-BE32-E72D297353CC}">
              <c16:uniqueId val="{00000002-1DF6-4B78-87E2-3BE544B8F7B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F6-4B78-87E2-3BE544B8F7BF}"/>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('I.30.'!$E$7,'I.30.'!$K$7,'I.30.'!$Q$7,'I.30.'!$W$7,'I.30.'!$AC$7)</c:f>
              <c:numCache>
                <c:formatCode>General</c:formatCode>
                <c:ptCount val="5"/>
                <c:pt idx="0">
                  <c:v>12</c:v>
                </c:pt>
                <c:pt idx="1">
                  <c:v>11</c:v>
                </c:pt>
                <c:pt idx="2">
                  <c:v>9</c:v>
                </c:pt>
                <c:pt idx="3">
                  <c:v>10</c:v>
                </c:pt>
                <c:pt idx="4">
                  <c:v>12</c:v>
                </c:pt>
              </c:numCache>
            </c:numRef>
          </c:val>
          <c:smooth val="0"/>
          <c:extLst>
            <c:ext xmlns:c16="http://schemas.microsoft.com/office/drawing/2014/chart" uri="{C3380CC4-5D6E-409C-BE32-E72D297353CC}">
              <c16:uniqueId val="{00000004-1DF6-4B78-87E2-3BE544B8F7BF}"/>
            </c:ext>
          </c:extLst>
        </c:ser>
        <c:dLbls>
          <c:showLegendKey val="0"/>
          <c:showVal val="0"/>
          <c:showCatName val="0"/>
          <c:showSerName val="0"/>
          <c:showPercent val="0"/>
          <c:showBubbleSize val="0"/>
        </c:dLbls>
        <c:marker val="1"/>
        <c:smooth val="0"/>
        <c:axId val="110975232"/>
        <c:axId val="110997504"/>
      </c:lineChart>
      <c:catAx>
        <c:axId val="110975232"/>
        <c:scaling>
          <c:orientation val="minMax"/>
        </c:scaling>
        <c:delete val="0"/>
        <c:axPos val="b"/>
        <c:numFmt formatCode="General" sourceLinked="1"/>
        <c:majorTickMark val="out"/>
        <c:minorTickMark val="none"/>
        <c:tickLblPos val="nextTo"/>
        <c:txPr>
          <a:bodyPr/>
          <a:lstStyle/>
          <a:p>
            <a:pPr>
              <a:defRPr lang="es-ES" sz="800"/>
            </a:pPr>
            <a:endParaRPr lang="es-MX"/>
          </a:p>
        </c:txPr>
        <c:crossAx val="110997504"/>
        <c:crosses val="autoZero"/>
        <c:auto val="1"/>
        <c:lblAlgn val="ctr"/>
        <c:lblOffset val="100"/>
        <c:noMultiLvlLbl val="0"/>
      </c:catAx>
      <c:valAx>
        <c:axId val="110997504"/>
        <c:scaling>
          <c:orientation val="minMax"/>
        </c:scaling>
        <c:delete val="1"/>
        <c:axPos val="l"/>
        <c:numFmt formatCode="General" sourceLinked="1"/>
        <c:majorTickMark val="out"/>
        <c:minorTickMark val="none"/>
        <c:tickLblPos val="nextTo"/>
        <c:crossAx val="11097523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CBS</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('I.30.'!$C$27,'I.30.'!$I$27,'I.30.'!$O$27,'I.30.'!$U$27,'I.30.'!$AA$27)</c:f>
              <c:numCache>
                <c:formatCode>General</c:formatCode>
                <c:ptCount val="5"/>
                <c:pt idx="0">
                  <c:v>5</c:v>
                </c:pt>
                <c:pt idx="1">
                  <c:v>7</c:v>
                </c:pt>
                <c:pt idx="2">
                  <c:v>8</c:v>
                </c:pt>
                <c:pt idx="3">
                  <c:v>9</c:v>
                </c:pt>
                <c:pt idx="4">
                  <c:v>9</c:v>
                </c:pt>
              </c:numCache>
            </c:numRef>
          </c:val>
          <c:smooth val="0"/>
          <c:extLst>
            <c:ext xmlns:c16="http://schemas.microsoft.com/office/drawing/2014/chart" uri="{C3380CC4-5D6E-409C-BE32-E72D297353CC}">
              <c16:uniqueId val="{00000000-E9B8-4DC6-866B-C49554062A9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('I.30.'!$D$27,'I.30.'!$J$27,'I.30.'!$P$27,'I.30.'!$V$27,'I.30.'!$AB$27)</c:f>
              <c:numCache>
                <c:formatCode>General</c:formatCode>
                <c:ptCount val="5"/>
                <c:pt idx="0">
                  <c:v>11</c:v>
                </c:pt>
                <c:pt idx="1">
                  <c:v>17</c:v>
                </c:pt>
                <c:pt idx="2">
                  <c:v>15</c:v>
                </c:pt>
                <c:pt idx="3">
                  <c:v>13</c:v>
                </c:pt>
                <c:pt idx="4">
                  <c:v>15</c:v>
                </c:pt>
              </c:numCache>
            </c:numRef>
          </c:val>
          <c:smooth val="0"/>
          <c:extLst>
            <c:ext xmlns:c16="http://schemas.microsoft.com/office/drawing/2014/chart" uri="{C3380CC4-5D6E-409C-BE32-E72D297353CC}">
              <c16:uniqueId val="{00000001-E9B8-4DC6-866B-C49554062A9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('I.30.'!$E$27,'I.30.'!$K$27,'I.30.'!$Q$27,'I.30.'!$W$27,'I.30.'!$AC$27)</c:f>
              <c:numCache>
                <c:formatCode>General</c:formatCode>
                <c:ptCount val="5"/>
                <c:pt idx="0">
                  <c:v>8</c:v>
                </c:pt>
                <c:pt idx="1">
                  <c:v>13</c:v>
                </c:pt>
                <c:pt idx="2">
                  <c:v>14</c:v>
                </c:pt>
                <c:pt idx="3">
                  <c:v>13</c:v>
                </c:pt>
                <c:pt idx="4">
                  <c:v>12</c:v>
                </c:pt>
              </c:numCache>
            </c:numRef>
          </c:val>
          <c:smooth val="0"/>
          <c:extLst>
            <c:ext xmlns:c16="http://schemas.microsoft.com/office/drawing/2014/chart" uri="{C3380CC4-5D6E-409C-BE32-E72D297353CC}">
              <c16:uniqueId val="{00000002-E9B8-4DC6-866B-C49554062A9F}"/>
            </c:ext>
          </c:extLst>
        </c:ser>
        <c:dLbls>
          <c:showLegendKey val="0"/>
          <c:showVal val="0"/>
          <c:showCatName val="0"/>
          <c:showSerName val="0"/>
          <c:showPercent val="0"/>
          <c:showBubbleSize val="0"/>
        </c:dLbls>
        <c:marker val="1"/>
        <c:smooth val="0"/>
        <c:axId val="119087872"/>
        <c:axId val="119089408"/>
      </c:lineChart>
      <c:catAx>
        <c:axId val="119087872"/>
        <c:scaling>
          <c:orientation val="minMax"/>
        </c:scaling>
        <c:delete val="0"/>
        <c:axPos val="b"/>
        <c:numFmt formatCode="General" sourceLinked="1"/>
        <c:majorTickMark val="out"/>
        <c:minorTickMark val="none"/>
        <c:tickLblPos val="nextTo"/>
        <c:txPr>
          <a:bodyPr/>
          <a:lstStyle/>
          <a:p>
            <a:pPr>
              <a:defRPr lang="es-ES" sz="800"/>
            </a:pPr>
            <a:endParaRPr lang="es-MX"/>
          </a:p>
        </c:txPr>
        <c:crossAx val="119089408"/>
        <c:crosses val="autoZero"/>
        <c:auto val="1"/>
        <c:lblAlgn val="ctr"/>
        <c:lblOffset val="100"/>
        <c:noMultiLvlLbl val="0"/>
      </c:catAx>
      <c:valAx>
        <c:axId val="119089408"/>
        <c:scaling>
          <c:orientation val="minMax"/>
        </c:scaling>
        <c:delete val="1"/>
        <c:axPos val="l"/>
        <c:numFmt formatCode="General" sourceLinked="1"/>
        <c:majorTickMark val="out"/>
        <c:minorTickMark val="none"/>
        <c:tickLblPos val="nextTo"/>
        <c:crossAx val="11908787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CAD</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('I.30.'!$C$28,'I.30.'!$I$28,'I.30.'!$O$28,'I.30.'!$U$28,'I.30.'!$AA$28)</c:f>
              <c:numCache>
                <c:formatCode>General</c:formatCode>
                <c:ptCount val="5"/>
                <c:pt idx="2">
                  <c:v>1</c:v>
                </c:pt>
                <c:pt idx="3">
                  <c:v>1</c:v>
                </c:pt>
                <c:pt idx="4">
                  <c:v>1</c:v>
                </c:pt>
              </c:numCache>
            </c:numRef>
          </c:val>
          <c:smooth val="0"/>
          <c:extLst>
            <c:ext xmlns:c16="http://schemas.microsoft.com/office/drawing/2014/chart" uri="{C3380CC4-5D6E-409C-BE32-E72D297353CC}">
              <c16:uniqueId val="{00000000-9943-4CE8-B22B-C027380D9C97}"/>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('I.30.'!$D$28,'I.30.'!$J$28,'I.30.'!$P$28,'I.30.'!$V$28,'I.30.'!$AB$28)</c:f>
              <c:numCache>
                <c:formatCode>General</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9943-4CE8-B22B-C027380D9C97}"/>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('I.30.'!$E$28,'I.30.'!$K$28,'I.30.'!$Q$28,'I.30.'!$W$28,'I.30.'!$AC$28)</c:f>
              <c:numCache>
                <c:formatCode>General</c:formatCode>
                <c:ptCount val="5"/>
                <c:pt idx="0">
                  <c:v>7</c:v>
                </c:pt>
                <c:pt idx="1">
                  <c:v>6</c:v>
                </c:pt>
                <c:pt idx="2">
                  <c:v>5</c:v>
                </c:pt>
                <c:pt idx="3">
                  <c:v>5</c:v>
                </c:pt>
                <c:pt idx="4">
                  <c:v>6</c:v>
                </c:pt>
              </c:numCache>
            </c:numRef>
          </c:val>
          <c:smooth val="0"/>
          <c:extLst>
            <c:ext xmlns:c16="http://schemas.microsoft.com/office/drawing/2014/chart" uri="{C3380CC4-5D6E-409C-BE32-E72D297353CC}">
              <c16:uniqueId val="{00000002-9943-4CE8-B22B-C027380D9C97}"/>
            </c:ext>
          </c:extLst>
        </c:ser>
        <c:dLbls>
          <c:showLegendKey val="0"/>
          <c:showVal val="0"/>
          <c:showCatName val="0"/>
          <c:showSerName val="0"/>
          <c:showPercent val="0"/>
          <c:showBubbleSize val="0"/>
        </c:dLbls>
        <c:marker val="1"/>
        <c:smooth val="0"/>
        <c:axId val="119490816"/>
        <c:axId val="119500800"/>
      </c:lineChart>
      <c:catAx>
        <c:axId val="119490816"/>
        <c:scaling>
          <c:orientation val="minMax"/>
        </c:scaling>
        <c:delete val="0"/>
        <c:axPos val="b"/>
        <c:numFmt formatCode="General" sourceLinked="1"/>
        <c:majorTickMark val="out"/>
        <c:minorTickMark val="none"/>
        <c:tickLblPos val="nextTo"/>
        <c:txPr>
          <a:bodyPr/>
          <a:lstStyle/>
          <a:p>
            <a:pPr>
              <a:defRPr lang="es-ES" sz="800"/>
            </a:pPr>
            <a:endParaRPr lang="es-MX"/>
          </a:p>
        </c:txPr>
        <c:crossAx val="119500800"/>
        <c:crosses val="autoZero"/>
        <c:auto val="1"/>
        <c:lblAlgn val="ctr"/>
        <c:lblOffset val="100"/>
        <c:noMultiLvlLbl val="0"/>
      </c:catAx>
      <c:valAx>
        <c:axId val="119500800"/>
        <c:scaling>
          <c:orientation val="minMax"/>
        </c:scaling>
        <c:delete val="1"/>
        <c:axPos val="l"/>
        <c:numFmt formatCode="General" sourceLinked="1"/>
        <c:majorTickMark val="out"/>
        <c:minorTickMark val="none"/>
        <c:tickLblPos val="nextTo"/>
        <c:crossAx val="119490816"/>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TOTAL</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('I.30.'!$C$29,'I.30.'!$I$29,'I.30.'!$O$29,'I.30.'!$U$29,'I.30.'!$AA$29)</c:f>
              <c:numCache>
                <c:formatCode>General</c:formatCode>
                <c:ptCount val="5"/>
                <c:pt idx="0">
                  <c:v>11</c:v>
                </c:pt>
                <c:pt idx="1">
                  <c:v>11</c:v>
                </c:pt>
                <c:pt idx="2">
                  <c:v>13</c:v>
                </c:pt>
                <c:pt idx="3">
                  <c:v>14</c:v>
                </c:pt>
                <c:pt idx="4">
                  <c:v>14</c:v>
                </c:pt>
              </c:numCache>
            </c:numRef>
          </c:val>
          <c:smooth val="0"/>
          <c:extLst>
            <c:ext xmlns:c16="http://schemas.microsoft.com/office/drawing/2014/chart" uri="{C3380CC4-5D6E-409C-BE32-E72D297353CC}">
              <c16:uniqueId val="{00000000-F820-4F03-ACCD-EE6A3CD014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20-4F03-ACCD-EE6A3CD01469}"/>
                </c:ext>
              </c:extLst>
            </c:dLbl>
            <c:dLbl>
              <c:idx val="1"/>
              <c:layout>
                <c:manualLayout>
                  <c:x val="-3.8219288769211351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20-4F03-ACCD-EE6A3CD01469}"/>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('I.30.'!$D$29,'I.30.'!$J$29,'I.30.'!$P$29,'I.30.'!$V$29,'I.30.'!$AB$29)</c:f>
              <c:numCache>
                <c:formatCode>General</c:formatCode>
                <c:ptCount val="5"/>
                <c:pt idx="0">
                  <c:v>30</c:v>
                </c:pt>
                <c:pt idx="1">
                  <c:v>32</c:v>
                </c:pt>
                <c:pt idx="2">
                  <c:v>28</c:v>
                </c:pt>
                <c:pt idx="3">
                  <c:v>26</c:v>
                </c:pt>
                <c:pt idx="4">
                  <c:v>26</c:v>
                </c:pt>
              </c:numCache>
            </c:numRef>
          </c:val>
          <c:smooth val="0"/>
          <c:extLst>
            <c:ext xmlns:c16="http://schemas.microsoft.com/office/drawing/2014/chart" uri="{C3380CC4-5D6E-409C-BE32-E72D297353CC}">
              <c16:uniqueId val="{00000003-F820-4F03-ACCD-EE6A3CD014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0-4F03-ACCD-EE6A3CD01469}"/>
                </c:ext>
              </c:extLst>
            </c:dLbl>
            <c:dLbl>
              <c:idx val="1"/>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20-4F03-ACCD-EE6A3CD01469}"/>
                </c:ext>
              </c:extLst>
            </c:dLbl>
            <c:dLbl>
              <c:idx val="2"/>
              <c:layout>
                <c:manualLayout>
                  <c:x val="-3.5175149468438152E-2"/>
                  <c:y val="-5.8273173208034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20-4F03-ACCD-EE6A3CD01469}"/>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('I.30.'!$E$29,'I.30.'!$K$29,'I.30.'!$Q$29,'I.30.'!$W$29,'I.30.'!$AC$29)</c:f>
              <c:numCache>
                <c:formatCode>General</c:formatCode>
                <c:ptCount val="5"/>
                <c:pt idx="0">
                  <c:v>27</c:v>
                </c:pt>
                <c:pt idx="1">
                  <c:v>29</c:v>
                </c:pt>
                <c:pt idx="2">
                  <c:v>32</c:v>
                </c:pt>
                <c:pt idx="3">
                  <c:v>30</c:v>
                </c:pt>
                <c:pt idx="4">
                  <c:v>31</c:v>
                </c:pt>
              </c:numCache>
            </c:numRef>
          </c:val>
          <c:smooth val="0"/>
          <c:extLst>
            <c:ext xmlns:c16="http://schemas.microsoft.com/office/drawing/2014/chart" uri="{C3380CC4-5D6E-409C-BE32-E72D297353CC}">
              <c16:uniqueId val="{00000007-F820-4F03-ACCD-EE6A3CD01469}"/>
            </c:ext>
          </c:extLst>
        </c:ser>
        <c:dLbls>
          <c:showLegendKey val="0"/>
          <c:showVal val="0"/>
          <c:showCatName val="0"/>
          <c:showSerName val="0"/>
          <c:showPercent val="0"/>
          <c:showBubbleSize val="0"/>
        </c:dLbls>
        <c:marker val="1"/>
        <c:smooth val="0"/>
        <c:axId val="119297920"/>
        <c:axId val="119299456"/>
      </c:lineChart>
      <c:catAx>
        <c:axId val="119297920"/>
        <c:scaling>
          <c:orientation val="minMax"/>
        </c:scaling>
        <c:delete val="0"/>
        <c:axPos val="b"/>
        <c:numFmt formatCode="General" sourceLinked="1"/>
        <c:majorTickMark val="out"/>
        <c:minorTickMark val="none"/>
        <c:tickLblPos val="nextTo"/>
        <c:txPr>
          <a:bodyPr/>
          <a:lstStyle/>
          <a:p>
            <a:pPr>
              <a:defRPr lang="es-ES" sz="800"/>
            </a:pPr>
            <a:endParaRPr lang="es-MX"/>
          </a:p>
        </c:txPr>
        <c:crossAx val="119299456"/>
        <c:crosses val="autoZero"/>
        <c:auto val="1"/>
        <c:lblAlgn val="ctr"/>
        <c:lblOffset val="100"/>
        <c:noMultiLvlLbl val="0"/>
      </c:catAx>
      <c:valAx>
        <c:axId val="119299456"/>
        <c:scaling>
          <c:orientation val="minMax"/>
        </c:scaling>
        <c:delete val="1"/>
        <c:axPos val="l"/>
        <c:numFmt formatCode="General" sourceLinked="1"/>
        <c:majorTickMark val="out"/>
        <c:minorTickMark val="none"/>
        <c:tickLblPos val="nextTo"/>
        <c:crossAx val="119297920"/>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CAD</a:t>
            </a:r>
          </a:p>
        </c:rich>
      </c:tx>
      <c:layout>
        <c:manualLayout>
          <c:xMode val="edge"/>
          <c:yMode val="edge"/>
          <c:x val="0.46353516616086832"/>
          <c:y val="1.1381584550660585E-2"/>
        </c:manualLayout>
      </c:layout>
      <c:overlay val="0"/>
    </c:title>
    <c:autoTitleDeleted val="0"/>
    <c:plotArea>
      <c:layout>
        <c:manualLayout>
          <c:layoutTarget val="inner"/>
          <c:xMode val="edge"/>
          <c:yMode val="edge"/>
          <c:x val="3.3485532308505081E-2"/>
          <c:y val="0.11593033933936708"/>
          <c:w val="0.93302893538298992"/>
          <c:h val="0.64729947725833503"/>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('I.30.'!$C$8,'I.30.'!$I$8,'I.30.'!$O$8,'I.30.'!$U$8,'I.30.'!$AA$8)</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1DAF-47A9-9C0B-94CA8CD80233}"/>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('I.30.'!$D$8,'I.30.'!$J$8,'I.30.'!$P$8,'I.30.'!$V$8,'I.30.'!$AB$8)</c:f>
              <c:numCache>
                <c:formatCode>General</c:formatCode>
                <c:ptCount val="5"/>
                <c:pt idx="0">
                  <c:v>4</c:v>
                </c:pt>
                <c:pt idx="1">
                  <c:v>3</c:v>
                </c:pt>
                <c:pt idx="2">
                  <c:v>3</c:v>
                </c:pt>
                <c:pt idx="3">
                  <c:v>3</c:v>
                </c:pt>
                <c:pt idx="4">
                  <c:v>3</c:v>
                </c:pt>
              </c:numCache>
            </c:numRef>
          </c:val>
          <c:smooth val="0"/>
          <c:extLst>
            <c:ext xmlns:c16="http://schemas.microsoft.com/office/drawing/2014/chart" uri="{C3380CC4-5D6E-409C-BE32-E72D297353CC}">
              <c16:uniqueId val="{00000001-1DAF-47A9-9C0B-94CA8CD80233}"/>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('I.30.'!$E$8,'I.30.'!$K$8,'I.30.'!$Q$8,'I.30.'!$W$8,'I.30.'!$AC$8)</c:f>
              <c:numCache>
                <c:formatCode>General</c:formatCode>
                <c:ptCount val="5"/>
                <c:pt idx="0">
                  <c:v>12</c:v>
                </c:pt>
                <c:pt idx="1">
                  <c:v>15</c:v>
                </c:pt>
                <c:pt idx="2">
                  <c:v>16</c:v>
                </c:pt>
                <c:pt idx="3">
                  <c:v>16</c:v>
                </c:pt>
                <c:pt idx="4">
                  <c:v>16</c:v>
                </c:pt>
              </c:numCache>
            </c:numRef>
          </c:val>
          <c:smooth val="0"/>
          <c:extLst>
            <c:ext xmlns:c16="http://schemas.microsoft.com/office/drawing/2014/chart" uri="{C3380CC4-5D6E-409C-BE32-E72D297353CC}">
              <c16:uniqueId val="{00000002-1DAF-47A9-9C0B-94CA8CD80233}"/>
            </c:ext>
          </c:extLst>
        </c:ser>
        <c:dLbls>
          <c:showLegendKey val="0"/>
          <c:showVal val="0"/>
          <c:showCatName val="0"/>
          <c:showSerName val="0"/>
          <c:showPercent val="0"/>
          <c:showBubbleSize val="0"/>
        </c:dLbls>
        <c:marker val="1"/>
        <c:smooth val="0"/>
        <c:axId val="118792192"/>
        <c:axId val="118793728"/>
      </c:lineChart>
      <c:catAx>
        <c:axId val="118792192"/>
        <c:scaling>
          <c:orientation val="minMax"/>
        </c:scaling>
        <c:delete val="0"/>
        <c:axPos val="b"/>
        <c:numFmt formatCode="General" sourceLinked="1"/>
        <c:majorTickMark val="out"/>
        <c:minorTickMark val="none"/>
        <c:tickLblPos val="nextTo"/>
        <c:txPr>
          <a:bodyPr/>
          <a:lstStyle/>
          <a:p>
            <a:pPr>
              <a:defRPr lang="es-ES" sz="800"/>
            </a:pPr>
            <a:endParaRPr lang="es-MX"/>
          </a:p>
        </c:txPr>
        <c:crossAx val="118793728"/>
        <c:crosses val="autoZero"/>
        <c:auto val="1"/>
        <c:lblAlgn val="ctr"/>
        <c:lblOffset val="100"/>
        <c:noMultiLvlLbl val="0"/>
      </c:catAx>
      <c:valAx>
        <c:axId val="118793728"/>
        <c:scaling>
          <c:orientation val="minMax"/>
        </c:scaling>
        <c:delete val="1"/>
        <c:axPos val="l"/>
        <c:numFmt formatCode="General" sourceLinked="1"/>
        <c:majorTickMark val="out"/>
        <c:minorTickMark val="none"/>
        <c:tickLblPos val="nextTo"/>
        <c:crossAx val="11879219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TOTAL</a:t>
            </a:r>
          </a:p>
        </c:rich>
      </c:tx>
      <c:layout>
        <c:manualLayout>
          <c:xMode val="edge"/>
          <c:yMode val="edge"/>
          <c:x val="0.45135860895777558"/>
          <c:y val="1.6736334635619805E-2"/>
        </c:manualLayout>
      </c:layout>
      <c:overlay val="0"/>
    </c:title>
    <c:autoTitleDeleted val="0"/>
    <c:plotArea>
      <c:layout>
        <c:manualLayout>
          <c:layoutTarget val="inner"/>
          <c:xMode val="edge"/>
          <c:yMode val="edge"/>
          <c:x val="3.3485532308505081E-2"/>
          <c:y val="0.11057558925440797"/>
          <c:w val="0.93302893538298992"/>
          <c:h val="0.6526542273432942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('I.30.'!$C$9,'I.30.'!$I$9,'I.30.'!$O$9,'I.30.'!$U$9,'I.30.'!$AA$9)</c:f>
              <c:numCache>
                <c:formatCode>General</c:formatCode>
                <c:ptCount val="5"/>
                <c:pt idx="0">
                  <c:v>13</c:v>
                </c:pt>
                <c:pt idx="1">
                  <c:v>15</c:v>
                </c:pt>
                <c:pt idx="2">
                  <c:v>15</c:v>
                </c:pt>
                <c:pt idx="3">
                  <c:v>15</c:v>
                </c:pt>
                <c:pt idx="4">
                  <c:v>16</c:v>
                </c:pt>
              </c:numCache>
            </c:numRef>
          </c:val>
          <c:smooth val="0"/>
          <c:extLst>
            <c:ext xmlns:c16="http://schemas.microsoft.com/office/drawing/2014/chart" uri="{C3380CC4-5D6E-409C-BE32-E72D297353CC}">
              <c16:uniqueId val="{00000000-2BA8-4F5C-8A80-3688B7DCC2A2}"/>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('I.30.'!$D$9,'I.30.'!$J$9,'I.30.'!$P$9,'I.30.'!$V$9,'I.30.'!$AB$9)</c:f>
              <c:numCache>
                <c:formatCode>General</c:formatCode>
                <c:ptCount val="5"/>
                <c:pt idx="0">
                  <c:v>32</c:v>
                </c:pt>
                <c:pt idx="1">
                  <c:v>29</c:v>
                </c:pt>
                <c:pt idx="2">
                  <c:v>29</c:v>
                </c:pt>
                <c:pt idx="3">
                  <c:v>29</c:v>
                </c:pt>
                <c:pt idx="4">
                  <c:v>24</c:v>
                </c:pt>
              </c:numCache>
            </c:numRef>
          </c:val>
          <c:smooth val="0"/>
          <c:extLst>
            <c:ext xmlns:c16="http://schemas.microsoft.com/office/drawing/2014/chart" uri="{C3380CC4-5D6E-409C-BE32-E72D297353CC}">
              <c16:uniqueId val="{00000001-2BA8-4F5C-8A80-3688B7DCC2A2}"/>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('I.30.'!$E$9,'I.30.'!$K$9,'I.30.'!$Q$9,'I.30.'!$W$9,'I.30.'!$AC$9)</c:f>
              <c:numCache>
                <c:formatCode>General</c:formatCode>
                <c:ptCount val="5"/>
                <c:pt idx="0">
                  <c:v>36</c:v>
                </c:pt>
                <c:pt idx="1">
                  <c:v>36</c:v>
                </c:pt>
                <c:pt idx="2">
                  <c:v>34</c:v>
                </c:pt>
                <c:pt idx="3">
                  <c:v>35</c:v>
                </c:pt>
                <c:pt idx="4">
                  <c:v>36</c:v>
                </c:pt>
              </c:numCache>
            </c:numRef>
          </c:val>
          <c:smooth val="0"/>
          <c:extLst>
            <c:ext xmlns:c16="http://schemas.microsoft.com/office/drawing/2014/chart" uri="{C3380CC4-5D6E-409C-BE32-E72D297353CC}">
              <c16:uniqueId val="{00000002-2BA8-4F5C-8A80-3688B7DCC2A2}"/>
            </c:ext>
          </c:extLst>
        </c:ser>
        <c:dLbls>
          <c:showLegendKey val="0"/>
          <c:showVal val="0"/>
          <c:showCatName val="0"/>
          <c:showSerName val="0"/>
          <c:showPercent val="0"/>
          <c:showBubbleSize val="0"/>
        </c:dLbls>
        <c:marker val="1"/>
        <c:smooth val="0"/>
        <c:axId val="118572544"/>
        <c:axId val="118574080"/>
      </c:lineChart>
      <c:catAx>
        <c:axId val="11857254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574080"/>
        <c:crosses val="autoZero"/>
        <c:auto val="1"/>
        <c:lblAlgn val="ctr"/>
        <c:lblOffset val="100"/>
        <c:noMultiLvlLbl val="0"/>
      </c:catAx>
      <c:valAx>
        <c:axId val="118574080"/>
        <c:scaling>
          <c:orientation val="minMax"/>
        </c:scaling>
        <c:delete val="1"/>
        <c:axPos val="l"/>
        <c:numFmt formatCode="General" sourceLinked="1"/>
        <c:majorTickMark val="out"/>
        <c:minorTickMark val="none"/>
        <c:tickLblPos val="nextTo"/>
        <c:crossAx val="11857254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CCD</a:t>
            </a:r>
          </a:p>
        </c:rich>
      </c:tx>
      <c:layout>
        <c:manualLayout>
          <c:xMode val="edge"/>
          <c:yMode val="edge"/>
          <c:x val="0.4665793054616415"/>
          <c:y val="1.138158455066058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('I.30.'!$C$12,'I.30.'!$I$12,'I.30.'!$O$12,'I.30.'!$U$12,'I.30.'!$AA$12)</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4955-4A74-AB20-5450BBCB3624}"/>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55-4A74-AB20-5450BBCB3624}"/>
                </c:ext>
              </c:extLst>
            </c:dLbl>
            <c:dLbl>
              <c:idx val="2"/>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5-4A74-AB20-5450BBCB3624}"/>
                </c:ext>
              </c:extLst>
            </c:dLbl>
            <c:dLbl>
              <c:idx val="3"/>
              <c:layout>
                <c:manualLayout>
                  <c:x val="-4.430756737075772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5-4A74-AB20-5450BBCB3624}"/>
                </c:ext>
              </c:extLst>
            </c:dLbl>
            <c:dLbl>
              <c:idx val="4"/>
              <c:layout>
                <c:manualLayout>
                  <c:x val="-3.2131249863672919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5-4A74-AB20-5450BBCB3624}"/>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('I.30.'!$D$12,'I.30.'!$J$12,'I.30.'!$P$12,'I.30.'!$V$12,'I.30.'!$AB$12)</c:f>
              <c:numCache>
                <c:formatCode>General</c:formatCode>
                <c:ptCount val="5"/>
                <c:pt idx="4">
                  <c:v>1</c:v>
                </c:pt>
              </c:numCache>
            </c:numRef>
          </c:val>
          <c:smooth val="0"/>
          <c:extLst>
            <c:ext xmlns:c16="http://schemas.microsoft.com/office/drawing/2014/chart" uri="{C3380CC4-5D6E-409C-BE32-E72D297353CC}">
              <c16:uniqueId val="{00000005-4955-4A74-AB20-5450BBCB3624}"/>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55-4A74-AB20-5450BBCB3624}"/>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55-4A74-AB20-5450BBCB3624}"/>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55-4A74-AB20-5450BBCB3624}"/>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('I.30.'!$E$12,'I.30.'!$K$12,'I.30.'!$Q$12,'I.30.'!$W$12,'I.30.'!$AC$12)</c:f>
              <c:numCache>
                <c:formatCode>General</c:formatCode>
                <c:ptCount val="5"/>
                <c:pt idx="0">
                  <c:v>4</c:v>
                </c:pt>
                <c:pt idx="1">
                  <c:v>8</c:v>
                </c:pt>
                <c:pt idx="2">
                  <c:v>9</c:v>
                </c:pt>
                <c:pt idx="3">
                  <c:v>8</c:v>
                </c:pt>
                <c:pt idx="4">
                  <c:v>7</c:v>
                </c:pt>
              </c:numCache>
            </c:numRef>
          </c:val>
          <c:smooth val="0"/>
          <c:extLst>
            <c:ext xmlns:c16="http://schemas.microsoft.com/office/drawing/2014/chart" uri="{C3380CC4-5D6E-409C-BE32-E72D297353CC}">
              <c16:uniqueId val="{00000009-4955-4A74-AB20-5450BBCB3624}"/>
            </c:ext>
          </c:extLst>
        </c:ser>
        <c:dLbls>
          <c:showLegendKey val="0"/>
          <c:showVal val="0"/>
          <c:showCatName val="0"/>
          <c:showSerName val="0"/>
          <c:showPercent val="0"/>
          <c:showBubbleSize val="0"/>
        </c:dLbls>
        <c:marker val="1"/>
        <c:smooth val="0"/>
        <c:axId val="118638464"/>
        <c:axId val="118640000"/>
      </c:lineChart>
      <c:catAx>
        <c:axId val="11863846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640000"/>
        <c:crosses val="autoZero"/>
        <c:auto val="1"/>
        <c:lblAlgn val="ctr"/>
        <c:lblOffset val="100"/>
        <c:noMultiLvlLbl val="0"/>
      </c:catAx>
      <c:valAx>
        <c:axId val="118640000"/>
        <c:scaling>
          <c:orientation val="minMax"/>
        </c:scaling>
        <c:delete val="1"/>
        <c:axPos val="l"/>
        <c:numFmt formatCode="General" sourceLinked="1"/>
        <c:majorTickMark val="out"/>
        <c:minorTickMark val="none"/>
        <c:tickLblPos val="nextTo"/>
        <c:crossAx val="11863846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CNI</a:t>
            </a:r>
          </a:p>
        </c:rich>
      </c:tx>
      <c:layout>
        <c:manualLayout>
          <c:xMode val="edge"/>
          <c:yMode val="edge"/>
          <c:x val="0.4604910268600948"/>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4"/>
              <c:layout>
                <c:manualLayout>
                  <c:x val="-2.9003216960122511E-2"/>
                  <c:y val="-2.2048078066353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22-4557-9848-5B9113FC0169}"/>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('I.30.'!$C$13,'I.30.'!$I$13,'I.30.'!$O$13,'I.30.'!$U$13,'I.30.'!$AA$13)</c:f>
              <c:numCache>
                <c:formatCode>General</c:formatCode>
                <c:ptCount val="5"/>
                <c:pt idx="1">
                  <c:v>1</c:v>
                </c:pt>
                <c:pt idx="2">
                  <c:v>1</c:v>
                </c:pt>
                <c:pt idx="3">
                  <c:v>1</c:v>
                </c:pt>
                <c:pt idx="4">
                  <c:v>1</c:v>
                </c:pt>
              </c:numCache>
            </c:numRef>
          </c:val>
          <c:smooth val="0"/>
          <c:extLst>
            <c:ext xmlns:c16="http://schemas.microsoft.com/office/drawing/2014/chart" uri="{C3380CC4-5D6E-409C-BE32-E72D297353CC}">
              <c16:uniqueId val="{00000001-4222-4557-9848-5B9113FC01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2-4557-9848-5B9113FC0169}"/>
                </c:ext>
              </c:extLst>
            </c:dLbl>
            <c:dLbl>
              <c:idx val="2"/>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22-4557-9848-5B9113FC0169}"/>
                </c:ext>
              </c:extLst>
            </c:dLbl>
            <c:dLbl>
              <c:idx val="3"/>
              <c:layout>
                <c:manualLayout>
                  <c:x val="-4.430756737075772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22-4557-9848-5B9113FC0169}"/>
                </c:ext>
              </c:extLst>
            </c:dLbl>
            <c:dLbl>
              <c:idx val="4"/>
              <c:layout>
                <c:manualLayout>
                  <c:x val="-3.2131249863672919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22-4557-9848-5B9113FC0169}"/>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('I.30.'!$D$13,'I.30.'!$J$13,'I.30.'!$P$13,'I.30.'!$V$13,'I.30.'!$AB$13)</c:f>
              <c:numCache>
                <c:formatCode>General</c:formatCode>
                <c:ptCount val="5"/>
                <c:pt idx="1">
                  <c:v>1</c:v>
                </c:pt>
                <c:pt idx="2">
                  <c:v>2</c:v>
                </c:pt>
                <c:pt idx="3">
                  <c:v>2</c:v>
                </c:pt>
                <c:pt idx="4">
                  <c:v>4</c:v>
                </c:pt>
              </c:numCache>
            </c:numRef>
          </c:val>
          <c:smooth val="0"/>
          <c:extLst>
            <c:ext xmlns:c16="http://schemas.microsoft.com/office/drawing/2014/chart" uri="{C3380CC4-5D6E-409C-BE32-E72D297353CC}">
              <c16:uniqueId val="{00000006-4222-4557-9848-5B9113FC01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22-4557-9848-5B9113FC0169}"/>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22-4557-9848-5B9113FC0169}"/>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22-4557-9848-5B9113FC0169}"/>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('I.30.'!$E$13,'I.30.'!$K$13,'I.30.'!$Q$13,'I.30.'!$W$13,'I.30.'!$AC$13)</c:f>
              <c:numCache>
                <c:formatCode>General</c:formatCode>
                <c:ptCount val="5"/>
                <c:pt idx="0">
                  <c:v>5</c:v>
                </c:pt>
                <c:pt idx="1">
                  <c:v>5</c:v>
                </c:pt>
                <c:pt idx="2">
                  <c:v>5</c:v>
                </c:pt>
                <c:pt idx="3">
                  <c:v>5</c:v>
                </c:pt>
                <c:pt idx="4">
                  <c:v>4</c:v>
                </c:pt>
              </c:numCache>
            </c:numRef>
          </c:val>
          <c:smooth val="0"/>
          <c:extLst>
            <c:ext xmlns:c16="http://schemas.microsoft.com/office/drawing/2014/chart" uri="{C3380CC4-5D6E-409C-BE32-E72D297353CC}">
              <c16:uniqueId val="{0000000A-4222-4557-9848-5B9113FC0169}"/>
            </c:ext>
          </c:extLst>
        </c:ser>
        <c:dLbls>
          <c:showLegendKey val="0"/>
          <c:showVal val="0"/>
          <c:showCatName val="0"/>
          <c:showSerName val="0"/>
          <c:showPercent val="0"/>
          <c:showBubbleSize val="0"/>
        </c:dLbls>
        <c:marker val="1"/>
        <c:smooth val="0"/>
        <c:axId val="118727424"/>
        <c:axId val="118728960"/>
      </c:lineChart>
      <c:catAx>
        <c:axId val="11872742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728960"/>
        <c:crosses val="autoZero"/>
        <c:auto val="1"/>
        <c:lblAlgn val="ctr"/>
        <c:lblOffset val="100"/>
        <c:noMultiLvlLbl val="0"/>
      </c:catAx>
      <c:valAx>
        <c:axId val="118728960"/>
        <c:scaling>
          <c:orientation val="minMax"/>
        </c:scaling>
        <c:delete val="1"/>
        <c:axPos val="l"/>
        <c:numFmt formatCode="General" sourceLinked="1"/>
        <c:majorTickMark val="out"/>
        <c:minorTickMark val="none"/>
        <c:tickLblPos val="nextTo"/>
        <c:crossAx val="11872742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TOTAL</a:t>
            </a:r>
          </a:p>
        </c:rich>
      </c:tx>
      <c:layout>
        <c:manualLayout>
          <c:xMode val="edge"/>
          <c:yMode val="edge"/>
          <c:x val="0.45135860895777558"/>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('I.30.'!$C$14,'I.30.'!$I$14,'I.30.'!$O$14,'I.30.'!$U$14,'I.30.'!$AA$14)</c:f>
              <c:numCache>
                <c:formatCode>General</c:formatCode>
                <c:ptCount val="5"/>
                <c:pt idx="0">
                  <c:v>2</c:v>
                </c:pt>
                <c:pt idx="1">
                  <c:v>3</c:v>
                </c:pt>
                <c:pt idx="2">
                  <c:v>4</c:v>
                </c:pt>
                <c:pt idx="3">
                  <c:v>4</c:v>
                </c:pt>
                <c:pt idx="4">
                  <c:v>5</c:v>
                </c:pt>
              </c:numCache>
            </c:numRef>
          </c:val>
          <c:smooth val="0"/>
          <c:extLst>
            <c:ext xmlns:c16="http://schemas.microsoft.com/office/drawing/2014/chart" uri="{C3380CC4-5D6E-409C-BE32-E72D297353CC}">
              <c16:uniqueId val="{00000000-F19A-4E8A-A649-E40EEC8CE001}"/>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('I.30.'!$D$14,'I.30.'!$J$14,'I.30.'!$P$14,'I.30.'!$V$14,'I.30.'!$AB$14)</c:f>
              <c:numCache>
                <c:formatCode>General</c:formatCode>
                <c:ptCount val="5"/>
                <c:pt idx="0">
                  <c:v>4</c:v>
                </c:pt>
                <c:pt idx="1">
                  <c:v>5</c:v>
                </c:pt>
                <c:pt idx="2">
                  <c:v>5</c:v>
                </c:pt>
                <c:pt idx="3">
                  <c:v>5</c:v>
                </c:pt>
                <c:pt idx="4">
                  <c:v>7</c:v>
                </c:pt>
              </c:numCache>
            </c:numRef>
          </c:val>
          <c:smooth val="0"/>
          <c:extLst>
            <c:ext xmlns:c16="http://schemas.microsoft.com/office/drawing/2014/chart" uri="{C3380CC4-5D6E-409C-BE32-E72D297353CC}">
              <c16:uniqueId val="{00000001-F19A-4E8A-A649-E40EEC8CE001}"/>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9A-4E8A-A649-E40EEC8CE001}"/>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9A-4E8A-A649-E40EEC8CE001}"/>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9A-4E8A-A649-E40EEC8CE001}"/>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('I.30.'!$E$14,'I.30.'!$K$14,'I.30.'!$Q$14,'I.30.'!$W$14,'I.30.'!$AC$14)</c:f>
              <c:numCache>
                <c:formatCode>General</c:formatCode>
                <c:ptCount val="5"/>
                <c:pt idx="0">
                  <c:v>14</c:v>
                </c:pt>
                <c:pt idx="1">
                  <c:v>19</c:v>
                </c:pt>
                <c:pt idx="2">
                  <c:v>21</c:v>
                </c:pt>
                <c:pt idx="3">
                  <c:v>20</c:v>
                </c:pt>
                <c:pt idx="4">
                  <c:v>16</c:v>
                </c:pt>
              </c:numCache>
            </c:numRef>
          </c:val>
          <c:smooth val="0"/>
          <c:extLst>
            <c:ext xmlns:c16="http://schemas.microsoft.com/office/drawing/2014/chart" uri="{C3380CC4-5D6E-409C-BE32-E72D297353CC}">
              <c16:uniqueId val="{00000005-F19A-4E8A-A649-E40EEC8CE001}"/>
            </c:ext>
          </c:extLst>
        </c:ser>
        <c:dLbls>
          <c:showLegendKey val="0"/>
          <c:showVal val="0"/>
          <c:showCatName val="0"/>
          <c:showSerName val="0"/>
          <c:showPercent val="0"/>
          <c:showBubbleSize val="0"/>
        </c:dLbls>
        <c:marker val="1"/>
        <c:smooth val="0"/>
        <c:axId val="118845440"/>
        <c:axId val="118846976"/>
      </c:lineChart>
      <c:catAx>
        <c:axId val="118845440"/>
        <c:scaling>
          <c:orientation val="minMax"/>
        </c:scaling>
        <c:delete val="0"/>
        <c:axPos val="b"/>
        <c:numFmt formatCode="General" sourceLinked="1"/>
        <c:majorTickMark val="out"/>
        <c:minorTickMark val="none"/>
        <c:tickLblPos val="nextTo"/>
        <c:txPr>
          <a:bodyPr/>
          <a:lstStyle/>
          <a:p>
            <a:pPr>
              <a:defRPr lang="es-ES" sz="800"/>
            </a:pPr>
            <a:endParaRPr lang="es-MX"/>
          </a:p>
        </c:txPr>
        <c:crossAx val="118846976"/>
        <c:crosses val="autoZero"/>
        <c:auto val="1"/>
        <c:lblAlgn val="ctr"/>
        <c:lblOffset val="100"/>
        <c:noMultiLvlLbl val="0"/>
      </c:catAx>
      <c:valAx>
        <c:axId val="118846976"/>
        <c:scaling>
          <c:orientation val="minMax"/>
        </c:scaling>
        <c:delete val="1"/>
        <c:axPos val="l"/>
        <c:numFmt formatCode="General" sourceLinked="1"/>
        <c:majorTickMark val="out"/>
        <c:minorTickMark val="none"/>
        <c:tickLblPos val="nextTo"/>
        <c:crossAx val="118845440"/>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CSH</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1"/>
              <c:layout>
                <c:manualLayout>
                  <c:x val="-1.082203506225266E-2"/>
                  <c:y val="2.6144672698279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9-403D-8F35-8BCC0A922B60}"/>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9-403D-8F35-8BCC0A922B60}"/>
                </c:ext>
              </c:extLst>
            </c:dLbl>
            <c:dLbl>
              <c:idx val="3"/>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9-403D-8F35-8BCC0A922B60}"/>
                </c:ext>
              </c:extLst>
            </c:dLbl>
            <c:dLbl>
              <c:idx val="4"/>
              <c:layout>
                <c:manualLayout>
                  <c:x val="-4.117977416321524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9-403D-8F35-8BCC0A922B60}"/>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('I.30.'!$C$17,'I.30.'!$I$17,'I.30.'!$O$17,'I.30.'!$U$17,'I.30.'!$AA$17)</c:f>
              <c:numCache>
                <c:formatCode>General</c:formatCode>
                <c:ptCount val="5"/>
                <c:pt idx="0">
                  <c:v>17</c:v>
                </c:pt>
                <c:pt idx="1">
                  <c:v>12</c:v>
                </c:pt>
                <c:pt idx="2">
                  <c:v>16</c:v>
                </c:pt>
                <c:pt idx="3">
                  <c:v>16</c:v>
                </c:pt>
                <c:pt idx="4">
                  <c:v>16</c:v>
                </c:pt>
              </c:numCache>
            </c:numRef>
          </c:val>
          <c:smooth val="0"/>
          <c:extLst>
            <c:ext xmlns:c16="http://schemas.microsoft.com/office/drawing/2014/chart" uri="{C3380CC4-5D6E-409C-BE32-E72D297353CC}">
              <c16:uniqueId val="{00000004-F349-403D-8F35-8BCC0A922B6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88218284911494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9-403D-8F35-8BCC0A922B60}"/>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('I.30.'!$D$17,'I.30.'!$J$17,'I.30.'!$P$17,'I.30.'!$V$17,'I.30.'!$AB$17)</c:f>
              <c:numCache>
                <c:formatCode>General</c:formatCode>
                <c:ptCount val="5"/>
                <c:pt idx="0">
                  <c:v>12</c:v>
                </c:pt>
                <c:pt idx="1">
                  <c:v>14</c:v>
                </c:pt>
                <c:pt idx="2">
                  <c:v>11</c:v>
                </c:pt>
                <c:pt idx="3">
                  <c:v>12</c:v>
                </c:pt>
                <c:pt idx="4">
                  <c:v>11</c:v>
                </c:pt>
              </c:numCache>
            </c:numRef>
          </c:val>
          <c:smooth val="0"/>
          <c:extLst>
            <c:ext xmlns:c16="http://schemas.microsoft.com/office/drawing/2014/chart" uri="{C3380CC4-5D6E-409C-BE32-E72D297353CC}">
              <c16:uniqueId val="{00000006-F349-403D-8F35-8BCC0A922B6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('I.30.'!$E$17,'I.30.'!$K$17,'I.30.'!$Q$17,'I.30.'!$W$17,'I.30.'!$AC$17)</c:f>
              <c:numCache>
                <c:formatCode>General</c:formatCode>
                <c:ptCount val="5"/>
                <c:pt idx="0">
                  <c:v>3</c:v>
                </c:pt>
                <c:pt idx="1">
                  <c:v>10</c:v>
                </c:pt>
                <c:pt idx="2">
                  <c:v>9</c:v>
                </c:pt>
                <c:pt idx="3">
                  <c:v>9</c:v>
                </c:pt>
                <c:pt idx="4">
                  <c:v>7</c:v>
                </c:pt>
              </c:numCache>
            </c:numRef>
          </c:val>
          <c:smooth val="0"/>
          <c:extLst>
            <c:ext xmlns:c16="http://schemas.microsoft.com/office/drawing/2014/chart" uri="{C3380CC4-5D6E-409C-BE32-E72D297353CC}">
              <c16:uniqueId val="{00000007-F349-403D-8F35-8BCC0A922B60}"/>
            </c:ext>
          </c:extLst>
        </c:ser>
        <c:dLbls>
          <c:showLegendKey val="0"/>
          <c:showVal val="0"/>
          <c:showCatName val="0"/>
          <c:showSerName val="0"/>
          <c:showPercent val="0"/>
          <c:showBubbleSize val="0"/>
        </c:dLbls>
        <c:marker val="1"/>
        <c:smooth val="0"/>
        <c:axId val="119156096"/>
        <c:axId val="119190656"/>
      </c:lineChart>
      <c:catAx>
        <c:axId val="119156096"/>
        <c:scaling>
          <c:orientation val="minMax"/>
        </c:scaling>
        <c:delete val="0"/>
        <c:axPos val="b"/>
        <c:numFmt formatCode="General" sourceLinked="1"/>
        <c:majorTickMark val="out"/>
        <c:minorTickMark val="none"/>
        <c:tickLblPos val="nextTo"/>
        <c:txPr>
          <a:bodyPr/>
          <a:lstStyle/>
          <a:p>
            <a:pPr>
              <a:defRPr lang="es-ES" sz="800"/>
            </a:pPr>
            <a:endParaRPr lang="es-MX"/>
          </a:p>
        </c:txPr>
        <c:crossAx val="119190656"/>
        <c:crosses val="autoZero"/>
        <c:auto val="1"/>
        <c:lblAlgn val="ctr"/>
        <c:lblOffset val="100"/>
        <c:noMultiLvlLbl val="0"/>
      </c:catAx>
      <c:valAx>
        <c:axId val="119190656"/>
        <c:scaling>
          <c:orientation val="minMax"/>
        </c:scaling>
        <c:delete val="1"/>
        <c:axPos val="l"/>
        <c:numFmt formatCode="General" sourceLinked="1"/>
        <c:majorTickMark val="out"/>
        <c:minorTickMark val="none"/>
        <c:tickLblPos val="nextTo"/>
        <c:crossAx val="119156096"/>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CBS</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E8-44AD-850C-67BED45234B5}"/>
                </c:ext>
              </c:extLst>
            </c:dLbl>
            <c:spPr>
              <a:noFill/>
              <a:ln>
                <a:noFill/>
              </a:ln>
              <a:effectLst/>
            </c:spPr>
            <c:txPr>
              <a:bodyPr/>
              <a:lstStyle/>
              <a:p>
                <a:pPr>
                  <a:defRPr lang="es-ES" sz="800">
                    <a:solidFill>
                      <a:schemeClr val="bg2">
                        <a:lumMod val="25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('I.30.'!$C$18,'I.30.'!$I$18,'I.30.'!$O$18,'I.30.'!$U$18,'I.30.'!$AA$18)</c:f>
              <c:numCache>
                <c:formatCode>General</c:formatCode>
                <c:ptCount val="5"/>
                <c:pt idx="0">
                  <c:v>14</c:v>
                </c:pt>
                <c:pt idx="1">
                  <c:v>15</c:v>
                </c:pt>
                <c:pt idx="2">
                  <c:v>15</c:v>
                </c:pt>
                <c:pt idx="3">
                  <c:v>15</c:v>
                </c:pt>
                <c:pt idx="4">
                  <c:v>15</c:v>
                </c:pt>
              </c:numCache>
            </c:numRef>
          </c:val>
          <c:smooth val="0"/>
          <c:extLst>
            <c:ext xmlns:c16="http://schemas.microsoft.com/office/drawing/2014/chart" uri="{C3380CC4-5D6E-409C-BE32-E72D297353CC}">
              <c16:uniqueId val="{00000001-BCE8-44AD-850C-67BED45234B5}"/>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8-44AD-850C-67BED45234B5}"/>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('I.30.'!$D$18,'I.30.'!$J$18,'I.30.'!$P$18,'I.30.'!$V$18,'I.30.'!$AB$18)</c:f>
              <c:numCache>
                <c:formatCode>General</c:formatCode>
                <c:ptCount val="5"/>
                <c:pt idx="0">
                  <c:v>15</c:v>
                </c:pt>
                <c:pt idx="1">
                  <c:v>13</c:v>
                </c:pt>
                <c:pt idx="2">
                  <c:v>9</c:v>
                </c:pt>
                <c:pt idx="3">
                  <c:v>8</c:v>
                </c:pt>
                <c:pt idx="4">
                  <c:v>8</c:v>
                </c:pt>
              </c:numCache>
            </c:numRef>
          </c:val>
          <c:smooth val="0"/>
          <c:extLst>
            <c:ext xmlns:c16="http://schemas.microsoft.com/office/drawing/2014/chart" uri="{C3380CC4-5D6E-409C-BE32-E72D297353CC}">
              <c16:uniqueId val="{00000003-BCE8-44AD-850C-67BED45234B5}"/>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('I.30.'!$E$18,'I.30.'!$K$18,'I.30.'!$Q$18,'I.30.'!$W$18,'I.30.'!$AC$18)</c:f>
              <c:numCache>
                <c:formatCode>General</c:formatCode>
                <c:ptCount val="5"/>
                <c:pt idx="0">
                  <c:v>10</c:v>
                </c:pt>
                <c:pt idx="1">
                  <c:v>4</c:v>
                </c:pt>
                <c:pt idx="2">
                  <c:v>8</c:v>
                </c:pt>
                <c:pt idx="3">
                  <c:v>8</c:v>
                </c:pt>
                <c:pt idx="4">
                  <c:v>8</c:v>
                </c:pt>
              </c:numCache>
            </c:numRef>
          </c:val>
          <c:smooth val="0"/>
          <c:extLst>
            <c:ext xmlns:c16="http://schemas.microsoft.com/office/drawing/2014/chart" uri="{C3380CC4-5D6E-409C-BE32-E72D297353CC}">
              <c16:uniqueId val="{00000004-BCE8-44AD-850C-67BED45234B5}"/>
            </c:ext>
          </c:extLst>
        </c:ser>
        <c:dLbls>
          <c:showLegendKey val="0"/>
          <c:showVal val="0"/>
          <c:showCatName val="0"/>
          <c:showSerName val="0"/>
          <c:showPercent val="0"/>
          <c:showBubbleSize val="0"/>
        </c:dLbls>
        <c:marker val="1"/>
        <c:smooth val="0"/>
        <c:axId val="118975872"/>
        <c:axId val="118981760"/>
      </c:lineChart>
      <c:catAx>
        <c:axId val="118975872"/>
        <c:scaling>
          <c:orientation val="minMax"/>
        </c:scaling>
        <c:delete val="0"/>
        <c:axPos val="b"/>
        <c:numFmt formatCode="General" sourceLinked="1"/>
        <c:majorTickMark val="out"/>
        <c:minorTickMark val="none"/>
        <c:tickLblPos val="nextTo"/>
        <c:txPr>
          <a:bodyPr/>
          <a:lstStyle/>
          <a:p>
            <a:pPr>
              <a:defRPr lang="es-ES" sz="800"/>
            </a:pPr>
            <a:endParaRPr lang="es-MX"/>
          </a:p>
        </c:txPr>
        <c:crossAx val="118981760"/>
        <c:crosses val="autoZero"/>
        <c:auto val="1"/>
        <c:lblAlgn val="ctr"/>
        <c:lblOffset val="100"/>
        <c:noMultiLvlLbl val="0"/>
      </c:catAx>
      <c:valAx>
        <c:axId val="118981760"/>
        <c:scaling>
          <c:orientation val="minMax"/>
        </c:scaling>
        <c:delete val="1"/>
        <c:axPos val="l"/>
        <c:numFmt formatCode="General" sourceLinked="1"/>
        <c:majorTickMark val="out"/>
        <c:minorTickMark val="none"/>
        <c:tickLblPos val="nextTo"/>
        <c:crossAx val="11897587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TOTAL</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81-41AF-A2B7-B8D165377950}"/>
                </c:ext>
              </c:extLst>
            </c:dLbl>
            <c:dLbl>
              <c:idx val="2"/>
              <c:layout>
                <c:manualLayout>
                  <c:x val="-3.8219288769211351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81-41AF-A2B7-B8D165377950}"/>
                </c:ext>
              </c:extLst>
            </c:dLbl>
            <c:dLbl>
              <c:idx val="3"/>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81-41AF-A2B7-B8D165377950}"/>
                </c:ext>
              </c:extLst>
            </c:dLbl>
            <c:dLbl>
              <c:idx val="4"/>
              <c:layout>
                <c:manualLayout>
                  <c:x val="-2.9003216960122511E-2"/>
                  <c:y val="-2.2048078066353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81-41AF-A2B7-B8D165377950}"/>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('I.30.'!$C$19,'I.30.'!$I$19,'I.30.'!$O$19,'I.30.'!$U$19,'I.30.'!$AA$19)</c:f>
              <c:numCache>
                <c:formatCode>General</c:formatCode>
                <c:ptCount val="5"/>
                <c:pt idx="0">
                  <c:v>47</c:v>
                </c:pt>
                <c:pt idx="1">
                  <c:v>43</c:v>
                </c:pt>
                <c:pt idx="2">
                  <c:v>48</c:v>
                </c:pt>
                <c:pt idx="3">
                  <c:v>48</c:v>
                </c:pt>
                <c:pt idx="4">
                  <c:v>49</c:v>
                </c:pt>
              </c:numCache>
            </c:numRef>
          </c:val>
          <c:smooth val="0"/>
          <c:extLst>
            <c:ext xmlns:c16="http://schemas.microsoft.com/office/drawing/2014/chart" uri="{C3380CC4-5D6E-409C-BE32-E72D297353CC}">
              <c16:uniqueId val="{00000004-1581-41AF-A2B7-B8D16537795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81-41AF-A2B7-B8D165377950}"/>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('I.30.'!$D$19,'I.30.'!$J$19,'I.30.'!$P$19,'I.30.'!$V$19,'I.30.'!$AB$19)</c:f>
              <c:numCache>
                <c:formatCode>General</c:formatCode>
                <c:ptCount val="5"/>
                <c:pt idx="0">
                  <c:v>45</c:v>
                </c:pt>
                <c:pt idx="1">
                  <c:v>46</c:v>
                </c:pt>
                <c:pt idx="2">
                  <c:v>37</c:v>
                </c:pt>
                <c:pt idx="3">
                  <c:v>36</c:v>
                </c:pt>
                <c:pt idx="4">
                  <c:v>35</c:v>
                </c:pt>
              </c:numCache>
            </c:numRef>
          </c:val>
          <c:smooth val="0"/>
          <c:extLst>
            <c:ext xmlns:c16="http://schemas.microsoft.com/office/drawing/2014/chart" uri="{C3380CC4-5D6E-409C-BE32-E72D297353CC}">
              <c16:uniqueId val="{00000006-1581-41AF-A2B7-B8D16537795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('I.30.'!$E$19,'I.30.'!$K$19,'I.30.'!$Q$19,'I.30.'!$W$19,'I.30.'!$AC$19)</c:f>
              <c:numCache>
                <c:formatCode>General</c:formatCode>
                <c:ptCount val="5"/>
                <c:pt idx="0">
                  <c:v>16</c:v>
                </c:pt>
                <c:pt idx="1">
                  <c:v>18</c:v>
                </c:pt>
                <c:pt idx="2">
                  <c:v>20</c:v>
                </c:pt>
                <c:pt idx="3">
                  <c:v>20</c:v>
                </c:pt>
                <c:pt idx="4">
                  <c:v>18</c:v>
                </c:pt>
              </c:numCache>
            </c:numRef>
          </c:val>
          <c:smooth val="0"/>
          <c:extLst>
            <c:ext xmlns:c16="http://schemas.microsoft.com/office/drawing/2014/chart" uri="{C3380CC4-5D6E-409C-BE32-E72D297353CC}">
              <c16:uniqueId val="{00000007-1581-41AF-A2B7-B8D165377950}"/>
            </c:ext>
          </c:extLst>
        </c:ser>
        <c:dLbls>
          <c:showLegendKey val="0"/>
          <c:showVal val="0"/>
          <c:showCatName val="0"/>
          <c:showSerName val="0"/>
          <c:showPercent val="0"/>
          <c:showBubbleSize val="0"/>
        </c:dLbls>
        <c:marker val="1"/>
        <c:smooth val="0"/>
        <c:axId val="119032832"/>
        <c:axId val="119046912"/>
      </c:lineChart>
      <c:catAx>
        <c:axId val="119032832"/>
        <c:scaling>
          <c:orientation val="minMax"/>
        </c:scaling>
        <c:delete val="0"/>
        <c:axPos val="b"/>
        <c:numFmt formatCode="General" sourceLinked="1"/>
        <c:majorTickMark val="out"/>
        <c:minorTickMark val="none"/>
        <c:tickLblPos val="nextTo"/>
        <c:txPr>
          <a:bodyPr/>
          <a:lstStyle/>
          <a:p>
            <a:pPr>
              <a:defRPr lang="es-ES" sz="800"/>
            </a:pPr>
            <a:endParaRPr lang="es-MX"/>
          </a:p>
        </c:txPr>
        <c:crossAx val="119046912"/>
        <c:crosses val="autoZero"/>
        <c:auto val="1"/>
        <c:lblAlgn val="ctr"/>
        <c:lblOffset val="100"/>
        <c:noMultiLvlLbl val="0"/>
      </c:catAx>
      <c:valAx>
        <c:axId val="119046912"/>
        <c:scaling>
          <c:orientation val="minMax"/>
        </c:scaling>
        <c:delete val="1"/>
        <c:axPos val="l"/>
        <c:numFmt formatCode="General" sourceLinked="1"/>
        <c:majorTickMark val="out"/>
        <c:minorTickMark val="none"/>
        <c:tickLblPos val="nextTo"/>
        <c:crossAx val="11903283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Indicadores!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icadores!C10"/></Relationships>
</file>

<file path=xl/drawings/_rels/drawing11.xml.rels><?xml version="1.0" encoding="UTF-8" standalone="yes"?>
<Relationships xmlns="http://schemas.openxmlformats.org/package/2006/relationships"><Relationship Id="rId1" Type="http://schemas.openxmlformats.org/officeDocument/2006/relationships/hyperlink" Target="#Indicadores!C11"/></Relationships>
</file>

<file path=xl/drawings/_rels/drawing12.xml.rels><?xml version="1.0" encoding="UTF-8" standalone="yes"?>
<Relationships xmlns="http://schemas.openxmlformats.org/package/2006/relationships"><Relationship Id="rId1" Type="http://schemas.openxmlformats.org/officeDocument/2006/relationships/hyperlink" Target="#Indicadores!C12"/></Relationships>
</file>

<file path=xl/drawings/_rels/drawing13.xml.rels><?xml version="1.0" encoding="UTF-8" standalone="yes"?>
<Relationships xmlns="http://schemas.openxmlformats.org/package/2006/relationships"><Relationship Id="rId1" Type="http://schemas.openxmlformats.org/officeDocument/2006/relationships/hyperlink" Target="#Indicadores!C13"/></Relationships>
</file>

<file path=xl/drawings/_rels/drawing14.xml.rels><?xml version="1.0" encoding="UTF-8" standalone="yes"?>
<Relationships xmlns="http://schemas.openxmlformats.org/package/2006/relationships"><Relationship Id="rId1" Type="http://schemas.openxmlformats.org/officeDocument/2006/relationships/hyperlink" Target="#Indicadores!C14"/></Relationships>
</file>

<file path=xl/drawings/_rels/drawing15.xml.rels><?xml version="1.0" encoding="UTF-8" standalone="yes"?>
<Relationships xmlns="http://schemas.openxmlformats.org/package/2006/relationships"><Relationship Id="rId1" Type="http://schemas.openxmlformats.org/officeDocument/2006/relationships/hyperlink" Target="#Indicadores!C15"/></Relationships>
</file>

<file path=xl/drawings/_rels/drawing16.xml.rels><?xml version="1.0" encoding="UTF-8" standalone="yes"?>
<Relationships xmlns="http://schemas.openxmlformats.org/package/2006/relationships"><Relationship Id="rId1" Type="http://schemas.openxmlformats.org/officeDocument/2006/relationships/hyperlink" Target="#Indicadores!C16"/></Relationships>
</file>

<file path=xl/drawings/_rels/drawing17.xml.rels><?xml version="1.0" encoding="UTF-8" standalone="yes"?>
<Relationships xmlns="http://schemas.openxmlformats.org/package/2006/relationships"><Relationship Id="rId1" Type="http://schemas.openxmlformats.org/officeDocument/2006/relationships/hyperlink" Target="#Indicadores!C17"/></Relationships>
</file>

<file path=xl/drawings/_rels/drawing18.xml.rels><?xml version="1.0" encoding="UTF-8" standalone="yes"?>
<Relationships xmlns="http://schemas.openxmlformats.org/package/2006/relationships"><Relationship Id="rId1" Type="http://schemas.openxmlformats.org/officeDocument/2006/relationships/hyperlink" Target="#Indicadores!C18"/></Relationships>
</file>

<file path=xl/drawings/_rels/drawing19.xml.rels><?xml version="1.0" encoding="UTF-8" standalone="yes"?>
<Relationships xmlns="http://schemas.openxmlformats.org/package/2006/relationships"><Relationship Id="rId1" Type="http://schemas.openxmlformats.org/officeDocument/2006/relationships/hyperlink" Target="#Indicadores!C19"/></Relationships>
</file>

<file path=xl/drawings/_rels/drawing2.xml.rels><?xml version="1.0" encoding="UTF-8" standalone="yes"?>
<Relationships xmlns="http://schemas.openxmlformats.org/package/2006/relationships"><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27.emf"/><Relationship Id="rId21" Type="http://schemas.openxmlformats.org/officeDocument/2006/relationships/image" Target="../media/image22.emf"/><Relationship Id="rId34" Type="http://schemas.openxmlformats.org/officeDocument/2006/relationships/image" Target="../media/image35.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emf"/><Relationship Id="rId38" Type="http://schemas.openxmlformats.org/officeDocument/2006/relationships/image" Target="../media/image39.png"/><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29" Type="http://schemas.openxmlformats.org/officeDocument/2006/relationships/image" Target="../media/image30.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24" Type="http://schemas.openxmlformats.org/officeDocument/2006/relationships/image" Target="../media/image25.emf"/><Relationship Id="rId32" Type="http://schemas.openxmlformats.org/officeDocument/2006/relationships/image" Target="../media/image33.emf"/><Relationship Id="rId37" Type="http://schemas.openxmlformats.org/officeDocument/2006/relationships/image" Target="../media/image38.emf"/><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10" Type="http://schemas.openxmlformats.org/officeDocument/2006/relationships/image" Target="../media/image11.emf"/><Relationship Id="rId19" Type="http://schemas.openxmlformats.org/officeDocument/2006/relationships/image" Target="../media/image20.emf"/><Relationship Id="rId31" Type="http://schemas.openxmlformats.org/officeDocument/2006/relationships/image" Target="../media/image32.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 Id="rId8" Type="http://schemas.openxmlformats.org/officeDocument/2006/relationships/image" Target="../media/image9.emf"/><Relationship Id="rId3" Type="http://schemas.openxmlformats.org/officeDocument/2006/relationships/image" Target="../media/image4.emf"/></Relationships>
</file>

<file path=xl/drawings/_rels/drawing20.xml.rels><?xml version="1.0" encoding="UTF-8" standalone="yes"?>
<Relationships xmlns="http://schemas.openxmlformats.org/package/2006/relationships"><Relationship Id="rId1" Type="http://schemas.openxmlformats.org/officeDocument/2006/relationships/hyperlink" Target="#Indicadores!C20"/></Relationships>
</file>

<file path=xl/drawings/_rels/drawing21.xml.rels><?xml version="1.0" encoding="UTF-8" standalone="yes"?>
<Relationships xmlns="http://schemas.openxmlformats.org/package/2006/relationships"><Relationship Id="rId1" Type="http://schemas.openxmlformats.org/officeDocument/2006/relationships/hyperlink" Target="#Indicadores!C21"/></Relationships>
</file>

<file path=xl/drawings/_rels/drawing22.xml.rels><?xml version="1.0" encoding="UTF-8" standalone="yes"?>
<Relationships xmlns="http://schemas.openxmlformats.org/package/2006/relationships"><Relationship Id="rId1" Type="http://schemas.openxmlformats.org/officeDocument/2006/relationships/hyperlink" Target="#Indicadores!C23"/></Relationships>
</file>

<file path=xl/drawings/_rels/drawing23.xml.rels><?xml version="1.0" encoding="UTF-8" standalone="yes"?>
<Relationships xmlns="http://schemas.openxmlformats.org/package/2006/relationships"><Relationship Id="rId1" Type="http://schemas.openxmlformats.org/officeDocument/2006/relationships/hyperlink" Target="#Indicadores!C25"/></Relationships>
</file>

<file path=xl/drawings/_rels/drawing24.xml.rels><?xml version="1.0" encoding="UTF-8" standalone="yes"?>
<Relationships xmlns="http://schemas.openxmlformats.org/package/2006/relationships"><Relationship Id="rId1" Type="http://schemas.openxmlformats.org/officeDocument/2006/relationships/hyperlink" Target="#Indicadores!C30"/></Relationships>
</file>

<file path=xl/drawings/_rels/drawing25.xml.rels><?xml version="1.0" encoding="UTF-8" standalone="yes"?>
<Relationships xmlns="http://schemas.openxmlformats.org/package/2006/relationships"><Relationship Id="rId1" Type="http://schemas.openxmlformats.org/officeDocument/2006/relationships/hyperlink" Target="#Indicadores!C31"/></Relationships>
</file>

<file path=xl/drawings/_rels/drawing26.xml.rels><?xml version="1.0" encoding="UTF-8" standalone="yes"?>
<Relationships xmlns="http://schemas.openxmlformats.org/package/2006/relationships"><Relationship Id="rId1" Type="http://schemas.openxmlformats.org/officeDocument/2006/relationships/hyperlink" Target="#Indicadores!C32"/></Relationships>
</file>

<file path=xl/drawings/_rels/drawing27.xml.rels><?xml version="1.0" encoding="UTF-8" standalone="yes"?>
<Relationships xmlns="http://schemas.openxmlformats.org/package/2006/relationships"><Relationship Id="rId1" Type="http://schemas.openxmlformats.org/officeDocument/2006/relationships/hyperlink" Target="#Indicadores!C33"/></Relationships>
</file>

<file path=xl/drawings/_rels/drawing28.xml.rels><?xml version="1.0" encoding="UTF-8" standalone="yes"?>
<Relationships xmlns="http://schemas.openxmlformats.org/package/2006/relationships"><Relationship Id="rId1" Type="http://schemas.openxmlformats.org/officeDocument/2006/relationships/hyperlink" Target="#Indicadores!C34"/></Relationships>
</file>

<file path=xl/drawings/_rels/drawing29.xml.rels><?xml version="1.0" encoding="UTF-8" standalone="yes"?>
<Relationships xmlns="http://schemas.openxmlformats.org/package/2006/relationships"><Relationship Id="rId1" Type="http://schemas.openxmlformats.org/officeDocument/2006/relationships/hyperlink" Target="#Indicadores!C35"/></Relationships>
</file>

<file path=xl/drawings/_rels/drawing30.xml.rels><?xml version="1.0" encoding="UTF-8" standalone="yes"?>
<Relationships xmlns="http://schemas.openxmlformats.org/package/2006/relationships"><Relationship Id="rId1" Type="http://schemas.openxmlformats.org/officeDocument/2006/relationships/hyperlink" Target="#Indicadores!C36"/></Relationships>
</file>

<file path=xl/drawings/_rels/drawing31.xml.rels><?xml version="1.0" encoding="UTF-8" standalone="yes"?>
<Relationships xmlns="http://schemas.openxmlformats.org/package/2006/relationships"><Relationship Id="rId1" Type="http://schemas.openxmlformats.org/officeDocument/2006/relationships/hyperlink" Target="#Indicadores!C37"/></Relationships>
</file>

<file path=xl/drawings/_rels/drawing32.xml.rels><?xml version="1.0" encoding="UTF-8" standalone="yes"?>
<Relationships xmlns="http://schemas.openxmlformats.org/package/2006/relationships"><Relationship Id="rId1" Type="http://schemas.openxmlformats.org/officeDocument/2006/relationships/hyperlink" Target="#Indicadores!C38"/></Relationships>
</file>

<file path=xl/drawings/_rels/drawing3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Indicadores!C39"/><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4.xml.rels><?xml version="1.0" encoding="UTF-8" standalone="yes"?>
<Relationships xmlns="http://schemas.openxmlformats.org/package/2006/relationships"><Relationship Id="rId1" Type="http://schemas.openxmlformats.org/officeDocument/2006/relationships/hyperlink" Target="#Indicadores!C44"/></Relationships>
</file>

<file path=xl/drawings/_rels/drawing35.xml.rels><?xml version="1.0" encoding="UTF-8" standalone="yes"?>
<Relationships xmlns="http://schemas.openxmlformats.org/package/2006/relationships"><Relationship Id="rId1" Type="http://schemas.openxmlformats.org/officeDocument/2006/relationships/hyperlink" Target="#Indicadores!C45"/></Relationships>
</file>

<file path=xl/drawings/_rels/drawing36.xml.rels><?xml version="1.0" encoding="UTF-8" standalone="yes"?>
<Relationships xmlns="http://schemas.openxmlformats.org/package/2006/relationships"><Relationship Id="rId1" Type="http://schemas.openxmlformats.org/officeDocument/2006/relationships/hyperlink" Target="#Indicadores!C46"/></Relationships>
</file>

<file path=xl/drawings/_rels/drawing37.xml.rels><?xml version="1.0" encoding="UTF-8" standalone="yes"?>
<Relationships xmlns="http://schemas.openxmlformats.org/package/2006/relationships"><Relationship Id="rId1" Type="http://schemas.openxmlformats.org/officeDocument/2006/relationships/hyperlink" Target="#Indicadores!C52"/></Relationships>
</file>

<file path=xl/drawings/_rels/drawing38.xml.rels><?xml version="1.0" encoding="UTF-8" standalone="yes"?>
<Relationships xmlns="http://schemas.openxmlformats.org/package/2006/relationships"><Relationship Id="rId1" Type="http://schemas.openxmlformats.org/officeDocument/2006/relationships/hyperlink" Target="#Indicadores!C53"/></Relationships>
</file>

<file path=xl/drawings/_rels/drawing39.xml.rels><?xml version="1.0" encoding="UTF-8" standalone="yes"?>
<Relationships xmlns="http://schemas.openxmlformats.org/package/2006/relationships"><Relationship Id="rId1" Type="http://schemas.openxmlformats.org/officeDocument/2006/relationships/hyperlink" Target="#Indicadores!C54"/></Relationships>
</file>

<file path=xl/drawings/_rels/drawing4.xml.rels><?xml version="1.0" encoding="UTF-8" standalone="yes"?>
<Relationships xmlns="http://schemas.openxmlformats.org/package/2006/relationships"><Relationship Id="rId1" Type="http://schemas.openxmlformats.org/officeDocument/2006/relationships/hyperlink" Target="#Indicadores!C6"/></Relationships>
</file>

<file path=xl/drawings/_rels/drawing40.xml.rels><?xml version="1.0" encoding="UTF-8" standalone="yes"?>
<Relationships xmlns="http://schemas.openxmlformats.org/package/2006/relationships"><Relationship Id="rId1" Type="http://schemas.openxmlformats.org/officeDocument/2006/relationships/hyperlink" Target="#Indicadores!C55"/></Relationships>
</file>

<file path=xl/drawings/_rels/drawing41.xml.rels><?xml version="1.0" encoding="UTF-8" standalone="yes"?>
<Relationships xmlns="http://schemas.openxmlformats.org/package/2006/relationships"><Relationship Id="rId1" Type="http://schemas.openxmlformats.org/officeDocument/2006/relationships/hyperlink" Target="#Indicadores!C56"/></Relationships>
</file>

<file path=xl/drawings/_rels/drawing42.xml.rels><?xml version="1.0" encoding="UTF-8" standalone="yes"?>
<Relationships xmlns="http://schemas.openxmlformats.org/package/2006/relationships"><Relationship Id="rId1" Type="http://schemas.openxmlformats.org/officeDocument/2006/relationships/hyperlink" Target="#Indicadores!C57"/></Relationships>
</file>

<file path=xl/drawings/_rels/drawing43.xml.rels><?xml version="1.0" encoding="UTF-8" standalone="yes"?>
<Relationships xmlns="http://schemas.openxmlformats.org/package/2006/relationships"><Relationship Id="rId1" Type="http://schemas.openxmlformats.org/officeDocument/2006/relationships/hyperlink" Target="#Indicadores!C58"/></Relationships>
</file>

<file path=xl/drawings/_rels/drawing44.xml.rels><?xml version="1.0" encoding="UTF-8" standalone="yes"?>
<Relationships xmlns="http://schemas.openxmlformats.org/package/2006/relationships"><Relationship Id="rId1" Type="http://schemas.openxmlformats.org/officeDocument/2006/relationships/hyperlink" Target="#Indicadores!C61"/></Relationships>
</file>

<file path=xl/drawings/_rels/drawing45.xml.rels><?xml version="1.0" encoding="UTF-8" standalone="yes"?>
<Relationships xmlns="http://schemas.openxmlformats.org/package/2006/relationships"><Relationship Id="rId1" Type="http://schemas.openxmlformats.org/officeDocument/2006/relationships/hyperlink" Target="#Indicadores!C62"/></Relationships>
</file>

<file path=xl/drawings/_rels/drawing46.xml.rels><?xml version="1.0" encoding="UTF-8" standalone="yes"?>
<Relationships xmlns="http://schemas.openxmlformats.org/package/2006/relationships"><Relationship Id="rId1" Type="http://schemas.openxmlformats.org/officeDocument/2006/relationships/hyperlink" Target="#Indicadores!C63"/></Relationships>
</file>

<file path=xl/drawings/_rels/drawing47.xml.rels><?xml version="1.0" encoding="UTF-8" standalone="yes"?>
<Relationships xmlns="http://schemas.openxmlformats.org/package/2006/relationships"><Relationship Id="rId1" Type="http://schemas.openxmlformats.org/officeDocument/2006/relationships/hyperlink" Target="#Indicadores!C65"/></Relationships>
</file>

<file path=xl/drawings/_rels/drawing48.xml.rels><?xml version="1.0" encoding="UTF-8" standalone="yes"?>
<Relationships xmlns="http://schemas.openxmlformats.org/package/2006/relationships"><Relationship Id="rId1" Type="http://schemas.openxmlformats.org/officeDocument/2006/relationships/hyperlink" Target="#Indicadores!C66"/></Relationships>
</file>

<file path=xl/drawings/_rels/drawing49.xml.rels><?xml version="1.0" encoding="UTF-8" standalone="yes"?>
<Relationships xmlns="http://schemas.openxmlformats.org/package/2006/relationships"><Relationship Id="rId1" Type="http://schemas.openxmlformats.org/officeDocument/2006/relationships/hyperlink" Target="#Indicadores!C67"/></Relationships>
</file>

<file path=xl/drawings/_rels/drawing5.xml.rels><?xml version="1.0" encoding="UTF-8" standalone="yes"?>
<Relationships xmlns="http://schemas.openxmlformats.org/package/2006/relationships"><Relationship Id="rId1" Type="http://schemas.openxmlformats.org/officeDocument/2006/relationships/hyperlink" Target="#Indicadores!D7"/></Relationships>
</file>

<file path=xl/drawings/_rels/drawing50.xml.rels><?xml version="1.0" encoding="UTF-8" standalone="yes"?>
<Relationships xmlns="http://schemas.openxmlformats.org/package/2006/relationships"><Relationship Id="rId1" Type="http://schemas.openxmlformats.org/officeDocument/2006/relationships/hyperlink" Target="#Indicadores!C68"/></Relationships>
</file>

<file path=xl/drawings/_rels/drawing51.xml.rels><?xml version="1.0" encoding="UTF-8" standalone="yes"?>
<Relationships xmlns="http://schemas.openxmlformats.org/package/2006/relationships"><Relationship Id="rId1" Type="http://schemas.openxmlformats.org/officeDocument/2006/relationships/hyperlink" Target="#Indicadores!C69"/></Relationships>
</file>

<file path=xl/drawings/_rels/drawing6.xml.rels><?xml version="1.0" encoding="UTF-8" standalone="yes"?>
<Relationships xmlns="http://schemas.openxmlformats.org/package/2006/relationships"><Relationship Id="rId1" Type="http://schemas.openxmlformats.org/officeDocument/2006/relationships/hyperlink" Target="#Indicadores!C7"/></Relationships>
</file>

<file path=xl/drawings/_rels/drawing7.xml.rels><?xml version="1.0" encoding="UTF-8" standalone="yes"?>
<Relationships xmlns="http://schemas.openxmlformats.org/package/2006/relationships"><Relationship Id="rId1" Type="http://schemas.openxmlformats.org/officeDocument/2006/relationships/hyperlink" Target="#Indicadores!C8"/></Relationships>
</file>

<file path=xl/drawings/_rels/drawing8.xml.rels><?xml version="1.0" encoding="UTF-8" standalone="yes"?>
<Relationships xmlns="http://schemas.openxmlformats.org/package/2006/relationships"><Relationship Id="rId1" Type="http://schemas.openxmlformats.org/officeDocument/2006/relationships/hyperlink" Target="#Indicadores!D9"/></Relationships>
</file>

<file path=xl/drawings/_rels/drawing9.xml.rels><?xml version="1.0" encoding="UTF-8" standalone="yes"?>
<Relationships xmlns="http://schemas.openxmlformats.org/package/2006/relationships"><Relationship Id="rId1" Type="http://schemas.openxmlformats.org/officeDocument/2006/relationships/hyperlink" Target="#Indicadores!C9"/></Relationships>
</file>

<file path=xl/drawings/_rels/vmlDrawing1.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784860</xdr:colOff>
      <xdr:row>35</xdr:row>
      <xdr:rowOff>137160</xdr:rowOff>
    </xdr:to>
    <xdr:sp macro="" textlink="">
      <xdr:nvSpPr>
        <xdr:cNvPr id="10" name="Rectángulo 9">
          <a:extLst>
            <a:ext uri="{FF2B5EF4-FFF2-40B4-BE49-F238E27FC236}">
              <a16:creationId xmlns:a16="http://schemas.microsoft.com/office/drawing/2014/main" id="{3CF6B841-F07B-465E-8F6E-84DA88F6AFB9}"/>
            </a:ext>
          </a:extLst>
        </xdr:cNvPr>
        <xdr:cNvSpPr/>
      </xdr:nvSpPr>
      <xdr:spPr>
        <a:xfrm>
          <a:off x="0" y="0"/>
          <a:ext cx="8658860" cy="6360160"/>
        </a:xfrm>
        <a:prstGeom prst="rect">
          <a:avLst/>
        </a:prstGeom>
        <a:solidFill>
          <a:srgbClr val="1F5B63"/>
        </a:solidFill>
        <a:ln>
          <a:solidFill>
            <a:srgbClr val="1F5B6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2</xdr:col>
      <xdr:colOff>449580</xdr:colOff>
      <xdr:row>0</xdr:row>
      <xdr:rowOff>0</xdr:rowOff>
    </xdr:from>
    <xdr:to>
      <xdr:col>8</xdr:col>
      <xdr:colOff>716280</xdr:colOff>
      <xdr:row>35</xdr:row>
      <xdr:rowOff>145188</xdr:rowOff>
    </xdr:to>
    <xdr:pic>
      <xdr:nvPicPr>
        <xdr:cNvPr id="11" name="Imagen 10">
          <a:extLst>
            <a:ext uri="{FF2B5EF4-FFF2-40B4-BE49-F238E27FC236}">
              <a16:creationId xmlns:a16="http://schemas.microsoft.com/office/drawing/2014/main" id="{DBFB61A4-9A12-48C9-8300-77911B87A16B}"/>
            </a:ext>
          </a:extLst>
        </xdr:cNvPr>
        <xdr:cNvPicPr>
          <a:picLocks noChangeAspect="1"/>
        </xdr:cNvPicPr>
      </xdr:nvPicPr>
      <xdr:blipFill>
        <a:blip xmlns:r="http://schemas.openxmlformats.org/officeDocument/2006/relationships" r:embed="rId1"/>
        <a:stretch>
          <a:fillRect/>
        </a:stretch>
      </xdr:blipFill>
      <xdr:spPr>
        <a:xfrm>
          <a:off x="2034540" y="0"/>
          <a:ext cx="5021580" cy="6545988"/>
        </a:xfrm>
        <a:prstGeom prst="rect">
          <a:avLst/>
        </a:prstGeom>
      </xdr:spPr>
    </xdr:pic>
    <xdr:clientData/>
  </xdr:twoCellAnchor>
  <xdr:twoCellAnchor>
    <xdr:from>
      <xdr:col>3</xdr:col>
      <xdr:colOff>777240</xdr:colOff>
      <xdr:row>5</xdr:row>
      <xdr:rowOff>0</xdr:rowOff>
    </xdr:from>
    <xdr:to>
      <xdr:col>5</xdr:col>
      <xdr:colOff>190500</xdr:colOff>
      <xdr:row>25</xdr:row>
      <xdr:rowOff>83820</xdr:rowOff>
    </xdr:to>
    <xdr:sp macro="" textlink="">
      <xdr:nvSpPr>
        <xdr:cNvPr id="12" name="Rectángulo 11">
          <a:extLst>
            <a:ext uri="{FF2B5EF4-FFF2-40B4-BE49-F238E27FC236}">
              <a16:creationId xmlns:a16="http://schemas.microsoft.com/office/drawing/2014/main" id="{2ED8E29A-192E-47B1-9A76-96E6C79FEA49}"/>
            </a:ext>
          </a:extLst>
        </xdr:cNvPr>
        <xdr:cNvSpPr/>
      </xdr:nvSpPr>
      <xdr:spPr>
        <a:xfrm rot="16200000">
          <a:off x="1783080" y="2286000"/>
          <a:ext cx="3741420" cy="998220"/>
        </a:xfrm>
        <a:prstGeom prst="rect">
          <a:avLst/>
        </a:prstGeom>
        <a:solidFill>
          <a:srgbClr val="1F5B6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MX" sz="2000">
              <a:latin typeface="Arial" panose="020B0604020202020204" pitchFamily="34" charset="0"/>
              <a:cs typeface="Arial" panose="020B0604020202020204" pitchFamily="34" charset="0"/>
            </a:rPr>
            <a:t>Plan de Desarrollo Institucional</a:t>
          </a:r>
          <a:endParaRPr lang="es-MX" sz="2000" b="1" baseline="0">
            <a:solidFill>
              <a:srgbClr val="FFC000"/>
            </a:solidFill>
            <a:latin typeface="Arial" panose="020B0604020202020204" pitchFamily="34" charset="0"/>
            <a:cs typeface="Arial" panose="020B0604020202020204" pitchFamily="34" charset="0"/>
          </a:endParaRPr>
        </a:p>
        <a:p>
          <a:pPr algn="r"/>
          <a:r>
            <a:rPr lang="es-MX" sz="2000" b="1" baseline="0">
              <a:solidFill>
                <a:srgbClr val="FFC000"/>
              </a:solidFill>
              <a:latin typeface="Arial" panose="020B0604020202020204" pitchFamily="34" charset="0"/>
              <a:cs typeface="Arial" panose="020B0604020202020204" pitchFamily="34" charset="0"/>
            </a:rPr>
            <a:t>INDICADORES Y METAS</a:t>
          </a:r>
          <a:endParaRPr lang="es-MX" sz="2000" b="1">
            <a:solidFill>
              <a:srgbClr val="FFC000"/>
            </a:solidFill>
            <a:latin typeface="Arial" panose="020B0604020202020204" pitchFamily="34" charset="0"/>
            <a:cs typeface="Arial" panose="020B0604020202020204" pitchFamily="34" charset="0"/>
          </a:endParaRPr>
        </a:p>
      </xdr:txBody>
    </xdr:sp>
    <xdr:clientData/>
  </xdr:twoCellAnchor>
  <xdr:twoCellAnchor>
    <xdr:from>
      <xdr:col>10</xdr:col>
      <xdr:colOff>204898</xdr:colOff>
      <xdr:row>1</xdr:row>
      <xdr:rowOff>129540</xdr:rowOff>
    </xdr:from>
    <xdr:to>
      <xdr:col>10</xdr:col>
      <xdr:colOff>499110</xdr:colOff>
      <xdr:row>3</xdr:row>
      <xdr:rowOff>45437</xdr:rowOff>
    </xdr:to>
    <xdr:sp macro="" textlink="">
      <xdr:nvSpPr>
        <xdr:cNvPr id="4" name="5 Botón de acción: Inicio">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129698" y="312420"/>
          <a:ext cx="294212" cy="281657"/>
        </a:xfrm>
        <a:prstGeom prst="actionButtonHome">
          <a:avLst/>
        </a:prstGeom>
        <a:solidFill>
          <a:srgbClr val="FF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10</xdr:col>
      <xdr:colOff>55245</xdr:colOff>
      <xdr:row>3</xdr:row>
      <xdr:rowOff>146785</xdr:rowOff>
    </xdr:from>
    <xdr:to>
      <xdr:col>10</xdr:col>
      <xdr:colOff>617220</xdr:colOff>
      <xdr:row>4</xdr:row>
      <xdr:rowOff>144212</xdr:rowOff>
    </xdr:to>
    <xdr:sp macro="" textlink="">
      <xdr:nvSpPr>
        <xdr:cNvPr id="5" name="6 CuadroTexto">
          <a:extLst>
            <a:ext uri="{FF2B5EF4-FFF2-40B4-BE49-F238E27FC236}">
              <a16:creationId xmlns:a16="http://schemas.microsoft.com/office/drawing/2014/main" id="{00000000-0008-0000-0000-000005000000}"/>
            </a:ext>
          </a:extLst>
        </xdr:cNvPr>
        <xdr:cNvSpPr txBox="1"/>
      </xdr:nvSpPr>
      <xdr:spPr>
        <a:xfrm>
          <a:off x="7980045" y="695425"/>
          <a:ext cx="561975" cy="180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chemeClr val="bg1"/>
              </a:solidFill>
            </a:rPr>
            <a:t>Entrar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385762</xdr:colOff>
      <xdr:row>0</xdr:row>
      <xdr:rowOff>101600</xdr:rowOff>
    </xdr:from>
    <xdr:to>
      <xdr:col>11</xdr:col>
      <xdr:colOff>700087</xdr:colOff>
      <xdr:row>2</xdr:row>
      <xdr:rowOff>6350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958512" y="101600"/>
          <a:ext cx="314325" cy="29368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420688</xdr:colOff>
      <xdr:row>0</xdr:row>
      <xdr:rowOff>73024</xdr:rowOff>
    </xdr:from>
    <xdr:to>
      <xdr:col>12</xdr:col>
      <xdr:colOff>735013</xdr:colOff>
      <xdr:row>1</xdr:row>
      <xdr:rowOff>165100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2955588" y="73024"/>
          <a:ext cx="314325" cy="28892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25082</xdr:colOff>
      <xdr:row>0</xdr:row>
      <xdr:rowOff>32702</xdr:rowOff>
    </xdr:from>
    <xdr:to>
      <xdr:col>12</xdr:col>
      <xdr:colOff>362267</xdr:colOff>
      <xdr:row>1</xdr:row>
      <xdr:rowOff>129540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997882" y="32702"/>
          <a:ext cx="337185" cy="29495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175260</xdr:colOff>
      <xdr:row>0</xdr:row>
      <xdr:rowOff>48260</xdr:rowOff>
    </xdr:from>
    <xdr:to>
      <xdr:col>12</xdr:col>
      <xdr:colOff>460692</xdr:colOff>
      <xdr:row>1</xdr:row>
      <xdr:rowOff>137160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2062460" y="48260"/>
          <a:ext cx="285432" cy="28702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396875</xdr:colOff>
      <xdr:row>0</xdr:row>
      <xdr:rowOff>52388</xdr:rowOff>
    </xdr:from>
    <xdr:to>
      <xdr:col>11</xdr:col>
      <xdr:colOff>711200</xdr:colOff>
      <xdr:row>1</xdr:row>
      <xdr:rowOff>149226</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0922000" y="52388"/>
          <a:ext cx="314325" cy="29527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7939</xdr:colOff>
      <xdr:row>0</xdr:row>
      <xdr:rowOff>36801</xdr:rowOff>
    </xdr:from>
    <xdr:to>
      <xdr:col>6</xdr:col>
      <xdr:colOff>243899</xdr:colOff>
      <xdr:row>1</xdr:row>
      <xdr:rowOff>119062</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135564" y="36801"/>
          <a:ext cx="235960" cy="28069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3497552</xdr:colOff>
      <xdr:row>0</xdr:row>
      <xdr:rowOff>34203</xdr:rowOff>
    </xdr:from>
    <xdr:to>
      <xdr:col>2</xdr:col>
      <xdr:colOff>3731347</xdr:colOff>
      <xdr:row>1</xdr:row>
      <xdr:rowOff>72303</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077240" y="34203"/>
          <a:ext cx="233795" cy="27622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404813</xdr:colOff>
      <xdr:row>0</xdr:row>
      <xdr:rowOff>38101</xdr:rowOff>
    </xdr:from>
    <xdr:to>
      <xdr:col>8</xdr:col>
      <xdr:colOff>628650</xdr:colOff>
      <xdr:row>1</xdr:row>
      <xdr:rowOff>47626</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977063" y="38101"/>
          <a:ext cx="223837" cy="25558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316547</xdr:colOff>
      <xdr:row>0</xdr:row>
      <xdr:rowOff>67944</xdr:rowOff>
    </xdr:from>
    <xdr:to>
      <xdr:col>16</xdr:col>
      <xdr:colOff>630872</xdr:colOff>
      <xdr:row>1</xdr:row>
      <xdr:rowOff>106044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0291127" y="67944"/>
          <a:ext cx="314325" cy="2667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68</xdr:col>
      <xdr:colOff>203200</xdr:colOff>
      <xdr:row>0</xdr:row>
      <xdr:rowOff>70907</xdr:rowOff>
    </xdr:from>
    <xdr:to>
      <xdr:col>68</xdr:col>
      <xdr:colOff>476250</xdr:colOff>
      <xdr:row>1</xdr:row>
      <xdr:rowOff>120649</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35128200" y="70907"/>
          <a:ext cx="273050" cy="278342"/>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137577</xdr:colOff>
      <xdr:row>6</xdr:row>
      <xdr:rowOff>174094</xdr:rowOff>
    </xdr:from>
    <xdr:to>
      <xdr:col>3</xdr:col>
      <xdr:colOff>2985189</xdr:colOff>
      <xdr:row>6</xdr:row>
      <xdr:rowOff>936096</xdr:rowOff>
    </xdr:to>
    <xdr:pic>
      <xdr:nvPicPr>
        <xdr:cNvPr id="3" name="2 Imagen">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1577" y="2393419"/>
          <a:ext cx="2847612" cy="762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116415</xdr:colOff>
      <xdr:row>8</xdr:row>
      <xdr:rowOff>31750</xdr:rowOff>
    </xdr:from>
    <xdr:to>
      <xdr:col>3</xdr:col>
      <xdr:colOff>3003577</xdr:colOff>
      <xdr:row>8</xdr:row>
      <xdr:rowOff>704850</xdr:rowOff>
    </xdr:to>
    <xdr:pic>
      <xdr:nvPicPr>
        <xdr:cNvPr id="13" name="12 Imagen">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50415" y="4622800"/>
          <a:ext cx="2887162" cy="67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116414</xdr:colOff>
      <xdr:row>9</xdr:row>
      <xdr:rowOff>42332</xdr:rowOff>
    </xdr:from>
    <xdr:to>
      <xdr:col>3</xdr:col>
      <xdr:colOff>3013464</xdr:colOff>
      <xdr:row>9</xdr:row>
      <xdr:rowOff>666749</xdr:rowOff>
    </xdr:to>
    <xdr:pic>
      <xdr:nvPicPr>
        <xdr:cNvPr id="15" name="14 Imagen">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22747" y="6307665"/>
          <a:ext cx="2897050" cy="624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116414</xdr:colOff>
      <xdr:row>10</xdr:row>
      <xdr:rowOff>31750</xdr:rowOff>
    </xdr:from>
    <xdr:to>
      <xdr:col>3</xdr:col>
      <xdr:colOff>3003577</xdr:colOff>
      <xdr:row>10</xdr:row>
      <xdr:rowOff>687916</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22747" y="6995583"/>
          <a:ext cx="2887163" cy="65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179912</xdr:colOff>
      <xdr:row>16</xdr:row>
      <xdr:rowOff>88633</xdr:rowOff>
    </xdr:from>
    <xdr:to>
      <xdr:col>3</xdr:col>
      <xdr:colOff>2920741</xdr:colOff>
      <xdr:row>16</xdr:row>
      <xdr:rowOff>666750</xdr:rowOff>
    </xdr:to>
    <xdr:pic>
      <xdr:nvPicPr>
        <xdr:cNvPr id="21" name="20 Imagen">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13912" y="10127983"/>
          <a:ext cx="2740829" cy="57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95249</xdr:colOff>
      <xdr:row>17</xdr:row>
      <xdr:rowOff>62446</xdr:rowOff>
    </xdr:from>
    <xdr:to>
      <xdr:col>3</xdr:col>
      <xdr:colOff>3016792</xdr:colOff>
      <xdr:row>17</xdr:row>
      <xdr:rowOff>506940</xdr:rowOff>
    </xdr:to>
    <xdr:pic>
      <xdr:nvPicPr>
        <xdr:cNvPr id="22" name="21 Imagen">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29249" y="10949521"/>
          <a:ext cx="2921543" cy="44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18</xdr:row>
      <xdr:rowOff>77258</xdr:rowOff>
    </xdr:from>
    <xdr:to>
      <xdr:col>3</xdr:col>
      <xdr:colOff>3026287</xdr:colOff>
      <xdr:row>18</xdr:row>
      <xdr:rowOff>669925</xdr:rowOff>
    </xdr:to>
    <xdr:pic>
      <xdr:nvPicPr>
        <xdr:cNvPr id="24" name="23 Imagen">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8665" y="11812058"/>
          <a:ext cx="2941622" cy="59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19</xdr:row>
      <xdr:rowOff>74082</xdr:rowOff>
    </xdr:from>
    <xdr:to>
      <xdr:col>3</xdr:col>
      <xdr:colOff>3016248</xdr:colOff>
      <xdr:row>19</xdr:row>
      <xdr:rowOff>666750</xdr:rowOff>
    </xdr:to>
    <xdr:pic>
      <xdr:nvPicPr>
        <xdr:cNvPr id="26" name="25 Imagen">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38748" y="12202582"/>
          <a:ext cx="2931583" cy="59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23</xdr:row>
      <xdr:rowOff>209022</xdr:rowOff>
    </xdr:from>
    <xdr:to>
      <xdr:col>3</xdr:col>
      <xdr:colOff>3026287</xdr:colOff>
      <xdr:row>23</xdr:row>
      <xdr:rowOff>561437</xdr:rowOff>
    </xdr:to>
    <xdr:pic>
      <xdr:nvPicPr>
        <xdr:cNvPr id="27" name="26 Imagen">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18665" y="15294241"/>
          <a:ext cx="2941622" cy="35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24</xdr:row>
      <xdr:rowOff>236794</xdr:rowOff>
    </xdr:from>
    <xdr:to>
      <xdr:col>3</xdr:col>
      <xdr:colOff>3016248</xdr:colOff>
      <xdr:row>24</xdr:row>
      <xdr:rowOff>1055944</xdr:rowOff>
    </xdr:to>
    <xdr:pic>
      <xdr:nvPicPr>
        <xdr:cNvPr id="29" name="28 Imagen">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18665" y="16036388"/>
          <a:ext cx="2931583"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82018</xdr:colOff>
      <xdr:row>20</xdr:row>
      <xdr:rowOff>59532</xdr:rowOff>
    </xdr:from>
    <xdr:to>
      <xdr:col>3</xdr:col>
      <xdr:colOff>2983482</xdr:colOff>
      <xdr:row>20</xdr:row>
      <xdr:rowOff>662782</xdr:rowOff>
    </xdr:to>
    <xdr:pic>
      <xdr:nvPicPr>
        <xdr:cNvPr id="31" name="30 Imagen">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16018" y="13096876"/>
          <a:ext cx="2901464" cy="60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84664</xdr:colOff>
      <xdr:row>21</xdr:row>
      <xdr:rowOff>80696</xdr:rowOff>
    </xdr:from>
    <xdr:to>
      <xdr:col>3</xdr:col>
      <xdr:colOff>3016247</xdr:colOff>
      <xdr:row>21</xdr:row>
      <xdr:rowOff>652196</xdr:rowOff>
    </xdr:to>
    <xdr:pic>
      <xdr:nvPicPr>
        <xdr:cNvPr id="33" name="32 Imagen">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18664" y="13832415"/>
          <a:ext cx="293158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74082</xdr:colOff>
      <xdr:row>29</xdr:row>
      <xdr:rowOff>148162</xdr:rowOff>
    </xdr:from>
    <xdr:to>
      <xdr:col>3</xdr:col>
      <xdr:colOff>3026832</xdr:colOff>
      <xdr:row>29</xdr:row>
      <xdr:rowOff>643462</xdr:rowOff>
    </xdr:to>
    <xdr:pic>
      <xdr:nvPicPr>
        <xdr:cNvPr id="36" name="35 Imagen">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180415" y="20827995"/>
          <a:ext cx="295275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74082</xdr:colOff>
      <xdr:row>30</xdr:row>
      <xdr:rowOff>63498</xdr:rowOff>
    </xdr:from>
    <xdr:to>
      <xdr:col>3</xdr:col>
      <xdr:colOff>3026832</xdr:colOff>
      <xdr:row>30</xdr:row>
      <xdr:rowOff>675547</xdr:rowOff>
    </xdr:to>
    <xdr:pic>
      <xdr:nvPicPr>
        <xdr:cNvPr id="37" name="36 Imagen">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80415" y="21515915"/>
          <a:ext cx="29527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63499</xdr:colOff>
      <xdr:row>32</xdr:row>
      <xdr:rowOff>137579</xdr:rowOff>
    </xdr:from>
    <xdr:to>
      <xdr:col>3</xdr:col>
      <xdr:colOff>3026833</xdr:colOff>
      <xdr:row>32</xdr:row>
      <xdr:rowOff>470954</xdr:rowOff>
    </xdr:to>
    <xdr:pic>
      <xdr:nvPicPr>
        <xdr:cNvPr id="40" name="39 Imagen">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169832" y="23135162"/>
          <a:ext cx="2963334"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63498</xdr:colOff>
      <xdr:row>31</xdr:row>
      <xdr:rowOff>63498</xdr:rowOff>
    </xdr:from>
    <xdr:to>
      <xdr:col>3</xdr:col>
      <xdr:colOff>3037415</xdr:colOff>
      <xdr:row>31</xdr:row>
      <xdr:rowOff>679144</xdr:rowOff>
    </xdr:to>
    <xdr:pic>
      <xdr:nvPicPr>
        <xdr:cNvPr id="42" name="41 Imagen">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69831" y="22288498"/>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95247</xdr:colOff>
      <xdr:row>33</xdr:row>
      <xdr:rowOff>100540</xdr:rowOff>
    </xdr:from>
    <xdr:to>
      <xdr:col>3</xdr:col>
      <xdr:colOff>3005664</xdr:colOff>
      <xdr:row>33</xdr:row>
      <xdr:rowOff>919690</xdr:rowOff>
    </xdr:to>
    <xdr:pic>
      <xdr:nvPicPr>
        <xdr:cNvPr id="43" name="42 Imagen">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29247" y="21541315"/>
          <a:ext cx="2910417"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95248</xdr:colOff>
      <xdr:row>34</xdr:row>
      <xdr:rowOff>63498</xdr:rowOff>
    </xdr:from>
    <xdr:to>
      <xdr:col>3</xdr:col>
      <xdr:colOff>3016248</xdr:colOff>
      <xdr:row>34</xdr:row>
      <xdr:rowOff>720723</xdr:rowOff>
    </xdr:to>
    <xdr:pic>
      <xdr:nvPicPr>
        <xdr:cNvPr id="32" name="31 Imagen">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01581" y="25050748"/>
          <a:ext cx="29210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63498</xdr:colOff>
      <xdr:row>35</xdr:row>
      <xdr:rowOff>63498</xdr:rowOff>
    </xdr:from>
    <xdr:to>
      <xdr:col>3</xdr:col>
      <xdr:colOff>3037415</xdr:colOff>
      <xdr:row>35</xdr:row>
      <xdr:rowOff>720723</xdr:rowOff>
    </xdr:to>
    <xdr:pic>
      <xdr:nvPicPr>
        <xdr:cNvPr id="34" name="33 Imagen">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69831" y="25823331"/>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36</xdr:row>
      <xdr:rowOff>63498</xdr:rowOff>
    </xdr:from>
    <xdr:to>
      <xdr:col>3</xdr:col>
      <xdr:colOff>3016249</xdr:colOff>
      <xdr:row>36</xdr:row>
      <xdr:rowOff>720723</xdr:rowOff>
    </xdr:to>
    <xdr:pic>
      <xdr:nvPicPr>
        <xdr:cNvPr id="35" name="34 Imagen">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190998" y="26595915"/>
          <a:ext cx="293158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63498</xdr:colOff>
      <xdr:row>37</xdr:row>
      <xdr:rowOff>285741</xdr:rowOff>
    </xdr:from>
    <xdr:to>
      <xdr:col>3</xdr:col>
      <xdr:colOff>3037415</xdr:colOff>
      <xdr:row>37</xdr:row>
      <xdr:rowOff>761995</xdr:rowOff>
    </xdr:to>
    <xdr:pic>
      <xdr:nvPicPr>
        <xdr:cNvPr id="52" name="51 Imagen">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217581" y="26236074"/>
          <a:ext cx="2973917" cy="476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42333</xdr:colOff>
      <xdr:row>51</xdr:row>
      <xdr:rowOff>126996</xdr:rowOff>
    </xdr:from>
    <xdr:to>
      <xdr:col>3</xdr:col>
      <xdr:colOff>3037417</xdr:colOff>
      <xdr:row>51</xdr:row>
      <xdr:rowOff>486834</xdr:rowOff>
    </xdr:to>
    <xdr:pic>
      <xdr:nvPicPr>
        <xdr:cNvPr id="53" name="52 Imagen">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196416" y="31527746"/>
          <a:ext cx="2995084"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xdr:colOff>
      <xdr:row>52</xdr:row>
      <xdr:rowOff>126996</xdr:rowOff>
    </xdr:from>
    <xdr:to>
      <xdr:col>4</xdr:col>
      <xdr:colOff>0</xdr:colOff>
      <xdr:row>52</xdr:row>
      <xdr:rowOff>486834</xdr:rowOff>
    </xdr:to>
    <xdr:pic>
      <xdr:nvPicPr>
        <xdr:cNvPr id="55" name="54 Image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154084" y="32109829"/>
          <a:ext cx="3090333"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12249</xdr:colOff>
      <xdr:row>55</xdr:row>
      <xdr:rowOff>95250</xdr:rowOff>
    </xdr:from>
    <xdr:to>
      <xdr:col>3</xdr:col>
      <xdr:colOff>3144612</xdr:colOff>
      <xdr:row>56</xdr:row>
      <xdr:rowOff>-1</xdr:rowOff>
    </xdr:to>
    <xdr:pic>
      <xdr:nvPicPr>
        <xdr:cNvPr id="58" name="57 Imagen">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498649" y="31859764"/>
          <a:ext cx="3132363" cy="73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9526</xdr:colOff>
      <xdr:row>56</xdr:row>
      <xdr:rowOff>57149</xdr:rowOff>
    </xdr:from>
    <xdr:to>
      <xdr:col>4</xdr:col>
      <xdr:colOff>0</xdr:colOff>
      <xdr:row>56</xdr:row>
      <xdr:rowOff>755648</xdr:rowOff>
    </xdr:to>
    <xdr:pic>
      <xdr:nvPicPr>
        <xdr:cNvPr id="60" name="59 Imagen">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343526" y="36280724"/>
          <a:ext cx="3086099" cy="698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169329</xdr:colOff>
      <xdr:row>57</xdr:row>
      <xdr:rowOff>94650</xdr:rowOff>
    </xdr:from>
    <xdr:to>
      <xdr:col>3</xdr:col>
      <xdr:colOff>2942161</xdr:colOff>
      <xdr:row>57</xdr:row>
      <xdr:rowOff>524934</xdr:rowOff>
    </xdr:to>
    <xdr:pic>
      <xdr:nvPicPr>
        <xdr:cNvPr id="66" name="65 Imagen">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275662" y="37210400"/>
          <a:ext cx="2772832" cy="430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126996</xdr:colOff>
      <xdr:row>58</xdr:row>
      <xdr:rowOff>142560</xdr:rowOff>
    </xdr:from>
    <xdr:to>
      <xdr:col>3</xdr:col>
      <xdr:colOff>2973913</xdr:colOff>
      <xdr:row>58</xdr:row>
      <xdr:rowOff>583312</xdr:rowOff>
    </xdr:to>
    <xdr:pic>
      <xdr:nvPicPr>
        <xdr:cNvPr id="67" name="66 Imagen">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460996" y="35289810"/>
          <a:ext cx="2846917" cy="440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285742</xdr:colOff>
      <xdr:row>59</xdr:row>
      <xdr:rowOff>104776</xdr:rowOff>
    </xdr:from>
    <xdr:to>
      <xdr:col>3</xdr:col>
      <xdr:colOff>2857497</xdr:colOff>
      <xdr:row>59</xdr:row>
      <xdr:rowOff>505493</xdr:rowOff>
    </xdr:to>
    <xdr:pic>
      <xdr:nvPicPr>
        <xdr:cNvPr id="70" name="69 Imagen">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619742" y="35937826"/>
          <a:ext cx="2571755" cy="40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116414</xdr:colOff>
      <xdr:row>61</xdr:row>
      <xdr:rowOff>55335</xdr:rowOff>
    </xdr:from>
    <xdr:to>
      <xdr:col>3</xdr:col>
      <xdr:colOff>3079747</xdr:colOff>
      <xdr:row>61</xdr:row>
      <xdr:rowOff>527049</xdr:rowOff>
    </xdr:to>
    <xdr:pic>
      <xdr:nvPicPr>
        <xdr:cNvPr id="71" name="70 Imagen">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22747" y="39012585"/>
          <a:ext cx="2963333" cy="471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2115</xdr:colOff>
      <xdr:row>7</xdr:row>
      <xdr:rowOff>196851</xdr:rowOff>
    </xdr:from>
    <xdr:to>
      <xdr:col>4</xdr:col>
      <xdr:colOff>0</xdr:colOff>
      <xdr:row>7</xdr:row>
      <xdr:rowOff>733425</xdr:rowOff>
    </xdr:to>
    <xdr:pic>
      <xdr:nvPicPr>
        <xdr:cNvPr id="50" name="49 Imagen">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336115" y="3273426"/>
          <a:ext cx="3083985" cy="53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xdr:row>
      <xdr:rowOff>137579</xdr:rowOff>
    </xdr:from>
    <xdr:to>
      <xdr:col>4</xdr:col>
      <xdr:colOff>0</xdr:colOff>
      <xdr:row>11</xdr:row>
      <xdr:rowOff>794804</xdr:rowOff>
    </xdr:to>
    <xdr:pic>
      <xdr:nvPicPr>
        <xdr:cNvPr id="59" name="58 Imagen">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154083" y="7725829"/>
          <a:ext cx="31115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xdr:row>
      <xdr:rowOff>69846</xdr:rowOff>
    </xdr:from>
    <xdr:to>
      <xdr:col>4</xdr:col>
      <xdr:colOff>0</xdr:colOff>
      <xdr:row>12</xdr:row>
      <xdr:rowOff>727071</xdr:rowOff>
    </xdr:to>
    <xdr:pic>
      <xdr:nvPicPr>
        <xdr:cNvPr id="61" name="60 Imagen">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334000" y="7413621"/>
          <a:ext cx="30861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xdr:row>
      <xdr:rowOff>126996</xdr:rowOff>
    </xdr:from>
    <xdr:to>
      <xdr:col>4</xdr:col>
      <xdr:colOff>0</xdr:colOff>
      <xdr:row>13</xdr:row>
      <xdr:rowOff>784221</xdr:rowOff>
    </xdr:to>
    <xdr:pic>
      <xdr:nvPicPr>
        <xdr:cNvPr id="62" name="61 Imagen">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154083" y="9493246"/>
          <a:ext cx="309033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59265</xdr:colOff>
      <xdr:row>38</xdr:row>
      <xdr:rowOff>42332</xdr:rowOff>
    </xdr:from>
    <xdr:to>
      <xdr:col>5</xdr:col>
      <xdr:colOff>166157</xdr:colOff>
      <xdr:row>38</xdr:row>
      <xdr:rowOff>537632</xdr:rowOff>
    </xdr:to>
    <xdr:pic>
      <xdr:nvPicPr>
        <xdr:cNvPr id="47" name="46 Imagen">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545665" y="25045457"/>
          <a:ext cx="3278717"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133351</xdr:colOff>
      <xdr:row>45</xdr:row>
      <xdr:rowOff>60324</xdr:rowOff>
    </xdr:from>
    <xdr:to>
      <xdr:col>3</xdr:col>
      <xdr:colOff>3114675</xdr:colOff>
      <xdr:row>45</xdr:row>
      <xdr:rowOff>321944</xdr:rowOff>
    </xdr:to>
    <xdr:pic>
      <xdr:nvPicPr>
        <xdr:cNvPr id="49" name="48 Imagen">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619751" y="27263724"/>
          <a:ext cx="2981324" cy="261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219075</xdr:colOff>
      <xdr:row>54</xdr:row>
      <xdr:rowOff>161925</xdr:rowOff>
    </xdr:from>
    <xdr:to>
      <xdr:col>3</xdr:col>
      <xdr:colOff>2933700</xdr:colOff>
      <xdr:row>54</xdr:row>
      <xdr:rowOff>506380</xdr:rowOff>
    </xdr:to>
    <xdr:pic>
      <xdr:nvPicPr>
        <xdr:cNvPr id="44" name="56 Imagen">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553075" y="30908625"/>
          <a:ext cx="2714625" cy="34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180975</xdr:colOff>
          <xdr:row>5</xdr:row>
          <xdr:rowOff>66675</xdr:rowOff>
        </xdr:from>
        <xdr:to>
          <xdr:col>3</xdr:col>
          <xdr:colOff>3038475</xdr:colOff>
          <xdr:row>5</xdr:row>
          <xdr:rowOff>733425</xdr:rowOff>
        </xdr:to>
        <xdr:pic>
          <xdr:nvPicPr>
            <xdr:cNvPr id="273037" name="10 Imagen">
              <a:extLst>
                <a:ext uri="{FF2B5EF4-FFF2-40B4-BE49-F238E27FC236}">
                  <a16:creationId xmlns:a16="http://schemas.microsoft.com/office/drawing/2014/main" id="{00000000-0008-0000-0100-00008D2A0400}"/>
                </a:ext>
              </a:extLst>
            </xdr:cNvPr>
            <xdr:cNvPicPr>
              <a:picLocks noChangeAspect="1" noChangeArrowheads="1"/>
              <a:extLst>
                <a:ext uri="{84589F7E-364E-4C9E-8A38-B11213B215E9}">
                  <a14:cameraTool cellRange="Formulas!$C$2:$F$3" spid="_x0000_s330701"/>
                </a:ext>
              </a:extLst>
            </xdr:cNvPicPr>
          </xdr:nvPicPr>
          <xdr:blipFill>
            <a:blip xmlns:r="http://schemas.openxmlformats.org/officeDocument/2006/relationships" r:embed="rId37"/>
            <a:srcRect/>
            <a:stretch>
              <a:fillRect/>
            </a:stretch>
          </xdr:blipFill>
          <xdr:spPr bwMode="auto">
            <a:xfrm>
              <a:off x="5514975" y="1524000"/>
              <a:ext cx="2857500" cy="6667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142875</xdr:colOff>
      <xdr:row>0</xdr:row>
      <xdr:rowOff>142876</xdr:rowOff>
    </xdr:from>
    <xdr:to>
      <xdr:col>1</xdr:col>
      <xdr:colOff>1257300</xdr:colOff>
      <xdr:row>2</xdr:row>
      <xdr:rowOff>101362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8"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42875" y="142876"/>
          <a:ext cx="2343150" cy="529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67</xdr:col>
      <xdr:colOff>254000</xdr:colOff>
      <xdr:row>0</xdr:row>
      <xdr:rowOff>98424</xdr:rowOff>
    </xdr:from>
    <xdr:to>
      <xdr:col>68</xdr:col>
      <xdr:colOff>4234</xdr:colOff>
      <xdr:row>1</xdr:row>
      <xdr:rowOff>95250</xdr:rowOff>
    </xdr:to>
    <xdr:sp macro="" textlink="">
      <xdr:nvSpPr>
        <xdr:cNvPr id="6" name="5 Botón de acción: Inicio">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a:off x="35356800" y="98424"/>
          <a:ext cx="245534" cy="23812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33</xdr:col>
      <xdr:colOff>231776</xdr:colOff>
      <xdr:row>0</xdr:row>
      <xdr:rowOff>165101</xdr:rowOff>
    </xdr:from>
    <xdr:to>
      <xdr:col>33</xdr:col>
      <xdr:colOff>498476</xdr:colOff>
      <xdr:row>1</xdr:row>
      <xdr:rowOff>192087</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18018126" y="165101"/>
          <a:ext cx="266700" cy="26828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34</xdr:col>
      <xdr:colOff>461962</xdr:colOff>
      <xdr:row>0</xdr:row>
      <xdr:rowOff>115888</xdr:rowOff>
    </xdr:from>
    <xdr:to>
      <xdr:col>34</xdr:col>
      <xdr:colOff>741363</xdr:colOff>
      <xdr:row>1</xdr:row>
      <xdr:rowOff>160338</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19499262" y="115888"/>
          <a:ext cx="279401" cy="2413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78856</xdr:colOff>
      <xdr:row>0</xdr:row>
      <xdr:rowOff>85726</xdr:rowOff>
    </xdr:from>
    <xdr:to>
      <xdr:col>11</xdr:col>
      <xdr:colOff>337906</xdr:colOff>
      <xdr:row>1</xdr:row>
      <xdr:rowOff>72015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167236" y="85726"/>
          <a:ext cx="259050" cy="23012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44</xdr:col>
      <xdr:colOff>315913</xdr:colOff>
      <xdr:row>0</xdr:row>
      <xdr:rowOff>114300</xdr:rowOff>
    </xdr:from>
    <xdr:to>
      <xdr:col>44</xdr:col>
      <xdr:colOff>547688</xdr:colOff>
      <xdr:row>0</xdr:row>
      <xdr:rowOff>368300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26458863" y="114300"/>
          <a:ext cx="231775" cy="2540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15</xdr:col>
      <xdr:colOff>438151</xdr:colOff>
      <xdr:row>0</xdr:row>
      <xdr:rowOff>222250</xdr:rowOff>
    </xdr:from>
    <xdr:to>
      <xdr:col>16</xdr:col>
      <xdr:colOff>142877</xdr:colOff>
      <xdr:row>0</xdr:row>
      <xdr:rowOff>492125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a:off x="10299701" y="222250"/>
          <a:ext cx="307976" cy="2698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78</xdr:col>
      <xdr:colOff>365125</xdr:colOff>
      <xdr:row>0</xdr:row>
      <xdr:rowOff>107951</xdr:rowOff>
    </xdr:from>
    <xdr:to>
      <xdr:col>78</xdr:col>
      <xdr:colOff>641350</xdr:colOff>
      <xdr:row>1</xdr:row>
      <xdr:rowOff>6351</xdr:rowOff>
    </xdr:to>
    <xdr:sp macro="" textlink="">
      <xdr:nvSpPr>
        <xdr:cNvPr id="3" name="16 Botón de acción: Inicio">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36744275" y="107951"/>
          <a:ext cx="276225" cy="2667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676275</xdr:colOff>
      <xdr:row>0</xdr:row>
      <xdr:rowOff>69850</xdr:rowOff>
    </xdr:from>
    <xdr:to>
      <xdr:col>2</xdr:col>
      <xdr:colOff>187325</xdr:colOff>
      <xdr:row>1</xdr:row>
      <xdr:rowOff>110693</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5124450" y="69850"/>
          <a:ext cx="273050" cy="288493"/>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279403</xdr:colOff>
      <xdr:row>0</xdr:row>
      <xdr:rowOff>53975</xdr:rowOff>
    </xdr:from>
    <xdr:to>
      <xdr:col>11</xdr:col>
      <xdr:colOff>528639</xdr:colOff>
      <xdr:row>1</xdr:row>
      <xdr:rowOff>93662</xdr:rowOff>
    </xdr:to>
    <xdr:sp macro="" textlink="">
      <xdr:nvSpPr>
        <xdr:cNvPr id="5" name="4 Botón de acción: Inicio">
          <a:hlinkClick xmlns:r="http://schemas.openxmlformats.org/officeDocument/2006/relationships" r:id="rId1"/>
          <a:extLst>
            <a:ext uri="{FF2B5EF4-FFF2-40B4-BE49-F238E27FC236}">
              <a16:creationId xmlns:a16="http://schemas.microsoft.com/office/drawing/2014/main" id="{00000000-0008-0000-2100-000005000000}"/>
            </a:ext>
          </a:extLst>
        </xdr:cNvPr>
        <xdr:cNvSpPr/>
      </xdr:nvSpPr>
      <xdr:spPr>
        <a:xfrm>
          <a:off x="8578853" y="53975"/>
          <a:ext cx="249236" cy="280987"/>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44</xdr:col>
      <xdr:colOff>510540</xdr:colOff>
      <xdr:row>0</xdr:row>
      <xdr:rowOff>112714</xdr:rowOff>
    </xdr:from>
    <xdr:to>
      <xdr:col>44</xdr:col>
      <xdr:colOff>748665</xdr:colOff>
      <xdr:row>0</xdr:row>
      <xdr:rowOff>417514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28049220" y="112714"/>
          <a:ext cx="238125" cy="3048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1990725</xdr:colOff>
      <xdr:row>12</xdr:row>
      <xdr:rowOff>142875</xdr:rowOff>
    </xdr:from>
    <xdr:ext cx="287130" cy="446212"/>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7124700" y="354330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25</xdr:row>
      <xdr:rowOff>66675</xdr:rowOff>
    </xdr:from>
    <xdr:ext cx="287130" cy="446212"/>
    <xdr:sp macro="" textlink="">
      <xdr:nvSpPr>
        <xdr:cNvPr id="4" name="3 CuadroTexto">
          <a:extLst>
            <a:ext uri="{FF2B5EF4-FFF2-40B4-BE49-F238E27FC236}">
              <a16:creationId xmlns:a16="http://schemas.microsoft.com/office/drawing/2014/main" id="{00000000-0008-0000-0200-000004000000}"/>
            </a:ext>
          </a:extLst>
        </xdr:cNvPr>
        <xdr:cNvSpPr txBox="1"/>
      </xdr:nvSpPr>
      <xdr:spPr>
        <a:xfrm>
          <a:off x="7124700" y="740092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27</xdr:row>
      <xdr:rowOff>66675</xdr:rowOff>
    </xdr:from>
    <xdr:ext cx="287130" cy="446212"/>
    <xdr:sp macro="" textlink="">
      <xdr:nvSpPr>
        <xdr:cNvPr id="5" name="4 CuadroTexto">
          <a:extLst>
            <a:ext uri="{FF2B5EF4-FFF2-40B4-BE49-F238E27FC236}">
              <a16:creationId xmlns:a16="http://schemas.microsoft.com/office/drawing/2014/main" id="{00000000-0008-0000-0200-000005000000}"/>
            </a:ext>
          </a:extLst>
        </xdr:cNvPr>
        <xdr:cNvSpPr txBox="1"/>
      </xdr:nvSpPr>
      <xdr:spPr>
        <a:xfrm>
          <a:off x="7124700" y="821055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29</xdr:row>
      <xdr:rowOff>66675</xdr:rowOff>
    </xdr:from>
    <xdr:ext cx="287130" cy="446212"/>
    <xdr:sp macro="" textlink="">
      <xdr:nvSpPr>
        <xdr:cNvPr id="6" name="5 CuadroTexto">
          <a:extLst>
            <a:ext uri="{FF2B5EF4-FFF2-40B4-BE49-F238E27FC236}">
              <a16:creationId xmlns:a16="http://schemas.microsoft.com/office/drawing/2014/main" id="{00000000-0008-0000-0200-000006000000}"/>
            </a:ext>
          </a:extLst>
        </xdr:cNvPr>
        <xdr:cNvSpPr txBox="1"/>
      </xdr:nvSpPr>
      <xdr:spPr>
        <a:xfrm>
          <a:off x="7124700" y="902017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44</xdr:col>
      <xdr:colOff>354011</xdr:colOff>
      <xdr:row>0</xdr:row>
      <xdr:rowOff>174625</xdr:rowOff>
    </xdr:from>
    <xdr:to>
      <xdr:col>44</xdr:col>
      <xdr:colOff>628648</xdr:colOff>
      <xdr:row>0</xdr:row>
      <xdr:rowOff>447675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25728611" y="174625"/>
          <a:ext cx="274637" cy="2730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44</xdr:col>
      <xdr:colOff>347981</xdr:colOff>
      <xdr:row>0</xdr:row>
      <xdr:rowOff>225425</xdr:rowOff>
    </xdr:from>
    <xdr:to>
      <xdr:col>44</xdr:col>
      <xdr:colOff>595631</xdr:colOff>
      <xdr:row>0</xdr:row>
      <xdr:rowOff>520700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23124161" y="225425"/>
          <a:ext cx="247650" cy="2952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40</xdr:col>
      <xdr:colOff>494298</xdr:colOff>
      <xdr:row>0</xdr:row>
      <xdr:rowOff>76200</xdr:rowOff>
    </xdr:from>
    <xdr:to>
      <xdr:col>40</xdr:col>
      <xdr:colOff>722898</xdr:colOff>
      <xdr:row>1</xdr:row>
      <xdr:rowOff>91388</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27035344" y="76200"/>
          <a:ext cx="228600" cy="261373"/>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70</xdr:row>
      <xdr:rowOff>0</xdr:rowOff>
    </xdr:from>
    <xdr:to>
      <xdr:col>8</xdr:col>
      <xdr:colOff>314326</xdr:colOff>
      <xdr:row>82</xdr:row>
      <xdr:rowOff>85726</xdr:rowOff>
    </xdr:to>
    <xdr:graphicFrame macro="">
      <xdr:nvGraphicFramePr>
        <xdr:cNvPr id="2" name="1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70</xdr:row>
      <xdr:rowOff>0</xdr:rowOff>
    </xdr:from>
    <xdr:to>
      <xdr:col>21</xdr:col>
      <xdr:colOff>428626</xdr:colOff>
      <xdr:row>82</xdr:row>
      <xdr:rowOff>85726</xdr:rowOff>
    </xdr:to>
    <xdr:graphicFrame macro="">
      <xdr:nvGraphicFramePr>
        <xdr:cNvPr id="3" name="2 Gráfico">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70</xdr:row>
      <xdr:rowOff>0</xdr:rowOff>
    </xdr:from>
    <xdr:to>
      <xdr:col>30</xdr:col>
      <xdr:colOff>314326</xdr:colOff>
      <xdr:row>82</xdr:row>
      <xdr:rowOff>85726</xdr:rowOff>
    </xdr:to>
    <xdr:graphicFrame macro="">
      <xdr:nvGraphicFramePr>
        <xdr:cNvPr id="4" name="3 Gráfico">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84</xdr:row>
      <xdr:rowOff>0</xdr:rowOff>
    </xdr:from>
    <xdr:to>
      <xdr:col>8</xdr:col>
      <xdr:colOff>314326</xdr:colOff>
      <xdr:row>96</xdr:row>
      <xdr:rowOff>85726</xdr:rowOff>
    </xdr:to>
    <xdr:graphicFrame macro="">
      <xdr:nvGraphicFramePr>
        <xdr:cNvPr id="5" name="4 Gráfico">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84</xdr:row>
      <xdr:rowOff>0</xdr:rowOff>
    </xdr:from>
    <xdr:to>
      <xdr:col>21</xdr:col>
      <xdr:colOff>428626</xdr:colOff>
      <xdr:row>96</xdr:row>
      <xdr:rowOff>85726</xdr:rowOff>
    </xdr:to>
    <xdr:graphicFrame macro="">
      <xdr:nvGraphicFramePr>
        <xdr:cNvPr id="6" name="5 Gráfico">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84</xdr:row>
      <xdr:rowOff>0</xdr:rowOff>
    </xdr:from>
    <xdr:to>
      <xdr:col>30</xdr:col>
      <xdr:colOff>314326</xdr:colOff>
      <xdr:row>96</xdr:row>
      <xdr:rowOff>85726</xdr:rowOff>
    </xdr:to>
    <xdr:graphicFrame macro="">
      <xdr:nvGraphicFramePr>
        <xdr:cNvPr id="7" name="6 Gráfico">
          <a:extLst>
            <a:ext uri="{FF2B5EF4-FFF2-40B4-BE49-F238E27FC236}">
              <a16:creationId xmlns:a16="http://schemas.microsoft.com/office/drawing/2014/main" id="{00000000-0008-0000-2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98</xdr:row>
      <xdr:rowOff>0</xdr:rowOff>
    </xdr:from>
    <xdr:to>
      <xdr:col>8</xdr:col>
      <xdr:colOff>314326</xdr:colOff>
      <xdr:row>110</xdr:row>
      <xdr:rowOff>85726</xdr:rowOff>
    </xdr:to>
    <xdr:graphicFrame macro="">
      <xdr:nvGraphicFramePr>
        <xdr:cNvPr id="8" name="7 Gráfico">
          <a:extLst>
            <a:ext uri="{FF2B5EF4-FFF2-40B4-BE49-F238E27FC236}">
              <a16:creationId xmlns:a16="http://schemas.microsoft.com/office/drawing/2014/main"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98</xdr:row>
      <xdr:rowOff>0</xdr:rowOff>
    </xdr:from>
    <xdr:to>
      <xdr:col>21</xdr:col>
      <xdr:colOff>428626</xdr:colOff>
      <xdr:row>110</xdr:row>
      <xdr:rowOff>85726</xdr:rowOff>
    </xdr:to>
    <xdr:graphicFrame macro="">
      <xdr:nvGraphicFramePr>
        <xdr:cNvPr id="9" name="8 Gráfico">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98</xdr:row>
      <xdr:rowOff>0</xdr:rowOff>
    </xdr:from>
    <xdr:to>
      <xdr:col>30</xdr:col>
      <xdr:colOff>314326</xdr:colOff>
      <xdr:row>110</xdr:row>
      <xdr:rowOff>85726</xdr:rowOff>
    </xdr:to>
    <xdr:graphicFrame macro="">
      <xdr:nvGraphicFramePr>
        <xdr:cNvPr id="10" name="9 Gráfico">
          <a:extLst>
            <a:ext uri="{FF2B5EF4-FFF2-40B4-BE49-F238E27FC236}">
              <a16:creationId xmlns:a16="http://schemas.microsoft.com/office/drawing/2014/main" id="{00000000-0008-0000-2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112</xdr:row>
      <xdr:rowOff>0</xdr:rowOff>
    </xdr:from>
    <xdr:to>
      <xdr:col>8</xdr:col>
      <xdr:colOff>314326</xdr:colOff>
      <xdr:row>124</xdr:row>
      <xdr:rowOff>85726</xdr:rowOff>
    </xdr:to>
    <xdr:graphicFrame macro="">
      <xdr:nvGraphicFramePr>
        <xdr:cNvPr id="11" name="10 Gráfico">
          <a:extLst>
            <a:ext uri="{FF2B5EF4-FFF2-40B4-BE49-F238E27FC236}">
              <a16:creationId xmlns:a16="http://schemas.microsoft.com/office/drawing/2014/main"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111</xdr:row>
      <xdr:rowOff>0</xdr:rowOff>
    </xdr:from>
    <xdr:to>
      <xdr:col>21</xdr:col>
      <xdr:colOff>428626</xdr:colOff>
      <xdr:row>123</xdr:row>
      <xdr:rowOff>85726</xdr:rowOff>
    </xdr:to>
    <xdr:graphicFrame macro="">
      <xdr:nvGraphicFramePr>
        <xdr:cNvPr id="12" name="11 Gráfico">
          <a:extLst>
            <a:ext uri="{FF2B5EF4-FFF2-40B4-BE49-F238E27FC236}">
              <a16:creationId xmlns:a16="http://schemas.microsoft.com/office/drawing/2014/main" id="{00000000-0008-0000-2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111</xdr:row>
      <xdr:rowOff>0</xdr:rowOff>
    </xdr:from>
    <xdr:to>
      <xdr:col>30</xdr:col>
      <xdr:colOff>314326</xdr:colOff>
      <xdr:row>123</xdr:row>
      <xdr:rowOff>85726</xdr:rowOff>
    </xdr:to>
    <xdr:graphicFrame macro="">
      <xdr:nvGraphicFramePr>
        <xdr:cNvPr id="13" name="12 Gráfico">
          <a:extLst>
            <a:ext uri="{FF2B5EF4-FFF2-40B4-BE49-F238E27FC236}">
              <a16:creationId xmlns:a16="http://schemas.microsoft.com/office/drawing/2014/main" id="{00000000-0008-0000-2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66</xdr:col>
      <xdr:colOff>144462</xdr:colOff>
      <xdr:row>0</xdr:row>
      <xdr:rowOff>190500</xdr:rowOff>
    </xdr:from>
    <xdr:to>
      <xdr:col>66</xdr:col>
      <xdr:colOff>401637</xdr:colOff>
      <xdr:row>1</xdr:row>
      <xdr:rowOff>6350</xdr:rowOff>
    </xdr:to>
    <xdr:sp macro="" textlink="">
      <xdr:nvSpPr>
        <xdr:cNvPr id="14" name="13 Botón de acción: Inicio">
          <a:hlinkClick xmlns:r="http://schemas.openxmlformats.org/officeDocument/2006/relationships" r:id="rId13"/>
          <a:extLst>
            <a:ext uri="{FF2B5EF4-FFF2-40B4-BE49-F238E27FC236}">
              <a16:creationId xmlns:a16="http://schemas.microsoft.com/office/drawing/2014/main" id="{00000000-0008-0000-2600-00000E000000}"/>
            </a:ext>
          </a:extLst>
        </xdr:cNvPr>
        <xdr:cNvSpPr/>
      </xdr:nvSpPr>
      <xdr:spPr>
        <a:xfrm>
          <a:off x="28478162" y="190500"/>
          <a:ext cx="257175" cy="2857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533400</xdr:colOff>
      <xdr:row>0</xdr:row>
      <xdr:rowOff>104775</xdr:rowOff>
    </xdr:from>
    <xdr:to>
      <xdr:col>7</xdr:col>
      <xdr:colOff>0</xdr:colOff>
      <xdr:row>1</xdr:row>
      <xdr:rowOff>147205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7762875" y="104775"/>
          <a:ext cx="2286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13</xdr:col>
      <xdr:colOff>155576</xdr:colOff>
      <xdr:row>0</xdr:row>
      <xdr:rowOff>114300</xdr:rowOff>
    </xdr:from>
    <xdr:to>
      <xdr:col>13</xdr:col>
      <xdr:colOff>436562</xdr:colOff>
      <xdr:row>1</xdr:row>
      <xdr:rowOff>150812</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800-000003000000}"/>
            </a:ext>
          </a:extLst>
        </xdr:cNvPr>
        <xdr:cNvSpPr/>
      </xdr:nvSpPr>
      <xdr:spPr>
        <a:xfrm>
          <a:off x="8497889" y="114300"/>
          <a:ext cx="280986" cy="282575"/>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158750</xdr:colOff>
      <xdr:row>0</xdr:row>
      <xdr:rowOff>55562</xdr:rowOff>
    </xdr:from>
    <xdr:to>
      <xdr:col>4</xdr:col>
      <xdr:colOff>425450</xdr:colOff>
      <xdr:row>0</xdr:row>
      <xdr:rowOff>326592</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900-000003000000}"/>
            </a:ext>
          </a:extLst>
        </xdr:cNvPr>
        <xdr:cNvSpPr/>
      </xdr:nvSpPr>
      <xdr:spPr>
        <a:xfrm>
          <a:off x="4579938" y="55562"/>
          <a:ext cx="2667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556847</xdr:colOff>
      <xdr:row>0</xdr:row>
      <xdr:rowOff>36635</xdr:rowOff>
    </xdr:from>
    <xdr:to>
      <xdr:col>7</xdr:col>
      <xdr:colOff>3664</xdr:colOff>
      <xdr:row>1</xdr:row>
      <xdr:rowOff>40298</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129097" y="36635"/>
          <a:ext cx="245452" cy="25277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603250</xdr:colOff>
      <xdr:row>0</xdr:row>
      <xdr:rowOff>115888</xdr:rowOff>
    </xdr:from>
    <xdr:to>
      <xdr:col>11</xdr:col>
      <xdr:colOff>860426</xdr:colOff>
      <xdr:row>1</xdr:row>
      <xdr:rowOff>114300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13347700" y="115888"/>
          <a:ext cx="257176" cy="239712"/>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685800</xdr:colOff>
      <xdr:row>0</xdr:row>
      <xdr:rowOff>63500</xdr:rowOff>
    </xdr:from>
    <xdr:to>
      <xdr:col>7</xdr:col>
      <xdr:colOff>9526</xdr:colOff>
      <xdr:row>1</xdr:row>
      <xdr:rowOff>85725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6837363" y="63500"/>
          <a:ext cx="284163" cy="26828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382587</xdr:colOff>
      <xdr:row>0</xdr:row>
      <xdr:rowOff>112712</xdr:rowOff>
    </xdr:from>
    <xdr:to>
      <xdr:col>19</xdr:col>
      <xdr:colOff>696912</xdr:colOff>
      <xdr:row>2</xdr:row>
      <xdr:rowOff>17462</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5384462" y="112712"/>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477838</xdr:colOff>
      <xdr:row>0</xdr:row>
      <xdr:rowOff>63500</xdr:rowOff>
    </xdr:from>
    <xdr:to>
      <xdr:col>13</xdr:col>
      <xdr:colOff>19051</xdr:colOff>
      <xdr:row>1</xdr:row>
      <xdr:rowOff>111125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359776" y="63500"/>
          <a:ext cx="255588" cy="29368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171449</xdr:colOff>
      <xdr:row>0</xdr:row>
      <xdr:rowOff>57151</xdr:rowOff>
    </xdr:from>
    <xdr:to>
      <xdr:col>7</xdr:col>
      <xdr:colOff>430213</xdr:colOff>
      <xdr:row>1</xdr:row>
      <xdr:rowOff>65088</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4787899" y="57151"/>
          <a:ext cx="258764" cy="249237"/>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1004888</xdr:colOff>
      <xdr:row>0</xdr:row>
      <xdr:rowOff>31749</xdr:rowOff>
    </xdr:from>
    <xdr:to>
      <xdr:col>10</xdr:col>
      <xdr:colOff>254002</xdr:colOff>
      <xdr:row>1</xdr:row>
      <xdr:rowOff>55561</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3108326" y="31749"/>
          <a:ext cx="257176" cy="26987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47</xdr:col>
      <xdr:colOff>460376</xdr:colOff>
      <xdr:row>0</xdr:row>
      <xdr:rowOff>82551</xdr:rowOff>
    </xdr:from>
    <xdr:to>
      <xdr:col>47</xdr:col>
      <xdr:colOff>717552</xdr:colOff>
      <xdr:row>0</xdr:row>
      <xdr:rowOff>344489</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32458026" y="82551"/>
          <a:ext cx="257176" cy="26193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401637</xdr:colOff>
      <xdr:row>0</xdr:row>
      <xdr:rowOff>149225</xdr:rowOff>
    </xdr:from>
    <xdr:to>
      <xdr:col>12</xdr:col>
      <xdr:colOff>657226</xdr:colOff>
      <xdr:row>1</xdr:row>
      <xdr:rowOff>192087</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0269537" y="149225"/>
          <a:ext cx="255589" cy="284162"/>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698499</xdr:colOff>
      <xdr:row>0</xdr:row>
      <xdr:rowOff>50801</xdr:rowOff>
    </xdr:from>
    <xdr:to>
      <xdr:col>6</xdr:col>
      <xdr:colOff>168275</xdr:colOff>
      <xdr:row>1</xdr:row>
      <xdr:rowOff>87312</xdr:rowOff>
    </xdr:to>
    <xdr:sp macro="" textlink="">
      <xdr:nvSpPr>
        <xdr:cNvPr id="16" name="15 Botón de acción: Inicio">
          <a:hlinkClick xmlns:r="http://schemas.openxmlformats.org/officeDocument/2006/relationships" r:id="rId1"/>
          <a:extLst>
            <a:ext uri="{FF2B5EF4-FFF2-40B4-BE49-F238E27FC236}">
              <a16:creationId xmlns:a16="http://schemas.microsoft.com/office/drawing/2014/main" id="{00000000-0008-0000-3200-000010000000}"/>
            </a:ext>
          </a:extLst>
        </xdr:cNvPr>
        <xdr:cNvSpPr/>
      </xdr:nvSpPr>
      <xdr:spPr>
        <a:xfrm>
          <a:off x="6318249" y="50801"/>
          <a:ext cx="247651" cy="282574"/>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editAs="oneCell">
    <xdr:from>
      <xdr:col>6</xdr:col>
      <xdr:colOff>0</xdr:colOff>
      <xdr:row>182</xdr:row>
      <xdr:rowOff>353880</xdr:rowOff>
    </xdr:from>
    <xdr:to>
      <xdr:col>6</xdr:col>
      <xdr:colOff>360</xdr:colOff>
      <xdr:row>200</xdr:row>
      <xdr:rowOff>14190</xdr:rowOff>
    </xdr:to>
    <xdr:sp macro="" textlink="">
      <xdr:nvSpPr>
        <xdr:cNvPr id="11" name="CustomShape 1">
          <a:extLst>
            <a:ext uri="{FF2B5EF4-FFF2-40B4-BE49-F238E27FC236}">
              <a16:creationId xmlns:a16="http://schemas.microsoft.com/office/drawing/2014/main" id="{00000000-0008-0000-3200-00000B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182</xdr:row>
      <xdr:rowOff>353880</xdr:rowOff>
    </xdr:from>
    <xdr:to>
      <xdr:col>6</xdr:col>
      <xdr:colOff>360</xdr:colOff>
      <xdr:row>200</xdr:row>
      <xdr:rowOff>14190</xdr:rowOff>
    </xdr:to>
    <xdr:sp macro="" textlink="">
      <xdr:nvSpPr>
        <xdr:cNvPr id="12" name="CustomShape 1">
          <a:extLst>
            <a:ext uri="{FF2B5EF4-FFF2-40B4-BE49-F238E27FC236}">
              <a16:creationId xmlns:a16="http://schemas.microsoft.com/office/drawing/2014/main" id="{00000000-0008-0000-3200-00000C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182</xdr:row>
      <xdr:rowOff>353880</xdr:rowOff>
    </xdr:from>
    <xdr:to>
      <xdr:col>6</xdr:col>
      <xdr:colOff>360</xdr:colOff>
      <xdr:row>200</xdr:row>
      <xdr:rowOff>14190</xdr:rowOff>
    </xdr:to>
    <xdr:sp macro="" textlink="">
      <xdr:nvSpPr>
        <xdr:cNvPr id="13" name="CustomShape 1">
          <a:extLst>
            <a:ext uri="{FF2B5EF4-FFF2-40B4-BE49-F238E27FC236}">
              <a16:creationId xmlns:a16="http://schemas.microsoft.com/office/drawing/2014/main" id="{00000000-0008-0000-3200-00000D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182</xdr:row>
      <xdr:rowOff>353880</xdr:rowOff>
    </xdr:from>
    <xdr:to>
      <xdr:col>6</xdr:col>
      <xdr:colOff>360</xdr:colOff>
      <xdr:row>200</xdr:row>
      <xdr:rowOff>14190</xdr:rowOff>
    </xdr:to>
    <xdr:sp macro="" textlink="">
      <xdr:nvSpPr>
        <xdr:cNvPr id="14" name="CustomShape 1">
          <a:extLst>
            <a:ext uri="{FF2B5EF4-FFF2-40B4-BE49-F238E27FC236}">
              <a16:creationId xmlns:a16="http://schemas.microsoft.com/office/drawing/2014/main" id="{00000000-0008-0000-3200-00000E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0</xdr:colOff>
      <xdr:row>248</xdr:row>
      <xdr:rowOff>0</xdr:rowOff>
    </xdr:from>
    <xdr:to>
      <xdr:col>2</xdr:col>
      <xdr:colOff>0</xdr:colOff>
      <xdr:row>266</xdr:row>
      <xdr:rowOff>0</xdr:rowOff>
    </xdr:to>
    <xdr:sp macro="" textlink="">
      <xdr:nvSpPr>
        <xdr:cNvPr id="2" name="Rectangle 107">
          <a:extLst>
            <a:ext uri="{FF2B5EF4-FFF2-40B4-BE49-F238E27FC236}">
              <a16:creationId xmlns:a16="http://schemas.microsoft.com/office/drawing/2014/main" id="{00000000-0008-0000-3300-000002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248</xdr:row>
      <xdr:rowOff>0</xdr:rowOff>
    </xdr:from>
    <xdr:to>
      <xdr:col>2</xdr:col>
      <xdr:colOff>0</xdr:colOff>
      <xdr:row>266</xdr:row>
      <xdr:rowOff>0</xdr:rowOff>
    </xdr:to>
    <xdr:sp macro="" textlink="">
      <xdr:nvSpPr>
        <xdr:cNvPr id="3" name="Rectangle 108">
          <a:extLst>
            <a:ext uri="{FF2B5EF4-FFF2-40B4-BE49-F238E27FC236}">
              <a16:creationId xmlns:a16="http://schemas.microsoft.com/office/drawing/2014/main" id="{00000000-0008-0000-3300-000003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272</xdr:row>
      <xdr:rowOff>0</xdr:rowOff>
    </xdr:from>
    <xdr:to>
      <xdr:col>2</xdr:col>
      <xdr:colOff>0</xdr:colOff>
      <xdr:row>289</xdr:row>
      <xdr:rowOff>0</xdr:rowOff>
    </xdr:to>
    <xdr:sp macro="" textlink="">
      <xdr:nvSpPr>
        <xdr:cNvPr id="4" name="Rectangle 107">
          <a:extLst>
            <a:ext uri="{FF2B5EF4-FFF2-40B4-BE49-F238E27FC236}">
              <a16:creationId xmlns:a16="http://schemas.microsoft.com/office/drawing/2014/main" id="{00000000-0008-0000-3300-000004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272</xdr:row>
      <xdr:rowOff>0</xdr:rowOff>
    </xdr:from>
    <xdr:to>
      <xdr:col>2</xdr:col>
      <xdr:colOff>0</xdr:colOff>
      <xdr:row>289</xdr:row>
      <xdr:rowOff>0</xdr:rowOff>
    </xdr:to>
    <xdr:sp macro="" textlink="">
      <xdr:nvSpPr>
        <xdr:cNvPr id="5" name="Rectangle 108">
          <a:extLst>
            <a:ext uri="{FF2B5EF4-FFF2-40B4-BE49-F238E27FC236}">
              <a16:creationId xmlns:a16="http://schemas.microsoft.com/office/drawing/2014/main" id="{00000000-0008-0000-3300-000005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249</xdr:row>
      <xdr:rowOff>0</xdr:rowOff>
    </xdr:from>
    <xdr:to>
      <xdr:col>6</xdr:col>
      <xdr:colOff>0</xdr:colOff>
      <xdr:row>254</xdr:row>
      <xdr:rowOff>0</xdr:rowOff>
    </xdr:to>
    <xdr:sp macro="" textlink="">
      <xdr:nvSpPr>
        <xdr:cNvPr id="6" name="Rectangle 107">
          <a:extLst>
            <a:ext uri="{FF2B5EF4-FFF2-40B4-BE49-F238E27FC236}">
              <a16:creationId xmlns:a16="http://schemas.microsoft.com/office/drawing/2014/main" id="{00000000-0008-0000-3300-000006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249</xdr:row>
      <xdr:rowOff>0</xdr:rowOff>
    </xdr:from>
    <xdr:to>
      <xdr:col>6</xdr:col>
      <xdr:colOff>0</xdr:colOff>
      <xdr:row>254</xdr:row>
      <xdr:rowOff>0</xdr:rowOff>
    </xdr:to>
    <xdr:sp macro="" textlink="">
      <xdr:nvSpPr>
        <xdr:cNvPr id="7" name="Rectangle 108">
          <a:extLst>
            <a:ext uri="{FF2B5EF4-FFF2-40B4-BE49-F238E27FC236}">
              <a16:creationId xmlns:a16="http://schemas.microsoft.com/office/drawing/2014/main" id="{00000000-0008-0000-3300-000007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250</xdr:row>
      <xdr:rowOff>0</xdr:rowOff>
    </xdr:from>
    <xdr:to>
      <xdr:col>6</xdr:col>
      <xdr:colOff>0</xdr:colOff>
      <xdr:row>254</xdr:row>
      <xdr:rowOff>0</xdr:rowOff>
    </xdr:to>
    <xdr:sp macro="" textlink="">
      <xdr:nvSpPr>
        <xdr:cNvPr id="8" name="Rectangle 107">
          <a:extLst>
            <a:ext uri="{FF2B5EF4-FFF2-40B4-BE49-F238E27FC236}">
              <a16:creationId xmlns:a16="http://schemas.microsoft.com/office/drawing/2014/main" id="{00000000-0008-0000-3300-000008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250</xdr:row>
      <xdr:rowOff>0</xdr:rowOff>
    </xdr:from>
    <xdr:to>
      <xdr:col>6</xdr:col>
      <xdr:colOff>0</xdr:colOff>
      <xdr:row>254</xdr:row>
      <xdr:rowOff>0</xdr:rowOff>
    </xdr:to>
    <xdr:sp macro="" textlink="">
      <xdr:nvSpPr>
        <xdr:cNvPr id="9" name="Rectangle 108">
          <a:extLst>
            <a:ext uri="{FF2B5EF4-FFF2-40B4-BE49-F238E27FC236}">
              <a16:creationId xmlns:a16="http://schemas.microsoft.com/office/drawing/2014/main" id="{00000000-0008-0000-3300-000009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3</xdr:col>
      <xdr:colOff>387351</xdr:colOff>
      <xdr:row>0</xdr:row>
      <xdr:rowOff>63503</xdr:rowOff>
    </xdr:from>
    <xdr:to>
      <xdr:col>4</xdr:col>
      <xdr:colOff>55562</xdr:colOff>
      <xdr:row>1</xdr:row>
      <xdr:rowOff>114301</xdr:rowOff>
    </xdr:to>
    <xdr:sp macro="" textlink="">
      <xdr:nvSpPr>
        <xdr:cNvPr id="10" name="9 Botón de acción: Inicio">
          <a:hlinkClick xmlns:r="http://schemas.openxmlformats.org/officeDocument/2006/relationships" r:id="rId1"/>
          <a:extLst>
            <a:ext uri="{FF2B5EF4-FFF2-40B4-BE49-F238E27FC236}">
              <a16:creationId xmlns:a16="http://schemas.microsoft.com/office/drawing/2014/main" id="{00000000-0008-0000-3300-00000A000000}"/>
            </a:ext>
          </a:extLst>
        </xdr:cNvPr>
        <xdr:cNvSpPr/>
      </xdr:nvSpPr>
      <xdr:spPr>
        <a:xfrm>
          <a:off x="5157471" y="63503"/>
          <a:ext cx="254951" cy="29463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2</xdr:col>
      <xdr:colOff>0</xdr:colOff>
      <xdr:row>248</xdr:row>
      <xdr:rowOff>0</xdr:rowOff>
    </xdr:from>
    <xdr:to>
      <xdr:col>2</xdr:col>
      <xdr:colOff>0</xdr:colOff>
      <xdr:row>268</xdr:row>
      <xdr:rowOff>0</xdr:rowOff>
    </xdr:to>
    <xdr:sp macro="" textlink="">
      <xdr:nvSpPr>
        <xdr:cNvPr id="11" name="Rectangle 107">
          <a:extLst>
            <a:ext uri="{FF2B5EF4-FFF2-40B4-BE49-F238E27FC236}">
              <a16:creationId xmlns:a16="http://schemas.microsoft.com/office/drawing/2014/main" id="{00000000-0008-0000-3300-00000B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248</xdr:row>
      <xdr:rowOff>0</xdr:rowOff>
    </xdr:from>
    <xdr:to>
      <xdr:col>2</xdr:col>
      <xdr:colOff>0</xdr:colOff>
      <xdr:row>268</xdr:row>
      <xdr:rowOff>0</xdr:rowOff>
    </xdr:to>
    <xdr:sp macro="" textlink="">
      <xdr:nvSpPr>
        <xdr:cNvPr id="12" name="Rectangle 108">
          <a:extLst>
            <a:ext uri="{FF2B5EF4-FFF2-40B4-BE49-F238E27FC236}">
              <a16:creationId xmlns:a16="http://schemas.microsoft.com/office/drawing/2014/main" id="{00000000-0008-0000-3300-00000C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272</xdr:row>
      <xdr:rowOff>0</xdr:rowOff>
    </xdr:from>
    <xdr:to>
      <xdr:col>2</xdr:col>
      <xdr:colOff>0</xdr:colOff>
      <xdr:row>297</xdr:row>
      <xdr:rowOff>0</xdr:rowOff>
    </xdr:to>
    <xdr:sp macro="" textlink="">
      <xdr:nvSpPr>
        <xdr:cNvPr id="13" name="Rectangle 107">
          <a:extLst>
            <a:ext uri="{FF2B5EF4-FFF2-40B4-BE49-F238E27FC236}">
              <a16:creationId xmlns:a16="http://schemas.microsoft.com/office/drawing/2014/main" id="{00000000-0008-0000-3300-00000D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272</xdr:row>
      <xdr:rowOff>0</xdr:rowOff>
    </xdr:from>
    <xdr:to>
      <xdr:col>2</xdr:col>
      <xdr:colOff>0</xdr:colOff>
      <xdr:row>297</xdr:row>
      <xdr:rowOff>0</xdr:rowOff>
    </xdr:to>
    <xdr:sp macro="" textlink="">
      <xdr:nvSpPr>
        <xdr:cNvPr id="14" name="Rectangle 108">
          <a:extLst>
            <a:ext uri="{FF2B5EF4-FFF2-40B4-BE49-F238E27FC236}">
              <a16:creationId xmlns:a16="http://schemas.microsoft.com/office/drawing/2014/main" id="{00000000-0008-0000-3300-00000E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248</xdr:row>
      <xdr:rowOff>0</xdr:rowOff>
    </xdr:from>
    <xdr:to>
      <xdr:col>6</xdr:col>
      <xdr:colOff>0</xdr:colOff>
      <xdr:row>264</xdr:row>
      <xdr:rowOff>0</xdr:rowOff>
    </xdr:to>
    <xdr:sp macro="" textlink="">
      <xdr:nvSpPr>
        <xdr:cNvPr id="15" name="Rectangle 107">
          <a:extLst>
            <a:ext uri="{FF2B5EF4-FFF2-40B4-BE49-F238E27FC236}">
              <a16:creationId xmlns:a16="http://schemas.microsoft.com/office/drawing/2014/main" id="{00000000-0008-0000-3300-00000F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248</xdr:row>
      <xdr:rowOff>0</xdr:rowOff>
    </xdr:from>
    <xdr:to>
      <xdr:col>6</xdr:col>
      <xdr:colOff>0</xdr:colOff>
      <xdr:row>264</xdr:row>
      <xdr:rowOff>0</xdr:rowOff>
    </xdr:to>
    <xdr:sp macro="" textlink="">
      <xdr:nvSpPr>
        <xdr:cNvPr id="16" name="Rectangle 108">
          <a:extLst>
            <a:ext uri="{FF2B5EF4-FFF2-40B4-BE49-F238E27FC236}">
              <a16:creationId xmlns:a16="http://schemas.microsoft.com/office/drawing/2014/main" id="{00000000-0008-0000-3300-000010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250</xdr:row>
      <xdr:rowOff>0</xdr:rowOff>
    </xdr:from>
    <xdr:to>
      <xdr:col>6</xdr:col>
      <xdr:colOff>0</xdr:colOff>
      <xdr:row>264</xdr:row>
      <xdr:rowOff>0</xdr:rowOff>
    </xdr:to>
    <xdr:sp macro="" textlink="">
      <xdr:nvSpPr>
        <xdr:cNvPr id="17" name="Rectangle 107">
          <a:extLst>
            <a:ext uri="{FF2B5EF4-FFF2-40B4-BE49-F238E27FC236}">
              <a16:creationId xmlns:a16="http://schemas.microsoft.com/office/drawing/2014/main" id="{00000000-0008-0000-3300-000011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250</xdr:row>
      <xdr:rowOff>0</xdr:rowOff>
    </xdr:from>
    <xdr:to>
      <xdr:col>6</xdr:col>
      <xdr:colOff>0</xdr:colOff>
      <xdr:row>264</xdr:row>
      <xdr:rowOff>0</xdr:rowOff>
    </xdr:to>
    <xdr:sp macro="" textlink="">
      <xdr:nvSpPr>
        <xdr:cNvPr id="18" name="Rectangle 108">
          <a:extLst>
            <a:ext uri="{FF2B5EF4-FFF2-40B4-BE49-F238E27FC236}">
              <a16:creationId xmlns:a16="http://schemas.microsoft.com/office/drawing/2014/main" id="{00000000-0008-0000-3300-000012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272</xdr:row>
      <xdr:rowOff>0</xdr:rowOff>
    </xdr:from>
    <xdr:to>
      <xdr:col>2</xdr:col>
      <xdr:colOff>0</xdr:colOff>
      <xdr:row>301</xdr:row>
      <xdr:rowOff>0</xdr:rowOff>
    </xdr:to>
    <xdr:sp macro="" textlink="">
      <xdr:nvSpPr>
        <xdr:cNvPr id="19" name="Rectangle 107">
          <a:extLst>
            <a:ext uri="{FF2B5EF4-FFF2-40B4-BE49-F238E27FC236}">
              <a16:creationId xmlns:a16="http://schemas.microsoft.com/office/drawing/2014/main" id="{00000000-0008-0000-3300-000013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272</xdr:row>
      <xdr:rowOff>0</xdr:rowOff>
    </xdr:from>
    <xdr:to>
      <xdr:col>2</xdr:col>
      <xdr:colOff>0</xdr:colOff>
      <xdr:row>301</xdr:row>
      <xdr:rowOff>0</xdr:rowOff>
    </xdr:to>
    <xdr:sp macro="" textlink="">
      <xdr:nvSpPr>
        <xdr:cNvPr id="20" name="Rectangle 108">
          <a:extLst>
            <a:ext uri="{FF2B5EF4-FFF2-40B4-BE49-F238E27FC236}">
              <a16:creationId xmlns:a16="http://schemas.microsoft.com/office/drawing/2014/main" id="{00000000-0008-0000-3300-000014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248</xdr:row>
      <xdr:rowOff>0</xdr:rowOff>
    </xdr:from>
    <xdr:to>
      <xdr:col>6</xdr:col>
      <xdr:colOff>0</xdr:colOff>
      <xdr:row>262</xdr:row>
      <xdr:rowOff>0</xdr:rowOff>
    </xdr:to>
    <xdr:sp macro="" textlink="">
      <xdr:nvSpPr>
        <xdr:cNvPr id="21" name="Rectangle 107">
          <a:extLst>
            <a:ext uri="{FF2B5EF4-FFF2-40B4-BE49-F238E27FC236}">
              <a16:creationId xmlns:a16="http://schemas.microsoft.com/office/drawing/2014/main" id="{00000000-0008-0000-3300-000015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248</xdr:row>
      <xdr:rowOff>0</xdr:rowOff>
    </xdr:from>
    <xdr:to>
      <xdr:col>6</xdr:col>
      <xdr:colOff>0</xdr:colOff>
      <xdr:row>262</xdr:row>
      <xdr:rowOff>0</xdr:rowOff>
    </xdr:to>
    <xdr:sp macro="" textlink="">
      <xdr:nvSpPr>
        <xdr:cNvPr id="22" name="Rectangle 108">
          <a:extLst>
            <a:ext uri="{FF2B5EF4-FFF2-40B4-BE49-F238E27FC236}">
              <a16:creationId xmlns:a16="http://schemas.microsoft.com/office/drawing/2014/main" id="{00000000-0008-0000-3300-000016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249</xdr:row>
      <xdr:rowOff>0</xdr:rowOff>
    </xdr:from>
    <xdr:to>
      <xdr:col>2</xdr:col>
      <xdr:colOff>0</xdr:colOff>
      <xdr:row>258</xdr:row>
      <xdr:rowOff>0</xdr:rowOff>
    </xdr:to>
    <xdr:sp macro="" textlink="">
      <xdr:nvSpPr>
        <xdr:cNvPr id="23" name="Rectangle 107">
          <a:extLst>
            <a:ext uri="{FF2B5EF4-FFF2-40B4-BE49-F238E27FC236}">
              <a16:creationId xmlns:a16="http://schemas.microsoft.com/office/drawing/2014/main" id="{00000000-0008-0000-3300-000017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249</xdr:row>
      <xdr:rowOff>0</xdr:rowOff>
    </xdr:from>
    <xdr:to>
      <xdr:col>2</xdr:col>
      <xdr:colOff>0</xdr:colOff>
      <xdr:row>258</xdr:row>
      <xdr:rowOff>0</xdr:rowOff>
    </xdr:to>
    <xdr:sp macro="" textlink="">
      <xdr:nvSpPr>
        <xdr:cNvPr id="24" name="Rectangle 108">
          <a:extLst>
            <a:ext uri="{FF2B5EF4-FFF2-40B4-BE49-F238E27FC236}">
              <a16:creationId xmlns:a16="http://schemas.microsoft.com/office/drawing/2014/main" id="{00000000-0008-0000-3300-000018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272</xdr:row>
      <xdr:rowOff>0</xdr:rowOff>
    </xdr:from>
    <xdr:to>
      <xdr:col>2</xdr:col>
      <xdr:colOff>0</xdr:colOff>
      <xdr:row>293</xdr:row>
      <xdr:rowOff>0</xdr:rowOff>
    </xdr:to>
    <xdr:sp macro="" textlink="">
      <xdr:nvSpPr>
        <xdr:cNvPr id="25" name="Rectangle 107">
          <a:extLst>
            <a:ext uri="{FF2B5EF4-FFF2-40B4-BE49-F238E27FC236}">
              <a16:creationId xmlns:a16="http://schemas.microsoft.com/office/drawing/2014/main" id="{00000000-0008-0000-3300-000019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272</xdr:row>
      <xdr:rowOff>0</xdr:rowOff>
    </xdr:from>
    <xdr:to>
      <xdr:col>2</xdr:col>
      <xdr:colOff>0</xdr:colOff>
      <xdr:row>293</xdr:row>
      <xdr:rowOff>0</xdr:rowOff>
    </xdr:to>
    <xdr:sp macro="" textlink="">
      <xdr:nvSpPr>
        <xdr:cNvPr id="26" name="Rectangle 108">
          <a:extLst>
            <a:ext uri="{FF2B5EF4-FFF2-40B4-BE49-F238E27FC236}">
              <a16:creationId xmlns:a16="http://schemas.microsoft.com/office/drawing/2014/main" id="{00000000-0008-0000-3300-00001A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253</xdr:row>
      <xdr:rowOff>0</xdr:rowOff>
    </xdr:from>
    <xdr:to>
      <xdr:col>6</xdr:col>
      <xdr:colOff>0</xdr:colOff>
      <xdr:row>267</xdr:row>
      <xdr:rowOff>0</xdr:rowOff>
    </xdr:to>
    <xdr:sp macro="" textlink="">
      <xdr:nvSpPr>
        <xdr:cNvPr id="27" name="Rectangle 107">
          <a:extLst>
            <a:ext uri="{FF2B5EF4-FFF2-40B4-BE49-F238E27FC236}">
              <a16:creationId xmlns:a16="http://schemas.microsoft.com/office/drawing/2014/main" id="{00000000-0008-0000-3300-00001B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253</xdr:row>
      <xdr:rowOff>0</xdr:rowOff>
    </xdr:from>
    <xdr:to>
      <xdr:col>6</xdr:col>
      <xdr:colOff>0</xdr:colOff>
      <xdr:row>267</xdr:row>
      <xdr:rowOff>0</xdr:rowOff>
    </xdr:to>
    <xdr:sp macro="" textlink="">
      <xdr:nvSpPr>
        <xdr:cNvPr id="28" name="Rectangle 108">
          <a:extLst>
            <a:ext uri="{FF2B5EF4-FFF2-40B4-BE49-F238E27FC236}">
              <a16:creationId xmlns:a16="http://schemas.microsoft.com/office/drawing/2014/main" id="{00000000-0008-0000-3300-00001C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265</xdr:row>
      <xdr:rowOff>0</xdr:rowOff>
    </xdr:from>
    <xdr:to>
      <xdr:col>6</xdr:col>
      <xdr:colOff>0</xdr:colOff>
      <xdr:row>267</xdr:row>
      <xdr:rowOff>0</xdr:rowOff>
    </xdr:to>
    <xdr:sp macro="" textlink="">
      <xdr:nvSpPr>
        <xdr:cNvPr id="29" name="Rectangle 107">
          <a:extLst>
            <a:ext uri="{FF2B5EF4-FFF2-40B4-BE49-F238E27FC236}">
              <a16:creationId xmlns:a16="http://schemas.microsoft.com/office/drawing/2014/main" id="{00000000-0008-0000-3300-00001D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265</xdr:row>
      <xdr:rowOff>0</xdr:rowOff>
    </xdr:from>
    <xdr:to>
      <xdr:col>6</xdr:col>
      <xdr:colOff>0</xdr:colOff>
      <xdr:row>267</xdr:row>
      <xdr:rowOff>0</xdr:rowOff>
    </xdr:to>
    <xdr:sp macro="" textlink="">
      <xdr:nvSpPr>
        <xdr:cNvPr id="30" name="Rectangle 108">
          <a:extLst>
            <a:ext uri="{FF2B5EF4-FFF2-40B4-BE49-F238E27FC236}">
              <a16:creationId xmlns:a16="http://schemas.microsoft.com/office/drawing/2014/main" id="{00000000-0008-0000-3300-00001E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248</xdr:row>
      <xdr:rowOff>0</xdr:rowOff>
    </xdr:from>
    <xdr:to>
      <xdr:col>2</xdr:col>
      <xdr:colOff>0</xdr:colOff>
      <xdr:row>266</xdr:row>
      <xdr:rowOff>0</xdr:rowOff>
    </xdr:to>
    <xdr:sp macro="" textlink="">
      <xdr:nvSpPr>
        <xdr:cNvPr id="31" name="Rectangle 107">
          <a:extLst>
            <a:ext uri="{FF2B5EF4-FFF2-40B4-BE49-F238E27FC236}">
              <a16:creationId xmlns:a16="http://schemas.microsoft.com/office/drawing/2014/main" id="{00000000-0008-0000-3300-00001F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248</xdr:row>
      <xdr:rowOff>0</xdr:rowOff>
    </xdr:from>
    <xdr:to>
      <xdr:col>2</xdr:col>
      <xdr:colOff>0</xdr:colOff>
      <xdr:row>266</xdr:row>
      <xdr:rowOff>0</xdr:rowOff>
    </xdr:to>
    <xdr:sp macro="" textlink="">
      <xdr:nvSpPr>
        <xdr:cNvPr id="32" name="Rectangle 108">
          <a:extLst>
            <a:ext uri="{FF2B5EF4-FFF2-40B4-BE49-F238E27FC236}">
              <a16:creationId xmlns:a16="http://schemas.microsoft.com/office/drawing/2014/main" id="{00000000-0008-0000-3300-000020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282</xdr:row>
      <xdr:rowOff>0</xdr:rowOff>
    </xdr:from>
    <xdr:to>
      <xdr:col>2</xdr:col>
      <xdr:colOff>0</xdr:colOff>
      <xdr:row>301</xdr:row>
      <xdr:rowOff>0</xdr:rowOff>
    </xdr:to>
    <xdr:sp macro="" textlink="">
      <xdr:nvSpPr>
        <xdr:cNvPr id="33" name="Rectangle 107">
          <a:extLst>
            <a:ext uri="{FF2B5EF4-FFF2-40B4-BE49-F238E27FC236}">
              <a16:creationId xmlns:a16="http://schemas.microsoft.com/office/drawing/2014/main" id="{00000000-0008-0000-3300-000021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2</xdr:col>
      <xdr:colOff>0</xdr:colOff>
      <xdr:row>282</xdr:row>
      <xdr:rowOff>0</xdr:rowOff>
    </xdr:from>
    <xdr:to>
      <xdr:col>2</xdr:col>
      <xdr:colOff>0</xdr:colOff>
      <xdr:row>301</xdr:row>
      <xdr:rowOff>0</xdr:rowOff>
    </xdr:to>
    <xdr:sp macro="" textlink="">
      <xdr:nvSpPr>
        <xdr:cNvPr id="34" name="Rectangle 108">
          <a:extLst>
            <a:ext uri="{FF2B5EF4-FFF2-40B4-BE49-F238E27FC236}">
              <a16:creationId xmlns:a16="http://schemas.microsoft.com/office/drawing/2014/main" id="{00000000-0008-0000-3300-000022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6</xdr:col>
      <xdr:colOff>0</xdr:colOff>
      <xdr:row>249</xdr:row>
      <xdr:rowOff>0</xdr:rowOff>
    </xdr:from>
    <xdr:to>
      <xdr:col>6</xdr:col>
      <xdr:colOff>0</xdr:colOff>
      <xdr:row>254</xdr:row>
      <xdr:rowOff>0</xdr:rowOff>
    </xdr:to>
    <xdr:sp macro="" textlink="">
      <xdr:nvSpPr>
        <xdr:cNvPr id="35" name="Rectangle 107">
          <a:extLst>
            <a:ext uri="{FF2B5EF4-FFF2-40B4-BE49-F238E27FC236}">
              <a16:creationId xmlns:a16="http://schemas.microsoft.com/office/drawing/2014/main" id="{00000000-0008-0000-3300-000023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249</xdr:row>
      <xdr:rowOff>0</xdr:rowOff>
    </xdr:from>
    <xdr:to>
      <xdr:col>6</xdr:col>
      <xdr:colOff>0</xdr:colOff>
      <xdr:row>254</xdr:row>
      <xdr:rowOff>0</xdr:rowOff>
    </xdr:to>
    <xdr:sp macro="" textlink="">
      <xdr:nvSpPr>
        <xdr:cNvPr id="36" name="Rectangle 108">
          <a:extLst>
            <a:ext uri="{FF2B5EF4-FFF2-40B4-BE49-F238E27FC236}">
              <a16:creationId xmlns:a16="http://schemas.microsoft.com/office/drawing/2014/main" id="{00000000-0008-0000-3300-000024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250</xdr:row>
      <xdr:rowOff>0</xdr:rowOff>
    </xdr:from>
    <xdr:to>
      <xdr:col>6</xdr:col>
      <xdr:colOff>0</xdr:colOff>
      <xdr:row>254</xdr:row>
      <xdr:rowOff>0</xdr:rowOff>
    </xdr:to>
    <xdr:sp macro="" textlink="">
      <xdr:nvSpPr>
        <xdr:cNvPr id="37" name="Rectangle 107">
          <a:extLst>
            <a:ext uri="{FF2B5EF4-FFF2-40B4-BE49-F238E27FC236}">
              <a16:creationId xmlns:a16="http://schemas.microsoft.com/office/drawing/2014/main" id="{00000000-0008-0000-3300-000025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6</xdr:col>
      <xdr:colOff>0</xdr:colOff>
      <xdr:row>250</xdr:row>
      <xdr:rowOff>0</xdr:rowOff>
    </xdr:from>
    <xdr:to>
      <xdr:col>6</xdr:col>
      <xdr:colOff>0</xdr:colOff>
      <xdr:row>254</xdr:row>
      <xdr:rowOff>0</xdr:rowOff>
    </xdr:to>
    <xdr:sp macro="" textlink="">
      <xdr:nvSpPr>
        <xdr:cNvPr id="38" name="Rectangle 108">
          <a:extLst>
            <a:ext uri="{FF2B5EF4-FFF2-40B4-BE49-F238E27FC236}">
              <a16:creationId xmlns:a16="http://schemas.microsoft.com/office/drawing/2014/main" id="{00000000-0008-0000-3300-000026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2</xdr:col>
      <xdr:colOff>0</xdr:colOff>
      <xdr:row>248</xdr:row>
      <xdr:rowOff>0</xdr:rowOff>
    </xdr:from>
    <xdr:to>
      <xdr:col>2</xdr:col>
      <xdr:colOff>0</xdr:colOff>
      <xdr:row>268</xdr:row>
      <xdr:rowOff>0</xdr:rowOff>
    </xdr:to>
    <xdr:sp macro="" textlink="">
      <xdr:nvSpPr>
        <xdr:cNvPr id="39" name="Rectangle 107">
          <a:extLst>
            <a:ext uri="{FF2B5EF4-FFF2-40B4-BE49-F238E27FC236}">
              <a16:creationId xmlns:a16="http://schemas.microsoft.com/office/drawing/2014/main" id="{00000000-0008-0000-3300-000027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248</xdr:row>
      <xdr:rowOff>0</xdr:rowOff>
    </xdr:from>
    <xdr:to>
      <xdr:col>2</xdr:col>
      <xdr:colOff>0</xdr:colOff>
      <xdr:row>268</xdr:row>
      <xdr:rowOff>0</xdr:rowOff>
    </xdr:to>
    <xdr:sp macro="" textlink="">
      <xdr:nvSpPr>
        <xdr:cNvPr id="40" name="Rectangle 108">
          <a:extLst>
            <a:ext uri="{FF2B5EF4-FFF2-40B4-BE49-F238E27FC236}">
              <a16:creationId xmlns:a16="http://schemas.microsoft.com/office/drawing/2014/main" id="{00000000-0008-0000-3300-000028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282</xdr:row>
      <xdr:rowOff>0</xdr:rowOff>
    </xdr:from>
    <xdr:to>
      <xdr:col>2</xdr:col>
      <xdr:colOff>0</xdr:colOff>
      <xdr:row>306</xdr:row>
      <xdr:rowOff>0</xdr:rowOff>
    </xdr:to>
    <xdr:sp macro="" textlink="">
      <xdr:nvSpPr>
        <xdr:cNvPr id="41" name="Rectangle 107">
          <a:extLst>
            <a:ext uri="{FF2B5EF4-FFF2-40B4-BE49-F238E27FC236}">
              <a16:creationId xmlns:a16="http://schemas.microsoft.com/office/drawing/2014/main" id="{00000000-0008-0000-3300-000029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2</xdr:col>
      <xdr:colOff>0</xdr:colOff>
      <xdr:row>282</xdr:row>
      <xdr:rowOff>0</xdr:rowOff>
    </xdr:from>
    <xdr:to>
      <xdr:col>2</xdr:col>
      <xdr:colOff>0</xdr:colOff>
      <xdr:row>306</xdr:row>
      <xdr:rowOff>0</xdr:rowOff>
    </xdr:to>
    <xdr:sp macro="" textlink="">
      <xdr:nvSpPr>
        <xdr:cNvPr id="42" name="Rectangle 108">
          <a:extLst>
            <a:ext uri="{FF2B5EF4-FFF2-40B4-BE49-F238E27FC236}">
              <a16:creationId xmlns:a16="http://schemas.microsoft.com/office/drawing/2014/main" id="{00000000-0008-0000-3300-00002A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6</xdr:col>
      <xdr:colOff>0</xdr:colOff>
      <xdr:row>248</xdr:row>
      <xdr:rowOff>0</xdr:rowOff>
    </xdr:from>
    <xdr:to>
      <xdr:col>6</xdr:col>
      <xdr:colOff>0</xdr:colOff>
      <xdr:row>257</xdr:row>
      <xdr:rowOff>0</xdr:rowOff>
    </xdr:to>
    <xdr:sp macro="" textlink="">
      <xdr:nvSpPr>
        <xdr:cNvPr id="43" name="Rectangle 107">
          <a:extLst>
            <a:ext uri="{FF2B5EF4-FFF2-40B4-BE49-F238E27FC236}">
              <a16:creationId xmlns:a16="http://schemas.microsoft.com/office/drawing/2014/main" id="{00000000-0008-0000-3300-00002B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248</xdr:row>
      <xdr:rowOff>0</xdr:rowOff>
    </xdr:from>
    <xdr:to>
      <xdr:col>6</xdr:col>
      <xdr:colOff>0</xdr:colOff>
      <xdr:row>257</xdr:row>
      <xdr:rowOff>0</xdr:rowOff>
    </xdr:to>
    <xdr:sp macro="" textlink="">
      <xdr:nvSpPr>
        <xdr:cNvPr id="44" name="Rectangle 108">
          <a:extLst>
            <a:ext uri="{FF2B5EF4-FFF2-40B4-BE49-F238E27FC236}">
              <a16:creationId xmlns:a16="http://schemas.microsoft.com/office/drawing/2014/main" id="{00000000-0008-0000-3300-00002C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250</xdr:row>
      <xdr:rowOff>0</xdr:rowOff>
    </xdr:from>
    <xdr:to>
      <xdr:col>6</xdr:col>
      <xdr:colOff>0</xdr:colOff>
      <xdr:row>257</xdr:row>
      <xdr:rowOff>0</xdr:rowOff>
    </xdr:to>
    <xdr:sp macro="" textlink="">
      <xdr:nvSpPr>
        <xdr:cNvPr id="45" name="Rectangle 107">
          <a:extLst>
            <a:ext uri="{FF2B5EF4-FFF2-40B4-BE49-F238E27FC236}">
              <a16:creationId xmlns:a16="http://schemas.microsoft.com/office/drawing/2014/main" id="{00000000-0008-0000-3300-00002D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6</xdr:col>
      <xdr:colOff>0</xdr:colOff>
      <xdr:row>250</xdr:row>
      <xdr:rowOff>0</xdr:rowOff>
    </xdr:from>
    <xdr:to>
      <xdr:col>6</xdr:col>
      <xdr:colOff>0</xdr:colOff>
      <xdr:row>257</xdr:row>
      <xdr:rowOff>0</xdr:rowOff>
    </xdr:to>
    <xdr:sp macro="" textlink="">
      <xdr:nvSpPr>
        <xdr:cNvPr id="46" name="Rectangle 108">
          <a:extLst>
            <a:ext uri="{FF2B5EF4-FFF2-40B4-BE49-F238E27FC236}">
              <a16:creationId xmlns:a16="http://schemas.microsoft.com/office/drawing/2014/main" id="{00000000-0008-0000-3300-00002E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2</xdr:col>
      <xdr:colOff>0</xdr:colOff>
      <xdr:row>282</xdr:row>
      <xdr:rowOff>0</xdr:rowOff>
    </xdr:from>
    <xdr:to>
      <xdr:col>2</xdr:col>
      <xdr:colOff>0</xdr:colOff>
      <xdr:row>307</xdr:row>
      <xdr:rowOff>0</xdr:rowOff>
    </xdr:to>
    <xdr:sp macro="" textlink="">
      <xdr:nvSpPr>
        <xdr:cNvPr id="47" name="Rectangle 107">
          <a:extLst>
            <a:ext uri="{FF2B5EF4-FFF2-40B4-BE49-F238E27FC236}">
              <a16:creationId xmlns:a16="http://schemas.microsoft.com/office/drawing/2014/main" id="{00000000-0008-0000-3300-00002F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2</xdr:col>
      <xdr:colOff>0</xdr:colOff>
      <xdr:row>282</xdr:row>
      <xdr:rowOff>0</xdr:rowOff>
    </xdr:from>
    <xdr:to>
      <xdr:col>2</xdr:col>
      <xdr:colOff>0</xdr:colOff>
      <xdr:row>307</xdr:row>
      <xdr:rowOff>0</xdr:rowOff>
    </xdr:to>
    <xdr:sp macro="" textlink="">
      <xdr:nvSpPr>
        <xdr:cNvPr id="48" name="Rectangle 108">
          <a:extLst>
            <a:ext uri="{FF2B5EF4-FFF2-40B4-BE49-F238E27FC236}">
              <a16:creationId xmlns:a16="http://schemas.microsoft.com/office/drawing/2014/main" id="{00000000-0008-0000-3300-000030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6</xdr:col>
      <xdr:colOff>0</xdr:colOff>
      <xdr:row>248</xdr:row>
      <xdr:rowOff>0</xdr:rowOff>
    </xdr:from>
    <xdr:to>
      <xdr:col>6</xdr:col>
      <xdr:colOff>0</xdr:colOff>
      <xdr:row>257</xdr:row>
      <xdr:rowOff>0</xdr:rowOff>
    </xdr:to>
    <xdr:sp macro="" textlink="">
      <xdr:nvSpPr>
        <xdr:cNvPr id="49" name="Rectangle 107">
          <a:extLst>
            <a:ext uri="{FF2B5EF4-FFF2-40B4-BE49-F238E27FC236}">
              <a16:creationId xmlns:a16="http://schemas.microsoft.com/office/drawing/2014/main" id="{00000000-0008-0000-3300-000031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248</xdr:row>
      <xdr:rowOff>0</xdr:rowOff>
    </xdr:from>
    <xdr:to>
      <xdr:col>6</xdr:col>
      <xdr:colOff>0</xdr:colOff>
      <xdr:row>257</xdr:row>
      <xdr:rowOff>0</xdr:rowOff>
    </xdr:to>
    <xdr:sp macro="" textlink="">
      <xdr:nvSpPr>
        <xdr:cNvPr id="50" name="Rectangle 108">
          <a:extLst>
            <a:ext uri="{FF2B5EF4-FFF2-40B4-BE49-F238E27FC236}">
              <a16:creationId xmlns:a16="http://schemas.microsoft.com/office/drawing/2014/main" id="{00000000-0008-0000-3300-000032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2</xdr:col>
      <xdr:colOff>0</xdr:colOff>
      <xdr:row>249</xdr:row>
      <xdr:rowOff>0</xdr:rowOff>
    </xdr:from>
    <xdr:to>
      <xdr:col>2</xdr:col>
      <xdr:colOff>0</xdr:colOff>
      <xdr:row>258</xdr:row>
      <xdr:rowOff>0</xdr:rowOff>
    </xdr:to>
    <xdr:sp macro="" textlink="">
      <xdr:nvSpPr>
        <xdr:cNvPr id="51" name="Rectangle 107">
          <a:extLst>
            <a:ext uri="{FF2B5EF4-FFF2-40B4-BE49-F238E27FC236}">
              <a16:creationId xmlns:a16="http://schemas.microsoft.com/office/drawing/2014/main" id="{00000000-0008-0000-3300-000033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249</xdr:row>
      <xdr:rowOff>0</xdr:rowOff>
    </xdr:from>
    <xdr:to>
      <xdr:col>2</xdr:col>
      <xdr:colOff>0</xdr:colOff>
      <xdr:row>258</xdr:row>
      <xdr:rowOff>0</xdr:rowOff>
    </xdr:to>
    <xdr:sp macro="" textlink="">
      <xdr:nvSpPr>
        <xdr:cNvPr id="52" name="Rectangle 108">
          <a:extLst>
            <a:ext uri="{FF2B5EF4-FFF2-40B4-BE49-F238E27FC236}">
              <a16:creationId xmlns:a16="http://schemas.microsoft.com/office/drawing/2014/main" id="{00000000-0008-0000-3300-000034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283</xdr:row>
      <xdr:rowOff>0</xdr:rowOff>
    </xdr:from>
    <xdr:to>
      <xdr:col>2</xdr:col>
      <xdr:colOff>0</xdr:colOff>
      <xdr:row>305</xdr:row>
      <xdr:rowOff>0</xdr:rowOff>
    </xdr:to>
    <xdr:sp macro="" textlink="">
      <xdr:nvSpPr>
        <xdr:cNvPr id="53" name="Rectangle 107">
          <a:extLst>
            <a:ext uri="{FF2B5EF4-FFF2-40B4-BE49-F238E27FC236}">
              <a16:creationId xmlns:a16="http://schemas.microsoft.com/office/drawing/2014/main" id="{00000000-0008-0000-3300-000035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283</xdr:row>
      <xdr:rowOff>0</xdr:rowOff>
    </xdr:from>
    <xdr:to>
      <xdr:col>2</xdr:col>
      <xdr:colOff>0</xdr:colOff>
      <xdr:row>305</xdr:row>
      <xdr:rowOff>0</xdr:rowOff>
    </xdr:to>
    <xdr:sp macro="" textlink="">
      <xdr:nvSpPr>
        <xdr:cNvPr id="54" name="Rectangle 108">
          <a:extLst>
            <a:ext uri="{FF2B5EF4-FFF2-40B4-BE49-F238E27FC236}">
              <a16:creationId xmlns:a16="http://schemas.microsoft.com/office/drawing/2014/main" id="{00000000-0008-0000-3300-000036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253</xdr:row>
      <xdr:rowOff>0</xdr:rowOff>
    </xdr:from>
    <xdr:to>
      <xdr:col>6</xdr:col>
      <xdr:colOff>0</xdr:colOff>
      <xdr:row>257</xdr:row>
      <xdr:rowOff>0</xdr:rowOff>
    </xdr:to>
    <xdr:sp macro="" textlink="">
      <xdr:nvSpPr>
        <xdr:cNvPr id="55" name="Rectangle 107">
          <a:extLst>
            <a:ext uri="{FF2B5EF4-FFF2-40B4-BE49-F238E27FC236}">
              <a16:creationId xmlns:a16="http://schemas.microsoft.com/office/drawing/2014/main" id="{00000000-0008-0000-3300-000037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253</xdr:row>
      <xdr:rowOff>0</xdr:rowOff>
    </xdr:from>
    <xdr:to>
      <xdr:col>6</xdr:col>
      <xdr:colOff>0</xdr:colOff>
      <xdr:row>257</xdr:row>
      <xdr:rowOff>0</xdr:rowOff>
    </xdr:to>
    <xdr:sp macro="" textlink="">
      <xdr:nvSpPr>
        <xdr:cNvPr id="56" name="Rectangle 108">
          <a:extLst>
            <a:ext uri="{FF2B5EF4-FFF2-40B4-BE49-F238E27FC236}">
              <a16:creationId xmlns:a16="http://schemas.microsoft.com/office/drawing/2014/main" id="{00000000-0008-0000-3300-000038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249</xdr:row>
      <xdr:rowOff>0</xdr:rowOff>
    </xdr:from>
    <xdr:to>
      <xdr:col>2</xdr:col>
      <xdr:colOff>0</xdr:colOff>
      <xdr:row>260</xdr:row>
      <xdr:rowOff>0</xdr:rowOff>
    </xdr:to>
    <xdr:sp macro="" textlink="">
      <xdr:nvSpPr>
        <xdr:cNvPr id="57" name="Rectangle 107">
          <a:extLst>
            <a:ext uri="{FF2B5EF4-FFF2-40B4-BE49-F238E27FC236}">
              <a16:creationId xmlns:a16="http://schemas.microsoft.com/office/drawing/2014/main" id="{00000000-0008-0000-3300-000039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249</xdr:row>
      <xdr:rowOff>0</xdr:rowOff>
    </xdr:from>
    <xdr:to>
      <xdr:col>2</xdr:col>
      <xdr:colOff>0</xdr:colOff>
      <xdr:row>260</xdr:row>
      <xdr:rowOff>0</xdr:rowOff>
    </xdr:to>
    <xdr:sp macro="" textlink="">
      <xdr:nvSpPr>
        <xdr:cNvPr id="58" name="Rectangle 108">
          <a:extLst>
            <a:ext uri="{FF2B5EF4-FFF2-40B4-BE49-F238E27FC236}">
              <a16:creationId xmlns:a16="http://schemas.microsoft.com/office/drawing/2014/main" id="{00000000-0008-0000-3300-00003A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277</xdr:row>
      <xdr:rowOff>0</xdr:rowOff>
    </xdr:from>
    <xdr:to>
      <xdr:col>2</xdr:col>
      <xdr:colOff>0</xdr:colOff>
      <xdr:row>303</xdr:row>
      <xdr:rowOff>0</xdr:rowOff>
    </xdr:to>
    <xdr:sp macro="" textlink="">
      <xdr:nvSpPr>
        <xdr:cNvPr id="59" name="Rectangle 107">
          <a:extLst>
            <a:ext uri="{FF2B5EF4-FFF2-40B4-BE49-F238E27FC236}">
              <a16:creationId xmlns:a16="http://schemas.microsoft.com/office/drawing/2014/main" id="{00000000-0008-0000-3300-00003B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277</xdr:row>
      <xdr:rowOff>0</xdr:rowOff>
    </xdr:from>
    <xdr:to>
      <xdr:col>2</xdr:col>
      <xdr:colOff>0</xdr:colOff>
      <xdr:row>303</xdr:row>
      <xdr:rowOff>0</xdr:rowOff>
    </xdr:to>
    <xdr:sp macro="" textlink="">
      <xdr:nvSpPr>
        <xdr:cNvPr id="60" name="Rectangle 108">
          <a:extLst>
            <a:ext uri="{FF2B5EF4-FFF2-40B4-BE49-F238E27FC236}">
              <a16:creationId xmlns:a16="http://schemas.microsoft.com/office/drawing/2014/main" id="{00000000-0008-0000-3300-00003C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248</xdr:row>
      <xdr:rowOff>0</xdr:rowOff>
    </xdr:from>
    <xdr:to>
      <xdr:col>6</xdr:col>
      <xdr:colOff>0</xdr:colOff>
      <xdr:row>257</xdr:row>
      <xdr:rowOff>0</xdr:rowOff>
    </xdr:to>
    <xdr:sp macro="" textlink="">
      <xdr:nvSpPr>
        <xdr:cNvPr id="61" name="Rectangle 107">
          <a:extLst>
            <a:ext uri="{FF2B5EF4-FFF2-40B4-BE49-F238E27FC236}">
              <a16:creationId xmlns:a16="http://schemas.microsoft.com/office/drawing/2014/main" id="{00000000-0008-0000-3300-00003D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248</xdr:row>
      <xdr:rowOff>0</xdr:rowOff>
    </xdr:from>
    <xdr:to>
      <xdr:col>6</xdr:col>
      <xdr:colOff>0</xdr:colOff>
      <xdr:row>257</xdr:row>
      <xdr:rowOff>0</xdr:rowOff>
    </xdr:to>
    <xdr:sp macro="" textlink="">
      <xdr:nvSpPr>
        <xdr:cNvPr id="62" name="Rectangle 108">
          <a:extLst>
            <a:ext uri="{FF2B5EF4-FFF2-40B4-BE49-F238E27FC236}">
              <a16:creationId xmlns:a16="http://schemas.microsoft.com/office/drawing/2014/main" id="{00000000-0008-0000-3300-00003E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255</xdr:row>
      <xdr:rowOff>0</xdr:rowOff>
    </xdr:from>
    <xdr:to>
      <xdr:col>6</xdr:col>
      <xdr:colOff>0</xdr:colOff>
      <xdr:row>257</xdr:row>
      <xdr:rowOff>0</xdr:rowOff>
    </xdr:to>
    <xdr:sp macro="" textlink="">
      <xdr:nvSpPr>
        <xdr:cNvPr id="63" name="Rectangle 107">
          <a:extLst>
            <a:ext uri="{FF2B5EF4-FFF2-40B4-BE49-F238E27FC236}">
              <a16:creationId xmlns:a16="http://schemas.microsoft.com/office/drawing/2014/main" id="{00000000-0008-0000-3300-00003F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255</xdr:row>
      <xdr:rowOff>0</xdr:rowOff>
    </xdr:from>
    <xdr:to>
      <xdr:col>6</xdr:col>
      <xdr:colOff>0</xdr:colOff>
      <xdr:row>257</xdr:row>
      <xdr:rowOff>0</xdr:rowOff>
    </xdr:to>
    <xdr:sp macro="" textlink="">
      <xdr:nvSpPr>
        <xdr:cNvPr id="64" name="Rectangle 108">
          <a:extLst>
            <a:ext uri="{FF2B5EF4-FFF2-40B4-BE49-F238E27FC236}">
              <a16:creationId xmlns:a16="http://schemas.microsoft.com/office/drawing/2014/main" id="{00000000-0008-0000-3300-000040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249</xdr:row>
      <xdr:rowOff>0</xdr:rowOff>
    </xdr:from>
    <xdr:to>
      <xdr:col>2</xdr:col>
      <xdr:colOff>0</xdr:colOff>
      <xdr:row>260</xdr:row>
      <xdr:rowOff>0</xdr:rowOff>
    </xdr:to>
    <xdr:sp macro="" textlink="">
      <xdr:nvSpPr>
        <xdr:cNvPr id="67" name="Rectangle 107">
          <a:extLst>
            <a:ext uri="{FF2B5EF4-FFF2-40B4-BE49-F238E27FC236}">
              <a16:creationId xmlns:a16="http://schemas.microsoft.com/office/drawing/2014/main" id="{00000000-0008-0000-3300-000043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249</xdr:row>
      <xdr:rowOff>0</xdr:rowOff>
    </xdr:from>
    <xdr:to>
      <xdr:col>2</xdr:col>
      <xdr:colOff>0</xdr:colOff>
      <xdr:row>260</xdr:row>
      <xdr:rowOff>0</xdr:rowOff>
    </xdr:to>
    <xdr:sp macro="" textlink="">
      <xdr:nvSpPr>
        <xdr:cNvPr id="68" name="Rectangle 108">
          <a:extLst>
            <a:ext uri="{FF2B5EF4-FFF2-40B4-BE49-F238E27FC236}">
              <a16:creationId xmlns:a16="http://schemas.microsoft.com/office/drawing/2014/main" id="{00000000-0008-0000-3300-000044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277</xdr:row>
      <xdr:rowOff>0</xdr:rowOff>
    </xdr:from>
    <xdr:to>
      <xdr:col>2</xdr:col>
      <xdr:colOff>0</xdr:colOff>
      <xdr:row>304</xdr:row>
      <xdr:rowOff>0</xdr:rowOff>
    </xdr:to>
    <xdr:sp macro="" textlink="">
      <xdr:nvSpPr>
        <xdr:cNvPr id="69" name="Rectangle 107">
          <a:extLst>
            <a:ext uri="{FF2B5EF4-FFF2-40B4-BE49-F238E27FC236}">
              <a16:creationId xmlns:a16="http://schemas.microsoft.com/office/drawing/2014/main" id="{00000000-0008-0000-3300-000045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277</xdr:row>
      <xdr:rowOff>0</xdr:rowOff>
    </xdr:from>
    <xdr:to>
      <xdr:col>2</xdr:col>
      <xdr:colOff>0</xdr:colOff>
      <xdr:row>304</xdr:row>
      <xdr:rowOff>0</xdr:rowOff>
    </xdr:to>
    <xdr:sp macro="" textlink="">
      <xdr:nvSpPr>
        <xdr:cNvPr id="70" name="Rectangle 108">
          <a:extLst>
            <a:ext uri="{FF2B5EF4-FFF2-40B4-BE49-F238E27FC236}">
              <a16:creationId xmlns:a16="http://schemas.microsoft.com/office/drawing/2014/main" id="{00000000-0008-0000-3300-000046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248</xdr:row>
      <xdr:rowOff>180975</xdr:rowOff>
    </xdr:from>
    <xdr:to>
      <xdr:col>5</xdr:col>
      <xdr:colOff>1743075</xdr:colOff>
      <xdr:row>251</xdr:row>
      <xdr:rowOff>0</xdr:rowOff>
    </xdr:to>
    <xdr:sp macro="" textlink="">
      <xdr:nvSpPr>
        <xdr:cNvPr id="71" name="Rectangle 107">
          <a:extLst>
            <a:ext uri="{FF2B5EF4-FFF2-40B4-BE49-F238E27FC236}">
              <a16:creationId xmlns:a16="http://schemas.microsoft.com/office/drawing/2014/main" id="{00000000-0008-0000-3300-000047000000}"/>
            </a:ext>
          </a:extLst>
        </xdr:cNvPr>
        <xdr:cNvSpPr>
          <a:spLocks noChangeArrowheads="1"/>
        </xdr:cNvSpPr>
      </xdr:nvSpPr>
      <xdr:spPr bwMode="auto">
        <a:xfrm>
          <a:off x="11934825" y="12287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248</xdr:row>
      <xdr:rowOff>0</xdr:rowOff>
    </xdr:from>
    <xdr:to>
      <xdr:col>6</xdr:col>
      <xdr:colOff>0</xdr:colOff>
      <xdr:row>251</xdr:row>
      <xdr:rowOff>0</xdr:rowOff>
    </xdr:to>
    <xdr:sp macro="" textlink="">
      <xdr:nvSpPr>
        <xdr:cNvPr id="72" name="Rectangle 108">
          <a:extLst>
            <a:ext uri="{FF2B5EF4-FFF2-40B4-BE49-F238E27FC236}">
              <a16:creationId xmlns:a16="http://schemas.microsoft.com/office/drawing/2014/main" id="{00000000-0008-0000-3300-000048000000}"/>
            </a:ext>
          </a:extLst>
        </xdr:cNvPr>
        <xdr:cNvSpPr>
          <a:spLocks noChangeArrowheads="1"/>
        </xdr:cNvSpPr>
      </xdr:nvSpPr>
      <xdr:spPr bwMode="auto">
        <a:xfrm>
          <a:off x="11944350" y="104775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249</xdr:row>
      <xdr:rowOff>180975</xdr:rowOff>
    </xdr:from>
    <xdr:to>
      <xdr:col>5</xdr:col>
      <xdr:colOff>1743075</xdr:colOff>
      <xdr:row>252</xdr:row>
      <xdr:rowOff>0</xdr:rowOff>
    </xdr:to>
    <xdr:sp macro="" textlink="">
      <xdr:nvSpPr>
        <xdr:cNvPr id="73" name="Rectangle 107">
          <a:extLst>
            <a:ext uri="{FF2B5EF4-FFF2-40B4-BE49-F238E27FC236}">
              <a16:creationId xmlns:a16="http://schemas.microsoft.com/office/drawing/2014/main" id="{00000000-0008-0000-3300-000049000000}"/>
            </a:ext>
          </a:extLst>
        </xdr:cNvPr>
        <xdr:cNvSpPr>
          <a:spLocks noChangeArrowheads="1"/>
        </xdr:cNvSpPr>
      </xdr:nvSpPr>
      <xdr:spPr bwMode="auto">
        <a:xfrm>
          <a:off x="11934825" y="14192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320</xdr:row>
      <xdr:rowOff>0</xdr:rowOff>
    </xdr:from>
    <xdr:to>
      <xdr:col>2</xdr:col>
      <xdr:colOff>0</xdr:colOff>
      <xdr:row>338</xdr:row>
      <xdr:rowOff>0</xdr:rowOff>
    </xdr:to>
    <xdr:sp macro="" textlink="">
      <xdr:nvSpPr>
        <xdr:cNvPr id="74" name="Rectangle 107">
          <a:extLst>
            <a:ext uri="{FF2B5EF4-FFF2-40B4-BE49-F238E27FC236}">
              <a16:creationId xmlns:a16="http://schemas.microsoft.com/office/drawing/2014/main" id="{00000000-0008-0000-3300-00004A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320</xdr:row>
      <xdr:rowOff>0</xdr:rowOff>
    </xdr:from>
    <xdr:to>
      <xdr:col>2</xdr:col>
      <xdr:colOff>0</xdr:colOff>
      <xdr:row>338</xdr:row>
      <xdr:rowOff>0</xdr:rowOff>
    </xdr:to>
    <xdr:sp macro="" textlink="">
      <xdr:nvSpPr>
        <xdr:cNvPr id="75" name="Rectangle 108">
          <a:extLst>
            <a:ext uri="{FF2B5EF4-FFF2-40B4-BE49-F238E27FC236}">
              <a16:creationId xmlns:a16="http://schemas.microsoft.com/office/drawing/2014/main" id="{00000000-0008-0000-3300-00004B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345</xdr:row>
      <xdr:rowOff>0</xdr:rowOff>
    </xdr:from>
    <xdr:to>
      <xdr:col>2</xdr:col>
      <xdr:colOff>0</xdr:colOff>
      <xdr:row>363</xdr:row>
      <xdr:rowOff>0</xdr:rowOff>
    </xdr:to>
    <xdr:sp macro="" textlink="">
      <xdr:nvSpPr>
        <xdr:cNvPr id="76" name="Rectangle 107">
          <a:extLst>
            <a:ext uri="{FF2B5EF4-FFF2-40B4-BE49-F238E27FC236}">
              <a16:creationId xmlns:a16="http://schemas.microsoft.com/office/drawing/2014/main" id="{00000000-0008-0000-3300-00004C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2</xdr:col>
      <xdr:colOff>0</xdr:colOff>
      <xdr:row>345</xdr:row>
      <xdr:rowOff>0</xdr:rowOff>
    </xdr:from>
    <xdr:to>
      <xdr:col>2</xdr:col>
      <xdr:colOff>0</xdr:colOff>
      <xdr:row>363</xdr:row>
      <xdr:rowOff>0</xdr:rowOff>
    </xdr:to>
    <xdr:sp macro="" textlink="">
      <xdr:nvSpPr>
        <xdr:cNvPr id="77" name="Rectangle 108">
          <a:extLst>
            <a:ext uri="{FF2B5EF4-FFF2-40B4-BE49-F238E27FC236}">
              <a16:creationId xmlns:a16="http://schemas.microsoft.com/office/drawing/2014/main" id="{00000000-0008-0000-3300-00004D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6</xdr:col>
      <xdr:colOff>0</xdr:colOff>
      <xdr:row>321</xdr:row>
      <xdr:rowOff>0</xdr:rowOff>
    </xdr:from>
    <xdr:to>
      <xdr:col>6</xdr:col>
      <xdr:colOff>0</xdr:colOff>
      <xdr:row>326</xdr:row>
      <xdr:rowOff>0</xdr:rowOff>
    </xdr:to>
    <xdr:sp macro="" textlink="">
      <xdr:nvSpPr>
        <xdr:cNvPr id="78" name="Rectangle 107">
          <a:extLst>
            <a:ext uri="{FF2B5EF4-FFF2-40B4-BE49-F238E27FC236}">
              <a16:creationId xmlns:a16="http://schemas.microsoft.com/office/drawing/2014/main" id="{00000000-0008-0000-3300-00004E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321</xdr:row>
      <xdr:rowOff>0</xdr:rowOff>
    </xdr:from>
    <xdr:to>
      <xdr:col>6</xdr:col>
      <xdr:colOff>0</xdr:colOff>
      <xdr:row>326</xdr:row>
      <xdr:rowOff>0</xdr:rowOff>
    </xdr:to>
    <xdr:sp macro="" textlink="">
      <xdr:nvSpPr>
        <xdr:cNvPr id="79" name="Rectangle 108">
          <a:extLst>
            <a:ext uri="{FF2B5EF4-FFF2-40B4-BE49-F238E27FC236}">
              <a16:creationId xmlns:a16="http://schemas.microsoft.com/office/drawing/2014/main" id="{00000000-0008-0000-3300-00004F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322</xdr:row>
      <xdr:rowOff>0</xdr:rowOff>
    </xdr:from>
    <xdr:to>
      <xdr:col>6</xdr:col>
      <xdr:colOff>0</xdr:colOff>
      <xdr:row>326</xdr:row>
      <xdr:rowOff>0</xdr:rowOff>
    </xdr:to>
    <xdr:sp macro="" textlink="">
      <xdr:nvSpPr>
        <xdr:cNvPr id="80" name="Rectangle 107">
          <a:extLst>
            <a:ext uri="{FF2B5EF4-FFF2-40B4-BE49-F238E27FC236}">
              <a16:creationId xmlns:a16="http://schemas.microsoft.com/office/drawing/2014/main" id="{00000000-0008-0000-3300-000050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322</xdr:row>
      <xdr:rowOff>0</xdr:rowOff>
    </xdr:from>
    <xdr:to>
      <xdr:col>6</xdr:col>
      <xdr:colOff>0</xdr:colOff>
      <xdr:row>326</xdr:row>
      <xdr:rowOff>0</xdr:rowOff>
    </xdr:to>
    <xdr:sp macro="" textlink="">
      <xdr:nvSpPr>
        <xdr:cNvPr id="81" name="Rectangle 108">
          <a:extLst>
            <a:ext uri="{FF2B5EF4-FFF2-40B4-BE49-F238E27FC236}">
              <a16:creationId xmlns:a16="http://schemas.microsoft.com/office/drawing/2014/main" id="{00000000-0008-0000-3300-000051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320</xdr:row>
      <xdr:rowOff>0</xdr:rowOff>
    </xdr:from>
    <xdr:to>
      <xdr:col>2</xdr:col>
      <xdr:colOff>0</xdr:colOff>
      <xdr:row>340</xdr:row>
      <xdr:rowOff>0</xdr:rowOff>
    </xdr:to>
    <xdr:sp macro="" textlink="">
      <xdr:nvSpPr>
        <xdr:cNvPr id="82" name="Rectangle 107">
          <a:extLst>
            <a:ext uri="{FF2B5EF4-FFF2-40B4-BE49-F238E27FC236}">
              <a16:creationId xmlns:a16="http://schemas.microsoft.com/office/drawing/2014/main" id="{00000000-0008-0000-3300-000052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320</xdr:row>
      <xdr:rowOff>0</xdr:rowOff>
    </xdr:from>
    <xdr:to>
      <xdr:col>2</xdr:col>
      <xdr:colOff>0</xdr:colOff>
      <xdr:row>340</xdr:row>
      <xdr:rowOff>0</xdr:rowOff>
    </xdr:to>
    <xdr:sp macro="" textlink="">
      <xdr:nvSpPr>
        <xdr:cNvPr id="83" name="Rectangle 108">
          <a:extLst>
            <a:ext uri="{FF2B5EF4-FFF2-40B4-BE49-F238E27FC236}">
              <a16:creationId xmlns:a16="http://schemas.microsoft.com/office/drawing/2014/main" id="{00000000-0008-0000-3300-000053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345</xdr:row>
      <xdr:rowOff>0</xdr:rowOff>
    </xdr:from>
    <xdr:to>
      <xdr:col>2</xdr:col>
      <xdr:colOff>0</xdr:colOff>
      <xdr:row>371</xdr:row>
      <xdr:rowOff>0</xdr:rowOff>
    </xdr:to>
    <xdr:sp macro="" textlink="">
      <xdr:nvSpPr>
        <xdr:cNvPr id="84" name="Rectangle 107">
          <a:extLst>
            <a:ext uri="{FF2B5EF4-FFF2-40B4-BE49-F238E27FC236}">
              <a16:creationId xmlns:a16="http://schemas.microsoft.com/office/drawing/2014/main" id="{00000000-0008-0000-3300-000054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2</xdr:col>
      <xdr:colOff>0</xdr:colOff>
      <xdr:row>345</xdr:row>
      <xdr:rowOff>0</xdr:rowOff>
    </xdr:from>
    <xdr:to>
      <xdr:col>2</xdr:col>
      <xdr:colOff>0</xdr:colOff>
      <xdr:row>371</xdr:row>
      <xdr:rowOff>0</xdr:rowOff>
    </xdr:to>
    <xdr:sp macro="" textlink="">
      <xdr:nvSpPr>
        <xdr:cNvPr id="85" name="Rectangle 108">
          <a:extLst>
            <a:ext uri="{FF2B5EF4-FFF2-40B4-BE49-F238E27FC236}">
              <a16:creationId xmlns:a16="http://schemas.microsoft.com/office/drawing/2014/main" id="{00000000-0008-0000-3300-000055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6</xdr:col>
      <xdr:colOff>0</xdr:colOff>
      <xdr:row>320</xdr:row>
      <xdr:rowOff>0</xdr:rowOff>
    </xdr:from>
    <xdr:to>
      <xdr:col>6</xdr:col>
      <xdr:colOff>0</xdr:colOff>
      <xdr:row>336</xdr:row>
      <xdr:rowOff>0</xdr:rowOff>
    </xdr:to>
    <xdr:sp macro="" textlink="">
      <xdr:nvSpPr>
        <xdr:cNvPr id="86" name="Rectangle 107">
          <a:extLst>
            <a:ext uri="{FF2B5EF4-FFF2-40B4-BE49-F238E27FC236}">
              <a16:creationId xmlns:a16="http://schemas.microsoft.com/office/drawing/2014/main" id="{00000000-0008-0000-3300-000056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320</xdr:row>
      <xdr:rowOff>0</xdr:rowOff>
    </xdr:from>
    <xdr:to>
      <xdr:col>6</xdr:col>
      <xdr:colOff>0</xdr:colOff>
      <xdr:row>336</xdr:row>
      <xdr:rowOff>0</xdr:rowOff>
    </xdr:to>
    <xdr:sp macro="" textlink="">
      <xdr:nvSpPr>
        <xdr:cNvPr id="87" name="Rectangle 108">
          <a:extLst>
            <a:ext uri="{FF2B5EF4-FFF2-40B4-BE49-F238E27FC236}">
              <a16:creationId xmlns:a16="http://schemas.microsoft.com/office/drawing/2014/main" id="{00000000-0008-0000-3300-000057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322</xdr:row>
      <xdr:rowOff>0</xdr:rowOff>
    </xdr:from>
    <xdr:to>
      <xdr:col>6</xdr:col>
      <xdr:colOff>0</xdr:colOff>
      <xdr:row>336</xdr:row>
      <xdr:rowOff>0</xdr:rowOff>
    </xdr:to>
    <xdr:sp macro="" textlink="">
      <xdr:nvSpPr>
        <xdr:cNvPr id="88" name="Rectangle 107">
          <a:extLst>
            <a:ext uri="{FF2B5EF4-FFF2-40B4-BE49-F238E27FC236}">
              <a16:creationId xmlns:a16="http://schemas.microsoft.com/office/drawing/2014/main" id="{00000000-0008-0000-3300-000058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322</xdr:row>
      <xdr:rowOff>0</xdr:rowOff>
    </xdr:from>
    <xdr:to>
      <xdr:col>6</xdr:col>
      <xdr:colOff>0</xdr:colOff>
      <xdr:row>336</xdr:row>
      <xdr:rowOff>0</xdr:rowOff>
    </xdr:to>
    <xdr:sp macro="" textlink="">
      <xdr:nvSpPr>
        <xdr:cNvPr id="89" name="Rectangle 108">
          <a:extLst>
            <a:ext uri="{FF2B5EF4-FFF2-40B4-BE49-F238E27FC236}">
              <a16:creationId xmlns:a16="http://schemas.microsoft.com/office/drawing/2014/main" id="{00000000-0008-0000-3300-000059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345</xdr:row>
      <xdr:rowOff>0</xdr:rowOff>
    </xdr:from>
    <xdr:to>
      <xdr:col>2</xdr:col>
      <xdr:colOff>0</xdr:colOff>
      <xdr:row>375</xdr:row>
      <xdr:rowOff>0</xdr:rowOff>
    </xdr:to>
    <xdr:sp macro="" textlink="">
      <xdr:nvSpPr>
        <xdr:cNvPr id="90" name="Rectangle 107">
          <a:extLst>
            <a:ext uri="{FF2B5EF4-FFF2-40B4-BE49-F238E27FC236}">
              <a16:creationId xmlns:a16="http://schemas.microsoft.com/office/drawing/2014/main" id="{00000000-0008-0000-3300-00005A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2</xdr:col>
      <xdr:colOff>0</xdr:colOff>
      <xdr:row>345</xdr:row>
      <xdr:rowOff>0</xdr:rowOff>
    </xdr:from>
    <xdr:to>
      <xdr:col>2</xdr:col>
      <xdr:colOff>0</xdr:colOff>
      <xdr:row>375</xdr:row>
      <xdr:rowOff>0</xdr:rowOff>
    </xdr:to>
    <xdr:sp macro="" textlink="">
      <xdr:nvSpPr>
        <xdr:cNvPr id="91" name="Rectangle 108">
          <a:extLst>
            <a:ext uri="{FF2B5EF4-FFF2-40B4-BE49-F238E27FC236}">
              <a16:creationId xmlns:a16="http://schemas.microsoft.com/office/drawing/2014/main" id="{00000000-0008-0000-3300-00005B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6</xdr:col>
      <xdr:colOff>0</xdr:colOff>
      <xdr:row>320</xdr:row>
      <xdr:rowOff>0</xdr:rowOff>
    </xdr:from>
    <xdr:to>
      <xdr:col>6</xdr:col>
      <xdr:colOff>0</xdr:colOff>
      <xdr:row>334</xdr:row>
      <xdr:rowOff>0</xdr:rowOff>
    </xdr:to>
    <xdr:sp macro="" textlink="">
      <xdr:nvSpPr>
        <xdr:cNvPr id="92" name="Rectangle 107">
          <a:extLst>
            <a:ext uri="{FF2B5EF4-FFF2-40B4-BE49-F238E27FC236}">
              <a16:creationId xmlns:a16="http://schemas.microsoft.com/office/drawing/2014/main" id="{00000000-0008-0000-3300-00005C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320</xdr:row>
      <xdr:rowOff>0</xdr:rowOff>
    </xdr:from>
    <xdr:to>
      <xdr:col>6</xdr:col>
      <xdr:colOff>0</xdr:colOff>
      <xdr:row>334</xdr:row>
      <xdr:rowOff>0</xdr:rowOff>
    </xdr:to>
    <xdr:sp macro="" textlink="">
      <xdr:nvSpPr>
        <xdr:cNvPr id="93" name="Rectangle 108">
          <a:extLst>
            <a:ext uri="{FF2B5EF4-FFF2-40B4-BE49-F238E27FC236}">
              <a16:creationId xmlns:a16="http://schemas.microsoft.com/office/drawing/2014/main" id="{00000000-0008-0000-3300-00005D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321</xdr:row>
      <xdr:rowOff>0</xdr:rowOff>
    </xdr:from>
    <xdr:to>
      <xdr:col>2</xdr:col>
      <xdr:colOff>0</xdr:colOff>
      <xdr:row>330</xdr:row>
      <xdr:rowOff>0</xdr:rowOff>
    </xdr:to>
    <xdr:sp macro="" textlink="">
      <xdr:nvSpPr>
        <xdr:cNvPr id="94" name="Rectangle 107">
          <a:extLst>
            <a:ext uri="{FF2B5EF4-FFF2-40B4-BE49-F238E27FC236}">
              <a16:creationId xmlns:a16="http://schemas.microsoft.com/office/drawing/2014/main" id="{00000000-0008-0000-3300-00005E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321</xdr:row>
      <xdr:rowOff>0</xdr:rowOff>
    </xdr:from>
    <xdr:to>
      <xdr:col>2</xdr:col>
      <xdr:colOff>0</xdr:colOff>
      <xdr:row>330</xdr:row>
      <xdr:rowOff>0</xdr:rowOff>
    </xdr:to>
    <xdr:sp macro="" textlink="">
      <xdr:nvSpPr>
        <xdr:cNvPr id="95" name="Rectangle 108">
          <a:extLst>
            <a:ext uri="{FF2B5EF4-FFF2-40B4-BE49-F238E27FC236}">
              <a16:creationId xmlns:a16="http://schemas.microsoft.com/office/drawing/2014/main" id="{00000000-0008-0000-3300-00005F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346</xdr:row>
      <xdr:rowOff>0</xdr:rowOff>
    </xdr:from>
    <xdr:to>
      <xdr:col>2</xdr:col>
      <xdr:colOff>0</xdr:colOff>
      <xdr:row>367</xdr:row>
      <xdr:rowOff>0</xdr:rowOff>
    </xdr:to>
    <xdr:sp macro="" textlink="">
      <xdr:nvSpPr>
        <xdr:cNvPr id="96" name="Rectangle 107">
          <a:extLst>
            <a:ext uri="{FF2B5EF4-FFF2-40B4-BE49-F238E27FC236}">
              <a16:creationId xmlns:a16="http://schemas.microsoft.com/office/drawing/2014/main" id="{00000000-0008-0000-3300-000060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346</xdr:row>
      <xdr:rowOff>0</xdr:rowOff>
    </xdr:from>
    <xdr:to>
      <xdr:col>2</xdr:col>
      <xdr:colOff>0</xdr:colOff>
      <xdr:row>367</xdr:row>
      <xdr:rowOff>0</xdr:rowOff>
    </xdr:to>
    <xdr:sp macro="" textlink="">
      <xdr:nvSpPr>
        <xdr:cNvPr id="97" name="Rectangle 108">
          <a:extLst>
            <a:ext uri="{FF2B5EF4-FFF2-40B4-BE49-F238E27FC236}">
              <a16:creationId xmlns:a16="http://schemas.microsoft.com/office/drawing/2014/main" id="{00000000-0008-0000-3300-000061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325</xdr:row>
      <xdr:rowOff>0</xdr:rowOff>
    </xdr:from>
    <xdr:to>
      <xdr:col>6</xdr:col>
      <xdr:colOff>0</xdr:colOff>
      <xdr:row>339</xdr:row>
      <xdr:rowOff>0</xdr:rowOff>
    </xdr:to>
    <xdr:sp macro="" textlink="">
      <xdr:nvSpPr>
        <xdr:cNvPr id="98" name="Rectangle 107">
          <a:extLst>
            <a:ext uri="{FF2B5EF4-FFF2-40B4-BE49-F238E27FC236}">
              <a16:creationId xmlns:a16="http://schemas.microsoft.com/office/drawing/2014/main" id="{00000000-0008-0000-3300-000062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325</xdr:row>
      <xdr:rowOff>0</xdr:rowOff>
    </xdr:from>
    <xdr:to>
      <xdr:col>6</xdr:col>
      <xdr:colOff>0</xdr:colOff>
      <xdr:row>339</xdr:row>
      <xdr:rowOff>0</xdr:rowOff>
    </xdr:to>
    <xdr:sp macro="" textlink="">
      <xdr:nvSpPr>
        <xdr:cNvPr id="99" name="Rectangle 108">
          <a:extLst>
            <a:ext uri="{FF2B5EF4-FFF2-40B4-BE49-F238E27FC236}">
              <a16:creationId xmlns:a16="http://schemas.microsoft.com/office/drawing/2014/main" id="{00000000-0008-0000-3300-000063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337</xdr:row>
      <xdr:rowOff>0</xdr:rowOff>
    </xdr:from>
    <xdr:to>
      <xdr:col>6</xdr:col>
      <xdr:colOff>0</xdr:colOff>
      <xdr:row>339</xdr:row>
      <xdr:rowOff>0</xdr:rowOff>
    </xdr:to>
    <xdr:sp macro="" textlink="">
      <xdr:nvSpPr>
        <xdr:cNvPr id="100" name="Rectangle 107">
          <a:extLst>
            <a:ext uri="{FF2B5EF4-FFF2-40B4-BE49-F238E27FC236}">
              <a16:creationId xmlns:a16="http://schemas.microsoft.com/office/drawing/2014/main" id="{00000000-0008-0000-3300-000064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337</xdr:row>
      <xdr:rowOff>0</xdr:rowOff>
    </xdr:from>
    <xdr:to>
      <xdr:col>6</xdr:col>
      <xdr:colOff>0</xdr:colOff>
      <xdr:row>339</xdr:row>
      <xdr:rowOff>0</xdr:rowOff>
    </xdr:to>
    <xdr:sp macro="" textlink="">
      <xdr:nvSpPr>
        <xdr:cNvPr id="101" name="Rectangle 108">
          <a:extLst>
            <a:ext uri="{FF2B5EF4-FFF2-40B4-BE49-F238E27FC236}">
              <a16:creationId xmlns:a16="http://schemas.microsoft.com/office/drawing/2014/main" id="{00000000-0008-0000-3300-000065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320</xdr:row>
      <xdr:rowOff>0</xdr:rowOff>
    </xdr:from>
    <xdr:to>
      <xdr:col>2</xdr:col>
      <xdr:colOff>0</xdr:colOff>
      <xdr:row>338</xdr:row>
      <xdr:rowOff>0</xdr:rowOff>
    </xdr:to>
    <xdr:sp macro="" textlink="">
      <xdr:nvSpPr>
        <xdr:cNvPr id="102" name="Rectangle 107">
          <a:extLst>
            <a:ext uri="{FF2B5EF4-FFF2-40B4-BE49-F238E27FC236}">
              <a16:creationId xmlns:a16="http://schemas.microsoft.com/office/drawing/2014/main" id="{00000000-0008-0000-3300-000066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320</xdr:row>
      <xdr:rowOff>0</xdr:rowOff>
    </xdr:from>
    <xdr:to>
      <xdr:col>2</xdr:col>
      <xdr:colOff>0</xdr:colOff>
      <xdr:row>338</xdr:row>
      <xdr:rowOff>0</xdr:rowOff>
    </xdr:to>
    <xdr:sp macro="" textlink="">
      <xdr:nvSpPr>
        <xdr:cNvPr id="103" name="Rectangle 108">
          <a:extLst>
            <a:ext uri="{FF2B5EF4-FFF2-40B4-BE49-F238E27FC236}">
              <a16:creationId xmlns:a16="http://schemas.microsoft.com/office/drawing/2014/main" id="{00000000-0008-0000-3300-000067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356</xdr:row>
      <xdr:rowOff>0</xdr:rowOff>
    </xdr:from>
    <xdr:to>
      <xdr:col>2</xdr:col>
      <xdr:colOff>0</xdr:colOff>
      <xdr:row>375</xdr:row>
      <xdr:rowOff>0</xdr:rowOff>
    </xdr:to>
    <xdr:sp macro="" textlink="">
      <xdr:nvSpPr>
        <xdr:cNvPr id="104" name="Rectangle 107">
          <a:extLst>
            <a:ext uri="{FF2B5EF4-FFF2-40B4-BE49-F238E27FC236}">
              <a16:creationId xmlns:a16="http://schemas.microsoft.com/office/drawing/2014/main" id="{00000000-0008-0000-3300-000068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2</xdr:col>
      <xdr:colOff>0</xdr:colOff>
      <xdr:row>356</xdr:row>
      <xdr:rowOff>0</xdr:rowOff>
    </xdr:from>
    <xdr:to>
      <xdr:col>2</xdr:col>
      <xdr:colOff>0</xdr:colOff>
      <xdr:row>375</xdr:row>
      <xdr:rowOff>0</xdr:rowOff>
    </xdr:to>
    <xdr:sp macro="" textlink="">
      <xdr:nvSpPr>
        <xdr:cNvPr id="105" name="Rectangle 108">
          <a:extLst>
            <a:ext uri="{FF2B5EF4-FFF2-40B4-BE49-F238E27FC236}">
              <a16:creationId xmlns:a16="http://schemas.microsoft.com/office/drawing/2014/main" id="{00000000-0008-0000-3300-000069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6</xdr:col>
      <xdr:colOff>0</xdr:colOff>
      <xdr:row>321</xdr:row>
      <xdr:rowOff>0</xdr:rowOff>
    </xdr:from>
    <xdr:to>
      <xdr:col>6</xdr:col>
      <xdr:colOff>0</xdr:colOff>
      <xdr:row>326</xdr:row>
      <xdr:rowOff>0</xdr:rowOff>
    </xdr:to>
    <xdr:sp macro="" textlink="">
      <xdr:nvSpPr>
        <xdr:cNvPr id="106" name="Rectangle 107">
          <a:extLst>
            <a:ext uri="{FF2B5EF4-FFF2-40B4-BE49-F238E27FC236}">
              <a16:creationId xmlns:a16="http://schemas.microsoft.com/office/drawing/2014/main" id="{00000000-0008-0000-3300-00006A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321</xdr:row>
      <xdr:rowOff>0</xdr:rowOff>
    </xdr:from>
    <xdr:to>
      <xdr:col>6</xdr:col>
      <xdr:colOff>0</xdr:colOff>
      <xdr:row>326</xdr:row>
      <xdr:rowOff>0</xdr:rowOff>
    </xdr:to>
    <xdr:sp macro="" textlink="">
      <xdr:nvSpPr>
        <xdr:cNvPr id="107" name="Rectangle 108">
          <a:extLst>
            <a:ext uri="{FF2B5EF4-FFF2-40B4-BE49-F238E27FC236}">
              <a16:creationId xmlns:a16="http://schemas.microsoft.com/office/drawing/2014/main" id="{00000000-0008-0000-3300-00006B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322</xdr:row>
      <xdr:rowOff>0</xdr:rowOff>
    </xdr:from>
    <xdr:to>
      <xdr:col>6</xdr:col>
      <xdr:colOff>0</xdr:colOff>
      <xdr:row>326</xdr:row>
      <xdr:rowOff>0</xdr:rowOff>
    </xdr:to>
    <xdr:sp macro="" textlink="">
      <xdr:nvSpPr>
        <xdr:cNvPr id="108" name="Rectangle 107">
          <a:extLst>
            <a:ext uri="{FF2B5EF4-FFF2-40B4-BE49-F238E27FC236}">
              <a16:creationId xmlns:a16="http://schemas.microsoft.com/office/drawing/2014/main" id="{00000000-0008-0000-3300-00006C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322</xdr:row>
      <xdr:rowOff>0</xdr:rowOff>
    </xdr:from>
    <xdr:to>
      <xdr:col>6</xdr:col>
      <xdr:colOff>0</xdr:colOff>
      <xdr:row>326</xdr:row>
      <xdr:rowOff>0</xdr:rowOff>
    </xdr:to>
    <xdr:sp macro="" textlink="">
      <xdr:nvSpPr>
        <xdr:cNvPr id="109" name="Rectangle 108">
          <a:extLst>
            <a:ext uri="{FF2B5EF4-FFF2-40B4-BE49-F238E27FC236}">
              <a16:creationId xmlns:a16="http://schemas.microsoft.com/office/drawing/2014/main" id="{00000000-0008-0000-3300-00006D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320</xdr:row>
      <xdr:rowOff>0</xdr:rowOff>
    </xdr:from>
    <xdr:to>
      <xdr:col>2</xdr:col>
      <xdr:colOff>0</xdr:colOff>
      <xdr:row>340</xdr:row>
      <xdr:rowOff>0</xdr:rowOff>
    </xdr:to>
    <xdr:sp macro="" textlink="">
      <xdr:nvSpPr>
        <xdr:cNvPr id="110" name="Rectangle 107">
          <a:extLst>
            <a:ext uri="{FF2B5EF4-FFF2-40B4-BE49-F238E27FC236}">
              <a16:creationId xmlns:a16="http://schemas.microsoft.com/office/drawing/2014/main" id="{00000000-0008-0000-3300-00006E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320</xdr:row>
      <xdr:rowOff>0</xdr:rowOff>
    </xdr:from>
    <xdr:to>
      <xdr:col>2</xdr:col>
      <xdr:colOff>0</xdr:colOff>
      <xdr:row>340</xdr:row>
      <xdr:rowOff>0</xdr:rowOff>
    </xdr:to>
    <xdr:sp macro="" textlink="">
      <xdr:nvSpPr>
        <xdr:cNvPr id="111" name="Rectangle 108">
          <a:extLst>
            <a:ext uri="{FF2B5EF4-FFF2-40B4-BE49-F238E27FC236}">
              <a16:creationId xmlns:a16="http://schemas.microsoft.com/office/drawing/2014/main" id="{00000000-0008-0000-3300-00006F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356</xdr:row>
      <xdr:rowOff>0</xdr:rowOff>
    </xdr:from>
    <xdr:to>
      <xdr:col>2</xdr:col>
      <xdr:colOff>0</xdr:colOff>
      <xdr:row>380</xdr:row>
      <xdr:rowOff>0</xdr:rowOff>
    </xdr:to>
    <xdr:sp macro="" textlink="">
      <xdr:nvSpPr>
        <xdr:cNvPr id="112" name="Rectangle 107">
          <a:extLst>
            <a:ext uri="{FF2B5EF4-FFF2-40B4-BE49-F238E27FC236}">
              <a16:creationId xmlns:a16="http://schemas.microsoft.com/office/drawing/2014/main" id="{00000000-0008-0000-3300-000070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2</xdr:col>
      <xdr:colOff>0</xdr:colOff>
      <xdr:row>356</xdr:row>
      <xdr:rowOff>0</xdr:rowOff>
    </xdr:from>
    <xdr:to>
      <xdr:col>2</xdr:col>
      <xdr:colOff>0</xdr:colOff>
      <xdr:row>380</xdr:row>
      <xdr:rowOff>0</xdr:rowOff>
    </xdr:to>
    <xdr:sp macro="" textlink="">
      <xdr:nvSpPr>
        <xdr:cNvPr id="113" name="Rectangle 108">
          <a:extLst>
            <a:ext uri="{FF2B5EF4-FFF2-40B4-BE49-F238E27FC236}">
              <a16:creationId xmlns:a16="http://schemas.microsoft.com/office/drawing/2014/main" id="{00000000-0008-0000-3300-000071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6</xdr:col>
      <xdr:colOff>0</xdr:colOff>
      <xdr:row>320</xdr:row>
      <xdr:rowOff>0</xdr:rowOff>
    </xdr:from>
    <xdr:to>
      <xdr:col>6</xdr:col>
      <xdr:colOff>0</xdr:colOff>
      <xdr:row>329</xdr:row>
      <xdr:rowOff>0</xdr:rowOff>
    </xdr:to>
    <xdr:sp macro="" textlink="">
      <xdr:nvSpPr>
        <xdr:cNvPr id="114" name="Rectangle 107">
          <a:extLst>
            <a:ext uri="{FF2B5EF4-FFF2-40B4-BE49-F238E27FC236}">
              <a16:creationId xmlns:a16="http://schemas.microsoft.com/office/drawing/2014/main" id="{00000000-0008-0000-3300-000072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320</xdr:row>
      <xdr:rowOff>0</xdr:rowOff>
    </xdr:from>
    <xdr:to>
      <xdr:col>6</xdr:col>
      <xdr:colOff>0</xdr:colOff>
      <xdr:row>329</xdr:row>
      <xdr:rowOff>0</xdr:rowOff>
    </xdr:to>
    <xdr:sp macro="" textlink="">
      <xdr:nvSpPr>
        <xdr:cNvPr id="115" name="Rectangle 108">
          <a:extLst>
            <a:ext uri="{FF2B5EF4-FFF2-40B4-BE49-F238E27FC236}">
              <a16:creationId xmlns:a16="http://schemas.microsoft.com/office/drawing/2014/main" id="{00000000-0008-0000-3300-000073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322</xdr:row>
      <xdr:rowOff>0</xdr:rowOff>
    </xdr:from>
    <xdr:to>
      <xdr:col>6</xdr:col>
      <xdr:colOff>0</xdr:colOff>
      <xdr:row>329</xdr:row>
      <xdr:rowOff>0</xdr:rowOff>
    </xdr:to>
    <xdr:sp macro="" textlink="">
      <xdr:nvSpPr>
        <xdr:cNvPr id="116" name="Rectangle 107">
          <a:extLst>
            <a:ext uri="{FF2B5EF4-FFF2-40B4-BE49-F238E27FC236}">
              <a16:creationId xmlns:a16="http://schemas.microsoft.com/office/drawing/2014/main" id="{00000000-0008-0000-3300-000074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6</xdr:col>
      <xdr:colOff>0</xdr:colOff>
      <xdr:row>322</xdr:row>
      <xdr:rowOff>0</xdr:rowOff>
    </xdr:from>
    <xdr:to>
      <xdr:col>6</xdr:col>
      <xdr:colOff>0</xdr:colOff>
      <xdr:row>329</xdr:row>
      <xdr:rowOff>0</xdr:rowOff>
    </xdr:to>
    <xdr:sp macro="" textlink="">
      <xdr:nvSpPr>
        <xdr:cNvPr id="117" name="Rectangle 108">
          <a:extLst>
            <a:ext uri="{FF2B5EF4-FFF2-40B4-BE49-F238E27FC236}">
              <a16:creationId xmlns:a16="http://schemas.microsoft.com/office/drawing/2014/main" id="{00000000-0008-0000-3300-000075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2</xdr:col>
      <xdr:colOff>0</xdr:colOff>
      <xdr:row>356</xdr:row>
      <xdr:rowOff>0</xdr:rowOff>
    </xdr:from>
    <xdr:to>
      <xdr:col>2</xdr:col>
      <xdr:colOff>0</xdr:colOff>
      <xdr:row>381</xdr:row>
      <xdr:rowOff>0</xdr:rowOff>
    </xdr:to>
    <xdr:sp macro="" textlink="">
      <xdr:nvSpPr>
        <xdr:cNvPr id="118" name="Rectangle 107">
          <a:extLst>
            <a:ext uri="{FF2B5EF4-FFF2-40B4-BE49-F238E27FC236}">
              <a16:creationId xmlns:a16="http://schemas.microsoft.com/office/drawing/2014/main" id="{00000000-0008-0000-3300-000076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2</xdr:col>
      <xdr:colOff>0</xdr:colOff>
      <xdr:row>356</xdr:row>
      <xdr:rowOff>0</xdr:rowOff>
    </xdr:from>
    <xdr:to>
      <xdr:col>2</xdr:col>
      <xdr:colOff>0</xdr:colOff>
      <xdr:row>381</xdr:row>
      <xdr:rowOff>0</xdr:rowOff>
    </xdr:to>
    <xdr:sp macro="" textlink="">
      <xdr:nvSpPr>
        <xdr:cNvPr id="119" name="Rectangle 108">
          <a:extLst>
            <a:ext uri="{FF2B5EF4-FFF2-40B4-BE49-F238E27FC236}">
              <a16:creationId xmlns:a16="http://schemas.microsoft.com/office/drawing/2014/main" id="{00000000-0008-0000-3300-000077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6</xdr:col>
      <xdr:colOff>0</xdr:colOff>
      <xdr:row>320</xdr:row>
      <xdr:rowOff>0</xdr:rowOff>
    </xdr:from>
    <xdr:to>
      <xdr:col>6</xdr:col>
      <xdr:colOff>0</xdr:colOff>
      <xdr:row>329</xdr:row>
      <xdr:rowOff>0</xdr:rowOff>
    </xdr:to>
    <xdr:sp macro="" textlink="">
      <xdr:nvSpPr>
        <xdr:cNvPr id="120" name="Rectangle 107">
          <a:extLst>
            <a:ext uri="{FF2B5EF4-FFF2-40B4-BE49-F238E27FC236}">
              <a16:creationId xmlns:a16="http://schemas.microsoft.com/office/drawing/2014/main" id="{00000000-0008-0000-3300-000078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320</xdr:row>
      <xdr:rowOff>0</xdr:rowOff>
    </xdr:from>
    <xdr:to>
      <xdr:col>6</xdr:col>
      <xdr:colOff>0</xdr:colOff>
      <xdr:row>329</xdr:row>
      <xdr:rowOff>0</xdr:rowOff>
    </xdr:to>
    <xdr:sp macro="" textlink="">
      <xdr:nvSpPr>
        <xdr:cNvPr id="121" name="Rectangle 108">
          <a:extLst>
            <a:ext uri="{FF2B5EF4-FFF2-40B4-BE49-F238E27FC236}">
              <a16:creationId xmlns:a16="http://schemas.microsoft.com/office/drawing/2014/main" id="{00000000-0008-0000-3300-000079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2</xdr:col>
      <xdr:colOff>0</xdr:colOff>
      <xdr:row>321</xdr:row>
      <xdr:rowOff>0</xdr:rowOff>
    </xdr:from>
    <xdr:to>
      <xdr:col>2</xdr:col>
      <xdr:colOff>0</xdr:colOff>
      <xdr:row>330</xdr:row>
      <xdr:rowOff>0</xdr:rowOff>
    </xdr:to>
    <xdr:sp macro="" textlink="">
      <xdr:nvSpPr>
        <xdr:cNvPr id="122" name="Rectangle 107">
          <a:extLst>
            <a:ext uri="{FF2B5EF4-FFF2-40B4-BE49-F238E27FC236}">
              <a16:creationId xmlns:a16="http://schemas.microsoft.com/office/drawing/2014/main" id="{00000000-0008-0000-3300-00007A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321</xdr:row>
      <xdr:rowOff>0</xdr:rowOff>
    </xdr:from>
    <xdr:to>
      <xdr:col>2</xdr:col>
      <xdr:colOff>0</xdr:colOff>
      <xdr:row>330</xdr:row>
      <xdr:rowOff>0</xdr:rowOff>
    </xdr:to>
    <xdr:sp macro="" textlink="">
      <xdr:nvSpPr>
        <xdr:cNvPr id="123" name="Rectangle 108">
          <a:extLst>
            <a:ext uri="{FF2B5EF4-FFF2-40B4-BE49-F238E27FC236}">
              <a16:creationId xmlns:a16="http://schemas.microsoft.com/office/drawing/2014/main" id="{00000000-0008-0000-3300-00007B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357</xdr:row>
      <xdr:rowOff>0</xdr:rowOff>
    </xdr:from>
    <xdr:to>
      <xdr:col>2</xdr:col>
      <xdr:colOff>0</xdr:colOff>
      <xdr:row>379</xdr:row>
      <xdr:rowOff>0</xdr:rowOff>
    </xdr:to>
    <xdr:sp macro="" textlink="">
      <xdr:nvSpPr>
        <xdr:cNvPr id="124" name="Rectangle 107">
          <a:extLst>
            <a:ext uri="{FF2B5EF4-FFF2-40B4-BE49-F238E27FC236}">
              <a16:creationId xmlns:a16="http://schemas.microsoft.com/office/drawing/2014/main" id="{00000000-0008-0000-3300-00007C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357</xdr:row>
      <xdr:rowOff>0</xdr:rowOff>
    </xdr:from>
    <xdr:to>
      <xdr:col>2</xdr:col>
      <xdr:colOff>0</xdr:colOff>
      <xdr:row>379</xdr:row>
      <xdr:rowOff>0</xdr:rowOff>
    </xdr:to>
    <xdr:sp macro="" textlink="">
      <xdr:nvSpPr>
        <xdr:cNvPr id="125" name="Rectangle 108">
          <a:extLst>
            <a:ext uri="{FF2B5EF4-FFF2-40B4-BE49-F238E27FC236}">
              <a16:creationId xmlns:a16="http://schemas.microsoft.com/office/drawing/2014/main" id="{00000000-0008-0000-3300-00007D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325</xdr:row>
      <xdr:rowOff>0</xdr:rowOff>
    </xdr:from>
    <xdr:to>
      <xdr:col>6</xdr:col>
      <xdr:colOff>0</xdr:colOff>
      <xdr:row>329</xdr:row>
      <xdr:rowOff>0</xdr:rowOff>
    </xdr:to>
    <xdr:sp macro="" textlink="">
      <xdr:nvSpPr>
        <xdr:cNvPr id="126" name="Rectangle 107">
          <a:extLst>
            <a:ext uri="{FF2B5EF4-FFF2-40B4-BE49-F238E27FC236}">
              <a16:creationId xmlns:a16="http://schemas.microsoft.com/office/drawing/2014/main" id="{00000000-0008-0000-3300-00007E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325</xdr:row>
      <xdr:rowOff>0</xdr:rowOff>
    </xdr:from>
    <xdr:to>
      <xdr:col>6</xdr:col>
      <xdr:colOff>0</xdr:colOff>
      <xdr:row>329</xdr:row>
      <xdr:rowOff>0</xdr:rowOff>
    </xdr:to>
    <xdr:sp macro="" textlink="">
      <xdr:nvSpPr>
        <xdr:cNvPr id="127" name="Rectangle 108">
          <a:extLst>
            <a:ext uri="{FF2B5EF4-FFF2-40B4-BE49-F238E27FC236}">
              <a16:creationId xmlns:a16="http://schemas.microsoft.com/office/drawing/2014/main" id="{00000000-0008-0000-3300-00007F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321</xdr:row>
      <xdr:rowOff>0</xdr:rowOff>
    </xdr:from>
    <xdr:to>
      <xdr:col>2</xdr:col>
      <xdr:colOff>0</xdr:colOff>
      <xdr:row>332</xdr:row>
      <xdr:rowOff>0</xdr:rowOff>
    </xdr:to>
    <xdr:sp macro="" textlink="">
      <xdr:nvSpPr>
        <xdr:cNvPr id="128" name="Rectangle 107">
          <a:extLst>
            <a:ext uri="{FF2B5EF4-FFF2-40B4-BE49-F238E27FC236}">
              <a16:creationId xmlns:a16="http://schemas.microsoft.com/office/drawing/2014/main" id="{00000000-0008-0000-3300-000080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321</xdr:row>
      <xdr:rowOff>0</xdr:rowOff>
    </xdr:from>
    <xdr:to>
      <xdr:col>2</xdr:col>
      <xdr:colOff>0</xdr:colOff>
      <xdr:row>332</xdr:row>
      <xdr:rowOff>0</xdr:rowOff>
    </xdr:to>
    <xdr:sp macro="" textlink="">
      <xdr:nvSpPr>
        <xdr:cNvPr id="129" name="Rectangle 108">
          <a:extLst>
            <a:ext uri="{FF2B5EF4-FFF2-40B4-BE49-F238E27FC236}">
              <a16:creationId xmlns:a16="http://schemas.microsoft.com/office/drawing/2014/main" id="{00000000-0008-0000-3300-000081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351</xdr:row>
      <xdr:rowOff>0</xdr:rowOff>
    </xdr:from>
    <xdr:to>
      <xdr:col>2</xdr:col>
      <xdr:colOff>0</xdr:colOff>
      <xdr:row>377</xdr:row>
      <xdr:rowOff>0</xdr:rowOff>
    </xdr:to>
    <xdr:sp macro="" textlink="">
      <xdr:nvSpPr>
        <xdr:cNvPr id="130" name="Rectangle 107">
          <a:extLst>
            <a:ext uri="{FF2B5EF4-FFF2-40B4-BE49-F238E27FC236}">
              <a16:creationId xmlns:a16="http://schemas.microsoft.com/office/drawing/2014/main" id="{00000000-0008-0000-3300-000082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351</xdr:row>
      <xdr:rowOff>0</xdr:rowOff>
    </xdr:from>
    <xdr:to>
      <xdr:col>2</xdr:col>
      <xdr:colOff>0</xdr:colOff>
      <xdr:row>377</xdr:row>
      <xdr:rowOff>0</xdr:rowOff>
    </xdr:to>
    <xdr:sp macro="" textlink="">
      <xdr:nvSpPr>
        <xdr:cNvPr id="131" name="Rectangle 108">
          <a:extLst>
            <a:ext uri="{FF2B5EF4-FFF2-40B4-BE49-F238E27FC236}">
              <a16:creationId xmlns:a16="http://schemas.microsoft.com/office/drawing/2014/main" id="{00000000-0008-0000-3300-000083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320</xdr:row>
      <xdr:rowOff>0</xdr:rowOff>
    </xdr:from>
    <xdr:to>
      <xdr:col>6</xdr:col>
      <xdr:colOff>0</xdr:colOff>
      <xdr:row>329</xdr:row>
      <xdr:rowOff>0</xdr:rowOff>
    </xdr:to>
    <xdr:sp macro="" textlink="">
      <xdr:nvSpPr>
        <xdr:cNvPr id="132" name="Rectangle 107">
          <a:extLst>
            <a:ext uri="{FF2B5EF4-FFF2-40B4-BE49-F238E27FC236}">
              <a16:creationId xmlns:a16="http://schemas.microsoft.com/office/drawing/2014/main" id="{00000000-0008-0000-3300-000084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320</xdr:row>
      <xdr:rowOff>0</xdr:rowOff>
    </xdr:from>
    <xdr:to>
      <xdr:col>6</xdr:col>
      <xdr:colOff>0</xdr:colOff>
      <xdr:row>329</xdr:row>
      <xdr:rowOff>0</xdr:rowOff>
    </xdr:to>
    <xdr:sp macro="" textlink="">
      <xdr:nvSpPr>
        <xdr:cNvPr id="133" name="Rectangle 108">
          <a:extLst>
            <a:ext uri="{FF2B5EF4-FFF2-40B4-BE49-F238E27FC236}">
              <a16:creationId xmlns:a16="http://schemas.microsoft.com/office/drawing/2014/main" id="{00000000-0008-0000-3300-000085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327</xdr:row>
      <xdr:rowOff>0</xdr:rowOff>
    </xdr:from>
    <xdr:to>
      <xdr:col>6</xdr:col>
      <xdr:colOff>0</xdr:colOff>
      <xdr:row>329</xdr:row>
      <xdr:rowOff>0</xdr:rowOff>
    </xdr:to>
    <xdr:sp macro="" textlink="">
      <xdr:nvSpPr>
        <xdr:cNvPr id="134" name="Rectangle 107">
          <a:extLst>
            <a:ext uri="{FF2B5EF4-FFF2-40B4-BE49-F238E27FC236}">
              <a16:creationId xmlns:a16="http://schemas.microsoft.com/office/drawing/2014/main" id="{00000000-0008-0000-3300-000086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327</xdr:row>
      <xdr:rowOff>0</xdr:rowOff>
    </xdr:from>
    <xdr:to>
      <xdr:col>6</xdr:col>
      <xdr:colOff>0</xdr:colOff>
      <xdr:row>329</xdr:row>
      <xdr:rowOff>0</xdr:rowOff>
    </xdr:to>
    <xdr:sp macro="" textlink="">
      <xdr:nvSpPr>
        <xdr:cNvPr id="135" name="Rectangle 108">
          <a:extLst>
            <a:ext uri="{FF2B5EF4-FFF2-40B4-BE49-F238E27FC236}">
              <a16:creationId xmlns:a16="http://schemas.microsoft.com/office/drawing/2014/main" id="{00000000-0008-0000-3300-000087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387</xdr:row>
      <xdr:rowOff>0</xdr:rowOff>
    </xdr:from>
    <xdr:to>
      <xdr:col>2</xdr:col>
      <xdr:colOff>0</xdr:colOff>
      <xdr:row>405</xdr:row>
      <xdr:rowOff>0</xdr:rowOff>
    </xdr:to>
    <xdr:sp macro="" textlink="">
      <xdr:nvSpPr>
        <xdr:cNvPr id="136" name="Rectangle 107">
          <a:extLst>
            <a:ext uri="{FF2B5EF4-FFF2-40B4-BE49-F238E27FC236}">
              <a16:creationId xmlns:a16="http://schemas.microsoft.com/office/drawing/2014/main" id="{00000000-0008-0000-3300-000088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387</xdr:row>
      <xdr:rowOff>0</xdr:rowOff>
    </xdr:from>
    <xdr:to>
      <xdr:col>2</xdr:col>
      <xdr:colOff>0</xdr:colOff>
      <xdr:row>405</xdr:row>
      <xdr:rowOff>0</xdr:rowOff>
    </xdr:to>
    <xdr:sp macro="" textlink="">
      <xdr:nvSpPr>
        <xdr:cNvPr id="137" name="Rectangle 108">
          <a:extLst>
            <a:ext uri="{FF2B5EF4-FFF2-40B4-BE49-F238E27FC236}">
              <a16:creationId xmlns:a16="http://schemas.microsoft.com/office/drawing/2014/main" id="{00000000-0008-0000-3300-000089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412</xdr:row>
      <xdr:rowOff>0</xdr:rowOff>
    </xdr:from>
    <xdr:to>
      <xdr:col>2</xdr:col>
      <xdr:colOff>0</xdr:colOff>
      <xdr:row>431</xdr:row>
      <xdr:rowOff>0</xdr:rowOff>
    </xdr:to>
    <xdr:sp macro="" textlink="">
      <xdr:nvSpPr>
        <xdr:cNvPr id="138" name="Rectangle 107">
          <a:extLst>
            <a:ext uri="{FF2B5EF4-FFF2-40B4-BE49-F238E27FC236}">
              <a16:creationId xmlns:a16="http://schemas.microsoft.com/office/drawing/2014/main" id="{00000000-0008-0000-3300-00008A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412</xdr:row>
      <xdr:rowOff>0</xdr:rowOff>
    </xdr:from>
    <xdr:to>
      <xdr:col>2</xdr:col>
      <xdr:colOff>0</xdr:colOff>
      <xdr:row>431</xdr:row>
      <xdr:rowOff>0</xdr:rowOff>
    </xdr:to>
    <xdr:sp macro="" textlink="">
      <xdr:nvSpPr>
        <xdr:cNvPr id="139" name="Rectangle 108">
          <a:extLst>
            <a:ext uri="{FF2B5EF4-FFF2-40B4-BE49-F238E27FC236}">
              <a16:creationId xmlns:a16="http://schemas.microsoft.com/office/drawing/2014/main" id="{00000000-0008-0000-3300-00008B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388</xdr:row>
      <xdr:rowOff>0</xdr:rowOff>
    </xdr:from>
    <xdr:to>
      <xdr:col>6</xdr:col>
      <xdr:colOff>0</xdr:colOff>
      <xdr:row>393</xdr:row>
      <xdr:rowOff>0</xdr:rowOff>
    </xdr:to>
    <xdr:sp macro="" textlink="">
      <xdr:nvSpPr>
        <xdr:cNvPr id="140" name="Rectangle 107">
          <a:extLst>
            <a:ext uri="{FF2B5EF4-FFF2-40B4-BE49-F238E27FC236}">
              <a16:creationId xmlns:a16="http://schemas.microsoft.com/office/drawing/2014/main" id="{00000000-0008-0000-3300-00008C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388</xdr:row>
      <xdr:rowOff>0</xdr:rowOff>
    </xdr:from>
    <xdr:to>
      <xdr:col>6</xdr:col>
      <xdr:colOff>0</xdr:colOff>
      <xdr:row>393</xdr:row>
      <xdr:rowOff>0</xdr:rowOff>
    </xdr:to>
    <xdr:sp macro="" textlink="">
      <xdr:nvSpPr>
        <xdr:cNvPr id="141" name="Rectangle 108">
          <a:extLst>
            <a:ext uri="{FF2B5EF4-FFF2-40B4-BE49-F238E27FC236}">
              <a16:creationId xmlns:a16="http://schemas.microsoft.com/office/drawing/2014/main" id="{00000000-0008-0000-3300-00008D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389</xdr:row>
      <xdr:rowOff>0</xdr:rowOff>
    </xdr:from>
    <xdr:to>
      <xdr:col>6</xdr:col>
      <xdr:colOff>0</xdr:colOff>
      <xdr:row>393</xdr:row>
      <xdr:rowOff>0</xdr:rowOff>
    </xdr:to>
    <xdr:sp macro="" textlink="">
      <xdr:nvSpPr>
        <xdr:cNvPr id="142" name="Rectangle 107">
          <a:extLst>
            <a:ext uri="{FF2B5EF4-FFF2-40B4-BE49-F238E27FC236}">
              <a16:creationId xmlns:a16="http://schemas.microsoft.com/office/drawing/2014/main" id="{00000000-0008-0000-3300-00008E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389</xdr:row>
      <xdr:rowOff>0</xdr:rowOff>
    </xdr:from>
    <xdr:to>
      <xdr:col>6</xdr:col>
      <xdr:colOff>0</xdr:colOff>
      <xdr:row>393</xdr:row>
      <xdr:rowOff>0</xdr:rowOff>
    </xdr:to>
    <xdr:sp macro="" textlink="">
      <xdr:nvSpPr>
        <xdr:cNvPr id="143" name="Rectangle 108">
          <a:extLst>
            <a:ext uri="{FF2B5EF4-FFF2-40B4-BE49-F238E27FC236}">
              <a16:creationId xmlns:a16="http://schemas.microsoft.com/office/drawing/2014/main" id="{00000000-0008-0000-3300-00008F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387</xdr:row>
      <xdr:rowOff>0</xdr:rowOff>
    </xdr:from>
    <xdr:to>
      <xdr:col>2</xdr:col>
      <xdr:colOff>0</xdr:colOff>
      <xdr:row>407</xdr:row>
      <xdr:rowOff>0</xdr:rowOff>
    </xdr:to>
    <xdr:sp macro="" textlink="">
      <xdr:nvSpPr>
        <xdr:cNvPr id="144" name="Rectangle 107">
          <a:extLst>
            <a:ext uri="{FF2B5EF4-FFF2-40B4-BE49-F238E27FC236}">
              <a16:creationId xmlns:a16="http://schemas.microsoft.com/office/drawing/2014/main" id="{00000000-0008-0000-3300-000090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387</xdr:row>
      <xdr:rowOff>0</xdr:rowOff>
    </xdr:from>
    <xdr:to>
      <xdr:col>2</xdr:col>
      <xdr:colOff>0</xdr:colOff>
      <xdr:row>407</xdr:row>
      <xdr:rowOff>0</xdr:rowOff>
    </xdr:to>
    <xdr:sp macro="" textlink="">
      <xdr:nvSpPr>
        <xdr:cNvPr id="145" name="Rectangle 108">
          <a:extLst>
            <a:ext uri="{FF2B5EF4-FFF2-40B4-BE49-F238E27FC236}">
              <a16:creationId xmlns:a16="http://schemas.microsoft.com/office/drawing/2014/main" id="{00000000-0008-0000-3300-000091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412</xdr:row>
      <xdr:rowOff>0</xdr:rowOff>
    </xdr:from>
    <xdr:to>
      <xdr:col>2</xdr:col>
      <xdr:colOff>0</xdr:colOff>
      <xdr:row>439</xdr:row>
      <xdr:rowOff>0</xdr:rowOff>
    </xdr:to>
    <xdr:sp macro="" textlink="">
      <xdr:nvSpPr>
        <xdr:cNvPr id="146" name="Rectangle 107">
          <a:extLst>
            <a:ext uri="{FF2B5EF4-FFF2-40B4-BE49-F238E27FC236}">
              <a16:creationId xmlns:a16="http://schemas.microsoft.com/office/drawing/2014/main" id="{00000000-0008-0000-3300-000092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412</xdr:row>
      <xdr:rowOff>0</xdr:rowOff>
    </xdr:from>
    <xdr:to>
      <xdr:col>2</xdr:col>
      <xdr:colOff>0</xdr:colOff>
      <xdr:row>439</xdr:row>
      <xdr:rowOff>0</xdr:rowOff>
    </xdr:to>
    <xdr:sp macro="" textlink="">
      <xdr:nvSpPr>
        <xdr:cNvPr id="147" name="Rectangle 108">
          <a:extLst>
            <a:ext uri="{FF2B5EF4-FFF2-40B4-BE49-F238E27FC236}">
              <a16:creationId xmlns:a16="http://schemas.microsoft.com/office/drawing/2014/main" id="{00000000-0008-0000-3300-000093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387</xdr:row>
      <xdr:rowOff>0</xdr:rowOff>
    </xdr:from>
    <xdr:to>
      <xdr:col>6</xdr:col>
      <xdr:colOff>0</xdr:colOff>
      <xdr:row>403</xdr:row>
      <xdr:rowOff>0</xdr:rowOff>
    </xdr:to>
    <xdr:sp macro="" textlink="">
      <xdr:nvSpPr>
        <xdr:cNvPr id="148" name="Rectangle 107">
          <a:extLst>
            <a:ext uri="{FF2B5EF4-FFF2-40B4-BE49-F238E27FC236}">
              <a16:creationId xmlns:a16="http://schemas.microsoft.com/office/drawing/2014/main" id="{00000000-0008-0000-3300-000094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387</xdr:row>
      <xdr:rowOff>0</xdr:rowOff>
    </xdr:from>
    <xdr:to>
      <xdr:col>6</xdr:col>
      <xdr:colOff>0</xdr:colOff>
      <xdr:row>403</xdr:row>
      <xdr:rowOff>0</xdr:rowOff>
    </xdr:to>
    <xdr:sp macro="" textlink="">
      <xdr:nvSpPr>
        <xdr:cNvPr id="149" name="Rectangle 108">
          <a:extLst>
            <a:ext uri="{FF2B5EF4-FFF2-40B4-BE49-F238E27FC236}">
              <a16:creationId xmlns:a16="http://schemas.microsoft.com/office/drawing/2014/main" id="{00000000-0008-0000-3300-000095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389</xdr:row>
      <xdr:rowOff>0</xdr:rowOff>
    </xdr:from>
    <xdr:to>
      <xdr:col>6</xdr:col>
      <xdr:colOff>0</xdr:colOff>
      <xdr:row>403</xdr:row>
      <xdr:rowOff>0</xdr:rowOff>
    </xdr:to>
    <xdr:sp macro="" textlink="">
      <xdr:nvSpPr>
        <xdr:cNvPr id="150" name="Rectangle 107">
          <a:extLst>
            <a:ext uri="{FF2B5EF4-FFF2-40B4-BE49-F238E27FC236}">
              <a16:creationId xmlns:a16="http://schemas.microsoft.com/office/drawing/2014/main" id="{00000000-0008-0000-3300-000096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389</xdr:row>
      <xdr:rowOff>0</xdr:rowOff>
    </xdr:from>
    <xdr:to>
      <xdr:col>6</xdr:col>
      <xdr:colOff>0</xdr:colOff>
      <xdr:row>403</xdr:row>
      <xdr:rowOff>0</xdr:rowOff>
    </xdr:to>
    <xdr:sp macro="" textlink="">
      <xdr:nvSpPr>
        <xdr:cNvPr id="151" name="Rectangle 108">
          <a:extLst>
            <a:ext uri="{FF2B5EF4-FFF2-40B4-BE49-F238E27FC236}">
              <a16:creationId xmlns:a16="http://schemas.microsoft.com/office/drawing/2014/main" id="{00000000-0008-0000-3300-000097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412</xdr:row>
      <xdr:rowOff>0</xdr:rowOff>
    </xdr:from>
    <xdr:to>
      <xdr:col>2</xdr:col>
      <xdr:colOff>0</xdr:colOff>
      <xdr:row>443</xdr:row>
      <xdr:rowOff>0</xdr:rowOff>
    </xdr:to>
    <xdr:sp macro="" textlink="">
      <xdr:nvSpPr>
        <xdr:cNvPr id="152" name="Rectangle 107">
          <a:extLst>
            <a:ext uri="{FF2B5EF4-FFF2-40B4-BE49-F238E27FC236}">
              <a16:creationId xmlns:a16="http://schemas.microsoft.com/office/drawing/2014/main" id="{00000000-0008-0000-3300-000098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412</xdr:row>
      <xdr:rowOff>0</xdr:rowOff>
    </xdr:from>
    <xdr:to>
      <xdr:col>2</xdr:col>
      <xdr:colOff>0</xdr:colOff>
      <xdr:row>443</xdr:row>
      <xdr:rowOff>0</xdr:rowOff>
    </xdr:to>
    <xdr:sp macro="" textlink="">
      <xdr:nvSpPr>
        <xdr:cNvPr id="153" name="Rectangle 108">
          <a:extLst>
            <a:ext uri="{FF2B5EF4-FFF2-40B4-BE49-F238E27FC236}">
              <a16:creationId xmlns:a16="http://schemas.microsoft.com/office/drawing/2014/main" id="{00000000-0008-0000-3300-000099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387</xdr:row>
      <xdr:rowOff>0</xdr:rowOff>
    </xdr:from>
    <xdr:to>
      <xdr:col>6</xdr:col>
      <xdr:colOff>0</xdr:colOff>
      <xdr:row>401</xdr:row>
      <xdr:rowOff>0</xdr:rowOff>
    </xdr:to>
    <xdr:sp macro="" textlink="">
      <xdr:nvSpPr>
        <xdr:cNvPr id="154" name="Rectangle 107">
          <a:extLst>
            <a:ext uri="{FF2B5EF4-FFF2-40B4-BE49-F238E27FC236}">
              <a16:creationId xmlns:a16="http://schemas.microsoft.com/office/drawing/2014/main" id="{00000000-0008-0000-3300-00009A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387</xdr:row>
      <xdr:rowOff>0</xdr:rowOff>
    </xdr:from>
    <xdr:to>
      <xdr:col>6</xdr:col>
      <xdr:colOff>0</xdr:colOff>
      <xdr:row>401</xdr:row>
      <xdr:rowOff>0</xdr:rowOff>
    </xdr:to>
    <xdr:sp macro="" textlink="">
      <xdr:nvSpPr>
        <xdr:cNvPr id="155" name="Rectangle 108">
          <a:extLst>
            <a:ext uri="{FF2B5EF4-FFF2-40B4-BE49-F238E27FC236}">
              <a16:creationId xmlns:a16="http://schemas.microsoft.com/office/drawing/2014/main" id="{00000000-0008-0000-3300-00009B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388</xdr:row>
      <xdr:rowOff>0</xdr:rowOff>
    </xdr:from>
    <xdr:to>
      <xdr:col>2</xdr:col>
      <xdr:colOff>0</xdr:colOff>
      <xdr:row>397</xdr:row>
      <xdr:rowOff>0</xdr:rowOff>
    </xdr:to>
    <xdr:sp macro="" textlink="">
      <xdr:nvSpPr>
        <xdr:cNvPr id="156" name="Rectangle 107">
          <a:extLst>
            <a:ext uri="{FF2B5EF4-FFF2-40B4-BE49-F238E27FC236}">
              <a16:creationId xmlns:a16="http://schemas.microsoft.com/office/drawing/2014/main" id="{00000000-0008-0000-3300-00009C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388</xdr:row>
      <xdr:rowOff>0</xdr:rowOff>
    </xdr:from>
    <xdr:to>
      <xdr:col>2</xdr:col>
      <xdr:colOff>0</xdr:colOff>
      <xdr:row>397</xdr:row>
      <xdr:rowOff>0</xdr:rowOff>
    </xdr:to>
    <xdr:sp macro="" textlink="">
      <xdr:nvSpPr>
        <xdr:cNvPr id="157" name="Rectangle 108">
          <a:extLst>
            <a:ext uri="{FF2B5EF4-FFF2-40B4-BE49-F238E27FC236}">
              <a16:creationId xmlns:a16="http://schemas.microsoft.com/office/drawing/2014/main" id="{00000000-0008-0000-3300-00009D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413</xdr:row>
      <xdr:rowOff>0</xdr:rowOff>
    </xdr:from>
    <xdr:to>
      <xdr:col>2</xdr:col>
      <xdr:colOff>0</xdr:colOff>
      <xdr:row>435</xdr:row>
      <xdr:rowOff>0</xdr:rowOff>
    </xdr:to>
    <xdr:sp macro="" textlink="">
      <xdr:nvSpPr>
        <xdr:cNvPr id="158" name="Rectangle 107">
          <a:extLst>
            <a:ext uri="{FF2B5EF4-FFF2-40B4-BE49-F238E27FC236}">
              <a16:creationId xmlns:a16="http://schemas.microsoft.com/office/drawing/2014/main" id="{00000000-0008-0000-3300-00009E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413</xdr:row>
      <xdr:rowOff>0</xdr:rowOff>
    </xdr:from>
    <xdr:to>
      <xdr:col>2</xdr:col>
      <xdr:colOff>0</xdr:colOff>
      <xdr:row>435</xdr:row>
      <xdr:rowOff>0</xdr:rowOff>
    </xdr:to>
    <xdr:sp macro="" textlink="">
      <xdr:nvSpPr>
        <xdr:cNvPr id="159" name="Rectangle 108">
          <a:extLst>
            <a:ext uri="{FF2B5EF4-FFF2-40B4-BE49-F238E27FC236}">
              <a16:creationId xmlns:a16="http://schemas.microsoft.com/office/drawing/2014/main" id="{00000000-0008-0000-3300-00009F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392</xdr:row>
      <xdr:rowOff>0</xdr:rowOff>
    </xdr:from>
    <xdr:to>
      <xdr:col>6</xdr:col>
      <xdr:colOff>0</xdr:colOff>
      <xdr:row>406</xdr:row>
      <xdr:rowOff>0</xdr:rowOff>
    </xdr:to>
    <xdr:sp macro="" textlink="">
      <xdr:nvSpPr>
        <xdr:cNvPr id="160" name="Rectangle 107">
          <a:extLst>
            <a:ext uri="{FF2B5EF4-FFF2-40B4-BE49-F238E27FC236}">
              <a16:creationId xmlns:a16="http://schemas.microsoft.com/office/drawing/2014/main" id="{00000000-0008-0000-3300-0000A0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392</xdr:row>
      <xdr:rowOff>0</xdr:rowOff>
    </xdr:from>
    <xdr:to>
      <xdr:col>6</xdr:col>
      <xdr:colOff>0</xdr:colOff>
      <xdr:row>406</xdr:row>
      <xdr:rowOff>0</xdr:rowOff>
    </xdr:to>
    <xdr:sp macro="" textlink="">
      <xdr:nvSpPr>
        <xdr:cNvPr id="161" name="Rectangle 108">
          <a:extLst>
            <a:ext uri="{FF2B5EF4-FFF2-40B4-BE49-F238E27FC236}">
              <a16:creationId xmlns:a16="http://schemas.microsoft.com/office/drawing/2014/main" id="{00000000-0008-0000-3300-0000A1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404</xdr:row>
      <xdr:rowOff>0</xdr:rowOff>
    </xdr:from>
    <xdr:to>
      <xdr:col>6</xdr:col>
      <xdr:colOff>0</xdr:colOff>
      <xdr:row>406</xdr:row>
      <xdr:rowOff>0</xdr:rowOff>
    </xdr:to>
    <xdr:sp macro="" textlink="">
      <xdr:nvSpPr>
        <xdr:cNvPr id="162" name="Rectangle 107">
          <a:extLst>
            <a:ext uri="{FF2B5EF4-FFF2-40B4-BE49-F238E27FC236}">
              <a16:creationId xmlns:a16="http://schemas.microsoft.com/office/drawing/2014/main" id="{00000000-0008-0000-3300-0000A2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404</xdr:row>
      <xdr:rowOff>0</xdr:rowOff>
    </xdr:from>
    <xdr:to>
      <xdr:col>6</xdr:col>
      <xdr:colOff>0</xdr:colOff>
      <xdr:row>406</xdr:row>
      <xdr:rowOff>0</xdr:rowOff>
    </xdr:to>
    <xdr:sp macro="" textlink="">
      <xdr:nvSpPr>
        <xdr:cNvPr id="163" name="Rectangle 108">
          <a:extLst>
            <a:ext uri="{FF2B5EF4-FFF2-40B4-BE49-F238E27FC236}">
              <a16:creationId xmlns:a16="http://schemas.microsoft.com/office/drawing/2014/main" id="{00000000-0008-0000-3300-0000A3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449</xdr:row>
      <xdr:rowOff>0</xdr:rowOff>
    </xdr:from>
    <xdr:to>
      <xdr:col>2</xdr:col>
      <xdr:colOff>0</xdr:colOff>
      <xdr:row>467</xdr:row>
      <xdr:rowOff>0</xdr:rowOff>
    </xdr:to>
    <xdr:sp macro="" textlink="">
      <xdr:nvSpPr>
        <xdr:cNvPr id="164" name="Rectangle 107">
          <a:extLst>
            <a:ext uri="{FF2B5EF4-FFF2-40B4-BE49-F238E27FC236}">
              <a16:creationId xmlns:a16="http://schemas.microsoft.com/office/drawing/2014/main" id="{00000000-0008-0000-3300-0000A4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449</xdr:row>
      <xdr:rowOff>0</xdr:rowOff>
    </xdr:from>
    <xdr:to>
      <xdr:col>2</xdr:col>
      <xdr:colOff>0</xdr:colOff>
      <xdr:row>467</xdr:row>
      <xdr:rowOff>0</xdr:rowOff>
    </xdr:to>
    <xdr:sp macro="" textlink="">
      <xdr:nvSpPr>
        <xdr:cNvPr id="165" name="Rectangle 108">
          <a:extLst>
            <a:ext uri="{FF2B5EF4-FFF2-40B4-BE49-F238E27FC236}">
              <a16:creationId xmlns:a16="http://schemas.microsoft.com/office/drawing/2014/main" id="{00000000-0008-0000-3300-0000A5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479</xdr:row>
      <xdr:rowOff>0</xdr:rowOff>
    </xdr:from>
    <xdr:to>
      <xdr:col>2</xdr:col>
      <xdr:colOff>0</xdr:colOff>
      <xdr:row>498</xdr:row>
      <xdr:rowOff>0</xdr:rowOff>
    </xdr:to>
    <xdr:sp macro="" textlink="">
      <xdr:nvSpPr>
        <xdr:cNvPr id="166" name="Rectangle 107">
          <a:extLst>
            <a:ext uri="{FF2B5EF4-FFF2-40B4-BE49-F238E27FC236}">
              <a16:creationId xmlns:a16="http://schemas.microsoft.com/office/drawing/2014/main" id="{00000000-0008-0000-3300-0000A6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2</xdr:col>
      <xdr:colOff>0</xdr:colOff>
      <xdr:row>479</xdr:row>
      <xdr:rowOff>0</xdr:rowOff>
    </xdr:from>
    <xdr:to>
      <xdr:col>2</xdr:col>
      <xdr:colOff>0</xdr:colOff>
      <xdr:row>498</xdr:row>
      <xdr:rowOff>0</xdr:rowOff>
    </xdr:to>
    <xdr:sp macro="" textlink="">
      <xdr:nvSpPr>
        <xdr:cNvPr id="167" name="Rectangle 108">
          <a:extLst>
            <a:ext uri="{FF2B5EF4-FFF2-40B4-BE49-F238E27FC236}">
              <a16:creationId xmlns:a16="http://schemas.microsoft.com/office/drawing/2014/main" id="{00000000-0008-0000-3300-0000A7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6</xdr:col>
      <xdr:colOff>0</xdr:colOff>
      <xdr:row>450</xdr:row>
      <xdr:rowOff>0</xdr:rowOff>
    </xdr:from>
    <xdr:to>
      <xdr:col>6</xdr:col>
      <xdr:colOff>0</xdr:colOff>
      <xdr:row>455</xdr:row>
      <xdr:rowOff>0</xdr:rowOff>
    </xdr:to>
    <xdr:sp macro="" textlink="">
      <xdr:nvSpPr>
        <xdr:cNvPr id="168" name="Rectangle 107">
          <a:extLst>
            <a:ext uri="{FF2B5EF4-FFF2-40B4-BE49-F238E27FC236}">
              <a16:creationId xmlns:a16="http://schemas.microsoft.com/office/drawing/2014/main" id="{00000000-0008-0000-3300-0000A8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450</xdr:row>
      <xdr:rowOff>0</xdr:rowOff>
    </xdr:from>
    <xdr:to>
      <xdr:col>6</xdr:col>
      <xdr:colOff>0</xdr:colOff>
      <xdr:row>455</xdr:row>
      <xdr:rowOff>0</xdr:rowOff>
    </xdr:to>
    <xdr:sp macro="" textlink="">
      <xdr:nvSpPr>
        <xdr:cNvPr id="169" name="Rectangle 108">
          <a:extLst>
            <a:ext uri="{FF2B5EF4-FFF2-40B4-BE49-F238E27FC236}">
              <a16:creationId xmlns:a16="http://schemas.microsoft.com/office/drawing/2014/main" id="{00000000-0008-0000-3300-0000A9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451</xdr:row>
      <xdr:rowOff>0</xdr:rowOff>
    </xdr:from>
    <xdr:to>
      <xdr:col>6</xdr:col>
      <xdr:colOff>0</xdr:colOff>
      <xdr:row>455</xdr:row>
      <xdr:rowOff>0</xdr:rowOff>
    </xdr:to>
    <xdr:sp macro="" textlink="">
      <xdr:nvSpPr>
        <xdr:cNvPr id="170" name="Rectangle 107">
          <a:extLst>
            <a:ext uri="{FF2B5EF4-FFF2-40B4-BE49-F238E27FC236}">
              <a16:creationId xmlns:a16="http://schemas.microsoft.com/office/drawing/2014/main" id="{00000000-0008-0000-3300-0000AA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6</xdr:col>
      <xdr:colOff>0</xdr:colOff>
      <xdr:row>451</xdr:row>
      <xdr:rowOff>0</xdr:rowOff>
    </xdr:from>
    <xdr:to>
      <xdr:col>6</xdr:col>
      <xdr:colOff>0</xdr:colOff>
      <xdr:row>455</xdr:row>
      <xdr:rowOff>0</xdr:rowOff>
    </xdr:to>
    <xdr:sp macro="" textlink="">
      <xdr:nvSpPr>
        <xdr:cNvPr id="171" name="Rectangle 108">
          <a:extLst>
            <a:ext uri="{FF2B5EF4-FFF2-40B4-BE49-F238E27FC236}">
              <a16:creationId xmlns:a16="http://schemas.microsoft.com/office/drawing/2014/main" id="{00000000-0008-0000-3300-0000AB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2</xdr:col>
      <xdr:colOff>0</xdr:colOff>
      <xdr:row>449</xdr:row>
      <xdr:rowOff>0</xdr:rowOff>
    </xdr:from>
    <xdr:to>
      <xdr:col>2</xdr:col>
      <xdr:colOff>0</xdr:colOff>
      <xdr:row>471</xdr:row>
      <xdr:rowOff>0</xdr:rowOff>
    </xdr:to>
    <xdr:sp macro="" textlink="">
      <xdr:nvSpPr>
        <xdr:cNvPr id="172" name="Rectangle 107">
          <a:extLst>
            <a:ext uri="{FF2B5EF4-FFF2-40B4-BE49-F238E27FC236}">
              <a16:creationId xmlns:a16="http://schemas.microsoft.com/office/drawing/2014/main" id="{00000000-0008-0000-3300-0000AC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449</xdr:row>
      <xdr:rowOff>0</xdr:rowOff>
    </xdr:from>
    <xdr:to>
      <xdr:col>2</xdr:col>
      <xdr:colOff>0</xdr:colOff>
      <xdr:row>471</xdr:row>
      <xdr:rowOff>0</xdr:rowOff>
    </xdr:to>
    <xdr:sp macro="" textlink="">
      <xdr:nvSpPr>
        <xdr:cNvPr id="173" name="Rectangle 108">
          <a:extLst>
            <a:ext uri="{FF2B5EF4-FFF2-40B4-BE49-F238E27FC236}">
              <a16:creationId xmlns:a16="http://schemas.microsoft.com/office/drawing/2014/main" id="{00000000-0008-0000-3300-0000AD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479</xdr:row>
      <xdr:rowOff>0</xdr:rowOff>
    </xdr:from>
    <xdr:to>
      <xdr:col>2</xdr:col>
      <xdr:colOff>0</xdr:colOff>
      <xdr:row>506</xdr:row>
      <xdr:rowOff>0</xdr:rowOff>
    </xdr:to>
    <xdr:sp macro="" textlink="">
      <xdr:nvSpPr>
        <xdr:cNvPr id="174" name="Rectangle 107">
          <a:extLst>
            <a:ext uri="{FF2B5EF4-FFF2-40B4-BE49-F238E27FC236}">
              <a16:creationId xmlns:a16="http://schemas.microsoft.com/office/drawing/2014/main" id="{00000000-0008-0000-3300-0000AE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2</xdr:col>
      <xdr:colOff>0</xdr:colOff>
      <xdr:row>479</xdr:row>
      <xdr:rowOff>0</xdr:rowOff>
    </xdr:from>
    <xdr:to>
      <xdr:col>2</xdr:col>
      <xdr:colOff>0</xdr:colOff>
      <xdr:row>506</xdr:row>
      <xdr:rowOff>0</xdr:rowOff>
    </xdr:to>
    <xdr:sp macro="" textlink="">
      <xdr:nvSpPr>
        <xdr:cNvPr id="175" name="Rectangle 108">
          <a:extLst>
            <a:ext uri="{FF2B5EF4-FFF2-40B4-BE49-F238E27FC236}">
              <a16:creationId xmlns:a16="http://schemas.microsoft.com/office/drawing/2014/main" id="{00000000-0008-0000-3300-0000AF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6</xdr:col>
      <xdr:colOff>0</xdr:colOff>
      <xdr:row>449</xdr:row>
      <xdr:rowOff>0</xdr:rowOff>
    </xdr:from>
    <xdr:to>
      <xdr:col>6</xdr:col>
      <xdr:colOff>0</xdr:colOff>
      <xdr:row>465</xdr:row>
      <xdr:rowOff>0</xdr:rowOff>
    </xdr:to>
    <xdr:sp macro="" textlink="">
      <xdr:nvSpPr>
        <xdr:cNvPr id="176" name="Rectangle 107">
          <a:extLst>
            <a:ext uri="{FF2B5EF4-FFF2-40B4-BE49-F238E27FC236}">
              <a16:creationId xmlns:a16="http://schemas.microsoft.com/office/drawing/2014/main" id="{00000000-0008-0000-3300-0000B0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449</xdr:row>
      <xdr:rowOff>0</xdr:rowOff>
    </xdr:from>
    <xdr:to>
      <xdr:col>6</xdr:col>
      <xdr:colOff>0</xdr:colOff>
      <xdr:row>465</xdr:row>
      <xdr:rowOff>0</xdr:rowOff>
    </xdr:to>
    <xdr:sp macro="" textlink="">
      <xdr:nvSpPr>
        <xdr:cNvPr id="177" name="Rectangle 108">
          <a:extLst>
            <a:ext uri="{FF2B5EF4-FFF2-40B4-BE49-F238E27FC236}">
              <a16:creationId xmlns:a16="http://schemas.microsoft.com/office/drawing/2014/main" id="{00000000-0008-0000-3300-0000B1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451</xdr:row>
      <xdr:rowOff>0</xdr:rowOff>
    </xdr:from>
    <xdr:to>
      <xdr:col>6</xdr:col>
      <xdr:colOff>0</xdr:colOff>
      <xdr:row>465</xdr:row>
      <xdr:rowOff>0</xdr:rowOff>
    </xdr:to>
    <xdr:sp macro="" textlink="">
      <xdr:nvSpPr>
        <xdr:cNvPr id="178" name="Rectangle 107">
          <a:extLst>
            <a:ext uri="{FF2B5EF4-FFF2-40B4-BE49-F238E27FC236}">
              <a16:creationId xmlns:a16="http://schemas.microsoft.com/office/drawing/2014/main" id="{00000000-0008-0000-3300-0000B2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6</xdr:col>
      <xdr:colOff>0</xdr:colOff>
      <xdr:row>451</xdr:row>
      <xdr:rowOff>0</xdr:rowOff>
    </xdr:from>
    <xdr:to>
      <xdr:col>6</xdr:col>
      <xdr:colOff>0</xdr:colOff>
      <xdr:row>465</xdr:row>
      <xdr:rowOff>0</xdr:rowOff>
    </xdr:to>
    <xdr:sp macro="" textlink="">
      <xdr:nvSpPr>
        <xdr:cNvPr id="179" name="Rectangle 108">
          <a:extLst>
            <a:ext uri="{FF2B5EF4-FFF2-40B4-BE49-F238E27FC236}">
              <a16:creationId xmlns:a16="http://schemas.microsoft.com/office/drawing/2014/main" id="{00000000-0008-0000-3300-0000B3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2</xdr:col>
      <xdr:colOff>0</xdr:colOff>
      <xdr:row>479</xdr:row>
      <xdr:rowOff>0</xdr:rowOff>
    </xdr:from>
    <xdr:to>
      <xdr:col>2</xdr:col>
      <xdr:colOff>0</xdr:colOff>
      <xdr:row>512</xdr:row>
      <xdr:rowOff>0</xdr:rowOff>
    </xdr:to>
    <xdr:sp macro="" textlink="">
      <xdr:nvSpPr>
        <xdr:cNvPr id="180" name="Rectangle 107">
          <a:extLst>
            <a:ext uri="{FF2B5EF4-FFF2-40B4-BE49-F238E27FC236}">
              <a16:creationId xmlns:a16="http://schemas.microsoft.com/office/drawing/2014/main" id="{00000000-0008-0000-3300-0000B4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2</xdr:col>
      <xdr:colOff>0</xdr:colOff>
      <xdr:row>479</xdr:row>
      <xdr:rowOff>0</xdr:rowOff>
    </xdr:from>
    <xdr:to>
      <xdr:col>2</xdr:col>
      <xdr:colOff>0</xdr:colOff>
      <xdr:row>512</xdr:row>
      <xdr:rowOff>0</xdr:rowOff>
    </xdr:to>
    <xdr:sp macro="" textlink="">
      <xdr:nvSpPr>
        <xdr:cNvPr id="181" name="Rectangle 108">
          <a:extLst>
            <a:ext uri="{FF2B5EF4-FFF2-40B4-BE49-F238E27FC236}">
              <a16:creationId xmlns:a16="http://schemas.microsoft.com/office/drawing/2014/main" id="{00000000-0008-0000-3300-0000B5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6</xdr:col>
      <xdr:colOff>0</xdr:colOff>
      <xdr:row>449</xdr:row>
      <xdr:rowOff>0</xdr:rowOff>
    </xdr:from>
    <xdr:to>
      <xdr:col>6</xdr:col>
      <xdr:colOff>0</xdr:colOff>
      <xdr:row>463</xdr:row>
      <xdr:rowOff>0</xdr:rowOff>
    </xdr:to>
    <xdr:sp macro="" textlink="">
      <xdr:nvSpPr>
        <xdr:cNvPr id="182" name="Rectangle 107">
          <a:extLst>
            <a:ext uri="{FF2B5EF4-FFF2-40B4-BE49-F238E27FC236}">
              <a16:creationId xmlns:a16="http://schemas.microsoft.com/office/drawing/2014/main" id="{00000000-0008-0000-3300-0000B6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6</xdr:col>
      <xdr:colOff>0</xdr:colOff>
      <xdr:row>449</xdr:row>
      <xdr:rowOff>0</xdr:rowOff>
    </xdr:from>
    <xdr:to>
      <xdr:col>6</xdr:col>
      <xdr:colOff>0</xdr:colOff>
      <xdr:row>463</xdr:row>
      <xdr:rowOff>0</xdr:rowOff>
    </xdr:to>
    <xdr:sp macro="" textlink="">
      <xdr:nvSpPr>
        <xdr:cNvPr id="183" name="Rectangle 108">
          <a:extLst>
            <a:ext uri="{FF2B5EF4-FFF2-40B4-BE49-F238E27FC236}">
              <a16:creationId xmlns:a16="http://schemas.microsoft.com/office/drawing/2014/main" id="{00000000-0008-0000-3300-0000B7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2</xdr:col>
      <xdr:colOff>0</xdr:colOff>
      <xdr:row>521</xdr:row>
      <xdr:rowOff>0</xdr:rowOff>
    </xdr:from>
    <xdr:to>
      <xdr:col>2</xdr:col>
      <xdr:colOff>0</xdr:colOff>
      <xdr:row>539</xdr:row>
      <xdr:rowOff>0</xdr:rowOff>
    </xdr:to>
    <xdr:sp macro="" textlink="">
      <xdr:nvSpPr>
        <xdr:cNvPr id="184" name="Rectangle 107">
          <a:extLst>
            <a:ext uri="{FF2B5EF4-FFF2-40B4-BE49-F238E27FC236}">
              <a16:creationId xmlns:a16="http://schemas.microsoft.com/office/drawing/2014/main" id="{00000000-0008-0000-3300-0000B8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521</xdr:row>
      <xdr:rowOff>0</xdr:rowOff>
    </xdr:from>
    <xdr:to>
      <xdr:col>2</xdr:col>
      <xdr:colOff>0</xdr:colOff>
      <xdr:row>539</xdr:row>
      <xdr:rowOff>0</xdr:rowOff>
    </xdr:to>
    <xdr:sp macro="" textlink="">
      <xdr:nvSpPr>
        <xdr:cNvPr id="185" name="Rectangle 108">
          <a:extLst>
            <a:ext uri="{FF2B5EF4-FFF2-40B4-BE49-F238E27FC236}">
              <a16:creationId xmlns:a16="http://schemas.microsoft.com/office/drawing/2014/main" id="{00000000-0008-0000-3300-0000B9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555</xdr:row>
      <xdr:rowOff>0</xdr:rowOff>
    </xdr:from>
    <xdr:to>
      <xdr:col>2</xdr:col>
      <xdr:colOff>0</xdr:colOff>
      <xdr:row>574</xdr:row>
      <xdr:rowOff>0</xdr:rowOff>
    </xdr:to>
    <xdr:sp macro="" textlink="">
      <xdr:nvSpPr>
        <xdr:cNvPr id="186" name="Rectangle 107">
          <a:extLst>
            <a:ext uri="{FF2B5EF4-FFF2-40B4-BE49-F238E27FC236}">
              <a16:creationId xmlns:a16="http://schemas.microsoft.com/office/drawing/2014/main" id="{00000000-0008-0000-3300-0000BA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2</xdr:col>
      <xdr:colOff>0</xdr:colOff>
      <xdr:row>555</xdr:row>
      <xdr:rowOff>0</xdr:rowOff>
    </xdr:from>
    <xdr:to>
      <xdr:col>2</xdr:col>
      <xdr:colOff>0</xdr:colOff>
      <xdr:row>574</xdr:row>
      <xdr:rowOff>0</xdr:rowOff>
    </xdr:to>
    <xdr:sp macro="" textlink="">
      <xdr:nvSpPr>
        <xdr:cNvPr id="187" name="Rectangle 108">
          <a:extLst>
            <a:ext uri="{FF2B5EF4-FFF2-40B4-BE49-F238E27FC236}">
              <a16:creationId xmlns:a16="http://schemas.microsoft.com/office/drawing/2014/main" id="{00000000-0008-0000-3300-0000BB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6</xdr:col>
      <xdr:colOff>0</xdr:colOff>
      <xdr:row>522</xdr:row>
      <xdr:rowOff>0</xdr:rowOff>
    </xdr:from>
    <xdr:to>
      <xdr:col>6</xdr:col>
      <xdr:colOff>0</xdr:colOff>
      <xdr:row>527</xdr:row>
      <xdr:rowOff>0</xdr:rowOff>
    </xdr:to>
    <xdr:sp macro="" textlink="">
      <xdr:nvSpPr>
        <xdr:cNvPr id="188" name="Rectangle 107">
          <a:extLst>
            <a:ext uri="{FF2B5EF4-FFF2-40B4-BE49-F238E27FC236}">
              <a16:creationId xmlns:a16="http://schemas.microsoft.com/office/drawing/2014/main" id="{00000000-0008-0000-3300-0000BC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522</xdr:row>
      <xdr:rowOff>0</xdr:rowOff>
    </xdr:from>
    <xdr:to>
      <xdr:col>6</xdr:col>
      <xdr:colOff>0</xdr:colOff>
      <xdr:row>527</xdr:row>
      <xdr:rowOff>0</xdr:rowOff>
    </xdr:to>
    <xdr:sp macro="" textlink="">
      <xdr:nvSpPr>
        <xdr:cNvPr id="189" name="Rectangle 108">
          <a:extLst>
            <a:ext uri="{FF2B5EF4-FFF2-40B4-BE49-F238E27FC236}">
              <a16:creationId xmlns:a16="http://schemas.microsoft.com/office/drawing/2014/main" id="{00000000-0008-0000-3300-0000BD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523</xdr:row>
      <xdr:rowOff>0</xdr:rowOff>
    </xdr:from>
    <xdr:to>
      <xdr:col>6</xdr:col>
      <xdr:colOff>0</xdr:colOff>
      <xdr:row>527</xdr:row>
      <xdr:rowOff>0</xdr:rowOff>
    </xdr:to>
    <xdr:sp macro="" textlink="">
      <xdr:nvSpPr>
        <xdr:cNvPr id="190" name="Rectangle 107">
          <a:extLst>
            <a:ext uri="{FF2B5EF4-FFF2-40B4-BE49-F238E27FC236}">
              <a16:creationId xmlns:a16="http://schemas.microsoft.com/office/drawing/2014/main" id="{00000000-0008-0000-3300-0000BE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6</xdr:col>
      <xdr:colOff>0</xdr:colOff>
      <xdr:row>523</xdr:row>
      <xdr:rowOff>0</xdr:rowOff>
    </xdr:from>
    <xdr:to>
      <xdr:col>6</xdr:col>
      <xdr:colOff>0</xdr:colOff>
      <xdr:row>527</xdr:row>
      <xdr:rowOff>0</xdr:rowOff>
    </xdr:to>
    <xdr:sp macro="" textlink="">
      <xdr:nvSpPr>
        <xdr:cNvPr id="191" name="Rectangle 108">
          <a:extLst>
            <a:ext uri="{FF2B5EF4-FFF2-40B4-BE49-F238E27FC236}">
              <a16:creationId xmlns:a16="http://schemas.microsoft.com/office/drawing/2014/main" id="{00000000-0008-0000-3300-0000BF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2</xdr:col>
      <xdr:colOff>0</xdr:colOff>
      <xdr:row>521</xdr:row>
      <xdr:rowOff>0</xdr:rowOff>
    </xdr:from>
    <xdr:to>
      <xdr:col>2</xdr:col>
      <xdr:colOff>0</xdr:colOff>
      <xdr:row>544</xdr:row>
      <xdr:rowOff>0</xdr:rowOff>
    </xdr:to>
    <xdr:sp macro="" textlink="">
      <xdr:nvSpPr>
        <xdr:cNvPr id="192" name="Rectangle 107">
          <a:extLst>
            <a:ext uri="{FF2B5EF4-FFF2-40B4-BE49-F238E27FC236}">
              <a16:creationId xmlns:a16="http://schemas.microsoft.com/office/drawing/2014/main" id="{00000000-0008-0000-3300-0000C0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521</xdr:row>
      <xdr:rowOff>0</xdr:rowOff>
    </xdr:from>
    <xdr:to>
      <xdr:col>2</xdr:col>
      <xdr:colOff>0</xdr:colOff>
      <xdr:row>544</xdr:row>
      <xdr:rowOff>0</xdr:rowOff>
    </xdr:to>
    <xdr:sp macro="" textlink="">
      <xdr:nvSpPr>
        <xdr:cNvPr id="193" name="Rectangle 108">
          <a:extLst>
            <a:ext uri="{FF2B5EF4-FFF2-40B4-BE49-F238E27FC236}">
              <a16:creationId xmlns:a16="http://schemas.microsoft.com/office/drawing/2014/main" id="{00000000-0008-0000-3300-0000C1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555</xdr:row>
      <xdr:rowOff>0</xdr:rowOff>
    </xdr:from>
    <xdr:to>
      <xdr:col>2</xdr:col>
      <xdr:colOff>0</xdr:colOff>
      <xdr:row>582</xdr:row>
      <xdr:rowOff>0</xdr:rowOff>
    </xdr:to>
    <xdr:sp macro="" textlink="">
      <xdr:nvSpPr>
        <xdr:cNvPr id="194" name="Rectangle 107">
          <a:extLst>
            <a:ext uri="{FF2B5EF4-FFF2-40B4-BE49-F238E27FC236}">
              <a16:creationId xmlns:a16="http://schemas.microsoft.com/office/drawing/2014/main" id="{00000000-0008-0000-3300-0000C2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2</xdr:col>
      <xdr:colOff>0</xdr:colOff>
      <xdr:row>555</xdr:row>
      <xdr:rowOff>0</xdr:rowOff>
    </xdr:from>
    <xdr:to>
      <xdr:col>2</xdr:col>
      <xdr:colOff>0</xdr:colOff>
      <xdr:row>582</xdr:row>
      <xdr:rowOff>0</xdr:rowOff>
    </xdr:to>
    <xdr:sp macro="" textlink="">
      <xdr:nvSpPr>
        <xdr:cNvPr id="195" name="Rectangle 108">
          <a:extLst>
            <a:ext uri="{FF2B5EF4-FFF2-40B4-BE49-F238E27FC236}">
              <a16:creationId xmlns:a16="http://schemas.microsoft.com/office/drawing/2014/main" id="{00000000-0008-0000-3300-0000C3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6</xdr:col>
      <xdr:colOff>0</xdr:colOff>
      <xdr:row>521</xdr:row>
      <xdr:rowOff>0</xdr:rowOff>
    </xdr:from>
    <xdr:to>
      <xdr:col>6</xdr:col>
      <xdr:colOff>0</xdr:colOff>
      <xdr:row>545</xdr:row>
      <xdr:rowOff>0</xdr:rowOff>
    </xdr:to>
    <xdr:sp macro="" textlink="">
      <xdr:nvSpPr>
        <xdr:cNvPr id="196" name="Rectangle 107">
          <a:extLst>
            <a:ext uri="{FF2B5EF4-FFF2-40B4-BE49-F238E27FC236}">
              <a16:creationId xmlns:a16="http://schemas.microsoft.com/office/drawing/2014/main" id="{00000000-0008-0000-3300-0000C4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521</xdr:row>
      <xdr:rowOff>0</xdr:rowOff>
    </xdr:from>
    <xdr:to>
      <xdr:col>6</xdr:col>
      <xdr:colOff>0</xdr:colOff>
      <xdr:row>545</xdr:row>
      <xdr:rowOff>0</xdr:rowOff>
    </xdr:to>
    <xdr:sp macro="" textlink="">
      <xdr:nvSpPr>
        <xdr:cNvPr id="197" name="Rectangle 108">
          <a:extLst>
            <a:ext uri="{FF2B5EF4-FFF2-40B4-BE49-F238E27FC236}">
              <a16:creationId xmlns:a16="http://schemas.microsoft.com/office/drawing/2014/main" id="{00000000-0008-0000-3300-0000C5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523</xdr:row>
      <xdr:rowOff>0</xdr:rowOff>
    </xdr:from>
    <xdr:to>
      <xdr:col>6</xdr:col>
      <xdr:colOff>0</xdr:colOff>
      <xdr:row>547</xdr:row>
      <xdr:rowOff>0</xdr:rowOff>
    </xdr:to>
    <xdr:sp macro="" textlink="">
      <xdr:nvSpPr>
        <xdr:cNvPr id="198" name="Rectangle 107">
          <a:extLst>
            <a:ext uri="{FF2B5EF4-FFF2-40B4-BE49-F238E27FC236}">
              <a16:creationId xmlns:a16="http://schemas.microsoft.com/office/drawing/2014/main" id="{00000000-0008-0000-3300-0000C6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6</xdr:col>
      <xdr:colOff>0</xdr:colOff>
      <xdr:row>523</xdr:row>
      <xdr:rowOff>0</xdr:rowOff>
    </xdr:from>
    <xdr:to>
      <xdr:col>6</xdr:col>
      <xdr:colOff>0</xdr:colOff>
      <xdr:row>547</xdr:row>
      <xdr:rowOff>0</xdr:rowOff>
    </xdr:to>
    <xdr:sp macro="" textlink="">
      <xdr:nvSpPr>
        <xdr:cNvPr id="199" name="Rectangle 108">
          <a:extLst>
            <a:ext uri="{FF2B5EF4-FFF2-40B4-BE49-F238E27FC236}">
              <a16:creationId xmlns:a16="http://schemas.microsoft.com/office/drawing/2014/main" id="{00000000-0008-0000-3300-0000C7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2</xdr:col>
      <xdr:colOff>0</xdr:colOff>
      <xdr:row>594</xdr:row>
      <xdr:rowOff>0</xdr:rowOff>
    </xdr:from>
    <xdr:to>
      <xdr:col>2</xdr:col>
      <xdr:colOff>0</xdr:colOff>
      <xdr:row>612</xdr:row>
      <xdr:rowOff>0</xdr:rowOff>
    </xdr:to>
    <xdr:sp macro="" textlink="">
      <xdr:nvSpPr>
        <xdr:cNvPr id="200" name="Rectangle 107">
          <a:extLst>
            <a:ext uri="{FF2B5EF4-FFF2-40B4-BE49-F238E27FC236}">
              <a16:creationId xmlns:a16="http://schemas.microsoft.com/office/drawing/2014/main" id="{00000000-0008-0000-3300-0000C8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594</xdr:row>
      <xdr:rowOff>0</xdr:rowOff>
    </xdr:from>
    <xdr:to>
      <xdr:col>2</xdr:col>
      <xdr:colOff>0</xdr:colOff>
      <xdr:row>612</xdr:row>
      <xdr:rowOff>0</xdr:rowOff>
    </xdr:to>
    <xdr:sp macro="" textlink="">
      <xdr:nvSpPr>
        <xdr:cNvPr id="201" name="Rectangle 108">
          <a:extLst>
            <a:ext uri="{FF2B5EF4-FFF2-40B4-BE49-F238E27FC236}">
              <a16:creationId xmlns:a16="http://schemas.microsoft.com/office/drawing/2014/main" id="{00000000-0008-0000-3300-0000C9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628</xdr:row>
      <xdr:rowOff>0</xdr:rowOff>
    </xdr:from>
    <xdr:to>
      <xdr:col>2</xdr:col>
      <xdr:colOff>0</xdr:colOff>
      <xdr:row>647</xdr:row>
      <xdr:rowOff>0</xdr:rowOff>
    </xdr:to>
    <xdr:sp macro="" textlink="">
      <xdr:nvSpPr>
        <xdr:cNvPr id="202" name="Rectangle 107">
          <a:extLst>
            <a:ext uri="{FF2B5EF4-FFF2-40B4-BE49-F238E27FC236}">
              <a16:creationId xmlns:a16="http://schemas.microsoft.com/office/drawing/2014/main" id="{00000000-0008-0000-3300-0000CA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2</xdr:col>
      <xdr:colOff>0</xdr:colOff>
      <xdr:row>628</xdr:row>
      <xdr:rowOff>0</xdr:rowOff>
    </xdr:from>
    <xdr:to>
      <xdr:col>2</xdr:col>
      <xdr:colOff>0</xdr:colOff>
      <xdr:row>647</xdr:row>
      <xdr:rowOff>0</xdr:rowOff>
    </xdr:to>
    <xdr:sp macro="" textlink="">
      <xdr:nvSpPr>
        <xdr:cNvPr id="203" name="Rectangle 108">
          <a:extLst>
            <a:ext uri="{FF2B5EF4-FFF2-40B4-BE49-F238E27FC236}">
              <a16:creationId xmlns:a16="http://schemas.microsoft.com/office/drawing/2014/main" id="{00000000-0008-0000-3300-0000CB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6</xdr:col>
      <xdr:colOff>0</xdr:colOff>
      <xdr:row>594</xdr:row>
      <xdr:rowOff>0</xdr:rowOff>
    </xdr:from>
    <xdr:to>
      <xdr:col>6</xdr:col>
      <xdr:colOff>0</xdr:colOff>
      <xdr:row>599</xdr:row>
      <xdr:rowOff>0</xdr:rowOff>
    </xdr:to>
    <xdr:sp macro="" textlink="">
      <xdr:nvSpPr>
        <xdr:cNvPr id="204" name="Rectangle 107">
          <a:extLst>
            <a:ext uri="{FF2B5EF4-FFF2-40B4-BE49-F238E27FC236}">
              <a16:creationId xmlns:a16="http://schemas.microsoft.com/office/drawing/2014/main" id="{00000000-0008-0000-3300-0000CC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594</xdr:row>
      <xdr:rowOff>0</xdr:rowOff>
    </xdr:from>
    <xdr:to>
      <xdr:col>6</xdr:col>
      <xdr:colOff>0</xdr:colOff>
      <xdr:row>599</xdr:row>
      <xdr:rowOff>0</xdr:rowOff>
    </xdr:to>
    <xdr:sp macro="" textlink="">
      <xdr:nvSpPr>
        <xdr:cNvPr id="205" name="Rectangle 108">
          <a:extLst>
            <a:ext uri="{FF2B5EF4-FFF2-40B4-BE49-F238E27FC236}">
              <a16:creationId xmlns:a16="http://schemas.microsoft.com/office/drawing/2014/main" id="{00000000-0008-0000-3300-0000CD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595</xdr:row>
      <xdr:rowOff>0</xdr:rowOff>
    </xdr:from>
    <xdr:to>
      <xdr:col>6</xdr:col>
      <xdr:colOff>0</xdr:colOff>
      <xdr:row>599</xdr:row>
      <xdr:rowOff>0</xdr:rowOff>
    </xdr:to>
    <xdr:sp macro="" textlink="">
      <xdr:nvSpPr>
        <xdr:cNvPr id="206" name="Rectangle 107">
          <a:extLst>
            <a:ext uri="{FF2B5EF4-FFF2-40B4-BE49-F238E27FC236}">
              <a16:creationId xmlns:a16="http://schemas.microsoft.com/office/drawing/2014/main" id="{00000000-0008-0000-3300-0000CE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6</xdr:col>
      <xdr:colOff>0</xdr:colOff>
      <xdr:row>595</xdr:row>
      <xdr:rowOff>0</xdr:rowOff>
    </xdr:from>
    <xdr:to>
      <xdr:col>6</xdr:col>
      <xdr:colOff>0</xdr:colOff>
      <xdr:row>599</xdr:row>
      <xdr:rowOff>0</xdr:rowOff>
    </xdr:to>
    <xdr:sp macro="" textlink="">
      <xdr:nvSpPr>
        <xdr:cNvPr id="207" name="Rectangle 108">
          <a:extLst>
            <a:ext uri="{FF2B5EF4-FFF2-40B4-BE49-F238E27FC236}">
              <a16:creationId xmlns:a16="http://schemas.microsoft.com/office/drawing/2014/main" id="{00000000-0008-0000-3300-0000CF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2</xdr:col>
      <xdr:colOff>0</xdr:colOff>
      <xdr:row>663</xdr:row>
      <xdr:rowOff>0</xdr:rowOff>
    </xdr:from>
    <xdr:to>
      <xdr:col>2</xdr:col>
      <xdr:colOff>0</xdr:colOff>
      <xdr:row>681</xdr:row>
      <xdr:rowOff>0</xdr:rowOff>
    </xdr:to>
    <xdr:sp macro="" textlink="">
      <xdr:nvSpPr>
        <xdr:cNvPr id="208" name="Rectangle 107">
          <a:extLst>
            <a:ext uri="{FF2B5EF4-FFF2-40B4-BE49-F238E27FC236}">
              <a16:creationId xmlns:a16="http://schemas.microsoft.com/office/drawing/2014/main" id="{00000000-0008-0000-3300-0000D0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2</xdr:col>
      <xdr:colOff>0</xdr:colOff>
      <xdr:row>663</xdr:row>
      <xdr:rowOff>0</xdr:rowOff>
    </xdr:from>
    <xdr:to>
      <xdr:col>2</xdr:col>
      <xdr:colOff>0</xdr:colOff>
      <xdr:row>681</xdr:row>
      <xdr:rowOff>0</xdr:rowOff>
    </xdr:to>
    <xdr:sp macro="" textlink="">
      <xdr:nvSpPr>
        <xdr:cNvPr id="209" name="Rectangle 108">
          <a:extLst>
            <a:ext uri="{FF2B5EF4-FFF2-40B4-BE49-F238E27FC236}">
              <a16:creationId xmlns:a16="http://schemas.microsoft.com/office/drawing/2014/main" id="{00000000-0008-0000-3300-0000D1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6</xdr:col>
      <xdr:colOff>0</xdr:colOff>
      <xdr:row>662</xdr:row>
      <xdr:rowOff>0</xdr:rowOff>
    </xdr:from>
    <xdr:to>
      <xdr:col>6</xdr:col>
      <xdr:colOff>0</xdr:colOff>
      <xdr:row>666</xdr:row>
      <xdr:rowOff>0</xdr:rowOff>
    </xdr:to>
    <xdr:sp macro="" textlink="">
      <xdr:nvSpPr>
        <xdr:cNvPr id="210" name="Rectangle 107">
          <a:extLst>
            <a:ext uri="{FF2B5EF4-FFF2-40B4-BE49-F238E27FC236}">
              <a16:creationId xmlns:a16="http://schemas.microsoft.com/office/drawing/2014/main" id="{00000000-0008-0000-3300-0000D2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6</xdr:col>
      <xdr:colOff>0</xdr:colOff>
      <xdr:row>662</xdr:row>
      <xdr:rowOff>0</xdr:rowOff>
    </xdr:from>
    <xdr:to>
      <xdr:col>6</xdr:col>
      <xdr:colOff>0</xdr:colOff>
      <xdr:row>666</xdr:row>
      <xdr:rowOff>0</xdr:rowOff>
    </xdr:to>
    <xdr:sp macro="" textlink="">
      <xdr:nvSpPr>
        <xdr:cNvPr id="211" name="Rectangle 108">
          <a:extLst>
            <a:ext uri="{FF2B5EF4-FFF2-40B4-BE49-F238E27FC236}">
              <a16:creationId xmlns:a16="http://schemas.microsoft.com/office/drawing/2014/main" id="{00000000-0008-0000-3300-0000D3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2</xdr:col>
      <xdr:colOff>0</xdr:colOff>
      <xdr:row>691</xdr:row>
      <xdr:rowOff>0</xdr:rowOff>
    </xdr:from>
    <xdr:to>
      <xdr:col>2</xdr:col>
      <xdr:colOff>0</xdr:colOff>
      <xdr:row>709</xdr:row>
      <xdr:rowOff>0</xdr:rowOff>
    </xdr:to>
    <xdr:sp macro="" textlink="">
      <xdr:nvSpPr>
        <xdr:cNvPr id="212" name="Rectangle 107">
          <a:extLst>
            <a:ext uri="{FF2B5EF4-FFF2-40B4-BE49-F238E27FC236}">
              <a16:creationId xmlns:a16="http://schemas.microsoft.com/office/drawing/2014/main" id="{00000000-0008-0000-3300-0000D4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2</xdr:col>
      <xdr:colOff>0</xdr:colOff>
      <xdr:row>691</xdr:row>
      <xdr:rowOff>0</xdr:rowOff>
    </xdr:from>
    <xdr:to>
      <xdr:col>2</xdr:col>
      <xdr:colOff>0</xdr:colOff>
      <xdr:row>709</xdr:row>
      <xdr:rowOff>0</xdr:rowOff>
    </xdr:to>
    <xdr:sp macro="" textlink="">
      <xdr:nvSpPr>
        <xdr:cNvPr id="213" name="Rectangle 108">
          <a:extLst>
            <a:ext uri="{FF2B5EF4-FFF2-40B4-BE49-F238E27FC236}">
              <a16:creationId xmlns:a16="http://schemas.microsoft.com/office/drawing/2014/main" id="{00000000-0008-0000-3300-0000D5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6</xdr:col>
      <xdr:colOff>0</xdr:colOff>
      <xdr:row>663</xdr:row>
      <xdr:rowOff>0</xdr:rowOff>
    </xdr:from>
    <xdr:to>
      <xdr:col>6</xdr:col>
      <xdr:colOff>0</xdr:colOff>
      <xdr:row>666</xdr:row>
      <xdr:rowOff>0</xdr:rowOff>
    </xdr:to>
    <xdr:sp macro="" textlink="">
      <xdr:nvSpPr>
        <xdr:cNvPr id="214" name="Rectangle 107">
          <a:extLst>
            <a:ext uri="{FF2B5EF4-FFF2-40B4-BE49-F238E27FC236}">
              <a16:creationId xmlns:a16="http://schemas.microsoft.com/office/drawing/2014/main" id="{00000000-0008-0000-3300-0000D6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6</xdr:col>
      <xdr:colOff>0</xdr:colOff>
      <xdr:row>663</xdr:row>
      <xdr:rowOff>0</xdr:rowOff>
    </xdr:from>
    <xdr:to>
      <xdr:col>6</xdr:col>
      <xdr:colOff>0</xdr:colOff>
      <xdr:row>666</xdr:row>
      <xdr:rowOff>0</xdr:rowOff>
    </xdr:to>
    <xdr:sp macro="" textlink="">
      <xdr:nvSpPr>
        <xdr:cNvPr id="215" name="Rectangle 108">
          <a:extLst>
            <a:ext uri="{FF2B5EF4-FFF2-40B4-BE49-F238E27FC236}">
              <a16:creationId xmlns:a16="http://schemas.microsoft.com/office/drawing/2014/main" id="{00000000-0008-0000-3300-0000D7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2</xdr:col>
      <xdr:colOff>0</xdr:colOff>
      <xdr:row>188</xdr:row>
      <xdr:rowOff>0</xdr:rowOff>
    </xdr:from>
    <xdr:to>
      <xdr:col>2</xdr:col>
      <xdr:colOff>0</xdr:colOff>
      <xdr:row>201</xdr:row>
      <xdr:rowOff>0</xdr:rowOff>
    </xdr:to>
    <xdr:sp macro="" textlink="">
      <xdr:nvSpPr>
        <xdr:cNvPr id="216" name="Rectangle 107">
          <a:extLst>
            <a:ext uri="{FF2B5EF4-FFF2-40B4-BE49-F238E27FC236}">
              <a16:creationId xmlns:a16="http://schemas.microsoft.com/office/drawing/2014/main" id="{00000000-0008-0000-3300-0000D8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188</xdr:row>
      <xdr:rowOff>0</xdr:rowOff>
    </xdr:from>
    <xdr:to>
      <xdr:col>2</xdr:col>
      <xdr:colOff>0</xdr:colOff>
      <xdr:row>201</xdr:row>
      <xdr:rowOff>0</xdr:rowOff>
    </xdr:to>
    <xdr:sp macro="" textlink="">
      <xdr:nvSpPr>
        <xdr:cNvPr id="217" name="Rectangle 108">
          <a:extLst>
            <a:ext uri="{FF2B5EF4-FFF2-40B4-BE49-F238E27FC236}">
              <a16:creationId xmlns:a16="http://schemas.microsoft.com/office/drawing/2014/main" id="{00000000-0008-0000-3300-0000D9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216</xdr:row>
      <xdr:rowOff>0</xdr:rowOff>
    </xdr:from>
    <xdr:to>
      <xdr:col>2</xdr:col>
      <xdr:colOff>0</xdr:colOff>
      <xdr:row>233</xdr:row>
      <xdr:rowOff>0</xdr:rowOff>
    </xdr:to>
    <xdr:sp macro="" textlink="">
      <xdr:nvSpPr>
        <xdr:cNvPr id="218" name="Rectangle 107">
          <a:extLst>
            <a:ext uri="{FF2B5EF4-FFF2-40B4-BE49-F238E27FC236}">
              <a16:creationId xmlns:a16="http://schemas.microsoft.com/office/drawing/2014/main" id="{00000000-0008-0000-3300-0000DA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216</xdr:row>
      <xdr:rowOff>0</xdr:rowOff>
    </xdr:from>
    <xdr:to>
      <xdr:col>2</xdr:col>
      <xdr:colOff>0</xdr:colOff>
      <xdr:row>233</xdr:row>
      <xdr:rowOff>0</xdr:rowOff>
    </xdr:to>
    <xdr:sp macro="" textlink="">
      <xdr:nvSpPr>
        <xdr:cNvPr id="219" name="Rectangle 108">
          <a:extLst>
            <a:ext uri="{FF2B5EF4-FFF2-40B4-BE49-F238E27FC236}">
              <a16:creationId xmlns:a16="http://schemas.microsoft.com/office/drawing/2014/main" id="{00000000-0008-0000-3300-0000DB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187</xdr:row>
      <xdr:rowOff>0</xdr:rowOff>
    </xdr:from>
    <xdr:to>
      <xdr:col>6</xdr:col>
      <xdr:colOff>0</xdr:colOff>
      <xdr:row>191</xdr:row>
      <xdr:rowOff>0</xdr:rowOff>
    </xdr:to>
    <xdr:sp macro="" textlink="">
      <xdr:nvSpPr>
        <xdr:cNvPr id="220" name="Rectangle 107">
          <a:extLst>
            <a:ext uri="{FF2B5EF4-FFF2-40B4-BE49-F238E27FC236}">
              <a16:creationId xmlns:a16="http://schemas.microsoft.com/office/drawing/2014/main" id="{00000000-0008-0000-3300-0000DC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187</xdr:row>
      <xdr:rowOff>0</xdr:rowOff>
    </xdr:from>
    <xdr:to>
      <xdr:col>6</xdr:col>
      <xdr:colOff>0</xdr:colOff>
      <xdr:row>191</xdr:row>
      <xdr:rowOff>0</xdr:rowOff>
    </xdr:to>
    <xdr:sp macro="" textlink="">
      <xdr:nvSpPr>
        <xdr:cNvPr id="221" name="Rectangle 108">
          <a:extLst>
            <a:ext uri="{FF2B5EF4-FFF2-40B4-BE49-F238E27FC236}">
              <a16:creationId xmlns:a16="http://schemas.microsoft.com/office/drawing/2014/main" id="{00000000-0008-0000-3300-0000DD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188</xdr:row>
      <xdr:rowOff>0</xdr:rowOff>
    </xdr:from>
    <xdr:to>
      <xdr:col>6</xdr:col>
      <xdr:colOff>0</xdr:colOff>
      <xdr:row>191</xdr:row>
      <xdr:rowOff>0</xdr:rowOff>
    </xdr:to>
    <xdr:sp macro="" textlink="">
      <xdr:nvSpPr>
        <xdr:cNvPr id="222" name="Rectangle 107">
          <a:extLst>
            <a:ext uri="{FF2B5EF4-FFF2-40B4-BE49-F238E27FC236}">
              <a16:creationId xmlns:a16="http://schemas.microsoft.com/office/drawing/2014/main" id="{00000000-0008-0000-3300-0000DE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188</xdr:row>
      <xdr:rowOff>0</xdr:rowOff>
    </xdr:from>
    <xdr:to>
      <xdr:col>6</xdr:col>
      <xdr:colOff>0</xdr:colOff>
      <xdr:row>191</xdr:row>
      <xdr:rowOff>0</xdr:rowOff>
    </xdr:to>
    <xdr:sp macro="" textlink="">
      <xdr:nvSpPr>
        <xdr:cNvPr id="223" name="Rectangle 108">
          <a:extLst>
            <a:ext uri="{FF2B5EF4-FFF2-40B4-BE49-F238E27FC236}">
              <a16:creationId xmlns:a16="http://schemas.microsoft.com/office/drawing/2014/main" id="{00000000-0008-0000-3300-0000DF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128</xdr:row>
      <xdr:rowOff>0</xdr:rowOff>
    </xdr:from>
    <xdr:to>
      <xdr:col>2</xdr:col>
      <xdr:colOff>0</xdr:colOff>
      <xdr:row>141</xdr:row>
      <xdr:rowOff>0</xdr:rowOff>
    </xdr:to>
    <xdr:sp macro="" textlink="">
      <xdr:nvSpPr>
        <xdr:cNvPr id="248" name="Rectangle 107">
          <a:extLst>
            <a:ext uri="{FF2B5EF4-FFF2-40B4-BE49-F238E27FC236}">
              <a16:creationId xmlns:a16="http://schemas.microsoft.com/office/drawing/2014/main" id="{00000000-0008-0000-3300-0000F8000000}"/>
            </a:ext>
          </a:extLst>
        </xdr:cNvPr>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128</xdr:row>
      <xdr:rowOff>0</xdr:rowOff>
    </xdr:from>
    <xdr:to>
      <xdr:col>2</xdr:col>
      <xdr:colOff>0</xdr:colOff>
      <xdr:row>141</xdr:row>
      <xdr:rowOff>0</xdr:rowOff>
    </xdr:to>
    <xdr:sp macro="" textlink="">
      <xdr:nvSpPr>
        <xdr:cNvPr id="249" name="Rectangle 108">
          <a:extLst>
            <a:ext uri="{FF2B5EF4-FFF2-40B4-BE49-F238E27FC236}">
              <a16:creationId xmlns:a16="http://schemas.microsoft.com/office/drawing/2014/main" id="{00000000-0008-0000-3300-0000F9000000}"/>
            </a:ext>
          </a:extLst>
        </xdr:cNvPr>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155</xdr:row>
      <xdr:rowOff>0</xdr:rowOff>
    </xdr:from>
    <xdr:to>
      <xdr:col>2</xdr:col>
      <xdr:colOff>0</xdr:colOff>
      <xdr:row>172</xdr:row>
      <xdr:rowOff>0</xdr:rowOff>
    </xdr:to>
    <xdr:sp macro="" textlink="">
      <xdr:nvSpPr>
        <xdr:cNvPr id="250" name="Rectangle 107">
          <a:extLst>
            <a:ext uri="{FF2B5EF4-FFF2-40B4-BE49-F238E27FC236}">
              <a16:creationId xmlns:a16="http://schemas.microsoft.com/office/drawing/2014/main" id="{00000000-0008-0000-3300-0000FA000000}"/>
            </a:ext>
          </a:extLst>
        </xdr:cNvPr>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155</xdr:row>
      <xdr:rowOff>0</xdr:rowOff>
    </xdr:from>
    <xdr:to>
      <xdr:col>2</xdr:col>
      <xdr:colOff>0</xdr:colOff>
      <xdr:row>172</xdr:row>
      <xdr:rowOff>0</xdr:rowOff>
    </xdr:to>
    <xdr:sp macro="" textlink="">
      <xdr:nvSpPr>
        <xdr:cNvPr id="251" name="Rectangle 108">
          <a:extLst>
            <a:ext uri="{FF2B5EF4-FFF2-40B4-BE49-F238E27FC236}">
              <a16:creationId xmlns:a16="http://schemas.microsoft.com/office/drawing/2014/main" id="{00000000-0008-0000-3300-0000FB000000}"/>
            </a:ext>
          </a:extLst>
        </xdr:cNvPr>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128</xdr:row>
      <xdr:rowOff>0</xdr:rowOff>
    </xdr:from>
    <xdr:to>
      <xdr:col>6</xdr:col>
      <xdr:colOff>0</xdr:colOff>
      <xdr:row>132</xdr:row>
      <xdr:rowOff>0</xdr:rowOff>
    </xdr:to>
    <xdr:sp macro="" textlink="">
      <xdr:nvSpPr>
        <xdr:cNvPr id="252" name="Rectangle 107">
          <a:extLst>
            <a:ext uri="{FF2B5EF4-FFF2-40B4-BE49-F238E27FC236}">
              <a16:creationId xmlns:a16="http://schemas.microsoft.com/office/drawing/2014/main" id="{00000000-0008-0000-3300-0000FC000000}"/>
            </a:ext>
          </a:extLst>
        </xdr:cNvPr>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128</xdr:row>
      <xdr:rowOff>0</xdr:rowOff>
    </xdr:from>
    <xdr:to>
      <xdr:col>6</xdr:col>
      <xdr:colOff>0</xdr:colOff>
      <xdr:row>132</xdr:row>
      <xdr:rowOff>0</xdr:rowOff>
    </xdr:to>
    <xdr:sp macro="" textlink="">
      <xdr:nvSpPr>
        <xdr:cNvPr id="253" name="Rectangle 108">
          <a:extLst>
            <a:ext uri="{FF2B5EF4-FFF2-40B4-BE49-F238E27FC236}">
              <a16:creationId xmlns:a16="http://schemas.microsoft.com/office/drawing/2014/main" id="{00000000-0008-0000-3300-0000FD000000}"/>
            </a:ext>
          </a:extLst>
        </xdr:cNvPr>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129</xdr:row>
      <xdr:rowOff>0</xdr:rowOff>
    </xdr:from>
    <xdr:to>
      <xdr:col>6</xdr:col>
      <xdr:colOff>0</xdr:colOff>
      <xdr:row>132</xdr:row>
      <xdr:rowOff>0</xdr:rowOff>
    </xdr:to>
    <xdr:sp macro="" textlink="">
      <xdr:nvSpPr>
        <xdr:cNvPr id="254" name="Rectangle 107">
          <a:extLst>
            <a:ext uri="{FF2B5EF4-FFF2-40B4-BE49-F238E27FC236}">
              <a16:creationId xmlns:a16="http://schemas.microsoft.com/office/drawing/2014/main" id="{00000000-0008-0000-3300-0000FE000000}"/>
            </a:ext>
          </a:extLst>
        </xdr:cNvPr>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129</xdr:row>
      <xdr:rowOff>0</xdr:rowOff>
    </xdr:from>
    <xdr:to>
      <xdr:col>6</xdr:col>
      <xdr:colOff>0</xdr:colOff>
      <xdr:row>132</xdr:row>
      <xdr:rowOff>0</xdr:rowOff>
    </xdr:to>
    <xdr:sp macro="" textlink="">
      <xdr:nvSpPr>
        <xdr:cNvPr id="255" name="Rectangle 108">
          <a:extLst>
            <a:ext uri="{FF2B5EF4-FFF2-40B4-BE49-F238E27FC236}">
              <a16:creationId xmlns:a16="http://schemas.microsoft.com/office/drawing/2014/main" id="{00000000-0008-0000-3300-0000FF000000}"/>
            </a:ext>
          </a:extLst>
        </xdr:cNvPr>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70</xdr:row>
      <xdr:rowOff>0</xdr:rowOff>
    </xdr:from>
    <xdr:to>
      <xdr:col>2</xdr:col>
      <xdr:colOff>0</xdr:colOff>
      <xdr:row>83</xdr:row>
      <xdr:rowOff>0</xdr:rowOff>
    </xdr:to>
    <xdr:sp macro="" textlink="">
      <xdr:nvSpPr>
        <xdr:cNvPr id="238" name="Rectangle 107">
          <a:extLst>
            <a:ext uri="{FF2B5EF4-FFF2-40B4-BE49-F238E27FC236}">
              <a16:creationId xmlns:a16="http://schemas.microsoft.com/office/drawing/2014/main" id="{00000000-0008-0000-3300-0000EE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70</xdr:row>
      <xdr:rowOff>0</xdr:rowOff>
    </xdr:from>
    <xdr:to>
      <xdr:col>2</xdr:col>
      <xdr:colOff>0</xdr:colOff>
      <xdr:row>83</xdr:row>
      <xdr:rowOff>0</xdr:rowOff>
    </xdr:to>
    <xdr:sp macro="" textlink="">
      <xdr:nvSpPr>
        <xdr:cNvPr id="239" name="Rectangle 108">
          <a:extLst>
            <a:ext uri="{FF2B5EF4-FFF2-40B4-BE49-F238E27FC236}">
              <a16:creationId xmlns:a16="http://schemas.microsoft.com/office/drawing/2014/main" id="{00000000-0008-0000-3300-0000EF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97</xdr:row>
      <xdr:rowOff>0</xdr:rowOff>
    </xdr:from>
    <xdr:to>
      <xdr:col>2</xdr:col>
      <xdr:colOff>0</xdr:colOff>
      <xdr:row>113</xdr:row>
      <xdr:rowOff>0</xdr:rowOff>
    </xdr:to>
    <xdr:sp macro="" textlink="">
      <xdr:nvSpPr>
        <xdr:cNvPr id="240" name="Rectangle 107">
          <a:extLst>
            <a:ext uri="{FF2B5EF4-FFF2-40B4-BE49-F238E27FC236}">
              <a16:creationId xmlns:a16="http://schemas.microsoft.com/office/drawing/2014/main" id="{00000000-0008-0000-3300-0000F0000000}"/>
            </a:ext>
          </a:extLst>
        </xdr:cNvPr>
        <xdr:cNvSpPr>
          <a:spLocks noChangeArrowheads="1"/>
        </xdr:cNvSpPr>
      </xdr:nvSpPr>
      <xdr:spPr bwMode="auto">
        <a:xfrm>
          <a:off x="4086225" y="6657975"/>
          <a:ext cx="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97</xdr:row>
      <xdr:rowOff>0</xdr:rowOff>
    </xdr:from>
    <xdr:to>
      <xdr:col>2</xdr:col>
      <xdr:colOff>0</xdr:colOff>
      <xdr:row>113</xdr:row>
      <xdr:rowOff>0</xdr:rowOff>
    </xdr:to>
    <xdr:sp macro="" textlink="">
      <xdr:nvSpPr>
        <xdr:cNvPr id="241" name="Rectangle 108">
          <a:extLst>
            <a:ext uri="{FF2B5EF4-FFF2-40B4-BE49-F238E27FC236}">
              <a16:creationId xmlns:a16="http://schemas.microsoft.com/office/drawing/2014/main" id="{00000000-0008-0000-3300-0000F1000000}"/>
            </a:ext>
          </a:extLst>
        </xdr:cNvPr>
        <xdr:cNvSpPr>
          <a:spLocks noChangeArrowheads="1"/>
        </xdr:cNvSpPr>
      </xdr:nvSpPr>
      <xdr:spPr bwMode="auto">
        <a:xfrm>
          <a:off x="4086225" y="6657975"/>
          <a:ext cx="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70</xdr:row>
      <xdr:rowOff>0</xdr:rowOff>
    </xdr:from>
    <xdr:to>
      <xdr:col>6</xdr:col>
      <xdr:colOff>0</xdr:colOff>
      <xdr:row>74</xdr:row>
      <xdr:rowOff>0</xdr:rowOff>
    </xdr:to>
    <xdr:sp macro="" textlink="">
      <xdr:nvSpPr>
        <xdr:cNvPr id="242" name="Rectangle 107">
          <a:extLst>
            <a:ext uri="{FF2B5EF4-FFF2-40B4-BE49-F238E27FC236}">
              <a16:creationId xmlns:a16="http://schemas.microsoft.com/office/drawing/2014/main" id="{00000000-0008-0000-3300-0000F2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70</xdr:row>
      <xdr:rowOff>0</xdr:rowOff>
    </xdr:from>
    <xdr:to>
      <xdr:col>6</xdr:col>
      <xdr:colOff>0</xdr:colOff>
      <xdr:row>74</xdr:row>
      <xdr:rowOff>0</xdr:rowOff>
    </xdr:to>
    <xdr:sp macro="" textlink="">
      <xdr:nvSpPr>
        <xdr:cNvPr id="243" name="Rectangle 108">
          <a:extLst>
            <a:ext uri="{FF2B5EF4-FFF2-40B4-BE49-F238E27FC236}">
              <a16:creationId xmlns:a16="http://schemas.microsoft.com/office/drawing/2014/main" id="{00000000-0008-0000-3300-0000F3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71</xdr:row>
      <xdr:rowOff>0</xdr:rowOff>
    </xdr:from>
    <xdr:to>
      <xdr:col>6</xdr:col>
      <xdr:colOff>0</xdr:colOff>
      <xdr:row>74</xdr:row>
      <xdr:rowOff>0</xdr:rowOff>
    </xdr:to>
    <xdr:sp macro="" textlink="">
      <xdr:nvSpPr>
        <xdr:cNvPr id="244" name="Rectangle 107">
          <a:extLst>
            <a:ext uri="{FF2B5EF4-FFF2-40B4-BE49-F238E27FC236}">
              <a16:creationId xmlns:a16="http://schemas.microsoft.com/office/drawing/2014/main" id="{00000000-0008-0000-3300-0000F4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71</xdr:row>
      <xdr:rowOff>0</xdr:rowOff>
    </xdr:from>
    <xdr:to>
      <xdr:col>6</xdr:col>
      <xdr:colOff>0</xdr:colOff>
      <xdr:row>74</xdr:row>
      <xdr:rowOff>0</xdr:rowOff>
    </xdr:to>
    <xdr:sp macro="" textlink="">
      <xdr:nvSpPr>
        <xdr:cNvPr id="245" name="Rectangle 108">
          <a:extLst>
            <a:ext uri="{FF2B5EF4-FFF2-40B4-BE49-F238E27FC236}">
              <a16:creationId xmlns:a16="http://schemas.microsoft.com/office/drawing/2014/main" id="{00000000-0008-0000-3300-0000F5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7</xdr:row>
      <xdr:rowOff>0</xdr:rowOff>
    </xdr:from>
    <xdr:to>
      <xdr:col>2</xdr:col>
      <xdr:colOff>0</xdr:colOff>
      <xdr:row>23</xdr:row>
      <xdr:rowOff>0</xdr:rowOff>
    </xdr:to>
    <xdr:sp macro="" textlink="">
      <xdr:nvSpPr>
        <xdr:cNvPr id="270" name="Rectangle 107">
          <a:extLst>
            <a:ext uri="{FF2B5EF4-FFF2-40B4-BE49-F238E27FC236}">
              <a16:creationId xmlns:a16="http://schemas.microsoft.com/office/drawing/2014/main" id="{778A365F-5A8F-42AA-AB78-3C21982CE9EA}"/>
            </a:ext>
          </a:extLst>
        </xdr:cNvPr>
        <xdr:cNvSpPr>
          <a:spLocks noChangeArrowheads="1"/>
        </xdr:cNvSpPr>
      </xdr:nvSpPr>
      <xdr:spPr bwMode="auto">
        <a:xfrm>
          <a:off x="4198620" y="1341120"/>
          <a:ext cx="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7</xdr:row>
      <xdr:rowOff>0</xdr:rowOff>
    </xdr:from>
    <xdr:to>
      <xdr:col>2</xdr:col>
      <xdr:colOff>0</xdr:colOff>
      <xdr:row>23</xdr:row>
      <xdr:rowOff>0</xdr:rowOff>
    </xdr:to>
    <xdr:sp macro="" textlink="">
      <xdr:nvSpPr>
        <xdr:cNvPr id="271" name="Rectangle 108">
          <a:extLst>
            <a:ext uri="{FF2B5EF4-FFF2-40B4-BE49-F238E27FC236}">
              <a16:creationId xmlns:a16="http://schemas.microsoft.com/office/drawing/2014/main" id="{B4848732-EEB8-4F14-B113-F01BFE78AC98}"/>
            </a:ext>
          </a:extLst>
        </xdr:cNvPr>
        <xdr:cNvSpPr>
          <a:spLocks noChangeArrowheads="1"/>
        </xdr:cNvSpPr>
      </xdr:nvSpPr>
      <xdr:spPr bwMode="auto">
        <a:xfrm>
          <a:off x="4198620" y="1341120"/>
          <a:ext cx="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55</xdr:row>
      <xdr:rowOff>0</xdr:rowOff>
    </xdr:to>
    <xdr:sp macro="" textlink="">
      <xdr:nvSpPr>
        <xdr:cNvPr id="272" name="Rectangle 107">
          <a:extLst>
            <a:ext uri="{FF2B5EF4-FFF2-40B4-BE49-F238E27FC236}">
              <a16:creationId xmlns:a16="http://schemas.microsoft.com/office/drawing/2014/main" id="{159E8DD6-2719-4825-B876-E3EDB2723F4E}"/>
            </a:ext>
          </a:extLst>
        </xdr:cNvPr>
        <xdr:cNvSpPr>
          <a:spLocks noChangeArrowheads="1"/>
        </xdr:cNvSpPr>
      </xdr:nvSpPr>
      <xdr:spPr bwMode="auto">
        <a:xfrm>
          <a:off x="4198620" y="6918960"/>
          <a:ext cx="0" cy="329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55</xdr:row>
      <xdr:rowOff>0</xdr:rowOff>
    </xdr:to>
    <xdr:sp macro="" textlink="">
      <xdr:nvSpPr>
        <xdr:cNvPr id="273" name="Rectangle 108">
          <a:extLst>
            <a:ext uri="{FF2B5EF4-FFF2-40B4-BE49-F238E27FC236}">
              <a16:creationId xmlns:a16="http://schemas.microsoft.com/office/drawing/2014/main" id="{C44670CE-79DA-4382-BDAC-A513D1308A89}"/>
            </a:ext>
          </a:extLst>
        </xdr:cNvPr>
        <xdr:cNvSpPr>
          <a:spLocks noChangeArrowheads="1"/>
        </xdr:cNvSpPr>
      </xdr:nvSpPr>
      <xdr:spPr bwMode="auto">
        <a:xfrm>
          <a:off x="4198620" y="6918960"/>
          <a:ext cx="0" cy="329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xdr:row>
      <xdr:rowOff>0</xdr:rowOff>
    </xdr:from>
    <xdr:to>
      <xdr:col>6</xdr:col>
      <xdr:colOff>0</xdr:colOff>
      <xdr:row>10</xdr:row>
      <xdr:rowOff>0</xdr:rowOff>
    </xdr:to>
    <xdr:sp macro="" textlink="">
      <xdr:nvSpPr>
        <xdr:cNvPr id="274" name="Rectangle 107">
          <a:extLst>
            <a:ext uri="{FF2B5EF4-FFF2-40B4-BE49-F238E27FC236}">
              <a16:creationId xmlns:a16="http://schemas.microsoft.com/office/drawing/2014/main" id="{FF47BA8F-CA48-4CBE-91FA-504BBBC4ADF8}"/>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xdr:row>
      <xdr:rowOff>0</xdr:rowOff>
    </xdr:from>
    <xdr:to>
      <xdr:col>6</xdr:col>
      <xdr:colOff>0</xdr:colOff>
      <xdr:row>10</xdr:row>
      <xdr:rowOff>0</xdr:rowOff>
    </xdr:to>
    <xdr:sp macro="" textlink="">
      <xdr:nvSpPr>
        <xdr:cNvPr id="275" name="Rectangle 108">
          <a:extLst>
            <a:ext uri="{FF2B5EF4-FFF2-40B4-BE49-F238E27FC236}">
              <a16:creationId xmlns:a16="http://schemas.microsoft.com/office/drawing/2014/main" id="{7BAF986E-6F94-4DE9-8D86-E6D6B4EF1052}"/>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xdr:row>
      <xdr:rowOff>0</xdr:rowOff>
    </xdr:from>
    <xdr:to>
      <xdr:col>6</xdr:col>
      <xdr:colOff>0</xdr:colOff>
      <xdr:row>10</xdr:row>
      <xdr:rowOff>0</xdr:rowOff>
    </xdr:to>
    <xdr:sp macro="" textlink="">
      <xdr:nvSpPr>
        <xdr:cNvPr id="276" name="Rectangle 107">
          <a:extLst>
            <a:ext uri="{FF2B5EF4-FFF2-40B4-BE49-F238E27FC236}">
              <a16:creationId xmlns:a16="http://schemas.microsoft.com/office/drawing/2014/main" id="{52843678-24EB-429B-8F8B-56D401DC4088}"/>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xdr:row>
      <xdr:rowOff>0</xdr:rowOff>
    </xdr:from>
    <xdr:to>
      <xdr:col>6</xdr:col>
      <xdr:colOff>0</xdr:colOff>
      <xdr:row>10</xdr:row>
      <xdr:rowOff>0</xdr:rowOff>
    </xdr:to>
    <xdr:sp macro="" textlink="">
      <xdr:nvSpPr>
        <xdr:cNvPr id="277" name="Rectangle 108">
          <a:extLst>
            <a:ext uri="{FF2B5EF4-FFF2-40B4-BE49-F238E27FC236}">
              <a16:creationId xmlns:a16="http://schemas.microsoft.com/office/drawing/2014/main" id="{611492C7-D53C-42B7-9113-896A63B5A86D}"/>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5</xdr:col>
      <xdr:colOff>57150</xdr:colOff>
      <xdr:row>0</xdr:row>
      <xdr:rowOff>38100</xdr:rowOff>
    </xdr:from>
    <xdr:to>
      <xdr:col>5</xdr:col>
      <xdr:colOff>314326</xdr:colOff>
      <xdr:row>0</xdr:row>
      <xdr:rowOff>304800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6696075" y="26670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12700</xdr:colOff>
      <xdr:row>0</xdr:row>
      <xdr:rowOff>47625</xdr:rowOff>
    </xdr:from>
    <xdr:to>
      <xdr:col>3</xdr:col>
      <xdr:colOff>269876</xdr:colOff>
      <xdr:row>0</xdr:row>
      <xdr:rowOff>293688</xdr:rowOff>
    </xdr:to>
    <xdr:sp macro="" textlink="">
      <xdr:nvSpPr>
        <xdr:cNvPr id="738" name="737 Botón de acción: Inicio">
          <a:hlinkClick xmlns:r="http://schemas.openxmlformats.org/officeDocument/2006/relationships" r:id="rId1"/>
          <a:extLst>
            <a:ext uri="{FF2B5EF4-FFF2-40B4-BE49-F238E27FC236}">
              <a16:creationId xmlns:a16="http://schemas.microsoft.com/office/drawing/2014/main" id="{00000000-0008-0000-3500-0000E2020000}"/>
            </a:ext>
          </a:extLst>
        </xdr:cNvPr>
        <xdr:cNvSpPr/>
      </xdr:nvSpPr>
      <xdr:spPr>
        <a:xfrm>
          <a:off x="5481638" y="47625"/>
          <a:ext cx="257176" cy="246063"/>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4</xdr:col>
      <xdr:colOff>14287</xdr:colOff>
      <xdr:row>0</xdr:row>
      <xdr:rowOff>79375</xdr:rowOff>
    </xdr:from>
    <xdr:to>
      <xdr:col>4</xdr:col>
      <xdr:colOff>246062</xdr:colOff>
      <xdr:row>0</xdr:row>
      <xdr:rowOff>365125</xdr:rowOff>
    </xdr:to>
    <xdr:sp macro="" textlink="">
      <xdr:nvSpPr>
        <xdr:cNvPr id="389" name="388 Botón de acción: Inicio">
          <a:hlinkClick xmlns:r="http://schemas.openxmlformats.org/officeDocument/2006/relationships" r:id="rId1"/>
          <a:extLst>
            <a:ext uri="{FF2B5EF4-FFF2-40B4-BE49-F238E27FC236}">
              <a16:creationId xmlns:a16="http://schemas.microsoft.com/office/drawing/2014/main" id="{00000000-0008-0000-3600-000085010000}"/>
            </a:ext>
          </a:extLst>
        </xdr:cNvPr>
        <xdr:cNvSpPr/>
      </xdr:nvSpPr>
      <xdr:spPr>
        <a:xfrm>
          <a:off x="6554787" y="79375"/>
          <a:ext cx="231775" cy="28575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159</xdr:col>
      <xdr:colOff>0</xdr:colOff>
      <xdr:row>1</xdr:row>
      <xdr:rowOff>161925</xdr:rowOff>
    </xdr:from>
    <xdr:to>
      <xdr:col>159</xdr:col>
      <xdr:colOff>228600</xdr:colOff>
      <xdr:row>3</xdr:row>
      <xdr:rowOff>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1125200" y="352425"/>
          <a:ext cx="228600" cy="238125"/>
        </a:xfrm>
        <a:prstGeom prst="actionButtonHome">
          <a:avLst/>
        </a:prstGeom>
        <a:solidFill>
          <a:srgbClr val="F082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304800</xdr:colOff>
      <xdr:row>0</xdr:row>
      <xdr:rowOff>180975</xdr:rowOff>
    </xdr:from>
    <xdr:to>
      <xdr:col>20</xdr:col>
      <xdr:colOff>561976</xdr:colOff>
      <xdr:row>2</xdr:row>
      <xdr:rowOff>57150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3820775" y="1809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34</xdr:col>
      <xdr:colOff>469900</xdr:colOff>
      <xdr:row>0</xdr:row>
      <xdr:rowOff>104774</xdr:rowOff>
    </xdr:from>
    <xdr:to>
      <xdr:col>34</xdr:col>
      <xdr:colOff>727076</xdr:colOff>
      <xdr:row>1</xdr:row>
      <xdr:rowOff>180974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25123775" y="104774"/>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3</xdr:col>
      <xdr:colOff>436563</xdr:colOff>
      <xdr:row>34</xdr:row>
      <xdr:rowOff>182562</xdr:rowOff>
    </xdr:from>
    <xdr:to>
      <xdr:col>3</xdr:col>
      <xdr:colOff>693739</xdr:colOff>
      <xdr:row>36</xdr:row>
      <xdr:rowOff>68262</xdr:rowOff>
    </xdr:to>
    <xdr:sp macro="" textlink="">
      <xdr:nvSpPr>
        <xdr:cNvPr id="3" name="1 Botón de acción: Inicio">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5532438" y="766762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402906</xdr:colOff>
      <xdr:row>0</xdr:row>
      <xdr:rowOff>113664</xdr:rowOff>
    </xdr:from>
    <xdr:to>
      <xdr:col>10</xdr:col>
      <xdr:colOff>717231</xdr:colOff>
      <xdr:row>1</xdr:row>
      <xdr:rowOff>191452</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240326" y="113664"/>
          <a:ext cx="314325" cy="27590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396241</xdr:colOff>
      <xdr:row>0</xdr:row>
      <xdr:rowOff>75564</xdr:rowOff>
    </xdr:from>
    <xdr:to>
      <xdr:col>12</xdr:col>
      <xdr:colOff>710566</xdr:colOff>
      <xdr:row>1</xdr:row>
      <xdr:rowOff>113664</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9951721" y="75564"/>
          <a:ext cx="314325" cy="23622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93</xdr:col>
      <xdr:colOff>390525</xdr:colOff>
      <xdr:row>0</xdr:row>
      <xdr:rowOff>190500</xdr:rowOff>
    </xdr:from>
    <xdr:to>
      <xdr:col>94</xdr:col>
      <xdr:colOff>0</xdr:colOff>
      <xdr:row>2</xdr:row>
      <xdr:rowOff>19050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7286625" y="190500"/>
          <a:ext cx="228600" cy="228600"/>
        </a:xfrm>
        <a:prstGeom prst="actionButtonHome">
          <a:avLst/>
        </a:prstGeom>
        <a:solidFill>
          <a:srgbClr val="F082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422910</xdr:colOff>
      <xdr:row>0</xdr:row>
      <xdr:rowOff>85090</xdr:rowOff>
    </xdr:from>
    <xdr:to>
      <xdr:col>12</xdr:col>
      <xdr:colOff>737235</xdr:colOff>
      <xdr:row>1</xdr:row>
      <xdr:rowOff>172720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3133070" y="85090"/>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Documents%20and%20Settings\armando_jimenez\Configuraci&#243;n%20local\Temp\PATRICIA\VARIOS\TABS%20DOC%20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garnica/Documents/ARCHIVOS%20DE%20TRABAJO/2010/SEP-ESTHER-2010/911%202010-2011/SOPORTES/SOPORTE%20DEL%20CUADRO%20II.2%20DEL%20MODULO%20DOCENCIA/EDUCACION/FAETA%20NORMA/WINDOWS/TEMP/planew99ver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mlmelendez\Documents\ASUNTOS\2017\MIR\SIPSE\TRIMESTRE%204\file\C\Documents%20and%20Settings\armando_jimenez\Configuraci&#243;n%20local\Temp\TABS%20CETI%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cgarnica\AppData\Local\Temp\Temp1_Plantilla%20p%20911%202010-2011.zip\Documents%20and%20Settings\armando_jimenez\Configuraci&#243;n%20local\Temp\PATRICIA\VARIOS\TABS%20DOC%2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MIR/SIPSE/TRIMESTRE%202/SOPORTE%20/S243/Vinculaci&#243;n%20/C/Users/cgarnica/Documents/ARCHIVOS%20DE%20TRABAJO/2017/MIR/SIPSE/TRIM%201/SOPORTE/C/CUENTA%20P&#218;BLICA/Macintosh%20HDUsers/mlmelendez/Document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lmelendez/Documents/ASUNTOS/2016/911-2015-2016/ESCUELA/Soporte/E:/Users/cgarnica/AppData/Local/Temp/Temp1_Plantilla%20p%20911%202010-2011.zip/PLANTILLAS%20UPES%20INC.%2017.9%25%201999%20SEP/Directivo%20UPE's.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lmelendez/Documents/ASUNTOS/2016/MIR/SMIR/TRIMESTRE%201/Rcabrera/2001/WINDOWS/TEMP/Nomina%20Personal%20doc%20y%20adm.%20Marzo%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DI%202015\2015\MIR\1ER%20TRIMESTRE%202015\Users\cgarnica\AppData\Local\Temp\Temp1_Plantilla%20p%20911%202010-2011.zip\EDUCACION\FAETA%20NORMA\EJERCICIO%20SALUD%202000%20DEFINITIVO\central\Ac02acV2definiti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EDUCACION\FAETA%20NORMA\WINDOWS\TEMP\INSTITUTOS%20NACIONALES%20Y%20DIF\PLANTILLA%20DIF%20NACIONAL%201999%20DEFINITIV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mlmelendez\Documents\ASUNTOS\2017\MIR\SIPSE\TRIMESTRE%204\file\C\Documents%20and%20Settings\armando_jimenez\Configuraci&#243;n%20local\Temp\E\CRIS\TAB17%25D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garnica/Documents/ARCHIVOS%20DE%20TRABAJO/2010/SEP-ESTHER-2010/911%202010-2011/SOPORTES/SOPORTE%20DEL%20CUADRO%20II.2%20DEL%20MODULO%20DOCENCIA/Documents%20and%20Settings/jose_orendain/Mis%20documentos/DEPTO.%20EDUC.%20SUPERIOR/IPN/plantillas/TAB%20IP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TM CETI 2002 "/>
      <sheetName val="TAB DCENTE CETI 2002"/>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O"/>
      <sheetName val="MATRIZ DIRECTIVO"/>
      <sheetName val="RESUMEN"/>
      <sheetName val="FORMATO DEL PROC. DE PLANTILL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 "/>
      <sheetName val="ADMINISTRATIVOS"/>
      <sheetName val="MMyS"/>
    </sheetNames>
    <sheetDataSet>
      <sheetData sheetId="0"/>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mdpi.com/books/pdfdownload/book/1812" TargetMode="External"/><Relationship Id="rId2" Type="http://schemas.openxmlformats.org/officeDocument/2006/relationships/hyperlink" Target="https://scholar.google.com.mx/citations?user=Yscxv1kAAAAJ&amp;hl=es&amp;oi=sra" TargetMode="External"/><Relationship Id="rId1" Type="http://schemas.openxmlformats.org/officeDocument/2006/relationships/hyperlink" Target="https://scholar.google.com.mx/citations?user=Yscxv1kAAAAJ&amp;hl=es&amp;oi=sra" TargetMode="External"/><Relationship Id="rId5" Type="http://schemas.openxmlformats.org/officeDocument/2006/relationships/drawing" Target="../drawings/drawing35.xml"/><Relationship Id="rId4"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1.bin"/><Relationship Id="rId1" Type="http://schemas.openxmlformats.org/officeDocument/2006/relationships/hyperlink" Target="http://www.webometrics.info/en/Latin_America/Mexico"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s://www.topuniversities.com/universities/universidad-nacional-autonoma-de-mexico-unam" TargetMode="External"/><Relationship Id="rId3" Type="http://schemas.openxmlformats.org/officeDocument/2006/relationships/hyperlink" Target="https://www.topuniversities.com/university-rankings/latin-american-university-rankings/2019?utm_source=tu_house_banners&amp;utm_medium=web_banner" TargetMode="External"/><Relationship Id="rId7" Type="http://schemas.openxmlformats.org/officeDocument/2006/relationships/hyperlink" Target="https://www.topuniversities.com/universities/instituto-tecnologico-y-de-estudios-superiores-de-monterrey" TargetMode="External"/><Relationship Id="rId12" Type="http://schemas.openxmlformats.org/officeDocument/2006/relationships/drawing" Target="../drawings/drawing48.xml"/><Relationship Id="rId2" Type="http://schemas.openxmlformats.org/officeDocument/2006/relationships/hyperlink" Target="http://www.scimagoir.com/" TargetMode="External"/><Relationship Id="rId1" Type="http://schemas.openxmlformats.org/officeDocument/2006/relationships/hyperlink" Target="http://www.topuniversities.com/university-rankings/latam-university-rankings/2015" TargetMode="External"/><Relationship Id="rId6" Type="http://schemas.openxmlformats.org/officeDocument/2006/relationships/hyperlink" Target="https://www.topuniversities.com/universities/instituto-politecnico-nacional-ipn" TargetMode="External"/><Relationship Id="rId11" Type="http://schemas.openxmlformats.org/officeDocument/2006/relationships/printerSettings" Target="../printerSettings/printerSettings52.bin"/><Relationship Id="rId5" Type="http://schemas.openxmlformats.org/officeDocument/2006/relationships/hyperlink" Target="https://www.topuniversities.com/universities/universidad-autonoma-metropolitana-uam" TargetMode="External"/><Relationship Id="rId10" Type="http://schemas.openxmlformats.org/officeDocument/2006/relationships/hyperlink" Target="https://www.topuniversities.com/universities/universidad-autonoma-metropolitana-uam" TargetMode="External"/><Relationship Id="rId4" Type="http://schemas.openxmlformats.org/officeDocument/2006/relationships/hyperlink" Target="https://www.topuniversities.com/universities/universidad-iberoamericana-ibero" TargetMode="External"/><Relationship Id="rId9" Type="http://schemas.openxmlformats.org/officeDocument/2006/relationships/hyperlink" Target="https://www.topuniversities.com/universities/universidad-autonoma-metropolitana-uam"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topuniversities.com/universities/universidad-panamericana" TargetMode="External"/><Relationship Id="rId21" Type="http://schemas.openxmlformats.org/officeDocument/2006/relationships/hyperlink" Target="http://www.topuniversities.com/universities/instituto-tecnol%C3%B3gico-aut%C3%B3nomo-de-m%C3%A9xico-itam" TargetMode="External"/><Relationship Id="rId42" Type="http://schemas.openxmlformats.org/officeDocument/2006/relationships/hyperlink" Target="http://www.topuniversities.com/universities/universidad-de-las-am%C3%A9ricas-puebla-udlap/undergrad" TargetMode="External"/><Relationship Id="rId47" Type="http://schemas.openxmlformats.org/officeDocument/2006/relationships/hyperlink" Target="http://www.topuniversities.com/universities/instituto-polit%C3%A9cnico-nacional-ipn" TargetMode="External"/><Relationship Id="rId63" Type="http://schemas.openxmlformats.org/officeDocument/2006/relationships/hyperlink" Target="http://www.topuniversities.com/universities/benem%C3%A9rita-universidad-aut%C3%B3noma-de-puebla-0" TargetMode="External"/><Relationship Id="rId68" Type="http://schemas.openxmlformats.org/officeDocument/2006/relationships/hyperlink" Target="http://www.topuniversities.com/universities/universidad-aut%C3%B3noma-del-estado-de-mexico-uaemex/undergrad" TargetMode="External"/><Relationship Id="rId84" Type="http://schemas.openxmlformats.org/officeDocument/2006/relationships/hyperlink" Target="http://www.topuniversities.com/universities/universidad-aut%C3%B3noma-metropolitana-uam/undergrad" TargetMode="External"/><Relationship Id="rId89" Type="http://schemas.openxmlformats.org/officeDocument/2006/relationships/hyperlink" Target="http://www.topuniversities.com/universities/universidad-autonoma-de-nuevo-leon-uanl" TargetMode="External"/><Relationship Id="rId16" Type="http://schemas.openxmlformats.org/officeDocument/2006/relationships/hyperlink" Target="http://www.topuniversities.com/universities/universidad-aut%C3%B3noma-del-estado-de-mexico-uaemex/undergrad" TargetMode="External"/><Relationship Id="rId107" Type="http://schemas.openxmlformats.org/officeDocument/2006/relationships/printerSettings" Target="../printerSettings/printerSettings53.bin"/><Relationship Id="rId11" Type="http://schemas.openxmlformats.org/officeDocument/2006/relationships/hyperlink" Target="http://www.topuniversities.com/universities/universidad-panamericana" TargetMode="External"/><Relationship Id="rId32" Type="http://schemas.openxmlformats.org/officeDocument/2006/relationships/hyperlink" Target="http://www.topuniversities.com/universities/instituto-polit%C3%A9cnico-nacional-ipn/undergrad" TargetMode="External"/><Relationship Id="rId37" Type="http://schemas.openxmlformats.org/officeDocument/2006/relationships/hyperlink" Target="http://www.topuniversities.com/universities/instituto-tecnol%C3%B3gico-aut%C3%B3nomo-de-m%C3%A9xico-itam/undergrad" TargetMode="External"/><Relationship Id="rId53" Type="http://schemas.openxmlformats.org/officeDocument/2006/relationships/hyperlink" Target="http://www.topuniversities.com/universities/benem%C3%A9rita-universidad-aut%C3%B3noma-de-puebla-0" TargetMode="External"/><Relationship Id="rId58" Type="http://schemas.openxmlformats.org/officeDocument/2006/relationships/hyperlink" Target="http://www.topuniversities.com/universities/universidad-iberoamericana-uia" TargetMode="External"/><Relationship Id="rId74" Type="http://schemas.openxmlformats.org/officeDocument/2006/relationships/hyperlink" Target="http://www.topuniversities.com/universities/universidad-autonoma-de-nuevo-leon-uanl" TargetMode="External"/><Relationship Id="rId79" Type="http://schemas.openxmlformats.org/officeDocument/2006/relationships/hyperlink" Target="http://www.topuniversities.com/universities/universidad-anahuac" TargetMode="External"/><Relationship Id="rId102" Type="http://schemas.openxmlformats.org/officeDocument/2006/relationships/hyperlink" Target="http://www.topuniversities.com/universities/universidad-de-guadalajara-udg" TargetMode="External"/><Relationship Id="rId5" Type="http://schemas.openxmlformats.org/officeDocument/2006/relationships/hyperlink" Target="http://www.topuniversities.com/universities/instituto-tecnol%C3%B3gico-y-de-estudios-superiores-de-monterrey" TargetMode="External"/><Relationship Id="rId90" Type="http://schemas.openxmlformats.org/officeDocument/2006/relationships/hyperlink" Target="http://www.topuniversities.com/universities/universidad-de-monterrey-udem" TargetMode="External"/><Relationship Id="rId95" Type="http://schemas.openxmlformats.org/officeDocument/2006/relationships/hyperlink" Target="http://www.topuniversities.com/universities/universidad-iberoamericana-uia" TargetMode="External"/><Relationship Id="rId22" Type="http://schemas.openxmlformats.org/officeDocument/2006/relationships/hyperlink" Target="http://www.topuniversities.com/universities/instituto-polit%C3%A9cnico-nacional-ipn" TargetMode="External"/><Relationship Id="rId27" Type="http://schemas.openxmlformats.org/officeDocument/2006/relationships/hyperlink" Target="http://www.topuniversities.com/universities/benem%C3%A9rita-universidad-aut%C3%B3noma-de-puebla" TargetMode="External"/><Relationship Id="rId43" Type="http://schemas.openxmlformats.org/officeDocument/2006/relationships/hyperlink" Target="http://www.topuniversities.com/university-rankings/world-university-rankings/2014" TargetMode="External"/><Relationship Id="rId48" Type="http://schemas.openxmlformats.org/officeDocument/2006/relationships/hyperlink" Target="http://www.topuniversities.com/universities/universidad-iberoamericana-uia" TargetMode="External"/><Relationship Id="rId64" Type="http://schemas.openxmlformats.org/officeDocument/2006/relationships/hyperlink" Target="http://www.topuniversities.com/universities/colegio-de-m%C3%A9xico" TargetMode="External"/><Relationship Id="rId69" Type="http://schemas.openxmlformats.org/officeDocument/2006/relationships/hyperlink" Target="http://www.topuniversities.com/universities/universidad-aut%C3%B3noma-metropolitana-uam/undergrad" TargetMode="External"/><Relationship Id="rId80" Type="http://schemas.openxmlformats.org/officeDocument/2006/relationships/hyperlink" Target="http://www.topuniversities.com/universities/universidad-iberoamericana-uia" TargetMode="External"/><Relationship Id="rId85" Type="http://schemas.openxmlformats.org/officeDocument/2006/relationships/hyperlink" Target="http://www.topuniversities.com/universities/universidad-de-las-am%C3%A9ricas-puebla-udlap/undergrad" TargetMode="External"/><Relationship Id="rId12" Type="http://schemas.openxmlformats.org/officeDocument/2006/relationships/hyperlink" Target="http://www.topuniversities.com/universities/benem%C3%A9rita-universidad-aut%C3%B3noma-de-puebla" TargetMode="External"/><Relationship Id="rId17" Type="http://schemas.openxmlformats.org/officeDocument/2006/relationships/hyperlink" Target="http://www.topuniversities.com/universities/universidad-aut%C3%B3noma-metropolitana-uam/undergrad" TargetMode="External"/><Relationship Id="rId33" Type="http://schemas.openxmlformats.org/officeDocument/2006/relationships/hyperlink" Target="http://www.topuniversities.com/universities/universidad-iberoamericana-uia/undergrad" TargetMode="External"/><Relationship Id="rId38" Type="http://schemas.openxmlformats.org/officeDocument/2006/relationships/hyperlink" Target="http://www.topuniversities.com/universities/benem%C3%A9rita-universidad-aut%C3%B3noma-de-puebla/undergrad" TargetMode="External"/><Relationship Id="rId59" Type="http://schemas.openxmlformats.org/officeDocument/2006/relationships/hyperlink" Target="http://www.topuniversities.com/universities/universidad-de-las-am%C3%A9ricas-puebla-udlap" TargetMode="External"/><Relationship Id="rId103" Type="http://schemas.openxmlformats.org/officeDocument/2006/relationships/hyperlink" Target="http://www.topuniversities.com/universities/instituto-polit%C3%A9cnico-nacional-ipn" TargetMode="External"/><Relationship Id="rId108" Type="http://schemas.openxmlformats.org/officeDocument/2006/relationships/drawing" Target="../drawings/drawing49.xml"/><Relationship Id="rId20" Type="http://schemas.openxmlformats.org/officeDocument/2006/relationships/hyperlink" Target="http://www.topuniversities.com/universities/instituto-tecnol%C3%B3gico-y-de-estudios-superiores-de-monterrey" TargetMode="External"/><Relationship Id="rId41" Type="http://schemas.openxmlformats.org/officeDocument/2006/relationships/hyperlink" Target="http://www.topuniversities.com/universities/universidad-aut%C3%B3noma-metropolitana-uam/undergrad" TargetMode="External"/><Relationship Id="rId54" Type="http://schemas.openxmlformats.org/officeDocument/2006/relationships/hyperlink" Target="http://www.topuniversities.com/universities/universidad-nacional-aut%C3%B3noma-de-m%C3%A9xico-unam" TargetMode="External"/><Relationship Id="rId62" Type="http://schemas.openxmlformats.org/officeDocument/2006/relationships/hyperlink" Target="http://www.topuniversities.com/universities/instituto-tecnol%C3%B3gico-autonomo-de-m%C3%A9xico-itam" TargetMode="External"/><Relationship Id="rId70" Type="http://schemas.openxmlformats.org/officeDocument/2006/relationships/hyperlink" Target="http://www.topuniversities.com/universities/universidad-de-las-am%C3%A9ricas-puebla-udlap/undergrad" TargetMode="External"/><Relationship Id="rId75" Type="http://schemas.openxmlformats.org/officeDocument/2006/relationships/hyperlink" Target="http://www.topuniversities.com/universities/universidad-de-monterrey-udem" TargetMode="External"/><Relationship Id="rId83" Type="http://schemas.openxmlformats.org/officeDocument/2006/relationships/hyperlink" Target="http://www.topuniversities.com/universities/universidad-aut%C3%B3noma-del-estado-de-mexico-uaemex/undergrad" TargetMode="External"/><Relationship Id="rId88" Type="http://schemas.openxmlformats.org/officeDocument/2006/relationships/hyperlink" Target="http://www.topuniversities.com/universities/universidad-panamericana" TargetMode="External"/><Relationship Id="rId91" Type="http://schemas.openxmlformats.org/officeDocument/2006/relationships/hyperlink" Target="http://www.topuniversities.com/universities/universidad-nacional-aut%C3%B3noma-de-m%C3%A9xico-unam" TargetMode="External"/><Relationship Id="rId96" Type="http://schemas.openxmlformats.org/officeDocument/2006/relationships/hyperlink" Target="http://www.topuniversities.com/universities/universidad-iberoamericana-uia" TargetMode="External"/><Relationship Id="rId1" Type="http://schemas.openxmlformats.org/officeDocument/2006/relationships/hyperlink" Target="http://www.topuniversities.com/universities/universidad-aut%C3%B3noma-del-estado-de-mexico-uaemex/undergrad" TargetMode="External"/><Relationship Id="rId6" Type="http://schemas.openxmlformats.org/officeDocument/2006/relationships/hyperlink" Target="http://www.topuniversities.com/universities/instituto-tecnol%C3%B3gico-aut%C3%B3nomo-de-m%C3%A9xico-itam" TargetMode="External"/><Relationship Id="rId15" Type="http://schemas.openxmlformats.org/officeDocument/2006/relationships/hyperlink" Target="http://www.topuniversities.com/university-rankings/world-university-rankings/2015?utm_source=tu_house&amp;utm_medium=web_banner&amp;utm_campaign=WUR-2015" TargetMode="External"/><Relationship Id="rId23" Type="http://schemas.openxmlformats.org/officeDocument/2006/relationships/hyperlink" Target="http://www.topuniversities.com/universities/universidad-anahuac" TargetMode="External"/><Relationship Id="rId28" Type="http://schemas.openxmlformats.org/officeDocument/2006/relationships/hyperlink" Target="http://www.topuniversities.com/universities/universidad-autonoma-de-nuevo-leon-uanl" TargetMode="External"/><Relationship Id="rId36" Type="http://schemas.openxmlformats.org/officeDocument/2006/relationships/hyperlink" Target="http://www.topuniversities.com/universities/universidad-de-guadalajara-udg/undergrad" TargetMode="External"/><Relationship Id="rId49" Type="http://schemas.openxmlformats.org/officeDocument/2006/relationships/hyperlink" Target="http://www.topuniversities.com/universities/universidad-de-las-am%C3%A9ricas-puebla-udlap" TargetMode="External"/><Relationship Id="rId57" Type="http://schemas.openxmlformats.org/officeDocument/2006/relationships/hyperlink" Target="http://www.topuniversities.com/universities/instituto-polit%C3%A9cnico-nacional-ipn" TargetMode="External"/><Relationship Id="rId106" Type="http://schemas.openxmlformats.org/officeDocument/2006/relationships/hyperlink" Target="http://www.topuniversities.com/universities/universidad-aut%C3%B3noma-del-estado-de-mexico-uaemex/undergrad" TargetMode="External"/><Relationship Id="rId10" Type="http://schemas.openxmlformats.org/officeDocument/2006/relationships/hyperlink" Target="http://www.topuniversities.com/universities/universidad-iberoamericana-uia" TargetMode="External"/><Relationship Id="rId31" Type="http://schemas.openxmlformats.org/officeDocument/2006/relationships/hyperlink" Target="http://www.topuniversities.com/universities/instituto-tecnol%C3%B3gico-y-de-estudios-superiores-de-monterrey/undergrad" TargetMode="External"/><Relationship Id="rId44" Type="http://schemas.openxmlformats.org/officeDocument/2006/relationships/hyperlink" Target="http://www.topuniversities.com/universities/universidad-nacional-aut%C3%B3noma-de-m%C3%A9xico-unam" TargetMode="External"/><Relationship Id="rId52" Type="http://schemas.openxmlformats.org/officeDocument/2006/relationships/hyperlink" Target="http://www.topuniversities.com/universities/instituto-tecnol%C3%B3gico-autonomo-de-m%C3%A9xico-itam" TargetMode="External"/><Relationship Id="rId60" Type="http://schemas.openxmlformats.org/officeDocument/2006/relationships/hyperlink" Target="http://www.topuniversities.com/universities/universidad-aut%C3%B3noma-metropolitana-uam" TargetMode="External"/><Relationship Id="rId65" Type="http://schemas.openxmlformats.org/officeDocument/2006/relationships/hyperlink" Target="http://www.topuniversities.com/university-rankings/world-university-rankings/2012" TargetMode="External"/><Relationship Id="rId73" Type="http://schemas.openxmlformats.org/officeDocument/2006/relationships/hyperlink" Target="http://www.topuniversities.com/universities/universidad-panamericana" TargetMode="External"/><Relationship Id="rId78" Type="http://schemas.openxmlformats.org/officeDocument/2006/relationships/hyperlink" Target="http://www.topuniversities.com/universities/instituto-tecnol%C3%B3gico-aut%C3%B3nomo-de-m%C3%A9xico-itam" TargetMode="External"/><Relationship Id="rId81" Type="http://schemas.openxmlformats.org/officeDocument/2006/relationships/hyperlink" Target="http://www.topuniversities.com/universities/benem%C3%A9rita-universidad-aut%C3%B3noma-de-puebla" TargetMode="External"/><Relationship Id="rId86" Type="http://schemas.openxmlformats.org/officeDocument/2006/relationships/hyperlink" Target="http://www.topuniversities.com/universities/instituto-polit%C3%A9cnico-nacional-ipn" TargetMode="External"/><Relationship Id="rId94" Type="http://schemas.openxmlformats.org/officeDocument/2006/relationships/hyperlink" Target="http://www.topuniversities.com/universities/universidad-anahuac" TargetMode="External"/><Relationship Id="rId99" Type="http://schemas.openxmlformats.org/officeDocument/2006/relationships/hyperlink" Target="http://www.topuniversities.com/universities/instituto-tecnol%C3%B3gico-y-de-estudios-superiores-de-monterrey" TargetMode="External"/><Relationship Id="rId101" Type="http://schemas.openxmlformats.org/officeDocument/2006/relationships/hyperlink" Target="http://www.topuniversities.com/universities/universidad-panamericana" TargetMode="External"/><Relationship Id="rId4" Type="http://schemas.openxmlformats.org/officeDocument/2006/relationships/hyperlink" Target="http://www.topuniversities.com/universities/universidad-nacional-aut%C3%B3noma-de-m%C3%A9xico-unam" TargetMode="External"/><Relationship Id="rId9" Type="http://schemas.openxmlformats.org/officeDocument/2006/relationships/hyperlink" Target="http://www.topuniversities.com/universities/universidad-de-guadalajara-udg" TargetMode="External"/><Relationship Id="rId13" Type="http://schemas.openxmlformats.org/officeDocument/2006/relationships/hyperlink" Target="http://www.topuniversities.com/universities/universidad-autonoma-de-nuevo-leon-uanl" TargetMode="External"/><Relationship Id="rId18" Type="http://schemas.openxmlformats.org/officeDocument/2006/relationships/hyperlink" Target="http://www.topuniversities.com/universities/universidad-de-las-am%C3%A9ricas-puebla-udlap/undergrad" TargetMode="External"/><Relationship Id="rId39" Type="http://schemas.openxmlformats.org/officeDocument/2006/relationships/hyperlink" Target="http://www.topuniversities.com/universities/universidad-autonoma-de-nuevo-leon-uanl/undergrad" TargetMode="External"/><Relationship Id="rId34" Type="http://schemas.openxmlformats.org/officeDocument/2006/relationships/hyperlink" Target="http://www.topuniversities.com/universities/universidad-panamericana/undergrad-0" TargetMode="External"/><Relationship Id="rId50" Type="http://schemas.openxmlformats.org/officeDocument/2006/relationships/hyperlink" Target="http://www.topuniversities.com/universities/universidad-aut%C3%B3noma-metropolitana-uam" TargetMode="External"/><Relationship Id="rId55" Type="http://schemas.openxmlformats.org/officeDocument/2006/relationships/hyperlink" Target="http://www.topuniversities.com/universities/tecnol%C3%B3gico-de-monterrey-itesm" TargetMode="External"/><Relationship Id="rId76" Type="http://schemas.openxmlformats.org/officeDocument/2006/relationships/hyperlink" Target="http://www.topuniversities.com/universities/universidad-nacional-aut%C3%B3noma-de-m%C3%A9xico-unam" TargetMode="External"/><Relationship Id="rId97" Type="http://schemas.openxmlformats.org/officeDocument/2006/relationships/hyperlink" Target="http://www.topuniversities.com/universities/universidad-anahuac" TargetMode="External"/><Relationship Id="rId104" Type="http://schemas.openxmlformats.org/officeDocument/2006/relationships/hyperlink" Target="http://www.topuniversities.com/universities/universidad-de-las-am%C3%A9ricas-puebla-udlap/undergrad" TargetMode="External"/><Relationship Id="rId7" Type="http://schemas.openxmlformats.org/officeDocument/2006/relationships/hyperlink" Target="http://www.topuniversities.com/universities/instituto-polit%C3%A9cnico-nacional-ipn" TargetMode="External"/><Relationship Id="rId71" Type="http://schemas.openxmlformats.org/officeDocument/2006/relationships/hyperlink" Target="http://www.topuniversities.com/universities/instituto-polit%C3%A9cnico-nacional-ipn" TargetMode="External"/><Relationship Id="rId92" Type="http://schemas.openxmlformats.org/officeDocument/2006/relationships/hyperlink" Target="http://www.topuniversities.com/universities/instituto-tecnol%C3%B3gico-y-de-estudios-superiores-de-monterrey" TargetMode="External"/><Relationship Id="rId2" Type="http://schemas.openxmlformats.org/officeDocument/2006/relationships/hyperlink" Target="http://www.topuniversities.com/universities/universidad-aut%C3%B3noma-metropolitana-uam/undergrad" TargetMode="External"/><Relationship Id="rId29" Type="http://schemas.openxmlformats.org/officeDocument/2006/relationships/hyperlink" Target="http://www.topuniversities.com/universities/universidad-de-monterrey-udem" TargetMode="External"/><Relationship Id="rId24" Type="http://schemas.openxmlformats.org/officeDocument/2006/relationships/hyperlink" Target="http://www.topuniversities.com/universities/universidad-de-guadalajara-udg" TargetMode="External"/><Relationship Id="rId40" Type="http://schemas.openxmlformats.org/officeDocument/2006/relationships/hyperlink" Target="http://www.topuniversities.com/universities/universidad-aut%C3%B3noma-del-estado-de-mexico-uaemex/undergrad" TargetMode="External"/><Relationship Id="rId45" Type="http://schemas.openxmlformats.org/officeDocument/2006/relationships/hyperlink" Target="http://www.topuniversities.com/universities/tecnol%C3%B3gico-de-monterrey-itesm" TargetMode="External"/><Relationship Id="rId66" Type="http://schemas.openxmlformats.org/officeDocument/2006/relationships/hyperlink" Target="http://www.topuniversities.com/university-rankings/world-university-rankings/2013" TargetMode="External"/><Relationship Id="rId87" Type="http://schemas.openxmlformats.org/officeDocument/2006/relationships/hyperlink" Target="http://www.topuniversities.com/universities/universidad-de-guadalajara-udg" TargetMode="External"/><Relationship Id="rId61" Type="http://schemas.openxmlformats.org/officeDocument/2006/relationships/hyperlink" Target="http://www.topuniversities.com/universities/universidad-aut%C3%B3noma-del-estado-de-m%C3%A9xico-1" TargetMode="External"/><Relationship Id="rId82" Type="http://schemas.openxmlformats.org/officeDocument/2006/relationships/hyperlink" Target="https://www.topuniversities.com/university-rankings/world-university-rankings/2019" TargetMode="External"/><Relationship Id="rId19" Type="http://schemas.openxmlformats.org/officeDocument/2006/relationships/hyperlink" Target="http://www.topuniversities.com/universities/universidad-nacional-aut%C3%B3noma-de-m%C3%A9xico-unam" TargetMode="External"/><Relationship Id="rId14" Type="http://schemas.openxmlformats.org/officeDocument/2006/relationships/hyperlink" Target="http://www.topuniversities.com/universities/universidad-de-monterrey-udem" TargetMode="External"/><Relationship Id="rId30" Type="http://schemas.openxmlformats.org/officeDocument/2006/relationships/hyperlink" Target="http://www.topuniversities.com/universities/universidad-nacional-aut%C3%B3noma-de-mexico-unam/undergrad" TargetMode="External"/><Relationship Id="rId35" Type="http://schemas.openxmlformats.org/officeDocument/2006/relationships/hyperlink" Target="http://www.topuniversities.com/universities/universidad-anahuac/undergrad" TargetMode="External"/><Relationship Id="rId56" Type="http://schemas.openxmlformats.org/officeDocument/2006/relationships/hyperlink" Target="http://www.topuniversities.com/universities/universidad-de-guadalajara-udg" TargetMode="External"/><Relationship Id="rId77" Type="http://schemas.openxmlformats.org/officeDocument/2006/relationships/hyperlink" Target="http://www.topuniversities.com/universities/instituto-tecnol%C3%B3gico-y-de-estudios-superiores-de-monterrey" TargetMode="External"/><Relationship Id="rId100" Type="http://schemas.openxmlformats.org/officeDocument/2006/relationships/hyperlink" Target="http://www.topuniversities.com/universities/universidad-nacional-aut%C3%B3noma-de-m%C3%A9xico-unam" TargetMode="External"/><Relationship Id="rId105" Type="http://schemas.openxmlformats.org/officeDocument/2006/relationships/hyperlink" Target="http://www.topuniversities.com/universities/universidad-aut%C3%B3noma-metropolitana-uam/undergrad" TargetMode="External"/><Relationship Id="rId8" Type="http://schemas.openxmlformats.org/officeDocument/2006/relationships/hyperlink" Target="http://www.topuniversities.com/universities/universidad-anahuac" TargetMode="External"/><Relationship Id="rId51" Type="http://schemas.openxmlformats.org/officeDocument/2006/relationships/hyperlink" Target="http://www.topuniversities.com/universities/universidad-aut%C3%B3noma-del-estado-de-m%C3%A9xico-1" TargetMode="External"/><Relationship Id="rId72" Type="http://schemas.openxmlformats.org/officeDocument/2006/relationships/hyperlink" Target="http://www.topuniversities.com/universities/universidad-de-guadalajara-udg" TargetMode="External"/><Relationship Id="rId93" Type="http://schemas.openxmlformats.org/officeDocument/2006/relationships/hyperlink" Target="http://www.topuniversities.com/universities/instituto-tecnol%C3%B3gico-aut%C3%B3nomo-de-m%C3%A9xico-itam" TargetMode="External"/><Relationship Id="rId98" Type="http://schemas.openxmlformats.org/officeDocument/2006/relationships/hyperlink" Target="http://www.topuniversities.com/universities/instituto-tecnol%C3%B3gico-aut%C3%B3nomo-de-m%C3%A9xico-itam" TargetMode="External"/><Relationship Id="rId3" Type="http://schemas.openxmlformats.org/officeDocument/2006/relationships/hyperlink" Target="http://www.topuniversities.com/universities/universidad-de-las-am%C3%A9ricas-puebla-udlap/undergrad" TargetMode="External"/><Relationship Id="rId25" Type="http://schemas.openxmlformats.org/officeDocument/2006/relationships/hyperlink" Target="http://www.topuniversities.com/universities/universidad-iberoamericana-uia" TargetMode="External"/><Relationship Id="rId46" Type="http://schemas.openxmlformats.org/officeDocument/2006/relationships/hyperlink" Target="http://www.topuniversities.com/universities/universidad-de-guadalajara-udg" TargetMode="External"/><Relationship Id="rId67" Type="http://schemas.openxmlformats.org/officeDocument/2006/relationships/hyperlink" Target="http://www.topuniversities.com/university-rankings/world-university-rankings/2015?utm_source=tu_house&amp;utm_medium=web_banner&amp;utm_campaign=WUR-2015"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zoomScaleNormal="100" workbookViewId="0">
      <selection activeCell="O18" sqref="O18"/>
    </sheetView>
  </sheetViews>
  <sheetFormatPr baseColWidth="10" defaultRowHeight="14.4"/>
  <sheetData/>
  <sheetProtection algorithmName="SHA-512" hashValue="8RyAw/5IijDNXY6lAYAWJxwiuyNsLkjiyRkAr8tPRhfLb16z/rfGoguIyPOrzziAwFHiuhfYBZHyGho9xdVp1A==" saltValue="4wMGWC+Ymi3JQXA0qyPTvw==" spinCount="100000" sheet="1" objects="1" scenarios="1"/>
  <printOptions horizontalCentered="1" verticalCentered="1"/>
  <pageMargins left="0.39370078740157483" right="0.39370078740157483" top="0.74803149606299213" bottom="0.74803149606299213" header="0.31496062992125984" footer="0.31496062992125984"/>
  <pageSetup scale="96" orientation="landscape"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B1:N36"/>
  <sheetViews>
    <sheetView showGridLines="0" zoomScale="110" zoomScaleNormal="110" workbookViewId="0">
      <pane xSplit="2" ySplit="4" topLeftCell="J5" activePane="bottomRight" state="frozen"/>
      <selection activeCell="N82" sqref="N82"/>
      <selection pane="topRight" activeCell="N82" sqref="N82"/>
      <selection pane="bottomLeft" activeCell="N82" sqref="N82"/>
      <selection pane="bottomRight" activeCell="L50" sqref="L50"/>
    </sheetView>
  </sheetViews>
  <sheetFormatPr baseColWidth="10" defaultRowHeight="14.4"/>
  <cols>
    <col min="1" max="1" width="2.77734375" customWidth="1"/>
    <col min="2" max="2" width="67" customWidth="1"/>
  </cols>
  <sheetData>
    <row r="1" spans="2:13" ht="15.6">
      <c r="B1" s="234" t="s">
        <v>2739</v>
      </c>
    </row>
    <row r="2" spans="2:13">
      <c r="B2" s="445" t="s">
        <v>824</v>
      </c>
    </row>
    <row r="4" spans="2:13" ht="15" thickBot="1">
      <c r="B4" s="2560" t="s">
        <v>2728</v>
      </c>
      <c r="C4" s="2561">
        <v>2010</v>
      </c>
      <c r="D4" s="2561">
        <v>2011</v>
      </c>
      <c r="E4" s="2561">
        <v>2012</v>
      </c>
      <c r="F4" s="2561">
        <v>2013</v>
      </c>
      <c r="G4" s="2561">
        <v>2014</v>
      </c>
      <c r="H4" s="2561">
        <v>2015</v>
      </c>
      <c r="I4" s="2561">
        <v>2016</v>
      </c>
      <c r="J4" s="2561">
        <v>2017</v>
      </c>
      <c r="K4" s="2561">
        <v>2018</v>
      </c>
      <c r="L4" s="2556">
        <v>2019</v>
      </c>
      <c r="M4" s="2556" t="s">
        <v>3862</v>
      </c>
    </row>
    <row r="5" spans="2:13">
      <c r="B5" s="2988" t="s">
        <v>103</v>
      </c>
      <c r="C5" s="2959">
        <v>0.46666666666666667</v>
      </c>
      <c r="D5" s="2960">
        <v>0.76923076923076927</v>
      </c>
      <c r="E5" s="2961">
        <v>0.875</v>
      </c>
      <c r="F5" s="2962">
        <v>0.6875</v>
      </c>
      <c r="G5" s="2963">
        <v>0.89473684210526316</v>
      </c>
      <c r="H5" s="2963">
        <v>0.72222222222222221</v>
      </c>
      <c r="I5" s="2963">
        <v>0.8571428571428571</v>
      </c>
      <c r="J5" s="2963">
        <v>0.95</v>
      </c>
      <c r="K5" s="2964">
        <v>0.9</v>
      </c>
      <c r="L5" s="2964">
        <v>0.92859999999999998</v>
      </c>
      <c r="M5" s="2964">
        <v>0</v>
      </c>
    </row>
    <row r="6" spans="2:13">
      <c r="B6" s="2989" t="s">
        <v>416</v>
      </c>
      <c r="C6" s="2965"/>
      <c r="D6" s="2966">
        <v>0.63636363636363635</v>
      </c>
      <c r="E6" s="2967">
        <v>0.8</v>
      </c>
      <c r="F6" s="2968"/>
      <c r="G6" s="2969">
        <v>0.4</v>
      </c>
      <c r="H6" s="2969"/>
      <c r="I6" s="2969">
        <v>0.55555555555555558</v>
      </c>
      <c r="J6" s="2969"/>
      <c r="K6" s="2970"/>
      <c r="L6" s="2970"/>
      <c r="M6" s="2970">
        <v>0.8571428571428571</v>
      </c>
    </row>
    <row r="7" spans="2:13">
      <c r="B7" s="2990" t="s">
        <v>119</v>
      </c>
      <c r="C7" s="2965"/>
      <c r="D7" s="2971"/>
      <c r="E7" s="2969"/>
      <c r="F7" s="2968"/>
      <c r="G7" s="2972">
        <v>0.72413793103448276</v>
      </c>
      <c r="H7" s="2972"/>
      <c r="I7" s="2972"/>
      <c r="J7" s="2972"/>
      <c r="K7" s="2973"/>
      <c r="L7" s="2973"/>
      <c r="M7" s="2970">
        <v>0.25</v>
      </c>
    </row>
    <row r="8" spans="2:13">
      <c r="B8" s="2991" t="s">
        <v>545</v>
      </c>
      <c r="C8" s="2974">
        <v>0.46666666666666667</v>
      </c>
      <c r="D8" s="2975">
        <v>0.70833333333333337</v>
      </c>
      <c r="E8" s="2967"/>
      <c r="F8" s="2976">
        <v>0.6470588235294118</v>
      </c>
      <c r="G8" s="2972"/>
      <c r="H8" s="2972">
        <v>0.72222222222222221</v>
      </c>
      <c r="I8" s="2972">
        <v>0.76666666666666672</v>
      </c>
      <c r="J8" s="2972">
        <v>0.95</v>
      </c>
      <c r="K8" s="2973">
        <v>0.9</v>
      </c>
      <c r="L8" s="2973">
        <v>0.92859999999999998</v>
      </c>
      <c r="M8" s="2973">
        <v>0.25806451612903225</v>
      </c>
    </row>
    <row r="9" spans="2:13">
      <c r="B9" s="2990" t="s">
        <v>105</v>
      </c>
      <c r="C9" s="2977">
        <v>0.44</v>
      </c>
      <c r="D9" s="2966">
        <v>0.43055555555555558</v>
      </c>
      <c r="E9" s="2969"/>
      <c r="F9" s="2978">
        <v>0.39473684210526316</v>
      </c>
      <c r="G9" s="2965"/>
      <c r="H9" s="2965"/>
      <c r="I9" s="2965"/>
      <c r="J9" s="2965"/>
      <c r="K9" s="2979"/>
      <c r="L9" s="2979"/>
      <c r="M9" s="2979"/>
    </row>
    <row r="10" spans="2:13" s="2481" customFormat="1">
      <c r="B10" s="2990" t="s">
        <v>847</v>
      </c>
      <c r="C10" s="2977"/>
      <c r="D10" s="2966"/>
      <c r="E10" s="2969"/>
      <c r="F10" s="2978"/>
      <c r="G10" s="2965"/>
      <c r="H10" s="2965"/>
      <c r="I10" s="2965"/>
      <c r="J10" s="2965"/>
      <c r="K10" s="2979">
        <v>0.4</v>
      </c>
      <c r="L10" s="2979">
        <v>0.66669999999999996</v>
      </c>
      <c r="M10" s="2979"/>
    </row>
    <row r="11" spans="2:13">
      <c r="B11" s="2992" t="s">
        <v>1637</v>
      </c>
      <c r="C11" s="2977"/>
      <c r="D11" s="2966"/>
      <c r="E11" s="2969"/>
      <c r="F11" s="2978"/>
      <c r="G11" s="2965"/>
      <c r="H11" s="2965">
        <v>0</v>
      </c>
      <c r="I11" s="2965"/>
      <c r="J11" s="2965">
        <v>0.8</v>
      </c>
      <c r="K11" s="2979">
        <v>0</v>
      </c>
      <c r="L11" s="2979">
        <v>1</v>
      </c>
      <c r="M11" s="2979"/>
    </row>
    <row r="12" spans="2:13">
      <c r="B12" s="2991" t="s">
        <v>546</v>
      </c>
      <c r="C12" s="2974">
        <v>0.44</v>
      </c>
      <c r="D12" s="2975">
        <v>0.43055555555555558</v>
      </c>
      <c r="E12" s="2967"/>
      <c r="F12" s="2976">
        <v>0.39473684210526316</v>
      </c>
      <c r="G12" s="2972"/>
      <c r="H12" s="2972">
        <v>0</v>
      </c>
      <c r="I12" s="2972"/>
      <c r="J12" s="2972">
        <v>0.8</v>
      </c>
      <c r="K12" s="2973">
        <v>0.15384615384615385</v>
      </c>
      <c r="L12" s="2973">
        <v>0.84615384615384615</v>
      </c>
      <c r="M12" s="2973"/>
    </row>
    <row r="13" spans="2:13">
      <c r="B13" s="3001" t="s">
        <v>106</v>
      </c>
      <c r="C13" s="3002">
        <v>0.44615384615384618</v>
      </c>
      <c r="D13" s="3003">
        <v>0.5</v>
      </c>
      <c r="E13" s="3004">
        <v>0.84615384615384615</v>
      </c>
      <c r="F13" s="3005">
        <v>0.44086021505376344</v>
      </c>
      <c r="G13" s="3006">
        <v>0.72413793103448276</v>
      </c>
      <c r="H13" s="3006">
        <v>0</v>
      </c>
      <c r="I13" s="3006">
        <v>0.76666666666666672</v>
      </c>
      <c r="J13" s="3006">
        <v>0.9</v>
      </c>
      <c r="K13" s="3007">
        <v>0.60606060606060608</v>
      </c>
      <c r="L13" s="3007">
        <v>0.88888888888888884</v>
      </c>
      <c r="M13" s="3007">
        <v>0.25806451612903225</v>
      </c>
    </row>
    <row r="14" spans="2:13">
      <c r="B14" s="2994" t="s">
        <v>2532</v>
      </c>
      <c r="C14" s="2995"/>
      <c r="D14" s="2996"/>
      <c r="E14" s="2997"/>
      <c r="F14" s="2998"/>
      <c r="G14" s="2999"/>
      <c r="H14" s="2999"/>
      <c r="I14" s="2999"/>
      <c r="J14" s="2999"/>
      <c r="K14" s="3000"/>
      <c r="L14" s="3000">
        <v>0</v>
      </c>
      <c r="M14" s="3000"/>
    </row>
    <row r="15" spans="2:13">
      <c r="B15" s="2991" t="s">
        <v>544</v>
      </c>
      <c r="C15" s="2974"/>
      <c r="D15" s="2975"/>
      <c r="E15" s="2967"/>
      <c r="F15" s="2976"/>
      <c r="G15" s="2972"/>
      <c r="H15" s="2972"/>
      <c r="I15" s="2972"/>
      <c r="J15" s="2972"/>
      <c r="K15" s="2973"/>
      <c r="L15" s="2973">
        <v>0</v>
      </c>
      <c r="M15" s="2973"/>
    </row>
    <row r="16" spans="2:13">
      <c r="B16" s="2989" t="s">
        <v>107</v>
      </c>
      <c r="C16" s="2977">
        <v>0.12931034482758599</v>
      </c>
      <c r="D16" s="2966">
        <v>0.36263736263736263</v>
      </c>
      <c r="E16" s="2980">
        <v>0.72222222222222221</v>
      </c>
      <c r="F16" s="2981">
        <v>1</v>
      </c>
      <c r="G16" s="2969">
        <v>0.69696969696969702</v>
      </c>
      <c r="H16" s="2969">
        <v>0.39393939393939392</v>
      </c>
      <c r="I16" s="2969">
        <v>0.82456140350877194</v>
      </c>
      <c r="J16" s="2969">
        <v>1</v>
      </c>
      <c r="K16" s="2970">
        <v>0.85245901639344257</v>
      </c>
      <c r="L16" s="2970">
        <v>0.72729999999999995</v>
      </c>
      <c r="M16" s="2970">
        <v>0.92592592592592593</v>
      </c>
    </row>
    <row r="17" spans="2:13">
      <c r="B17" s="2991" t="s">
        <v>545</v>
      </c>
      <c r="C17" s="2974">
        <v>0.12931034482758622</v>
      </c>
      <c r="D17" s="2975">
        <v>0.36263736263736263</v>
      </c>
      <c r="E17" s="2967">
        <v>0.72222222222222221</v>
      </c>
      <c r="F17" s="2976">
        <v>1</v>
      </c>
      <c r="G17" s="2972">
        <v>0.69696969696969702</v>
      </c>
      <c r="H17" s="2972">
        <v>1</v>
      </c>
      <c r="I17" s="2972">
        <v>0.82456140350877194</v>
      </c>
      <c r="J17" s="2972">
        <v>1</v>
      </c>
      <c r="K17" s="2973">
        <v>0.85245901639344257</v>
      </c>
      <c r="L17" s="2973">
        <v>0.72729999999999995</v>
      </c>
      <c r="M17" s="2973">
        <v>0.92592592592592593</v>
      </c>
    </row>
    <row r="18" spans="2:13">
      <c r="B18" s="2989" t="s">
        <v>108</v>
      </c>
      <c r="C18" s="2977">
        <v>0.88235294117647056</v>
      </c>
      <c r="D18" s="2966">
        <v>0.7142857142857143</v>
      </c>
      <c r="E18" s="2980">
        <v>0.625</v>
      </c>
      <c r="F18" s="2978">
        <v>0.64</v>
      </c>
      <c r="G18" s="2969">
        <v>0.46153846153846156</v>
      </c>
      <c r="H18" s="2969">
        <v>0.5</v>
      </c>
      <c r="I18" s="2969">
        <v>0.27777777777777779</v>
      </c>
      <c r="J18" s="2969">
        <v>0.41666666666666669</v>
      </c>
      <c r="K18" s="2970">
        <v>0.22222222222222221</v>
      </c>
      <c r="L18" s="2970">
        <v>0.2</v>
      </c>
      <c r="M18" s="2970">
        <v>0.16666666666666666</v>
      </c>
    </row>
    <row r="19" spans="2:13">
      <c r="B19" s="2989" t="s">
        <v>590</v>
      </c>
      <c r="C19" s="2977">
        <v>0</v>
      </c>
      <c r="D19" s="2966">
        <v>0</v>
      </c>
      <c r="E19" s="2980">
        <v>0</v>
      </c>
      <c r="F19" s="2981">
        <v>0</v>
      </c>
      <c r="G19" s="2969">
        <v>0.36363636363636365</v>
      </c>
      <c r="H19" s="2969">
        <v>0.125</v>
      </c>
      <c r="I19" s="2969"/>
      <c r="J19" s="2969"/>
      <c r="K19" s="2970">
        <v>1</v>
      </c>
      <c r="L19" s="2970">
        <v>0</v>
      </c>
      <c r="M19" s="2970"/>
    </row>
    <row r="20" spans="2:13">
      <c r="B20" s="2991" t="s">
        <v>547</v>
      </c>
      <c r="C20" s="2974">
        <v>0.65217391304347827</v>
      </c>
      <c r="D20" s="2975">
        <v>0.64</v>
      </c>
      <c r="E20" s="2967">
        <v>0.42857142857142855</v>
      </c>
      <c r="F20" s="2976">
        <v>0.44444444444444442</v>
      </c>
      <c r="G20" s="2972">
        <v>0.41666666666666669</v>
      </c>
      <c r="H20" s="2972">
        <v>0.38461538461538464</v>
      </c>
      <c r="I20" s="2972">
        <v>0.27777777777777779</v>
      </c>
      <c r="J20" s="2972">
        <v>0.41666666666666669</v>
      </c>
      <c r="K20" s="2973">
        <v>0.5</v>
      </c>
      <c r="L20" s="2973">
        <v>0.1111</v>
      </c>
      <c r="M20" s="2973">
        <v>0.16666666666666666</v>
      </c>
    </row>
    <row r="21" spans="2:13">
      <c r="B21" s="3001" t="s">
        <v>110</v>
      </c>
      <c r="C21" s="3002">
        <v>0.21582733812949639</v>
      </c>
      <c r="D21" s="3003">
        <v>0.41379310344827586</v>
      </c>
      <c r="E21" s="3004">
        <v>0.62616822429906538</v>
      </c>
      <c r="F21" s="3011">
        <v>0.60784313725490191</v>
      </c>
      <c r="G21" s="3006">
        <v>0.56140350877192979</v>
      </c>
      <c r="H21" s="3006">
        <v>0.6097560975609756</v>
      </c>
      <c r="I21" s="3006">
        <v>0.69333333333333336</v>
      </c>
      <c r="J21" s="3006">
        <v>0.70833333333333337</v>
      </c>
      <c r="K21" s="3007">
        <v>0.78666666666666663</v>
      </c>
      <c r="L21" s="3007">
        <v>0.640625</v>
      </c>
      <c r="M21" s="3007">
        <v>0.78787878787878785</v>
      </c>
    </row>
    <row r="22" spans="2:13">
      <c r="B22" s="3008" t="s">
        <v>134</v>
      </c>
      <c r="C22" s="3009"/>
      <c r="D22" s="2996">
        <v>0.89473684210526316</v>
      </c>
      <c r="E22" s="2997"/>
      <c r="F22" s="3010"/>
      <c r="G22" s="2999"/>
      <c r="H22" s="2999"/>
      <c r="I22" s="2999"/>
      <c r="J22" s="2999"/>
      <c r="K22" s="3000"/>
      <c r="L22" s="3000"/>
      <c r="M22" s="3000"/>
    </row>
    <row r="23" spans="2:13">
      <c r="B23" s="2989" t="s">
        <v>111</v>
      </c>
      <c r="C23" s="2977">
        <v>0.84782608695652173</v>
      </c>
      <c r="D23" s="2968"/>
      <c r="E23" s="2980">
        <v>0</v>
      </c>
      <c r="F23" s="2968"/>
      <c r="G23" s="2969">
        <v>0.77142857142857146</v>
      </c>
      <c r="H23" s="2969"/>
      <c r="I23" s="2969">
        <v>0</v>
      </c>
      <c r="J23" s="2969"/>
      <c r="K23" s="2970">
        <v>0.6875</v>
      </c>
      <c r="L23" s="2970"/>
      <c r="M23" s="2970">
        <v>0</v>
      </c>
    </row>
    <row r="24" spans="2:13">
      <c r="B24" s="2991" t="s">
        <v>545</v>
      </c>
      <c r="C24" s="2974">
        <v>0.84782608695652173</v>
      </c>
      <c r="D24" s="2975">
        <v>0.89473684210526316</v>
      </c>
      <c r="E24" s="2967">
        <v>0</v>
      </c>
      <c r="F24" s="2976"/>
      <c r="G24" s="2972">
        <v>0.77142857142857146</v>
      </c>
      <c r="H24" s="2972"/>
      <c r="I24" s="2972">
        <v>0</v>
      </c>
      <c r="J24" s="2972"/>
      <c r="K24" s="2973">
        <v>0.6875</v>
      </c>
      <c r="L24" s="2973"/>
      <c r="M24" s="2973">
        <v>0</v>
      </c>
    </row>
    <row r="25" spans="2:13">
      <c r="B25" s="2989" t="s">
        <v>112</v>
      </c>
      <c r="C25" s="2977">
        <v>0.625</v>
      </c>
      <c r="D25" s="2966">
        <v>0</v>
      </c>
      <c r="E25" s="2980">
        <v>0.66666666666666663</v>
      </c>
      <c r="F25" s="2968"/>
      <c r="G25" s="2969">
        <v>0.75</v>
      </c>
      <c r="H25" s="2969"/>
      <c r="I25" s="2969"/>
      <c r="J25" s="2969"/>
      <c r="K25" s="2970"/>
      <c r="L25" s="2970"/>
      <c r="M25" s="2970"/>
    </row>
    <row r="26" spans="2:13">
      <c r="B26" s="2989" t="s">
        <v>138</v>
      </c>
      <c r="C26" s="2977">
        <v>0</v>
      </c>
      <c r="D26" s="2968"/>
      <c r="E26" s="2980">
        <v>0</v>
      </c>
      <c r="F26" s="2968"/>
      <c r="G26" s="2969">
        <v>0</v>
      </c>
      <c r="H26" s="2969"/>
      <c r="I26" s="2969">
        <v>0.25</v>
      </c>
      <c r="J26" s="2969"/>
      <c r="K26" s="2970"/>
      <c r="L26" s="2970"/>
      <c r="M26" s="2970"/>
    </row>
    <row r="27" spans="2:13">
      <c r="B27" s="2991" t="s">
        <v>547</v>
      </c>
      <c r="C27" s="2974">
        <v>0.23809523809523808</v>
      </c>
      <c r="D27" s="2975">
        <v>0</v>
      </c>
      <c r="E27" s="2967">
        <v>0.25</v>
      </c>
      <c r="F27" s="2976"/>
      <c r="G27" s="2972">
        <v>0.39130434782608697</v>
      </c>
      <c r="H27" s="2972"/>
      <c r="I27" s="2972">
        <v>0.25</v>
      </c>
      <c r="J27" s="2972"/>
      <c r="K27" s="2973"/>
      <c r="L27" s="2973"/>
      <c r="M27" s="2973"/>
    </row>
    <row r="28" spans="2:13">
      <c r="B28" s="3001" t="s">
        <v>442</v>
      </c>
      <c r="C28" s="3002">
        <v>0.65671641791044777</v>
      </c>
      <c r="D28" s="3003">
        <v>0.70833333333333337</v>
      </c>
      <c r="E28" s="3004">
        <v>0.11428571428571428</v>
      </c>
      <c r="F28" s="3005"/>
      <c r="G28" s="3006">
        <v>0.62068965517241381</v>
      </c>
      <c r="H28" s="3006"/>
      <c r="I28" s="3006">
        <v>6.25E-2</v>
      </c>
      <c r="J28" s="3006"/>
      <c r="K28" s="3007">
        <v>0.6875</v>
      </c>
      <c r="L28" s="3007"/>
      <c r="M28" s="3007">
        <v>0</v>
      </c>
    </row>
    <row r="29" spans="2:13">
      <c r="B29" s="2994" t="s">
        <v>671</v>
      </c>
      <c r="C29" s="3009"/>
      <c r="D29" s="3010"/>
      <c r="E29" s="2999"/>
      <c r="F29" s="2998">
        <v>0.66666666666666663</v>
      </c>
      <c r="G29" s="2999">
        <v>0.5</v>
      </c>
      <c r="H29" s="2999">
        <v>0.5</v>
      </c>
      <c r="I29" s="2999">
        <v>0.2857142857142857</v>
      </c>
      <c r="J29" s="2999">
        <v>0.2</v>
      </c>
      <c r="K29" s="3000">
        <v>0</v>
      </c>
      <c r="L29" s="3000">
        <v>1</v>
      </c>
      <c r="M29" s="3000"/>
    </row>
    <row r="30" spans="2:13">
      <c r="B30" s="2993" t="s">
        <v>549</v>
      </c>
      <c r="C30" s="2982"/>
      <c r="D30" s="2983"/>
      <c r="E30" s="2984"/>
      <c r="F30" s="2985">
        <v>0.66666666666666663</v>
      </c>
      <c r="G30" s="2986">
        <v>0.5</v>
      </c>
      <c r="H30" s="2986">
        <v>0.5</v>
      </c>
      <c r="I30" s="2986">
        <v>0.2857142857142857</v>
      </c>
      <c r="J30" s="2986">
        <v>0.2</v>
      </c>
      <c r="K30" s="2987">
        <v>0</v>
      </c>
      <c r="L30" s="2987">
        <v>1</v>
      </c>
      <c r="M30" s="2987"/>
    </row>
    <row r="31" spans="2:13">
      <c r="B31" s="2897" t="s">
        <v>260</v>
      </c>
      <c r="C31" s="2562"/>
      <c r="D31" s="2563"/>
      <c r="E31" s="2564"/>
      <c r="F31" s="2565">
        <v>0.66666666666666663</v>
      </c>
      <c r="G31" s="2566">
        <v>0.5</v>
      </c>
      <c r="H31" s="2566">
        <v>0.5</v>
      </c>
      <c r="I31" s="2566">
        <v>0.2857142857142857</v>
      </c>
      <c r="J31" s="2566">
        <v>0.2</v>
      </c>
      <c r="K31" s="2567">
        <v>0</v>
      </c>
      <c r="L31" s="2567">
        <v>1</v>
      </c>
      <c r="M31" s="2567"/>
    </row>
    <row r="32" spans="2:13" s="2549" customFormat="1">
      <c r="L32" s="3359"/>
      <c r="M32" s="5442"/>
    </row>
    <row r="33" spans="2:14">
      <c r="B33" s="2896" t="s">
        <v>842</v>
      </c>
      <c r="C33" s="2562">
        <v>0.38007380073800739</v>
      </c>
      <c r="D33" s="2563">
        <v>0.4788135593220339</v>
      </c>
      <c r="E33" s="2564">
        <v>0.47783251231527096</v>
      </c>
      <c r="F33" s="2568">
        <v>0.50340136054421769</v>
      </c>
      <c r="G33" s="2566">
        <v>0.61643835616438358</v>
      </c>
      <c r="H33" s="2566">
        <v>0.51282051282051277</v>
      </c>
      <c r="I33" s="2566">
        <v>0.5</v>
      </c>
      <c r="J33" s="2566">
        <v>0.76271186440677963</v>
      </c>
      <c r="K33" s="2567">
        <v>0.70629370629370625</v>
      </c>
      <c r="L33" s="3007">
        <v>0.72043010752688175</v>
      </c>
      <c r="M33" s="3007">
        <v>0.40476190476190477</v>
      </c>
    </row>
    <row r="34" spans="2:14" ht="14.4" customHeight="1">
      <c r="L34" s="5657" t="s">
        <v>3861</v>
      </c>
      <c r="M34" s="5657"/>
    </row>
    <row r="35" spans="2:14" ht="14.4" customHeight="1">
      <c r="L35" s="5658"/>
      <c r="M35" s="5658"/>
      <c r="N35" s="4789"/>
    </row>
    <row r="36" spans="2:14">
      <c r="B36" s="42" t="s">
        <v>2569</v>
      </c>
      <c r="M36" s="4789"/>
      <c r="N36" s="4789"/>
    </row>
  </sheetData>
  <sheetProtection algorithmName="SHA-512" hashValue="qmeBH2vFV5DjrL+hV72GekC84ptiqxT5OwLls5w7Nri6nTH/bgOgxxPc1u8gtFVQJbLZo2p/qj8lE1yhkFpLDw==" saltValue="ioYsMGyGV1LVWWHaIuor7A==" spinCount="100000" sheet="1" objects="1" scenarios="1"/>
  <mergeCells count="1">
    <mergeCell ref="L34:M3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499984740745262"/>
  </sheetPr>
  <dimension ref="B1:N93"/>
  <sheetViews>
    <sheetView showGridLines="0" zoomScale="110" zoomScaleNormal="110" workbookViewId="0">
      <pane xSplit="2" ySplit="4" topLeftCell="I5" activePane="bottomRight" state="frozen"/>
      <selection activeCell="C63" sqref="C63"/>
      <selection pane="topRight" activeCell="C63" sqref="C63"/>
      <selection pane="bottomLeft" activeCell="C63" sqref="C63"/>
      <selection pane="bottomRight" activeCell="L92" sqref="L92:M93"/>
    </sheetView>
  </sheetViews>
  <sheetFormatPr baseColWidth="10" defaultRowHeight="14.4"/>
  <cols>
    <col min="1" max="1" width="2.77734375" customWidth="1"/>
    <col min="2" max="2" width="57.21875" bestFit="1" customWidth="1"/>
  </cols>
  <sheetData>
    <row r="1" spans="2:13" ht="15.6">
      <c r="B1" s="22" t="s">
        <v>2740</v>
      </c>
    </row>
    <row r="2" spans="2:13">
      <c r="B2" s="1010" t="s">
        <v>826</v>
      </c>
    </row>
    <row r="3" spans="2:13">
      <c r="B3" s="2559"/>
      <c r="C3" s="2559"/>
      <c r="D3" s="2559"/>
      <c r="E3" s="2559"/>
      <c r="F3" s="2559"/>
      <c r="G3" s="2559"/>
      <c r="H3" s="2559"/>
      <c r="I3" s="2559"/>
      <c r="J3" s="2559"/>
      <c r="K3" s="2559"/>
    </row>
    <row r="4" spans="2:13" ht="15" thickBot="1">
      <c r="B4" s="2560" t="s">
        <v>2728</v>
      </c>
      <c r="C4" s="2561">
        <v>2010</v>
      </c>
      <c r="D4" s="2561">
        <v>2011</v>
      </c>
      <c r="E4" s="2561">
        <v>2012</v>
      </c>
      <c r="F4" s="2561">
        <v>2013</v>
      </c>
      <c r="G4" s="2561">
        <v>2014</v>
      </c>
      <c r="H4" s="2561">
        <v>2015</v>
      </c>
      <c r="I4" s="2561">
        <v>2016</v>
      </c>
      <c r="J4" s="2561">
        <v>2017</v>
      </c>
      <c r="K4" s="2561">
        <v>2018</v>
      </c>
      <c r="L4" s="2556">
        <v>2019</v>
      </c>
      <c r="M4" s="2556" t="s">
        <v>3863</v>
      </c>
    </row>
    <row r="5" spans="2:13" ht="15" customHeight="1">
      <c r="B5" s="3638" t="s">
        <v>115</v>
      </c>
      <c r="C5" s="2959">
        <v>0.31818181818181818</v>
      </c>
      <c r="D5" s="3639">
        <v>0.2</v>
      </c>
      <c r="E5" s="3640">
        <v>0.4375</v>
      </c>
      <c r="F5" s="2963">
        <v>0.30769230769230771</v>
      </c>
      <c r="G5" s="3639">
        <v>0.42105263157894735</v>
      </c>
      <c r="H5" s="3639">
        <v>0.24242424242424243</v>
      </c>
      <c r="I5" s="3639">
        <v>0.34090909090909088</v>
      </c>
      <c r="J5" s="3639">
        <v>1</v>
      </c>
      <c r="K5" s="3641"/>
      <c r="L5" s="3641"/>
      <c r="M5" s="3641"/>
    </row>
    <row r="6" spans="2:13" ht="15" customHeight="1">
      <c r="B6" s="3642" t="s">
        <v>669</v>
      </c>
      <c r="C6" s="3643"/>
      <c r="D6" s="3644"/>
      <c r="E6" s="3645"/>
      <c r="F6" s="3643"/>
      <c r="G6" s="3644">
        <v>0.41666666666666669</v>
      </c>
      <c r="H6" s="3644">
        <v>0.41666666666666669</v>
      </c>
      <c r="I6" s="3644">
        <v>0.21052631578947367</v>
      </c>
      <c r="J6" s="3644">
        <v>0.5625</v>
      </c>
      <c r="K6" s="3646">
        <v>0.4</v>
      </c>
      <c r="L6" s="3646">
        <v>0.30769999999999997</v>
      </c>
      <c r="M6" s="3646">
        <v>7.1428571428571425E-2</v>
      </c>
    </row>
    <row r="7" spans="2:13" ht="15" customHeight="1">
      <c r="B7" s="3642" t="s">
        <v>116</v>
      </c>
      <c r="C7" s="2977">
        <v>0</v>
      </c>
      <c r="D7" s="3644">
        <v>0.66666666666666663</v>
      </c>
      <c r="E7" s="2968">
        <v>0.6</v>
      </c>
      <c r="F7" s="2969">
        <v>0.125</v>
      </c>
      <c r="G7" s="3644">
        <v>0.4</v>
      </c>
      <c r="H7" s="3644">
        <v>0.35714285714285715</v>
      </c>
      <c r="I7" s="3644">
        <v>0.4</v>
      </c>
      <c r="J7" s="3644">
        <v>0.375</v>
      </c>
      <c r="K7" s="3646">
        <v>0.1111111111111111</v>
      </c>
      <c r="L7" s="3646">
        <v>9.5200000000000007E-2</v>
      </c>
      <c r="M7" s="3646">
        <v>0</v>
      </c>
    </row>
    <row r="8" spans="2:13" ht="15" customHeight="1">
      <c r="B8" s="3642" t="s">
        <v>668</v>
      </c>
      <c r="C8" s="3643"/>
      <c r="D8" s="3647"/>
      <c r="E8" s="3645"/>
      <c r="F8" s="3643"/>
      <c r="G8" s="3644">
        <v>0.25</v>
      </c>
      <c r="H8" s="3644">
        <v>0</v>
      </c>
      <c r="I8" s="3644">
        <v>0</v>
      </c>
      <c r="J8" s="3644"/>
      <c r="K8" s="3646">
        <v>0.25</v>
      </c>
      <c r="L8" s="3646">
        <v>0</v>
      </c>
      <c r="M8" s="3646">
        <v>0</v>
      </c>
    </row>
    <row r="9" spans="2:13" ht="15" customHeight="1">
      <c r="B9" s="3642" t="s">
        <v>114</v>
      </c>
      <c r="C9" s="2977">
        <v>0</v>
      </c>
      <c r="D9" s="3648">
        <v>0</v>
      </c>
      <c r="E9" s="2968">
        <v>0</v>
      </c>
      <c r="F9" s="2969">
        <v>0</v>
      </c>
      <c r="G9" s="3644"/>
      <c r="H9" s="3644"/>
      <c r="I9" s="3644"/>
      <c r="J9" s="3644">
        <v>0.33333333333333331</v>
      </c>
      <c r="K9" s="3646">
        <v>0.2857142857142857</v>
      </c>
      <c r="L9" s="3646">
        <v>0.33300000000000002</v>
      </c>
      <c r="M9" s="3646">
        <v>0.2857142857142857</v>
      </c>
    </row>
    <row r="10" spans="2:13" ht="15" customHeight="1">
      <c r="B10" s="3642" t="s">
        <v>2537</v>
      </c>
      <c r="C10" s="2977"/>
      <c r="D10" s="3648"/>
      <c r="E10" s="2968"/>
      <c r="F10" s="2969"/>
      <c r="G10" s="3644"/>
      <c r="H10" s="3644"/>
      <c r="I10" s="3644"/>
      <c r="J10" s="3644">
        <v>0.33333333333333331</v>
      </c>
      <c r="K10" s="3646">
        <v>0.59375</v>
      </c>
      <c r="L10" s="3646">
        <v>0.35709999999999997</v>
      </c>
      <c r="M10" s="3646">
        <v>0.05</v>
      </c>
    </row>
    <row r="11" spans="2:13" s="5442" customFormat="1" ht="15" customHeight="1">
      <c r="B11" s="3642" t="s">
        <v>3864</v>
      </c>
      <c r="C11" s="2977"/>
      <c r="D11" s="3648"/>
      <c r="E11" s="2968"/>
      <c r="F11" s="2969"/>
      <c r="G11" s="3644"/>
      <c r="H11" s="3644"/>
      <c r="I11" s="3644"/>
      <c r="J11" s="3644"/>
      <c r="K11" s="3646"/>
      <c r="L11" s="3646"/>
      <c r="M11" s="3646">
        <v>0.16666666666666666</v>
      </c>
    </row>
    <row r="12" spans="2:13" ht="15" customHeight="1">
      <c r="B12" s="3649" t="s">
        <v>544</v>
      </c>
      <c r="C12" s="2974">
        <v>0.21875</v>
      </c>
      <c r="D12" s="3648">
        <v>0.23076923076923078</v>
      </c>
      <c r="E12" s="2976">
        <v>0.3902439024390244</v>
      </c>
      <c r="F12" s="2972">
        <v>0.1875</v>
      </c>
      <c r="G12" s="3648">
        <v>0.4</v>
      </c>
      <c r="H12" s="3648">
        <v>0.2857142857142857</v>
      </c>
      <c r="I12" s="3648">
        <v>0.30864197530864196</v>
      </c>
      <c r="J12" s="3648">
        <v>0.41176470588235292</v>
      </c>
      <c r="K12" s="3650">
        <v>0.38750000000000001</v>
      </c>
      <c r="L12" s="3650">
        <v>0.26390000000000002</v>
      </c>
      <c r="M12" s="3650">
        <v>7.575757575757576E-2</v>
      </c>
    </row>
    <row r="13" spans="2:13" ht="15" customHeight="1">
      <c r="B13" s="3651" t="s">
        <v>242</v>
      </c>
      <c r="C13" s="2977">
        <v>0.6875</v>
      </c>
      <c r="D13" s="3644">
        <v>0.55555555555555558</v>
      </c>
      <c r="E13" s="3645"/>
      <c r="F13" s="2969">
        <v>0.6</v>
      </c>
      <c r="G13" s="3644"/>
      <c r="H13" s="3644">
        <v>0.24</v>
      </c>
      <c r="I13" s="3644"/>
      <c r="J13" s="3644">
        <v>9.0909090909090912E-2</v>
      </c>
      <c r="K13" s="3646"/>
      <c r="L13" s="3646">
        <v>0</v>
      </c>
      <c r="M13" s="3646"/>
    </row>
    <row r="14" spans="2:13" ht="15" customHeight="1">
      <c r="B14" s="3642" t="s">
        <v>118</v>
      </c>
      <c r="C14" s="3643"/>
      <c r="D14" s="3644">
        <v>0.35714285714285715</v>
      </c>
      <c r="E14" s="3645"/>
      <c r="F14" s="3643"/>
      <c r="G14" s="3644">
        <v>0.6</v>
      </c>
      <c r="H14" s="3644"/>
      <c r="I14" s="3644">
        <v>0.625</v>
      </c>
      <c r="J14" s="3644">
        <v>5.8823529411764705E-2</v>
      </c>
      <c r="K14" s="3646"/>
      <c r="L14" s="3646">
        <v>0</v>
      </c>
      <c r="M14" s="3646"/>
    </row>
    <row r="15" spans="2:13" ht="15" customHeight="1">
      <c r="B15" s="3642" t="s">
        <v>508</v>
      </c>
      <c r="C15" s="3652"/>
      <c r="D15" s="3647"/>
      <c r="E15" s="3645"/>
      <c r="F15" s="3643"/>
      <c r="G15" s="3644">
        <v>0.41666666666666669</v>
      </c>
      <c r="H15" s="3644"/>
      <c r="I15" s="3644">
        <v>0.42105263157894735</v>
      </c>
      <c r="J15" s="3644"/>
      <c r="K15" s="3646"/>
      <c r="L15" s="3646"/>
      <c r="M15" s="3646">
        <v>0</v>
      </c>
    </row>
    <row r="16" spans="2:13" ht="15" customHeight="1">
      <c r="B16" s="3642" t="s">
        <v>117</v>
      </c>
      <c r="C16" s="2977">
        <v>0.55555555555555558</v>
      </c>
      <c r="D16" s="3644">
        <v>6.25E-2</v>
      </c>
      <c r="E16" s="2976">
        <v>0</v>
      </c>
      <c r="F16" s="2969">
        <v>0</v>
      </c>
      <c r="G16" s="3644">
        <v>0</v>
      </c>
      <c r="H16" s="3644">
        <v>5.5555555555555552E-2</v>
      </c>
      <c r="I16" s="3644">
        <v>0.1</v>
      </c>
      <c r="J16" s="3644"/>
      <c r="K16" s="3646">
        <v>0.46153846153846156</v>
      </c>
      <c r="L16" s="3646">
        <v>0.2727</v>
      </c>
      <c r="M16" s="3646">
        <v>0</v>
      </c>
    </row>
    <row r="17" spans="2:13" ht="15" customHeight="1">
      <c r="B17" s="3642" t="s">
        <v>119</v>
      </c>
      <c r="C17" s="3652">
        <v>0</v>
      </c>
      <c r="D17" s="3647">
        <v>0.27272727272727271</v>
      </c>
      <c r="E17" s="3645"/>
      <c r="F17" s="3643">
        <v>0</v>
      </c>
      <c r="G17" s="3644"/>
      <c r="H17" s="3644">
        <v>8.3333333333333329E-2</v>
      </c>
      <c r="I17" s="3644"/>
      <c r="J17" s="3644">
        <v>0.5</v>
      </c>
      <c r="K17" s="3646">
        <v>0.22222222222222221</v>
      </c>
      <c r="L17" s="3646">
        <v>0.57140000000000002</v>
      </c>
      <c r="M17" s="3646"/>
    </row>
    <row r="18" spans="2:13" s="4665" customFormat="1" ht="15" customHeight="1">
      <c r="B18" s="3642" t="s">
        <v>2277</v>
      </c>
      <c r="C18" s="2977"/>
      <c r="D18" s="3644"/>
      <c r="E18" s="2976"/>
      <c r="F18" s="2969"/>
      <c r="G18" s="3644"/>
      <c r="H18" s="3644"/>
      <c r="I18" s="3644"/>
      <c r="J18" s="3644"/>
      <c r="K18" s="3646"/>
      <c r="L18" s="3646">
        <v>0</v>
      </c>
      <c r="M18" s="3646"/>
    </row>
    <row r="19" spans="2:13" s="4665" customFormat="1" ht="15" customHeight="1">
      <c r="B19" s="4665" t="s">
        <v>2278</v>
      </c>
      <c r="C19" s="2977"/>
      <c r="D19" s="3644"/>
      <c r="E19" s="3645"/>
      <c r="F19" s="2969"/>
      <c r="G19" s="3644"/>
      <c r="H19" s="3644"/>
      <c r="I19" s="3644"/>
      <c r="J19" s="3644"/>
      <c r="K19" s="3646"/>
      <c r="L19" s="3646">
        <v>0.3125</v>
      </c>
      <c r="M19" s="3646"/>
    </row>
    <row r="20" spans="2:13" ht="15" customHeight="1">
      <c r="B20" s="3649" t="s">
        <v>545</v>
      </c>
      <c r="C20" s="2974">
        <v>0.59259259259259256</v>
      </c>
      <c r="D20" s="3648">
        <v>0.32203389830508472</v>
      </c>
      <c r="E20" s="2976">
        <v>0</v>
      </c>
      <c r="F20" s="2972">
        <v>0.3125</v>
      </c>
      <c r="G20" s="3648">
        <v>0.35897435897435898</v>
      </c>
      <c r="H20" s="3648">
        <v>0.14545454545454545</v>
      </c>
      <c r="I20" s="3648">
        <v>0.45283018867924529</v>
      </c>
      <c r="J20" s="3648">
        <v>0.14705882352941177</v>
      </c>
      <c r="K20" s="3650">
        <v>0.32258064516129031</v>
      </c>
      <c r="L20" s="3650">
        <v>0.1008</v>
      </c>
      <c r="M20" s="3650">
        <v>0</v>
      </c>
    </row>
    <row r="21" spans="2:13" ht="15" customHeight="1">
      <c r="B21" s="3642" t="s">
        <v>105</v>
      </c>
      <c r="C21" s="2977">
        <v>6.4516129032258063E-2</v>
      </c>
      <c r="D21" s="3644">
        <v>0.2391304347826087</v>
      </c>
      <c r="E21" s="2968">
        <v>9.0909090909090912E-2</v>
      </c>
      <c r="F21" s="2969">
        <v>0.21311475409836064</v>
      </c>
      <c r="G21" s="3644">
        <v>0.375</v>
      </c>
      <c r="H21" s="3644">
        <v>0.16666666666666666</v>
      </c>
      <c r="I21" s="3644"/>
      <c r="J21" s="3644">
        <v>1</v>
      </c>
      <c r="K21" s="3646"/>
      <c r="L21" s="3646"/>
      <c r="M21" s="3646"/>
    </row>
    <row r="22" spans="2:13" ht="15" customHeight="1">
      <c r="B22" s="3653" t="s">
        <v>1638</v>
      </c>
      <c r="C22" s="2977"/>
      <c r="D22" s="3644"/>
      <c r="E22" s="2968"/>
      <c r="F22" s="2969"/>
      <c r="G22" s="3644"/>
      <c r="H22" s="3644">
        <v>0</v>
      </c>
      <c r="I22" s="3644"/>
      <c r="J22" s="3644">
        <v>0.45454545454545453</v>
      </c>
      <c r="K22" s="3646">
        <v>0.5</v>
      </c>
      <c r="L22" s="3646"/>
      <c r="M22" s="3646">
        <v>0</v>
      </c>
    </row>
    <row r="23" spans="2:13" ht="15" customHeight="1">
      <c r="B23" s="3653" t="s">
        <v>1639</v>
      </c>
      <c r="C23" s="2977"/>
      <c r="D23" s="3644"/>
      <c r="E23" s="2968"/>
      <c r="F23" s="2969"/>
      <c r="G23" s="3644"/>
      <c r="H23" s="3644">
        <v>0.33333333333333331</v>
      </c>
      <c r="I23" s="3644">
        <v>0</v>
      </c>
      <c r="J23" s="3644">
        <v>0</v>
      </c>
      <c r="K23" s="3646">
        <v>0</v>
      </c>
      <c r="L23" s="3646">
        <v>0</v>
      </c>
      <c r="M23" s="3646"/>
    </row>
    <row r="24" spans="2:13">
      <c r="B24" s="3653" t="s">
        <v>1640</v>
      </c>
      <c r="C24" s="2977"/>
      <c r="D24" s="3644"/>
      <c r="E24" s="2968"/>
      <c r="F24" s="2969"/>
      <c r="G24" s="3644"/>
      <c r="H24" s="3644"/>
      <c r="I24" s="3644"/>
      <c r="J24" s="3644">
        <v>0.33333333333333331</v>
      </c>
      <c r="K24" s="3646">
        <v>0</v>
      </c>
      <c r="L24" s="3646">
        <v>0</v>
      </c>
      <c r="M24" s="3646"/>
    </row>
    <row r="25" spans="2:13" ht="28.8">
      <c r="B25" s="3653" t="s">
        <v>1637</v>
      </c>
      <c r="C25" s="2977"/>
      <c r="D25" s="3644"/>
      <c r="E25" s="2968"/>
      <c r="F25" s="2969"/>
      <c r="G25" s="3644"/>
      <c r="H25" s="3644">
        <v>0.25</v>
      </c>
      <c r="I25" s="3644">
        <v>0</v>
      </c>
      <c r="J25" s="3644">
        <v>5.8823529411764705E-2</v>
      </c>
      <c r="K25" s="3646"/>
      <c r="L25" s="3646">
        <v>0</v>
      </c>
      <c r="M25" s="3646">
        <v>0</v>
      </c>
    </row>
    <row r="26" spans="2:13">
      <c r="B26" s="3653" t="s">
        <v>1641</v>
      </c>
      <c r="C26" s="2977"/>
      <c r="D26" s="3644"/>
      <c r="E26" s="2968"/>
      <c r="F26" s="2969"/>
      <c r="G26" s="3644"/>
      <c r="H26" s="3644">
        <v>0.5</v>
      </c>
      <c r="I26" s="3644">
        <v>0</v>
      </c>
      <c r="J26" s="3644">
        <v>7.6923076923076927E-2</v>
      </c>
      <c r="K26" s="3646">
        <v>0.4</v>
      </c>
      <c r="L26" s="3646">
        <v>0</v>
      </c>
      <c r="M26" s="3646"/>
    </row>
    <row r="27" spans="2:13" ht="28.8">
      <c r="B27" s="3654" t="s">
        <v>2538</v>
      </c>
      <c r="C27" s="2977"/>
      <c r="D27" s="3644"/>
      <c r="E27" s="2968"/>
      <c r="F27" s="2969"/>
      <c r="G27" s="3644"/>
      <c r="H27" s="3644"/>
      <c r="I27" s="3644"/>
      <c r="J27" s="3644">
        <v>0</v>
      </c>
      <c r="K27" s="3646">
        <v>0</v>
      </c>
      <c r="L27" s="3646"/>
      <c r="M27" s="3646"/>
    </row>
    <row r="28" spans="2:13" ht="15" customHeight="1">
      <c r="B28" s="3649" t="s">
        <v>546</v>
      </c>
      <c r="C28" s="2974">
        <v>6.4516129032258063E-2</v>
      </c>
      <c r="D28" s="3648">
        <v>0.2391304347826087</v>
      </c>
      <c r="E28" s="2976">
        <v>9.0909090909090912E-2</v>
      </c>
      <c r="F28" s="2972">
        <v>0.21311475409836064</v>
      </c>
      <c r="G28" s="3648">
        <v>0.375</v>
      </c>
      <c r="H28" s="3648">
        <v>0.22916666666666666</v>
      </c>
      <c r="I28" s="3648">
        <v>0</v>
      </c>
      <c r="J28" s="3648">
        <v>0.1875</v>
      </c>
      <c r="K28" s="3650">
        <v>0.1875</v>
      </c>
      <c r="L28" s="3650">
        <v>0</v>
      </c>
      <c r="M28" s="3650">
        <v>0</v>
      </c>
    </row>
    <row r="29" spans="2:13" ht="15" customHeight="1">
      <c r="B29" s="3655" t="s">
        <v>106</v>
      </c>
      <c r="C29" s="3656">
        <v>0.27777777777777779</v>
      </c>
      <c r="D29" s="3657">
        <v>0.27083333333333331</v>
      </c>
      <c r="E29" s="3005">
        <v>0.23170731707317074</v>
      </c>
      <c r="F29" s="3006">
        <v>0.24113475177304963</v>
      </c>
      <c r="G29" s="3657">
        <v>0.38043478260869568</v>
      </c>
      <c r="H29" s="3657">
        <v>0.22289156626506024</v>
      </c>
      <c r="I29" s="3657">
        <v>0.34265734265734266</v>
      </c>
      <c r="J29" s="3657">
        <v>0.26373626373626374</v>
      </c>
      <c r="K29" s="3658">
        <v>0.34645669291338582</v>
      </c>
      <c r="L29" s="3658">
        <v>0.14549999999999999</v>
      </c>
      <c r="M29" s="3658">
        <v>4.8543689320388349E-2</v>
      </c>
    </row>
    <row r="30" spans="2:13" ht="15" customHeight="1">
      <c r="B30" s="3659" t="s">
        <v>120</v>
      </c>
      <c r="C30" s="3660">
        <v>0</v>
      </c>
      <c r="D30" s="3661">
        <v>0</v>
      </c>
      <c r="E30" s="3010">
        <v>0</v>
      </c>
      <c r="F30" s="2999">
        <v>0.5</v>
      </c>
      <c r="G30" s="3661">
        <v>0.2</v>
      </c>
      <c r="H30" s="3661">
        <v>0.125</v>
      </c>
      <c r="I30" s="3661">
        <v>0.16666666666666666</v>
      </c>
      <c r="J30" s="3661">
        <v>0.26315789473684209</v>
      </c>
      <c r="K30" s="3662">
        <v>0.19047619047619047</v>
      </c>
      <c r="L30" s="3662">
        <v>0.08</v>
      </c>
      <c r="M30" s="3662">
        <v>5.2631578947368418E-2</v>
      </c>
    </row>
    <row r="31" spans="2:13" ht="15" customHeight="1">
      <c r="B31" s="3663" t="s">
        <v>121</v>
      </c>
      <c r="C31" s="3664">
        <v>0.2</v>
      </c>
      <c r="D31" s="3644">
        <v>0.1</v>
      </c>
      <c r="E31" s="2968">
        <v>0.15</v>
      </c>
      <c r="F31" s="2969">
        <v>0.17948717948717949</v>
      </c>
      <c r="G31" s="3644">
        <v>0.08</v>
      </c>
      <c r="H31" s="3644">
        <v>0.04</v>
      </c>
      <c r="I31" s="3644">
        <v>0.1111111111111111</v>
      </c>
      <c r="J31" s="3644">
        <v>0.08</v>
      </c>
      <c r="K31" s="3646">
        <v>0</v>
      </c>
      <c r="L31" s="3646">
        <v>0.16666666666666666</v>
      </c>
      <c r="M31" s="3646">
        <v>6.6666666666666666E-2</v>
      </c>
    </row>
    <row r="32" spans="2:13" ht="15" customHeight="1">
      <c r="B32" s="3663" t="s">
        <v>122</v>
      </c>
      <c r="C32" s="3664">
        <v>0.16666666666666666</v>
      </c>
      <c r="D32" s="3644">
        <v>0</v>
      </c>
      <c r="E32" s="2968">
        <v>0.125</v>
      </c>
      <c r="F32" s="2969">
        <v>0.33333333333333331</v>
      </c>
      <c r="G32" s="3644">
        <v>0.23076923076923078</v>
      </c>
      <c r="H32" s="3644">
        <v>0.21052631578947367</v>
      </c>
      <c r="I32" s="3644">
        <v>0.23076923076923078</v>
      </c>
      <c r="J32" s="3644">
        <v>0.6</v>
      </c>
      <c r="K32" s="3646">
        <v>0.78947368421052633</v>
      </c>
      <c r="L32" s="3646">
        <v>0.41176470588235292</v>
      </c>
      <c r="M32" s="3646">
        <v>1</v>
      </c>
    </row>
    <row r="33" spans="2:13" ht="15" customHeight="1">
      <c r="B33" s="3663" t="s">
        <v>123</v>
      </c>
      <c r="C33" s="3664">
        <v>0.2</v>
      </c>
      <c r="D33" s="3644">
        <v>0.14285714285714285</v>
      </c>
      <c r="E33" s="2968"/>
      <c r="F33" s="2969">
        <v>0.25</v>
      </c>
      <c r="G33" s="3644">
        <v>0.36363636363636365</v>
      </c>
      <c r="H33" s="3644">
        <v>0.2857142857142857</v>
      </c>
      <c r="I33" s="3644">
        <v>0.44444444444444442</v>
      </c>
      <c r="J33" s="3644">
        <v>0.33333333333333331</v>
      </c>
      <c r="K33" s="3646">
        <v>0.33333333333333331</v>
      </c>
      <c r="L33" s="3646">
        <v>0.3</v>
      </c>
      <c r="M33" s="3646">
        <v>0</v>
      </c>
    </row>
    <row r="34" spans="2:13" ht="15" customHeight="1">
      <c r="B34" s="3663" t="s">
        <v>124</v>
      </c>
      <c r="C34" s="3664">
        <v>0.33333333333333331</v>
      </c>
      <c r="D34" s="3644">
        <v>0.13333333333333333</v>
      </c>
      <c r="E34" s="2968">
        <v>6.6666666666666666E-2</v>
      </c>
      <c r="F34" s="2969">
        <v>0.25</v>
      </c>
      <c r="G34" s="3644">
        <v>0.33333333333333331</v>
      </c>
      <c r="H34" s="3644">
        <v>0.3</v>
      </c>
      <c r="I34" s="3644">
        <v>0.33333333333333331</v>
      </c>
      <c r="J34" s="3644">
        <v>0</v>
      </c>
      <c r="K34" s="3646">
        <v>0.27272727272727271</v>
      </c>
      <c r="L34" s="3646">
        <v>7.6923076923076927E-2</v>
      </c>
      <c r="M34" s="3646">
        <v>0.1</v>
      </c>
    </row>
    <row r="35" spans="2:13" ht="15" customHeight="1">
      <c r="B35" s="3663" t="s">
        <v>417</v>
      </c>
      <c r="C35" s="3664">
        <v>0.5</v>
      </c>
      <c r="D35" s="3644">
        <v>0.5</v>
      </c>
      <c r="E35" s="2968">
        <v>0.2</v>
      </c>
      <c r="F35" s="2969">
        <v>0.17391304347826086</v>
      </c>
      <c r="G35" s="3644">
        <v>9.5238095238095233E-2</v>
      </c>
      <c r="H35" s="3644">
        <v>0.2</v>
      </c>
      <c r="I35" s="3644">
        <v>5.8823529411764705E-2</v>
      </c>
      <c r="J35" s="3644">
        <v>0.26666666666666666</v>
      </c>
      <c r="K35" s="3646">
        <v>0.22222222222222221</v>
      </c>
      <c r="L35" s="3646">
        <v>0.5</v>
      </c>
      <c r="M35" s="3646">
        <v>0</v>
      </c>
    </row>
    <row r="36" spans="2:13" ht="15" customHeight="1">
      <c r="B36" s="3665" t="s">
        <v>795</v>
      </c>
      <c r="C36" s="3664"/>
      <c r="D36" s="3644"/>
      <c r="E36" s="2968"/>
      <c r="F36" s="2969"/>
      <c r="G36" s="3644"/>
      <c r="H36" s="3644">
        <v>0.26923076923076922</v>
      </c>
      <c r="I36" s="3644">
        <v>0.15384615384615385</v>
      </c>
      <c r="J36" s="3644">
        <v>0.53333333333333333</v>
      </c>
      <c r="K36" s="3646">
        <v>0.8214285714285714</v>
      </c>
      <c r="L36" s="3646">
        <v>0.2</v>
      </c>
      <c r="M36" s="3646">
        <v>0.13333333333333333</v>
      </c>
    </row>
    <row r="37" spans="2:13" ht="15" customHeight="1">
      <c r="B37" s="3665" t="s">
        <v>845</v>
      </c>
      <c r="C37" s="3664">
        <v>0.1</v>
      </c>
      <c r="D37" s="3644"/>
      <c r="E37" s="2968"/>
      <c r="F37" s="2969"/>
      <c r="G37" s="3644"/>
      <c r="H37" s="3644"/>
      <c r="I37" s="3644"/>
      <c r="J37" s="3644"/>
      <c r="K37" s="3646"/>
      <c r="L37" s="3646"/>
      <c r="M37" s="3646"/>
    </row>
    <row r="38" spans="2:13" ht="15" customHeight="1">
      <c r="B38" s="3666" t="s">
        <v>544</v>
      </c>
      <c r="C38" s="3667">
        <v>0.20512820512820512</v>
      </c>
      <c r="D38" s="3648">
        <v>0.16666666666666666</v>
      </c>
      <c r="E38" s="2976">
        <v>0.15384615384615385</v>
      </c>
      <c r="F38" s="2972">
        <v>0.23214285714285715</v>
      </c>
      <c r="G38" s="3648">
        <v>0.19469026548672566</v>
      </c>
      <c r="H38" s="3648">
        <v>0.19658119658119658</v>
      </c>
      <c r="I38" s="3648">
        <v>0.17525773195876287</v>
      </c>
      <c r="J38" s="3648">
        <v>0.27272727272727271</v>
      </c>
      <c r="K38" s="3650">
        <v>0.44736842105263158</v>
      </c>
      <c r="L38" s="3650">
        <v>0.24299999999999999</v>
      </c>
      <c r="M38" s="3650">
        <v>7.9545454545454544E-2</v>
      </c>
    </row>
    <row r="39" spans="2:13" ht="15" customHeight="1">
      <c r="B39" s="3668" t="s">
        <v>107</v>
      </c>
      <c r="C39" s="3664">
        <v>0.88888888888888884</v>
      </c>
      <c r="D39" s="3647"/>
      <c r="E39" s="2968">
        <v>0.93333333333333335</v>
      </c>
      <c r="F39" s="2969"/>
      <c r="G39" s="3644"/>
      <c r="H39" s="3644">
        <v>0.93333333333333335</v>
      </c>
      <c r="I39" s="3644"/>
      <c r="J39" s="3644">
        <v>0.93333333333333335</v>
      </c>
      <c r="K39" s="3646"/>
      <c r="L39" s="3646">
        <v>0.83330000000000004</v>
      </c>
      <c r="M39" s="3646"/>
    </row>
    <row r="40" spans="2:13" ht="15" customHeight="1">
      <c r="B40" s="3663" t="s">
        <v>128</v>
      </c>
      <c r="C40" s="3664">
        <v>0.77777777777777779</v>
      </c>
      <c r="D40" s="3644">
        <v>0.9</v>
      </c>
      <c r="E40" s="2968">
        <v>0.7857142857142857</v>
      </c>
      <c r="F40" s="2969">
        <v>0.35714285714285715</v>
      </c>
      <c r="G40" s="3644">
        <v>0.8571428571428571</v>
      </c>
      <c r="H40" s="3644">
        <v>0.61538461538461542</v>
      </c>
      <c r="I40" s="3644">
        <v>0.83333333333333337</v>
      </c>
      <c r="J40" s="3644">
        <v>0.5714285714285714</v>
      </c>
      <c r="K40" s="3646">
        <v>0.25</v>
      </c>
      <c r="L40" s="3646">
        <v>0.5</v>
      </c>
      <c r="M40" s="3646">
        <v>0</v>
      </c>
    </row>
    <row r="41" spans="2:13" ht="15" customHeight="1">
      <c r="B41" s="3663" t="s">
        <v>127</v>
      </c>
      <c r="C41" s="3664">
        <v>0.58064516129032262</v>
      </c>
      <c r="D41" s="3647"/>
      <c r="E41" s="2968">
        <v>0.72222222222222221</v>
      </c>
      <c r="F41" s="3643"/>
      <c r="G41" s="3644">
        <v>0.7857142857142857</v>
      </c>
      <c r="H41" s="3637"/>
      <c r="I41" s="3644">
        <v>0.5714285714285714</v>
      </c>
      <c r="J41" s="3644"/>
      <c r="K41" s="3646">
        <v>0.8</v>
      </c>
      <c r="L41" s="3646"/>
      <c r="M41" s="3646">
        <v>0.65</v>
      </c>
    </row>
    <row r="42" spans="2:13" ht="15" customHeight="1">
      <c r="B42" s="3669" t="s">
        <v>125</v>
      </c>
      <c r="C42" s="3664">
        <v>0.42857142857142855</v>
      </c>
      <c r="D42" s="3644">
        <v>0.21428571428571427</v>
      </c>
      <c r="E42" s="3670"/>
      <c r="F42" s="2969">
        <v>0.16666666666666666</v>
      </c>
      <c r="G42" s="3644"/>
      <c r="H42" s="3644"/>
      <c r="I42" s="3644">
        <v>0.53333333333333333</v>
      </c>
      <c r="J42" s="3644">
        <v>0.77419354838709675</v>
      </c>
      <c r="K42" s="3646"/>
      <c r="L42" s="3646">
        <v>0.84</v>
      </c>
      <c r="M42" s="3646"/>
    </row>
    <row r="43" spans="2:13" ht="15" customHeight="1">
      <c r="B43" s="3663" t="s">
        <v>126</v>
      </c>
      <c r="C43" s="3664">
        <v>7.4999999999999997E-2</v>
      </c>
      <c r="D43" s="3644">
        <v>0.16666666666666666</v>
      </c>
      <c r="E43" s="2968">
        <v>0.16666666666666666</v>
      </c>
      <c r="F43" s="3643"/>
      <c r="G43" s="3644">
        <v>0.546875</v>
      </c>
      <c r="H43" s="3644"/>
      <c r="I43" s="3644">
        <v>0.58620689655172409</v>
      </c>
      <c r="J43" s="3644"/>
      <c r="K43" s="3646">
        <v>0.21568627450980393</v>
      </c>
      <c r="L43" s="3646"/>
      <c r="M43" s="3646">
        <v>1.7241379310344827E-2</v>
      </c>
    </row>
    <row r="44" spans="2:13" s="4665" customFormat="1" ht="15" customHeight="1">
      <c r="B44" s="3663" t="s">
        <v>2278</v>
      </c>
      <c r="C44" s="3664"/>
      <c r="D44" s="3647"/>
      <c r="E44" s="2968"/>
      <c r="F44" s="3643"/>
      <c r="G44" s="3644"/>
      <c r="H44" s="3637"/>
      <c r="I44" s="3644"/>
      <c r="J44" s="3644"/>
      <c r="K44" s="3646"/>
      <c r="L44" s="3646">
        <v>0.17649999999999999</v>
      </c>
      <c r="M44" s="3646"/>
    </row>
    <row r="45" spans="2:13" s="4665" customFormat="1" ht="15" customHeight="1">
      <c r="B45" s="3669" t="s">
        <v>2939</v>
      </c>
      <c r="C45" s="3664"/>
      <c r="D45" s="3644"/>
      <c r="E45" s="3670"/>
      <c r="F45" s="2969"/>
      <c r="G45" s="3644"/>
      <c r="H45" s="3644"/>
      <c r="I45" s="3644"/>
      <c r="J45" s="3644"/>
      <c r="K45" s="3646"/>
      <c r="L45" s="3646">
        <v>1</v>
      </c>
      <c r="M45" s="3646"/>
    </row>
    <row r="46" spans="2:13" ht="15" customHeight="1">
      <c r="B46" s="3666" t="s">
        <v>545</v>
      </c>
      <c r="C46" s="3667">
        <v>0.3522012578616352</v>
      </c>
      <c r="D46" s="3648">
        <v>0.43333333333333335</v>
      </c>
      <c r="E46" s="2976">
        <v>0.47328244274809161</v>
      </c>
      <c r="F46" s="2972">
        <v>0.3125</v>
      </c>
      <c r="G46" s="3648">
        <v>0.65094339622641506</v>
      </c>
      <c r="H46" s="3648">
        <v>0.73170731707317072</v>
      </c>
      <c r="I46" s="3648">
        <v>0.60176991150442483</v>
      </c>
      <c r="J46" s="3648">
        <v>0.79245283018867929</v>
      </c>
      <c r="K46" s="3650">
        <v>0.37333333333333335</v>
      </c>
      <c r="L46" s="3650">
        <v>0.67689999999999995</v>
      </c>
      <c r="M46" s="3650">
        <v>0.17721518987341772</v>
      </c>
    </row>
    <row r="47" spans="2:13" ht="15" customHeight="1">
      <c r="B47" s="3663" t="s">
        <v>443</v>
      </c>
      <c r="C47" s="3645"/>
      <c r="D47" s="3647"/>
      <c r="E47" s="3645"/>
      <c r="F47" s="3643"/>
      <c r="G47" s="3644">
        <v>0.6875</v>
      </c>
      <c r="H47" s="3644">
        <v>0.2</v>
      </c>
      <c r="I47" s="3644">
        <v>0.46666666666666667</v>
      </c>
      <c r="J47" s="3644">
        <v>0.35714285714285715</v>
      </c>
      <c r="K47" s="3646">
        <v>0.46666666666666667</v>
      </c>
      <c r="L47" s="3646">
        <v>0.73333333333333328</v>
      </c>
      <c r="M47" s="3646">
        <v>0</v>
      </c>
    </row>
    <row r="48" spans="2:13" ht="15" customHeight="1">
      <c r="B48" s="3663" t="s">
        <v>129</v>
      </c>
      <c r="C48" s="3664">
        <v>0.625</v>
      </c>
      <c r="D48" s="3644">
        <v>0.61904761904761907</v>
      </c>
      <c r="E48" s="2968">
        <v>0.69230769230769229</v>
      </c>
      <c r="F48" s="2969">
        <v>0.625</v>
      </c>
      <c r="G48" s="3644">
        <v>0.625</v>
      </c>
      <c r="H48" s="3644">
        <v>0.6071428571428571</v>
      </c>
      <c r="I48" s="3644">
        <v>0.57894736842105265</v>
      </c>
      <c r="J48" s="3644">
        <v>0.66666666666666663</v>
      </c>
      <c r="K48" s="3646">
        <v>0.46666666666666667</v>
      </c>
      <c r="L48" s="3646">
        <v>0.61111111111111116</v>
      </c>
      <c r="M48" s="3646">
        <v>0</v>
      </c>
    </row>
    <row r="49" spans="2:13" ht="15" customHeight="1">
      <c r="B49" s="3663" t="s">
        <v>130</v>
      </c>
      <c r="C49" s="3664">
        <v>0.14285714285714285</v>
      </c>
      <c r="D49" s="3644">
        <v>0.56521739130434778</v>
      </c>
      <c r="E49" s="2968">
        <v>0.63157894736842102</v>
      </c>
      <c r="F49" s="2969">
        <v>0.55555555555555558</v>
      </c>
      <c r="G49" s="3644">
        <v>0.57894736842105265</v>
      </c>
      <c r="H49" s="3644">
        <v>0.47058823529411764</v>
      </c>
      <c r="I49" s="3644">
        <v>0.70588235294117652</v>
      </c>
      <c r="J49" s="3644">
        <v>0.5</v>
      </c>
      <c r="K49" s="3646">
        <v>0.7142857142857143</v>
      </c>
      <c r="L49" s="3646">
        <v>0.88888888888888884</v>
      </c>
      <c r="M49" s="3646">
        <v>0</v>
      </c>
    </row>
    <row r="50" spans="2:13" ht="15" customHeight="1">
      <c r="B50" s="3663" t="s">
        <v>131</v>
      </c>
      <c r="C50" s="3664">
        <v>0.18181818181818182</v>
      </c>
      <c r="D50" s="3644">
        <v>0.25</v>
      </c>
      <c r="E50" s="2968">
        <v>0</v>
      </c>
      <c r="F50" s="2969">
        <v>0.14814814814814814</v>
      </c>
      <c r="G50" s="3644">
        <v>0</v>
      </c>
      <c r="H50" s="3644">
        <v>0.25</v>
      </c>
      <c r="I50" s="3644">
        <v>0.3888888888888889</v>
      </c>
      <c r="J50" s="3644">
        <v>0.21739130434782608</v>
      </c>
      <c r="K50" s="3646">
        <v>0.21428571428571427</v>
      </c>
      <c r="L50" s="3646">
        <v>0.41666666666666669</v>
      </c>
      <c r="M50" s="3646">
        <v>0</v>
      </c>
    </row>
    <row r="51" spans="2:13" ht="15" customHeight="1">
      <c r="B51" s="3666" t="s">
        <v>547</v>
      </c>
      <c r="C51" s="3667">
        <v>0.30769230769230771</v>
      </c>
      <c r="D51" s="3648">
        <v>0.5178571428571429</v>
      </c>
      <c r="E51" s="2976">
        <v>0.47727272727272729</v>
      </c>
      <c r="F51" s="2972">
        <v>0.42028985507246375</v>
      </c>
      <c r="G51" s="2972">
        <v>0.532258064516129</v>
      </c>
      <c r="H51" s="2972">
        <v>0.41772151898734178</v>
      </c>
      <c r="I51" s="2972">
        <v>0.53623188405797106</v>
      </c>
      <c r="J51" s="2972">
        <v>0.40909090909090912</v>
      </c>
      <c r="K51" s="2973">
        <v>0.46551724137931033</v>
      </c>
      <c r="L51" s="2973">
        <v>0.67307692307692313</v>
      </c>
      <c r="M51" s="2973">
        <v>0.14814814814814814</v>
      </c>
    </row>
    <row r="52" spans="2:13" ht="15" customHeight="1">
      <c r="B52" s="3655" t="s">
        <v>110</v>
      </c>
      <c r="C52" s="3656">
        <v>0.30449826989619377</v>
      </c>
      <c r="D52" s="3657">
        <v>0.32941176470588235</v>
      </c>
      <c r="E52" s="3005">
        <v>0.36466165413533835</v>
      </c>
      <c r="F52" s="3006">
        <v>0.29577464788732394</v>
      </c>
      <c r="G52" s="3657">
        <v>0.44483985765124556</v>
      </c>
      <c r="H52" s="3657">
        <v>0.3628691983122363</v>
      </c>
      <c r="I52" s="3657">
        <v>0.43727598566308246</v>
      </c>
      <c r="J52" s="3657">
        <v>0.43231441048034935</v>
      </c>
      <c r="K52" s="3658">
        <v>0.43724696356275305</v>
      </c>
      <c r="L52" s="3658">
        <v>0.46875</v>
      </c>
      <c r="M52" s="3658">
        <v>0.13574660633484162</v>
      </c>
    </row>
    <row r="53" spans="2:13" ht="15" customHeight="1">
      <c r="B53" s="3671" t="s">
        <v>134</v>
      </c>
      <c r="C53" s="3660">
        <v>0.81818181818181823</v>
      </c>
      <c r="D53" s="3661">
        <v>0.875</v>
      </c>
      <c r="E53" s="3672"/>
      <c r="F53" s="2999">
        <v>1</v>
      </c>
      <c r="G53" s="3661"/>
      <c r="H53" s="3661"/>
      <c r="I53" s="3661"/>
      <c r="J53" s="3661"/>
      <c r="K53" s="3662"/>
      <c r="L53" s="3662"/>
      <c r="M53" s="3662"/>
    </row>
    <row r="54" spans="2:13" ht="15" customHeight="1">
      <c r="B54" s="3663" t="s">
        <v>591</v>
      </c>
      <c r="C54" s="3645"/>
      <c r="D54" s="3647"/>
      <c r="E54" s="3645"/>
      <c r="F54" s="2969">
        <v>0.625</v>
      </c>
      <c r="G54" s="3644">
        <v>0.39130434782608697</v>
      </c>
      <c r="H54" s="3644"/>
      <c r="I54" s="3644">
        <v>0.22727272727272727</v>
      </c>
      <c r="J54" s="3644"/>
      <c r="K54" s="3646">
        <v>0.34782608695652173</v>
      </c>
      <c r="L54" s="3646"/>
      <c r="M54" s="3646"/>
    </row>
    <row r="55" spans="2:13" ht="15" customHeight="1">
      <c r="B55" s="3663" t="s">
        <v>111</v>
      </c>
      <c r="C55" s="3664">
        <v>0</v>
      </c>
      <c r="D55" s="3647"/>
      <c r="E55" s="2968">
        <v>0.53846153846153844</v>
      </c>
      <c r="F55" s="3643"/>
      <c r="G55" s="3644">
        <v>0.45945945945945948</v>
      </c>
      <c r="H55" s="3644"/>
      <c r="I55" s="3644">
        <v>0.63636363636363635</v>
      </c>
      <c r="J55" s="3644">
        <v>0.54285714285714282</v>
      </c>
      <c r="K55" s="3646">
        <v>1</v>
      </c>
      <c r="L55" s="3646">
        <v>0</v>
      </c>
      <c r="M55" s="3646">
        <v>0.29629629629629628</v>
      </c>
    </row>
    <row r="56" spans="2:13" ht="15" customHeight="1">
      <c r="B56" s="3663" t="s">
        <v>509</v>
      </c>
      <c r="C56" s="3645"/>
      <c r="D56" s="3647"/>
      <c r="E56" s="3645"/>
      <c r="F56" s="3643"/>
      <c r="G56" s="3644">
        <v>0.42105263157894735</v>
      </c>
      <c r="H56" s="3644"/>
      <c r="I56" s="3644">
        <v>0.66666666666666663</v>
      </c>
      <c r="J56" s="3644"/>
      <c r="K56" s="3646">
        <v>0.34782608695652173</v>
      </c>
      <c r="L56" s="3646"/>
      <c r="M56" s="3646">
        <v>0.47058823529411764</v>
      </c>
    </row>
    <row r="57" spans="2:13" ht="15" customHeight="1">
      <c r="B57" s="3663" t="s">
        <v>136</v>
      </c>
      <c r="C57" s="3664">
        <v>0.5</v>
      </c>
      <c r="D57" s="3647"/>
      <c r="E57" s="2968">
        <v>0.26315789473684209</v>
      </c>
      <c r="F57" s="3643"/>
      <c r="G57" s="3644">
        <v>0</v>
      </c>
      <c r="H57" s="3644"/>
      <c r="I57" s="3644">
        <v>0</v>
      </c>
      <c r="J57" s="3644"/>
      <c r="K57" s="3646">
        <v>0.2</v>
      </c>
      <c r="L57" s="3646"/>
      <c r="M57" s="3646">
        <v>0</v>
      </c>
    </row>
    <row r="58" spans="2:13" ht="15" customHeight="1">
      <c r="B58" s="3663" t="s">
        <v>1936</v>
      </c>
      <c r="C58" s="3664">
        <v>0.59090909090909094</v>
      </c>
      <c r="D58" s="3647"/>
      <c r="E58" s="2968">
        <v>0.30769230769230771</v>
      </c>
      <c r="F58" s="3643"/>
      <c r="G58" s="3644">
        <v>0.17857142857142858</v>
      </c>
      <c r="H58" s="3644"/>
      <c r="I58" s="3644">
        <v>0.42857142857142855</v>
      </c>
      <c r="J58" s="3644"/>
      <c r="K58" s="3646">
        <v>0.68421052631578949</v>
      </c>
      <c r="L58" s="3646"/>
      <c r="M58" s="3646">
        <v>0</v>
      </c>
    </row>
    <row r="59" spans="2:13" ht="15" customHeight="1">
      <c r="B59" s="3663" t="s">
        <v>137</v>
      </c>
      <c r="C59" s="3664">
        <v>0.17647058823529413</v>
      </c>
      <c r="D59" s="3647"/>
      <c r="E59" s="2968">
        <v>0.35714285714285715</v>
      </c>
      <c r="F59" s="3643"/>
      <c r="G59" s="3644">
        <v>0.2857142857142857</v>
      </c>
      <c r="H59" s="3644"/>
      <c r="I59" s="3644">
        <v>0.29411764705882354</v>
      </c>
      <c r="J59" s="3644"/>
      <c r="K59" s="3646">
        <v>0.375</v>
      </c>
      <c r="L59" s="3646"/>
      <c r="M59" s="3646">
        <v>0</v>
      </c>
    </row>
    <row r="60" spans="2:13" ht="15" customHeight="1">
      <c r="B60" s="3663" t="s">
        <v>128</v>
      </c>
      <c r="C60" s="3664"/>
      <c r="D60" s="3647"/>
      <c r="E60" s="2968"/>
      <c r="F60" s="3643"/>
      <c r="G60" s="3644"/>
      <c r="H60" s="3644"/>
      <c r="I60" s="3644">
        <v>1</v>
      </c>
      <c r="J60" s="3644">
        <v>1</v>
      </c>
      <c r="K60" s="3646">
        <v>1</v>
      </c>
      <c r="L60" s="3646">
        <v>0.91669999999999996</v>
      </c>
      <c r="M60" s="3646">
        <v>8.3333333333333329E-2</v>
      </c>
    </row>
    <row r="61" spans="2:13" ht="15" customHeight="1">
      <c r="B61" s="3663" t="s">
        <v>135</v>
      </c>
      <c r="C61" s="3664">
        <v>3.8461538461538464E-2</v>
      </c>
      <c r="D61" s="3647"/>
      <c r="E61" s="2968">
        <v>0.1875</v>
      </c>
      <c r="F61" s="3643"/>
      <c r="G61" s="3644">
        <v>0.2</v>
      </c>
      <c r="H61" s="3644"/>
      <c r="I61" s="3644">
        <v>0.10526315789473684</v>
      </c>
      <c r="J61" s="3644"/>
      <c r="K61" s="3646">
        <v>0.20833333333333334</v>
      </c>
      <c r="L61" s="3646"/>
      <c r="M61" s="3646">
        <v>0</v>
      </c>
    </row>
    <row r="62" spans="2:13" ht="15" customHeight="1">
      <c r="B62" s="3663" t="s">
        <v>132</v>
      </c>
      <c r="C62" s="3664">
        <v>0.125</v>
      </c>
      <c r="D62" s="3647"/>
      <c r="E62" s="2968">
        <v>9.0909090909090912E-2</v>
      </c>
      <c r="F62" s="3643"/>
      <c r="G62" s="3644">
        <v>2.564102564102564E-2</v>
      </c>
      <c r="H62" s="3644"/>
      <c r="I62" s="3644">
        <v>0.17241379310344829</v>
      </c>
      <c r="J62" s="3644"/>
      <c r="K62" s="3646">
        <v>0.2</v>
      </c>
      <c r="L62" s="3646"/>
      <c r="M62" s="3646">
        <v>0</v>
      </c>
    </row>
    <row r="63" spans="2:13" s="4665" customFormat="1" ht="15" customHeight="1">
      <c r="B63" s="3663" t="s">
        <v>2278</v>
      </c>
      <c r="C63" s="3664"/>
      <c r="D63" s="3647"/>
      <c r="E63" s="2968"/>
      <c r="F63" s="3643"/>
      <c r="G63" s="3644"/>
      <c r="H63" s="3644"/>
      <c r="I63" s="3644"/>
      <c r="J63" s="3644"/>
      <c r="K63" s="3646"/>
      <c r="L63" s="3646">
        <v>0.6</v>
      </c>
      <c r="M63" s="3646"/>
    </row>
    <row r="64" spans="2:13" s="4665" customFormat="1" ht="15" customHeight="1">
      <c r="B64" s="3663" t="s">
        <v>2283</v>
      </c>
      <c r="C64" s="3664"/>
      <c r="D64" s="3647"/>
      <c r="E64" s="2968"/>
      <c r="F64" s="3643"/>
      <c r="G64" s="3644"/>
      <c r="H64" s="3644"/>
      <c r="I64" s="3644"/>
      <c r="J64" s="3644"/>
      <c r="K64" s="3646"/>
      <c r="L64" s="3646">
        <v>0.42109999999999997</v>
      </c>
      <c r="M64" s="3646"/>
    </row>
    <row r="65" spans="2:13" ht="15" customHeight="1">
      <c r="B65" s="3666" t="s">
        <v>545</v>
      </c>
      <c r="C65" s="3667">
        <v>0.31666666666666665</v>
      </c>
      <c r="D65" s="3648">
        <v>0.875</v>
      </c>
      <c r="E65" s="2976">
        <v>0.3235294117647059</v>
      </c>
      <c r="F65" s="2972">
        <v>0.7</v>
      </c>
      <c r="G65" s="3648">
        <v>0.24742268041237114</v>
      </c>
      <c r="H65" s="3648"/>
      <c r="I65" s="3648">
        <v>0.35057471264367818</v>
      </c>
      <c r="J65" s="3648">
        <v>0.57894736842105265</v>
      </c>
      <c r="K65" s="3650">
        <v>0.36075949367088606</v>
      </c>
      <c r="L65" s="3650">
        <v>0.57889999999999997</v>
      </c>
      <c r="M65" s="3650">
        <v>0.17058823529411765</v>
      </c>
    </row>
    <row r="66" spans="2:13" ht="15" customHeight="1">
      <c r="B66" s="3669" t="s">
        <v>2922</v>
      </c>
      <c r="C66" s="3664">
        <v>0.7</v>
      </c>
      <c r="D66" s="3647"/>
      <c r="E66" s="2968">
        <v>0.7</v>
      </c>
      <c r="F66" s="2969">
        <v>0.53846153846153844</v>
      </c>
      <c r="G66" s="3644"/>
      <c r="H66" s="3644">
        <v>0.5714285714285714</v>
      </c>
      <c r="I66" s="3644"/>
      <c r="J66" s="3644">
        <v>0.8666666666666667</v>
      </c>
      <c r="K66" s="3646">
        <v>0.35714285714285715</v>
      </c>
      <c r="L66" s="3646"/>
      <c r="M66" s="3646">
        <v>0.18181818181818182</v>
      </c>
    </row>
    <row r="67" spans="2:13" ht="15" customHeight="1">
      <c r="B67" s="3663" t="s">
        <v>112</v>
      </c>
      <c r="C67" s="3670"/>
      <c r="D67" s="3647"/>
      <c r="E67" s="2968">
        <v>0.66666666666666663</v>
      </c>
      <c r="F67" s="2969">
        <v>0</v>
      </c>
      <c r="G67" s="3644">
        <v>0.625</v>
      </c>
      <c r="H67" s="3644">
        <v>0.5</v>
      </c>
      <c r="I67" s="3644"/>
      <c r="J67" s="3644"/>
      <c r="K67" s="3646"/>
      <c r="L67" s="3646"/>
      <c r="M67" s="3646"/>
    </row>
    <row r="68" spans="2:13" ht="15" customHeight="1">
      <c r="B68" s="3663" t="s">
        <v>138</v>
      </c>
      <c r="C68" s="3645"/>
      <c r="D68" s="3644">
        <v>0</v>
      </c>
      <c r="E68" s="2968">
        <v>0</v>
      </c>
      <c r="F68" s="3643"/>
      <c r="G68" s="3644">
        <v>0.1</v>
      </c>
      <c r="H68" s="3644">
        <v>0.1</v>
      </c>
      <c r="I68" s="3644">
        <v>1</v>
      </c>
      <c r="J68" s="3644">
        <v>1</v>
      </c>
      <c r="K68" s="3646"/>
      <c r="L68" s="3646"/>
      <c r="M68" s="3646"/>
    </row>
    <row r="69" spans="2:13" ht="15" customHeight="1">
      <c r="B69" s="3663" t="s">
        <v>139</v>
      </c>
      <c r="C69" s="3664">
        <v>0.35714285714285715</v>
      </c>
      <c r="D69" s="3644">
        <v>0.1875</v>
      </c>
      <c r="E69" s="2968">
        <v>0.26666666666666666</v>
      </c>
      <c r="F69" s="2969">
        <v>0.7857142857142857</v>
      </c>
      <c r="G69" s="3644">
        <v>0.21428571428571427</v>
      </c>
      <c r="H69" s="3644">
        <v>0.1875</v>
      </c>
      <c r="I69" s="3644">
        <v>0.1875</v>
      </c>
      <c r="J69" s="3644">
        <v>0.15384615384615385</v>
      </c>
      <c r="K69" s="3646">
        <v>0.75</v>
      </c>
      <c r="L69" s="3646">
        <v>0.25</v>
      </c>
      <c r="M69" s="3646">
        <v>0</v>
      </c>
    </row>
    <row r="70" spans="2:13" ht="15" customHeight="1">
      <c r="B70" s="3663" t="s">
        <v>141</v>
      </c>
      <c r="C70" s="3664">
        <v>0.21052631578947367</v>
      </c>
      <c r="D70" s="3644">
        <v>0.44444444444444442</v>
      </c>
      <c r="E70" s="2968">
        <v>0.33333333333333331</v>
      </c>
      <c r="F70" s="2969">
        <v>0.33333333333333331</v>
      </c>
      <c r="G70" s="3644">
        <v>0.5625</v>
      </c>
      <c r="H70" s="3644">
        <v>0.4375</v>
      </c>
      <c r="I70" s="3644">
        <v>0.58823529411764708</v>
      </c>
      <c r="J70" s="3644">
        <v>0.35714285714285715</v>
      </c>
      <c r="K70" s="3646">
        <v>0.63157894736842102</v>
      </c>
      <c r="L70" s="3646">
        <v>0.47060000000000002</v>
      </c>
      <c r="M70" s="3646">
        <v>0.13333333333333333</v>
      </c>
    </row>
    <row r="71" spans="2:13" ht="15" customHeight="1">
      <c r="B71" s="3663" t="s">
        <v>142</v>
      </c>
      <c r="C71" s="3664">
        <v>0.22222222222222221</v>
      </c>
      <c r="D71" s="3644">
        <v>0.35294117647058826</v>
      </c>
      <c r="E71" s="2968">
        <v>0.05</v>
      </c>
      <c r="F71" s="2969">
        <v>0.21739130434782608</v>
      </c>
      <c r="G71" s="3644">
        <v>0.43478260869565216</v>
      </c>
      <c r="H71" s="3644">
        <v>0.45833333333333331</v>
      </c>
      <c r="I71" s="3644">
        <v>0.33333333333333331</v>
      </c>
      <c r="J71" s="3644">
        <v>0.375</v>
      </c>
      <c r="K71" s="3646">
        <v>0.40909090909090912</v>
      </c>
      <c r="L71" s="3646">
        <v>0.31819999999999998</v>
      </c>
      <c r="M71" s="3646">
        <v>7.407407407407407E-2</v>
      </c>
    </row>
    <row r="72" spans="2:13" ht="15" customHeight="1">
      <c r="B72" s="3663" t="s">
        <v>1937</v>
      </c>
      <c r="C72" s="3664"/>
      <c r="D72" s="3644"/>
      <c r="E72" s="2968"/>
      <c r="F72" s="2969"/>
      <c r="G72" s="3644"/>
      <c r="H72" s="3644"/>
      <c r="I72" s="3644">
        <v>0.3</v>
      </c>
      <c r="J72" s="3644">
        <v>9.0909090909090912E-2</v>
      </c>
      <c r="K72" s="3646">
        <v>0.3</v>
      </c>
      <c r="L72" s="3646">
        <v>0.1111</v>
      </c>
      <c r="M72" s="3646">
        <v>0.16666666666666666</v>
      </c>
    </row>
    <row r="73" spans="2:13" s="5442" customFormat="1" ht="15" customHeight="1">
      <c r="B73" s="3663" t="s">
        <v>3865</v>
      </c>
      <c r="C73" s="3664"/>
      <c r="D73" s="3644"/>
      <c r="E73" s="2968"/>
      <c r="F73" s="2969"/>
      <c r="G73" s="3644"/>
      <c r="H73" s="3644"/>
      <c r="I73" s="3644"/>
      <c r="J73" s="3644"/>
      <c r="K73" s="3646"/>
      <c r="L73" s="3646"/>
      <c r="M73" s="3646">
        <v>0.1</v>
      </c>
    </row>
    <row r="74" spans="2:13" ht="15" customHeight="1">
      <c r="B74" s="3663" t="s">
        <v>444</v>
      </c>
      <c r="C74" s="3645"/>
      <c r="D74" s="3647"/>
      <c r="E74" s="2968">
        <v>0</v>
      </c>
      <c r="F74" s="3643"/>
      <c r="G74" s="3644">
        <v>0</v>
      </c>
      <c r="H74" s="3644"/>
      <c r="I74" s="3644"/>
      <c r="J74" s="3644">
        <v>0</v>
      </c>
      <c r="K74" s="3646"/>
      <c r="L74" s="3646">
        <v>0</v>
      </c>
      <c r="M74" s="3646"/>
    </row>
    <row r="75" spans="2:13" ht="15" customHeight="1">
      <c r="B75" s="3663" t="s">
        <v>827</v>
      </c>
      <c r="C75" s="3645"/>
      <c r="D75" s="3647"/>
      <c r="E75" s="3645"/>
      <c r="F75" s="3643"/>
      <c r="G75" s="3644">
        <v>0</v>
      </c>
      <c r="H75" s="3644"/>
      <c r="I75" s="3644"/>
      <c r="J75" s="3644">
        <v>0.5</v>
      </c>
      <c r="K75" s="3646"/>
      <c r="L75" s="3646">
        <v>0.2727</v>
      </c>
      <c r="M75" s="3646"/>
    </row>
    <row r="76" spans="2:13" ht="15" customHeight="1">
      <c r="B76" s="3663" t="s">
        <v>2539</v>
      </c>
      <c r="C76" s="3645"/>
      <c r="D76" s="3647"/>
      <c r="E76" s="3645"/>
      <c r="F76" s="3643"/>
      <c r="G76" s="3644"/>
      <c r="H76" s="3644"/>
      <c r="I76" s="3644"/>
      <c r="J76" s="3644">
        <v>9.0909090909090912E-2</v>
      </c>
      <c r="K76" s="3646"/>
      <c r="L76" s="3646">
        <v>0.5</v>
      </c>
      <c r="M76" s="3646"/>
    </row>
    <row r="77" spans="2:13" ht="15" customHeight="1">
      <c r="B77" s="3666" t="s">
        <v>547</v>
      </c>
      <c r="C77" s="3667">
        <v>0.32786885245901637</v>
      </c>
      <c r="D77" s="3648">
        <v>0.26984126984126983</v>
      </c>
      <c r="E77" s="2976">
        <v>0.28358208955223879</v>
      </c>
      <c r="F77" s="2972">
        <v>0.43333333333333335</v>
      </c>
      <c r="G77" s="3648">
        <v>0.3258426966292135</v>
      </c>
      <c r="H77" s="3648">
        <v>0.38202247191011235</v>
      </c>
      <c r="I77" s="3648">
        <v>0.39705882352941174</v>
      </c>
      <c r="J77" s="3648">
        <v>0.35185185185185186</v>
      </c>
      <c r="K77" s="3650">
        <v>0.4935064935064935</v>
      </c>
      <c r="L77" s="3650">
        <v>0.29349999999999998</v>
      </c>
      <c r="M77" s="3650">
        <v>9.5238095238095233E-2</v>
      </c>
    </row>
    <row r="78" spans="2:13" ht="15" customHeight="1">
      <c r="B78" s="3663" t="s">
        <v>143</v>
      </c>
      <c r="C78" s="3664">
        <v>0.77777777777777779</v>
      </c>
      <c r="D78" s="3644">
        <v>0.80952380952380953</v>
      </c>
      <c r="E78" s="2968">
        <v>0.8</v>
      </c>
      <c r="F78" s="2969">
        <v>0.73684210526315785</v>
      </c>
      <c r="G78" s="3644">
        <v>0.84210526315789469</v>
      </c>
      <c r="H78" s="3644">
        <v>0.78260869565217395</v>
      </c>
      <c r="I78" s="3644">
        <v>0.92</v>
      </c>
      <c r="J78" s="3644">
        <v>0.45833333333333331</v>
      </c>
      <c r="K78" s="3646">
        <v>0.76923076923076927</v>
      </c>
      <c r="L78" s="3646">
        <v>0.69569999999999999</v>
      </c>
      <c r="M78" s="3646">
        <v>0</v>
      </c>
    </row>
    <row r="79" spans="2:13" ht="15" customHeight="1">
      <c r="B79" s="3669" t="s">
        <v>418</v>
      </c>
      <c r="C79" s="3645"/>
      <c r="D79" s="3644">
        <v>0.76470588235294112</v>
      </c>
      <c r="E79" s="3645"/>
      <c r="F79" s="2969">
        <v>0.6</v>
      </c>
      <c r="G79" s="3644"/>
      <c r="H79" s="3644"/>
      <c r="I79" s="3644"/>
      <c r="J79" s="3644">
        <v>0.7142857142857143</v>
      </c>
      <c r="K79" s="3646"/>
      <c r="L79" s="3646">
        <v>0.375</v>
      </c>
      <c r="M79" s="3646"/>
    </row>
    <row r="80" spans="2:13" ht="15" customHeight="1">
      <c r="B80" s="3669" t="s">
        <v>419</v>
      </c>
      <c r="C80" s="3645"/>
      <c r="D80" s="3644">
        <v>0</v>
      </c>
      <c r="E80" s="3645"/>
      <c r="F80" s="2969">
        <v>0</v>
      </c>
      <c r="G80" s="3648"/>
      <c r="H80" s="3648">
        <v>0</v>
      </c>
      <c r="I80" s="3648"/>
      <c r="J80" s="3648">
        <v>0</v>
      </c>
      <c r="K80" s="3650"/>
      <c r="L80" s="3646">
        <v>0</v>
      </c>
      <c r="M80" s="3646"/>
    </row>
    <row r="81" spans="2:14" ht="15" customHeight="1">
      <c r="B81" s="3666" t="s">
        <v>546</v>
      </c>
      <c r="C81" s="3667">
        <v>0.77777777777777779</v>
      </c>
      <c r="D81" s="3648">
        <v>0.42253521126760563</v>
      </c>
      <c r="E81" s="2976">
        <v>0.8</v>
      </c>
      <c r="F81" s="2972">
        <v>0.39655172413793105</v>
      </c>
      <c r="G81" s="3648">
        <v>0.84210526315789469</v>
      </c>
      <c r="H81" s="3648">
        <v>0.5</v>
      </c>
      <c r="I81" s="3648">
        <v>0.92</v>
      </c>
      <c r="J81" s="3648">
        <v>0.37681159420289856</v>
      </c>
      <c r="K81" s="3650">
        <v>0.76923076923076927</v>
      </c>
      <c r="L81" s="3650">
        <v>0.34920634920634919</v>
      </c>
      <c r="M81" s="3650">
        <v>0</v>
      </c>
    </row>
    <row r="82" spans="2:14" ht="15" customHeight="1">
      <c r="B82" s="3655" t="s">
        <v>442</v>
      </c>
      <c r="C82" s="3656">
        <v>0.36180904522613067</v>
      </c>
      <c r="D82" s="3657">
        <v>0.40666666666666668</v>
      </c>
      <c r="E82" s="3005">
        <v>0.34403669724770641</v>
      </c>
      <c r="F82" s="3006">
        <v>0.45652173913043476</v>
      </c>
      <c r="G82" s="3657">
        <v>0.30794701986754969</v>
      </c>
      <c r="H82" s="3657">
        <v>0.43225806451612903</v>
      </c>
      <c r="I82" s="3657">
        <v>0.4157303370786517</v>
      </c>
      <c r="J82" s="3657">
        <v>0.4</v>
      </c>
      <c r="K82" s="3658">
        <v>0.44061302681992337</v>
      </c>
      <c r="L82" s="3658">
        <v>0.36787564766839376</v>
      </c>
      <c r="M82" s="3658">
        <v>0.1299638989169675</v>
      </c>
    </row>
    <row r="83" spans="2:14" ht="15" customHeight="1">
      <c r="B83" s="3659" t="s">
        <v>670</v>
      </c>
      <c r="C83" s="3672"/>
      <c r="D83" s="3673"/>
      <c r="E83" s="3672"/>
      <c r="F83" s="2999">
        <v>0.5</v>
      </c>
      <c r="G83" s="3661">
        <v>0.30769230769230771</v>
      </c>
      <c r="H83" s="3661">
        <v>0.34782608695652173</v>
      </c>
      <c r="I83" s="3661">
        <v>0.41666666666666669</v>
      </c>
      <c r="J83" s="3661">
        <v>0.14285714285714285</v>
      </c>
      <c r="K83" s="3662">
        <v>0</v>
      </c>
      <c r="L83" s="3662">
        <v>0.16669999999999999</v>
      </c>
      <c r="M83" s="3662">
        <v>0.36363636363636365</v>
      </c>
    </row>
    <row r="84" spans="2:14" ht="15" customHeight="1">
      <c r="B84" s="3666" t="s">
        <v>545</v>
      </c>
      <c r="C84" s="3670"/>
      <c r="D84" s="3674"/>
      <c r="E84" s="3645"/>
      <c r="F84" s="2972">
        <v>0.5</v>
      </c>
      <c r="G84" s="3648">
        <v>0.30769230769230771</v>
      </c>
      <c r="H84" s="3648">
        <v>0.34782608695652173</v>
      </c>
      <c r="I84" s="3648">
        <v>0.41666666666666669</v>
      </c>
      <c r="J84" s="3648">
        <v>0.14285714285714285</v>
      </c>
      <c r="K84" s="3650">
        <v>0</v>
      </c>
      <c r="L84" s="3650">
        <v>0.16669999999999999</v>
      </c>
      <c r="M84" s="3650">
        <v>0.36363636363636365</v>
      </c>
    </row>
    <row r="85" spans="2:14" ht="15" customHeight="1">
      <c r="B85" s="3663" t="s">
        <v>829</v>
      </c>
      <c r="C85" s="3670"/>
      <c r="D85" s="3647"/>
      <c r="E85" s="3645"/>
      <c r="F85" s="3652"/>
      <c r="G85" s="3644">
        <v>0.66666666666666663</v>
      </c>
      <c r="H85" s="3644">
        <v>0.83333333333333337</v>
      </c>
      <c r="I85" s="3644">
        <v>0.9</v>
      </c>
      <c r="J85" s="3644">
        <v>0.3888888888888889</v>
      </c>
      <c r="K85" s="3646">
        <v>0</v>
      </c>
      <c r="L85" s="3646">
        <v>0</v>
      </c>
      <c r="M85" s="3646">
        <v>0</v>
      </c>
    </row>
    <row r="86" spans="2:14" ht="15" customHeight="1">
      <c r="B86" s="3666" t="s">
        <v>548</v>
      </c>
      <c r="C86" s="3670"/>
      <c r="D86" s="3647"/>
      <c r="E86" s="3645"/>
      <c r="F86" s="3643"/>
      <c r="G86" s="3648">
        <v>0.66666666666666663</v>
      </c>
      <c r="H86" s="3648">
        <v>0.83333333333333337</v>
      </c>
      <c r="I86" s="3648">
        <v>0.9</v>
      </c>
      <c r="J86" s="3648">
        <v>0.3888888888888889</v>
      </c>
      <c r="K86" s="3650">
        <v>0</v>
      </c>
      <c r="L86" s="3650">
        <v>0</v>
      </c>
      <c r="M86" s="3650">
        <v>0</v>
      </c>
    </row>
    <row r="87" spans="2:14" ht="15" customHeight="1">
      <c r="B87" s="3663" t="s">
        <v>671</v>
      </c>
      <c r="C87" s="3645"/>
      <c r="D87" s="3647"/>
      <c r="E87" s="3645"/>
      <c r="F87" s="3643"/>
      <c r="G87" s="3644">
        <v>0.1111111111111111</v>
      </c>
      <c r="H87" s="3644">
        <v>0.2</v>
      </c>
      <c r="I87" s="3644">
        <v>0.2857142857142857</v>
      </c>
      <c r="J87" s="3644">
        <v>0.23076923076923078</v>
      </c>
      <c r="K87" s="3646">
        <v>0.25</v>
      </c>
      <c r="L87" s="3646">
        <v>0.3</v>
      </c>
      <c r="M87" s="3646">
        <v>0</v>
      </c>
    </row>
    <row r="88" spans="2:14" ht="15" customHeight="1">
      <c r="B88" s="3675" t="s">
        <v>549</v>
      </c>
      <c r="C88" s="3676"/>
      <c r="D88" s="3677"/>
      <c r="E88" s="3676"/>
      <c r="F88" s="3678"/>
      <c r="G88" s="3679">
        <v>0.1111111111111111</v>
      </c>
      <c r="H88" s="3679">
        <v>0.2</v>
      </c>
      <c r="I88" s="3679">
        <v>0.2857142857142857</v>
      </c>
      <c r="J88" s="3679">
        <v>0.23076923076923078</v>
      </c>
      <c r="K88" s="3680">
        <v>0.25</v>
      </c>
      <c r="L88" s="3680">
        <v>0.3</v>
      </c>
      <c r="M88" s="3680">
        <v>0</v>
      </c>
    </row>
    <row r="89" spans="2:14" ht="15" customHeight="1">
      <c r="B89" s="3681" t="s">
        <v>260</v>
      </c>
      <c r="C89" s="3682"/>
      <c r="D89" s="3683"/>
      <c r="E89" s="2565"/>
      <c r="F89" s="2566">
        <v>0.5</v>
      </c>
      <c r="G89" s="3683">
        <v>0.38235294117647056</v>
      </c>
      <c r="H89" s="3683">
        <v>0.42</v>
      </c>
      <c r="I89" s="3683">
        <v>0.58695652173913049</v>
      </c>
      <c r="J89" s="3683">
        <v>0.25</v>
      </c>
      <c r="K89" s="3684">
        <v>7.1428571428571425E-2</v>
      </c>
      <c r="L89" s="3684">
        <v>0.11360000000000001</v>
      </c>
      <c r="M89" s="3684">
        <v>0.1</v>
      </c>
    </row>
    <row r="90" spans="2:14" s="2549" customFormat="1" ht="15" customHeight="1">
      <c r="B90" s="99"/>
      <c r="C90" s="99"/>
      <c r="D90" s="99"/>
      <c r="E90" s="99"/>
      <c r="F90" s="99"/>
      <c r="G90" s="99"/>
      <c r="H90" s="99"/>
      <c r="I90" s="99"/>
      <c r="J90" s="99"/>
      <c r="K90" s="99"/>
      <c r="L90" s="99"/>
      <c r="M90" s="99"/>
    </row>
    <row r="91" spans="2:14" ht="15" customHeight="1">
      <c r="B91" s="3685" t="s">
        <v>842</v>
      </c>
      <c r="C91" s="3682">
        <v>0.32006920415224915</v>
      </c>
      <c r="D91" s="3683">
        <v>0.33620689655172414</v>
      </c>
      <c r="E91" s="2565">
        <v>0.33745583038869259</v>
      </c>
      <c r="F91" s="3683">
        <v>0.33203125</v>
      </c>
      <c r="G91" s="3683">
        <v>0.37235543018335682</v>
      </c>
      <c r="H91" s="3683">
        <v>0.34703947368421051</v>
      </c>
      <c r="I91" s="3683">
        <v>0.42040816326530611</v>
      </c>
      <c r="J91" s="3683">
        <v>0.36283185840707965</v>
      </c>
      <c r="K91" s="3684">
        <v>0.39586410635155095</v>
      </c>
      <c r="L91" s="3684">
        <v>0.316</v>
      </c>
      <c r="M91" s="3684">
        <v>0.11856474258970359</v>
      </c>
    </row>
    <row r="92" spans="2:14" ht="14.4" customHeight="1">
      <c r="L92" s="5657" t="s">
        <v>3861</v>
      </c>
      <c r="M92" s="5657"/>
      <c r="N92" s="4789"/>
    </row>
    <row r="93" spans="2:14">
      <c r="L93" s="5636"/>
      <c r="M93" s="5636"/>
      <c r="N93" s="4789"/>
    </row>
  </sheetData>
  <sheetProtection algorithmName="SHA-512" hashValue="AMwhUPdNKkFXRaVU40FTZ2GUG/NNvBvc+13PiAFVhvW8M0lnUwQwi8RnLEfS1M8B3b5DXm+1REOFBxpm1gfpHA==" saltValue="LqRswCutdTU6w35/UFuF+A==" spinCount="100000" sheet="1" objects="1" scenarios="1"/>
  <mergeCells count="1">
    <mergeCell ref="L92:M9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I376"/>
  <sheetViews>
    <sheetView topLeftCell="A358" workbookViewId="0">
      <selection activeCell="Q376" sqref="Q376"/>
    </sheetView>
  </sheetViews>
  <sheetFormatPr baseColWidth="10" defaultRowHeight="14.4"/>
  <cols>
    <col min="1" max="2" width="10.88671875" style="167"/>
    <col min="3" max="3" width="60.5546875" style="4800" bestFit="1" customWidth="1"/>
    <col min="4" max="4" width="34.6640625" style="4800" bestFit="1" customWidth="1"/>
    <col min="5" max="8" width="2.77734375" style="4800" bestFit="1" customWidth="1"/>
    <col min="9" max="9" width="1.77734375" style="4800" bestFit="1" customWidth="1"/>
    <col min="10" max="10" width="2.77734375" style="4800" bestFit="1" customWidth="1"/>
    <col min="11" max="12" width="3.77734375" style="4800" bestFit="1" customWidth="1"/>
    <col min="13" max="15" width="2.77734375" style="4800" bestFit="1" customWidth="1"/>
    <col min="16" max="16" width="5.109375" style="4800" bestFit="1" customWidth="1"/>
    <col min="17" max="17" width="9" style="4577" bestFit="1" customWidth="1"/>
    <col min="18" max="18" width="10.88671875" style="4800"/>
    <col min="19" max="19" width="6.21875" style="37" customWidth="1"/>
    <col min="20" max="20" width="5.5546875" style="37" bestFit="1" customWidth="1"/>
    <col min="21" max="21" width="43.77734375" style="37" bestFit="1" customWidth="1"/>
    <col min="22" max="22" width="25.77734375" style="37" bestFit="1" customWidth="1"/>
    <col min="23" max="27" width="2.109375" style="37" bestFit="1" customWidth="1"/>
    <col min="28" max="29" width="2.77734375" style="37" bestFit="1" customWidth="1"/>
    <col min="30" max="31" width="2.109375" style="37" bestFit="1" customWidth="1"/>
    <col min="32" max="32" width="3.77734375" style="37" bestFit="1" customWidth="1"/>
    <col min="33" max="33" width="6.44140625" style="37" bestFit="1" customWidth="1"/>
    <col min="34" max="34" width="11.44140625" style="4577"/>
    <col min="35" max="35" width="11.44140625" style="2481"/>
    <col min="36" max="36" width="6.77734375" style="2481" bestFit="1" customWidth="1"/>
    <col min="37" max="37" width="80.5546875" style="2481" bestFit="1" customWidth="1"/>
    <col min="38" max="38" width="20" style="2481" bestFit="1" customWidth="1"/>
    <col min="39" max="39" width="3.77734375" style="2481" bestFit="1" customWidth="1"/>
    <col min="40" max="40" width="3" style="2481" bestFit="1" customWidth="1"/>
    <col min="41" max="41" width="2" style="2481" bestFit="1" customWidth="1"/>
    <col min="42" max="43" width="3" style="2481" bestFit="1" customWidth="1"/>
    <col min="44" max="46" width="4" style="2481" bestFit="1" customWidth="1"/>
    <col min="47" max="47" width="4.77734375" style="2481" bestFit="1" customWidth="1"/>
    <col min="48" max="48" width="8.21875" style="2481" bestFit="1" customWidth="1"/>
    <col min="49" max="50" width="11.5546875" style="2481" bestFit="1" customWidth="1"/>
    <col min="51" max="51" width="11.44140625" style="2481"/>
    <col min="54" max="54" width="82" bestFit="1" customWidth="1"/>
    <col min="55" max="55" width="16.5546875" bestFit="1" customWidth="1"/>
    <col min="56" max="56" width="4.21875" bestFit="1" customWidth="1"/>
    <col min="57" max="61" width="3" bestFit="1" customWidth="1"/>
    <col min="62" max="64" width="4" bestFit="1" customWidth="1"/>
    <col min="65" max="66" width="3" bestFit="1" customWidth="1"/>
    <col min="67" max="67" width="4.77734375" bestFit="1" customWidth="1"/>
    <col min="68" max="68" width="11.44140625" style="42"/>
    <col min="72" max="72" width="58.21875" bestFit="1" customWidth="1"/>
    <col min="73" max="73" width="20" bestFit="1" customWidth="1"/>
    <col min="74" max="74" width="3.77734375" bestFit="1" customWidth="1"/>
    <col min="75" max="75" width="2.77734375" bestFit="1" customWidth="1"/>
    <col min="76" max="76" width="1.77734375" bestFit="1" customWidth="1"/>
    <col min="77" max="78" width="2.77734375" bestFit="1" customWidth="1"/>
    <col min="79" max="79" width="1.77734375" bestFit="1" customWidth="1"/>
    <col min="80" max="82" width="3.5546875" bestFit="1" customWidth="1"/>
    <col min="83" max="84" width="2.77734375" bestFit="1" customWidth="1"/>
    <col min="85" max="85" width="4.5546875" bestFit="1" customWidth="1"/>
    <col min="86" max="86" width="9.77734375" customWidth="1"/>
    <col min="90" max="90" width="58.21875" bestFit="1" customWidth="1"/>
    <col min="91" max="91" width="16.5546875" bestFit="1" customWidth="1"/>
    <col min="92" max="96" width="2.77734375" bestFit="1" customWidth="1"/>
    <col min="97" max="97" width="3.5546875" bestFit="1" customWidth="1"/>
    <col min="98" max="98" width="2.77734375" bestFit="1" customWidth="1"/>
    <col min="99" max="99" width="3.5546875" bestFit="1" customWidth="1"/>
    <col min="100" max="101" width="2.77734375" bestFit="1" customWidth="1"/>
    <col min="102" max="102" width="4.5546875" bestFit="1" customWidth="1"/>
    <col min="106" max="106" width="6.77734375" bestFit="1" customWidth="1"/>
    <col min="107" max="107" width="43.5546875" bestFit="1" customWidth="1"/>
    <col min="108" max="108" width="16.77734375" bestFit="1" customWidth="1"/>
    <col min="109" max="113" width="2.77734375" customWidth="1"/>
    <col min="114" max="116" width="3.5546875" bestFit="1" customWidth="1"/>
    <col min="117" max="118" width="2.77734375" customWidth="1"/>
    <col min="119" max="119" width="4.5546875" bestFit="1" customWidth="1"/>
    <col min="120" max="120" width="8.21875" bestFit="1" customWidth="1"/>
    <col min="122" max="122" width="11.21875" customWidth="1"/>
    <col min="123" max="123" width="6.77734375" bestFit="1" customWidth="1"/>
    <col min="124" max="124" width="43.5546875" bestFit="1" customWidth="1"/>
    <col min="125" max="125" width="16.5546875" bestFit="1" customWidth="1"/>
    <col min="126" max="126" width="1.77734375" bestFit="1" customWidth="1"/>
    <col min="127" max="131" width="2.77734375" bestFit="1" customWidth="1"/>
    <col min="132" max="132" width="4" bestFit="1" customWidth="1"/>
    <col min="133" max="133" width="2.77734375" bestFit="1" customWidth="1"/>
    <col min="134" max="134" width="4" bestFit="1" customWidth="1"/>
    <col min="135" max="136" width="2.77734375" bestFit="1" customWidth="1"/>
    <col min="137" max="137" width="4.5546875" bestFit="1" customWidth="1"/>
    <col min="138" max="138" width="7.77734375" bestFit="1" customWidth="1"/>
    <col min="141" max="141" width="6.77734375" bestFit="1" customWidth="1"/>
    <col min="142" max="142" width="43.5546875" bestFit="1" customWidth="1"/>
    <col min="143" max="143" width="16.5546875" bestFit="1" customWidth="1"/>
    <col min="144" max="145" width="1.77734375" bestFit="1" customWidth="1"/>
    <col min="146" max="148" width="2.77734375" bestFit="1" customWidth="1"/>
    <col min="149" max="151" width="3.5546875" bestFit="1" customWidth="1"/>
    <col min="152" max="153" width="2.77734375" bestFit="1" customWidth="1"/>
    <col min="154" max="154" width="4.5546875" bestFit="1" customWidth="1"/>
    <col min="155" max="155" width="9.21875" customWidth="1"/>
    <col min="157" max="157" width="11.21875" style="129" customWidth="1"/>
    <col min="158" max="158" width="11.21875" style="129" bestFit="1" customWidth="1"/>
    <col min="159" max="159" width="44.21875" bestFit="1" customWidth="1"/>
    <col min="160" max="160" width="20.77734375" bestFit="1" customWidth="1"/>
    <col min="161" max="161" width="2" bestFit="1" customWidth="1"/>
    <col min="162" max="165" width="3" bestFit="1" customWidth="1"/>
    <col min="166" max="166" width="4" bestFit="1" customWidth="1"/>
    <col min="167" max="168" width="3" bestFit="1" customWidth="1"/>
    <col min="169" max="169" width="2" bestFit="1" customWidth="1"/>
    <col min="170" max="170" width="3" bestFit="1" customWidth="1"/>
    <col min="171" max="171" width="4.77734375" bestFit="1" customWidth="1"/>
    <col min="172" max="172" width="10.21875" customWidth="1"/>
    <col min="174" max="174" width="13.21875" bestFit="1" customWidth="1"/>
    <col min="176" max="176" width="41.44140625" customWidth="1"/>
    <col min="177" max="177" width="24.44140625" bestFit="1" customWidth="1"/>
    <col min="178" max="179" width="2.5546875" bestFit="1" customWidth="1"/>
    <col min="180" max="183" width="3.5546875" bestFit="1" customWidth="1"/>
    <col min="184" max="186" width="4.5546875" bestFit="1" customWidth="1"/>
    <col min="187" max="187" width="2.5546875" bestFit="1" customWidth="1"/>
    <col min="188" max="188" width="3.5546875" bestFit="1" customWidth="1"/>
    <col min="189" max="189" width="11.44140625" style="167"/>
    <col min="190" max="190" width="9.5546875" customWidth="1"/>
    <col min="191" max="191" width="30.21875" customWidth="1"/>
    <col min="412" max="412" width="14.44140625" customWidth="1"/>
    <col min="413" max="413" width="14.5546875" customWidth="1"/>
    <col min="414" max="414" width="54.5546875" bestFit="1" customWidth="1"/>
    <col min="415" max="415" width="20.77734375" bestFit="1" customWidth="1"/>
    <col min="416" max="425" width="4.77734375" customWidth="1"/>
    <col min="427" max="427" width="18.21875" bestFit="1" customWidth="1"/>
    <col min="668" max="668" width="14.44140625" customWidth="1"/>
    <col min="669" max="669" width="14.5546875" customWidth="1"/>
    <col min="670" max="670" width="54.5546875" bestFit="1" customWidth="1"/>
    <col min="671" max="671" width="20.77734375" bestFit="1" customWidth="1"/>
    <col min="672" max="681" width="4.77734375" customWidth="1"/>
    <col min="683" max="683" width="18.21875" bestFit="1" customWidth="1"/>
    <col min="924" max="924" width="14.44140625" customWidth="1"/>
    <col min="925" max="925" width="14.5546875" customWidth="1"/>
    <col min="926" max="926" width="54.5546875" bestFit="1" customWidth="1"/>
    <col min="927" max="927" width="20.77734375" bestFit="1" customWidth="1"/>
    <col min="928" max="937" width="4.77734375" customWidth="1"/>
    <col min="939" max="939" width="18.21875" bestFit="1" customWidth="1"/>
    <col min="1180" max="1180" width="14.44140625" customWidth="1"/>
    <col min="1181" max="1181" width="14.5546875" customWidth="1"/>
    <col min="1182" max="1182" width="54.5546875" bestFit="1" customWidth="1"/>
    <col min="1183" max="1183" width="20.77734375" bestFit="1" customWidth="1"/>
    <col min="1184" max="1193" width="4.77734375" customWidth="1"/>
    <col min="1195" max="1195" width="18.21875" bestFit="1" customWidth="1"/>
    <col min="1436" max="1436" width="14.44140625" customWidth="1"/>
    <col min="1437" max="1437" width="14.5546875" customWidth="1"/>
    <col min="1438" max="1438" width="54.5546875" bestFit="1" customWidth="1"/>
    <col min="1439" max="1439" width="20.77734375" bestFit="1" customWidth="1"/>
    <col min="1440" max="1449" width="4.77734375" customWidth="1"/>
    <col min="1451" max="1451" width="18.21875" bestFit="1" customWidth="1"/>
    <col min="1692" max="1692" width="14.44140625" customWidth="1"/>
    <col min="1693" max="1693" width="14.5546875" customWidth="1"/>
    <col min="1694" max="1694" width="54.5546875" bestFit="1" customWidth="1"/>
    <col min="1695" max="1695" width="20.77734375" bestFit="1" customWidth="1"/>
    <col min="1696" max="1705" width="4.77734375" customWidth="1"/>
    <col min="1707" max="1707" width="18.21875" bestFit="1" customWidth="1"/>
    <col min="1948" max="1948" width="14.44140625" customWidth="1"/>
    <col min="1949" max="1949" width="14.5546875" customWidth="1"/>
    <col min="1950" max="1950" width="54.5546875" bestFit="1" customWidth="1"/>
    <col min="1951" max="1951" width="20.77734375" bestFit="1" customWidth="1"/>
    <col min="1952" max="1961" width="4.77734375" customWidth="1"/>
    <col min="1963" max="1963" width="18.21875" bestFit="1" customWidth="1"/>
    <col min="2204" max="2204" width="14.44140625" customWidth="1"/>
    <col min="2205" max="2205" width="14.5546875" customWidth="1"/>
    <col min="2206" max="2206" width="54.5546875" bestFit="1" customWidth="1"/>
    <col min="2207" max="2207" width="20.77734375" bestFit="1" customWidth="1"/>
    <col min="2208" max="2217" width="4.77734375" customWidth="1"/>
    <col min="2219" max="2219" width="18.21875" bestFit="1" customWidth="1"/>
    <col min="2460" max="2460" width="14.44140625" customWidth="1"/>
    <col min="2461" max="2461" width="14.5546875" customWidth="1"/>
    <col min="2462" max="2462" width="54.5546875" bestFit="1" customWidth="1"/>
    <col min="2463" max="2463" width="20.77734375" bestFit="1" customWidth="1"/>
    <col min="2464" max="2473" width="4.77734375" customWidth="1"/>
    <col min="2475" max="2475" width="18.21875" bestFit="1" customWidth="1"/>
    <col min="2716" max="2716" width="14.44140625" customWidth="1"/>
    <col min="2717" max="2717" width="14.5546875" customWidth="1"/>
    <col min="2718" max="2718" width="54.5546875" bestFit="1" customWidth="1"/>
    <col min="2719" max="2719" width="20.77734375" bestFit="1" customWidth="1"/>
    <col min="2720" max="2729" width="4.77734375" customWidth="1"/>
    <col min="2731" max="2731" width="18.21875" bestFit="1" customWidth="1"/>
    <col min="2972" max="2972" width="14.44140625" customWidth="1"/>
    <col min="2973" max="2973" width="14.5546875" customWidth="1"/>
    <col min="2974" max="2974" width="54.5546875" bestFit="1" customWidth="1"/>
    <col min="2975" max="2975" width="20.77734375" bestFit="1" customWidth="1"/>
    <col min="2976" max="2985" width="4.77734375" customWidth="1"/>
    <col min="2987" max="2987" width="18.21875" bestFit="1" customWidth="1"/>
    <col min="3228" max="3228" width="14.44140625" customWidth="1"/>
    <col min="3229" max="3229" width="14.5546875" customWidth="1"/>
    <col min="3230" max="3230" width="54.5546875" bestFit="1" customWidth="1"/>
    <col min="3231" max="3231" width="20.77734375" bestFit="1" customWidth="1"/>
    <col min="3232" max="3241" width="4.77734375" customWidth="1"/>
    <col min="3243" max="3243" width="18.21875" bestFit="1" customWidth="1"/>
    <col min="3484" max="3484" width="14.44140625" customWidth="1"/>
    <col min="3485" max="3485" width="14.5546875" customWidth="1"/>
    <col min="3486" max="3486" width="54.5546875" bestFit="1" customWidth="1"/>
    <col min="3487" max="3487" width="20.77734375" bestFit="1" customWidth="1"/>
    <col min="3488" max="3497" width="4.77734375" customWidth="1"/>
    <col min="3499" max="3499" width="18.21875" bestFit="1" customWidth="1"/>
    <col min="3740" max="3740" width="14.44140625" customWidth="1"/>
    <col min="3741" max="3741" width="14.5546875" customWidth="1"/>
    <col min="3742" max="3742" width="54.5546875" bestFit="1" customWidth="1"/>
    <col min="3743" max="3743" width="20.77734375" bestFit="1" customWidth="1"/>
    <col min="3744" max="3753" width="4.77734375" customWidth="1"/>
    <col min="3755" max="3755" width="18.21875" bestFit="1" customWidth="1"/>
    <col min="3996" max="3996" width="14.44140625" customWidth="1"/>
    <col min="3997" max="3997" width="14.5546875" customWidth="1"/>
    <col min="3998" max="3998" width="54.5546875" bestFit="1" customWidth="1"/>
    <col min="3999" max="3999" width="20.77734375" bestFit="1" customWidth="1"/>
    <col min="4000" max="4009" width="4.77734375" customWidth="1"/>
    <col min="4011" max="4011" width="18.21875" bestFit="1" customWidth="1"/>
    <col min="4252" max="4252" width="14.44140625" customWidth="1"/>
    <col min="4253" max="4253" width="14.5546875" customWidth="1"/>
    <col min="4254" max="4254" width="54.5546875" bestFit="1" customWidth="1"/>
    <col min="4255" max="4255" width="20.77734375" bestFit="1" customWidth="1"/>
    <col min="4256" max="4265" width="4.77734375" customWidth="1"/>
    <col min="4267" max="4267" width="18.21875" bestFit="1" customWidth="1"/>
    <col min="4508" max="4508" width="14.44140625" customWidth="1"/>
    <col min="4509" max="4509" width="14.5546875" customWidth="1"/>
    <col min="4510" max="4510" width="54.5546875" bestFit="1" customWidth="1"/>
    <col min="4511" max="4511" width="20.77734375" bestFit="1" customWidth="1"/>
    <col min="4512" max="4521" width="4.77734375" customWidth="1"/>
    <col min="4523" max="4523" width="18.21875" bestFit="1" customWidth="1"/>
    <col min="4764" max="4764" width="14.44140625" customWidth="1"/>
    <col min="4765" max="4765" width="14.5546875" customWidth="1"/>
    <col min="4766" max="4766" width="54.5546875" bestFit="1" customWidth="1"/>
    <col min="4767" max="4767" width="20.77734375" bestFit="1" customWidth="1"/>
    <col min="4768" max="4777" width="4.77734375" customWidth="1"/>
    <col min="4779" max="4779" width="18.21875" bestFit="1" customWidth="1"/>
    <col min="5020" max="5020" width="14.44140625" customWidth="1"/>
    <col min="5021" max="5021" width="14.5546875" customWidth="1"/>
    <col min="5022" max="5022" width="54.5546875" bestFit="1" customWidth="1"/>
    <col min="5023" max="5023" width="20.77734375" bestFit="1" customWidth="1"/>
    <col min="5024" max="5033" width="4.77734375" customWidth="1"/>
    <col min="5035" max="5035" width="18.21875" bestFit="1" customWidth="1"/>
    <col min="5276" max="5276" width="14.44140625" customWidth="1"/>
    <col min="5277" max="5277" width="14.5546875" customWidth="1"/>
    <col min="5278" max="5278" width="54.5546875" bestFit="1" customWidth="1"/>
    <col min="5279" max="5279" width="20.77734375" bestFit="1" customWidth="1"/>
    <col min="5280" max="5289" width="4.77734375" customWidth="1"/>
    <col min="5291" max="5291" width="18.21875" bestFit="1" customWidth="1"/>
    <col min="5532" max="5532" width="14.44140625" customWidth="1"/>
    <col min="5533" max="5533" width="14.5546875" customWidth="1"/>
    <col min="5534" max="5534" width="54.5546875" bestFit="1" customWidth="1"/>
    <col min="5535" max="5535" width="20.77734375" bestFit="1" customWidth="1"/>
    <col min="5536" max="5545" width="4.77734375" customWidth="1"/>
    <col min="5547" max="5547" width="18.21875" bestFit="1" customWidth="1"/>
    <col min="5788" max="5788" width="14.44140625" customWidth="1"/>
    <col min="5789" max="5789" width="14.5546875" customWidth="1"/>
    <col min="5790" max="5790" width="54.5546875" bestFit="1" customWidth="1"/>
    <col min="5791" max="5791" width="20.77734375" bestFit="1" customWidth="1"/>
    <col min="5792" max="5801" width="4.77734375" customWidth="1"/>
    <col min="5803" max="5803" width="18.21875" bestFit="1" customWidth="1"/>
    <col min="6044" max="6044" width="14.44140625" customWidth="1"/>
    <col min="6045" max="6045" width="14.5546875" customWidth="1"/>
    <col min="6046" max="6046" width="54.5546875" bestFit="1" customWidth="1"/>
    <col min="6047" max="6047" width="20.77734375" bestFit="1" customWidth="1"/>
    <col min="6048" max="6057" width="4.77734375" customWidth="1"/>
    <col min="6059" max="6059" width="18.21875" bestFit="1" customWidth="1"/>
    <col min="6300" max="6300" width="14.44140625" customWidth="1"/>
    <col min="6301" max="6301" width="14.5546875" customWidth="1"/>
    <col min="6302" max="6302" width="54.5546875" bestFit="1" customWidth="1"/>
    <col min="6303" max="6303" width="20.77734375" bestFit="1" customWidth="1"/>
    <col min="6304" max="6313" width="4.77734375" customWidth="1"/>
    <col min="6315" max="6315" width="18.21875" bestFit="1" customWidth="1"/>
    <col min="6556" max="6556" width="14.44140625" customWidth="1"/>
    <col min="6557" max="6557" width="14.5546875" customWidth="1"/>
    <col min="6558" max="6558" width="54.5546875" bestFit="1" customWidth="1"/>
    <col min="6559" max="6559" width="20.77734375" bestFit="1" customWidth="1"/>
    <col min="6560" max="6569" width="4.77734375" customWidth="1"/>
    <col min="6571" max="6571" width="18.21875" bestFit="1" customWidth="1"/>
    <col min="6812" max="6812" width="14.44140625" customWidth="1"/>
    <col min="6813" max="6813" width="14.5546875" customWidth="1"/>
    <col min="6814" max="6814" width="54.5546875" bestFit="1" customWidth="1"/>
    <col min="6815" max="6815" width="20.77734375" bestFit="1" customWidth="1"/>
    <col min="6816" max="6825" width="4.77734375" customWidth="1"/>
    <col min="6827" max="6827" width="18.21875" bestFit="1" customWidth="1"/>
    <col min="7068" max="7068" width="14.44140625" customWidth="1"/>
    <col min="7069" max="7069" width="14.5546875" customWidth="1"/>
    <col min="7070" max="7070" width="54.5546875" bestFit="1" customWidth="1"/>
    <col min="7071" max="7071" width="20.77734375" bestFit="1" customWidth="1"/>
    <col min="7072" max="7081" width="4.77734375" customWidth="1"/>
    <col min="7083" max="7083" width="18.21875" bestFit="1" customWidth="1"/>
    <col min="7324" max="7324" width="14.44140625" customWidth="1"/>
    <col min="7325" max="7325" width="14.5546875" customWidth="1"/>
    <col min="7326" max="7326" width="54.5546875" bestFit="1" customWidth="1"/>
    <col min="7327" max="7327" width="20.77734375" bestFit="1" customWidth="1"/>
    <col min="7328" max="7337" width="4.77734375" customWidth="1"/>
    <col min="7339" max="7339" width="18.21875" bestFit="1" customWidth="1"/>
    <col min="7580" max="7580" width="14.44140625" customWidth="1"/>
    <col min="7581" max="7581" width="14.5546875" customWidth="1"/>
    <col min="7582" max="7582" width="54.5546875" bestFit="1" customWidth="1"/>
    <col min="7583" max="7583" width="20.77734375" bestFit="1" customWidth="1"/>
    <col min="7584" max="7593" width="4.77734375" customWidth="1"/>
    <col min="7595" max="7595" width="18.21875" bestFit="1" customWidth="1"/>
    <col min="7836" max="7836" width="14.44140625" customWidth="1"/>
    <col min="7837" max="7837" width="14.5546875" customWidth="1"/>
    <col min="7838" max="7838" width="54.5546875" bestFit="1" customWidth="1"/>
    <col min="7839" max="7839" width="20.77734375" bestFit="1" customWidth="1"/>
    <col min="7840" max="7849" width="4.77734375" customWidth="1"/>
    <col min="7851" max="7851" width="18.21875" bestFit="1" customWidth="1"/>
    <col min="8092" max="8092" width="14.44140625" customWidth="1"/>
    <col min="8093" max="8093" width="14.5546875" customWidth="1"/>
    <col min="8094" max="8094" width="54.5546875" bestFit="1" customWidth="1"/>
    <col min="8095" max="8095" width="20.77734375" bestFit="1" customWidth="1"/>
    <col min="8096" max="8105" width="4.77734375" customWidth="1"/>
    <col min="8107" max="8107" width="18.21875" bestFit="1" customWidth="1"/>
    <col min="8348" max="8348" width="14.44140625" customWidth="1"/>
    <col min="8349" max="8349" width="14.5546875" customWidth="1"/>
    <col min="8350" max="8350" width="54.5546875" bestFit="1" customWidth="1"/>
    <col min="8351" max="8351" width="20.77734375" bestFit="1" customWidth="1"/>
    <col min="8352" max="8361" width="4.77734375" customWidth="1"/>
    <col min="8363" max="8363" width="18.21875" bestFit="1" customWidth="1"/>
    <col min="8604" max="8604" width="14.44140625" customWidth="1"/>
    <col min="8605" max="8605" width="14.5546875" customWidth="1"/>
    <col min="8606" max="8606" width="54.5546875" bestFit="1" customWidth="1"/>
    <col min="8607" max="8607" width="20.77734375" bestFit="1" customWidth="1"/>
    <col min="8608" max="8617" width="4.77734375" customWidth="1"/>
    <col min="8619" max="8619" width="18.21875" bestFit="1" customWidth="1"/>
    <col min="8860" max="8860" width="14.44140625" customWidth="1"/>
    <col min="8861" max="8861" width="14.5546875" customWidth="1"/>
    <col min="8862" max="8862" width="54.5546875" bestFit="1" customWidth="1"/>
    <col min="8863" max="8863" width="20.77734375" bestFit="1" customWidth="1"/>
    <col min="8864" max="8873" width="4.77734375" customWidth="1"/>
    <col min="8875" max="8875" width="18.21875" bestFit="1" customWidth="1"/>
    <col min="9116" max="9116" width="14.44140625" customWidth="1"/>
    <col min="9117" max="9117" width="14.5546875" customWidth="1"/>
    <col min="9118" max="9118" width="54.5546875" bestFit="1" customWidth="1"/>
    <col min="9119" max="9119" width="20.77734375" bestFit="1" customWidth="1"/>
    <col min="9120" max="9129" width="4.77734375" customWidth="1"/>
    <col min="9131" max="9131" width="18.21875" bestFit="1" customWidth="1"/>
    <col min="9372" max="9372" width="14.44140625" customWidth="1"/>
    <col min="9373" max="9373" width="14.5546875" customWidth="1"/>
    <col min="9374" max="9374" width="54.5546875" bestFit="1" customWidth="1"/>
    <col min="9375" max="9375" width="20.77734375" bestFit="1" customWidth="1"/>
    <col min="9376" max="9385" width="4.77734375" customWidth="1"/>
    <col min="9387" max="9387" width="18.21875" bestFit="1" customWidth="1"/>
    <col min="9628" max="9628" width="14.44140625" customWidth="1"/>
    <col min="9629" max="9629" width="14.5546875" customWidth="1"/>
    <col min="9630" max="9630" width="54.5546875" bestFit="1" customWidth="1"/>
    <col min="9631" max="9631" width="20.77734375" bestFit="1" customWidth="1"/>
    <col min="9632" max="9641" width="4.77734375" customWidth="1"/>
    <col min="9643" max="9643" width="18.21875" bestFit="1" customWidth="1"/>
    <col min="9884" max="9884" width="14.44140625" customWidth="1"/>
    <col min="9885" max="9885" width="14.5546875" customWidth="1"/>
    <col min="9886" max="9886" width="54.5546875" bestFit="1" customWidth="1"/>
    <col min="9887" max="9887" width="20.77734375" bestFit="1" customWidth="1"/>
    <col min="9888" max="9897" width="4.77734375" customWidth="1"/>
    <col min="9899" max="9899" width="18.21875" bestFit="1" customWidth="1"/>
    <col min="10140" max="10140" width="14.44140625" customWidth="1"/>
    <col min="10141" max="10141" width="14.5546875" customWidth="1"/>
    <col min="10142" max="10142" width="54.5546875" bestFit="1" customWidth="1"/>
    <col min="10143" max="10143" width="20.77734375" bestFit="1" customWidth="1"/>
    <col min="10144" max="10153" width="4.77734375" customWidth="1"/>
    <col min="10155" max="10155" width="18.21875" bestFit="1" customWidth="1"/>
    <col min="10396" max="10396" width="14.44140625" customWidth="1"/>
    <col min="10397" max="10397" width="14.5546875" customWidth="1"/>
    <col min="10398" max="10398" width="54.5546875" bestFit="1" customWidth="1"/>
    <col min="10399" max="10399" width="20.77734375" bestFit="1" customWidth="1"/>
    <col min="10400" max="10409" width="4.77734375" customWidth="1"/>
    <col min="10411" max="10411" width="18.21875" bestFit="1" customWidth="1"/>
    <col min="10652" max="10652" width="14.44140625" customWidth="1"/>
    <col min="10653" max="10653" width="14.5546875" customWidth="1"/>
    <col min="10654" max="10654" width="54.5546875" bestFit="1" customWidth="1"/>
    <col min="10655" max="10655" width="20.77734375" bestFit="1" customWidth="1"/>
    <col min="10656" max="10665" width="4.77734375" customWidth="1"/>
    <col min="10667" max="10667" width="18.21875" bestFit="1" customWidth="1"/>
    <col min="10908" max="10908" width="14.44140625" customWidth="1"/>
    <col min="10909" max="10909" width="14.5546875" customWidth="1"/>
    <col min="10910" max="10910" width="54.5546875" bestFit="1" customWidth="1"/>
    <col min="10911" max="10911" width="20.77734375" bestFit="1" customWidth="1"/>
    <col min="10912" max="10921" width="4.77734375" customWidth="1"/>
    <col min="10923" max="10923" width="18.21875" bestFit="1" customWidth="1"/>
    <col min="11164" max="11164" width="14.44140625" customWidth="1"/>
    <col min="11165" max="11165" width="14.5546875" customWidth="1"/>
    <col min="11166" max="11166" width="54.5546875" bestFit="1" customWidth="1"/>
    <col min="11167" max="11167" width="20.77734375" bestFit="1" customWidth="1"/>
    <col min="11168" max="11177" width="4.77734375" customWidth="1"/>
    <col min="11179" max="11179" width="18.21875" bestFit="1" customWidth="1"/>
    <col min="11420" max="11420" width="14.44140625" customWidth="1"/>
    <col min="11421" max="11421" width="14.5546875" customWidth="1"/>
    <col min="11422" max="11422" width="54.5546875" bestFit="1" customWidth="1"/>
    <col min="11423" max="11423" width="20.77734375" bestFit="1" customWidth="1"/>
    <col min="11424" max="11433" width="4.77734375" customWidth="1"/>
    <col min="11435" max="11435" width="18.21875" bestFit="1" customWidth="1"/>
    <col min="11676" max="11676" width="14.44140625" customWidth="1"/>
    <col min="11677" max="11677" width="14.5546875" customWidth="1"/>
    <col min="11678" max="11678" width="54.5546875" bestFit="1" customWidth="1"/>
    <col min="11679" max="11679" width="20.77734375" bestFit="1" customWidth="1"/>
    <col min="11680" max="11689" width="4.77734375" customWidth="1"/>
    <col min="11691" max="11691" width="18.21875" bestFit="1" customWidth="1"/>
    <col min="11932" max="11932" width="14.44140625" customWidth="1"/>
    <col min="11933" max="11933" width="14.5546875" customWidth="1"/>
    <col min="11934" max="11934" width="54.5546875" bestFit="1" customWidth="1"/>
    <col min="11935" max="11935" width="20.77734375" bestFit="1" customWidth="1"/>
    <col min="11936" max="11945" width="4.77734375" customWidth="1"/>
    <col min="11947" max="11947" width="18.21875" bestFit="1" customWidth="1"/>
    <col min="12188" max="12188" width="14.44140625" customWidth="1"/>
    <col min="12189" max="12189" width="14.5546875" customWidth="1"/>
    <col min="12190" max="12190" width="54.5546875" bestFit="1" customWidth="1"/>
    <col min="12191" max="12191" width="20.77734375" bestFit="1" customWidth="1"/>
    <col min="12192" max="12201" width="4.77734375" customWidth="1"/>
    <col min="12203" max="12203" width="18.21875" bestFit="1" customWidth="1"/>
    <col min="12444" max="12444" width="14.44140625" customWidth="1"/>
    <col min="12445" max="12445" width="14.5546875" customWidth="1"/>
    <col min="12446" max="12446" width="54.5546875" bestFit="1" customWidth="1"/>
    <col min="12447" max="12447" width="20.77734375" bestFit="1" customWidth="1"/>
    <col min="12448" max="12457" width="4.77734375" customWidth="1"/>
    <col min="12459" max="12459" width="18.21875" bestFit="1" customWidth="1"/>
    <col min="12700" max="12700" width="14.44140625" customWidth="1"/>
    <col min="12701" max="12701" width="14.5546875" customWidth="1"/>
    <col min="12702" max="12702" width="54.5546875" bestFit="1" customWidth="1"/>
    <col min="12703" max="12703" width="20.77734375" bestFit="1" customWidth="1"/>
    <col min="12704" max="12713" width="4.77734375" customWidth="1"/>
    <col min="12715" max="12715" width="18.21875" bestFit="1" customWidth="1"/>
    <col min="12956" max="12956" width="14.44140625" customWidth="1"/>
    <col min="12957" max="12957" width="14.5546875" customWidth="1"/>
    <col min="12958" max="12958" width="54.5546875" bestFit="1" customWidth="1"/>
    <col min="12959" max="12959" width="20.77734375" bestFit="1" customWidth="1"/>
    <col min="12960" max="12969" width="4.77734375" customWidth="1"/>
    <col min="12971" max="12971" width="18.21875" bestFit="1" customWidth="1"/>
    <col min="13212" max="13212" width="14.44140625" customWidth="1"/>
    <col min="13213" max="13213" width="14.5546875" customWidth="1"/>
    <col min="13214" max="13214" width="54.5546875" bestFit="1" customWidth="1"/>
    <col min="13215" max="13215" width="20.77734375" bestFit="1" customWidth="1"/>
    <col min="13216" max="13225" width="4.77734375" customWidth="1"/>
    <col min="13227" max="13227" width="18.21875" bestFit="1" customWidth="1"/>
    <col min="13468" max="13468" width="14.44140625" customWidth="1"/>
    <col min="13469" max="13469" width="14.5546875" customWidth="1"/>
    <col min="13470" max="13470" width="54.5546875" bestFit="1" customWidth="1"/>
    <col min="13471" max="13471" width="20.77734375" bestFit="1" customWidth="1"/>
    <col min="13472" max="13481" width="4.77734375" customWidth="1"/>
    <col min="13483" max="13483" width="18.21875" bestFit="1" customWidth="1"/>
    <col min="13724" max="13724" width="14.44140625" customWidth="1"/>
    <col min="13725" max="13725" width="14.5546875" customWidth="1"/>
    <col min="13726" max="13726" width="54.5546875" bestFit="1" customWidth="1"/>
    <col min="13727" max="13727" width="20.77734375" bestFit="1" customWidth="1"/>
    <col min="13728" max="13737" width="4.77734375" customWidth="1"/>
    <col min="13739" max="13739" width="18.21875" bestFit="1" customWidth="1"/>
    <col min="13980" max="13980" width="14.44140625" customWidth="1"/>
    <col min="13981" max="13981" width="14.5546875" customWidth="1"/>
    <col min="13982" max="13982" width="54.5546875" bestFit="1" customWidth="1"/>
    <col min="13983" max="13983" width="20.77734375" bestFit="1" customWidth="1"/>
    <col min="13984" max="13993" width="4.77734375" customWidth="1"/>
    <col min="13995" max="13995" width="18.21875" bestFit="1" customWidth="1"/>
    <col min="14236" max="14236" width="14.44140625" customWidth="1"/>
    <col min="14237" max="14237" width="14.5546875" customWidth="1"/>
    <col min="14238" max="14238" width="54.5546875" bestFit="1" customWidth="1"/>
    <col min="14239" max="14239" width="20.77734375" bestFit="1" customWidth="1"/>
    <col min="14240" max="14249" width="4.77734375" customWidth="1"/>
    <col min="14251" max="14251" width="18.21875" bestFit="1" customWidth="1"/>
    <col min="14492" max="14492" width="14.44140625" customWidth="1"/>
    <col min="14493" max="14493" width="14.5546875" customWidth="1"/>
    <col min="14494" max="14494" width="54.5546875" bestFit="1" customWidth="1"/>
    <col min="14495" max="14495" width="20.77734375" bestFit="1" customWidth="1"/>
    <col min="14496" max="14505" width="4.77734375" customWidth="1"/>
    <col min="14507" max="14507" width="18.21875" bestFit="1" customWidth="1"/>
    <col min="14748" max="14748" width="14.44140625" customWidth="1"/>
    <col min="14749" max="14749" width="14.5546875" customWidth="1"/>
    <col min="14750" max="14750" width="54.5546875" bestFit="1" customWidth="1"/>
    <col min="14751" max="14751" width="20.77734375" bestFit="1" customWidth="1"/>
    <col min="14752" max="14761" width="4.77734375" customWidth="1"/>
    <col min="14763" max="14763" width="18.21875" bestFit="1" customWidth="1"/>
    <col min="15004" max="15004" width="14.44140625" customWidth="1"/>
    <col min="15005" max="15005" width="14.5546875" customWidth="1"/>
    <col min="15006" max="15006" width="54.5546875" bestFit="1" customWidth="1"/>
    <col min="15007" max="15007" width="20.77734375" bestFit="1" customWidth="1"/>
    <col min="15008" max="15017" width="4.77734375" customWidth="1"/>
    <col min="15019" max="15019" width="18.21875" bestFit="1" customWidth="1"/>
    <col min="15260" max="15260" width="14.44140625" customWidth="1"/>
    <col min="15261" max="15261" width="14.5546875" customWidth="1"/>
    <col min="15262" max="15262" width="54.5546875" bestFit="1" customWidth="1"/>
    <col min="15263" max="15263" width="20.77734375" bestFit="1" customWidth="1"/>
    <col min="15264" max="15273" width="4.77734375" customWidth="1"/>
    <col min="15275" max="15275" width="18.21875" bestFit="1" customWidth="1"/>
    <col min="15516" max="15516" width="14.44140625" customWidth="1"/>
    <col min="15517" max="15517" width="14.5546875" customWidth="1"/>
    <col min="15518" max="15518" width="54.5546875" bestFit="1" customWidth="1"/>
    <col min="15519" max="15519" width="20.77734375" bestFit="1" customWidth="1"/>
    <col min="15520" max="15529" width="4.77734375" customWidth="1"/>
    <col min="15531" max="15531" width="18.21875" bestFit="1" customWidth="1"/>
    <col min="15772" max="15772" width="14.44140625" customWidth="1"/>
    <col min="15773" max="15773" width="14.5546875" customWidth="1"/>
    <col min="15774" max="15774" width="54.5546875" bestFit="1" customWidth="1"/>
    <col min="15775" max="15775" width="20.77734375" bestFit="1" customWidth="1"/>
    <col min="15776" max="15785" width="4.77734375" customWidth="1"/>
    <col min="15787" max="15787" width="18.21875" bestFit="1" customWidth="1"/>
    <col min="16028" max="16028" width="14.44140625" customWidth="1"/>
    <col min="16029" max="16029" width="14.5546875" customWidth="1"/>
    <col min="16030" max="16030" width="54.5546875" bestFit="1" customWidth="1"/>
    <col min="16031" max="16031" width="20.77734375" bestFit="1" customWidth="1"/>
    <col min="16032" max="16041" width="4.77734375" customWidth="1"/>
    <col min="16043" max="16043" width="18.21875" bestFit="1" customWidth="1"/>
    <col min="16284" max="16284" width="14.44140625" customWidth="1"/>
    <col min="16285" max="16285" width="14.5546875" customWidth="1"/>
    <col min="16286" max="16286" width="54.5546875" bestFit="1" customWidth="1"/>
    <col min="16287" max="16287" width="20.77734375" bestFit="1" customWidth="1"/>
    <col min="16288" max="16297" width="4.77734375" customWidth="1"/>
    <col min="16299" max="16299" width="18.21875" bestFit="1" customWidth="1"/>
  </cols>
  <sheetData>
    <row r="1" spans="1:191" ht="15.6">
      <c r="A1" s="32" t="s">
        <v>2701</v>
      </c>
      <c r="S1" s="1793" t="s">
        <v>2701</v>
      </c>
      <c r="AI1" s="588" t="s">
        <v>2701</v>
      </c>
      <c r="AZ1" s="588" t="s">
        <v>2534</v>
      </c>
      <c r="BS1" s="41"/>
      <c r="BT1" s="41"/>
      <c r="BU1" s="41"/>
      <c r="BV1" s="41"/>
      <c r="BW1" s="41"/>
      <c r="BX1" s="41"/>
      <c r="BY1" s="41"/>
      <c r="BZ1" s="41"/>
      <c r="CA1" s="41"/>
      <c r="CB1" s="41"/>
      <c r="CC1" s="41"/>
      <c r="CD1" s="41"/>
      <c r="CE1" s="41"/>
      <c r="CF1" s="41"/>
      <c r="CG1" s="41"/>
      <c r="CH1" s="41"/>
      <c r="FA1" s="5666" t="s">
        <v>1307</v>
      </c>
      <c r="FB1" s="5666"/>
      <c r="FC1" s="5666"/>
      <c r="FD1" s="5666"/>
      <c r="FE1" s="5666"/>
      <c r="FF1" s="5666"/>
      <c r="FG1" s="5666"/>
      <c r="FH1" s="5666"/>
      <c r="FI1" s="5666"/>
      <c r="FJ1" s="5666"/>
      <c r="FK1" s="5666"/>
      <c r="FL1" s="5666"/>
      <c r="FM1" s="5666"/>
      <c r="FN1" s="5666"/>
      <c r="FO1" s="5666"/>
      <c r="FP1" s="5666"/>
    </row>
    <row r="2" spans="1:191" ht="15.6">
      <c r="A2" s="104" t="s">
        <v>2970</v>
      </c>
      <c r="S2" s="1787" t="s">
        <v>2969</v>
      </c>
      <c r="AI2" s="22" t="s">
        <v>2698</v>
      </c>
      <c r="AZ2" s="588" t="s">
        <v>2528</v>
      </c>
      <c r="BR2" s="588" t="s">
        <v>1933</v>
      </c>
      <c r="BS2" s="41"/>
      <c r="BT2" s="41"/>
      <c r="BU2" s="41"/>
      <c r="BV2" s="41"/>
      <c r="BW2" s="41"/>
      <c r="BX2" s="41"/>
      <c r="BY2" s="41"/>
      <c r="BZ2" s="41"/>
      <c r="CA2" s="41"/>
      <c r="CB2" s="41"/>
      <c r="CC2" s="41"/>
      <c r="CD2" s="41"/>
      <c r="CE2" s="41"/>
      <c r="CF2" s="41"/>
      <c r="CG2" s="41"/>
      <c r="CH2" s="41"/>
      <c r="CJ2" s="104" t="s">
        <v>1867</v>
      </c>
      <c r="DA2" s="588" t="s">
        <v>1336</v>
      </c>
      <c r="DR2" s="588" t="s">
        <v>1337</v>
      </c>
      <c r="EJ2" s="196" t="s">
        <v>1338</v>
      </c>
      <c r="EK2" s="470"/>
      <c r="EL2" s="470"/>
      <c r="EM2" s="470"/>
      <c r="EN2" s="470"/>
      <c r="EO2" s="470"/>
      <c r="EP2" s="470"/>
      <c r="EQ2" s="470"/>
      <c r="ER2" s="470"/>
      <c r="FA2" s="5667" t="s">
        <v>1339</v>
      </c>
      <c r="FB2" s="5667"/>
      <c r="FC2" s="5667"/>
      <c r="FD2" s="5667"/>
      <c r="FE2" s="5667"/>
      <c r="FF2" s="5667"/>
      <c r="FG2" s="5667"/>
      <c r="FH2" s="5667"/>
      <c r="FI2" s="5667"/>
      <c r="FJ2" s="5667"/>
      <c r="FK2" s="5667"/>
      <c r="FL2" s="5667"/>
      <c r="FM2" s="5667"/>
      <c r="FN2" s="5667"/>
      <c r="FO2" s="5667"/>
      <c r="FP2" s="5667"/>
      <c r="FQ2" s="471"/>
      <c r="FR2" s="471"/>
    </row>
    <row r="3" spans="1:191" ht="15.6">
      <c r="A3" s="32" t="s">
        <v>2948</v>
      </c>
      <c r="S3" s="1793" t="s">
        <v>2948</v>
      </c>
      <c r="AI3" s="1010" t="s">
        <v>2702</v>
      </c>
      <c r="AZ3" s="1010" t="s">
        <v>2535</v>
      </c>
      <c r="BA3" s="42"/>
      <c r="BB3" s="42"/>
      <c r="BC3" s="42"/>
      <c r="BD3" s="42"/>
      <c r="BE3" s="42"/>
      <c r="BF3" s="42"/>
      <c r="BG3" s="42"/>
      <c r="BH3" s="42"/>
      <c r="BI3" s="42"/>
      <c r="BJ3" s="42"/>
      <c r="BK3" s="42"/>
      <c r="BL3" s="42"/>
      <c r="BM3" s="42"/>
      <c r="BN3" s="42"/>
      <c r="BO3" s="42"/>
      <c r="BR3" s="32" t="s">
        <v>1930</v>
      </c>
      <c r="BS3" s="41"/>
      <c r="BT3" s="41"/>
      <c r="BU3" s="41"/>
      <c r="BV3" s="41"/>
      <c r="BW3" s="41"/>
      <c r="BX3" s="41"/>
      <c r="BY3" s="41"/>
      <c r="BZ3" s="41"/>
      <c r="CA3" s="41"/>
      <c r="CB3" s="41"/>
      <c r="CC3" s="41"/>
      <c r="CD3" s="41"/>
      <c r="CE3" s="41"/>
      <c r="CF3" s="41"/>
      <c r="CG3" s="41"/>
      <c r="CH3" s="41"/>
      <c r="CJ3" s="1389" t="s">
        <v>1863</v>
      </c>
      <c r="CK3" s="1355"/>
      <c r="CL3" s="1355"/>
      <c r="CM3" s="1355"/>
      <c r="CN3" s="1355"/>
      <c r="CO3" s="1355"/>
      <c r="CP3" s="1355"/>
      <c r="CQ3" s="1355"/>
      <c r="CR3" s="1355"/>
      <c r="CS3" s="1355"/>
      <c r="CT3" s="1355"/>
      <c r="CU3" s="1355"/>
      <c r="CV3" s="1355"/>
      <c r="CW3" s="1355"/>
      <c r="CX3" s="1355"/>
      <c r="DA3" s="32" t="s">
        <v>826</v>
      </c>
      <c r="DB3" s="589"/>
      <c r="DC3" s="589"/>
      <c r="DD3" s="589"/>
      <c r="DE3" s="589"/>
      <c r="DF3" s="589"/>
      <c r="DG3" s="589"/>
      <c r="DH3" s="589"/>
      <c r="DI3" s="589"/>
      <c r="DJ3" s="589"/>
      <c r="DK3" s="589"/>
      <c r="DL3" s="589"/>
      <c r="DM3" s="589"/>
      <c r="DN3" s="589"/>
      <c r="DO3" s="589"/>
      <c r="DR3" s="1390" t="s">
        <v>1311</v>
      </c>
      <c r="DS3" s="590"/>
      <c r="DT3" s="590"/>
      <c r="DU3" s="590"/>
      <c r="DV3" s="590"/>
      <c r="DW3" s="590"/>
      <c r="DX3" s="590"/>
      <c r="DY3" s="590"/>
      <c r="DZ3" s="590"/>
      <c r="EA3" s="590"/>
      <c r="EB3" s="590"/>
      <c r="EC3" s="590"/>
      <c r="ED3" s="590"/>
      <c r="EE3" s="590"/>
      <c r="EF3" s="590"/>
      <c r="EG3" s="590"/>
      <c r="EJ3" s="472" t="s">
        <v>1340</v>
      </c>
      <c r="EK3" s="472"/>
      <c r="EL3" s="472"/>
      <c r="EM3" s="472"/>
      <c r="EN3" s="472"/>
      <c r="EO3" s="472"/>
      <c r="EP3" s="472"/>
      <c r="EQ3" s="472"/>
      <c r="ER3" s="472"/>
      <c r="FA3" s="5646" t="s">
        <v>1313</v>
      </c>
      <c r="FB3" s="5646"/>
      <c r="FC3" s="5646"/>
      <c r="FD3" s="5646"/>
      <c r="FE3" s="5646"/>
      <c r="FF3" s="5646"/>
      <c r="FG3" s="5646"/>
      <c r="FH3" s="5646"/>
      <c r="FI3" s="5646"/>
      <c r="FJ3" s="5646"/>
      <c r="FK3" s="5646"/>
      <c r="FL3" s="5646"/>
      <c r="FM3" s="5646"/>
      <c r="FN3" s="5646"/>
      <c r="FO3" s="5646"/>
      <c r="FP3" s="5646"/>
      <c r="FR3" s="5647" t="s">
        <v>1341</v>
      </c>
      <c r="FS3" s="5647"/>
      <c r="FT3" s="5647"/>
      <c r="FU3" s="5647"/>
      <c r="FV3" s="5647"/>
      <c r="FW3" s="5647"/>
      <c r="FX3" s="5647"/>
      <c r="FY3" s="5647"/>
      <c r="FZ3" s="5647"/>
      <c r="GA3" s="5647"/>
      <c r="GB3" s="5647"/>
      <c r="GC3" s="5647"/>
      <c r="GD3" s="5647"/>
      <c r="GE3" s="5647"/>
      <c r="GF3" s="5647"/>
      <c r="GG3" s="5647"/>
      <c r="GH3" s="5647"/>
      <c r="GI3" s="5647"/>
    </row>
    <row r="4" spans="1:191">
      <c r="A4" s="2464" t="s">
        <v>2703</v>
      </c>
      <c r="S4" s="37" t="s">
        <v>2703</v>
      </c>
      <c r="AI4" s="42" t="s">
        <v>2703</v>
      </c>
      <c r="AZ4" s="42" t="s">
        <v>2536</v>
      </c>
      <c r="BA4" s="42"/>
      <c r="BB4" s="42"/>
      <c r="BC4" s="42"/>
      <c r="BD4" s="42"/>
      <c r="BE4" s="42"/>
      <c r="BF4" s="42"/>
      <c r="BG4" s="42"/>
      <c r="BH4" s="42"/>
      <c r="BI4" s="42"/>
      <c r="BJ4" s="42"/>
      <c r="BK4" s="42"/>
      <c r="BL4" s="42"/>
      <c r="BM4" s="42"/>
      <c r="BN4" s="42"/>
      <c r="BO4" s="42"/>
      <c r="BR4" t="s">
        <v>1934</v>
      </c>
      <c r="BS4" s="41"/>
      <c r="BT4" s="41"/>
      <c r="BU4" s="41"/>
      <c r="BV4" s="41"/>
      <c r="BW4" s="41"/>
      <c r="BX4" s="41"/>
      <c r="BY4" s="41"/>
      <c r="BZ4" s="41"/>
      <c r="CA4" s="41"/>
      <c r="CB4" s="41"/>
      <c r="CC4" s="41"/>
      <c r="CD4" s="41"/>
      <c r="CE4" s="41"/>
      <c r="CF4" s="41"/>
      <c r="CG4" s="41"/>
      <c r="CH4" s="41"/>
      <c r="CJ4" s="1010" t="s">
        <v>1868</v>
      </c>
      <c r="CK4" s="1356"/>
      <c r="CL4" s="1356"/>
      <c r="CM4" s="1356"/>
      <c r="CN4" s="1356"/>
      <c r="CO4" s="1356"/>
      <c r="CP4" s="1356"/>
      <c r="CQ4" s="1356"/>
      <c r="CR4" s="1356"/>
      <c r="CS4" s="1356"/>
      <c r="CT4" s="1356"/>
      <c r="CU4" s="1356"/>
      <c r="CV4" s="1356"/>
      <c r="CW4" s="1356"/>
      <c r="CX4" s="1356"/>
      <c r="DA4" s="68" t="s">
        <v>1315</v>
      </c>
      <c r="DB4" s="591"/>
      <c r="DC4" s="591"/>
      <c r="DD4" s="591"/>
      <c r="DE4" s="591"/>
      <c r="DF4" s="591"/>
      <c r="DG4" s="591"/>
      <c r="DH4" s="591"/>
      <c r="DI4" s="591"/>
      <c r="DJ4" s="591"/>
      <c r="DK4" s="591"/>
      <c r="DL4" s="591"/>
      <c r="DM4" s="591"/>
      <c r="DN4" s="591"/>
      <c r="DO4" s="591"/>
      <c r="DR4" s="477" t="s">
        <v>1342</v>
      </c>
      <c r="DS4" s="592"/>
      <c r="DT4" s="592"/>
      <c r="DU4" s="592"/>
      <c r="DV4" s="592"/>
      <c r="DW4" s="592"/>
      <c r="DX4" s="592"/>
      <c r="DY4" s="592"/>
      <c r="DZ4" s="592"/>
      <c r="EA4" s="592"/>
      <c r="EB4" s="592"/>
      <c r="EC4" s="592"/>
      <c r="ED4" s="592"/>
      <c r="EE4" s="592"/>
      <c r="EF4" s="592"/>
      <c r="EG4" s="592"/>
      <c r="FP4" s="68"/>
    </row>
    <row r="5" spans="1:191">
      <c r="A5" s="3500"/>
      <c r="B5" s="3500"/>
      <c r="C5" s="2486"/>
      <c r="D5" s="2486"/>
      <c r="E5" s="5644" t="s">
        <v>1317</v>
      </c>
      <c r="F5" s="5644"/>
      <c r="G5" s="5644"/>
      <c r="H5" s="5644"/>
      <c r="I5" s="5644"/>
      <c r="J5" s="5644"/>
      <c r="K5" s="5644"/>
      <c r="L5" s="5644"/>
      <c r="M5" s="5644"/>
      <c r="N5" s="5644"/>
      <c r="O5" s="5644"/>
      <c r="P5" s="2486"/>
      <c r="Q5" s="4800"/>
      <c r="S5" s="4696"/>
      <c r="T5" s="4696"/>
      <c r="U5" s="4696"/>
      <c r="V5" s="4696"/>
      <c r="W5" s="5651" t="s">
        <v>1317</v>
      </c>
      <c r="X5" s="5651"/>
      <c r="Y5" s="5651"/>
      <c r="Z5" s="5651"/>
      <c r="AA5" s="5651"/>
      <c r="AB5" s="5651"/>
      <c r="AC5" s="5651"/>
      <c r="AD5" s="5651"/>
      <c r="AE5" s="5651"/>
      <c r="AF5" s="4696"/>
      <c r="AI5" s="2459"/>
      <c r="AJ5" s="2459"/>
      <c r="AK5" s="2459"/>
      <c r="AL5" s="2459"/>
      <c r="AM5" s="5659" t="s">
        <v>1317</v>
      </c>
      <c r="AN5" s="5659"/>
      <c r="AO5" s="5659"/>
      <c r="AP5" s="5659"/>
      <c r="AQ5" s="5659"/>
      <c r="AR5" s="5659"/>
      <c r="AS5" s="5659"/>
      <c r="AT5" s="5659"/>
      <c r="AU5" s="2459"/>
      <c r="AV5" s="2459"/>
      <c r="AW5" s="2459"/>
      <c r="AX5" s="105"/>
      <c r="AZ5" s="32"/>
      <c r="BA5" s="32"/>
      <c r="BB5" s="32"/>
      <c r="BC5" s="484"/>
      <c r="BD5" s="5653" t="s">
        <v>1317</v>
      </c>
      <c r="BE5" s="5653"/>
      <c r="BF5" s="5653"/>
      <c r="BG5" s="5653"/>
      <c r="BH5" s="5653"/>
      <c r="BI5" s="5653"/>
      <c r="BJ5" s="5653"/>
      <c r="BK5" s="5653"/>
      <c r="BL5" s="5653"/>
      <c r="BM5" s="5653"/>
      <c r="BN5" s="5653"/>
      <c r="BO5" s="32"/>
      <c r="BR5" s="461"/>
      <c r="BS5" s="461"/>
      <c r="BT5" s="461"/>
      <c r="BU5" s="461"/>
      <c r="BV5" s="5660" t="s">
        <v>1317</v>
      </c>
      <c r="BW5" s="5660"/>
      <c r="BX5" s="5660"/>
      <c r="BY5" s="5660"/>
      <c r="BZ5" s="5660"/>
      <c r="CA5" s="5660"/>
      <c r="CB5" s="5660"/>
      <c r="CC5" s="5660"/>
      <c r="CD5" s="5660"/>
      <c r="CE5" s="5660"/>
      <c r="CF5" s="5660"/>
      <c r="CG5" s="461"/>
      <c r="CH5" s="461"/>
      <c r="CJ5" s="145"/>
      <c r="CK5" s="1357"/>
      <c r="CL5" s="1357"/>
      <c r="CM5" s="1357"/>
      <c r="CN5" s="5662" t="s">
        <v>1317</v>
      </c>
      <c r="CO5" s="5663"/>
      <c r="CP5" s="5663"/>
      <c r="CQ5" s="5663"/>
      <c r="CR5" s="5663"/>
      <c r="CS5" s="5663"/>
      <c r="CT5" s="5663"/>
      <c r="CU5" s="5663"/>
      <c r="CV5" s="5663"/>
      <c r="CW5" s="5663"/>
      <c r="CX5" s="5664"/>
      <c r="CY5" s="107"/>
      <c r="DA5" s="32"/>
      <c r="DB5" s="593"/>
      <c r="DC5" s="593"/>
      <c r="DD5" s="593"/>
      <c r="DE5" s="5668" t="s">
        <v>1317</v>
      </c>
      <c r="DF5" s="5668"/>
      <c r="DG5" s="5668"/>
      <c r="DH5" s="5668"/>
      <c r="DI5" s="5668"/>
      <c r="DJ5" s="5668"/>
      <c r="DK5" s="5668"/>
      <c r="DL5" s="5668"/>
      <c r="DM5" s="5668"/>
      <c r="DN5" s="5668"/>
      <c r="DO5" s="32"/>
      <c r="DR5" s="32"/>
      <c r="DS5" s="594"/>
      <c r="DT5" s="594"/>
      <c r="DU5" s="594"/>
      <c r="DV5" s="5669" t="s">
        <v>1317</v>
      </c>
      <c r="DW5" s="5669"/>
      <c r="DX5" s="5669"/>
      <c r="DY5" s="5669"/>
      <c r="DZ5" s="5669"/>
      <c r="EA5" s="5669"/>
      <c r="EB5" s="5669"/>
      <c r="EC5" s="5669"/>
      <c r="ED5" s="5669"/>
      <c r="EE5" s="5669"/>
      <c r="EF5" s="5669"/>
      <c r="EG5" s="32"/>
      <c r="EJ5" s="482"/>
      <c r="EK5" s="595"/>
      <c r="EL5" s="595"/>
      <c r="EM5" s="595"/>
      <c r="EN5" s="5661" t="s">
        <v>1318</v>
      </c>
      <c r="EO5" s="5661"/>
      <c r="EP5" s="5661"/>
      <c r="EQ5" s="5661"/>
      <c r="ER5" s="5661"/>
      <c r="ES5" s="5661"/>
      <c r="ET5" s="5661"/>
      <c r="EU5" s="5661"/>
      <c r="EV5" s="5661"/>
      <c r="EW5" s="5661"/>
      <c r="EX5" s="482"/>
      <c r="FA5" s="454"/>
      <c r="FB5" s="454"/>
      <c r="FC5" s="484"/>
      <c r="FD5" s="484" t="s">
        <v>327</v>
      </c>
      <c r="FE5" s="5643" t="s">
        <v>1319</v>
      </c>
      <c r="FF5" s="5643"/>
      <c r="FG5" s="5643"/>
      <c r="FH5" s="5643"/>
      <c r="FI5" s="5643"/>
      <c r="FJ5" s="5643"/>
      <c r="FK5" s="5643"/>
      <c r="FL5" s="5643"/>
      <c r="FM5" s="5643"/>
      <c r="FN5" s="5643"/>
      <c r="FO5" s="484"/>
      <c r="FP5" s="484"/>
      <c r="FQ5" s="42"/>
      <c r="FR5" s="42"/>
      <c r="FS5" s="42"/>
      <c r="FT5" s="42"/>
      <c r="FU5" s="42"/>
      <c r="FV5" s="5670" t="s">
        <v>1319</v>
      </c>
      <c r="FW5" s="5670"/>
      <c r="FX5" s="5670"/>
      <c r="FY5" s="5670"/>
      <c r="FZ5" s="5670"/>
      <c r="GA5" s="5670"/>
      <c r="GB5" s="5670"/>
      <c r="GC5" s="5670"/>
      <c r="GD5" s="5670"/>
      <c r="GE5" s="5670"/>
      <c r="GF5" s="5670"/>
      <c r="GG5" s="95"/>
      <c r="GH5" s="42"/>
      <c r="GI5" s="42"/>
    </row>
    <row r="6" spans="1:191" s="129" customFormat="1" ht="29.4" thickBot="1">
      <c r="A6" s="2291" t="s">
        <v>0</v>
      </c>
      <c r="B6" s="2291" t="s">
        <v>1</v>
      </c>
      <c r="C6" s="4581" t="s">
        <v>2</v>
      </c>
      <c r="D6" s="4581" t="s">
        <v>1229</v>
      </c>
      <c r="E6" s="4605">
        <v>0</v>
      </c>
      <c r="F6" s="4605">
        <v>1</v>
      </c>
      <c r="G6" s="4605">
        <v>2</v>
      </c>
      <c r="H6" s="4605">
        <v>3</v>
      </c>
      <c r="I6" s="4605">
        <v>4</v>
      </c>
      <c r="J6" s="4605">
        <v>5</v>
      </c>
      <c r="K6" s="4605">
        <v>6</v>
      </c>
      <c r="L6" s="4605">
        <v>7</v>
      </c>
      <c r="M6" s="4605">
        <v>8</v>
      </c>
      <c r="N6" s="4582">
        <v>9</v>
      </c>
      <c r="O6" s="4582">
        <v>10</v>
      </c>
      <c r="P6" s="4582" t="s">
        <v>15</v>
      </c>
      <c r="Q6" s="4801" t="s">
        <v>66</v>
      </c>
      <c r="R6" s="4800"/>
      <c r="S6" s="4698" t="s">
        <v>0</v>
      </c>
      <c r="T6" s="4698" t="s">
        <v>1</v>
      </c>
      <c r="U6" s="4698" t="s">
        <v>2</v>
      </c>
      <c r="V6" s="4698" t="s">
        <v>1229</v>
      </c>
      <c r="W6" s="4802">
        <v>1</v>
      </c>
      <c r="X6" s="4802">
        <v>2</v>
      </c>
      <c r="Y6" s="4802">
        <v>3</v>
      </c>
      <c r="Z6" s="4802">
        <v>4</v>
      </c>
      <c r="AA6" s="4802">
        <v>5</v>
      </c>
      <c r="AB6" s="4802">
        <v>6</v>
      </c>
      <c r="AC6" s="4802">
        <v>7</v>
      </c>
      <c r="AD6" s="4802">
        <v>8</v>
      </c>
      <c r="AE6" s="4697">
        <v>9</v>
      </c>
      <c r="AF6" s="4697" t="s">
        <v>15</v>
      </c>
      <c r="AG6" s="4699" t="s">
        <v>66</v>
      </c>
      <c r="AH6" s="2552"/>
      <c r="AI6" s="466" t="s">
        <v>0</v>
      </c>
      <c r="AJ6" s="466" t="s">
        <v>1</v>
      </c>
      <c r="AK6" s="466" t="s">
        <v>2</v>
      </c>
      <c r="AL6" s="466" t="s">
        <v>1229</v>
      </c>
      <c r="AM6" s="2000">
        <v>1</v>
      </c>
      <c r="AN6" s="2000">
        <v>2</v>
      </c>
      <c r="AO6" s="2000">
        <v>3</v>
      </c>
      <c r="AP6" s="2000">
        <v>4</v>
      </c>
      <c r="AQ6" s="2000">
        <v>5</v>
      </c>
      <c r="AR6" s="2000">
        <v>6</v>
      </c>
      <c r="AS6" s="2000">
        <v>7</v>
      </c>
      <c r="AT6" s="2000">
        <v>8</v>
      </c>
      <c r="AU6" s="466">
        <v>9</v>
      </c>
      <c r="AV6" s="466">
        <v>10</v>
      </c>
      <c r="AW6" s="466" t="s">
        <v>15</v>
      </c>
      <c r="AX6" s="1643" t="s">
        <v>66</v>
      </c>
      <c r="AY6" s="2481"/>
      <c r="AZ6" s="491" t="s">
        <v>0</v>
      </c>
      <c r="BA6" s="491" t="s">
        <v>1</v>
      </c>
      <c r="BB6" s="491" t="s">
        <v>2</v>
      </c>
      <c r="BC6" s="491" t="s">
        <v>1229</v>
      </c>
      <c r="BD6" s="1991">
        <v>0</v>
      </c>
      <c r="BE6" s="1991">
        <v>1</v>
      </c>
      <c r="BF6" s="1991">
        <v>2</v>
      </c>
      <c r="BG6" s="1991">
        <v>3</v>
      </c>
      <c r="BH6" s="1991">
        <v>4</v>
      </c>
      <c r="BI6" s="1991">
        <v>5</v>
      </c>
      <c r="BJ6" s="1991">
        <v>6</v>
      </c>
      <c r="BK6" s="1991">
        <v>7</v>
      </c>
      <c r="BL6" s="1991">
        <v>8</v>
      </c>
      <c r="BM6" s="491">
        <v>9</v>
      </c>
      <c r="BN6" s="491">
        <v>10</v>
      </c>
      <c r="BO6" s="491" t="s">
        <v>15</v>
      </c>
      <c r="BP6" s="560" t="s">
        <v>66</v>
      </c>
      <c r="BR6" s="466" t="s">
        <v>0</v>
      </c>
      <c r="BS6" s="466" t="s">
        <v>1</v>
      </c>
      <c r="BT6" s="466" t="s">
        <v>2</v>
      </c>
      <c r="BU6" s="466" t="s">
        <v>1229</v>
      </c>
      <c r="BV6" s="1658">
        <v>0</v>
      </c>
      <c r="BW6" s="1658">
        <v>1</v>
      </c>
      <c r="BX6" s="1658">
        <v>2</v>
      </c>
      <c r="BY6" s="1658">
        <v>3</v>
      </c>
      <c r="BZ6" s="1658">
        <v>4</v>
      </c>
      <c r="CA6" s="1658">
        <v>5</v>
      </c>
      <c r="CB6" s="1658">
        <v>6</v>
      </c>
      <c r="CC6" s="1658">
        <v>7</v>
      </c>
      <c r="CD6" s="1658">
        <v>8</v>
      </c>
      <c r="CE6" s="466">
        <v>9</v>
      </c>
      <c r="CF6" s="466">
        <v>10</v>
      </c>
      <c r="CG6" s="466" t="s">
        <v>15</v>
      </c>
      <c r="CH6" s="1643" t="s">
        <v>66</v>
      </c>
      <c r="CJ6" s="558" t="s">
        <v>0</v>
      </c>
      <c r="CK6" s="558" t="s">
        <v>1</v>
      </c>
      <c r="CL6" s="558" t="s">
        <v>2</v>
      </c>
      <c r="CM6" s="558" t="s">
        <v>1229</v>
      </c>
      <c r="CN6" s="558">
        <v>1</v>
      </c>
      <c r="CO6" s="558">
        <v>2</v>
      </c>
      <c r="CP6" s="558">
        <v>3</v>
      </c>
      <c r="CQ6" s="558">
        <v>4</v>
      </c>
      <c r="CR6" s="558">
        <v>5</v>
      </c>
      <c r="CS6" s="558">
        <v>6</v>
      </c>
      <c r="CT6" s="558">
        <v>7</v>
      </c>
      <c r="CU6" s="558">
        <v>8</v>
      </c>
      <c r="CV6" s="558">
        <v>9</v>
      </c>
      <c r="CW6" s="558">
        <v>10</v>
      </c>
      <c r="CX6" s="1358" t="s">
        <v>15</v>
      </c>
      <c r="CY6" s="1318" t="s">
        <v>66</v>
      </c>
      <c r="DA6" s="596" t="s">
        <v>0</v>
      </c>
      <c r="DB6" s="596" t="s">
        <v>1</v>
      </c>
      <c r="DC6" s="596" t="s">
        <v>2</v>
      </c>
      <c r="DD6" s="596" t="s">
        <v>1229</v>
      </c>
      <c r="DE6" s="596">
        <v>1</v>
      </c>
      <c r="DF6" s="596">
        <v>2</v>
      </c>
      <c r="DG6" s="596">
        <v>3</v>
      </c>
      <c r="DH6" s="596">
        <v>4</v>
      </c>
      <c r="DI6" s="596">
        <v>5</v>
      </c>
      <c r="DJ6" s="596">
        <v>6</v>
      </c>
      <c r="DK6" s="596">
        <v>7</v>
      </c>
      <c r="DL6" s="596">
        <v>8</v>
      </c>
      <c r="DM6" s="596">
        <v>9</v>
      </c>
      <c r="DN6" s="596">
        <v>10</v>
      </c>
      <c r="DO6" s="596" t="s">
        <v>15</v>
      </c>
      <c r="DP6" s="597" t="s">
        <v>66</v>
      </c>
      <c r="DR6" s="598" t="s">
        <v>0</v>
      </c>
      <c r="DS6" s="598" t="s">
        <v>1</v>
      </c>
      <c r="DT6" s="598" t="s">
        <v>2</v>
      </c>
      <c r="DU6" s="598" t="s">
        <v>1229</v>
      </c>
      <c r="DV6" s="598">
        <v>0</v>
      </c>
      <c r="DW6" s="598">
        <v>1</v>
      </c>
      <c r="DX6" s="598">
        <v>2</v>
      </c>
      <c r="DY6" s="598">
        <v>3</v>
      </c>
      <c r="DZ6" s="598">
        <v>4</v>
      </c>
      <c r="EA6" s="598">
        <v>5</v>
      </c>
      <c r="EB6" s="598">
        <v>6</v>
      </c>
      <c r="EC6" s="598">
        <v>7</v>
      </c>
      <c r="ED6" s="598">
        <v>8</v>
      </c>
      <c r="EE6" s="598">
        <v>9</v>
      </c>
      <c r="EF6" s="598">
        <v>10</v>
      </c>
      <c r="EG6" s="598" t="s">
        <v>15</v>
      </c>
      <c r="EH6" s="599" t="s">
        <v>1320</v>
      </c>
      <c r="EJ6" s="600" t="s">
        <v>0</v>
      </c>
      <c r="EK6" s="600" t="s">
        <v>1</v>
      </c>
      <c r="EL6" s="600" t="s">
        <v>2</v>
      </c>
      <c r="EM6" s="600" t="s">
        <v>1229</v>
      </c>
      <c r="EN6" s="600">
        <v>1</v>
      </c>
      <c r="EO6" s="600">
        <v>2</v>
      </c>
      <c r="EP6" s="600">
        <v>3</v>
      </c>
      <c r="EQ6" s="600">
        <v>4</v>
      </c>
      <c r="ER6" s="600">
        <v>5</v>
      </c>
      <c r="ES6" s="600">
        <v>6</v>
      </c>
      <c r="ET6" s="600">
        <v>7</v>
      </c>
      <c r="EU6" s="600">
        <v>8</v>
      </c>
      <c r="EV6" s="600">
        <v>9</v>
      </c>
      <c r="EW6" s="600">
        <v>10</v>
      </c>
      <c r="EX6" s="600" t="s">
        <v>15</v>
      </c>
      <c r="EY6" s="490" t="s">
        <v>66</v>
      </c>
      <c r="FA6" s="491" t="s">
        <v>0</v>
      </c>
      <c r="FB6" s="491" t="s">
        <v>1</v>
      </c>
      <c r="FC6" s="491" t="s">
        <v>2</v>
      </c>
      <c r="FD6" s="491" t="s">
        <v>1229</v>
      </c>
      <c r="FE6" s="491">
        <v>1</v>
      </c>
      <c r="FF6" s="491">
        <v>2</v>
      </c>
      <c r="FG6" s="491">
        <v>3</v>
      </c>
      <c r="FH6" s="491">
        <v>4</v>
      </c>
      <c r="FI6" s="491">
        <v>5</v>
      </c>
      <c r="FJ6" s="491">
        <v>6</v>
      </c>
      <c r="FK6" s="491">
        <v>7</v>
      </c>
      <c r="FL6" s="491">
        <v>8</v>
      </c>
      <c r="FM6" s="491">
        <v>9</v>
      </c>
      <c r="FN6" s="491">
        <v>10</v>
      </c>
      <c r="FO6" s="491" t="s">
        <v>15</v>
      </c>
      <c r="FP6" s="492" t="s">
        <v>66</v>
      </c>
      <c r="FQ6" s="70"/>
      <c r="FR6" s="601" t="s">
        <v>0</v>
      </c>
      <c r="FS6" s="601" t="s">
        <v>1</v>
      </c>
      <c r="FT6" s="601" t="s">
        <v>2</v>
      </c>
      <c r="FU6" s="601" t="s">
        <v>1321</v>
      </c>
      <c r="FV6" s="601">
        <v>0</v>
      </c>
      <c r="FW6" s="601">
        <v>1</v>
      </c>
      <c r="FX6" s="601">
        <v>2</v>
      </c>
      <c r="FY6" s="601">
        <v>3</v>
      </c>
      <c r="FZ6" s="601">
        <v>4</v>
      </c>
      <c r="GA6" s="601">
        <v>5</v>
      </c>
      <c r="GB6" s="601">
        <v>6</v>
      </c>
      <c r="GC6" s="601">
        <v>7</v>
      </c>
      <c r="GD6" s="601">
        <v>8</v>
      </c>
      <c r="GE6" s="601">
        <v>9</v>
      </c>
      <c r="GF6" s="601">
        <v>10</v>
      </c>
      <c r="GG6" s="601" t="s">
        <v>15</v>
      </c>
      <c r="GH6" s="601" t="s">
        <v>66</v>
      </c>
      <c r="GI6" s="496" t="s">
        <v>1322</v>
      </c>
    </row>
    <row r="7" spans="1:191">
      <c r="A7" s="167" t="s">
        <v>3</v>
      </c>
      <c r="B7" s="167" t="s">
        <v>4</v>
      </c>
      <c r="C7" s="4800" t="s">
        <v>114</v>
      </c>
      <c r="D7" s="4800" t="s">
        <v>1231</v>
      </c>
      <c r="E7" s="4606">
        <v>0</v>
      </c>
      <c r="F7" s="4606">
        <v>1</v>
      </c>
      <c r="G7" s="4606"/>
      <c r="H7" s="4606"/>
      <c r="I7" s="4606">
        <v>0</v>
      </c>
      <c r="J7" s="4606"/>
      <c r="K7" s="4606"/>
      <c r="L7" s="4606">
        <v>0</v>
      </c>
      <c r="M7" s="4606">
        <v>0</v>
      </c>
      <c r="N7" s="2552"/>
      <c r="O7" s="2552"/>
      <c r="P7" s="2552">
        <v>1</v>
      </c>
      <c r="Q7" s="2552"/>
      <c r="S7" s="37" t="s">
        <v>3</v>
      </c>
      <c r="T7" s="37" t="s">
        <v>4</v>
      </c>
      <c r="U7" s="37" t="s">
        <v>114</v>
      </c>
      <c r="V7" s="37" t="s">
        <v>1231</v>
      </c>
      <c r="W7" s="4803">
        <v>1</v>
      </c>
      <c r="X7" s="4803"/>
      <c r="Y7" s="4803"/>
      <c r="Z7" s="4803">
        <v>0</v>
      </c>
      <c r="AA7" s="4803"/>
      <c r="AB7" s="4803"/>
      <c r="AC7" s="4803">
        <v>0</v>
      </c>
      <c r="AD7" s="4803">
        <v>0</v>
      </c>
      <c r="AE7" s="1788"/>
      <c r="AF7" s="1788">
        <v>1</v>
      </c>
      <c r="AI7" s="41" t="s">
        <v>3</v>
      </c>
      <c r="AJ7" s="41" t="s">
        <v>4</v>
      </c>
      <c r="AK7" s="41" t="s">
        <v>114</v>
      </c>
      <c r="AL7" s="41" t="s">
        <v>1231</v>
      </c>
      <c r="AM7" s="2001"/>
      <c r="AN7" s="2001"/>
      <c r="AO7" s="2001">
        <v>1</v>
      </c>
      <c r="AP7" s="2001">
        <v>1</v>
      </c>
      <c r="AQ7" s="2001">
        <v>0</v>
      </c>
      <c r="AR7" s="2001">
        <v>0</v>
      </c>
      <c r="AS7" s="2001">
        <v>0</v>
      </c>
      <c r="AT7" s="2001">
        <v>0</v>
      </c>
      <c r="AU7" s="105"/>
      <c r="AV7" s="105">
        <v>0</v>
      </c>
      <c r="AW7" s="105">
        <v>2</v>
      </c>
      <c r="AX7" s="41"/>
      <c r="AZ7" s="42" t="s">
        <v>3</v>
      </c>
      <c r="BA7" s="42" t="s">
        <v>4</v>
      </c>
      <c r="BB7" s="42" t="s">
        <v>114</v>
      </c>
      <c r="BC7" s="42" t="s">
        <v>1231</v>
      </c>
      <c r="BD7" s="1993"/>
      <c r="BE7" s="1993">
        <v>3</v>
      </c>
      <c r="BF7" s="1993"/>
      <c r="BG7" s="1993"/>
      <c r="BH7" s="1993"/>
      <c r="BI7" s="1993">
        <v>0</v>
      </c>
      <c r="BJ7" s="1993"/>
      <c r="BK7" s="1993"/>
      <c r="BL7" s="1993"/>
      <c r="BM7" s="70"/>
      <c r="BN7" s="70">
        <v>0</v>
      </c>
      <c r="BO7" s="70">
        <v>3</v>
      </c>
      <c r="BR7" s="105" t="s">
        <v>3</v>
      </c>
      <c r="BS7" s="105" t="s">
        <v>4</v>
      </c>
      <c r="BT7" s="41" t="s">
        <v>115</v>
      </c>
      <c r="BU7" s="41" t="s">
        <v>1231</v>
      </c>
      <c r="BV7" s="1659">
        <v>0</v>
      </c>
      <c r="BW7" s="1659">
        <v>1</v>
      </c>
      <c r="BX7" s="1659"/>
      <c r="BY7" s="1659"/>
      <c r="BZ7" s="1659"/>
      <c r="CA7" s="1659"/>
      <c r="CB7" s="1659">
        <v>4</v>
      </c>
      <c r="CC7" s="1659">
        <v>11</v>
      </c>
      <c r="CD7" s="1659">
        <v>1</v>
      </c>
      <c r="CE7" s="105">
        <v>1</v>
      </c>
      <c r="CF7" s="105"/>
      <c r="CG7" s="105">
        <v>18</v>
      </c>
      <c r="CH7" s="105"/>
      <c r="CJ7" s="1359" t="s">
        <v>3</v>
      </c>
      <c r="CK7" s="1359" t="s">
        <v>4</v>
      </c>
      <c r="CL7" s="1360" t="s">
        <v>115</v>
      </c>
      <c r="CM7" s="1361" t="s">
        <v>1230</v>
      </c>
      <c r="CN7" s="1362"/>
      <c r="CO7" s="1363">
        <v>0</v>
      </c>
      <c r="CP7" s="1363">
        <v>0</v>
      </c>
      <c r="CQ7" s="1362"/>
      <c r="CR7" s="1362"/>
      <c r="CS7" s="1363">
        <v>1</v>
      </c>
      <c r="CT7" s="1363">
        <v>1</v>
      </c>
      <c r="CU7" s="1363">
        <v>1</v>
      </c>
      <c r="CV7" s="686"/>
      <c r="CW7" s="686"/>
      <c r="CX7" s="687">
        <v>3</v>
      </c>
      <c r="CY7" s="41"/>
      <c r="DA7" s="602" t="s">
        <v>3</v>
      </c>
      <c r="DB7" s="602" t="s">
        <v>4</v>
      </c>
      <c r="DC7" s="603" t="s">
        <v>115</v>
      </c>
      <c r="DD7" s="604" t="s">
        <v>1230</v>
      </c>
      <c r="DE7" s="605"/>
      <c r="DF7" s="605"/>
      <c r="DG7" s="605"/>
      <c r="DH7" s="605"/>
      <c r="DI7" s="605"/>
      <c r="DJ7" s="606">
        <v>0</v>
      </c>
      <c r="DK7" s="606">
        <v>0</v>
      </c>
      <c r="DL7" s="606">
        <v>1</v>
      </c>
      <c r="DM7" s="602"/>
      <c r="DN7" s="602"/>
      <c r="DO7" s="607">
        <v>1</v>
      </c>
      <c r="DP7" s="105"/>
      <c r="DR7" s="608" t="s">
        <v>3</v>
      </c>
      <c r="DS7" s="608" t="s">
        <v>4</v>
      </c>
      <c r="DT7" s="608" t="s">
        <v>114</v>
      </c>
      <c r="DU7" s="609" t="s">
        <v>1231</v>
      </c>
      <c r="DV7" s="610"/>
      <c r="DW7" s="611">
        <v>1</v>
      </c>
      <c r="DX7" s="611">
        <v>2</v>
      </c>
      <c r="DY7" s="610"/>
      <c r="DZ7" s="610"/>
      <c r="EA7" s="610"/>
      <c r="EB7" s="610"/>
      <c r="EC7" s="610"/>
      <c r="ED7" s="610"/>
      <c r="EE7" s="612"/>
      <c r="EF7" s="612"/>
      <c r="EG7" s="613">
        <v>3</v>
      </c>
      <c r="EH7" s="614"/>
      <c r="EJ7" s="615" t="s">
        <v>3</v>
      </c>
      <c r="EK7" s="615" t="s">
        <v>4</v>
      </c>
      <c r="EL7" s="615" t="s">
        <v>114</v>
      </c>
      <c r="EM7" s="616" t="s">
        <v>1230</v>
      </c>
      <c r="EN7" s="617"/>
      <c r="EO7" s="617"/>
      <c r="EP7" s="618">
        <v>0</v>
      </c>
      <c r="EQ7" s="618">
        <v>0</v>
      </c>
      <c r="ER7" s="617"/>
      <c r="ES7" s="617"/>
      <c r="ET7" s="617"/>
      <c r="EU7" s="618">
        <v>1</v>
      </c>
      <c r="EV7" s="618">
        <v>0</v>
      </c>
      <c r="EW7" s="618">
        <v>2</v>
      </c>
      <c r="EX7" s="618">
        <v>3</v>
      </c>
      <c r="EY7" s="515"/>
      <c r="FA7" s="70" t="s">
        <v>3</v>
      </c>
      <c r="FB7" s="70" t="s">
        <v>4</v>
      </c>
      <c r="FC7" s="42" t="s">
        <v>114</v>
      </c>
      <c r="FD7" s="42" t="s">
        <v>1230</v>
      </c>
      <c r="FE7" s="70"/>
      <c r="FF7" s="70">
        <v>0</v>
      </c>
      <c r="FG7" s="70">
        <v>0</v>
      </c>
      <c r="FH7" s="70"/>
      <c r="FI7" s="70">
        <v>0</v>
      </c>
      <c r="FJ7" s="70"/>
      <c r="FK7" s="70">
        <v>0</v>
      </c>
      <c r="FL7" s="70">
        <v>1</v>
      </c>
      <c r="FM7" s="70"/>
      <c r="FN7" s="70">
        <v>0</v>
      </c>
      <c r="FO7" s="70">
        <v>1</v>
      </c>
      <c r="FP7" s="42"/>
      <c r="FQ7" s="42"/>
      <c r="FR7" s="516" t="s">
        <v>1343</v>
      </c>
      <c r="FS7" s="516" t="s">
        <v>4</v>
      </c>
      <c r="FT7" s="516" t="s">
        <v>114</v>
      </c>
      <c r="FU7" s="516" t="s">
        <v>1230</v>
      </c>
      <c r="FV7" s="516">
        <v>0</v>
      </c>
      <c r="FW7" s="516">
        <v>0</v>
      </c>
      <c r="FX7" s="516">
        <v>0</v>
      </c>
      <c r="FY7" s="516">
        <v>0</v>
      </c>
      <c r="FZ7" s="516">
        <v>0</v>
      </c>
      <c r="GA7" s="516">
        <v>0</v>
      </c>
      <c r="GB7" s="516">
        <v>0</v>
      </c>
      <c r="GC7" s="516">
        <v>0</v>
      </c>
      <c r="GD7" s="516">
        <v>1</v>
      </c>
      <c r="GE7" s="516">
        <v>0</v>
      </c>
      <c r="GF7" s="516">
        <v>0</v>
      </c>
      <c r="GG7" s="517">
        <v>1</v>
      </c>
      <c r="GH7" s="619"/>
      <c r="GI7" s="518"/>
    </row>
    <row r="8" spans="1:191">
      <c r="D8" s="4800" t="s">
        <v>1236</v>
      </c>
      <c r="E8" s="4606">
        <v>0</v>
      </c>
      <c r="F8" s="4606">
        <v>0</v>
      </c>
      <c r="G8" s="4606"/>
      <c r="H8" s="4606"/>
      <c r="I8" s="4606">
        <v>2</v>
      </c>
      <c r="J8" s="4606"/>
      <c r="K8" s="4606"/>
      <c r="L8" s="4606">
        <v>0</v>
      </c>
      <c r="M8" s="4606">
        <v>0</v>
      </c>
      <c r="N8" s="2552"/>
      <c r="O8" s="2552"/>
      <c r="P8" s="2552">
        <v>2</v>
      </c>
      <c r="Q8" s="2552"/>
      <c r="V8" s="37" t="s">
        <v>1236</v>
      </c>
      <c r="W8" s="4803">
        <v>0</v>
      </c>
      <c r="X8" s="4803"/>
      <c r="Y8" s="4803"/>
      <c r="Z8" s="4803">
        <v>2</v>
      </c>
      <c r="AA8" s="4803"/>
      <c r="AB8" s="4803"/>
      <c r="AC8" s="4803">
        <v>0</v>
      </c>
      <c r="AD8" s="4803">
        <v>0</v>
      </c>
      <c r="AE8" s="1788"/>
      <c r="AF8" s="1788">
        <v>2</v>
      </c>
      <c r="AI8" s="41"/>
      <c r="AJ8" s="41"/>
      <c r="AK8" s="41"/>
      <c r="AL8" s="41" t="s">
        <v>1236</v>
      </c>
      <c r="AM8" s="2001"/>
      <c r="AN8" s="2001"/>
      <c r="AO8" s="2001">
        <v>0</v>
      </c>
      <c r="AP8" s="2001">
        <v>0</v>
      </c>
      <c r="AQ8" s="2001">
        <v>1</v>
      </c>
      <c r="AR8" s="2001">
        <v>0</v>
      </c>
      <c r="AS8" s="2001">
        <v>0</v>
      </c>
      <c r="AT8" s="2001">
        <v>0</v>
      </c>
      <c r="AU8" s="105"/>
      <c r="AV8" s="105">
        <v>0</v>
      </c>
      <c r="AW8" s="105">
        <v>1</v>
      </c>
      <c r="AX8" s="41"/>
      <c r="AZ8" s="42"/>
      <c r="BA8" s="42"/>
      <c r="BB8" s="42"/>
      <c r="BC8" s="42" t="s">
        <v>1235</v>
      </c>
      <c r="BD8" s="1993"/>
      <c r="BE8" s="1993">
        <v>0</v>
      </c>
      <c r="BF8" s="1993"/>
      <c r="BG8" s="1993"/>
      <c r="BH8" s="1993"/>
      <c r="BI8" s="1993">
        <v>1</v>
      </c>
      <c r="BJ8" s="1993"/>
      <c r="BK8" s="1993"/>
      <c r="BL8" s="1993"/>
      <c r="BM8" s="70"/>
      <c r="BN8" s="70">
        <v>0</v>
      </c>
      <c r="BO8" s="70">
        <v>1</v>
      </c>
      <c r="BR8" s="105"/>
      <c r="BS8" s="105"/>
      <c r="BT8" s="41"/>
      <c r="BU8" s="41" t="s">
        <v>1235</v>
      </c>
      <c r="BV8" s="1659">
        <v>0</v>
      </c>
      <c r="BW8" s="1659">
        <v>0</v>
      </c>
      <c r="BX8" s="1659"/>
      <c r="BY8" s="1659"/>
      <c r="BZ8" s="1659"/>
      <c r="CA8" s="1659"/>
      <c r="CB8" s="1659">
        <v>2</v>
      </c>
      <c r="CC8" s="1659">
        <v>0</v>
      </c>
      <c r="CD8" s="1659">
        <v>0</v>
      </c>
      <c r="CE8" s="105">
        <v>0</v>
      </c>
      <c r="CF8" s="105"/>
      <c r="CG8" s="105">
        <v>2</v>
      </c>
      <c r="CH8" s="105"/>
      <c r="CJ8" s="1359"/>
      <c r="CK8" s="1359"/>
      <c r="CL8" s="1360"/>
      <c r="CM8" s="1361" t="s">
        <v>1231</v>
      </c>
      <c r="CN8" s="1362"/>
      <c r="CO8" s="1363">
        <v>1</v>
      </c>
      <c r="CP8" s="1363">
        <v>0</v>
      </c>
      <c r="CQ8" s="1362"/>
      <c r="CR8" s="1362"/>
      <c r="CS8" s="1363">
        <v>7</v>
      </c>
      <c r="CT8" s="1363">
        <v>3</v>
      </c>
      <c r="CU8" s="1363">
        <v>0</v>
      </c>
      <c r="CV8" s="686"/>
      <c r="CW8" s="686"/>
      <c r="CX8" s="687">
        <v>11</v>
      </c>
      <c r="CY8" s="41"/>
      <c r="DA8" s="602"/>
      <c r="DB8" s="602"/>
      <c r="DC8" s="603"/>
      <c r="DD8" s="604" t="s">
        <v>1231</v>
      </c>
      <c r="DE8" s="605"/>
      <c r="DF8" s="605"/>
      <c r="DG8" s="605"/>
      <c r="DH8" s="605"/>
      <c r="DI8" s="605"/>
      <c r="DJ8" s="606">
        <v>0</v>
      </c>
      <c r="DK8" s="606">
        <v>7</v>
      </c>
      <c r="DL8" s="606">
        <v>0</v>
      </c>
      <c r="DM8" s="602"/>
      <c r="DN8" s="602"/>
      <c r="DO8" s="607">
        <v>7</v>
      </c>
      <c r="DP8" s="105"/>
      <c r="DR8" s="608"/>
      <c r="DS8" s="608"/>
      <c r="DT8" s="608"/>
      <c r="DU8" s="620" t="s">
        <v>15</v>
      </c>
      <c r="DV8" s="621"/>
      <c r="DW8" s="622">
        <v>1</v>
      </c>
      <c r="DX8" s="622">
        <v>2</v>
      </c>
      <c r="DY8" s="621"/>
      <c r="DZ8" s="621"/>
      <c r="EA8" s="621"/>
      <c r="EB8" s="621"/>
      <c r="EC8" s="621"/>
      <c r="ED8" s="621"/>
      <c r="EE8" s="623"/>
      <c r="EF8" s="623"/>
      <c r="EG8" s="624">
        <v>3</v>
      </c>
      <c r="EH8" s="614">
        <v>0</v>
      </c>
      <c r="EJ8" s="615"/>
      <c r="EK8" s="615"/>
      <c r="EL8" s="615"/>
      <c r="EM8" s="616" t="s">
        <v>1231</v>
      </c>
      <c r="EN8" s="617"/>
      <c r="EO8" s="617"/>
      <c r="EP8" s="618">
        <v>0</v>
      </c>
      <c r="EQ8" s="618">
        <v>1</v>
      </c>
      <c r="ER8" s="617"/>
      <c r="ES8" s="617"/>
      <c r="ET8" s="617"/>
      <c r="EU8" s="618">
        <v>0</v>
      </c>
      <c r="EV8" s="618">
        <v>1</v>
      </c>
      <c r="EW8" s="618">
        <v>0</v>
      </c>
      <c r="EX8" s="618">
        <v>2</v>
      </c>
      <c r="EY8" s="515"/>
      <c r="FA8" s="70"/>
      <c r="FB8" s="70"/>
      <c r="FC8" s="42"/>
      <c r="FD8" s="42" t="s">
        <v>1231</v>
      </c>
      <c r="FE8" s="70"/>
      <c r="FF8" s="70">
        <v>1</v>
      </c>
      <c r="FG8" s="70">
        <v>1</v>
      </c>
      <c r="FH8" s="70"/>
      <c r="FI8" s="70">
        <v>1</v>
      </c>
      <c r="FJ8" s="70"/>
      <c r="FK8" s="70">
        <v>1</v>
      </c>
      <c r="FL8" s="70">
        <v>0</v>
      </c>
      <c r="FM8" s="70"/>
      <c r="FN8" s="70">
        <v>0</v>
      </c>
      <c r="FO8" s="70">
        <v>4</v>
      </c>
      <c r="FP8" s="42"/>
      <c r="FQ8" s="42"/>
      <c r="FR8" s="516"/>
      <c r="FS8" s="516"/>
      <c r="FT8" s="516"/>
      <c r="FU8" s="516" t="s">
        <v>1231</v>
      </c>
      <c r="FV8" s="516">
        <v>0</v>
      </c>
      <c r="FW8" s="516">
        <v>0</v>
      </c>
      <c r="FX8" s="516">
        <v>0</v>
      </c>
      <c r="FY8" s="516">
        <v>0</v>
      </c>
      <c r="FZ8" s="516">
        <v>1</v>
      </c>
      <c r="GA8" s="516">
        <v>0</v>
      </c>
      <c r="GB8" s="516">
        <v>0</v>
      </c>
      <c r="GC8" s="516">
        <v>0</v>
      </c>
      <c r="GD8" s="516">
        <v>0</v>
      </c>
      <c r="GE8" s="516">
        <v>0</v>
      </c>
      <c r="GF8" s="516">
        <v>0</v>
      </c>
      <c r="GG8" s="517">
        <v>1</v>
      </c>
      <c r="GH8" s="619"/>
      <c r="GI8" s="518"/>
    </row>
    <row r="9" spans="1:191">
      <c r="D9" s="4800" t="s">
        <v>1239</v>
      </c>
      <c r="E9" s="4606">
        <v>0</v>
      </c>
      <c r="F9" s="4606">
        <v>0</v>
      </c>
      <c r="G9" s="4606"/>
      <c r="H9" s="4606"/>
      <c r="I9" s="4606">
        <v>0</v>
      </c>
      <c r="J9" s="4606"/>
      <c r="K9" s="4606"/>
      <c r="L9" s="4606">
        <v>1</v>
      </c>
      <c r="M9" s="4606">
        <v>0</v>
      </c>
      <c r="N9" s="2552"/>
      <c r="O9" s="2552"/>
      <c r="P9" s="2552">
        <v>1</v>
      </c>
      <c r="Q9" s="2552"/>
      <c r="V9" s="37" t="s">
        <v>1239</v>
      </c>
      <c r="W9" s="4803">
        <v>0</v>
      </c>
      <c r="X9" s="4803"/>
      <c r="Y9" s="4803"/>
      <c r="Z9" s="4803">
        <v>0</v>
      </c>
      <c r="AA9" s="4803"/>
      <c r="AB9" s="4803"/>
      <c r="AC9" s="4803">
        <v>1</v>
      </c>
      <c r="AD9" s="4803">
        <v>0</v>
      </c>
      <c r="AE9" s="1788"/>
      <c r="AF9" s="1788">
        <v>1</v>
      </c>
      <c r="AI9" s="41"/>
      <c r="AJ9" s="41"/>
      <c r="AK9" s="41"/>
      <c r="AL9" s="41" t="s">
        <v>1239</v>
      </c>
      <c r="AM9" s="2001"/>
      <c r="AN9" s="2001"/>
      <c r="AO9" s="2001">
        <v>0</v>
      </c>
      <c r="AP9" s="2001">
        <v>0</v>
      </c>
      <c r="AQ9" s="2001">
        <v>0</v>
      </c>
      <c r="AR9" s="2001">
        <v>0</v>
      </c>
      <c r="AS9" s="2001">
        <v>0</v>
      </c>
      <c r="AT9" s="2001">
        <v>1</v>
      </c>
      <c r="AU9" s="105"/>
      <c r="AV9" s="105">
        <v>1</v>
      </c>
      <c r="AW9" s="105">
        <v>2</v>
      </c>
      <c r="AX9" s="41"/>
      <c r="AZ9" s="42"/>
      <c r="BA9" s="42"/>
      <c r="BB9" s="42"/>
      <c r="BC9" s="42" t="s">
        <v>1239</v>
      </c>
      <c r="BD9" s="1993"/>
      <c r="BE9" s="1993">
        <v>0</v>
      </c>
      <c r="BF9" s="1993"/>
      <c r="BG9" s="1993"/>
      <c r="BH9" s="1993"/>
      <c r="BI9" s="1993">
        <v>0</v>
      </c>
      <c r="BJ9" s="1993"/>
      <c r="BK9" s="1993"/>
      <c r="BL9" s="1993"/>
      <c r="BM9" s="70"/>
      <c r="BN9" s="70">
        <v>1</v>
      </c>
      <c r="BO9" s="70">
        <v>1</v>
      </c>
      <c r="BR9" s="105"/>
      <c r="BS9" s="105"/>
      <c r="BT9" s="41"/>
      <c r="BU9" s="41" t="s">
        <v>1239</v>
      </c>
      <c r="BV9" s="1659">
        <v>0</v>
      </c>
      <c r="BW9" s="1659">
        <v>0</v>
      </c>
      <c r="BX9" s="1659"/>
      <c r="BY9" s="1659"/>
      <c r="BZ9" s="1659"/>
      <c r="CA9" s="1659"/>
      <c r="CB9" s="1659">
        <v>0</v>
      </c>
      <c r="CC9" s="1659">
        <v>0</v>
      </c>
      <c r="CD9" s="1659">
        <v>9</v>
      </c>
      <c r="CE9" s="105">
        <v>0</v>
      </c>
      <c r="CF9" s="105"/>
      <c r="CG9" s="105">
        <v>9</v>
      </c>
      <c r="CH9" s="105"/>
      <c r="CJ9" s="1359"/>
      <c r="CK9" s="1359"/>
      <c r="CL9" s="1360"/>
      <c r="CM9" s="1361" t="s">
        <v>1233</v>
      </c>
      <c r="CN9" s="1362"/>
      <c r="CO9" s="1363">
        <v>0</v>
      </c>
      <c r="CP9" s="1363">
        <v>1</v>
      </c>
      <c r="CQ9" s="1362"/>
      <c r="CR9" s="1362"/>
      <c r="CS9" s="1363">
        <v>0</v>
      </c>
      <c r="CT9" s="1363">
        <v>0</v>
      </c>
      <c r="CU9" s="1363">
        <v>0</v>
      </c>
      <c r="CV9" s="686"/>
      <c r="CW9" s="686"/>
      <c r="CX9" s="687">
        <v>1</v>
      </c>
      <c r="CY9" s="41"/>
      <c r="DA9" s="602"/>
      <c r="DB9" s="602"/>
      <c r="DC9" s="603"/>
      <c r="DD9" s="604" t="s">
        <v>1236</v>
      </c>
      <c r="DE9" s="605"/>
      <c r="DF9" s="605"/>
      <c r="DG9" s="605"/>
      <c r="DH9" s="605"/>
      <c r="DI9" s="605"/>
      <c r="DJ9" s="606">
        <v>0</v>
      </c>
      <c r="DK9" s="606">
        <v>1</v>
      </c>
      <c r="DL9" s="606">
        <v>0</v>
      </c>
      <c r="DM9" s="602"/>
      <c r="DN9" s="602"/>
      <c r="DO9" s="607">
        <v>1</v>
      </c>
      <c r="DP9" s="105"/>
      <c r="DR9" s="608"/>
      <c r="DS9" s="608"/>
      <c r="DT9" s="608" t="s">
        <v>115</v>
      </c>
      <c r="DU9" s="609" t="s">
        <v>1231</v>
      </c>
      <c r="DV9" s="610"/>
      <c r="DW9" s="610"/>
      <c r="DX9" s="610"/>
      <c r="DY9" s="610"/>
      <c r="DZ9" s="610"/>
      <c r="EA9" s="610"/>
      <c r="EB9" s="611">
        <v>3</v>
      </c>
      <c r="EC9" s="611">
        <v>4</v>
      </c>
      <c r="ED9" s="611">
        <v>0</v>
      </c>
      <c r="EE9" s="612"/>
      <c r="EF9" s="612"/>
      <c r="EG9" s="613">
        <v>7</v>
      </c>
      <c r="EH9" s="614"/>
      <c r="EJ9" s="615"/>
      <c r="EK9" s="615"/>
      <c r="EL9" s="615"/>
      <c r="EM9" s="616" t="s">
        <v>1236</v>
      </c>
      <c r="EN9" s="617"/>
      <c r="EO9" s="617"/>
      <c r="EP9" s="618">
        <v>2</v>
      </c>
      <c r="EQ9" s="618">
        <v>0</v>
      </c>
      <c r="ER9" s="617"/>
      <c r="ES9" s="617"/>
      <c r="ET9" s="617"/>
      <c r="EU9" s="618">
        <v>0</v>
      </c>
      <c r="EV9" s="618">
        <v>0</v>
      </c>
      <c r="EW9" s="618">
        <v>0</v>
      </c>
      <c r="EX9" s="618">
        <v>2</v>
      </c>
      <c r="EY9" s="515"/>
      <c r="FA9" s="70"/>
      <c r="FB9" s="70"/>
      <c r="FC9" s="42"/>
      <c r="FD9" s="42" t="s">
        <v>1236</v>
      </c>
      <c r="FE9" s="70"/>
      <c r="FF9" s="70">
        <v>0</v>
      </c>
      <c r="FG9" s="70">
        <v>1</v>
      </c>
      <c r="FH9" s="70"/>
      <c r="FI9" s="70">
        <v>0</v>
      </c>
      <c r="FJ9" s="70"/>
      <c r="FK9" s="70">
        <v>0</v>
      </c>
      <c r="FL9" s="70">
        <v>0</v>
      </c>
      <c r="FM9" s="70"/>
      <c r="FN9" s="70">
        <v>0</v>
      </c>
      <c r="FO9" s="70">
        <v>1</v>
      </c>
      <c r="FP9" s="42"/>
      <c r="FQ9" s="42"/>
      <c r="FR9" s="516"/>
      <c r="FS9" s="516"/>
      <c r="FT9" s="516"/>
      <c r="FU9" s="516" t="s">
        <v>1236</v>
      </c>
      <c r="FV9" s="516">
        <v>0</v>
      </c>
      <c r="FW9" s="516">
        <v>0</v>
      </c>
      <c r="FX9" s="516">
        <v>2</v>
      </c>
      <c r="FY9" s="516">
        <v>0</v>
      </c>
      <c r="FZ9" s="516">
        <v>0</v>
      </c>
      <c r="GA9" s="516">
        <v>0</v>
      </c>
      <c r="GB9" s="516">
        <v>0</v>
      </c>
      <c r="GC9" s="516">
        <v>0</v>
      </c>
      <c r="GD9" s="516">
        <v>0</v>
      </c>
      <c r="GE9" s="516">
        <v>0</v>
      </c>
      <c r="GF9" s="516">
        <v>0</v>
      </c>
      <c r="GG9" s="517">
        <v>2</v>
      </c>
      <c r="GH9" s="619"/>
      <c r="GI9" s="518"/>
    </row>
    <row r="10" spans="1:191">
      <c r="D10" s="4800" t="s">
        <v>1240</v>
      </c>
      <c r="E10" s="4606">
        <v>0</v>
      </c>
      <c r="F10" s="4606">
        <v>0</v>
      </c>
      <c r="G10" s="4606"/>
      <c r="H10" s="4606"/>
      <c r="I10" s="4606">
        <v>0</v>
      </c>
      <c r="J10" s="4606"/>
      <c r="K10" s="4606"/>
      <c r="L10" s="4606">
        <v>0</v>
      </c>
      <c r="M10" s="4606">
        <v>1</v>
      </c>
      <c r="N10" s="2552"/>
      <c r="O10" s="2552"/>
      <c r="P10" s="2552">
        <v>1</v>
      </c>
      <c r="Q10" s="2552"/>
      <c r="V10" s="37" t="s">
        <v>1240</v>
      </c>
      <c r="W10" s="4803">
        <v>0</v>
      </c>
      <c r="X10" s="4803"/>
      <c r="Y10" s="4803"/>
      <c r="Z10" s="4803">
        <v>0</v>
      </c>
      <c r="AA10" s="4803"/>
      <c r="AB10" s="4803"/>
      <c r="AC10" s="4803">
        <v>0</v>
      </c>
      <c r="AD10" s="4803">
        <v>1</v>
      </c>
      <c r="AE10" s="1788"/>
      <c r="AF10" s="1788">
        <v>1</v>
      </c>
      <c r="AI10" s="41"/>
      <c r="AJ10" s="41"/>
      <c r="AK10" s="41"/>
      <c r="AL10" s="41" t="s">
        <v>1240</v>
      </c>
      <c r="AM10" s="2001"/>
      <c r="AN10" s="2001"/>
      <c r="AO10" s="2001">
        <v>0</v>
      </c>
      <c r="AP10" s="2001">
        <v>0</v>
      </c>
      <c r="AQ10" s="2001">
        <v>0</v>
      </c>
      <c r="AR10" s="2001">
        <v>0</v>
      </c>
      <c r="AS10" s="2001">
        <v>1</v>
      </c>
      <c r="AT10" s="2001">
        <v>0</v>
      </c>
      <c r="AU10" s="105"/>
      <c r="AV10" s="105">
        <v>0</v>
      </c>
      <c r="AW10" s="105">
        <v>1</v>
      </c>
      <c r="AX10" s="41"/>
      <c r="AZ10" s="42"/>
      <c r="BA10" s="42"/>
      <c r="BB10" s="42"/>
      <c r="BC10" s="42" t="s">
        <v>1344</v>
      </c>
      <c r="BD10" s="1993"/>
      <c r="BE10" s="1993">
        <v>0</v>
      </c>
      <c r="BF10" s="1993"/>
      <c r="BG10" s="1993"/>
      <c r="BH10" s="1993"/>
      <c r="BI10" s="1993">
        <v>1</v>
      </c>
      <c r="BJ10" s="1993"/>
      <c r="BK10" s="1993"/>
      <c r="BL10" s="1993"/>
      <c r="BM10" s="70"/>
      <c r="BN10" s="70">
        <v>0</v>
      </c>
      <c r="BO10" s="70">
        <v>1</v>
      </c>
      <c r="BR10" s="105"/>
      <c r="BS10" s="105"/>
      <c r="BT10" s="41"/>
      <c r="BU10" s="41" t="s">
        <v>1865</v>
      </c>
      <c r="BV10" s="1659">
        <v>2</v>
      </c>
      <c r="BW10" s="1659">
        <v>0</v>
      </c>
      <c r="BX10" s="1659"/>
      <c r="BY10" s="1659"/>
      <c r="BZ10" s="1659"/>
      <c r="CA10" s="1659"/>
      <c r="CB10" s="1659">
        <v>0</v>
      </c>
      <c r="CC10" s="1659">
        <v>0</v>
      </c>
      <c r="CD10" s="1659">
        <v>0</v>
      </c>
      <c r="CE10" s="105">
        <v>0</v>
      </c>
      <c r="CF10" s="105"/>
      <c r="CG10" s="105">
        <v>2</v>
      </c>
      <c r="CH10" s="105"/>
      <c r="CJ10" s="1359"/>
      <c r="CK10" s="1359"/>
      <c r="CL10" s="1360"/>
      <c r="CM10" s="1361" t="s">
        <v>1235</v>
      </c>
      <c r="CN10" s="1362"/>
      <c r="CO10" s="1363">
        <v>0</v>
      </c>
      <c r="CP10" s="1363">
        <v>0</v>
      </c>
      <c r="CQ10" s="1362"/>
      <c r="CR10" s="1362"/>
      <c r="CS10" s="1363">
        <v>0</v>
      </c>
      <c r="CT10" s="1363">
        <v>2</v>
      </c>
      <c r="CU10" s="1363">
        <v>0</v>
      </c>
      <c r="CV10" s="686"/>
      <c r="CW10" s="686"/>
      <c r="CX10" s="687">
        <v>2</v>
      </c>
      <c r="CY10" s="41"/>
      <c r="DA10" s="602"/>
      <c r="DB10" s="602"/>
      <c r="DC10" s="603"/>
      <c r="DD10" s="604" t="s">
        <v>1239</v>
      </c>
      <c r="DE10" s="605"/>
      <c r="DF10" s="605"/>
      <c r="DG10" s="605"/>
      <c r="DH10" s="605"/>
      <c r="DI10" s="605"/>
      <c r="DJ10" s="606">
        <v>0</v>
      </c>
      <c r="DK10" s="606">
        <v>0</v>
      </c>
      <c r="DL10" s="606">
        <v>2</v>
      </c>
      <c r="DM10" s="602"/>
      <c r="DN10" s="602"/>
      <c r="DO10" s="607">
        <v>2</v>
      </c>
      <c r="DP10" s="105"/>
      <c r="DR10" s="608"/>
      <c r="DS10" s="608"/>
      <c r="DT10" s="608"/>
      <c r="DU10" s="609" t="s">
        <v>1235</v>
      </c>
      <c r="DV10" s="610"/>
      <c r="DW10" s="610"/>
      <c r="DX10" s="610"/>
      <c r="DY10" s="610"/>
      <c r="DZ10" s="610"/>
      <c r="EA10" s="610"/>
      <c r="EB10" s="611">
        <v>0</v>
      </c>
      <c r="EC10" s="611">
        <v>1</v>
      </c>
      <c r="ED10" s="611">
        <v>0</v>
      </c>
      <c r="EE10" s="612"/>
      <c r="EF10" s="612"/>
      <c r="EG10" s="613">
        <v>1</v>
      </c>
      <c r="EH10" s="614"/>
      <c r="EJ10" s="615"/>
      <c r="EK10" s="615"/>
      <c r="EL10" s="615"/>
      <c r="EM10" s="616" t="s">
        <v>1239</v>
      </c>
      <c r="EN10" s="617"/>
      <c r="EO10" s="617"/>
      <c r="EP10" s="618">
        <v>0</v>
      </c>
      <c r="EQ10" s="618">
        <v>0</v>
      </c>
      <c r="ER10" s="617"/>
      <c r="ES10" s="617"/>
      <c r="ET10" s="617"/>
      <c r="EU10" s="618">
        <v>2</v>
      </c>
      <c r="EV10" s="618">
        <v>0</v>
      </c>
      <c r="EW10" s="618">
        <v>1</v>
      </c>
      <c r="EX10" s="618">
        <v>3</v>
      </c>
      <c r="EY10" s="515"/>
      <c r="FA10" s="70"/>
      <c r="FB10" s="70"/>
      <c r="FC10" s="42"/>
      <c r="FD10" s="42" t="s">
        <v>1239</v>
      </c>
      <c r="FE10" s="70"/>
      <c r="FF10" s="70">
        <v>0</v>
      </c>
      <c r="FG10" s="70">
        <v>0</v>
      </c>
      <c r="FH10" s="70"/>
      <c r="FI10" s="70">
        <v>0</v>
      </c>
      <c r="FJ10" s="70"/>
      <c r="FK10" s="70">
        <v>0</v>
      </c>
      <c r="FL10" s="70">
        <v>1</v>
      </c>
      <c r="FM10" s="70"/>
      <c r="FN10" s="70">
        <v>1</v>
      </c>
      <c r="FO10" s="70">
        <v>2</v>
      </c>
      <c r="FP10" s="42"/>
      <c r="FQ10" s="42"/>
      <c r="FR10" s="516"/>
      <c r="FS10" s="516"/>
      <c r="FT10" s="516"/>
      <c r="FU10" s="516" t="s">
        <v>1239</v>
      </c>
      <c r="FV10" s="516">
        <v>0</v>
      </c>
      <c r="FW10" s="516">
        <v>0</v>
      </c>
      <c r="FX10" s="516">
        <v>0</v>
      </c>
      <c r="FY10" s="516">
        <v>0</v>
      </c>
      <c r="FZ10" s="516">
        <v>0</v>
      </c>
      <c r="GA10" s="516">
        <v>0</v>
      </c>
      <c r="GB10" s="516">
        <v>2</v>
      </c>
      <c r="GC10" s="516">
        <v>0</v>
      </c>
      <c r="GD10" s="516">
        <v>0</v>
      </c>
      <c r="GE10" s="516">
        <v>0</v>
      </c>
      <c r="GF10" s="516">
        <v>0</v>
      </c>
      <c r="GG10" s="517">
        <v>2</v>
      </c>
      <c r="GH10" s="619"/>
      <c r="GI10" s="518"/>
    </row>
    <row r="11" spans="1:191">
      <c r="D11" s="4800" t="s">
        <v>2963</v>
      </c>
      <c r="E11" s="4606">
        <v>2</v>
      </c>
      <c r="F11" s="4606">
        <v>0</v>
      </c>
      <c r="G11" s="4606"/>
      <c r="H11" s="4606"/>
      <c r="I11" s="4606">
        <v>0</v>
      </c>
      <c r="J11" s="4606"/>
      <c r="K11" s="4606"/>
      <c r="L11" s="4606">
        <v>0</v>
      </c>
      <c r="M11" s="4606">
        <v>0</v>
      </c>
      <c r="N11" s="2552"/>
      <c r="O11" s="2552"/>
      <c r="P11" s="2552">
        <v>2</v>
      </c>
      <c r="Q11" s="2552"/>
      <c r="V11" s="37" t="s">
        <v>1344</v>
      </c>
      <c r="W11" s="4803">
        <v>0</v>
      </c>
      <c r="X11" s="4803"/>
      <c r="Y11" s="4803"/>
      <c r="Z11" s="4803">
        <v>0</v>
      </c>
      <c r="AA11" s="4803"/>
      <c r="AB11" s="4803"/>
      <c r="AC11" s="4803">
        <v>1</v>
      </c>
      <c r="AD11" s="4803">
        <v>0</v>
      </c>
      <c r="AE11" s="1788"/>
      <c r="AF11" s="1788">
        <v>1</v>
      </c>
      <c r="AI11" s="41"/>
      <c r="AJ11" s="41"/>
      <c r="AK11" s="41"/>
      <c r="AL11" s="41" t="s">
        <v>1344</v>
      </c>
      <c r="AM11" s="2001"/>
      <c r="AN11" s="2001"/>
      <c r="AO11" s="2001">
        <v>0</v>
      </c>
      <c r="AP11" s="2001">
        <v>0</v>
      </c>
      <c r="AQ11" s="2001">
        <v>0</v>
      </c>
      <c r="AR11" s="2001">
        <v>1</v>
      </c>
      <c r="AS11" s="2001">
        <v>0</v>
      </c>
      <c r="AT11" s="2001">
        <v>0</v>
      </c>
      <c r="AU11" s="105"/>
      <c r="AV11" s="105">
        <v>0</v>
      </c>
      <c r="AW11" s="105">
        <v>1</v>
      </c>
      <c r="AX11" s="41"/>
      <c r="AZ11" s="42"/>
      <c r="BA11" s="42"/>
      <c r="BB11" s="42"/>
      <c r="BC11" s="484" t="s">
        <v>15</v>
      </c>
      <c r="BD11" s="1994"/>
      <c r="BE11" s="1994">
        <v>3</v>
      </c>
      <c r="BF11" s="1994"/>
      <c r="BG11" s="1994"/>
      <c r="BH11" s="1994"/>
      <c r="BI11" s="1994">
        <v>2</v>
      </c>
      <c r="BJ11" s="1994"/>
      <c r="BK11" s="1994"/>
      <c r="BL11" s="1994"/>
      <c r="BM11" s="454"/>
      <c r="BN11" s="454">
        <v>1</v>
      </c>
      <c r="BO11" s="454">
        <v>6</v>
      </c>
      <c r="BP11" s="2485">
        <f>+(BO8+BO10)/BO11</f>
        <v>0.33333333333333331</v>
      </c>
      <c r="BR11" s="105"/>
      <c r="BS11" s="105"/>
      <c r="BT11" s="41"/>
      <c r="BU11" s="41" t="s">
        <v>1240</v>
      </c>
      <c r="BV11" s="1659">
        <v>0</v>
      </c>
      <c r="BW11" s="1659">
        <v>0</v>
      </c>
      <c r="BX11" s="1659"/>
      <c r="BY11" s="1659"/>
      <c r="BZ11" s="1659"/>
      <c r="CA11" s="1659"/>
      <c r="CB11" s="1659">
        <v>2</v>
      </c>
      <c r="CC11" s="1659">
        <v>1</v>
      </c>
      <c r="CD11" s="1659">
        <v>0</v>
      </c>
      <c r="CE11" s="105">
        <v>0</v>
      </c>
      <c r="CF11" s="105"/>
      <c r="CG11" s="105">
        <v>3</v>
      </c>
      <c r="CH11" s="105"/>
      <c r="CJ11" s="1359"/>
      <c r="CK11" s="1359"/>
      <c r="CL11" s="1360"/>
      <c r="CM11" s="1361" t="s">
        <v>1239</v>
      </c>
      <c r="CN11" s="1362"/>
      <c r="CO11" s="1363">
        <v>0</v>
      </c>
      <c r="CP11" s="1363">
        <v>0</v>
      </c>
      <c r="CQ11" s="1362"/>
      <c r="CR11" s="1362"/>
      <c r="CS11" s="1363">
        <v>0</v>
      </c>
      <c r="CT11" s="1363">
        <v>1</v>
      </c>
      <c r="CU11" s="1363">
        <v>9</v>
      </c>
      <c r="CV11" s="686"/>
      <c r="CW11" s="686"/>
      <c r="CX11" s="687">
        <v>10</v>
      </c>
      <c r="CY11" s="41"/>
      <c r="DA11" s="602"/>
      <c r="DB11" s="602"/>
      <c r="DC11" s="603"/>
      <c r="DD11" s="604" t="s">
        <v>1240</v>
      </c>
      <c r="DE11" s="605"/>
      <c r="DF11" s="605"/>
      <c r="DG11" s="605"/>
      <c r="DH11" s="605"/>
      <c r="DI11" s="605"/>
      <c r="DJ11" s="606">
        <v>0</v>
      </c>
      <c r="DK11" s="606">
        <v>1</v>
      </c>
      <c r="DL11" s="606">
        <v>0</v>
      </c>
      <c r="DM11" s="602"/>
      <c r="DN11" s="602"/>
      <c r="DO11" s="607">
        <v>1</v>
      </c>
      <c r="DP11" s="105"/>
      <c r="DR11" s="608"/>
      <c r="DS11" s="608"/>
      <c r="DT11" s="608"/>
      <c r="DU11" s="609" t="s">
        <v>1239</v>
      </c>
      <c r="DV11" s="610"/>
      <c r="DW11" s="610"/>
      <c r="DX11" s="610"/>
      <c r="DY11" s="610"/>
      <c r="DZ11" s="610"/>
      <c r="EA11" s="610"/>
      <c r="EB11" s="611">
        <v>0</v>
      </c>
      <c r="EC11" s="611">
        <v>0</v>
      </c>
      <c r="ED11" s="611">
        <v>2</v>
      </c>
      <c r="EE11" s="612"/>
      <c r="EF11" s="612"/>
      <c r="EG11" s="613">
        <v>2</v>
      </c>
      <c r="EH11" s="614"/>
      <c r="EJ11" s="615"/>
      <c r="EK11" s="615"/>
      <c r="EL11" s="615"/>
      <c r="EM11" s="625" t="s">
        <v>15</v>
      </c>
      <c r="EN11" s="626"/>
      <c r="EO11" s="626"/>
      <c r="EP11" s="627">
        <v>2</v>
      </c>
      <c r="EQ11" s="627">
        <v>1</v>
      </c>
      <c r="ER11" s="626"/>
      <c r="ES11" s="626"/>
      <c r="ET11" s="626"/>
      <c r="EU11" s="627">
        <v>3</v>
      </c>
      <c r="EV11" s="627">
        <v>1</v>
      </c>
      <c r="EW11" s="627">
        <v>3</v>
      </c>
      <c r="EX11" s="627">
        <v>10</v>
      </c>
      <c r="EY11" s="628">
        <v>0</v>
      </c>
      <c r="FA11" s="70"/>
      <c r="FB11" s="70"/>
      <c r="FC11" s="42"/>
      <c r="FD11" s="484" t="s">
        <v>15</v>
      </c>
      <c r="FE11" s="454"/>
      <c r="FF11" s="454">
        <v>1</v>
      </c>
      <c r="FG11" s="454">
        <v>2</v>
      </c>
      <c r="FH11" s="454"/>
      <c r="FI11" s="454">
        <v>1</v>
      </c>
      <c r="FJ11" s="454"/>
      <c r="FK11" s="454">
        <v>1</v>
      </c>
      <c r="FL11" s="454">
        <v>2</v>
      </c>
      <c r="FM11" s="454"/>
      <c r="FN11" s="454">
        <v>1</v>
      </c>
      <c r="FO11" s="454">
        <v>8</v>
      </c>
      <c r="FP11" s="538">
        <v>0</v>
      </c>
      <c r="FQ11" s="42"/>
      <c r="FR11" s="516"/>
      <c r="FS11" s="516"/>
      <c r="FT11" s="516"/>
      <c r="FU11" s="519" t="s">
        <v>15</v>
      </c>
      <c r="FV11" s="519">
        <v>0</v>
      </c>
      <c r="FW11" s="519">
        <v>0</v>
      </c>
      <c r="FX11" s="519">
        <v>2</v>
      </c>
      <c r="FY11" s="519">
        <v>0</v>
      </c>
      <c r="FZ11" s="519">
        <v>1</v>
      </c>
      <c r="GA11" s="519">
        <v>0</v>
      </c>
      <c r="GB11" s="519">
        <v>2</v>
      </c>
      <c r="GC11" s="519">
        <v>0</v>
      </c>
      <c r="GD11" s="519">
        <v>1</v>
      </c>
      <c r="GE11" s="519">
        <v>0</v>
      </c>
      <c r="GF11" s="519">
        <v>0</v>
      </c>
      <c r="GG11" s="579">
        <v>6</v>
      </c>
      <c r="GH11" s="629">
        <f>0/GG11</f>
        <v>0</v>
      </c>
      <c r="GI11" s="518">
        <v>0</v>
      </c>
    </row>
    <row r="12" spans="1:191">
      <c r="D12" s="4800" t="s">
        <v>1344</v>
      </c>
      <c r="E12" s="4606">
        <v>0</v>
      </c>
      <c r="F12" s="4606">
        <v>0</v>
      </c>
      <c r="G12" s="4606"/>
      <c r="H12" s="4606"/>
      <c r="I12" s="4606">
        <v>0</v>
      </c>
      <c r="J12" s="4606"/>
      <c r="K12" s="4606"/>
      <c r="L12" s="4606">
        <v>1</v>
      </c>
      <c r="M12" s="4606">
        <v>0</v>
      </c>
      <c r="N12" s="2552"/>
      <c r="O12" s="2552"/>
      <c r="P12" s="2552">
        <v>1</v>
      </c>
      <c r="Q12" s="2552"/>
      <c r="R12" s="2552"/>
      <c r="V12" s="1793" t="s">
        <v>15</v>
      </c>
      <c r="W12" s="4804">
        <v>1</v>
      </c>
      <c r="X12" s="4804"/>
      <c r="Y12" s="4804"/>
      <c r="Z12" s="4804">
        <v>2</v>
      </c>
      <c r="AA12" s="4804"/>
      <c r="AB12" s="4804"/>
      <c r="AC12" s="4804">
        <v>2</v>
      </c>
      <c r="AD12" s="4804">
        <v>1</v>
      </c>
      <c r="AE12" s="4702"/>
      <c r="AF12" s="4702">
        <v>6</v>
      </c>
      <c r="AG12" s="4703">
        <f>+(AF10+AF11)/AF12</f>
        <v>0.33333333333333331</v>
      </c>
      <c r="AI12" s="41"/>
      <c r="AJ12" s="41"/>
      <c r="AK12" s="41"/>
      <c r="AL12" s="461" t="s">
        <v>15</v>
      </c>
      <c r="AM12" s="2002"/>
      <c r="AN12" s="2002"/>
      <c r="AO12" s="2002">
        <v>1</v>
      </c>
      <c r="AP12" s="2002">
        <v>1</v>
      </c>
      <c r="AQ12" s="2002">
        <v>1</v>
      </c>
      <c r="AR12" s="2002">
        <v>1</v>
      </c>
      <c r="AS12" s="2002">
        <v>1</v>
      </c>
      <c r="AT12" s="2002">
        <v>1</v>
      </c>
      <c r="AU12" s="2480"/>
      <c r="AV12" s="2480">
        <v>1</v>
      </c>
      <c r="AW12" s="2480">
        <v>7</v>
      </c>
      <c r="AX12" s="635">
        <f>+(AW11+AW10)/AW12</f>
        <v>0.2857142857142857</v>
      </c>
      <c r="AZ12" s="42"/>
      <c r="BA12" s="42"/>
      <c r="BB12" s="42" t="s">
        <v>115</v>
      </c>
      <c r="BC12" s="42" t="s">
        <v>1235</v>
      </c>
      <c r="BD12" s="1993"/>
      <c r="BE12" s="1993"/>
      <c r="BF12" s="1993"/>
      <c r="BG12" s="1993"/>
      <c r="BH12" s="1993"/>
      <c r="BI12" s="1993"/>
      <c r="BJ12" s="1993">
        <v>1</v>
      </c>
      <c r="BK12" s="1993"/>
      <c r="BL12" s="1993"/>
      <c r="BM12" s="70"/>
      <c r="BN12" s="70"/>
      <c r="BO12" s="70">
        <v>1</v>
      </c>
      <c r="BR12" s="105"/>
      <c r="BS12" s="105"/>
      <c r="BT12" s="41"/>
      <c r="BU12" s="41" t="s">
        <v>1344</v>
      </c>
      <c r="BV12" s="1659">
        <v>0</v>
      </c>
      <c r="BW12" s="1659">
        <v>0</v>
      </c>
      <c r="BX12" s="1659"/>
      <c r="BY12" s="1659"/>
      <c r="BZ12" s="1659"/>
      <c r="CA12" s="1659"/>
      <c r="CB12" s="1659">
        <v>4</v>
      </c>
      <c r="CC12" s="1659">
        <v>5</v>
      </c>
      <c r="CD12" s="1659">
        <v>1</v>
      </c>
      <c r="CE12" s="105">
        <v>0</v>
      </c>
      <c r="CF12" s="105"/>
      <c r="CG12" s="105">
        <v>10</v>
      </c>
      <c r="CH12" s="105"/>
      <c r="CJ12" s="1359"/>
      <c r="CK12" s="1359"/>
      <c r="CL12" s="1360"/>
      <c r="CM12" s="1361" t="s">
        <v>1240</v>
      </c>
      <c r="CN12" s="1362"/>
      <c r="CO12" s="1363">
        <v>0</v>
      </c>
      <c r="CP12" s="1363">
        <v>0</v>
      </c>
      <c r="CQ12" s="1362"/>
      <c r="CR12" s="1362"/>
      <c r="CS12" s="1363">
        <v>3</v>
      </c>
      <c r="CT12" s="1363">
        <v>0</v>
      </c>
      <c r="CU12" s="1363">
        <v>0</v>
      </c>
      <c r="CV12" s="686"/>
      <c r="CW12" s="686"/>
      <c r="CX12" s="687">
        <v>3</v>
      </c>
      <c r="CY12" s="41"/>
      <c r="DA12" s="602"/>
      <c r="DB12" s="602"/>
      <c r="DC12" s="603"/>
      <c r="DD12" s="604" t="s">
        <v>1344</v>
      </c>
      <c r="DE12" s="605"/>
      <c r="DF12" s="605"/>
      <c r="DG12" s="605"/>
      <c r="DH12" s="605"/>
      <c r="DI12" s="605"/>
      <c r="DJ12" s="606">
        <v>2</v>
      </c>
      <c r="DK12" s="606">
        <v>3</v>
      </c>
      <c r="DL12" s="606">
        <v>2</v>
      </c>
      <c r="DM12" s="602"/>
      <c r="DN12" s="602"/>
      <c r="DO12" s="607">
        <v>7</v>
      </c>
      <c r="DP12" s="105"/>
      <c r="DR12" s="608"/>
      <c r="DS12" s="608"/>
      <c r="DT12" s="608"/>
      <c r="DU12" s="609" t="s">
        <v>1240</v>
      </c>
      <c r="DV12" s="610"/>
      <c r="DW12" s="610"/>
      <c r="DX12" s="610"/>
      <c r="DY12" s="610"/>
      <c r="DZ12" s="610"/>
      <c r="EA12" s="610"/>
      <c r="EB12" s="611">
        <v>1</v>
      </c>
      <c r="EC12" s="611">
        <v>0</v>
      </c>
      <c r="ED12" s="611">
        <v>0</v>
      </c>
      <c r="EE12" s="612"/>
      <c r="EF12" s="612"/>
      <c r="EG12" s="613">
        <v>1</v>
      </c>
      <c r="EH12" s="614"/>
      <c r="EJ12" s="615"/>
      <c r="EK12" s="615"/>
      <c r="EL12" s="615" t="s">
        <v>115</v>
      </c>
      <c r="EM12" s="616" t="s">
        <v>1231</v>
      </c>
      <c r="EN12" s="617"/>
      <c r="EO12" s="617"/>
      <c r="EP12" s="617"/>
      <c r="EQ12" s="617"/>
      <c r="ER12" s="617"/>
      <c r="ES12" s="618">
        <v>4</v>
      </c>
      <c r="ET12" s="618">
        <v>1</v>
      </c>
      <c r="EU12" s="618">
        <v>1</v>
      </c>
      <c r="EV12" s="617"/>
      <c r="EW12" s="618">
        <v>0</v>
      </c>
      <c r="EX12" s="618">
        <v>6</v>
      </c>
      <c r="EY12" s="515"/>
      <c r="FA12" s="70"/>
      <c r="FB12" s="70"/>
      <c r="FC12" s="42" t="s">
        <v>115</v>
      </c>
      <c r="FD12" s="42" t="s">
        <v>1230</v>
      </c>
      <c r="FE12" s="70"/>
      <c r="FF12" s="70">
        <v>0</v>
      </c>
      <c r="FG12" s="70"/>
      <c r="FH12" s="70"/>
      <c r="FI12" s="70"/>
      <c r="FJ12" s="70">
        <v>1</v>
      </c>
      <c r="FK12" s="70">
        <v>0</v>
      </c>
      <c r="FL12" s="70">
        <v>1</v>
      </c>
      <c r="FM12" s="70"/>
      <c r="FN12" s="70">
        <v>0</v>
      </c>
      <c r="FO12" s="70">
        <v>2</v>
      </c>
      <c r="FP12" s="42"/>
      <c r="FQ12" s="42"/>
      <c r="FR12" s="516"/>
      <c r="FS12" s="516"/>
      <c r="FT12" s="516" t="s">
        <v>115</v>
      </c>
      <c r="FU12" s="516" t="s">
        <v>1230</v>
      </c>
      <c r="FV12" s="516">
        <v>0</v>
      </c>
      <c r="FW12" s="516">
        <v>0</v>
      </c>
      <c r="FX12" s="516">
        <v>0</v>
      </c>
      <c r="FY12" s="516">
        <v>0</v>
      </c>
      <c r="FZ12" s="516">
        <v>1</v>
      </c>
      <c r="GA12" s="516">
        <v>0</v>
      </c>
      <c r="GB12" s="516">
        <v>0</v>
      </c>
      <c r="GC12" s="516">
        <v>0</v>
      </c>
      <c r="GD12" s="516">
        <v>1</v>
      </c>
      <c r="GE12" s="516">
        <v>0</v>
      </c>
      <c r="GF12" s="516">
        <v>0</v>
      </c>
      <c r="GG12" s="517">
        <v>2</v>
      </c>
      <c r="GH12" s="619"/>
      <c r="GI12" s="518"/>
    </row>
    <row r="13" spans="1:191">
      <c r="D13" s="32" t="s">
        <v>15</v>
      </c>
      <c r="E13" s="4607">
        <v>2</v>
      </c>
      <c r="F13" s="4607">
        <v>1</v>
      </c>
      <c r="G13" s="4607"/>
      <c r="H13" s="4607"/>
      <c r="I13" s="4607">
        <v>2</v>
      </c>
      <c r="J13" s="4607"/>
      <c r="K13" s="4607"/>
      <c r="L13" s="4607">
        <v>2</v>
      </c>
      <c r="M13" s="4607">
        <v>1</v>
      </c>
      <c r="N13" s="4583"/>
      <c r="O13" s="4583"/>
      <c r="P13" s="4583">
        <v>8</v>
      </c>
      <c r="Q13" s="1977">
        <f>+(P10+P12)/(P13-P11)</f>
        <v>0.33333333333333331</v>
      </c>
      <c r="R13" s="1977"/>
      <c r="U13" s="37" t="s">
        <v>116</v>
      </c>
      <c r="V13" s="37" t="s">
        <v>1230</v>
      </c>
      <c r="W13" s="4803">
        <v>0</v>
      </c>
      <c r="X13" s="4803"/>
      <c r="Y13" s="4803">
        <v>0</v>
      </c>
      <c r="Z13" s="4803"/>
      <c r="AA13" s="4803"/>
      <c r="AB13" s="4803">
        <v>0</v>
      </c>
      <c r="AC13" s="4803">
        <v>2</v>
      </c>
      <c r="AD13" s="4803"/>
      <c r="AE13" s="1788"/>
      <c r="AF13" s="1788">
        <v>2</v>
      </c>
      <c r="AI13" s="41"/>
      <c r="AJ13" s="41"/>
      <c r="AK13" s="41" t="s">
        <v>116</v>
      </c>
      <c r="AL13" s="41" t="s">
        <v>1230</v>
      </c>
      <c r="AM13" s="2001"/>
      <c r="AN13" s="2001"/>
      <c r="AO13" s="2001"/>
      <c r="AP13" s="2001"/>
      <c r="AQ13" s="2001">
        <v>0</v>
      </c>
      <c r="AR13" s="2001">
        <v>1</v>
      </c>
      <c r="AS13" s="2001">
        <v>0</v>
      </c>
      <c r="AT13" s="2001">
        <v>2</v>
      </c>
      <c r="AU13" s="105"/>
      <c r="AV13" s="105"/>
      <c r="AW13" s="105">
        <v>3</v>
      </c>
      <c r="AX13" s="41"/>
      <c r="AZ13" s="42"/>
      <c r="BA13" s="42"/>
      <c r="BB13" s="42"/>
      <c r="BC13" s="484" t="s">
        <v>15</v>
      </c>
      <c r="BD13" s="1994"/>
      <c r="BE13" s="1994"/>
      <c r="BF13" s="1994"/>
      <c r="BG13" s="1994"/>
      <c r="BH13" s="1994"/>
      <c r="BI13" s="1994"/>
      <c r="BJ13" s="1994">
        <v>1</v>
      </c>
      <c r="BK13" s="1994"/>
      <c r="BL13" s="1994"/>
      <c r="BM13" s="454"/>
      <c r="BN13" s="454"/>
      <c r="BO13" s="454">
        <v>1</v>
      </c>
      <c r="BP13" s="2485">
        <f>+BO12/BO13</f>
        <v>1</v>
      </c>
      <c r="BR13" s="105"/>
      <c r="BS13" s="105"/>
      <c r="BT13" s="41"/>
      <c r="BU13" s="461" t="s">
        <v>15</v>
      </c>
      <c r="BV13" s="1660">
        <v>2</v>
      </c>
      <c r="BW13" s="1660">
        <v>1</v>
      </c>
      <c r="BX13" s="1660"/>
      <c r="BY13" s="1660"/>
      <c r="BZ13" s="1660"/>
      <c r="CA13" s="1660"/>
      <c r="CB13" s="1660">
        <v>12</v>
      </c>
      <c r="CC13" s="1660">
        <v>17</v>
      </c>
      <c r="CD13" s="1660">
        <v>11</v>
      </c>
      <c r="CE13" s="96">
        <v>1</v>
      </c>
      <c r="CF13" s="96"/>
      <c r="CG13" s="96">
        <v>44</v>
      </c>
      <c r="CH13" s="635">
        <f>+(CG8+CG11+CG12)/CG13</f>
        <v>0.34090909090909088</v>
      </c>
      <c r="CJ13" s="1359"/>
      <c r="CK13" s="1359"/>
      <c r="CL13" s="1360"/>
      <c r="CM13" s="1361" t="s">
        <v>1344</v>
      </c>
      <c r="CN13" s="1362"/>
      <c r="CO13" s="1363">
        <v>0</v>
      </c>
      <c r="CP13" s="1363">
        <v>0</v>
      </c>
      <c r="CQ13" s="1362"/>
      <c r="CR13" s="1362"/>
      <c r="CS13" s="1363">
        <v>1</v>
      </c>
      <c r="CT13" s="1363">
        <v>2</v>
      </c>
      <c r="CU13" s="1363">
        <v>0</v>
      </c>
      <c r="CV13" s="686"/>
      <c r="CW13" s="686"/>
      <c r="CX13" s="687">
        <v>3</v>
      </c>
      <c r="CY13" s="41"/>
      <c r="DA13" s="602"/>
      <c r="DB13" s="602"/>
      <c r="DC13" s="603"/>
      <c r="DD13" s="630" t="s">
        <v>15</v>
      </c>
      <c r="DE13" s="631"/>
      <c r="DF13" s="631"/>
      <c r="DG13" s="631"/>
      <c r="DH13" s="631"/>
      <c r="DI13" s="631"/>
      <c r="DJ13" s="632">
        <v>2</v>
      </c>
      <c r="DK13" s="632">
        <v>12</v>
      </c>
      <c r="DL13" s="632">
        <v>5</v>
      </c>
      <c r="DM13" s="633"/>
      <c r="DN13" s="633"/>
      <c r="DO13" s="634">
        <v>19</v>
      </c>
      <c r="DP13" s="635">
        <f>+(DO11+DO12)/DO13</f>
        <v>0.42105263157894735</v>
      </c>
      <c r="DR13" s="608"/>
      <c r="DS13" s="608"/>
      <c r="DT13" s="608"/>
      <c r="DU13" s="609" t="s">
        <v>1344</v>
      </c>
      <c r="DV13" s="610"/>
      <c r="DW13" s="610"/>
      <c r="DX13" s="610"/>
      <c r="DY13" s="610"/>
      <c r="DZ13" s="610"/>
      <c r="EA13" s="610"/>
      <c r="EB13" s="611">
        <v>1</v>
      </c>
      <c r="EC13" s="611">
        <v>0</v>
      </c>
      <c r="ED13" s="611">
        <v>1</v>
      </c>
      <c r="EE13" s="612"/>
      <c r="EF13" s="612"/>
      <c r="EG13" s="613">
        <v>2</v>
      </c>
      <c r="EH13" s="614"/>
      <c r="EJ13" s="615"/>
      <c r="EK13" s="615"/>
      <c r="EL13" s="615"/>
      <c r="EM13" s="616" t="s">
        <v>1235</v>
      </c>
      <c r="EN13" s="617"/>
      <c r="EO13" s="617"/>
      <c r="EP13" s="617"/>
      <c r="EQ13" s="617"/>
      <c r="ER13" s="617"/>
      <c r="ES13" s="618">
        <v>0</v>
      </c>
      <c r="ET13" s="618">
        <v>0</v>
      </c>
      <c r="EU13" s="618">
        <v>1</v>
      </c>
      <c r="EV13" s="617"/>
      <c r="EW13" s="618">
        <v>0</v>
      </c>
      <c r="EX13" s="618">
        <v>1</v>
      </c>
      <c r="EY13" s="515"/>
      <c r="FA13" s="70"/>
      <c r="FB13" s="70"/>
      <c r="FC13" s="42"/>
      <c r="FD13" s="42" t="s">
        <v>1231</v>
      </c>
      <c r="FE13" s="70"/>
      <c r="FF13" s="70">
        <v>2</v>
      </c>
      <c r="FG13" s="70"/>
      <c r="FH13" s="70"/>
      <c r="FI13" s="70"/>
      <c r="FJ13" s="70">
        <v>3</v>
      </c>
      <c r="FK13" s="70">
        <v>6</v>
      </c>
      <c r="FL13" s="70">
        <v>1</v>
      </c>
      <c r="FM13" s="70"/>
      <c r="FN13" s="70">
        <v>0</v>
      </c>
      <c r="FO13" s="70">
        <v>12</v>
      </c>
      <c r="FP13" s="42"/>
      <c r="FQ13" s="42"/>
      <c r="FR13" s="516"/>
      <c r="FS13" s="516"/>
      <c r="FT13" s="516"/>
      <c r="FU13" s="516" t="s">
        <v>1235</v>
      </c>
      <c r="FV13" s="516">
        <v>0</v>
      </c>
      <c r="FW13" s="516">
        <v>0</v>
      </c>
      <c r="FX13" s="516">
        <v>0</v>
      </c>
      <c r="FY13" s="516">
        <v>0</v>
      </c>
      <c r="FZ13" s="516">
        <v>0</v>
      </c>
      <c r="GA13" s="516">
        <v>0</v>
      </c>
      <c r="GB13" s="516">
        <v>1</v>
      </c>
      <c r="GC13" s="516">
        <v>2</v>
      </c>
      <c r="GD13" s="516">
        <v>1</v>
      </c>
      <c r="GE13" s="516">
        <v>0</v>
      </c>
      <c r="GF13" s="516">
        <v>0</v>
      </c>
      <c r="GG13" s="517">
        <v>4</v>
      </c>
      <c r="GH13" s="619"/>
      <c r="GI13" s="518"/>
    </row>
    <row r="14" spans="1:191">
      <c r="C14" s="4800" t="s">
        <v>116</v>
      </c>
      <c r="D14" s="4800" t="s">
        <v>1230</v>
      </c>
      <c r="E14" s="4606"/>
      <c r="F14" s="4606">
        <v>0</v>
      </c>
      <c r="G14" s="4606"/>
      <c r="H14" s="4606">
        <v>0</v>
      </c>
      <c r="I14" s="4606"/>
      <c r="J14" s="4606"/>
      <c r="K14" s="4606">
        <v>0</v>
      </c>
      <c r="L14" s="4606">
        <v>0</v>
      </c>
      <c r="M14" s="4606">
        <v>1</v>
      </c>
      <c r="N14" s="2552"/>
      <c r="O14" s="2552"/>
      <c r="P14" s="2552">
        <v>1</v>
      </c>
      <c r="Q14" s="2552"/>
      <c r="R14" s="2552"/>
      <c r="V14" s="37" t="s">
        <v>1231</v>
      </c>
      <c r="W14" s="4803">
        <v>1</v>
      </c>
      <c r="X14" s="4803"/>
      <c r="Y14" s="4803">
        <v>1</v>
      </c>
      <c r="Z14" s="4803"/>
      <c r="AA14" s="4803"/>
      <c r="AB14" s="4803">
        <v>17</v>
      </c>
      <c r="AC14" s="4803">
        <v>0</v>
      </c>
      <c r="AD14" s="4803"/>
      <c r="AE14" s="1788"/>
      <c r="AF14" s="1788">
        <v>19</v>
      </c>
      <c r="AI14" s="41"/>
      <c r="AJ14" s="41"/>
      <c r="AK14" s="41"/>
      <c r="AL14" s="41" t="s">
        <v>1231</v>
      </c>
      <c r="AM14" s="2001"/>
      <c r="AN14" s="2001"/>
      <c r="AO14" s="2001"/>
      <c r="AP14" s="2001"/>
      <c r="AQ14" s="2001">
        <v>0</v>
      </c>
      <c r="AR14" s="2001">
        <v>3</v>
      </c>
      <c r="AS14" s="2001">
        <v>9</v>
      </c>
      <c r="AT14" s="2001">
        <v>0</v>
      </c>
      <c r="AU14" s="105"/>
      <c r="AV14" s="105"/>
      <c r="AW14" s="105">
        <v>12</v>
      </c>
      <c r="AX14" s="41"/>
      <c r="AZ14" s="42"/>
      <c r="BA14" s="42"/>
      <c r="BB14" s="42" t="s">
        <v>116</v>
      </c>
      <c r="BC14" s="42" t="s">
        <v>1230</v>
      </c>
      <c r="BD14" s="1993"/>
      <c r="BE14" s="1993"/>
      <c r="BF14" s="1993">
        <v>0</v>
      </c>
      <c r="BG14" s="1993"/>
      <c r="BH14" s="1993"/>
      <c r="BI14" s="1993"/>
      <c r="BJ14" s="1993">
        <v>0</v>
      </c>
      <c r="BK14" s="1993">
        <v>1</v>
      </c>
      <c r="BL14" s="1993"/>
      <c r="BM14" s="70"/>
      <c r="BN14" s="70"/>
      <c r="BO14" s="70">
        <v>1</v>
      </c>
      <c r="BR14" s="105"/>
      <c r="BS14" s="105"/>
      <c r="BT14" s="41" t="s">
        <v>116</v>
      </c>
      <c r="BU14" s="41" t="s">
        <v>1230</v>
      </c>
      <c r="BV14" s="1659">
        <v>0</v>
      </c>
      <c r="BW14" s="1659"/>
      <c r="BX14" s="1659"/>
      <c r="BY14" s="1659"/>
      <c r="BZ14" s="1659"/>
      <c r="CA14" s="1659">
        <v>1</v>
      </c>
      <c r="CB14" s="1659">
        <v>0</v>
      </c>
      <c r="CC14" s="1659">
        <v>0</v>
      </c>
      <c r="CD14" s="1659">
        <v>2</v>
      </c>
      <c r="CE14" s="105"/>
      <c r="CF14" s="105"/>
      <c r="CG14" s="105">
        <v>3</v>
      </c>
      <c r="CH14" s="105"/>
      <c r="CJ14" s="1359"/>
      <c r="CK14" s="1359"/>
      <c r="CL14" s="1360"/>
      <c r="CM14" s="483" t="s">
        <v>15</v>
      </c>
      <c r="CN14" s="1364"/>
      <c r="CO14" s="1365">
        <v>1</v>
      </c>
      <c r="CP14" s="1365">
        <v>1</v>
      </c>
      <c r="CQ14" s="1364"/>
      <c r="CR14" s="1364"/>
      <c r="CS14" s="1365">
        <v>12</v>
      </c>
      <c r="CT14" s="1365">
        <v>9</v>
      </c>
      <c r="CU14" s="1365">
        <v>10</v>
      </c>
      <c r="CV14" s="695"/>
      <c r="CW14" s="695"/>
      <c r="CX14" s="696">
        <v>33</v>
      </c>
      <c r="CY14" s="1325">
        <f>+(CX10+CX12+CX13)/CX14</f>
        <v>0.24242424242424243</v>
      </c>
      <c r="DA14" s="602"/>
      <c r="DB14" s="602"/>
      <c r="DC14" s="603" t="s">
        <v>116</v>
      </c>
      <c r="DD14" s="604" t="s">
        <v>1230</v>
      </c>
      <c r="DE14" s="605"/>
      <c r="DF14" s="605"/>
      <c r="DG14" s="605"/>
      <c r="DH14" s="605"/>
      <c r="DI14" s="606">
        <v>0</v>
      </c>
      <c r="DJ14" s="606">
        <v>0</v>
      </c>
      <c r="DK14" s="606">
        <v>1</v>
      </c>
      <c r="DL14" s="606">
        <v>1</v>
      </c>
      <c r="DM14" s="602"/>
      <c r="DN14" s="602"/>
      <c r="DO14" s="607">
        <v>2</v>
      </c>
      <c r="DP14" s="105"/>
      <c r="DR14" s="608"/>
      <c r="DS14" s="608"/>
      <c r="DT14" s="608"/>
      <c r="DU14" s="620" t="s">
        <v>15</v>
      </c>
      <c r="DV14" s="621"/>
      <c r="DW14" s="621"/>
      <c r="DX14" s="621"/>
      <c r="DY14" s="621"/>
      <c r="DZ14" s="621"/>
      <c r="EA14" s="621"/>
      <c r="EB14" s="622">
        <v>5</v>
      </c>
      <c r="EC14" s="622">
        <v>5</v>
      </c>
      <c r="ED14" s="622">
        <v>3</v>
      </c>
      <c r="EE14" s="623"/>
      <c r="EF14" s="623"/>
      <c r="EG14" s="624">
        <v>13</v>
      </c>
      <c r="EH14" s="614">
        <f>+(EG13+EG12+EG10)/EG14</f>
        <v>0.30769230769230771</v>
      </c>
      <c r="EJ14" s="615"/>
      <c r="EK14" s="615"/>
      <c r="EL14" s="615"/>
      <c r="EM14" s="616" t="s">
        <v>1239</v>
      </c>
      <c r="EN14" s="617"/>
      <c r="EO14" s="617"/>
      <c r="EP14" s="617"/>
      <c r="EQ14" s="617"/>
      <c r="ER14" s="617"/>
      <c r="ES14" s="618">
        <v>0</v>
      </c>
      <c r="ET14" s="618">
        <v>0</v>
      </c>
      <c r="EU14" s="618">
        <v>2</v>
      </c>
      <c r="EV14" s="617"/>
      <c r="EW14" s="618">
        <v>1</v>
      </c>
      <c r="EX14" s="618">
        <v>3</v>
      </c>
      <c r="EY14" s="515"/>
      <c r="FA14" s="70"/>
      <c r="FB14" s="70"/>
      <c r="FC14" s="42"/>
      <c r="FD14" s="42" t="s">
        <v>1239</v>
      </c>
      <c r="FE14" s="70"/>
      <c r="FF14" s="70">
        <v>0</v>
      </c>
      <c r="FG14" s="70"/>
      <c r="FH14" s="70"/>
      <c r="FI14" s="70"/>
      <c r="FJ14" s="70">
        <v>0</v>
      </c>
      <c r="FK14" s="70">
        <v>0</v>
      </c>
      <c r="FL14" s="70">
        <v>4</v>
      </c>
      <c r="FM14" s="70"/>
      <c r="FN14" s="70">
        <v>2</v>
      </c>
      <c r="FO14" s="70">
        <v>6</v>
      </c>
      <c r="FP14" s="42"/>
      <c r="FQ14" s="42"/>
      <c r="FR14" s="516"/>
      <c r="FS14" s="516"/>
      <c r="FT14" s="516"/>
      <c r="FU14" s="516" t="s">
        <v>1236</v>
      </c>
      <c r="FV14" s="516">
        <v>0</v>
      </c>
      <c r="FW14" s="516">
        <v>0</v>
      </c>
      <c r="FX14" s="516">
        <v>0</v>
      </c>
      <c r="FY14" s="516">
        <v>0</v>
      </c>
      <c r="FZ14" s="516">
        <v>1</v>
      </c>
      <c r="GA14" s="516">
        <v>0</v>
      </c>
      <c r="GB14" s="516">
        <v>0</v>
      </c>
      <c r="GC14" s="516">
        <v>0</v>
      </c>
      <c r="GD14" s="516">
        <v>0</v>
      </c>
      <c r="GE14" s="516">
        <v>0</v>
      </c>
      <c r="GF14" s="516">
        <v>0</v>
      </c>
      <c r="GG14" s="517">
        <v>1</v>
      </c>
      <c r="GH14" s="619"/>
      <c r="GI14" s="518"/>
    </row>
    <row r="15" spans="1:191">
      <c r="D15" s="4800" t="s">
        <v>1231</v>
      </c>
      <c r="E15" s="4606"/>
      <c r="F15" s="4606">
        <v>1</v>
      </c>
      <c r="G15" s="4606"/>
      <c r="H15" s="4606">
        <v>1</v>
      </c>
      <c r="I15" s="4606"/>
      <c r="J15" s="4606"/>
      <c r="K15" s="4606">
        <v>15</v>
      </c>
      <c r="L15" s="4606">
        <v>1</v>
      </c>
      <c r="M15" s="4606">
        <v>0</v>
      </c>
      <c r="N15" s="2552"/>
      <c r="O15" s="2552"/>
      <c r="P15" s="2552">
        <v>18</v>
      </c>
      <c r="Q15" s="2552"/>
      <c r="R15" s="2552"/>
      <c r="V15" s="1793" t="s">
        <v>15</v>
      </c>
      <c r="W15" s="4804">
        <v>1</v>
      </c>
      <c r="X15" s="4804"/>
      <c r="Y15" s="4804">
        <v>1</v>
      </c>
      <c r="Z15" s="4804"/>
      <c r="AA15" s="4804"/>
      <c r="AB15" s="4804">
        <v>17</v>
      </c>
      <c r="AC15" s="4804">
        <v>2</v>
      </c>
      <c r="AD15" s="4804"/>
      <c r="AE15" s="4702"/>
      <c r="AF15" s="4702">
        <v>21</v>
      </c>
      <c r="AG15" s="4703">
        <v>0</v>
      </c>
      <c r="AI15" s="41"/>
      <c r="AJ15" s="41"/>
      <c r="AK15" s="41"/>
      <c r="AL15" s="41" t="s">
        <v>1236</v>
      </c>
      <c r="AM15" s="2001"/>
      <c r="AN15" s="2001"/>
      <c r="AO15" s="2001"/>
      <c r="AP15" s="2001"/>
      <c r="AQ15" s="2001">
        <v>1</v>
      </c>
      <c r="AR15" s="2001">
        <v>0</v>
      </c>
      <c r="AS15" s="2001">
        <v>0</v>
      </c>
      <c r="AT15" s="2001">
        <v>0</v>
      </c>
      <c r="AU15" s="105"/>
      <c r="AV15" s="105"/>
      <c r="AW15" s="105">
        <v>1</v>
      </c>
      <c r="AX15" s="41"/>
      <c r="AZ15" s="42"/>
      <c r="BA15" s="42"/>
      <c r="BB15" s="42"/>
      <c r="BC15" s="42" t="s">
        <v>1231</v>
      </c>
      <c r="BD15" s="1993"/>
      <c r="BE15" s="1993"/>
      <c r="BF15" s="1993">
        <v>1</v>
      </c>
      <c r="BG15" s="1993"/>
      <c r="BH15" s="1993"/>
      <c r="BI15" s="1993"/>
      <c r="BJ15" s="1993">
        <v>6</v>
      </c>
      <c r="BK15" s="1993">
        <v>2</v>
      </c>
      <c r="BL15" s="1993"/>
      <c r="BM15" s="70"/>
      <c r="BN15" s="70"/>
      <c r="BO15" s="70">
        <v>9</v>
      </c>
      <c r="BR15" s="105"/>
      <c r="BS15" s="105"/>
      <c r="BT15" s="41"/>
      <c r="BU15" s="41" t="s">
        <v>1231</v>
      </c>
      <c r="BV15" s="1659">
        <v>0</v>
      </c>
      <c r="BW15" s="1659"/>
      <c r="BX15" s="1659"/>
      <c r="BY15" s="1659"/>
      <c r="BZ15" s="1659"/>
      <c r="CA15" s="1659">
        <v>1</v>
      </c>
      <c r="CB15" s="1659">
        <v>5</v>
      </c>
      <c r="CC15" s="1659">
        <v>4</v>
      </c>
      <c r="CD15" s="1659">
        <v>0</v>
      </c>
      <c r="CE15" s="105"/>
      <c r="CF15" s="105"/>
      <c r="CG15" s="105">
        <v>10</v>
      </c>
      <c r="CH15" s="105"/>
      <c r="CJ15" s="1359"/>
      <c r="CK15" s="1359"/>
      <c r="CL15" s="1360" t="s">
        <v>116</v>
      </c>
      <c r="CM15" s="1361" t="s">
        <v>1230</v>
      </c>
      <c r="CN15" s="1363">
        <v>0</v>
      </c>
      <c r="CO15" s="1362"/>
      <c r="CP15" s="1362"/>
      <c r="CQ15" s="1363">
        <v>0</v>
      </c>
      <c r="CR15" s="1363">
        <v>0</v>
      </c>
      <c r="CS15" s="1363">
        <v>1</v>
      </c>
      <c r="CT15" s="1362"/>
      <c r="CU15" s="1363">
        <v>0</v>
      </c>
      <c r="CV15" s="686"/>
      <c r="CW15" s="686"/>
      <c r="CX15" s="687">
        <v>1</v>
      </c>
      <c r="CY15" s="41"/>
      <c r="DA15" s="602"/>
      <c r="DB15" s="602"/>
      <c r="DC15" s="603"/>
      <c r="DD15" s="604" t="s">
        <v>1231</v>
      </c>
      <c r="DE15" s="605"/>
      <c r="DF15" s="605"/>
      <c r="DG15" s="605"/>
      <c r="DH15" s="605"/>
      <c r="DI15" s="606">
        <v>1</v>
      </c>
      <c r="DJ15" s="606">
        <v>0</v>
      </c>
      <c r="DK15" s="606">
        <v>1</v>
      </c>
      <c r="DL15" s="606">
        <v>0</v>
      </c>
      <c r="DM15" s="602"/>
      <c r="DN15" s="602"/>
      <c r="DO15" s="607">
        <v>2</v>
      </c>
      <c r="DP15" s="105"/>
      <c r="DR15" s="608"/>
      <c r="DS15" s="608"/>
      <c r="DT15" s="608" t="s">
        <v>116</v>
      </c>
      <c r="DU15" s="609" t="s">
        <v>1230</v>
      </c>
      <c r="DV15" s="610"/>
      <c r="DW15" s="611">
        <v>0</v>
      </c>
      <c r="DX15" s="610"/>
      <c r="DY15" s="610"/>
      <c r="DZ15" s="610"/>
      <c r="EA15" s="611">
        <v>0</v>
      </c>
      <c r="EB15" s="611">
        <v>0</v>
      </c>
      <c r="EC15" s="611">
        <v>0</v>
      </c>
      <c r="ED15" s="611">
        <v>1</v>
      </c>
      <c r="EE15" s="612"/>
      <c r="EF15" s="612"/>
      <c r="EG15" s="613">
        <v>1</v>
      </c>
      <c r="EH15" s="614"/>
      <c r="EJ15" s="615"/>
      <c r="EK15" s="615"/>
      <c r="EL15" s="615"/>
      <c r="EM15" s="616" t="s">
        <v>1240</v>
      </c>
      <c r="EN15" s="617"/>
      <c r="EO15" s="617"/>
      <c r="EP15" s="617"/>
      <c r="EQ15" s="617"/>
      <c r="ER15" s="617"/>
      <c r="ES15" s="618">
        <v>2</v>
      </c>
      <c r="ET15" s="618">
        <v>1</v>
      </c>
      <c r="EU15" s="618">
        <v>1</v>
      </c>
      <c r="EV15" s="617"/>
      <c r="EW15" s="618">
        <v>0</v>
      </c>
      <c r="EX15" s="618">
        <v>4</v>
      </c>
      <c r="EY15" s="515"/>
      <c r="FA15" s="70"/>
      <c r="FB15" s="70"/>
      <c r="FC15" s="42"/>
      <c r="FD15" s="42" t="s">
        <v>1240</v>
      </c>
      <c r="FE15" s="70"/>
      <c r="FF15" s="70">
        <v>0</v>
      </c>
      <c r="FG15" s="70"/>
      <c r="FH15" s="70"/>
      <c r="FI15" s="70"/>
      <c r="FJ15" s="70">
        <v>0</v>
      </c>
      <c r="FK15" s="70">
        <v>3</v>
      </c>
      <c r="FL15" s="70">
        <v>0</v>
      </c>
      <c r="FM15" s="70"/>
      <c r="FN15" s="70">
        <v>0</v>
      </c>
      <c r="FO15" s="70">
        <v>3</v>
      </c>
      <c r="FP15" s="42"/>
      <c r="FQ15" s="42"/>
      <c r="FR15" s="516"/>
      <c r="FS15" s="516"/>
      <c r="FT15" s="516"/>
      <c r="FU15" s="516" t="s">
        <v>1239</v>
      </c>
      <c r="FV15" s="516">
        <v>0</v>
      </c>
      <c r="FW15" s="516">
        <v>0</v>
      </c>
      <c r="FX15" s="516">
        <v>0</v>
      </c>
      <c r="FY15" s="516">
        <v>0</v>
      </c>
      <c r="FZ15" s="516">
        <v>0</v>
      </c>
      <c r="GA15" s="516">
        <v>0</v>
      </c>
      <c r="GB15" s="516">
        <v>0</v>
      </c>
      <c r="GC15" s="516">
        <v>2</v>
      </c>
      <c r="GD15" s="516">
        <v>10</v>
      </c>
      <c r="GE15" s="516">
        <v>0</v>
      </c>
      <c r="GF15" s="516">
        <v>0</v>
      </c>
      <c r="GG15" s="517">
        <v>12</v>
      </c>
      <c r="GH15" s="619"/>
      <c r="GI15" s="518"/>
    </row>
    <row r="16" spans="1:191">
      <c r="D16" s="4800" t="s">
        <v>1235</v>
      </c>
      <c r="E16" s="4606"/>
      <c r="F16" s="4606">
        <v>0</v>
      </c>
      <c r="G16" s="4606"/>
      <c r="H16" s="4606">
        <v>0</v>
      </c>
      <c r="I16" s="4606"/>
      <c r="J16" s="4606"/>
      <c r="K16" s="4606">
        <v>2</v>
      </c>
      <c r="L16" s="4606">
        <v>0</v>
      </c>
      <c r="M16" s="4606">
        <v>0</v>
      </c>
      <c r="N16" s="2552"/>
      <c r="O16" s="2552"/>
      <c r="P16" s="2552">
        <v>2</v>
      </c>
      <c r="Q16" s="2552"/>
      <c r="R16" s="2552"/>
      <c r="U16" s="37" t="s">
        <v>669</v>
      </c>
      <c r="V16" s="37" t="s">
        <v>1231</v>
      </c>
      <c r="W16" s="4803">
        <v>0</v>
      </c>
      <c r="X16" s="4803">
        <v>0</v>
      </c>
      <c r="Y16" s="4803"/>
      <c r="Z16" s="4803"/>
      <c r="AA16" s="4803">
        <v>1</v>
      </c>
      <c r="AB16" s="4803"/>
      <c r="AC16" s="4803">
        <v>0</v>
      </c>
      <c r="AD16" s="4803">
        <v>1</v>
      </c>
      <c r="AE16" s="1788">
        <v>0</v>
      </c>
      <c r="AF16" s="1788">
        <v>2</v>
      </c>
      <c r="AI16" s="41"/>
      <c r="AJ16" s="41"/>
      <c r="AK16" s="41"/>
      <c r="AL16" s="41" t="s">
        <v>1344</v>
      </c>
      <c r="AM16" s="2001"/>
      <c r="AN16" s="2001"/>
      <c r="AO16" s="2001"/>
      <c r="AP16" s="2001"/>
      <c r="AQ16" s="2001">
        <v>0</v>
      </c>
      <c r="AR16" s="2001">
        <v>2</v>
      </c>
      <c r="AS16" s="2001">
        <v>0</v>
      </c>
      <c r="AT16" s="2001">
        <v>0</v>
      </c>
      <c r="AU16" s="105"/>
      <c r="AV16" s="105"/>
      <c r="AW16" s="105">
        <v>2</v>
      </c>
      <c r="AX16" s="41"/>
      <c r="AZ16" s="42"/>
      <c r="BA16" s="42"/>
      <c r="BB16" s="42"/>
      <c r="BC16" s="42" t="s">
        <v>1240</v>
      </c>
      <c r="BD16" s="1993"/>
      <c r="BE16" s="1993"/>
      <c r="BF16" s="1993">
        <v>0</v>
      </c>
      <c r="BG16" s="1993"/>
      <c r="BH16" s="1993"/>
      <c r="BI16" s="1993"/>
      <c r="BJ16" s="1993">
        <v>6</v>
      </c>
      <c r="BK16" s="1993">
        <v>0</v>
      </c>
      <c r="BL16" s="1993"/>
      <c r="BM16" s="70"/>
      <c r="BN16" s="70"/>
      <c r="BO16" s="70">
        <v>6</v>
      </c>
      <c r="BR16" s="105"/>
      <c r="BS16" s="105"/>
      <c r="BT16" s="41"/>
      <c r="BU16" s="41" t="s">
        <v>1239</v>
      </c>
      <c r="BV16" s="1659">
        <v>0</v>
      </c>
      <c r="BW16" s="1659"/>
      <c r="BX16" s="1659"/>
      <c r="BY16" s="1659"/>
      <c r="BZ16" s="1659"/>
      <c r="CA16" s="1659">
        <v>0</v>
      </c>
      <c r="CB16" s="1659">
        <v>0</v>
      </c>
      <c r="CC16" s="1659">
        <v>1</v>
      </c>
      <c r="CD16" s="1659">
        <v>0</v>
      </c>
      <c r="CE16" s="105"/>
      <c r="CF16" s="105"/>
      <c r="CG16" s="105">
        <v>1</v>
      </c>
      <c r="CH16" s="105"/>
      <c r="CJ16" s="1359"/>
      <c r="CK16" s="1359"/>
      <c r="CL16" s="1360"/>
      <c r="CM16" s="1361" t="s">
        <v>1231</v>
      </c>
      <c r="CN16" s="1363">
        <v>1</v>
      </c>
      <c r="CO16" s="1362"/>
      <c r="CP16" s="1362"/>
      <c r="CQ16" s="1363">
        <v>0</v>
      </c>
      <c r="CR16" s="1363">
        <v>2</v>
      </c>
      <c r="CS16" s="1363">
        <v>2</v>
      </c>
      <c r="CT16" s="1362"/>
      <c r="CU16" s="1363">
        <v>0</v>
      </c>
      <c r="CV16" s="686"/>
      <c r="CW16" s="686"/>
      <c r="CX16" s="687">
        <v>5</v>
      </c>
      <c r="CY16" s="41"/>
      <c r="DA16" s="602"/>
      <c r="DB16" s="602"/>
      <c r="DC16" s="603"/>
      <c r="DD16" s="604" t="s">
        <v>1235</v>
      </c>
      <c r="DE16" s="605"/>
      <c r="DF16" s="605"/>
      <c r="DG16" s="605"/>
      <c r="DH16" s="605"/>
      <c r="DI16" s="606">
        <v>1</v>
      </c>
      <c r="DJ16" s="606">
        <v>0</v>
      </c>
      <c r="DK16" s="606">
        <v>0</v>
      </c>
      <c r="DL16" s="606">
        <v>0</v>
      </c>
      <c r="DM16" s="602"/>
      <c r="DN16" s="602"/>
      <c r="DO16" s="607">
        <v>1</v>
      </c>
      <c r="DP16" s="105"/>
      <c r="DR16" s="608"/>
      <c r="DS16" s="608"/>
      <c r="DT16" s="608"/>
      <c r="DU16" s="609" t="s">
        <v>1231</v>
      </c>
      <c r="DV16" s="610"/>
      <c r="DW16" s="611">
        <v>1</v>
      </c>
      <c r="DX16" s="610"/>
      <c r="DY16" s="610"/>
      <c r="DZ16" s="610"/>
      <c r="EA16" s="611">
        <v>3</v>
      </c>
      <c r="EB16" s="611">
        <v>3</v>
      </c>
      <c r="EC16" s="611">
        <v>4</v>
      </c>
      <c r="ED16" s="611">
        <v>0</v>
      </c>
      <c r="EE16" s="612"/>
      <c r="EF16" s="612"/>
      <c r="EG16" s="613">
        <v>11</v>
      </c>
      <c r="EH16" s="614"/>
      <c r="EJ16" s="615"/>
      <c r="EK16" s="615"/>
      <c r="EL16" s="615"/>
      <c r="EM16" s="616" t="s">
        <v>1344</v>
      </c>
      <c r="EN16" s="617"/>
      <c r="EO16" s="617"/>
      <c r="EP16" s="617"/>
      <c r="EQ16" s="617"/>
      <c r="ER16" s="617"/>
      <c r="ES16" s="618">
        <v>0</v>
      </c>
      <c r="ET16" s="618">
        <v>2</v>
      </c>
      <c r="EU16" s="618">
        <v>0</v>
      </c>
      <c r="EV16" s="617"/>
      <c r="EW16" s="618">
        <v>0</v>
      </c>
      <c r="EX16" s="618">
        <v>2</v>
      </c>
      <c r="EY16" s="515"/>
      <c r="FA16" s="70"/>
      <c r="FB16" s="70"/>
      <c r="FC16" s="42"/>
      <c r="FD16" s="42" t="s">
        <v>1344</v>
      </c>
      <c r="FE16" s="70"/>
      <c r="FF16" s="70">
        <v>0</v>
      </c>
      <c r="FG16" s="70"/>
      <c r="FH16" s="70"/>
      <c r="FI16" s="70"/>
      <c r="FJ16" s="70">
        <v>0</v>
      </c>
      <c r="FK16" s="70">
        <v>1</v>
      </c>
      <c r="FL16" s="70">
        <v>1</v>
      </c>
      <c r="FM16" s="70"/>
      <c r="FN16" s="70">
        <v>0</v>
      </c>
      <c r="FO16" s="70">
        <v>2</v>
      </c>
      <c r="FP16" s="42"/>
      <c r="FQ16" s="42"/>
      <c r="FR16" s="516"/>
      <c r="FS16" s="516"/>
      <c r="FT16" s="516"/>
      <c r="FU16" s="516" t="s">
        <v>1240</v>
      </c>
      <c r="FV16" s="516">
        <v>0</v>
      </c>
      <c r="FW16" s="516">
        <v>0</v>
      </c>
      <c r="FX16" s="516">
        <v>0</v>
      </c>
      <c r="FY16" s="516">
        <v>0</v>
      </c>
      <c r="FZ16" s="516">
        <v>0</v>
      </c>
      <c r="GA16" s="516">
        <v>0</v>
      </c>
      <c r="GB16" s="516">
        <v>0</v>
      </c>
      <c r="GC16" s="516">
        <v>2</v>
      </c>
      <c r="GD16" s="516">
        <v>0</v>
      </c>
      <c r="GE16" s="516">
        <v>0</v>
      </c>
      <c r="GF16" s="516">
        <v>0</v>
      </c>
      <c r="GG16" s="517">
        <v>2</v>
      </c>
      <c r="GH16" s="619"/>
      <c r="GI16" s="518"/>
    </row>
    <row r="17" spans="3:191">
      <c r="D17" s="32" t="s">
        <v>15</v>
      </c>
      <c r="E17" s="4607"/>
      <c r="F17" s="4607">
        <v>1</v>
      </c>
      <c r="G17" s="4607"/>
      <c r="H17" s="4607">
        <v>1</v>
      </c>
      <c r="I17" s="4607"/>
      <c r="J17" s="4607"/>
      <c r="K17" s="4607">
        <v>17</v>
      </c>
      <c r="L17" s="4607">
        <v>1</v>
      </c>
      <c r="M17" s="4607">
        <v>1</v>
      </c>
      <c r="N17" s="4583"/>
      <c r="O17" s="4583"/>
      <c r="P17" s="4583">
        <v>21</v>
      </c>
      <c r="Q17" s="1977">
        <f>+P16/P17</f>
        <v>9.5238095238095233E-2</v>
      </c>
      <c r="R17" s="1977"/>
      <c r="V17" s="37" t="s">
        <v>1233</v>
      </c>
      <c r="W17" s="4803">
        <v>1</v>
      </c>
      <c r="X17" s="4803">
        <v>1</v>
      </c>
      <c r="Y17" s="4803"/>
      <c r="Z17" s="4803"/>
      <c r="AA17" s="4803">
        <v>0</v>
      </c>
      <c r="AB17" s="4803"/>
      <c r="AC17" s="4803">
        <v>0</v>
      </c>
      <c r="AD17" s="4803">
        <v>0</v>
      </c>
      <c r="AE17" s="1788">
        <v>0</v>
      </c>
      <c r="AF17" s="1788">
        <v>2</v>
      </c>
      <c r="AI17" s="41"/>
      <c r="AJ17" s="41"/>
      <c r="AK17" s="41"/>
      <c r="AL17" s="461" t="s">
        <v>15</v>
      </c>
      <c r="AM17" s="2002"/>
      <c r="AN17" s="2002"/>
      <c r="AO17" s="2002"/>
      <c r="AP17" s="2002"/>
      <c r="AQ17" s="2002">
        <v>1</v>
      </c>
      <c r="AR17" s="2002">
        <v>6</v>
      </c>
      <c r="AS17" s="2002">
        <v>9</v>
      </c>
      <c r="AT17" s="2002">
        <v>2</v>
      </c>
      <c r="AU17" s="2480"/>
      <c r="AV17" s="2480"/>
      <c r="AW17" s="2480">
        <v>18</v>
      </c>
      <c r="AX17" s="635">
        <f>+AW16/AW17</f>
        <v>0.1111111111111111</v>
      </c>
      <c r="AY17" s="1977"/>
      <c r="AZ17" s="42"/>
      <c r="BA17" s="42"/>
      <c r="BB17" s="42"/>
      <c r="BC17" s="484" t="s">
        <v>15</v>
      </c>
      <c r="BD17" s="1994"/>
      <c r="BE17" s="1994"/>
      <c r="BF17" s="1994">
        <v>1</v>
      </c>
      <c r="BG17" s="1994"/>
      <c r="BH17" s="1994"/>
      <c r="BI17" s="1994"/>
      <c r="BJ17" s="1994">
        <v>12</v>
      </c>
      <c r="BK17" s="1994">
        <v>3</v>
      </c>
      <c r="BL17" s="1994"/>
      <c r="BM17" s="454"/>
      <c r="BN17" s="454"/>
      <c r="BO17" s="454">
        <v>16</v>
      </c>
      <c r="BP17" s="2485">
        <f>+BO16/BO17</f>
        <v>0.375</v>
      </c>
      <c r="BR17" s="105"/>
      <c r="BS17" s="105"/>
      <c r="BT17" s="41"/>
      <c r="BU17" s="41" t="s">
        <v>1865</v>
      </c>
      <c r="BV17" s="1659">
        <v>1</v>
      </c>
      <c r="BW17" s="1659"/>
      <c r="BX17" s="1659"/>
      <c r="BY17" s="1659"/>
      <c r="BZ17" s="1659"/>
      <c r="CA17" s="1659">
        <v>0</v>
      </c>
      <c r="CB17" s="1659">
        <v>0</v>
      </c>
      <c r="CC17" s="1659">
        <v>0</v>
      </c>
      <c r="CD17" s="1659">
        <v>0</v>
      </c>
      <c r="CE17" s="105"/>
      <c r="CF17" s="105"/>
      <c r="CG17" s="105">
        <v>1</v>
      </c>
      <c r="CH17" s="105"/>
      <c r="CJ17" s="1359"/>
      <c r="CK17" s="1359"/>
      <c r="CL17" s="1360"/>
      <c r="CM17" s="1361" t="s">
        <v>1235</v>
      </c>
      <c r="CN17" s="1363">
        <v>0</v>
      </c>
      <c r="CO17" s="1362"/>
      <c r="CP17" s="1362"/>
      <c r="CQ17" s="1363">
        <v>0</v>
      </c>
      <c r="CR17" s="1363">
        <v>1</v>
      </c>
      <c r="CS17" s="1363">
        <v>0</v>
      </c>
      <c r="CT17" s="1362"/>
      <c r="CU17" s="1363">
        <v>0</v>
      </c>
      <c r="CV17" s="686"/>
      <c r="CW17" s="686"/>
      <c r="CX17" s="687">
        <v>1</v>
      </c>
      <c r="CY17" s="41"/>
      <c r="DA17" s="602"/>
      <c r="DB17" s="602"/>
      <c r="DC17" s="603"/>
      <c r="DD17" s="604" t="s">
        <v>1239</v>
      </c>
      <c r="DE17" s="605"/>
      <c r="DF17" s="605"/>
      <c r="DG17" s="605"/>
      <c r="DH17" s="605"/>
      <c r="DI17" s="606">
        <v>0</v>
      </c>
      <c r="DJ17" s="606">
        <v>0</v>
      </c>
      <c r="DK17" s="606">
        <v>1</v>
      </c>
      <c r="DL17" s="606">
        <v>1</v>
      </c>
      <c r="DM17" s="602"/>
      <c r="DN17" s="602"/>
      <c r="DO17" s="607">
        <v>2</v>
      </c>
      <c r="DP17" s="105"/>
      <c r="DR17" s="608"/>
      <c r="DS17" s="608"/>
      <c r="DT17" s="608"/>
      <c r="DU17" s="609" t="s">
        <v>1239</v>
      </c>
      <c r="DV17" s="610"/>
      <c r="DW17" s="611">
        <v>0</v>
      </c>
      <c r="DX17" s="610"/>
      <c r="DY17" s="610"/>
      <c r="DZ17" s="610"/>
      <c r="EA17" s="611">
        <v>0</v>
      </c>
      <c r="EB17" s="611">
        <v>0</v>
      </c>
      <c r="EC17" s="611">
        <v>0</v>
      </c>
      <c r="ED17" s="611">
        <v>2</v>
      </c>
      <c r="EE17" s="612"/>
      <c r="EF17" s="612"/>
      <c r="EG17" s="613">
        <v>2</v>
      </c>
      <c r="EH17" s="614"/>
      <c r="EJ17" s="615"/>
      <c r="EK17" s="615"/>
      <c r="EL17" s="615"/>
      <c r="EM17" s="625" t="s">
        <v>15</v>
      </c>
      <c r="EN17" s="626"/>
      <c r="EO17" s="626"/>
      <c r="EP17" s="626"/>
      <c r="EQ17" s="626"/>
      <c r="ER17" s="626"/>
      <c r="ES17" s="627">
        <v>6</v>
      </c>
      <c r="ET17" s="627">
        <v>4</v>
      </c>
      <c r="EU17" s="627">
        <v>5</v>
      </c>
      <c r="EV17" s="626"/>
      <c r="EW17" s="627">
        <v>1</v>
      </c>
      <c r="EX17" s="627">
        <v>16</v>
      </c>
      <c r="EY17" s="628">
        <f>+(EX16+EX15+EX13)/EX17</f>
        <v>0.4375</v>
      </c>
      <c r="FA17" s="70"/>
      <c r="FB17" s="70"/>
      <c r="FC17" s="42"/>
      <c r="FD17" s="484" t="s">
        <v>15</v>
      </c>
      <c r="FE17" s="454"/>
      <c r="FF17" s="454">
        <v>2</v>
      </c>
      <c r="FG17" s="454"/>
      <c r="FH17" s="454"/>
      <c r="FI17" s="454"/>
      <c r="FJ17" s="454">
        <v>4</v>
      </c>
      <c r="FK17" s="454">
        <v>10</v>
      </c>
      <c r="FL17" s="454">
        <v>7</v>
      </c>
      <c r="FM17" s="454"/>
      <c r="FN17" s="454">
        <v>2</v>
      </c>
      <c r="FO17" s="454">
        <v>25</v>
      </c>
      <c r="FP17" s="536">
        <f>+(FO15+FO16)/FO17</f>
        <v>0.2</v>
      </c>
      <c r="FQ17" s="42"/>
      <c r="FR17" s="516"/>
      <c r="FS17" s="516"/>
      <c r="FT17" s="516"/>
      <c r="FU17" s="516" t="s">
        <v>1344</v>
      </c>
      <c r="FV17" s="516">
        <v>0</v>
      </c>
      <c r="FW17" s="516">
        <v>0</v>
      </c>
      <c r="FX17" s="516">
        <v>0</v>
      </c>
      <c r="FY17" s="516">
        <v>0</v>
      </c>
      <c r="FZ17" s="516">
        <v>0</v>
      </c>
      <c r="GA17" s="516">
        <v>0</v>
      </c>
      <c r="GB17" s="516">
        <v>0</v>
      </c>
      <c r="GC17" s="516">
        <v>1</v>
      </c>
      <c r="GD17" s="516">
        <v>0</v>
      </c>
      <c r="GE17" s="516">
        <v>0</v>
      </c>
      <c r="GF17" s="516">
        <v>0</v>
      </c>
      <c r="GG17" s="517">
        <v>1</v>
      </c>
      <c r="GH17" s="619"/>
      <c r="GI17" s="518"/>
    </row>
    <row r="18" spans="3:191">
      <c r="C18" s="4800" t="s">
        <v>669</v>
      </c>
      <c r="D18" s="4800" t="s">
        <v>1231</v>
      </c>
      <c r="E18" s="4606"/>
      <c r="F18" s="4606">
        <v>0</v>
      </c>
      <c r="G18" s="4606">
        <v>0</v>
      </c>
      <c r="H18" s="4606"/>
      <c r="I18" s="4606"/>
      <c r="J18" s="4606">
        <v>1</v>
      </c>
      <c r="K18" s="4606"/>
      <c r="L18" s="4606">
        <v>0</v>
      </c>
      <c r="M18" s="4606">
        <v>1</v>
      </c>
      <c r="N18" s="2552"/>
      <c r="O18" s="2552">
        <v>0</v>
      </c>
      <c r="P18" s="2552">
        <v>2</v>
      </c>
      <c r="Q18" s="2552"/>
      <c r="R18" s="2552"/>
      <c r="V18" s="37" t="s">
        <v>1235</v>
      </c>
      <c r="W18" s="4803">
        <v>0</v>
      </c>
      <c r="X18" s="4803">
        <v>0</v>
      </c>
      <c r="Y18" s="4803"/>
      <c r="Z18" s="4803"/>
      <c r="AA18" s="4803">
        <v>0</v>
      </c>
      <c r="AB18" s="4803"/>
      <c r="AC18" s="4803">
        <v>2</v>
      </c>
      <c r="AD18" s="4803">
        <v>0</v>
      </c>
      <c r="AE18" s="1788">
        <v>0</v>
      </c>
      <c r="AF18" s="1788">
        <v>2</v>
      </c>
      <c r="AI18" s="41"/>
      <c r="AJ18" s="41"/>
      <c r="AK18" s="41" t="s">
        <v>669</v>
      </c>
      <c r="AL18" s="41" t="s">
        <v>1231</v>
      </c>
      <c r="AM18" s="2001">
        <v>1</v>
      </c>
      <c r="AN18" s="2001"/>
      <c r="AO18" s="2001"/>
      <c r="AP18" s="2001"/>
      <c r="AQ18" s="2001"/>
      <c r="AR18" s="2001">
        <v>1</v>
      </c>
      <c r="AS18" s="2001">
        <v>1</v>
      </c>
      <c r="AT18" s="2001">
        <v>0</v>
      </c>
      <c r="AU18" s="105">
        <v>1</v>
      </c>
      <c r="AV18" s="105"/>
      <c r="AW18" s="105">
        <v>4</v>
      </c>
      <c r="AX18" s="41"/>
      <c r="AZ18" s="42"/>
      <c r="BA18" s="42"/>
      <c r="BB18" s="42" t="s">
        <v>669</v>
      </c>
      <c r="BC18" s="42" t="s">
        <v>1231</v>
      </c>
      <c r="BD18" s="1993"/>
      <c r="BE18" s="1993">
        <v>1</v>
      </c>
      <c r="BF18" s="1993"/>
      <c r="BG18" s="1993">
        <v>1</v>
      </c>
      <c r="BH18" s="1993">
        <v>1</v>
      </c>
      <c r="BI18" s="1993"/>
      <c r="BJ18" s="1993">
        <v>0</v>
      </c>
      <c r="BK18" s="1993">
        <v>1</v>
      </c>
      <c r="BL18" s="1993">
        <v>0</v>
      </c>
      <c r="BM18" s="70"/>
      <c r="BN18" s="70">
        <v>0</v>
      </c>
      <c r="BO18" s="70">
        <v>4</v>
      </c>
      <c r="BR18" s="105"/>
      <c r="BS18" s="105"/>
      <c r="BT18" s="41"/>
      <c r="BU18" s="41" t="s">
        <v>1240</v>
      </c>
      <c r="BV18" s="1659">
        <v>0</v>
      </c>
      <c r="BW18" s="1659"/>
      <c r="BX18" s="1659"/>
      <c r="BY18" s="1659"/>
      <c r="BZ18" s="1659"/>
      <c r="CA18" s="1659">
        <v>0</v>
      </c>
      <c r="CB18" s="1659">
        <v>2</v>
      </c>
      <c r="CC18" s="1659">
        <v>2</v>
      </c>
      <c r="CD18" s="1659">
        <v>0</v>
      </c>
      <c r="CE18" s="105"/>
      <c r="CF18" s="105"/>
      <c r="CG18" s="105">
        <v>4</v>
      </c>
      <c r="CH18" s="105"/>
      <c r="CJ18" s="1359"/>
      <c r="CK18" s="1359"/>
      <c r="CL18" s="1360"/>
      <c r="CM18" s="1361" t="s">
        <v>1236</v>
      </c>
      <c r="CN18" s="1363">
        <v>0</v>
      </c>
      <c r="CO18" s="1362"/>
      <c r="CP18" s="1362"/>
      <c r="CQ18" s="1363">
        <v>2</v>
      </c>
      <c r="CR18" s="1363">
        <v>0</v>
      </c>
      <c r="CS18" s="1363">
        <v>0</v>
      </c>
      <c r="CT18" s="1362"/>
      <c r="CU18" s="1363">
        <v>0</v>
      </c>
      <c r="CV18" s="686"/>
      <c r="CW18" s="686"/>
      <c r="CX18" s="687">
        <v>2</v>
      </c>
      <c r="CY18" s="41"/>
      <c r="DA18" s="602"/>
      <c r="DB18" s="602"/>
      <c r="DC18" s="603"/>
      <c r="DD18" s="604" t="s">
        <v>1240</v>
      </c>
      <c r="DE18" s="605"/>
      <c r="DF18" s="605"/>
      <c r="DG18" s="605"/>
      <c r="DH18" s="605"/>
      <c r="DI18" s="606">
        <v>2</v>
      </c>
      <c r="DJ18" s="606">
        <v>1</v>
      </c>
      <c r="DK18" s="606">
        <v>0</v>
      </c>
      <c r="DL18" s="606">
        <v>0</v>
      </c>
      <c r="DM18" s="602"/>
      <c r="DN18" s="602"/>
      <c r="DO18" s="607">
        <v>3</v>
      </c>
      <c r="DP18" s="105"/>
      <c r="DR18" s="608"/>
      <c r="DS18" s="608"/>
      <c r="DT18" s="608"/>
      <c r="DU18" s="609" t="s">
        <v>1240</v>
      </c>
      <c r="DV18" s="610"/>
      <c r="DW18" s="611">
        <v>0</v>
      </c>
      <c r="DX18" s="610"/>
      <c r="DY18" s="610"/>
      <c r="DZ18" s="610"/>
      <c r="EA18" s="611">
        <v>1</v>
      </c>
      <c r="EB18" s="611">
        <v>0</v>
      </c>
      <c r="EC18" s="611">
        <v>0</v>
      </c>
      <c r="ED18" s="611">
        <v>0</v>
      </c>
      <c r="EE18" s="612"/>
      <c r="EF18" s="612"/>
      <c r="EG18" s="613">
        <v>1</v>
      </c>
      <c r="EH18" s="614"/>
      <c r="EJ18" s="615"/>
      <c r="EK18" s="615"/>
      <c r="EL18" s="615" t="s">
        <v>116</v>
      </c>
      <c r="EM18" s="616" t="s">
        <v>1230</v>
      </c>
      <c r="EN18" s="617"/>
      <c r="EO18" s="617"/>
      <c r="EP18" s="617"/>
      <c r="EQ18" s="617"/>
      <c r="ER18" s="618">
        <v>0</v>
      </c>
      <c r="ES18" s="618">
        <v>0</v>
      </c>
      <c r="ET18" s="618">
        <v>1</v>
      </c>
      <c r="EU18" s="618">
        <v>0</v>
      </c>
      <c r="EV18" s="617"/>
      <c r="EW18" s="617"/>
      <c r="EX18" s="618">
        <v>1</v>
      </c>
      <c r="EY18" s="515"/>
      <c r="FA18" s="70"/>
      <c r="FB18" s="70"/>
      <c r="FC18" s="42" t="s">
        <v>116</v>
      </c>
      <c r="FD18" s="42" t="s">
        <v>1231</v>
      </c>
      <c r="FE18" s="70"/>
      <c r="FF18" s="70"/>
      <c r="FG18" s="70"/>
      <c r="FH18" s="70">
        <v>1</v>
      </c>
      <c r="FI18" s="70">
        <v>0</v>
      </c>
      <c r="FJ18" s="70">
        <v>1</v>
      </c>
      <c r="FK18" s="70"/>
      <c r="FL18" s="70"/>
      <c r="FM18" s="70"/>
      <c r="FN18" s="70"/>
      <c r="FO18" s="70">
        <v>2</v>
      </c>
      <c r="FP18" s="42"/>
      <c r="FQ18" s="42"/>
      <c r="FR18" s="516"/>
      <c r="FS18" s="516"/>
      <c r="FT18" s="516"/>
      <c r="FU18" s="519" t="s">
        <v>15</v>
      </c>
      <c r="FV18" s="519">
        <v>0</v>
      </c>
      <c r="FW18" s="519">
        <v>0</v>
      </c>
      <c r="FX18" s="519">
        <v>0</v>
      </c>
      <c r="FY18" s="519">
        <v>0</v>
      </c>
      <c r="FZ18" s="519">
        <v>2</v>
      </c>
      <c r="GA18" s="519">
        <v>0</v>
      </c>
      <c r="GB18" s="519">
        <v>1</v>
      </c>
      <c r="GC18" s="519">
        <v>7</v>
      </c>
      <c r="GD18" s="519">
        <v>12</v>
      </c>
      <c r="GE18" s="519">
        <v>0</v>
      </c>
      <c r="GF18" s="519">
        <v>0</v>
      </c>
      <c r="GG18" s="579">
        <v>22</v>
      </c>
      <c r="GH18" s="629">
        <f>+(GG13+GG16+GG17)/GG18</f>
        <v>0.31818181818181818</v>
      </c>
      <c r="GI18" s="518">
        <f>+GG13+GG16+GG17</f>
        <v>7</v>
      </c>
    </row>
    <row r="19" spans="3:191">
      <c r="D19" s="4800" t="s">
        <v>1233</v>
      </c>
      <c r="E19" s="4606"/>
      <c r="F19" s="4606">
        <v>1</v>
      </c>
      <c r="G19" s="4606">
        <v>1</v>
      </c>
      <c r="H19" s="4606"/>
      <c r="I19" s="4606"/>
      <c r="J19" s="4606">
        <v>0</v>
      </c>
      <c r="K19" s="4606"/>
      <c r="L19" s="4606">
        <v>0</v>
      </c>
      <c r="M19" s="4606">
        <v>0</v>
      </c>
      <c r="N19" s="2552"/>
      <c r="O19" s="2552">
        <v>0</v>
      </c>
      <c r="P19" s="2552">
        <v>2</v>
      </c>
      <c r="Q19" s="2552"/>
      <c r="R19" s="2552"/>
      <c r="V19" s="37" t="s">
        <v>1239</v>
      </c>
      <c r="W19" s="4803">
        <v>0</v>
      </c>
      <c r="X19" s="4803">
        <v>0</v>
      </c>
      <c r="Y19" s="4803"/>
      <c r="Z19" s="4803"/>
      <c r="AA19" s="4803">
        <v>0</v>
      </c>
      <c r="AB19" s="4803"/>
      <c r="AC19" s="4803">
        <v>3</v>
      </c>
      <c r="AD19" s="4803">
        <v>0</v>
      </c>
      <c r="AE19" s="1788">
        <v>1</v>
      </c>
      <c r="AF19" s="1788">
        <v>4</v>
      </c>
      <c r="AI19" s="41"/>
      <c r="AJ19" s="41"/>
      <c r="AK19" s="41"/>
      <c r="AL19" s="41" t="s">
        <v>1235</v>
      </c>
      <c r="AM19" s="2001">
        <v>0</v>
      </c>
      <c r="AN19" s="2001"/>
      <c r="AO19" s="2001"/>
      <c r="AP19" s="2001"/>
      <c r="AQ19" s="2001"/>
      <c r="AR19" s="2001">
        <v>0</v>
      </c>
      <c r="AS19" s="2001">
        <v>1</v>
      </c>
      <c r="AT19" s="2001">
        <v>0</v>
      </c>
      <c r="AU19" s="105">
        <v>0</v>
      </c>
      <c r="AV19" s="105"/>
      <c r="AW19" s="105">
        <v>1</v>
      </c>
      <c r="AX19" s="41"/>
      <c r="AZ19" s="42"/>
      <c r="BA19" s="42"/>
      <c r="BB19" s="42"/>
      <c r="BC19" s="42" t="s">
        <v>1235</v>
      </c>
      <c r="BD19" s="1993"/>
      <c r="BE19" s="1993">
        <v>0</v>
      </c>
      <c r="BF19" s="1993"/>
      <c r="BG19" s="1993">
        <v>0</v>
      </c>
      <c r="BH19" s="1993">
        <v>0</v>
      </c>
      <c r="BI19" s="1993"/>
      <c r="BJ19" s="1993">
        <v>0</v>
      </c>
      <c r="BK19" s="1993">
        <v>0</v>
      </c>
      <c r="BL19" s="1993">
        <v>1</v>
      </c>
      <c r="BM19" s="70"/>
      <c r="BN19" s="70">
        <v>0</v>
      </c>
      <c r="BO19" s="70">
        <v>1</v>
      </c>
      <c r="BR19" s="105"/>
      <c r="BS19" s="105"/>
      <c r="BT19" s="41"/>
      <c r="BU19" s="461" t="s">
        <v>15</v>
      </c>
      <c r="BV19" s="1660">
        <v>1</v>
      </c>
      <c r="BW19" s="1660"/>
      <c r="BX19" s="1660"/>
      <c r="BY19" s="1660"/>
      <c r="BZ19" s="1660"/>
      <c r="CA19" s="1660">
        <v>2</v>
      </c>
      <c r="CB19" s="1660">
        <v>7</v>
      </c>
      <c r="CC19" s="1660">
        <v>7</v>
      </c>
      <c r="CD19" s="1660">
        <v>2</v>
      </c>
      <c r="CE19" s="96"/>
      <c r="CF19" s="96"/>
      <c r="CG19" s="96">
        <v>19</v>
      </c>
      <c r="CH19" s="635">
        <f>+CG18/CG19</f>
        <v>0.21052631578947367</v>
      </c>
      <c r="CJ19" s="1359"/>
      <c r="CK19" s="1359"/>
      <c r="CL19" s="1360"/>
      <c r="CM19" s="1361" t="s">
        <v>1239</v>
      </c>
      <c r="CN19" s="1363">
        <v>0</v>
      </c>
      <c r="CO19" s="1362"/>
      <c r="CP19" s="1362"/>
      <c r="CQ19" s="1363">
        <v>0</v>
      </c>
      <c r="CR19" s="1363">
        <v>0</v>
      </c>
      <c r="CS19" s="1363">
        <v>0</v>
      </c>
      <c r="CT19" s="1362"/>
      <c r="CU19" s="1363">
        <v>1</v>
      </c>
      <c r="CV19" s="686"/>
      <c r="CW19" s="686"/>
      <c r="CX19" s="687">
        <v>1</v>
      </c>
      <c r="CY19" s="41"/>
      <c r="DA19" s="602"/>
      <c r="DB19" s="602"/>
      <c r="DC19" s="603"/>
      <c r="DD19" s="630" t="s">
        <v>15</v>
      </c>
      <c r="DE19" s="631"/>
      <c r="DF19" s="631"/>
      <c r="DG19" s="631"/>
      <c r="DH19" s="631"/>
      <c r="DI19" s="632">
        <v>4</v>
      </c>
      <c r="DJ19" s="632">
        <v>1</v>
      </c>
      <c r="DK19" s="632">
        <v>3</v>
      </c>
      <c r="DL19" s="632">
        <v>2</v>
      </c>
      <c r="DM19" s="633"/>
      <c r="DN19" s="633"/>
      <c r="DO19" s="634">
        <v>10</v>
      </c>
      <c r="DP19" s="635">
        <f>+(DO16+DO18)/DO19</f>
        <v>0.4</v>
      </c>
      <c r="DR19" s="608"/>
      <c r="DS19" s="608"/>
      <c r="DT19" s="608"/>
      <c r="DU19" s="609" t="s">
        <v>1344</v>
      </c>
      <c r="DV19" s="610"/>
      <c r="DW19" s="611">
        <v>0</v>
      </c>
      <c r="DX19" s="610"/>
      <c r="DY19" s="610"/>
      <c r="DZ19" s="610"/>
      <c r="EA19" s="611">
        <v>1</v>
      </c>
      <c r="EB19" s="611">
        <v>0</v>
      </c>
      <c r="EC19" s="611">
        <v>0</v>
      </c>
      <c r="ED19" s="611">
        <v>0</v>
      </c>
      <c r="EE19" s="612"/>
      <c r="EF19" s="612"/>
      <c r="EG19" s="613">
        <v>1</v>
      </c>
      <c r="EH19" s="614"/>
      <c r="EJ19" s="615"/>
      <c r="EK19" s="615"/>
      <c r="EL19" s="615"/>
      <c r="EM19" s="616" t="s">
        <v>1231</v>
      </c>
      <c r="EN19" s="617"/>
      <c r="EO19" s="617"/>
      <c r="EP19" s="617"/>
      <c r="EQ19" s="617"/>
      <c r="ER19" s="618">
        <v>0</v>
      </c>
      <c r="ES19" s="618">
        <v>2</v>
      </c>
      <c r="ET19" s="618">
        <v>1</v>
      </c>
      <c r="EU19" s="618">
        <v>0</v>
      </c>
      <c r="EV19" s="617"/>
      <c r="EW19" s="617"/>
      <c r="EX19" s="618">
        <v>3</v>
      </c>
      <c r="EY19" s="515"/>
      <c r="FA19" s="70"/>
      <c r="FB19" s="70"/>
      <c r="FC19" s="42"/>
      <c r="FD19" s="42" t="s">
        <v>1235</v>
      </c>
      <c r="FE19" s="70"/>
      <c r="FF19" s="70"/>
      <c r="FG19" s="70"/>
      <c r="FH19" s="70">
        <v>0</v>
      </c>
      <c r="FI19" s="70">
        <v>0</v>
      </c>
      <c r="FJ19" s="70">
        <v>1</v>
      </c>
      <c r="FK19" s="70"/>
      <c r="FL19" s="70"/>
      <c r="FM19" s="70"/>
      <c r="FN19" s="70"/>
      <c r="FO19" s="70">
        <v>1</v>
      </c>
      <c r="FP19" s="42"/>
      <c r="FQ19" s="42"/>
      <c r="FR19" s="516"/>
      <c r="FS19" s="516"/>
      <c r="FT19" s="516" t="s">
        <v>116</v>
      </c>
      <c r="FU19" s="516" t="s">
        <v>1231</v>
      </c>
      <c r="FV19" s="516">
        <v>0</v>
      </c>
      <c r="FW19" s="516">
        <v>0</v>
      </c>
      <c r="FX19" s="516">
        <v>0</v>
      </c>
      <c r="FY19" s="516">
        <v>0</v>
      </c>
      <c r="FZ19" s="516">
        <v>0</v>
      </c>
      <c r="GA19" s="516">
        <v>0</v>
      </c>
      <c r="GB19" s="516">
        <v>1</v>
      </c>
      <c r="GC19" s="516">
        <v>2</v>
      </c>
      <c r="GD19" s="516">
        <v>0</v>
      </c>
      <c r="GE19" s="516">
        <v>0</v>
      </c>
      <c r="GF19" s="516">
        <v>0</v>
      </c>
      <c r="GG19" s="517">
        <v>3</v>
      </c>
      <c r="GH19" s="619"/>
      <c r="GI19" s="518"/>
    </row>
    <row r="20" spans="3:191">
      <c r="D20" s="4800" t="s">
        <v>1235</v>
      </c>
      <c r="E20" s="4606"/>
      <c r="F20" s="4606">
        <v>0</v>
      </c>
      <c r="G20" s="4606">
        <v>0</v>
      </c>
      <c r="H20" s="4606"/>
      <c r="I20" s="4606"/>
      <c r="J20" s="4606">
        <v>0</v>
      </c>
      <c r="K20" s="4606"/>
      <c r="L20" s="4606">
        <v>1</v>
      </c>
      <c r="M20" s="4606">
        <v>0</v>
      </c>
      <c r="N20" s="2552"/>
      <c r="O20" s="2552">
        <v>0</v>
      </c>
      <c r="P20" s="2552">
        <v>1</v>
      </c>
      <c r="Q20" s="2552"/>
      <c r="R20" s="2552"/>
      <c r="V20" s="37" t="s">
        <v>1240</v>
      </c>
      <c r="W20" s="4803">
        <v>0</v>
      </c>
      <c r="X20" s="4803">
        <v>0</v>
      </c>
      <c r="Y20" s="4803"/>
      <c r="Z20" s="4803"/>
      <c r="AA20" s="4803">
        <v>0</v>
      </c>
      <c r="AB20" s="4803"/>
      <c r="AC20" s="4803">
        <v>2</v>
      </c>
      <c r="AD20" s="4803">
        <v>0</v>
      </c>
      <c r="AE20" s="1788">
        <v>0</v>
      </c>
      <c r="AF20" s="1788">
        <v>2</v>
      </c>
      <c r="AI20" s="41"/>
      <c r="AJ20" s="41"/>
      <c r="AK20" s="41"/>
      <c r="AL20" s="41" t="s">
        <v>1239</v>
      </c>
      <c r="AM20" s="2001">
        <v>0</v>
      </c>
      <c r="AN20" s="2001"/>
      <c r="AO20" s="2001"/>
      <c r="AP20" s="2001"/>
      <c r="AQ20" s="2001"/>
      <c r="AR20" s="2001">
        <v>0</v>
      </c>
      <c r="AS20" s="2001">
        <v>1</v>
      </c>
      <c r="AT20" s="2001">
        <v>4</v>
      </c>
      <c r="AU20" s="105">
        <v>0</v>
      </c>
      <c r="AV20" s="105"/>
      <c r="AW20" s="105">
        <v>5</v>
      </c>
      <c r="AX20" s="41"/>
      <c r="AZ20" s="42"/>
      <c r="BA20" s="42"/>
      <c r="BB20" s="42"/>
      <c r="BC20" s="42" t="s">
        <v>1239</v>
      </c>
      <c r="BD20" s="1993"/>
      <c r="BE20" s="1993">
        <v>0</v>
      </c>
      <c r="BF20" s="1993"/>
      <c r="BG20" s="1993">
        <v>0</v>
      </c>
      <c r="BH20" s="1993">
        <v>0</v>
      </c>
      <c r="BI20" s="1993"/>
      <c r="BJ20" s="1993">
        <v>0</v>
      </c>
      <c r="BK20" s="1993">
        <v>0</v>
      </c>
      <c r="BL20" s="1993">
        <v>1</v>
      </c>
      <c r="BM20" s="70"/>
      <c r="BN20" s="70">
        <v>2</v>
      </c>
      <c r="BO20" s="70">
        <v>3</v>
      </c>
      <c r="BR20" s="105"/>
      <c r="BS20" s="105"/>
      <c r="BT20" s="41" t="s">
        <v>669</v>
      </c>
      <c r="BU20" s="41" t="s">
        <v>1230</v>
      </c>
      <c r="BV20" s="1659"/>
      <c r="BW20" s="1659">
        <v>0</v>
      </c>
      <c r="BX20" s="1659">
        <v>0</v>
      </c>
      <c r="BY20" s="1659"/>
      <c r="BZ20" s="1659"/>
      <c r="CA20" s="1659"/>
      <c r="CB20" s="1659">
        <v>0</v>
      </c>
      <c r="CC20" s="1659">
        <v>0</v>
      </c>
      <c r="CD20" s="1659">
        <v>1</v>
      </c>
      <c r="CE20" s="105">
        <v>0</v>
      </c>
      <c r="CF20" s="105">
        <v>0</v>
      </c>
      <c r="CG20" s="105">
        <v>1</v>
      </c>
      <c r="CH20" s="105"/>
      <c r="CJ20" s="1359"/>
      <c r="CK20" s="1359"/>
      <c r="CL20" s="1360"/>
      <c r="CM20" s="1361" t="s">
        <v>1240</v>
      </c>
      <c r="CN20" s="1363">
        <v>0</v>
      </c>
      <c r="CO20" s="1362"/>
      <c r="CP20" s="1362"/>
      <c r="CQ20" s="1363">
        <v>0</v>
      </c>
      <c r="CR20" s="1363">
        <v>1</v>
      </c>
      <c r="CS20" s="1363">
        <v>2</v>
      </c>
      <c r="CT20" s="1362"/>
      <c r="CU20" s="1363">
        <v>0</v>
      </c>
      <c r="CV20" s="686"/>
      <c r="CW20" s="686"/>
      <c r="CX20" s="687">
        <v>3</v>
      </c>
      <c r="CY20" s="41"/>
      <c r="DA20" s="602"/>
      <c r="DB20" s="602"/>
      <c r="DC20" s="603" t="s">
        <v>669</v>
      </c>
      <c r="DD20" s="604" t="s">
        <v>1231</v>
      </c>
      <c r="DE20" s="606">
        <v>1</v>
      </c>
      <c r="DF20" s="606">
        <v>0</v>
      </c>
      <c r="DG20" s="605"/>
      <c r="DH20" s="605"/>
      <c r="DI20" s="605"/>
      <c r="DJ20" s="605"/>
      <c r="DK20" s="606">
        <v>1</v>
      </c>
      <c r="DL20" s="606">
        <v>0</v>
      </c>
      <c r="DM20" s="602"/>
      <c r="DN20" s="602"/>
      <c r="DO20" s="607">
        <v>2</v>
      </c>
      <c r="DP20" s="105"/>
      <c r="DR20" s="608"/>
      <c r="DS20" s="608"/>
      <c r="DT20" s="608"/>
      <c r="DU20" s="620" t="s">
        <v>15</v>
      </c>
      <c r="DV20" s="621"/>
      <c r="DW20" s="622">
        <v>1</v>
      </c>
      <c r="DX20" s="621"/>
      <c r="DY20" s="621"/>
      <c r="DZ20" s="621"/>
      <c r="EA20" s="622">
        <v>5</v>
      </c>
      <c r="EB20" s="622">
        <v>3</v>
      </c>
      <c r="EC20" s="622">
        <v>4</v>
      </c>
      <c r="ED20" s="622">
        <v>3</v>
      </c>
      <c r="EE20" s="623"/>
      <c r="EF20" s="623"/>
      <c r="EG20" s="624">
        <v>16</v>
      </c>
      <c r="EH20" s="614">
        <f>+(EG19+EG18)/EG20</f>
        <v>0.125</v>
      </c>
      <c r="EJ20" s="615"/>
      <c r="EK20" s="615"/>
      <c r="EL20" s="615"/>
      <c r="EM20" s="616" t="s">
        <v>1235</v>
      </c>
      <c r="EN20" s="617"/>
      <c r="EO20" s="617"/>
      <c r="EP20" s="617"/>
      <c r="EQ20" s="617"/>
      <c r="ER20" s="618">
        <v>1</v>
      </c>
      <c r="ES20" s="618">
        <v>1</v>
      </c>
      <c r="ET20" s="618">
        <v>0</v>
      </c>
      <c r="EU20" s="618">
        <v>0</v>
      </c>
      <c r="EV20" s="617"/>
      <c r="EW20" s="617"/>
      <c r="EX20" s="618">
        <v>2</v>
      </c>
      <c r="EY20" s="515"/>
      <c r="FA20" s="70"/>
      <c r="FB20" s="70"/>
      <c r="FC20" s="42"/>
      <c r="FD20" s="42" t="s">
        <v>1240</v>
      </c>
      <c r="FE20" s="70"/>
      <c r="FF20" s="70"/>
      <c r="FG20" s="70"/>
      <c r="FH20" s="70">
        <v>0</v>
      </c>
      <c r="FI20" s="70">
        <v>0</v>
      </c>
      <c r="FJ20" s="70">
        <v>1</v>
      </c>
      <c r="FK20" s="70"/>
      <c r="FL20" s="70"/>
      <c r="FM20" s="70"/>
      <c r="FN20" s="70"/>
      <c r="FO20" s="70">
        <v>1</v>
      </c>
      <c r="FP20" s="42"/>
      <c r="FQ20" s="42"/>
      <c r="FR20" s="516"/>
      <c r="FS20" s="516"/>
      <c r="FT20" s="516"/>
      <c r="FU20" s="516" t="s">
        <v>1236</v>
      </c>
      <c r="FV20" s="516">
        <v>0</v>
      </c>
      <c r="FW20" s="516">
        <v>0</v>
      </c>
      <c r="FX20" s="516">
        <v>0</v>
      </c>
      <c r="FY20" s="516">
        <v>0</v>
      </c>
      <c r="FZ20" s="516">
        <v>1</v>
      </c>
      <c r="GA20" s="516">
        <v>0</v>
      </c>
      <c r="GB20" s="516">
        <v>0</v>
      </c>
      <c r="GC20" s="516">
        <v>0</v>
      </c>
      <c r="GD20" s="516">
        <v>0</v>
      </c>
      <c r="GE20" s="516">
        <v>0</v>
      </c>
      <c r="GF20" s="516">
        <v>0</v>
      </c>
      <c r="GG20" s="517">
        <v>1</v>
      </c>
      <c r="GH20" s="619"/>
      <c r="GI20" s="518"/>
    </row>
    <row r="21" spans="3:191">
      <c r="D21" s="4800" t="s">
        <v>1239</v>
      </c>
      <c r="E21" s="4606"/>
      <c r="F21" s="4606">
        <v>0</v>
      </c>
      <c r="G21" s="4606">
        <v>0</v>
      </c>
      <c r="H21" s="4606"/>
      <c r="I21" s="4606"/>
      <c r="J21" s="4606">
        <v>0</v>
      </c>
      <c r="K21" s="4606"/>
      <c r="L21" s="4606">
        <v>2</v>
      </c>
      <c r="M21" s="4606">
        <v>1</v>
      </c>
      <c r="N21" s="2552"/>
      <c r="O21" s="2552">
        <v>1</v>
      </c>
      <c r="P21" s="2552">
        <v>4</v>
      </c>
      <c r="Q21" s="2552"/>
      <c r="R21" s="2552"/>
      <c r="V21" s="37" t="s">
        <v>1344</v>
      </c>
      <c r="W21" s="4803">
        <v>0</v>
      </c>
      <c r="X21" s="4803">
        <v>0</v>
      </c>
      <c r="Y21" s="4803"/>
      <c r="Z21" s="4803"/>
      <c r="AA21" s="4803">
        <v>0</v>
      </c>
      <c r="AB21" s="4803"/>
      <c r="AC21" s="4803">
        <v>1</v>
      </c>
      <c r="AD21" s="4803">
        <v>0</v>
      </c>
      <c r="AE21" s="1788">
        <v>0</v>
      </c>
      <c r="AF21" s="1788">
        <v>1</v>
      </c>
      <c r="AI21" s="41"/>
      <c r="AJ21" s="41"/>
      <c r="AK21" s="41"/>
      <c r="AL21" s="41" t="s">
        <v>1240</v>
      </c>
      <c r="AM21" s="2001">
        <v>0</v>
      </c>
      <c r="AN21" s="2001"/>
      <c r="AO21" s="2001"/>
      <c r="AP21" s="2001"/>
      <c r="AQ21" s="2001"/>
      <c r="AR21" s="2001">
        <v>0</v>
      </c>
      <c r="AS21" s="2001">
        <v>1</v>
      </c>
      <c r="AT21" s="2001">
        <v>1</v>
      </c>
      <c r="AU21" s="105">
        <v>0</v>
      </c>
      <c r="AV21" s="105"/>
      <c r="AW21" s="105">
        <v>2</v>
      </c>
      <c r="AX21" s="41"/>
      <c r="AZ21" s="42"/>
      <c r="BA21" s="42"/>
      <c r="BB21" s="42"/>
      <c r="BC21" s="42" t="s">
        <v>1240</v>
      </c>
      <c r="BD21" s="1993"/>
      <c r="BE21" s="1993">
        <v>0</v>
      </c>
      <c r="BF21" s="1993"/>
      <c r="BG21" s="1993">
        <v>0</v>
      </c>
      <c r="BH21" s="1993">
        <v>0</v>
      </c>
      <c r="BI21" s="1993"/>
      <c r="BJ21" s="1993">
        <v>2</v>
      </c>
      <c r="BK21" s="1993">
        <v>5</v>
      </c>
      <c r="BL21" s="1993">
        <v>0</v>
      </c>
      <c r="BM21" s="70"/>
      <c r="BN21" s="70">
        <v>0</v>
      </c>
      <c r="BO21" s="70">
        <v>7</v>
      </c>
      <c r="BR21" s="105"/>
      <c r="BS21" s="105"/>
      <c r="BT21" s="41"/>
      <c r="BU21" s="41" t="s">
        <v>1231</v>
      </c>
      <c r="BV21" s="1659"/>
      <c r="BW21" s="1659">
        <v>0</v>
      </c>
      <c r="BX21" s="1659">
        <v>1</v>
      </c>
      <c r="BY21" s="1659"/>
      <c r="BZ21" s="1659"/>
      <c r="CA21" s="1659"/>
      <c r="CB21" s="1659">
        <v>1</v>
      </c>
      <c r="CC21" s="1659">
        <v>1</v>
      </c>
      <c r="CD21" s="1659">
        <v>0</v>
      </c>
      <c r="CE21" s="105">
        <v>0</v>
      </c>
      <c r="CF21" s="105">
        <v>0</v>
      </c>
      <c r="CG21" s="105">
        <v>3</v>
      </c>
      <c r="CH21" s="105"/>
      <c r="CJ21" s="1359"/>
      <c r="CK21" s="1359"/>
      <c r="CL21" s="1360"/>
      <c r="CM21" s="1361" t="s">
        <v>1344</v>
      </c>
      <c r="CN21" s="1363">
        <v>0</v>
      </c>
      <c r="CO21" s="1362"/>
      <c r="CP21" s="1362"/>
      <c r="CQ21" s="1363">
        <v>0</v>
      </c>
      <c r="CR21" s="1363">
        <v>1</v>
      </c>
      <c r="CS21" s="1363">
        <v>0</v>
      </c>
      <c r="CT21" s="1362"/>
      <c r="CU21" s="1363">
        <v>0</v>
      </c>
      <c r="CV21" s="686"/>
      <c r="CW21" s="686"/>
      <c r="CX21" s="687">
        <v>1</v>
      </c>
      <c r="CY21" s="41"/>
      <c r="DA21" s="602"/>
      <c r="DB21" s="602"/>
      <c r="DC21" s="603"/>
      <c r="DD21" s="604" t="s">
        <v>1233</v>
      </c>
      <c r="DE21" s="606">
        <v>1</v>
      </c>
      <c r="DF21" s="606">
        <v>1</v>
      </c>
      <c r="DG21" s="605"/>
      <c r="DH21" s="605"/>
      <c r="DI21" s="605"/>
      <c r="DJ21" s="605"/>
      <c r="DK21" s="606">
        <v>0</v>
      </c>
      <c r="DL21" s="606">
        <v>0</v>
      </c>
      <c r="DM21" s="602"/>
      <c r="DN21" s="602"/>
      <c r="DO21" s="607">
        <v>2</v>
      </c>
      <c r="DP21" s="105"/>
      <c r="DR21" s="608"/>
      <c r="DS21" s="608"/>
      <c r="DT21" s="620" t="s">
        <v>544</v>
      </c>
      <c r="DU21" s="609" t="s">
        <v>1230</v>
      </c>
      <c r="DV21" s="610"/>
      <c r="DW21" s="611">
        <v>0</v>
      </c>
      <c r="DX21" s="611">
        <v>0</v>
      </c>
      <c r="DY21" s="610"/>
      <c r="DZ21" s="610"/>
      <c r="EA21" s="611">
        <v>0</v>
      </c>
      <c r="EB21" s="611">
        <v>0</v>
      </c>
      <c r="EC21" s="611">
        <v>0</v>
      </c>
      <c r="ED21" s="611">
        <v>1</v>
      </c>
      <c r="EE21" s="612"/>
      <c r="EF21" s="612"/>
      <c r="EG21" s="613">
        <v>1</v>
      </c>
      <c r="EH21" s="614"/>
      <c r="EJ21" s="615"/>
      <c r="EK21" s="615"/>
      <c r="EL21" s="615"/>
      <c r="EM21" s="616" t="s">
        <v>1239</v>
      </c>
      <c r="EN21" s="617"/>
      <c r="EO21" s="617"/>
      <c r="EP21" s="617"/>
      <c r="EQ21" s="617"/>
      <c r="ER21" s="618">
        <v>0</v>
      </c>
      <c r="ES21" s="618">
        <v>0</v>
      </c>
      <c r="ET21" s="618">
        <v>1</v>
      </c>
      <c r="EU21" s="618">
        <v>1</v>
      </c>
      <c r="EV21" s="617"/>
      <c r="EW21" s="617"/>
      <c r="EX21" s="618">
        <v>2</v>
      </c>
      <c r="EY21" s="515"/>
      <c r="FA21" s="70"/>
      <c r="FB21" s="70"/>
      <c r="FC21" s="42"/>
      <c r="FD21" s="42" t="s">
        <v>1344</v>
      </c>
      <c r="FE21" s="70"/>
      <c r="FF21" s="70"/>
      <c r="FG21" s="70"/>
      <c r="FH21" s="70">
        <v>0</v>
      </c>
      <c r="FI21" s="70">
        <v>1</v>
      </c>
      <c r="FJ21" s="70">
        <v>1</v>
      </c>
      <c r="FK21" s="70"/>
      <c r="FL21" s="70"/>
      <c r="FM21" s="70"/>
      <c r="FN21" s="70"/>
      <c r="FO21" s="70">
        <v>2</v>
      </c>
      <c r="FP21" s="42"/>
      <c r="FQ21" s="42"/>
      <c r="FR21" s="516"/>
      <c r="FS21" s="516"/>
      <c r="FT21" s="516"/>
      <c r="FU21" s="519" t="s">
        <v>15</v>
      </c>
      <c r="FV21" s="519">
        <v>0</v>
      </c>
      <c r="FW21" s="519">
        <v>0</v>
      </c>
      <c r="FX21" s="519">
        <v>0</v>
      </c>
      <c r="FY21" s="519">
        <v>0</v>
      </c>
      <c r="FZ21" s="519">
        <v>1</v>
      </c>
      <c r="GA21" s="519">
        <v>0</v>
      </c>
      <c r="GB21" s="519">
        <v>1</v>
      </c>
      <c r="GC21" s="519">
        <v>2</v>
      </c>
      <c r="GD21" s="519">
        <v>0</v>
      </c>
      <c r="GE21" s="519">
        <v>0</v>
      </c>
      <c r="GF21" s="519">
        <v>0</v>
      </c>
      <c r="GG21" s="579">
        <v>4</v>
      </c>
      <c r="GH21" s="629">
        <f>0/GG21</f>
        <v>0</v>
      </c>
      <c r="GI21" s="518">
        <v>0</v>
      </c>
    </row>
    <row r="22" spans="3:191">
      <c r="D22" s="4800" t="s">
        <v>1240</v>
      </c>
      <c r="E22" s="4606"/>
      <c r="F22" s="4606">
        <v>0</v>
      </c>
      <c r="G22" s="4606">
        <v>0</v>
      </c>
      <c r="H22" s="4606"/>
      <c r="I22" s="4606"/>
      <c r="J22" s="4606">
        <v>0</v>
      </c>
      <c r="K22" s="4606"/>
      <c r="L22" s="4606">
        <v>2</v>
      </c>
      <c r="M22" s="4606">
        <v>0</v>
      </c>
      <c r="N22" s="2552"/>
      <c r="O22" s="2552">
        <v>0</v>
      </c>
      <c r="P22" s="2552">
        <v>2</v>
      </c>
      <c r="Q22" s="2552"/>
      <c r="R22" s="2552"/>
      <c r="V22" s="1793" t="s">
        <v>15</v>
      </c>
      <c r="W22" s="4804">
        <v>1</v>
      </c>
      <c r="X22" s="4804">
        <v>1</v>
      </c>
      <c r="Y22" s="4804"/>
      <c r="Z22" s="4804"/>
      <c r="AA22" s="4804">
        <v>1</v>
      </c>
      <c r="AB22" s="4804"/>
      <c r="AC22" s="4804">
        <v>8</v>
      </c>
      <c r="AD22" s="4804">
        <v>1</v>
      </c>
      <c r="AE22" s="4702">
        <v>1</v>
      </c>
      <c r="AF22" s="4702">
        <v>13</v>
      </c>
      <c r="AG22" s="4703">
        <f>+(AF18+AF20+AF21)/AF22</f>
        <v>0.38461538461538464</v>
      </c>
      <c r="AI22" s="41"/>
      <c r="AJ22" s="41"/>
      <c r="AK22" s="41"/>
      <c r="AL22" s="41" t="s">
        <v>1344</v>
      </c>
      <c r="AM22" s="2001">
        <v>0</v>
      </c>
      <c r="AN22" s="2001"/>
      <c r="AO22" s="2001"/>
      <c r="AP22" s="2001"/>
      <c r="AQ22" s="2001"/>
      <c r="AR22" s="2001">
        <v>0</v>
      </c>
      <c r="AS22" s="2001">
        <v>3</v>
      </c>
      <c r="AT22" s="2001">
        <v>0</v>
      </c>
      <c r="AU22" s="105">
        <v>0</v>
      </c>
      <c r="AV22" s="105"/>
      <c r="AW22" s="105">
        <v>3</v>
      </c>
      <c r="AX22" s="41"/>
      <c r="AZ22" s="42"/>
      <c r="BA22" s="42"/>
      <c r="BB22" s="42"/>
      <c r="BC22" s="42" t="s">
        <v>1344</v>
      </c>
      <c r="BD22" s="1993"/>
      <c r="BE22" s="1993">
        <v>0</v>
      </c>
      <c r="BF22" s="1993"/>
      <c r="BG22" s="1993">
        <v>0</v>
      </c>
      <c r="BH22" s="1993">
        <v>0</v>
      </c>
      <c r="BI22" s="1993"/>
      <c r="BJ22" s="1993">
        <v>0</v>
      </c>
      <c r="BK22" s="1993">
        <v>1</v>
      </c>
      <c r="BL22" s="1993">
        <v>0</v>
      </c>
      <c r="BM22" s="70"/>
      <c r="BN22" s="70">
        <v>0</v>
      </c>
      <c r="BO22" s="70">
        <v>1</v>
      </c>
      <c r="BR22" s="105"/>
      <c r="BS22" s="105"/>
      <c r="BT22" s="41"/>
      <c r="BU22" s="41" t="s">
        <v>1233</v>
      </c>
      <c r="BV22" s="1659"/>
      <c r="BW22" s="1659">
        <v>1</v>
      </c>
      <c r="BX22" s="1659">
        <v>0</v>
      </c>
      <c r="BY22" s="1659"/>
      <c r="BZ22" s="1659"/>
      <c r="CA22" s="1659"/>
      <c r="CB22" s="1659">
        <v>0</v>
      </c>
      <c r="CC22" s="1659">
        <v>0</v>
      </c>
      <c r="CD22" s="1659">
        <v>0</v>
      </c>
      <c r="CE22" s="105">
        <v>0</v>
      </c>
      <c r="CF22" s="105">
        <v>0</v>
      </c>
      <c r="CG22" s="105">
        <v>1</v>
      </c>
      <c r="CH22" s="105"/>
      <c r="CJ22" s="1359"/>
      <c r="CK22" s="1359"/>
      <c r="CL22" s="1360"/>
      <c r="CM22" s="483" t="s">
        <v>15</v>
      </c>
      <c r="CN22" s="1365">
        <v>1</v>
      </c>
      <c r="CO22" s="1364"/>
      <c r="CP22" s="1364"/>
      <c r="CQ22" s="1365">
        <v>2</v>
      </c>
      <c r="CR22" s="1365">
        <v>5</v>
      </c>
      <c r="CS22" s="1365">
        <v>5</v>
      </c>
      <c r="CT22" s="1364"/>
      <c r="CU22" s="1365">
        <v>1</v>
      </c>
      <c r="CV22" s="695"/>
      <c r="CW22" s="695"/>
      <c r="CX22" s="696">
        <v>14</v>
      </c>
      <c r="CY22" s="1325">
        <f>+(CX17+CX20+CX21)/CX22</f>
        <v>0.35714285714285715</v>
      </c>
      <c r="DA22" s="602"/>
      <c r="DB22" s="602"/>
      <c r="DC22" s="603"/>
      <c r="DD22" s="604" t="s">
        <v>1235</v>
      </c>
      <c r="DE22" s="606">
        <v>0</v>
      </c>
      <c r="DF22" s="606">
        <v>0</v>
      </c>
      <c r="DG22" s="605"/>
      <c r="DH22" s="605"/>
      <c r="DI22" s="605"/>
      <c r="DJ22" s="605"/>
      <c r="DK22" s="606">
        <v>2</v>
      </c>
      <c r="DL22" s="606">
        <v>1</v>
      </c>
      <c r="DM22" s="602"/>
      <c r="DN22" s="602"/>
      <c r="DO22" s="607">
        <v>3</v>
      </c>
      <c r="DP22" s="105"/>
      <c r="DR22" s="608"/>
      <c r="DS22" s="608"/>
      <c r="DT22" s="608"/>
      <c r="DU22" s="609" t="s">
        <v>1231</v>
      </c>
      <c r="DV22" s="610"/>
      <c r="DW22" s="611">
        <v>2</v>
      </c>
      <c r="DX22" s="611">
        <v>2</v>
      </c>
      <c r="DY22" s="610"/>
      <c r="DZ22" s="610"/>
      <c r="EA22" s="611">
        <v>3</v>
      </c>
      <c r="EB22" s="611">
        <v>6</v>
      </c>
      <c r="EC22" s="611">
        <v>8</v>
      </c>
      <c r="ED22" s="611">
        <v>0</v>
      </c>
      <c r="EE22" s="612"/>
      <c r="EF22" s="612"/>
      <c r="EG22" s="613">
        <v>21</v>
      </c>
      <c r="EH22" s="614"/>
      <c r="EJ22" s="615"/>
      <c r="EK22" s="615"/>
      <c r="EL22" s="615"/>
      <c r="EM22" s="616" t="s">
        <v>1240</v>
      </c>
      <c r="EN22" s="617"/>
      <c r="EO22" s="617"/>
      <c r="EP22" s="617"/>
      <c r="EQ22" s="617"/>
      <c r="ER22" s="618">
        <v>1</v>
      </c>
      <c r="ES22" s="618">
        <v>4</v>
      </c>
      <c r="ET22" s="618">
        <v>0</v>
      </c>
      <c r="EU22" s="618">
        <v>0</v>
      </c>
      <c r="EV22" s="617"/>
      <c r="EW22" s="617"/>
      <c r="EX22" s="618">
        <v>5</v>
      </c>
      <c r="EY22" s="515"/>
      <c r="FA22" s="70"/>
      <c r="FB22" s="70"/>
      <c r="FC22" s="42"/>
      <c r="FD22" s="484" t="s">
        <v>15</v>
      </c>
      <c r="FE22" s="454"/>
      <c r="FF22" s="454"/>
      <c r="FG22" s="454"/>
      <c r="FH22" s="454">
        <v>1</v>
      </c>
      <c r="FI22" s="454">
        <v>1</v>
      </c>
      <c r="FJ22" s="454">
        <v>4</v>
      </c>
      <c r="FK22" s="454"/>
      <c r="FL22" s="454"/>
      <c r="FM22" s="454"/>
      <c r="FN22" s="454"/>
      <c r="FO22" s="454">
        <v>6</v>
      </c>
      <c r="FP22" s="536">
        <f>+(FO19+FO20+FO21)/FO22</f>
        <v>0.66666666666666663</v>
      </c>
      <c r="FQ22" s="42"/>
      <c r="FR22" s="516"/>
      <c r="FS22" s="516" t="s">
        <v>16</v>
      </c>
      <c r="FT22" s="516" t="s">
        <v>117</v>
      </c>
      <c r="FU22" s="516" t="s">
        <v>1231</v>
      </c>
      <c r="FV22" s="516">
        <v>0</v>
      </c>
      <c r="FW22" s="516">
        <v>0</v>
      </c>
      <c r="FX22" s="516">
        <v>0</v>
      </c>
      <c r="FY22" s="516">
        <v>0</v>
      </c>
      <c r="FZ22" s="516">
        <v>0</v>
      </c>
      <c r="GA22" s="516">
        <v>0</v>
      </c>
      <c r="GB22" s="516">
        <v>1</v>
      </c>
      <c r="GC22" s="516">
        <v>3</v>
      </c>
      <c r="GD22" s="516">
        <v>0</v>
      </c>
      <c r="GE22" s="516">
        <v>0</v>
      </c>
      <c r="GF22" s="516">
        <v>0</v>
      </c>
      <c r="GG22" s="517">
        <v>4</v>
      </c>
      <c r="GH22" s="619"/>
      <c r="GI22" s="518"/>
    </row>
    <row r="23" spans="3:191">
      <c r="D23" s="4800" t="s">
        <v>1344</v>
      </c>
      <c r="E23" s="4606"/>
      <c r="F23" s="4606">
        <v>0</v>
      </c>
      <c r="G23" s="4606">
        <v>0</v>
      </c>
      <c r="H23" s="4606"/>
      <c r="I23" s="4606"/>
      <c r="J23" s="4606">
        <v>0</v>
      </c>
      <c r="K23" s="4606"/>
      <c r="L23" s="4606">
        <v>2</v>
      </c>
      <c r="M23" s="4606">
        <v>0</v>
      </c>
      <c r="N23" s="2552"/>
      <c r="O23" s="2552">
        <v>0</v>
      </c>
      <c r="P23" s="2552">
        <v>2</v>
      </c>
      <c r="Q23" s="2552"/>
      <c r="R23" s="2552"/>
      <c r="U23" s="37" t="s">
        <v>668</v>
      </c>
      <c r="V23" s="37" t="s">
        <v>1230</v>
      </c>
      <c r="W23" s="4803"/>
      <c r="X23" s="4803"/>
      <c r="Y23" s="4803"/>
      <c r="Z23" s="4803"/>
      <c r="AA23" s="4803"/>
      <c r="AB23" s="4803"/>
      <c r="AC23" s="4803">
        <v>2</v>
      </c>
      <c r="AD23" s="4803"/>
      <c r="AE23" s="1788"/>
      <c r="AF23" s="1788">
        <v>2</v>
      </c>
      <c r="AI23" s="41"/>
      <c r="AJ23" s="41"/>
      <c r="AK23" s="41"/>
      <c r="AL23" s="461" t="s">
        <v>15</v>
      </c>
      <c r="AM23" s="2002">
        <v>1</v>
      </c>
      <c r="AN23" s="2002"/>
      <c r="AO23" s="2002"/>
      <c r="AP23" s="2002"/>
      <c r="AQ23" s="2002"/>
      <c r="AR23" s="2002">
        <v>1</v>
      </c>
      <c r="AS23" s="2002">
        <v>7</v>
      </c>
      <c r="AT23" s="2002">
        <v>5</v>
      </c>
      <c r="AU23" s="2480">
        <v>1</v>
      </c>
      <c r="AV23" s="2480"/>
      <c r="AW23" s="2480">
        <v>15</v>
      </c>
      <c r="AX23" s="635">
        <f>+(AW22+AW21+AW19)/AW23</f>
        <v>0.4</v>
      </c>
      <c r="AY23" s="1977"/>
      <c r="AZ23" s="42"/>
      <c r="BA23" s="42"/>
      <c r="BB23" s="42"/>
      <c r="BC23" s="484" t="s">
        <v>15</v>
      </c>
      <c r="BD23" s="1994"/>
      <c r="BE23" s="1994">
        <v>1</v>
      </c>
      <c r="BF23" s="1994"/>
      <c r="BG23" s="1994">
        <v>1</v>
      </c>
      <c r="BH23" s="1994">
        <v>1</v>
      </c>
      <c r="BI23" s="1994"/>
      <c r="BJ23" s="1994">
        <v>2</v>
      </c>
      <c r="BK23" s="1994">
        <v>7</v>
      </c>
      <c r="BL23" s="1994">
        <v>2</v>
      </c>
      <c r="BM23" s="454"/>
      <c r="BN23" s="454">
        <v>2</v>
      </c>
      <c r="BO23" s="454">
        <v>16</v>
      </c>
      <c r="BP23" s="2485">
        <f>+(BO19+BO21+BO22)/BO23</f>
        <v>0.5625</v>
      </c>
      <c r="BR23" s="105"/>
      <c r="BS23" s="105"/>
      <c r="BT23" s="41"/>
      <c r="BU23" s="41" t="s">
        <v>1235</v>
      </c>
      <c r="BV23" s="1659"/>
      <c r="BW23" s="1659">
        <v>0</v>
      </c>
      <c r="BX23" s="1659">
        <v>0</v>
      </c>
      <c r="BY23" s="1659"/>
      <c r="BZ23" s="1659"/>
      <c r="CA23" s="1659"/>
      <c r="CB23" s="1659">
        <v>0</v>
      </c>
      <c r="CC23" s="1659">
        <v>0</v>
      </c>
      <c r="CD23" s="1659">
        <v>1</v>
      </c>
      <c r="CE23" s="105">
        <v>1</v>
      </c>
      <c r="CF23" s="105">
        <v>0</v>
      </c>
      <c r="CG23" s="105">
        <v>2</v>
      </c>
      <c r="CH23" s="105"/>
      <c r="CJ23" s="1359"/>
      <c r="CK23" s="1359"/>
      <c r="CL23" s="1360" t="s">
        <v>669</v>
      </c>
      <c r="CM23" s="1361" t="s">
        <v>1231</v>
      </c>
      <c r="CN23" s="1362"/>
      <c r="CO23" s="1362"/>
      <c r="CP23" s="1363">
        <v>1</v>
      </c>
      <c r="CQ23" s="1362"/>
      <c r="CR23" s="1362"/>
      <c r="CS23" s="1363">
        <v>2</v>
      </c>
      <c r="CT23" s="1363">
        <v>2</v>
      </c>
      <c r="CU23" s="1363">
        <v>0</v>
      </c>
      <c r="CV23" s="686"/>
      <c r="CW23" s="687">
        <v>0</v>
      </c>
      <c r="CX23" s="687">
        <v>5</v>
      </c>
      <c r="CY23" s="41"/>
      <c r="DA23" s="602"/>
      <c r="DB23" s="602"/>
      <c r="DC23" s="603"/>
      <c r="DD23" s="604" t="s">
        <v>1239</v>
      </c>
      <c r="DE23" s="606">
        <v>0</v>
      </c>
      <c r="DF23" s="606">
        <v>0</v>
      </c>
      <c r="DG23" s="605"/>
      <c r="DH23" s="605"/>
      <c r="DI23" s="605"/>
      <c r="DJ23" s="605"/>
      <c r="DK23" s="606">
        <v>0</v>
      </c>
      <c r="DL23" s="606">
        <v>3</v>
      </c>
      <c r="DM23" s="602"/>
      <c r="DN23" s="602"/>
      <c r="DO23" s="607">
        <v>3</v>
      </c>
      <c r="DP23" s="105"/>
      <c r="DR23" s="608"/>
      <c r="DS23" s="608"/>
      <c r="DT23" s="608"/>
      <c r="DU23" s="609" t="s">
        <v>1235</v>
      </c>
      <c r="DV23" s="610"/>
      <c r="DW23" s="611">
        <v>0</v>
      </c>
      <c r="DX23" s="611">
        <v>0</v>
      </c>
      <c r="DY23" s="610"/>
      <c r="DZ23" s="610"/>
      <c r="EA23" s="611">
        <v>0</v>
      </c>
      <c r="EB23" s="611">
        <v>0</v>
      </c>
      <c r="EC23" s="611">
        <v>1</v>
      </c>
      <c r="ED23" s="611">
        <v>0</v>
      </c>
      <c r="EE23" s="612"/>
      <c r="EF23" s="612"/>
      <c r="EG23" s="613">
        <v>1</v>
      </c>
      <c r="EH23" s="614"/>
      <c r="EJ23" s="615"/>
      <c r="EK23" s="615"/>
      <c r="EL23" s="615"/>
      <c r="EM23" s="616" t="s">
        <v>1344</v>
      </c>
      <c r="EN23" s="617"/>
      <c r="EO23" s="617"/>
      <c r="EP23" s="617"/>
      <c r="EQ23" s="617"/>
      <c r="ER23" s="618">
        <v>0</v>
      </c>
      <c r="ES23" s="618">
        <v>2</v>
      </c>
      <c r="ET23" s="618">
        <v>0</v>
      </c>
      <c r="EU23" s="618">
        <v>0</v>
      </c>
      <c r="EV23" s="617"/>
      <c r="EW23" s="617"/>
      <c r="EX23" s="618">
        <v>2</v>
      </c>
      <c r="EY23" s="515"/>
      <c r="FA23" s="70"/>
      <c r="FB23" s="70" t="s">
        <v>16</v>
      </c>
      <c r="FC23" s="42" t="s">
        <v>117</v>
      </c>
      <c r="FD23" s="42" t="s">
        <v>1230</v>
      </c>
      <c r="FE23" s="70"/>
      <c r="FF23" s="70"/>
      <c r="FG23" s="70"/>
      <c r="FH23" s="70"/>
      <c r="FI23" s="70"/>
      <c r="FJ23" s="70"/>
      <c r="FK23" s="70">
        <v>1</v>
      </c>
      <c r="FL23" s="70">
        <v>2</v>
      </c>
      <c r="FM23" s="70"/>
      <c r="FN23" s="70"/>
      <c r="FO23" s="70">
        <v>3</v>
      </c>
      <c r="FP23" s="42"/>
      <c r="FQ23" s="42"/>
      <c r="FR23" s="516"/>
      <c r="FS23" s="516"/>
      <c r="FT23" s="516"/>
      <c r="FU23" s="516" t="s">
        <v>1235</v>
      </c>
      <c r="FV23" s="516">
        <v>0</v>
      </c>
      <c r="FW23" s="516">
        <v>0</v>
      </c>
      <c r="FX23" s="516">
        <v>0</v>
      </c>
      <c r="FY23" s="516">
        <v>0</v>
      </c>
      <c r="FZ23" s="516">
        <v>0</v>
      </c>
      <c r="GA23" s="516">
        <v>0</v>
      </c>
      <c r="GB23" s="516">
        <v>1</v>
      </c>
      <c r="GC23" s="516">
        <v>0</v>
      </c>
      <c r="GD23" s="516">
        <v>0</v>
      </c>
      <c r="GE23" s="516">
        <v>0</v>
      </c>
      <c r="GF23" s="516">
        <v>0</v>
      </c>
      <c r="GG23" s="517">
        <v>1</v>
      </c>
      <c r="GH23" s="619"/>
      <c r="GI23" s="518"/>
    </row>
    <row r="24" spans="3:191">
      <c r="D24" s="32" t="s">
        <v>15</v>
      </c>
      <c r="E24" s="4607"/>
      <c r="F24" s="4607">
        <v>1</v>
      </c>
      <c r="G24" s="4607">
        <v>1</v>
      </c>
      <c r="H24" s="4607"/>
      <c r="I24" s="4607"/>
      <c r="J24" s="4607">
        <v>1</v>
      </c>
      <c r="K24" s="4607"/>
      <c r="L24" s="4607">
        <v>7</v>
      </c>
      <c r="M24" s="4607">
        <v>2</v>
      </c>
      <c r="N24" s="4583"/>
      <c r="O24" s="4583">
        <v>1</v>
      </c>
      <c r="P24" s="4583">
        <v>13</v>
      </c>
      <c r="Q24" s="1977">
        <f>+(P22+P23)/P24</f>
        <v>0.30769230769230771</v>
      </c>
      <c r="R24" s="1977"/>
      <c r="V24" s="37" t="s">
        <v>1239</v>
      </c>
      <c r="W24" s="4803"/>
      <c r="X24" s="4803"/>
      <c r="Y24" s="4803"/>
      <c r="Z24" s="4803"/>
      <c r="AA24" s="4803"/>
      <c r="AB24" s="4803"/>
      <c r="AC24" s="4803">
        <v>2</v>
      </c>
      <c r="AD24" s="4803"/>
      <c r="AE24" s="1788"/>
      <c r="AF24" s="1788">
        <v>2</v>
      </c>
      <c r="AI24" s="41"/>
      <c r="AJ24" s="41"/>
      <c r="AK24" s="41" t="s">
        <v>668</v>
      </c>
      <c r="AL24" s="41" t="s">
        <v>1230</v>
      </c>
      <c r="AM24" s="2001"/>
      <c r="AN24" s="2001"/>
      <c r="AO24" s="2001"/>
      <c r="AP24" s="2001"/>
      <c r="AQ24" s="2001"/>
      <c r="AR24" s="2001"/>
      <c r="AS24" s="2001">
        <v>0</v>
      </c>
      <c r="AT24" s="2001">
        <v>1</v>
      </c>
      <c r="AU24" s="105"/>
      <c r="AV24" s="105">
        <v>0</v>
      </c>
      <c r="AW24" s="105">
        <v>1</v>
      </c>
      <c r="AX24" s="41"/>
      <c r="AZ24" s="42"/>
      <c r="BA24" s="42"/>
      <c r="BB24" s="42" t="s">
        <v>668</v>
      </c>
      <c r="BC24" s="42" t="s">
        <v>1230</v>
      </c>
      <c r="BD24" s="1993"/>
      <c r="BE24" s="1993"/>
      <c r="BF24" s="1993"/>
      <c r="BG24" s="1993"/>
      <c r="BH24" s="1993"/>
      <c r="BI24" s="1993"/>
      <c r="BJ24" s="1993">
        <v>0</v>
      </c>
      <c r="BK24" s="1993"/>
      <c r="BL24" s="1993">
        <v>2</v>
      </c>
      <c r="BM24" s="70"/>
      <c r="BN24" s="70">
        <v>1</v>
      </c>
      <c r="BO24" s="70">
        <v>3</v>
      </c>
      <c r="BR24" s="105"/>
      <c r="BS24" s="105"/>
      <c r="BT24" s="41"/>
      <c r="BU24" s="41" t="s">
        <v>1239</v>
      </c>
      <c r="BV24" s="1659"/>
      <c r="BW24" s="1659">
        <v>0</v>
      </c>
      <c r="BX24" s="1659">
        <v>0</v>
      </c>
      <c r="BY24" s="1659"/>
      <c r="BZ24" s="1659"/>
      <c r="CA24" s="1659"/>
      <c r="CB24" s="1659">
        <v>0</v>
      </c>
      <c r="CC24" s="1659">
        <v>0</v>
      </c>
      <c r="CD24" s="1659">
        <v>2</v>
      </c>
      <c r="CE24" s="105">
        <v>0</v>
      </c>
      <c r="CF24" s="105">
        <v>1</v>
      </c>
      <c r="CG24" s="105">
        <v>3</v>
      </c>
      <c r="CH24" s="105"/>
      <c r="CJ24" s="1359"/>
      <c r="CK24" s="1359"/>
      <c r="CL24" s="1360"/>
      <c r="CM24" s="1361" t="s">
        <v>1239</v>
      </c>
      <c r="CN24" s="1362"/>
      <c r="CO24" s="1362"/>
      <c r="CP24" s="1363">
        <v>0</v>
      </c>
      <c r="CQ24" s="1362"/>
      <c r="CR24" s="1362"/>
      <c r="CS24" s="1363">
        <v>0</v>
      </c>
      <c r="CT24" s="1363">
        <v>0</v>
      </c>
      <c r="CU24" s="1363">
        <v>0</v>
      </c>
      <c r="CV24" s="686"/>
      <c r="CW24" s="687">
        <v>2</v>
      </c>
      <c r="CX24" s="687">
        <v>2</v>
      </c>
      <c r="CY24" s="41"/>
      <c r="DA24" s="602"/>
      <c r="DB24" s="602"/>
      <c r="DC24" s="603"/>
      <c r="DD24" s="604" t="s">
        <v>1240</v>
      </c>
      <c r="DE24" s="606">
        <v>0</v>
      </c>
      <c r="DF24" s="606">
        <v>0</v>
      </c>
      <c r="DG24" s="605"/>
      <c r="DH24" s="605"/>
      <c r="DI24" s="605"/>
      <c r="DJ24" s="605"/>
      <c r="DK24" s="606">
        <v>0</v>
      </c>
      <c r="DL24" s="606">
        <v>1</v>
      </c>
      <c r="DM24" s="602"/>
      <c r="DN24" s="602"/>
      <c r="DO24" s="607">
        <v>1</v>
      </c>
      <c r="DP24" s="105"/>
      <c r="DR24" s="608"/>
      <c r="DS24" s="608"/>
      <c r="DT24" s="608"/>
      <c r="DU24" s="609" t="s">
        <v>1239</v>
      </c>
      <c r="DV24" s="610"/>
      <c r="DW24" s="611">
        <v>0</v>
      </c>
      <c r="DX24" s="611">
        <v>0</v>
      </c>
      <c r="DY24" s="610"/>
      <c r="DZ24" s="610"/>
      <c r="EA24" s="611">
        <v>0</v>
      </c>
      <c r="EB24" s="611">
        <v>0</v>
      </c>
      <c r="EC24" s="611">
        <v>0</v>
      </c>
      <c r="ED24" s="611">
        <v>4</v>
      </c>
      <c r="EE24" s="612"/>
      <c r="EF24" s="612"/>
      <c r="EG24" s="613">
        <v>4</v>
      </c>
      <c r="EH24" s="614"/>
      <c r="EJ24" s="615"/>
      <c r="EK24" s="615"/>
      <c r="EL24" s="615"/>
      <c r="EM24" s="625" t="s">
        <v>15</v>
      </c>
      <c r="EN24" s="626"/>
      <c r="EO24" s="626"/>
      <c r="EP24" s="626"/>
      <c r="EQ24" s="626"/>
      <c r="ER24" s="627">
        <v>2</v>
      </c>
      <c r="ES24" s="627">
        <v>9</v>
      </c>
      <c r="ET24" s="627">
        <v>3</v>
      </c>
      <c r="EU24" s="627">
        <v>1</v>
      </c>
      <c r="EV24" s="626"/>
      <c r="EW24" s="626"/>
      <c r="EX24" s="627">
        <v>15</v>
      </c>
      <c r="EY24" s="628">
        <f>+(EX23+EX22+EX20)/EX24</f>
        <v>0.6</v>
      </c>
      <c r="FA24" s="70"/>
      <c r="FB24" s="70"/>
      <c r="FC24" s="42"/>
      <c r="FD24" s="42" t="s">
        <v>1231</v>
      </c>
      <c r="FE24" s="70"/>
      <c r="FF24" s="70"/>
      <c r="FG24" s="70"/>
      <c r="FH24" s="70"/>
      <c r="FI24" s="70"/>
      <c r="FJ24" s="70"/>
      <c r="FK24" s="70">
        <v>11</v>
      </c>
      <c r="FL24" s="70">
        <v>0</v>
      </c>
      <c r="FM24" s="70"/>
      <c r="FN24" s="70"/>
      <c r="FO24" s="70">
        <v>11</v>
      </c>
      <c r="FP24" s="42"/>
      <c r="FQ24" s="42"/>
      <c r="FR24" s="516"/>
      <c r="FS24" s="516"/>
      <c r="FT24" s="516"/>
      <c r="FU24" s="516" t="s">
        <v>1240</v>
      </c>
      <c r="FV24" s="516">
        <v>0</v>
      </c>
      <c r="FW24" s="516">
        <v>0</v>
      </c>
      <c r="FX24" s="516">
        <v>0</v>
      </c>
      <c r="FY24" s="516">
        <v>0</v>
      </c>
      <c r="FZ24" s="516">
        <v>0</v>
      </c>
      <c r="GA24" s="516">
        <v>0</v>
      </c>
      <c r="GB24" s="516">
        <v>0</v>
      </c>
      <c r="GC24" s="516">
        <v>2</v>
      </c>
      <c r="GD24" s="516">
        <v>0</v>
      </c>
      <c r="GE24" s="516">
        <v>0</v>
      </c>
      <c r="GF24" s="516">
        <v>0</v>
      </c>
      <c r="GG24" s="517">
        <v>2</v>
      </c>
      <c r="GH24" s="619"/>
      <c r="GI24" s="518"/>
    </row>
    <row r="25" spans="3:191">
      <c r="C25" s="4800" t="s">
        <v>668</v>
      </c>
      <c r="D25" s="4800" t="s">
        <v>1230</v>
      </c>
      <c r="E25" s="4606">
        <v>0</v>
      </c>
      <c r="F25" s="4606"/>
      <c r="G25" s="4606"/>
      <c r="H25" s="4606"/>
      <c r="I25" s="4606"/>
      <c r="J25" s="4606"/>
      <c r="K25" s="4606"/>
      <c r="L25" s="4606"/>
      <c r="M25" s="4606">
        <v>4</v>
      </c>
      <c r="N25" s="2552"/>
      <c r="O25" s="2552"/>
      <c r="P25" s="2552">
        <v>4</v>
      </c>
      <c r="Q25" s="2552"/>
      <c r="R25" s="2552"/>
      <c r="V25" s="1793" t="s">
        <v>15</v>
      </c>
      <c r="W25" s="4804"/>
      <c r="X25" s="4804"/>
      <c r="Y25" s="4804"/>
      <c r="Z25" s="4804"/>
      <c r="AA25" s="4804"/>
      <c r="AB25" s="4804"/>
      <c r="AC25" s="4804">
        <v>4</v>
      </c>
      <c r="AD25" s="4804"/>
      <c r="AE25" s="4702"/>
      <c r="AF25" s="4702">
        <v>4</v>
      </c>
      <c r="AG25" s="4703">
        <v>0</v>
      </c>
      <c r="AI25" s="41"/>
      <c r="AJ25" s="41"/>
      <c r="AK25" s="41"/>
      <c r="AL25" s="41" t="s">
        <v>1231</v>
      </c>
      <c r="AM25" s="2001"/>
      <c r="AN25" s="2001"/>
      <c r="AO25" s="2001"/>
      <c r="AP25" s="2001"/>
      <c r="AQ25" s="2001"/>
      <c r="AR25" s="2001"/>
      <c r="AS25" s="2001">
        <v>0</v>
      </c>
      <c r="AT25" s="2001">
        <v>1</v>
      </c>
      <c r="AU25" s="105"/>
      <c r="AV25" s="105">
        <v>0</v>
      </c>
      <c r="AW25" s="105">
        <v>1</v>
      </c>
      <c r="AX25" s="41"/>
      <c r="AZ25" s="42"/>
      <c r="BA25" s="42"/>
      <c r="BB25" s="42"/>
      <c r="BC25" s="42" t="s">
        <v>1235</v>
      </c>
      <c r="BD25" s="1993"/>
      <c r="BE25" s="1993"/>
      <c r="BF25" s="1993"/>
      <c r="BG25" s="1993"/>
      <c r="BH25" s="1993"/>
      <c r="BI25" s="1993"/>
      <c r="BJ25" s="1993">
        <v>1</v>
      </c>
      <c r="BK25" s="1993"/>
      <c r="BL25" s="1993">
        <v>0</v>
      </c>
      <c r="BM25" s="70"/>
      <c r="BN25" s="70">
        <v>0</v>
      </c>
      <c r="BO25" s="70">
        <v>1</v>
      </c>
      <c r="BR25" s="105"/>
      <c r="BS25" s="105"/>
      <c r="BT25" s="41"/>
      <c r="BU25" s="41" t="s">
        <v>1240</v>
      </c>
      <c r="BV25" s="1659"/>
      <c r="BW25" s="1659">
        <v>0</v>
      </c>
      <c r="BX25" s="1659">
        <v>0</v>
      </c>
      <c r="BY25" s="1659"/>
      <c r="BZ25" s="1659"/>
      <c r="CA25" s="1659"/>
      <c r="CB25" s="1659">
        <v>0</v>
      </c>
      <c r="CC25" s="1659">
        <v>1</v>
      </c>
      <c r="CD25" s="1659">
        <v>1</v>
      </c>
      <c r="CE25" s="105">
        <v>0</v>
      </c>
      <c r="CF25" s="105">
        <v>0</v>
      </c>
      <c r="CG25" s="105">
        <v>2</v>
      </c>
      <c r="CH25" s="105"/>
      <c r="CJ25" s="1359"/>
      <c r="CK25" s="1359"/>
      <c r="CL25" s="1360"/>
      <c r="CM25" s="1361" t="s">
        <v>1240</v>
      </c>
      <c r="CN25" s="1362"/>
      <c r="CO25" s="1362"/>
      <c r="CP25" s="1363">
        <v>0</v>
      </c>
      <c r="CQ25" s="1362"/>
      <c r="CR25" s="1362"/>
      <c r="CS25" s="1363">
        <v>1</v>
      </c>
      <c r="CT25" s="1363">
        <v>0</v>
      </c>
      <c r="CU25" s="1363">
        <v>1</v>
      </c>
      <c r="CV25" s="686"/>
      <c r="CW25" s="687">
        <v>0</v>
      </c>
      <c r="CX25" s="687">
        <v>2</v>
      </c>
      <c r="CY25" s="41"/>
      <c r="DA25" s="602"/>
      <c r="DB25" s="602"/>
      <c r="DC25" s="603"/>
      <c r="DD25" s="604" t="s">
        <v>1344</v>
      </c>
      <c r="DE25" s="606">
        <v>0</v>
      </c>
      <c r="DF25" s="606">
        <v>0</v>
      </c>
      <c r="DG25" s="605"/>
      <c r="DH25" s="605"/>
      <c r="DI25" s="605"/>
      <c r="DJ25" s="605"/>
      <c r="DK25" s="606">
        <v>0</v>
      </c>
      <c r="DL25" s="606">
        <v>1</v>
      </c>
      <c r="DM25" s="602"/>
      <c r="DN25" s="602"/>
      <c r="DO25" s="607">
        <v>1</v>
      </c>
      <c r="DP25" s="105"/>
      <c r="DR25" s="608"/>
      <c r="DS25" s="608"/>
      <c r="DT25" s="608"/>
      <c r="DU25" s="609" t="s">
        <v>1240</v>
      </c>
      <c r="DV25" s="610"/>
      <c r="DW25" s="611">
        <v>0</v>
      </c>
      <c r="DX25" s="611">
        <v>0</v>
      </c>
      <c r="DY25" s="610"/>
      <c r="DZ25" s="610"/>
      <c r="EA25" s="611">
        <v>1</v>
      </c>
      <c r="EB25" s="611">
        <v>1</v>
      </c>
      <c r="EC25" s="611">
        <v>0</v>
      </c>
      <c r="ED25" s="611">
        <v>0</v>
      </c>
      <c r="EE25" s="612"/>
      <c r="EF25" s="612"/>
      <c r="EG25" s="613">
        <v>2</v>
      </c>
      <c r="EH25" s="614"/>
      <c r="EJ25" s="615"/>
      <c r="EK25" s="615" t="s">
        <v>16</v>
      </c>
      <c r="EL25" s="615" t="s">
        <v>117</v>
      </c>
      <c r="EM25" s="616" t="s">
        <v>1231</v>
      </c>
      <c r="EN25" s="617"/>
      <c r="EO25" s="617"/>
      <c r="EP25" s="617"/>
      <c r="EQ25" s="617"/>
      <c r="ER25" s="617"/>
      <c r="ES25" s="618">
        <v>3</v>
      </c>
      <c r="ET25" s="618">
        <v>5</v>
      </c>
      <c r="EU25" s="617"/>
      <c r="EV25" s="617"/>
      <c r="EW25" s="617"/>
      <c r="EX25" s="618">
        <v>8</v>
      </c>
      <c r="EY25" s="515"/>
      <c r="FA25" s="70"/>
      <c r="FB25" s="70"/>
      <c r="FC25" s="42"/>
      <c r="FD25" s="42" t="s">
        <v>1235</v>
      </c>
      <c r="FE25" s="70"/>
      <c r="FF25" s="70"/>
      <c r="FG25" s="70"/>
      <c r="FH25" s="70"/>
      <c r="FI25" s="70"/>
      <c r="FJ25" s="70"/>
      <c r="FK25" s="70">
        <v>1</v>
      </c>
      <c r="FL25" s="70">
        <v>0</v>
      </c>
      <c r="FM25" s="70"/>
      <c r="FN25" s="70"/>
      <c r="FO25" s="70">
        <v>1</v>
      </c>
      <c r="FP25" s="42"/>
      <c r="FQ25" s="42"/>
      <c r="FR25" s="516"/>
      <c r="FS25" s="516"/>
      <c r="FT25" s="516"/>
      <c r="FU25" s="516" t="s">
        <v>1344</v>
      </c>
      <c r="FV25" s="516">
        <v>0</v>
      </c>
      <c r="FW25" s="516">
        <v>0</v>
      </c>
      <c r="FX25" s="516">
        <v>0</v>
      </c>
      <c r="FY25" s="516">
        <v>0</v>
      </c>
      <c r="FZ25" s="516">
        <v>0</v>
      </c>
      <c r="GA25" s="516">
        <v>0</v>
      </c>
      <c r="GB25" s="516">
        <v>1</v>
      </c>
      <c r="GC25" s="516">
        <v>1</v>
      </c>
      <c r="GD25" s="516">
        <v>0</v>
      </c>
      <c r="GE25" s="516">
        <v>0</v>
      </c>
      <c r="GF25" s="516">
        <v>0</v>
      </c>
      <c r="GG25" s="517">
        <v>2</v>
      </c>
      <c r="GH25" s="619"/>
      <c r="GI25" s="518"/>
    </row>
    <row r="26" spans="3:191">
      <c r="D26" s="4800" t="s">
        <v>2963</v>
      </c>
      <c r="E26" s="4606">
        <v>1</v>
      </c>
      <c r="F26" s="4606"/>
      <c r="G26" s="4606"/>
      <c r="H26" s="4606"/>
      <c r="I26" s="4606"/>
      <c r="J26" s="4606"/>
      <c r="K26" s="4606"/>
      <c r="L26" s="4606"/>
      <c r="M26" s="4606">
        <v>0</v>
      </c>
      <c r="N26" s="2552"/>
      <c r="O26" s="2552"/>
      <c r="P26" s="2552">
        <v>1</v>
      </c>
      <c r="Q26" s="2552"/>
      <c r="R26" s="2552"/>
      <c r="U26" s="37" t="s">
        <v>2537</v>
      </c>
      <c r="V26" s="37" t="s">
        <v>1230</v>
      </c>
      <c r="W26" s="4803">
        <v>0</v>
      </c>
      <c r="X26" s="4803"/>
      <c r="Y26" s="4803"/>
      <c r="Z26" s="4803"/>
      <c r="AA26" s="4803">
        <v>0</v>
      </c>
      <c r="AB26" s="4803">
        <v>0</v>
      </c>
      <c r="AC26" s="4803">
        <v>2</v>
      </c>
      <c r="AD26" s="4803"/>
      <c r="AE26" s="1788">
        <v>0</v>
      </c>
      <c r="AF26" s="1788">
        <v>2</v>
      </c>
      <c r="AI26" s="41"/>
      <c r="AJ26" s="41"/>
      <c r="AK26" s="41"/>
      <c r="AL26" s="41" t="s">
        <v>1235</v>
      </c>
      <c r="AM26" s="2001"/>
      <c r="AN26" s="2001"/>
      <c r="AO26" s="2001"/>
      <c r="AP26" s="2001"/>
      <c r="AQ26" s="2001"/>
      <c r="AR26" s="2001"/>
      <c r="AS26" s="2001">
        <v>1</v>
      </c>
      <c r="AT26" s="2001">
        <v>0</v>
      </c>
      <c r="AU26" s="105"/>
      <c r="AV26" s="105">
        <v>0</v>
      </c>
      <c r="AW26" s="105">
        <v>1</v>
      </c>
      <c r="AX26" s="41"/>
      <c r="AZ26" s="42"/>
      <c r="BA26" s="42"/>
      <c r="BB26" s="42"/>
      <c r="BC26" s="42" t="s">
        <v>1240</v>
      </c>
      <c r="BD26" s="1993"/>
      <c r="BE26" s="1993"/>
      <c r="BF26" s="1993"/>
      <c r="BG26" s="1993"/>
      <c r="BH26" s="1993"/>
      <c r="BI26" s="1993"/>
      <c r="BJ26" s="1993">
        <v>0</v>
      </c>
      <c r="BK26" s="1993"/>
      <c r="BL26" s="1993">
        <v>1</v>
      </c>
      <c r="BM26" s="70"/>
      <c r="BN26" s="70">
        <v>0</v>
      </c>
      <c r="BO26" s="70">
        <v>1</v>
      </c>
      <c r="BR26" s="105"/>
      <c r="BS26" s="105"/>
      <c r="BT26" s="41"/>
      <c r="BU26" s="41" t="s">
        <v>1344</v>
      </c>
      <c r="BV26" s="1659"/>
      <c r="BW26" s="1659">
        <v>0</v>
      </c>
      <c r="BX26" s="1659">
        <v>0</v>
      </c>
      <c r="BY26" s="1659"/>
      <c r="BZ26" s="1659"/>
      <c r="CA26" s="1659"/>
      <c r="CB26" s="1659">
        <v>0</v>
      </c>
      <c r="CC26" s="1659">
        <v>1</v>
      </c>
      <c r="CD26" s="1659">
        <v>2</v>
      </c>
      <c r="CE26" s="105">
        <v>0</v>
      </c>
      <c r="CF26" s="105">
        <v>0</v>
      </c>
      <c r="CG26" s="105">
        <v>3</v>
      </c>
      <c r="CH26" s="105"/>
      <c r="CJ26" s="1359"/>
      <c r="CK26" s="1359"/>
      <c r="CL26" s="1360"/>
      <c r="CM26" s="1361" t="s">
        <v>1344</v>
      </c>
      <c r="CN26" s="1362"/>
      <c r="CO26" s="1362"/>
      <c r="CP26" s="1363">
        <v>0</v>
      </c>
      <c r="CQ26" s="1362"/>
      <c r="CR26" s="1362"/>
      <c r="CS26" s="1363">
        <v>2</v>
      </c>
      <c r="CT26" s="1363">
        <v>0</v>
      </c>
      <c r="CU26" s="1363">
        <v>1</v>
      </c>
      <c r="CV26" s="686"/>
      <c r="CW26" s="687">
        <v>0</v>
      </c>
      <c r="CX26" s="687">
        <v>3</v>
      </c>
      <c r="CY26" s="41"/>
      <c r="DA26" s="602"/>
      <c r="DB26" s="602"/>
      <c r="DC26" s="603"/>
      <c r="DD26" s="630" t="s">
        <v>15</v>
      </c>
      <c r="DE26" s="632">
        <v>2</v>
      </c>
      <c r="DF26" s="632">
        <v>1</v>
      </c>
      <c r="DG26" s="631"/>
      <c r="DH26" s="631"/>
      <c r="DI26" s="631"/>
      <c r="DJ26" s="631"/>
      <c r="DK26" s="632">
        <v>3</v>
      </c>
      <c r="DL26" s="632">
        <v>6</v>
      </c>
      <c r="DM26" s="633"/>
      <c r="DN26" s="633"/>
      <c r="DO26" s="634">
        <v>12</v>
      </c>
      <c r="DP26" s="635">
        <f>+(DO22+DO24+DO25)/DO26</f>
        <v>0.41666666666666669</v>
      </c>
      <c r="DR26" s="608"/>
      <c r="DS26" s="608"/>
      <c r="DT26" s="608"/>
      <c r="DU26" s="609" t="s">
        <v>1344</v>
      </c>
      <c r="DV26" s="610"/>
      <c r="DW26" s="611">
        <v>0</v>
      </c>
      <c r="DX26" s="611">
        <v>0</v>
      </c>
      <c r="DY26" s="610"/>
      <c r="DZ26" s="610"/>
      <c r="EA26" s="611">
        <v>1</v>
      </c>
      <c r="EB26" s="611">
        <v>1</v>
      </c>
      <c r="EC26" s="611">
        <v>0</v>
      </c>
      <c r="ED26" s="611">
        <v>1</v>
      </c>
      <c r="EE26" s="612"/>
      <c r="EF26" s="612"/>
      <c r="EG26" s="613">
        <v>3</v>
      </c>
      <c r="EH26" s="614"/>
      <c r="EJ26" s="615"/>
      <c r="EK26" s="615"/>
      <c r="EL26" s="615"/>
      <c r="EM26" s="625" t="s">
        <v>15</v>
      </c>
      <c r="EN26" s="626"/>
      <c r="EO26" s="626"/>
      <c r="EP26" s="626"/>
      <c r="EQ26" s="626"/>
      <c r="ER26" s="626"/>
      <c r="ES26" s="627">
        <v>3</v>
      </c>
      <c r="ET26" s="627">
        <v>5</v>
      </c>
      <c r="EU26" s="626"/>
      <c r="EV26" s="626"/>
      <c r="EW26" s="626"/>
      <c r="EX26" s="627">
        <v>8</v>
      </c>
      <c r="EY26" s="628">
        <v>0</v>
      </c>
      <c r="FA26" s="70"/>
      <c r="FB26" s="70"/>
      <c r="FC26" s="42"/>
      <c r="FD26" s="42" t="s">
        <v>1239</v>
      </c>
      <c r="FE26" s="70"/>
      <c r="FF26" s="70"/>
      <c r="FG26" s="70"/>
      <c r="FH26" s="70"/>
      <c r="FI26" s="70"/>
      <c r="FJ26" s="70"/>
      <c r="FK26" s="70">
        <v>0</v>
      </c>
      <c r="FL26" s="70">
        <v>1</v>
      </c>
      <c r="FM26" s="70"/>
      <c r="FN26" s="70"/>
      <c r="FO26" s="70">
        <v>1</v>
      </c>
      <c r="FP26" s="42"/>
      <c r="FQ26" s="42"/>
      <c r="FR26" s="516"/>
      <c r="FS26" s="516"/>
      <c r="FT26" s="516"/>
      <c r="FU26" s="519" t="s">
        <v>15</v>
      </c>
      <c r="FV26" s="519">
        <v>0</v>
      </c>
      <c r="FW26" s="519">
        <v>0</v>
      </c>
      <c r="FX26" s="519">
        <v>0</v>
      </c>
      <c r="FY26" s="519">
        <v>0</v>
      </c>
      <c r="FZ26" s="519">
        <v>0</v>
      </c>
      <c r="GA26" s="519">
        <v>0</v>
      </c>
      <c r="GB26" s="519">
        <v>3</v>
      </c>
      <c r="GC26" s="519">
        <v>6</v>
      </c>
      <c r="GD26" s="519">
        <v>0</v>
      </c>
      <c r="GE26" s="519">
        <v>0</v>
      </c>
      <c r="GF26" s="519">
        <v>0</v>
      </c>
      <c r="GG26" s="579">
        <v>9</v>
      </c>
      <c r="GH26" s="629">
        <f>+(GG25+GG24+GG23)/GG26</f>
        <v>0.55555555555555558</v>
      </c>
      <c r="GI26" s="518">
        <f>+GG23+GG24+GG25</f>
        <v>5</v>
      </c>
    </row>
    <row r="27" spans="3:191">
      <c r="D27" s="32" t="s">
        <v>15</v>
      </c>
      <c r="E27" s="4607">
        <v>1</v>
      </c>
      <c r="F27" s="4607"/>
      <c r="G27" s="4607"/>
      <c r="H27" s="4607"/>
      <c r="I27" s="4607"/>
      <c r="J27" s="4607"/>
      <c r="K27" s="4607"/>
      <c r="L27" s="4607"/>
      <c r="M27" s="4607">
        <v>4</v>
      </c>
      <c r="N27" s="4583"/>
      <c r="O27" s="4583"/>
      <c r="P27" s="4583">
        <v>5</v>
      </c>
      <c r="Q27" s="1977">
        <v>0</v>
      </c>
      <c r="R27" s="1977"/>
      <c r="V27" s="37" t="s">
        <v>1231</v>
      </c>
      <c r="W27" s="4803">
        <v>1</v>
      </c>
      <c r="X27" s="4803"/>
      <c r="Y27" s="4803"/>
      <c r="Z27" s="4803"/>
      <c r="AA27" s="4803">
        <v>1</v>
      </c>
      <c r="AB27" s="4803">
        <v>7</v>
      </c>
      <c r="AC27" s="4803">
        <v>1</v>
      </c>
      <c r="AD27" s="4803"/>
      <c r="AE27" s="1788">
        <v>0</v>
      </c>
      <c r="AF27" s="1788">
        <v>10</v>
      </c>
      <c r="AI27" s="41"/>
      <c r="AJ27" s="41"/>
      <c r="AK27" s="41"/>
      <c r="AL27" s="41" t="s">
        <v>1239</v>
      </c>
      <c r="AM27" s="2001"/>
      <c r="AN27" s="2001"/>
      <c r="AO27" s="2001"/>
      <c r="AP27" s="2001"/>
      <c r="AQ27" s="2001"/>
      <c r="AR27" s="2001"/>
      <c r="AS27" s="2001">
        <v>0</v>
      </c>
      <c r="AT27" s="2001">
        <v>3</v>
      </c>
      <c r="AU27" s="105"/>
      <c r="AV27" s="105">
        <v>1</v>
      </c>
      <c r="AW27" s="105">
        <v>4</v>
      </c>
      <c r="AX27" s="41"/>
      <c r="AZ27" s="42"/>
      <c r="BA27" s="42"/>
      <c r="BB27" s="42"/>
      <c r="BC27" s="484" t="s">
        <v>15</v>
      </c>
      <c r="BD27" s="1994"/>
      <c r="BE27" s="1994"/>
      <c r="BF27" s="1994"/>
      <c r="BG27" s="1994"/>
      <c r="BH27" s="1994"/>
      <c r="BI27" s="1994"/>
      <c r="BJ27" s="1994">
        <v>1</v>
      </c>
      <c r="BK27" s="1994"/>
      <c r="BL27" s="1994">
        <v>3</v>
      </c>
      <c r="BM27" s="454"/>
      <c r="BN27" s="454">
        <v>1</v>
      </c>
      <c r="BO27" s="454">
        <v>5</v>
      </c>
      <c r="BP27" s="2485">
        <f>+(BO25+BO26)/BO27</f>
        <v>0.4</v>
      </c>
      <c r="BR27" s="105"/>
      <c r="BS27" s="105"/>
      <c r="BT27" s="41"/>
      <c r="BU27" s="461" t="s">
        <v>15</v>
      </c>
      <c r="BV27" s="1660"/>
      <c r="BW27" s="1660">
        <v>1</v>
      </c>
      <c r="BX27" s="1660">
        <v>1</v>
      </c>
      <c r="BY27" s="1660"/>
      <c r="BZ27" s="1660"/>
      <c r="CA27" s="1660"/>
      <c r="CB27" s="1660">
        <v>1</v>
      </c>
      <c r="CC27" s="1660">
        <v>3</v>
      </c>
      <c r="CD27" s="1660">
        <v>7</v>
      </c>
      <c r="CE27" s="96">
        <v>1</v>
      </c>
      <c r="CF27" s="96">
        <v>1</v>
      </c>
      <c r="CG27" s="96">
        <v>15</v>
      </c>
      <c r="CH27" s="635">
        <f>+(CG23+CG25+CG26-CE23)/CG27</f>
        <v>0.4</v>
      </c>
      <c r="CJ27" s="1359"/>
      <c r="CK27" s="1359"/>
      <c r="CL27" s="1360"/>
      <c r="CM27" s="483" t="s">
        <v>15</v>
      </c>
      <c r="CN27" s="1364"/>
      <c r="CO27" s="1364"/>
      <c r="CP27" s="1365">
        <v>1</v>
      </c>
      <c r="CQ27" s="1364"/>
      <c r="CR27" s="1364"/>
      <c r="CS27" s="1365">
        <v>5</v>
      </c>
      <c r="CT27" s="1365">
        <v>2</v>
      </c>
      <c r="CU27" s="1365">
        <v>2</v>
      </c>
      <c r="CV27" s="695"/>
      <c r="CW27" s="696">
        <v>2</v>
      </c>
      <c r="CX27" s="696">
        <v>12</v>
      </c>
      <c r="CY27" s="1325">
        <f>+(CX25+CX26)/CX27</f>
        <v>0.41666666666666669</v>
      </c>
      <c r="DA27" s="602"/>
      <c r="DB27" s="602"/>
      <c r="DC27" s="603" t="s">
        <v>668</v>
      </c>
      <c r="DD27" s="604" t="s">
        <v>1230</v>
      </c>
      <c r="DE27" s="605"/>
      <c r="DF27" s="605"/>
      <c r="DG27" s="605"/>
      <c r="DH27" s="605"/>
      <c r="DI27" s="605"/>
      <c r="DJ27" s="605"/>
      <c r="DK27" s="606">
        <v>0</v>
      </c>
      <c r="DL27" s="606">
        <v>3</v>
      </c>
      <c r="DM27" s="602"/>
      <c r="DN27" s="602"/>
      <c r="DO27" s="607">
        <v>3</v>
      </c>
      <c r="DP27" s="105"/>
      <c r="DR27" s="608"/>
      <c r="DS27" s="608"/>
      <c r="DT27" s="608"/>
      <c r="DU27" s="620" t="s">
        <v>544</v>
      </c>
      <c r="DV27" s="621"/>
      <c r="DW27" s="622">
        <v>2</v>
      </c>
      <c r="DX27" s="622">
        <v>2</v>
      </c>
      <c r="DY27" s="621"/>
      <c r="DZ27" s="621"/>
      <c r="EA27" s="622">
        <v>5</v>
      </c>
      <c r="EB27" s="622">
        <v>8</v>
      </c>
      <c r="EC27" s="622">
        <v>9</v>
      </c>
      <c r="ED27" s="622">
        <v>6</v>
      </c>
      <c r="EE27" s="623"/>
      <c r="EF27" s="623"/>
      <c r="EG27" s="624">
        <v>32</v>
      </c>
      <c r="EH27" s="614">
        <f>+(EG26+EG25+EG23)/EG27</f>
        <v>0.1875</v>
      </c>
      <c r="EJ27" s="615"/>
      <c r="FA27" s="70"/>
      <c r="FB27" s="70"/>
      <c r="FC27" s="42"/>
      <c r="FD27" s="484" t="s">
        <v>15</v>
      </c>
      <c r="FE27" s="454"/>
      <c r="FF27" s="454"/>
      <c r="FG27" s="454"/>
      <c r="FH27" s="454"/>
      <c r="FI27" s="454"/>
      <c r="FJ27" s="454"/>
      <c r="FK27" s="454">
        <v>13</v>
      </c>
      <c r="FL27" s="454">
        <v>3</v>
      </c>
      <c r="FM27" s="454"/>
      <c r="FN27" s="454"/>
      <c r="FO27" s="454">
        <v>16</v>
      </c>
      <c r="FP27" s="536">
        <f>+FO25/FO27</f>
        <v>6.25E-2</v>
      </c>
      <c r="FQ27" s="42"/>
      <c r="FR27" s="516"/>
      <c r="FS27" s="516"/>
      <c r="FT27" s="516" t="s">
        <v>242</v>
      </c>
      <c r="FU27" s="516" t="s">
        <v>1231</v>
      </c>
      <c r="FV27" s="516">
        <v>0</v>
      </c>
      <c r="FW27" s="516">
        <v>0</v>
      </c>
      <c r="FX27" s="516">
        <v>1</v>
      </c>
      <c r="FY27" s="516">
        <v>0</v>
      </c>
      <c r="FZ27" s="516">
        <v>2</v>
      </c>
      <c r="GA27" s="516">
        <v>0</v>
      </c>
      <c r="GB27" s="516">
        <v>2</v>
      </c>
      <c r="GC27" s="516">
        <v>0</v>
      </c>
      <c r="GD27" s="516">
        <v>0</v>
      </c>
      <c r="GE27" s="516">
        <v>0</v>
      </c>
      <c r="GF27" s="516">
        <v>0</v>
      </c>
      <c r="GG27" s="517">
        <v>5</v>
      </c>
      <c r="GH27" s="619"/>
      <c r="GI27" s="518"/>
    </row>
    <row r="28" spans="3:191">
      <c r="C28" s="4800" t="s">
        <v>2537</v>
      </c>
      <c r="D28" s="4800" t="s">
        <v>1231</v>
      </c>
      <c r="E28" s="4606">
        <v>0</v>
      </c>
      <c r="F28" s="4606">
        <v>1</v>
      </c>
      <c r="G28" s="4606"/>
      <c r="H28" s="4606"/>
      <c r="I28" s="4606"/>
      <c r="J28" s="4606">
        <v>1</v>
      </c>
      <c r="K28" s="4606">
        <v>3</v>
      </c>
      <c r="L28" s="4606">
        <v>2</v>
      </c>
      <c r="M28" s="4606">
        <v>0</v>
      </c>
      <c r="N28" s="2552"/>
      <c r="O28" s="2552">
        <v>0</v>
      </c>
      <c r="P28" s="2552">
        <v>7</v>
      </c>
      <c r="Q28" s="2552"/>
      <c r="R28" s="2552"/>
      <c r="V28" s="37" t="s">
        <v>1235</v>
      </c>
      <c r="W28" s="4803">
        <v>0</v>
      </c>
      <c r="X28" s="4803"/>
      <c r="Y28" s="4803"/>
      <c r="Z28" s="4803"/>
      <c r="AA28" s="4803">
        <v>0</v>
      </c>
      <c r="AB28" s="4803">
        <v>0</v>
      </c>
      <c r="AC28" s="4803">
        <v>3</v>
      </c>
      <c r="AD28" s="4803"/>
      <c r="AE28" s="1788">
        <v>0</v>
      </c>
      <c r="AF28" s="1788">
        <v>3</v>
      </c>
      <c r="AI28" s="41"/>
      <c r="AJ28" s="41"/>
      <c r="AK28" s="41"/>
      <c r="AL28" s="41" t="s">
        <v>1240</v>
      </c>
      <c r="AM28" s="2001"/>
      <c r="AN28" s="2001"/>
      <c r="AO28" s="2001"/>
      <c r="AP28" s="2001"/>
      <c r="AQ28" s="2001"/>
      <c r="AR28" s="2001"/>
      <c r="AS28" s="2001">
        <v>1</v>
      </c>
      <c r="AT28" s="2001">
        <v>0</v>
      </c>
      <c r="AU28" s="105"/>
      <c r="AV28" s="105">
        <v>0</v>
      </c>
      <c r="AW28" s="105">
        <v>1</v>
      </c>
      <c r="AX28" s="41"/>
      <c r="AZ28" s="42"/>
      <c r="BA28" s="42"/>
      <c r="BB28" s="42" t="s">
        <v>2537</v>
      </c>
      <c r="BC28" s="42" t="s">
        <v>1230</v>
      </c>
      <c r="BD28" s="1993"/>
      <c r="BE28" s="1993"/>
      <c r="BF28" s="1993">
        <v>0</v>
      </c>
      <c r="BG28" s="1993">
        <v>0</v>
      </c>
      <c r="BH28" s="1993"/>
      <c r="BI28" s="1993"/>
      <c r="BJ28" s="1993">
        <v>0</v>
      </c>
      <c r="BK28" s="1993">
        <v>0</v>
      </c>
      <c r="BL28" s="1993">
        <v>1</v>
      </c>
      <c r="BM28" s="70"/>
      <c r="BN28" s="70"/>
      <c r="BO28" s="70">
        <v>1</v>
      </c>
      <c r="BR28" s="105"/>
      <c r="BS28" s="105"/>
      <c r="BT28" s="41" t="s">
        <v>668</v>
      </c>
      <c r="BU28" s="41" t="s">
        <v>1230</v>
      </c>
      <c r="BV28" s="1659"/>
      <c r="BW28" s="1659"/>
      <c r="BX28" s="1659"/>
      <c r="BY28" s="1659"/>
      <c r="BZ28" s="1659">
        <v>0</v>
      </c>
      <c r="CA28" s="1659"/>
      <c r="CB28" s="1659"/>
      <c r="CC28" s="1659">
        <v>0</v>
      </c>
      <c r="CD28" s="1659">
        <v>1</v>
      </c>
      <c r="CE28" s="105"/>
      <c r="CF28" s="105"/>
      <c r="CG28" s="105">
        <v>1</v>
      </c>
      <c r="CH28" s="105"/>
      <c r="CJ28" s="1359"/>
      <c r="CK28" s="1359"/>
      <c r="CL28" s="1360" t="s">
        <v>668</v>
      </c>
      <c r="CM28" s="1361" t="s">
        <v>1230</v>
      </c>
      <c r="CN28" s="1362"/>
      <c r="CO28" s="1362"/>
      <c r="CP28" s="1362"/>
      <c r="CQ28" s="1363">
        <v>0</v>
      </c>
      <c r="CR28" s="1362"/>
      <c r="CS28" s="1362"/>
      <c r="CT28" s="1362"/>
      <c r="CU28" s="1363">
        <v>3</v>
      </c>
      <c r="CV28" s="686"/>
      <c r="CW28" s="686"/>
      <c r="CX28" s="687">
        <v>3</v>
      </c>
      <c r="CY28" s="41"/>
      <c r="DA28" s="602"/>
      <c r="DB28" s="602"/>
      <c r="DC28" s="603"/>
      <c r="DD28" s="604" t="s">
        <v>1344</v>
      </c>
      <c r="DE28" s="605"/>
      <c r="DF28" s="605"/>
      <c r="DG28" s="605"/>
      <c r="DH28" s="605"/>
      <c r="DI28" s="605"/>
      <c r="DJ28" s="605"/>
      <c r="DK28" s="606">
        <v>1</v>
      </c>
      <c r="DL28" s="606">
        <v>0</v>
      </c>
      <c r="DM28" s="602"/>
      <c r="DN28" s="602"/>
      <c r="DO28" s="607">
        <v>1</v>
      </c>
      <c r="DP28" s="105"/>
      <c r="DR28" s="608"/>
      <c r="DS28" s="608" t="s">
        <v>16</v>
      </c>
      <c r="DT28" s="608" t="s">
        <v>117</v>
      </c>
      <c r="DU28" s="609" t="s">
        <v>1231</v>
      </c>
      <c r="DV28" s="610"/>
      <c r="DW28" s="610"/>
      <c r="DX28" s="610"/>
      <c r="DY28" s="610"/>
      <c r="DZ28" s="610"/>
      <c r="EA28" s="610"/>
      <c r="EB28" s="611">
        <v>13</v>
      </c>
      <c r="EC28" s="610"/>
      <c r="ED28" s="610"/>
      <c r="EE28" s="612"/>
      <c r="EF28" s="612"/>
      <c r="EG28" s="613">
        <v>13</v>
      </c>
      <c r="EH28" s="614"/>
      <c r="EJ28" s="615"/>
      <c r="FA28" s="70"/>
      <c r="FB28" s="70"/>
      <c r="FC28" s="42" t="s">
        <v>242</v>
      </c>
      <c r="FD28" s="42" t="s">
        <v>1231</v>
      </c>
      <c r="FE28" s="70"/>
      <c r="FF28" s="70">
        <v>2</v>
      </c>
      <c r="FG28" s="70"/>
      <c r="FH28" s="70">
        <v>1</v>
      </c>
      <c r="FI28" s="70"/>
      <c r="FJ28" s="70">
        <v>5</v>
      </c>
      <c r="FK28" s="70"/>
      <c r="FL28" s="70"/>
      <c r="FM28" s="70"/>
      <c r="FN28" s="70"/>
      <c r="FO28" s="70">
        <v>8</v>
      </c>
      <c r="FP28" s="42"/>
      <c r="FQ28" s="42"/>
      <c r="FR28" s="516"/>
      <c r="FS28" s="516"/>
      <c r="FT28" s="516"/>
      <c r="FU28" s="516" t="s">
        <v>1235</v>
      </c>
      <c r="FV28" s="516">
        <v>0</v>
      </c>
      <c r="FW28" s="516">
        <v>0</v>
      </c>
      <c r="FX28" s="516">
        <v>0</v>
      </c>
      <c r="FY28" s="516">
        <v>0</v>
      </c>
      <c r="FZ28" s="516">
        <v>0</v>
      </c>
      <c r="GA28" s="516">
        <v>0</v>
      </c>
      <c r="GB28" s="516">
        <v>2</v>
      </c>
      <c r="GC28" s="516">
        <v>0</v>
      </c>
      <c r="GD28" s="516">
        <v>0</v>
      </c>
      <c r="GE28" s="516">
        <v>0</v>
      </c>
      <c r="GF28" s="516">
        <v>0</v>
      </c>
      <c r="GG28" s="517">
        <v>2</v>
      </c>
      <c r="GH28" s="619"/>
      <c r="GI28" s="518"/>
    </row>
    <row r="29" spans="3:191">
      <c r="D29" s="4800" t="s">
        <v>1235</v>
      </c>
      <c r="E29" s="4606">
        <v>0</v>
      </c>
      <c r="F29" s="4606">
        <v>0</v>
      </c>
      <c r="G29" s="4606"/>
      <c r="H29" s="4606"/>
      <c r="I29" s="4606"/>
      <c r="J29" s="4606">
        <v>0</v>
      </c>
      <c r="K29" s="4606">
        <v>3</v>
      </c>
      <c r="L29" s="4606">
        <v>5</v>
      </c>
      <c r="M29" s="4606">
        <v>0</v>
      </c>
      <c r="N29" s="2552"/>
      <c r="O29" s="2552">
        <v>0</v>
      </c>
      <c r="P29" s="2552">
        <v>8</v>
      </c>
      <c r="Q29" s="2552"/>
      <c r="R29" s="2552"/>
      <c r="V29" s="37" t="s">
        <v>1239</v>
      </c>
      <c r="W29" s="4803">
        <v>0</v>
      </c>
      <c r="X29" s="4803"/>
      <c r="Y29" s="4803"/>
      <c r="Z29" s="4803"/>
      <c r="AA29" s="4803">
        <v>0</v>
      </c>
      <c r="AB29" s="4803">
        <v>0</v>
      </c>
      <c r="AC29" s="4803">
        <v>12</v>
      </c>
      <c r="AD29" s="4803"/>
      <c r="AE29" s="1788">
        <v>1</v>
      </c>
      <c r="AF29" s="1788">
        <v>13</v>
      </c>
      <c r="AI29" s="41"/>
      <c r="AJ29" s="41"/>
      <c r="AK29" s="41"/>
      <c r="AL29" s="461" t="s">
        <v>15</v>
      </c>
      <c r="AM29" s="2002"/>
      <c r="AN29" s="2002"/>
      <c r="AO29" s="2002"/>
      <c r="AP29" s="2002"/>
      <c r="AQ29" s="2002"/>
      <c r="AR29" s="2002"/>
      <c r="AS29" s="2002">
        <v>2</v>
      </c>
      <c r="AT29" s="2002">
        <v>5</v>
      </c>
      <c r="AU29" s="2480"/>
      <c r="AV29" s="2480">
        <v>1</v>
      </c>
      <c r="AW29" s="2480">
        <v>8</v>
      </c>
      <c r="AX29" s="635">
        <f>+(AW28+AW26)/AW29</f>
        <v>0.25</v>
      </c>
      <c r="AY29" s="1977"/>
      <c r="AZ29" s="42"/>
      <c r="BA29" s="42"/>
      <c r="BB29" s="42"/>
      <c r="BC29" s="42" t="s">
        <v>1231</v>
      </c>
      <c r="BD29" s="1993"/>
      <c r="BE29" s="1993"/>
      <c r="BF29" s="1993">
        <v>1</v>
      </c>
      <c r="BG29" s="1993">
        <v>1</v>
      </c>
      <c r="BH29" s="1993"/>
      <c r="BI29" s="1993"/>
      <c r="BJ29" s="1993">
        <v>0</v>
      </c>
      <c r="BK29" s="1993">
        <v>3</v>
      </c>
      <c r="BL29" s="1993">
        <v>0</v>
      </c>
      <c r="BM29" s="70"/>
      <c r="BN29" s="70"/>
      <c r="BO29" s="70">
        <v>5</v>
      </c>
      <c r="BR29" s="105"/>
      <c r="BS29" s="105"/>
      <c r="BT29" s="41"/>
      <c r="BU29" s="41" t="s">
        <v>1231</v>
      </c>
      <c r="BV29" s="1659"/>
      <c r="BW29" s="1659"/>
      <c r="BX29" s="1659"/>
      <c r="BY29" s="1659"/>
      <c r="BZ29" s="1659">
        <v>0</v>
      </c>
      <c r="CA29" s="1659"/>
      <c r="CB29" s="1659"/>
      <c r="CC29" s="1659">
        <v>1</v>
      </c>
      <c r="CD29" s="1659">
        <v>0</v>
      </c>
      <c r="CE29" s="105"/>
      <c r="CF29" s="105"/>
      <c r="CG29" s="105">
        <v>1</v>
      </c>
      <c r="CH29" s="105"/>
      <c r="CJ29" s="1359"/>
      <c r="CK29" s="1359"/>
      <c r="CL29" s="1360"/>
      <c r="CM29" s="1361" t="s">
        <v>1236</v>
      </c>
      <c r="CN29" s="1362"/>
      <c r="CO29" s="1362"/>
      <c r="CP29" s="1362"/>
      <c r="CQ29" s="1363">
        <v>1</v>
      </c>
      <c r="CR29" s="1362"/>
      <c r="CS29" s="1362"/>
      <c r="CT29" s="1362"/>
      <c r="CU29" s="1363">
        <v>0</v>
      </c>
      <c r="CV29" s="686"/>
      <c r="CW29" s="686"/>
      <c r="CX29" s="687">
        <v>1</v>
      </c>
      <c r="CY29" s="41"/>
      <c r="DA29" s="602"/>
      <c r="DB29" s="602"/>
      <c r="DC29" s="603"/>
      <c r="DD29" s="630" t="s">
        <v>15</v>
      </c>
      <c r="DE29" s="631"/>
      <c r="DF29" s="631"/>
      <c r="DG29" s="631"/>
      <c r="DH29" s="631"/>
      <c r="DI29" s="631"/>
      <c r="DJ29" s="631"/>
      <c r="DK29" s="632">
        <v>1</v>
      </c>
      <c r="DL29" s="632">
        <v>3</v>
      </c>
      <c r="DM29" s="633"/>
      <c r="DN29" s="633"/>
      <c r="DO29" s="634">
        <v>4</v>
      </c>
      <c r="DP29" s="635">
        <f>+DO28/DO29</f>
        <v>0.25</v>
      </c>
      <c r="DR29" s="608"/>
      <c r="DS29" s="608"/>
      <c r="DT29" s="608"/>
      <c r="DU29" s="620" t="s">
        <v>15</v>
      </c>
      <c r="DV29" s="621"/>
      <c r="DW29" s="621"/>
      <c r="DX29" s="621"/>
      <c r="DY29" s="621"/>
      <c r="DZ29" s="621"/>
      <c r="EA29" s="621"/>
      <c r="EB29" s="622">
        <v>13</v>
      </c>
      <c r="EC29" s="621"/>
      <c r="ED29" s="621"/>
      <c r="EE29" s="623"/>
      <c r="EF29" s="623"/>
      <c r="EG29" s="624">
        <v>13</v>
      </c>
      <c r="EH29" s="614">
        <v>0</v>
      </c>
      <c r="EJ29" s="615"/>
      <c r="FA29" s="70"/>
      <c r="FB29" s="70"/>
      <c r="FC29" s="42"/>
      <c r="FD29" s="42" t="s">
        <v>1235</v>
      </c>
      <c r="FE29" s="70"/>
      <c r="FF29" s="70">
        <v>0</v>
      </c>
      <c r="FG29" s="70"/>
      <c r="FH29" s="70">
        <v>0</v>
      </c>
      <c r="FI29" s="70"/>
      <c r="FJ29" s="70">
        <v>8</v>
      </c>
      <c r="FK29" s="70"/>
      <c r="FL29" s="70"/>
      <c r="FM29" s="70"/>
      <c r="FN29" s="70"/>
      <c r="FO29" s="70">
        <v>8</v>
      </c>
      <c r="FP29" s="42"/>
      <c r="FQ29" s="42"/>
      <c r="FR29" s="516"/>
      <c r="FS29" s="516"/>
      <c r="FT29" s="516"/>
      <c r="FU29" s="516" t="s">
        <v>1344</v>
      </c>
      <c r="FV29" s="516">
        <v>0</v>
      </c>
      <c r="FW29" s="516">
        <v>0</v>
      </c>
      <c r="FX29" s="516">
        <v>0</v>
      </c>
      <c r="FY29" s="516">
        <v>0</v>
      </c>
      <c r="FZ29" s="516">
        <v>0</v>
      </c>
      <c r="GA29" s="516">
        <v>0</v>
      </c>
      <c r="GB29" s="516">
        <v>9</v>
      </c>
      <c r="GC29" s="516">
        <v>0</v>
      </c>
      <c r="GD29" s="516">
        <v>0</v>
      </c>
      <c r="GE29" s="516">
        <v>0</v>
      </c>
      <c r="GF29" s="516">
        <v>0</v>
      </c>
      <c r="GG29" s="517">
        <v>9</v>
      </c>
      <c r="GH29" s="619"/>
      <c r="GI29" s="518"/>
    </row>
    <row r="30" spans="3:191">
      <c r="D30" s="4800" t="s">
        <v>1239</v>
      </c>
      <c r="E30" s="4606">
        <v>0</v>
      </c>
      <c r="F30" s="4606">
        <v>0</v>
      </c>
      <c r="G30" s="4606"/>
      <c r="H30" s="4606"/>
      <c r="I30" s="4606"/>
      <c r="J30" s="4606">
        <v>0</v>
      </c>
      <c r="K30" s="4606">
        <v>0</v>
      </c>
      <c r="L30" s="4606">
        <v>4</v>
      </c>
      <c r="M30" s="4606">
        <v>6</v>
      </c>
      <c r="N30" s="2552"/>
      <c r="O30" s="2552">
        <v>1</v>
      </c>
      <c r="P30" s="2552">
        <v>11</v>
      </c>
      <c r="Q30" s="2552"/>
      <c r="R30" s="2552"/>
      <c r="V30" s="1793" t="s">
        <v>15</v>
      </c>
      <c r="W30" s="4804">
        <v>1</v>
      </c>
      <c r="X30" s="4804"/>
      <c r="Y30" s="4804"/>
      <c r="Z30" s="4804"/>
      <c r="AA30" s="4804">
        <v>1</v>
      </c>
      <c r="AB30" s="4804">
        <v>7</v>
      </c>
      <c r="AC30" s="4804">
        <v>18</v>
      </c>
      <c r="AD30" s="4804"/>
      <c r="AE30" s="4702">
        <v>1</v>
      </c>
      <c r="AF30" s="4702">
        <v>28</v>
      </c>
      <c r="AG30" s="4703">
        <f>+AF28/AF30</f>
        <v>0.10714285714285714</v>
      </c>
      <c r="AI30" s="41"/>
      <c r="AJ30" s="41"/>
      <c r="AK30" s="41" t="s">
        <v>2537</v>
      </c>
      <c r="AL30" s="41" t="s">
        <v>1230</v>
      </c>
      <c r="AM30" s="2001">
        <v>0</v>
      </c>
      <c r="AN30" s="2001"/>
      <c r="AO30" s="2001"/>
      <c r="AP30" s="2001"/>
      <c r="AQ30" s="2001"/>
      <c r="AR30" s="2001">
        <v>0</v>
      </c>
      <c r="AS30" s="2001">
        <v>0</v>
      </c>
      <c r="AT30" s="2001">
        <v>1</v>
      </c>
      <c r="AU30" s="105">
        <v>0</v>
      </c>
      <c r="AV30" s="105">
        <v>0</v>
      </c>
      <c r="AW30" s="105">
        <v>1</v>
      </c>
      <c r="AX30" s="41"/>
      <c r="AZ30" s="42"/>
      <c r="BA30" s="42"/>
      <c r="BB30" s="42"/>
      <c r="BC30" s="42" t="s">
        <v>1235</v>
      </c>
      <c r="BD30" s="1993"/>
      <c r="BE30" s="1993"/>
      <c r="BF30" s="1993">
        <v>0</v>
      </c>
      <c r="BG30" s="1993">
        <v>0</v>
      </c>
      <c r="BH30" s="1993"/>
      <c r="BI30" s="1993"/>
      <c r="BJ30" s="1993">
        <v>1</v>
      </c>
      <c r="BK30" s="1993">
        <v>0</v>
      </c>
      <c r="BL30" s="1993">
        <v>0</v>
      </c>
      <c r="BM30" s="70"/>
      <c r="BN30" s="70"/>
      <c r="BO30" s="70">
        <v>1</v>
      </c>
      <c r="BR30" s="105"/>
      <c r="BS30" s="105"/>
      <c r="BT30" s="41"/>
      <c r="BU30" s="41" t="s">
        <v>1236</v>
      </c>
      <c r="BV30" s="1659"/>
      <c r="BW30" s="1659"/>
      <c r="BX30" s="1659"/>
      <c r="BY30" s="1659"/>
      <c r="BZ30" s="1659">
        <v>1</v>
      </c>
      <c r="CA30" s="1659"/>
      <c r="CB30" s="1659"/>
      <c r="CC30" s="1659">
        <v>0</v>
      </c>
      <c r="CD30" s="1659">
        <v>0</v>
      </c>
      <c r="CE30" s="105"/>
      <c r="CF30" s="105"/>
      <c r="CG30" s="105">
        <v>1</v>
      </c>
      <c r="CH30" s="105"/>
      <c r="CJ30" s="1359"/>
      <c r="CK30" s="1359"/>
      <c r="CL30" s="1360"/>
      <c r="CM30" s="483" t="s">
        <v>15</v>
      </c>
      <c r="CN30" s="1364"/>
      <c r="CO30" s="1364"/>
      <c r="CP30" s="1364"/>
      <c r="CQ30" s="1365">
        <v>1</v>
      </c>
      <c r="CR30" s="1364"/>
      <c r="CS30" s="1364"/>
      <c r="CT30" s="1364"/>
      <c r="CU30" s="1365">
        <v>3</v>
      </c>
      <c r="CV30" s="695"/>
      <c r="CW30" s="695"/>
      <c r="CX30" s="696">
        <v>4</v>
      </c>
      <c r="CY30" s="1325">
        <v>0</v>
      </c>
      <c r="DA30" s="602"/>
      <c r="DB30" s="602"/>
      <c r="DC30" s="603" t="s">
        <v>544</v>
      </c>
      <c r="DD30" s="604" t="s">
        <v>1230</v>
      </c>
      <c r="DE30" s="606">
        <v>0</v>
      </c>
      <c r="DF30" s="606">
        <v>0</v>
      </c>
      <c r="DG30" s="605"/>
      <c r="DH30" s="605"/>
      <c r="DI30" s="606">
        <v>0</v>
      </c>
      <c r="DJ30" s="606">
        <v>0</v>
      </c>
      <c r="DK30" s="606">
        <v>1</v>
      </c>
      <c r="DL30" s="606">
        <v>5</v>
      </c>
      <c r="DM30" s="602"/>
      <c r="DN30" s="602"/>
      <c r="DO30" s="607">
        <v>6</v>
      </c>
      <c r="DP30" s="105"/>
      <c r="DR30" s="608"/>
      <c r="DS30" s="608"/>
      <c r="DT30" s="608" t="s">
        <v>242</v>
      </c>
      <c r="DU30" s="609" t="s">
        <v>1230</v>
      </c>
      <c r="DV30" s="610"/>
      <c r="DW30" s="610"/>
      <c r="DX30" s="610"/>
      <c r="DY30" s="611">
        <v>1</v>
      </c>
      <c r="DZ30" s="610"/>
      <c r="EA30" s="610"/>
      <c r="EB30" s="611">
        <v>0</v>
      </c>
      <c r="EC30" s="610"/>
      <c r="ED30" s="610"/>
      <c r="EE30" s="612"/>
      <c r="EF30" s="612"/>
      <c r="EG30" s="613">
        <v>1</v>
      </c>
      <c r="EH30" s="614"/>
      <c r="EJ30" s="615"/>
      <c r="FA30" s="70"/>
      <c r="FB30" s="70"/>
      <c r="FC30" s="42"/>
      <c r="FD30" s="42" t="s">
        <v>1240</v>
      </c>
      <c r="FE30" s="70"/>
      <c r="FF30" s="70">
        <v>0</v>
      </c>
      <c r="FG30" s="70"/>
      <c r="FH30" s="70">
        <v>0</v>
      </c>
      <c r="FI30" s="70"/>
      <c r="FJ30" s="70">
        <v>2</v>
      </c>
      <c r="FK30" s="70"/>
      <c r="FL30" s="70"/>
      <c r="FM30" s="70"/>
      <c r="FN30" s="70"/>
      <c r="FO30" s="70">
        <v>2</v>
      </c>
      <c r="FP30" s="42"/>
      <c r="FQ30" s="42"/>
      <c r="FR30" s="516"/>
      <c r="FS30" s="516"/>
      <c r="FT30" s="516"/>
      <c r="FU30" s="519" t="s">
        <v>15</v>
      </c>
      <c r="FV30" s="519">
        <v>0</v>
      </c>
      <c r="FW30" s="519">
        <v>0</v>
      </c>
      <c r="FX30" s="519">
        <v>1</v>
      </c>
      <c r="FY30" s="519">
        <v>0</v>
      </c>
      <c r="FZ30" s="519">
        <v>2</v>
      </c>
      <c r="GA30" s="519">
        <v>0</v>
      </c>
      <c r="GB30" s="519">
        <v>13</v>
      </c>
      <c r="GC30" s="519">
        <v>0</v>
      </c>
      <c r="GD30" s="519">
        <v>0</v>
      </c>
      <c r="GE30" s="519">
        <v>0</v>
      </c>
      <c r="GF30" s="519">
        <v>0</v>
      </c>
      <c r="GG30" s="579">
        <v>16</v>
      </c>
      <c r="GH30" s="629">
        <f>+(GG29+GG28)/GG30</f>
        <v>0.6875</v>
      </c>
      <c r="GI30" s="518">
        <f>+GG28+GG29</f>
        <v>11</v>
      </c>
    </row>
    <row r="31" spans="3:191">
      <c r="D31" s="4800" t="s">
        <v>1240</v>
      </c>
      <c r="E31" s="4606">
        <v>0</v>
      </c>
      <c r="F31" s="4606">
        <v>0</v>
      </c>
      <c r="G31" s="4606"/>
      <c r="H31" s="4606"/>
      <c r="I31" s="4606"/>
      <c r="J31" s="4606">
        <v>0</v>
      </c>
      <c r="K31" s="4606">
        <v>1</v>
      </c>
      <c r="L31" s="4606">
        <v>1</v>
      </c>
      <c r="M31" s="4606">
        <v>0</v>
      </c>
      <c r="N31" s="2552"/>
      <c r="O31" s="2552">
        <v>0</v>
      </c>
      <c r="P31" s="2552">
        <v>2</v>
      </c>
      <c r="Q31" s="2552"/>
      <c r="R31" s="2552"/>
      <c r="U31" s="1793" t="s">
        <v>544</v>
      </c>
      <c r="V31" s="1793" t="s">
        <v>1230</v>
      </c>
      <c r="W31" s="4804">
        <v>0</v>
      </c>
      <c r="X31" s="4804">
        <v>0</v>
      </c>
      <c r="Y31" s="4804">
        <v>0</v>
      </c>
      <c r="Z31" s="4804">
        <v>0</v>
      </c>
      <c r="AA31" s="4804">
        <v>0</v>
      </c>
      <c r="AB31" s="4804">
        <v>0</v>
      </c>
      <c r="AC31" s="4804">
        <v>6</v>
      </c>
      <c r="AD31" s="4804">
        <v>0</v>
      </c>
      <c r="AE31" s="4702">
        <v>0</v>
      </c>
      <c r="AF31" s="4702">
        <v>6</v>
      </c>
      <c r="AG31" s="1793"/>
      <c r="AI31" s="41"/>
      <c r="AJ31" s="41"/>
      <c r="AK31" s="41"/>
      <c r="AL31" s="41" t="s">
        <v>1231</v>
      </c>
      <c r="AM31" s="2001">
        <v>1</v>
      </c>
      <c r="AN31" s="2001"/>
      <c r="AO31" s="2001"/>
      <c r="AP31" s="2001"/>
      <c r="AQ31" s="2001"/>
      <c r="AR31" s="2001">
        <v>4</v>
      </c>
      <c r="AS31" s="2001">
        <v>3</v>
      </c>
      <c r="AT31" s="2001">
        <v>0</v>
      </c>
      <c r="AU31" s="105">
        <v>0</v>
      </c>
      <c r="AV31" s="105">
        <v>0</v>
      </c>
      <c r="AW31" s="105">
        <v>8</v>
      </c>
      <c r="AX31" s="41"/>
      <c r="AZ31" s="42"/>
      <c r="BA31" s="42"/>
      <c r="BB31" s="42"/>
      <c r="BC31" s="42" t="s">
        <v>1239</v>
      </c>
      <c r="BD31" s="1993"/>
      <c r="BE31" s="1993"/>
      <c r="BF31" s="1993">
        <v>0</v>
      </c>
      <c r="BG31" s="1993">
        <v>0</v>
      </c>
      <c r="BH31" s="1993"/>
      <c r="BI31" s="1993"/>
      <c r="BJ31" s="1993">
        <v>0</v>
      </c>
      <c r="BK31" s="1993">
        <v>0</v>
      </c>
      <c r="BL31" s="1993">
        <v>10</v>
      </c>
      <c r="BM31" s="70"/>
      <c r="BN31" s="70"/>
      <c r="BO31" s="70">
        <v>10</v>
      </c>
      <c r="BR31" s="105"/>
      <c r="BS31" s="105"/>
      <c r="BT31" s="41"/>
      <c r="BU31" s="461" t="s">
        <v>15</v>
      </c>
      <c r="BV31" s="1660"/>
      <c r="BW31" s="1660"/>
      <c r="BX31" s="1660"/>
      <c r="BY31" s="1660"/>
      <c r="BZ31" s="1660">
        <v>1</v>
      </c>
      <c r="CA31" s="1660"/>
      <c r="CB31" s="1660"/>
      <c r="CC31" s="1660">
        <v>1</v>
      </c>
      <c r="CD31" s="1660">
        <v>1</v>
      </c>
      <c r="CE31" s="96"/>
      <c r="CF31" s="96"/>
      <c r="CG31" s="96">
        <v>3</v>
      </c>
      <c r="CH31" s="635">
        <v>0</v>
      </c>
      <c r="CJ31" s="1359"/>
      <c r="CK31" s="1359"/>
      <c r="CL31" s="1360" t="s">
        <v>544</v>
      </c>
      <c r="CM31" s="1361" t="s">
        <v>1230</v>
      </c>
      <c r="CN31" s="1363">
        <v>0</v>
      </c>
      <c r="CO31" s="1363">
        <v>0</v>
      </c>
      <c r="CP31" s="1363">
        <v>0</v>
      </c>
      <c r="CQ31" s="1363">
        <v>0</v>
      </c>
      <c r="CR31" s="1363">
        <v>0</v>
      </c>
      <c r="CS31" s="1363">
        <v>2</v>
      </c>
      <c r="CT31" s="1363">
        <v>1</v>
      </c>
      <c r="CU31" s="1363">
        <v>4</v>
      </c>
      <c r="CV31" s="686"/>
      <c r="CW31" s="687">
        <v>0</v>
      </c>
      <c r="CX31" s="687">
        <v>7</v>
      </c>
      <c r="CY31" s="41"/>
      <c r="DA31" s="602"/>
      <c r="DB31" s="602"/>
      <c r="DC31" s="603"/>
      <c r="DD31" s="604" t="s">
        <v>1231</v>
      </c>
      <c r="DE31" s="606">
        <v>1</v>
      </c>
      <c r="DF31" s="606">
        <v>0</v>
      </c>
      <c r="DG31" s="605"/>
      <c r="DH31" s="605"/>
      <c r="DI31" s="606">
        <v>1</v>
      </c>
      <c r="DJ31" s="606">
        <v>0</v>
      </c>
      <c r="DK31" s="606">
        <v>9</v>
      </c>
      <c r="DL31" s="606">
        <v>0</v>
      </c>
      <c r="DM31" s="602"/>
      <c r="DN31" s="602"/>
      <c r="DO31" s="607">
        <v>11</v>
      </c>
      <c r="DP31" s="105"/>
      <c r="DR31" s="608"/>
      <c r="DS31" s="608"/>
      <c r="DT31" s="608"/>
      <c r="DU31" s="609" t="s">
        <v>1231</v>
      </c>
      <c r="DV31" s="610"/>
      <c r="DW31" s="610"/>
      <c r="DX31" s="610"/>
      <c r="DY31" s="611">
        <v>0</v>
      </c>
      <c r="DZ31" s="610"/>
      <c r="EA31" s="610"/>
      <c r="EB31" s="611">
        <v>9</v>
      </c>
      <c r="EC31" s="610"/>
      <c r="ED31" s="610"/>
      <c r="EE31" s="612"/>
      <c r="EF31" s="612"/>
      <c r="EG31" s="613">
        <v>9</v>
      </c>
      <c r="EH31" s="614"/>
      <c r="EJ31" s="615"/>
      <c r="FA31" s="70"/>
      <c r="FB31" s="70"/>
      <c r="FC31" s="42"/>
      <c r="FD31" s="484" t="s">
        <v>15</v>
      </c>
      <c r="FE31" s="454"/>
      <c r="FF31" s="454">
        <v>2</v>
      </c>
      <c r="FG31" s="454"/>
      <c r="FH31" s="454">
        <v>1</v>
      </c>
      <c r="FI31" s="454"/>
      <c r="FJ31" s="454">
        <v>15</v>
      </c>
      <c r="FK31" s="454"/>
      <c r="FL31" s="454"/>
      <c r="FM31" s="454"/>
      <c r="FN31" s="454"/>
      <c r="FO31" s="454">
        <v>18</v>
      </c>
      <c r="FP31" s="536">
        <f>+(FO29+FO30)/FO31</f>
        <v>0.55555555555555558</v>
      </c>
      <c r="FQ31" s="42"/>
      <c r="FR31" s="516"/>
      <c r="FS31" s="516"/>
      <c r="FT31" s="516" t="s">
        <v>119</v>
      </c>
      <c r="FU31" s="516" t="s">
        <v>1230</v>
      </c>
      <c r="FV31" s="516">
        <v>0</v>
      </c>
      <c r="FW31" s="516">
        <v>0</v>
      </c>
      <c r="FX31" s="516">
        <v>0</v>
      </c>
      <c r="FY31" s="516">
        <v>0</v>
      </c>
      <c r="FZ31" s="516">
        <v>0</v>
      </c>
      <c r="GA31" s="516">
        <v>0</v>
      </c>
      <c r="GB31" s="516">
        <v>1</v>
      </c>
      <c r="GC31" s="516">
        <v>0</v>
      </c>
      <c r="GD31" s="516">
        <v>0</v>
      </c>
      <c r="GE31" s="516">
        <v>0</v>
      </c>
      <c r="GF31" s="516">
        <v>0</v>
      </c>
      <c r="GG31" s="517">
        <v>1</v>
      </c>
      <c r="GH31" s="619"/>
      <c r="GI31" s="518"/>
    </row>
    <row r="32" spans="3:191">
      <c r="D32" s="4800" t="s">
        <v>2963</v>
      </c>
      <c r="E32" s="4606">
        <v>4</v>
      </c>
      <c r="F32" s="4606">
        <v>0</v>
      </c>
      <c r="G32" s="4606"/>
      <c r="H32" s="4606"/>
      <c r="I32" s="4606"/>
      <c r="J32" s="4606">
        <v>0</v>
      </c>
      <c r="K32" s="4606">
        <v>0</v>
      </c>
      <c r="L32" s="4606">
        <v>0</v>
      </c>
      <c r="M32" s="4606">
        <v>0</v>
      </c>
      <c r="N32" s="2552"/>
      <c r="O32" s="2552">
        <v>0</v>
      </c>
      <c r="P32" s="2552">
        <v>4</v>
      </c>
      <c r="Q32" s="2552"/>
      <c r="R32" s="2552"/>
      <c r="U32" s="1793"/>
      <c r="V32" s="1793" t="s">
        <v>1231</v>
      </c>
      <c r="W32" s="4804">
        <v>3</v>
      </c>
      <c r="X32" s="4804">
        <v>0</v>
      </c>
      <c r="Y32" s="4804">
        <v>1</v>
      </c>
      <c r="Z32" s="4804">
        <v>0</v>
      </c>
      <c r="AA32" s="4804">
        <v>2</v>
      </c>
      <c r="AB32" s="4804">
        <v>24</v>
      </c>
      <c r="AC32" s="4804">
        <v>1</v>
      </c>
      <c r="AD32" s="4804">
        <v>1</v>
      </c>
      <c r="AE32" s="4702">
        <v>0</v>
      </c>
      <c r="AF32" s="4702">
        <v>32</v>
      </c>
      <c r="AG32" s="1793"/>
      <c r="AI32" s="41"/>
      <c r="AJ32" s="41"/>
      <c r="AK32" s="41"/>
      <c r="AL32" s="41" t="s">
        <v>1235</v>
      </c>
      <c r="AM32" s="2001">
        <v>0</v>
      </c>
      <c r="AN32" s="2001"/>
      <c r="AO32" s="2001"/>
      <c r="AP32" s="2001"/>
      <c r="AQ32" s="2001"/>
      <c r="AR32" s="2001">
        <v>1</v>
      </c>
      <c r="AS32" s="2001">
        <v>2</v>
      </c>
      <c r="AT32" s="2001">
        <v>1</v>
      </c>
      <c r="AU32" s="105">
        <v>0</v>
      </c>
      <c r="AV32" s="105">
        <v>0</v>
      </c>
      <c r="AW32" s="105">
        <v>4</v>
      </c>
      <c r="AX32" s="41"/>
      <c r="AZ32" s="42"/>
      <c r="BA32" s="42"/>
      <c r="BB32" s="42"/>
      <c r="BC32" s="42" t="s">
        <v>1240</v>
      </c>
      <c r="BD32" s="1993"/>
      <c r="BE32" s="1993"/>
      <c r="BF32" s="1993">
        <v>0</v>
      </c>
      <c r="BG32" s="1993">
        <v>0</v>
      </c>
      <c r="BH32" s="1993"/>
      <c r="BI32" s="1993"/>
      <c r="BJ32" s="1993">
        <v>1</v>
      </c>
      <c r="BK32" s="1993">
        <v>1</v>
      </c>
      <c r="BL32" s="1993">
        <v>4</v>
      </c>
      <c r="BM32" s="70"/>
      <c r="BN32" s="70"/>
      <c r="BO32" s="70">
        <v>6</v>
      </c>
      <c r="BR32" s="105"/>
      <c r="BS32" s="105"/>
      <c r="BT32" s="41" t="s">
        <v>544</v>
      </c>
      <c r="BU32" s="41" t="s">
        <v>1230</v>
      </c>
      <c r="BV32" s="1659">
        <v>0</v>
      </c>
      <c r="BW32" s="1659">
        <v>0</v>
      </c>
      <c r="BX32" s="1659">
        <v>0</v>
      </c>
      <c r="BY32" s="1659"/>
      <c r="BZ32" s="1659">
        <v>0</v>
      </c>
      <c r="CA32" s="1659">
        <v>1</v>
      </c>
      <c r="CB32" s="1659">
        <v>0</v>
      </c>
      <c r="CC32" s="1659">
        <v>0</v>
      </c>
      <c r="CD32" s="1659">
        <v>4</v>
      </c>
      <c r="CE32" s="105">
        <v>0</v>
      </c>
      <c r="CF32" s="105">
        <v>0</v>
      </c>
      <c r="CG32" s="105">
        <v>5</v>
      </c>
      <c r="CH32" s="105"/>
      <c r="CJ32" s="1359"/>
      <c r="CK32" s="1359"/>
      <c r="CL32" s="1360"/>
      <c r="CM32" s="1361" t="s">
        <v>1231</v>
      </c>
      <c r="CN32" s="1363">
        <v>1</v>
      </c>
      <c r="CO32" s="1363">
        <v>1</v>
      </c>
      <c r="CP32" s="1363">
        <v>1</v>
      </c>
      <c r="CQ32" s="1363">
        <v>0</v>
      </c>
      <c r="CR32" s="1363">
        <v>2</v>
      </c>
      <c r="CS32" s="1363">
        <v>11</v>
      </c>
      <c r="CT32" s="1363">
        <v>5</v>
      </c>
      <c r="CU32" s="1363">
        <v>0</v>
      </c>
      <c r="CV32" s="686"/>
      <c r="CW32" s="687">
        <v>0</v>
      </c>
      <c r="CX32" s="687">
        <v>21</v>
      </c>
      <c r="CY32" s="41"/>
      <c r="DA32" s="602"/>
      <c r="DB32" s="602"/>
      <c r="DC32" s="603"/>
      <c r="DD32" s="604" t="s">
        <v>1233</v>
      </c>
      <c r="DE32" s="606">
        <v>1</v>
      </c>
      <c r="DF32" s="606">
        <v>1</v>
      </c>
      <c r="DG32" s="605"/>
      <c r="DH32" s="605"/>
      <c r="DI32" s="606">
        <v>0</v>
      </c>
      <c r="DJ32" s="606">
        <v>0</v>
      </c>
      <c r="DK32" s="606">
        <v>0</v>
      </c>
      <c r="DL32" s="606">
        <v>0</v>
      </c>
      <c r="DM32" s="602"/>
      <c r="DN32" s="602"/>
      <c r="DO32" s="607">
        <v>2</v>
      </c>
      <c r="DP32" s="105"/>
      <c r="DR32" s="608"/>
      <c r="DS32" s="608"/>
      <c r="DT32" s="608"/>
      <c r="DU32" s="609" t="s">
        <v>1235</v>
      </c>
      <c r="DV32" s="610"/>
      <c r="DW32" s="610"/>
      <c r="DX32" s="610"/>
      <c r="DY32" s="611">
        <v>0</v>
      </c>
      <c r="DZ32" s="610"/>
      <c r="EA32" s="610"/>
      <c r="EB32" s="611">
        <v>6</v>
      </c>
      <c r="EC32" s="610"/>
      <c r="ED32" s="610"/>
      <c r="EE32" s="612"/>
      <c r="EF32" s="612"/>
      <c r="EG32" s="613">
        <v>6</v>
      </c>
      <c r="EH32" s="614"/>
      <c r="EJ32" s="615"/>
      <c r="FA32" s="70"/>
      <c r="FB32" s="70"/>
      <c r="FC32" s="42" t="s">
        <v>118</v>
      </c>
      <c r="FD32" s="42" t="s">
        <v>1231</v>
      </c>
      <c r="FE32" s="70">
        <v>1</v>
      </c>
      <c r="FF32" s="70"/>
      <c r="FG32" s="70"/>
      <c r="FH32" s="70"/>
      <c r="FI32" s="70"/>
      <c r="FJ32" s="70">
        <v>6</v>
      </c>
      <c r="FK32" s="70">
        <v>2</v>
      </c>
      <c r="FL32" s="70"/>
      <c r="FM32" s="70"/>
      <c r="FN32" s="70"/>
      <c r="FO32" s="70">
        <v>9</v>
      </c>
      <c r="FP32" s="42"/>
      <c r="FQ32" s="42"/>
      <c r="FR32" s="516"/>
      <c r="FS32" s="516"/>
      <c r="FT32" s="516"/>
      <c r="FU32" s="516" t="s">
        <v>1231</v>
      </c>
      <c r="FV32" s="516">
        <v>1</v>
      </c>
      <c r="FW32" s="516">
        <v>0</v>
      </c>
      <c r="FX32" s="516">
        <v>0</v>
      </c>
      <c r="FY32" s="516">
        <v>0</v>
      </c>
      <c r="FZ32" s="516">
        <v>0</v>
      </c>
      <c r="GA32" s="516">
        <v>0</v>
      </c>
      <c r="GB32" s="516">
        <v>0</v>
      </c>
      <c r="GC32" s="516">
        <v>0</v>
      </c>
      <c r="GD32" s="516">
        <v>0</v>
      </c>
      <c r="GE32" s="516">
        <v>0</v>
      </c>
      <c r="GF32" s="516">
        <v>0</v>
      </c>
      <c r="GG32" s="517">
        <v>1</v>
      </c>
      <c r="GH32" s="619"/>
      <c r="GI32" s="518"/>
    </row>
    <row r="33" spans="2:191">
      <c r="D33" s="32" t="s">
        <v>15</v>
      </c>
      <c r="E33" s="4607">
        <v>4</v>
      </c>
      <c r="F33" s="4607">
        <v>1</v>
      </c>
      <c r="G33" s="4607"/>
      <c r="H33" s="4607"/>
      <c r="I33" s="4607"/>
      <c r="J33" s="4607">
        <v>1</v>
      </c>
      <c r="K33" s="4607">
        <v>7</v>
      </c>
      <c r="L33" s="4607">
        <v>12</v>
      </c>
      <c r="M33" s="4607">
        <v>6</v>
      </c>
      <c r="N33" s="4583"/>
      <c r="O33" s="4583">
        <v>1</v>
      </c>
      <c r="P33" s="4583">
        <v>32</v>
      </c>
      <c r="Q33" s="1977">
        <f>+(P29+P31)/(P33-P32)</f>
        <v>0.35714285714285715</v>
      </c>
      <c r="R33" s="1977"/>
      <c r="U33" s="1793"/>
      <c r="V33" s="1793" t="s">
        <v>1233</v>
      </c>
      <c r="W33" s="4804">
        <v>1</v>
      </c>
      <c r="X33" s="4804">
        <v>1</v>
      </c>
      <c r="Y33" s="4804">
        <v>0</v>
      </c>
      <c r="Z33" s="4804">
        <v>0</v>
      </c>
      <c r="AA33" s="4804">
        <v>0</v>
      </c>
      <c r="AB33" s="4804">
        <v>0</v>
      </c>
      <c r="AC33" s="4804">
        <v>0</v>
      </c>
      <c r="AD33" s="4804">
        <v>0</v>
      </c>
      <c r="AE33" s="4702">
        <v>0</v>
      </c>
      <c r="AF33" s="4702">
        <v>2</v>
      </c>
      <c r="AG33" s="1793"/>
      <c r="AI33" s="41"/>
      <c r="AJ33" s="41"/>
      <c r="AK33" s="41"/>
      <c r="AL33" s="41" t="s">
        <v>1239</v>
      </c>
      <c r="AM33" s="2001">
        <v>0</v>
      </c>
      <c r="AN33" s="2001"/>
      <c r="AO33" s="2001"/>
      <c r="AP33" s="2001"/>
      <c r="AQ33" s="2001"/>
      <c r="AR33" s="2001">
        <v>0</v>
      </c>
      <c r="AS33" s="2001">
        <v>0</v>
      </c>
      <c r="AT33" s="2001">
        <v>2</v>
      </c>
      <c r="AU33" s="105">
        <v>1</v>
      </c>
      <c r="AV33" s="105">
        <v>1</v>
      </c>
      <c r="AW33" s="105">
        <v>4</v>
      </c>
      <c r="AX33" s="41"/>
      <c r="AZ33" s="42"/>
      <c r="BA33" s="42"/>
      <c r="BB33" s="42"/>
      <c r="BC33" s="42" t="s">
        <v>1344</v>
      </c>
      <c r="BD33" s="1993"/>
      <c r="BE33" s="1993"/>
      <c r="BF33" s="1993">
        <v>0</v>
      </c>
      <c r="BG33" s="1993">
        <v>0</v>
      </c>
      <c r="BH33" s="1993"/>
      <c r="BI33" s="1993"/>
      <c r="BJ33" s="1993">
        <v>0</v>
      </c>
      <c r="BK33" s="1993">
        <v>1</v>
      </c>
      <c r="BL33" s="1993">
        <v>0</v>
      </c>
      <c r="BM33" s="70"/>
      <c r="BN33" s="70"/>
      <c r="BO33" s="70">
        <v>1</v>
      </c>
      <c r="BR33" s="105"/>
      <c r="BS33" s="105"/>
      <c r="BT33" s="41"/>
      <c r="BU33" s="41" t="s">
        <v>1231</v>
      </c>
      <c r="BV33" s="1659">
        <v>0</v>
      </c>
      <c r="BW33" s="1659">
        <v>1</v>
      </c>
      <c r="BX33" s="1659">
        <v>1</v>
      </c>
      <c r="BY33" s="1659"/>
      <c r="BZ33" s="1659">
        <v>0</v>
      </c>
      <c r="CA33" s="1659">
        <v>1</v>
      </c>
      <c r="CB33" s="1659">
        <v>10</v>
      </c>
      <c r="CC33" s="1659">
        <v>17</v>
      </c>
      <c r="CD33" s="1659">
        <v>1</v>
      </c>
      <c r="CE33" s="105">
        <v>1</v>
      </c>
      <c r="CF33" s="105">
        <v>0</v>
      </c>
      <c r="CG33" s="105">
        <v>32</v>
      </c>
      <c r="CH33" s="105"/>
      <c r="CJ33" s="1359"/>
      <c r="CK33" s="1359"/>
      <c r="CL33" s="1360"/>
      <c r="CM33" s="1361" t="s">
        <v>1233</v>
      </c>
      <c r="CN33" s="1363">
        <v>0</v>
      </c>
      <c r="CO33" s="1363">
        <v>0</v>
      </c>
      <c r="CP33" s="1363">
        <v>1</v>
      </c>
      <c r="CQ33" s="1363">
        <v>0</v>
      </c>
      <c r="CR33" s="1363">
        <v>0</v>
      </c>
      <c r="CS33" s="1363">
        <v>0</v>
      </c>
      <c r="CT33" s="1363">
        <v>0</v>
      </c>
      <c r="CU33" s="1363">
        <v>0</v>
      </c>
      <c r="CV33" s="686"/>
      <c r="CW33" s="687">
        <v>0</v>
      </c>
      <c r="CX33" s="687">
        <v>1</v>
      </c>
      <c r="CY33" s="41"/>
      <c r="DA33" s="602"/>
      <c r="DB33" s="602"/>
      <c r="DC33" s="603"/>
      <c r="DD33" s="604" t="s">
        <v>1235</v>
      </c>
      <c r="DE33" s="606">
        <v>0</v>
      </c>
      <c r="DF33" s="606">
        <v>0</v>
      </c>
      <c r="DG33" s="605"/>
      <c r="DH33" s="605"/>
      <c r="DI33" s="606">
        <v>1</v>
      </c>
      <c r="DJ33" s="606">
        <v>0</v>
      </c>
      <c r="DK33" s="606">
        <v>2</v>
      </c>
      <c r="DL33" s="606">
        <v>1</v>
      </c>
      <c r="DM33" s="602"/>
      <c r="DN33" s="602"/>
      <c r="DO33" s="607">
        <v>4</v>
      </c>
      <c r="DP33" s="105"/>
      <c r="DR33" s="608"/>
      <c r="DS33" s="608"/>
      <c r="DT33" s="608"/>
      <c r="DU33" s="609" t="s">
        <v>1240</v>
      </c>
      <c r="DV33" s="610"/>
      <c r="DW33" s="610"/>
      <c r="DX33" s="610"/>
      <c r="DY33" s="611">
        <v>0</v>
      </c>
      <c r="DZ33" s="610"/>
      <c r="EA33" s="610"/>
      <c r="EB33" s="611">
        <v>2</v>
      </c>
      <c r="EC33" s="610"/>
      <c r="ED33" s="610"/>
      <c r="EE33" s="612"/>
      <c r="EF33" s="612"/>
      <c r="EG33" s="613">
        <v>2</v>
      </c>
      <c r="EH33" s="614"/>
      <c r="FA33" s="70"/>
      <c r="FB33" s="70"/>
      <c r="FC33" s="42"/>
      <c r="FD33" s="42" t="s">
        <v>1240</v>
      </c>
      <c r="FE33" s="70">
        <v>0</v>
      </c>
      <c r="FF33" s="70"/>
      <c r="FG33" s="70"/>
      <c r="FH33" s="70"/>
      <c r="FI33" s="70"/>
      <c r="FJ33" s="70">
        <v>5</v>
      </c>
      <c r="FK33" s="70">
        <v>0</v>
      </c>
      <c r="FL33" s="70"/>
      <c r="FM33" s="70"/>
      <c r="FN33" s="70"/>
      <c r="FO33" s="70">
        <v>5</v>
      </c>
      <c r="FP33" s="42"/>
      <c r="FQ33" s="42"/>
      <c r="FR33" s="516"/>
      <c r="FS33" s="516"/>
      <c r="FT33" s="516"/>
      <c r="FU33" s="519" t="s">
        <v>15</v>
      </c>
      <c r="FV33" s="519">
        <v>1</v>
      </c>
      <c r="FW33" s="519">
        <v>0</v>
      </c>
      <c r="FX33" s="519">
        <v>0</v>
      </c>
      <c r="FY33" s="519">
        <v>0</v>
      </c>
      <c r="FZ33" s="519">
        <v>0</v>
      </c>
      <c r="GA33" s="519">
        <v>0</v>
      </c>
      <c r="GB33" s="519">
        <v>1</v>
      </c>
      <c r="GC33" s="519">
        <v>0</v>
      </c>
      <c r="GD33" s="519">
        <v>0</v>
      </c>
      <c r="GE33" s="519">
        <v>0</v>
      </c>
      <c r="GF33" s="519">
        <v>0</v>
      </c>
      <c r="GG33" s="579">
        <v>2</v>
      </c>
      <c r="GH33" s="629">
        <f>0/GG33</f>
        <v>0</v>
      </c>
      <c r="GI33" s="518">
        <v>0</v>
      </c>
    </row>
    <row r="34" spans="2:191">
      <c r="C34" s="32" t="s">
        <v>544</v>
      </c>
      <c r="D34" s="32" t="s">
        <v>1230</v>
      </c>
      <c r="E34" s="4607">
        <v>0</v>
      </c>
      <c r="F34" s="4607">
        <v>0</v>
      </c>
      <c r="G34" s="4607">
        <v>0</v>
      </c>
      <c r="H34" s="4607">
        <v>0</v>
      </c>
      <c r="I34" s="4607">
        <v>0</v>
      </c>
      <c r="J34" s="4607">
        <v>0</v>
      </c>
      <c r="K34" s="4607">
        <v>0</v>
      </c>
      <c r="L34" s="4607">
        <v>0</v>
      </c>
      <c r="M34" s="4607">
        <v>5</v>
      </c>
      <c r="N34" s="4583"/>
      <c r="O34" s="4583">
        <v>0</v>
      </c>
      <c r="P34" s="4583">
        <v>5</v>
      </c>
      <c r="Q34" s="2552"/>
      <c r="R34" s="2552"/>
      <c r="U34" s="1793"/>
      <c r="V34" s="1793" t="s">
        <v>1235</v>
      </c>
      <c r="W34" s="4804">
        <v>0</v>
      </c>
      <c r="X34" s="4804">
        <v>0</v>
      </c>
      <c r="Y34" s="4804">
        <v>0</v>
      </c>
      <c r="Z34" s="4804">
        <v>0</v>
      </c>
      <c r="AA34" s="4804">
        <v>0</v>
      </c>
      <c r="AB34" s="4804">
        <v>0</v>
      </c>
      <c r="AC34" s="4804">
        <v>5</v>
      </c>
      <c r="AD34" s="4804">
        <v>0</v>
      </c>
      <c r="AE34" s="4702">
        <v>0</v>
      </c>
      <c r="AF34" s="4702">
        <v>5</v>
      </c>
      <c r="AG34" s="1793"/>
      <c r="AI34" s="41"/>
      <c r="AJ34" s="41"/>
      <c r="AK34" s="41"/>
      <c r="AL34" s="41" t="s">
        <v>1240</v>
      </c>
      <c r="AM34" s="2001">
        <v>0</v>
      </c>
      <c r="AN34" s="2001"/>
      <c r="AO34" s="2001"/>
      <c r="AP34" s="2001"/>
      <c r="AQ34" s="2001"/>
      <c r="AR34" s="2001">
        <v>2</v>
      </c>
      <c r="AS34" s="2001">
        <v>5</v>
      </c>
      <c r="AT34" s="2001">
        <v>4</v>
      </c>
      <c r="AU34" s="105">
        <v>0</v>
      </c>
      <c r="AV34" s="105">
        <v>0</v>
      </c>
      <c r="AW34" s="105">
        <v>11</v>
      </c>
      <c r="AX34" s="41"/>
      <c r="AZ34" s="42"/>
      <c r="BA34" s="42"/>
      <c r="BB34" s="42"/>
      <c r="BC34" s="484" t="s">
        <v>15</v>
      </c>
      <c r="BD34" s="1994"/>
      <c r="BE34" s="1994"/>
      <c r="BF34" s="1994">
        <v>1</v>
      </c>
      <c r="BG34" s="1994">
        <v>1</v>
      </c>
      <c r="BH34" s="1994"/>
      <c r="BI34" s="1994"/>
      <c r="BJ34" s="1994">
        <v>2</v>
      </c>
      <c r="BK34" s="1994">
        <v>5</v>
      </c>
      <c r="BL34" s="1994">
        <v>15</v>
      </c>
      <c r="BM34" s="454"/>
      <c r="BN34" s="454"/>
      <c r="BO34" s="454">
        <v>24</v>
      </c>
      <c r="BP34" s="2485">
        <f>+(BO30+BO32+BO33)/BO34</f>
        <v>0.33333333333333331</v>
      </c>
      <c r="BR34" s="105"/>
      <c r="BS34" s="105"/>
      <c r="BT34" s="41"/>
      <c r="BU34" s="41" t="s">
        <v>1233</v>
      </c>
      <c r="BV34" s="1659">
        <v>0</v>
      </c>
      <c r="BW34" s="1659">
        <v>1</v>
      </c>
      <c r="BX34" s="1659">
        <v>0</v>
      </c>
      <c r="BY34" s="1659"/>
      <c r="BZ34" s="1659">
        <v>0</v>
      </c>
      <c r="CA34" s="1659">
        <v>0</v>
      </c>
      <c r="CB34" s="1659">
        <v>0</v>
      </c>
      <c r="CC34" s="1659">
        <v>0</v>
      </c>
      <c r="CD34" s="1659">
        <v>0</v>
      </c>
      <c r="CE34" s="105">
        <v>0</v>
      </c>
      <c r="CF34" s="105">
        <v>0</v>
      </c>
      <c r="CG34" s="105">
        <v>1</v>
      </c>
      <c r="CH34" s="105"/>
      <c r="CJ34" s="1359"/>
      <c r="CK34" s="1359"/>
      <c r="CL34" s="1360"/>
      <c r="CM34" s="1361" t="s">
        <v>1235</v>
      </c>
      <c r="CN34" s="1363">
        <v>0</v>
      </c>
      <c r="CO34" s="1363">
        <v>0</v>
      </c>
      <c r="CP34" s="1363">
        <v>0</v>
      </c>
      <c r="CQ34" s="1363">
        <v>0</v>
      </c>
      <c r="CR34" s="1363">
        <v>1</v>
      </c>
      <c r="CS34" s="1363">
        <v>0</v>
      </c>
      <c r="CT34" s="1363">
        <v>2</v>
      </c>
      <c r="CU34" s="1363">
        <v>0</v>
      </c>
      <c r="CV34" s="686"/>
      <c r="CW34" s="687">
        <v>0</v>
      </c>
      <c r="CX34" s="687">
        <v>3</v>
      </c>
      <c r="CY34" s="41"/>
      <c r="DA34" s="602"/>
      <c r="DB34" s="602"/>
      <c r="DC34" s="603"/>
      <c r="DD34" s="604" t="s">
        <v>1236</v>
      </c>
      <c r="DE34" s="606">
        <v>0</v>
      </c>
      <c r="DF34" s="606">
        <v>0</v>
      </c>
      <c r="DG34" s="605"/>
      <c r="DH34" s="605"/>
      <c r="DI34" s="606">
        <v>0</v>
      </c>
      <c r="DJ34" s="606">
        <v>0</v>
      </c>
      <c r="DK34" s="606">
        <v>1</v>
      </c>
      <c r="DL34" s="606">
        <v>0</v>
      </c>
      <c r="DM34" s="602"/>
      <c r="DN34" s="602"/>
      <c r="DO34" s="607">
        <v>1</v>
      </c>
      <c r="DP34" s="105"/>
      <c r="DR34" s="608"/>
      <c r="DS34" s="608"/>
      <c r="DT34" s="608"/>
      <c r="DU34" s="609" t="s">
        <v>1344</v>
      </c>
      <c r="DV34" s="610"/>
      <c r="DW34" s="610"/>
      <c r="DX34" s="610"/>
      <c r="DY34" s="611">
        <v>0</v>
      </c>
      <c r="DZ34" s="610"/>
      <c r="EA34" s="610"/>
      <c r="EB34" s="611">
        <v>7</v>
      </c>
      <c r="EC34" s="610"/>
      <c r="ED34" s="610"/>
      <c r="EE34" s="612"/>
      <c r="EF34" s="612"/>
      <c r="EG34" s="613">
        <v>7</v>
      </c>
      <c r="EH34" s="614"/>
      <c r="FA34" s="70"/>
      <c r="FB34" s="70"/>
      <c r="FC34" s="42"/>
      <c r="FD34" s="484" t="s">
        <v>15</v>
      </c>
      <c r="FE34" s="454">
        <v>1</v>
      </c>
      <c r="FF34" s="454"/>
      <c r="FG34" s="454"/>
      <c r="FH34" s="454"/>
      <c r="FI34" s="454"/>
      <c r="FJ34" s="454">
        <v>11</v>
      </c>
      <c r="FK34" s="454">
        <v>2</v>
      </c>
      <c r="FL34" s="454"/>
      <c r="FM34" s="454"/>
      <c r="FN34" s="454"/>
      <c r="FO34" s="454">
        <v>14</v>
      </c>
      <c r="FP34" s="536">
        <f>+FO33/FO34</f>
        <v>0.35714285714285715</v>
      </c>
      <c r="FQ34" s="42"/>
      <c r="FR34" s="516"/>
      <c r="FS34" s="516" t="s">
        <v>104</v>
      </c>
      <c r="FT34" s="516" t="s">
        <v>105</v>
      </c>
      <c r="FU34" s="516" t="s">
        <v>1230</v>
      </c>
      <c r="FV34" s="516">
        <v>0</v>
      </c>
      <c r="FW34" s="516">
        <v>0</v>
      </c>
      <c r="FX34" s="516">
        <v>0</v>
      </c>
      <c r="FY34" s="516">
        <v>0</v>
      </c>
      <c r="FZ34" s="516">
        <v>0</v>
      </c>
      <c r="GA34" s="516">
        <v>0</v>
      </c>
      <c r="GB34" s="516">
        <v>1</v>
      </c>
      <c r="GC34" s="516">
        <v>0</v>
      </c>
      <c r="GD34" s="516">
        <v>0</v>
      </c>
      <c r="GE34" s="516">
        <v>0</v>
      </c>
      <c r="GF34" s="516">
        <v>0</v>
      </c>
      <c r="GG34" s="517">
        <v>1</v>
      </c>
      <c r="GH34" s="619"/>
      <c r="GI34" s="518"/>
    </row>
    <row r="35" spans="2:191">
      <c r="C35" s="32"/>
      <c r="D35" s="32" t="s">
        <v>1231</v>
      </c>
      <c r="E35" s="4607">
        <v>0</v>
      </c>
      <c r="F35" s="4607">
        <v>3</v>
      </c>
      <c r="G35" s="4607">
        <v>0</v>
      </c>
      <c r="H35" s="4607">
        <v>1</v>
      </c>
      <c r="I35" s="4607">
        <v>0</v>
      </c>
      <c r="J35" s="4607">
        <v>2</v>
      </c>
      <c r="K35" s="4607">
        <v>18</v>
      </c>
      <c r="L35" s="4607">
        <v>3</v>
      </c>
      <c r="M35" s="4607">
        <v>1</v>
      </c>
      <c r="N35" s="4583"/>
      <c r="O35" s="4583">
        <v>0</v>
      </c>
      <c r="P35" s="4583">
        <v>28</v>
      </c>
      <c r="Q35" s="2552"/>
      <c r="R35" s="2552"/>
      <c r="U35" s="1793"/>
      <c r="V35" s="1793" t="s">
        <v>1236</v>
      </c>
      <c r="W35" s="4804">
        <v>0</v>
      </c>
      <c r="X35" s="4804">
        <v>0</v>
      </c>
      <c r="Y35" s="4804">
        <v>0</v>
      </c>
      <c r="Z35" s="4804">
        <v>2</v>
      </c>
      <c r="AA35" s="4804">
        <v>0</v>
      </c>
      <c r="AB35" s="4804">
        <v>0</v>
      </c>
      <c r="AC35" s="4804">
        <v>0</v>
      </c>
      <c r="AD35" s="4804">
        <v>0</v>
      </c>
      <c r="AE35" s="4702">
        <v>0</v>
      </c>
      <c r="AF35" s="4702">
        <v>2</v>
      </c>
      <c r="AG35" s="1793"/>
      <c r="AI35" s="41"/>
      <c r="AJ35" s="41"/>
      <c r="AK35" s="41"/>
      <c r="AL35" s="41" t="s">
        <v>1344</v>
      </c>
      <c r="AM35" s="2001">
        <v>0</v>
      </c>
      <c r="AN35" s="2001"/>
      <c r="AO35" s="2001"/>
      <c r="AP35" s="2001"/>
      <c r="AQ35" s="2001"/>
      <c r="AR35" s="2001">
        <v>0</v>
      </c>
      <c r="AS35" s="2001">
        <v>3</v>
      </c>
      <c r="AT35" s="2001">
        <v>1</v>
      </c>
      <c r="AU35" s="105">
        <v>0</v>
      </c>
      <c r="AV35" s="105">
        <v>0</v>
      </c>
      <c r="AW35" s="105">
        <v>4</v>
      </c>
      <c r="AX35" s="41"/>
      <c r="AZ35" s="42"/>
      <c r="BA35" s="42"/>
      <c r="BB35" s="42" t="s">
        <v>544</v>
      </c>
      <c r="BC35" s="42" t="s">
        <v>1230</v>
      </c>
      <c r="BD35" s="1993"/>
      <c r="BE35" s="1993">
        <v>0</v>
      </c>
      <c r="BF35" s="1993">
        <v>0</v>
      </c>
      <c r="BG35" s="1993">
        <v>0</v>
      </c>
      <c r="BH35" s="1993">
        <v>0</v>
      </c>
      <c r="BI35" s="1993">
        <v>0</v>
      </c>
      <c r="BJ35" s="1993">
        <v>0</v>
      </c>
      <c r="BK35" s="1993">
        <v>1</v>
      </c>
      <c r="BL35" s="1993">
        <v>3</v>
      </c>
      <c r="BM35" s="70"/>
      <c r="BN35" s="70">
        <v>1</v>
      </c>
      <c r="BO35" s="70">
        <v>5</v>
      </c>
      <c r="BR35" s="105"/>
      <c r="BS35" s="105"/>
      <c r="BT35" s="41"/>
      <c r="BU35" s="41" t="s">
        <v>1235</v>
      </c>
      <c r="BV35" s="1659">
        <v>0</v>
      </c>
      <c r="BW35" s="1659">
        <v>0</v>
      </c>
      <c r="BX35" s="1659">
        <v>0</v>
      </c>
      <c r="BY35" s="1659"/>
      <c r="BZ35" s="1659">
        <v>0</v>
      </c>
      <c r="CA35" s="1659">
        <v>0</v>
      </c>
      <c r="CB35" s="1659">
        <v>2</v>
      </c>
      <c r="CC35" s="1659">
        <v>0</v>
      </c>
      <c r="CD35" s="1659">
        <v>1</v>
      </c>
      <c r="CE35" s="105">
        <v>1</v>
      </c>
      <c r="CF35" s="105">
        <v>0</v>
      </c>
      <c r="CG35" s="105">
        <v>4</v>
      </c>
      <c r="CH35" s="105"/>
      <c r="CJ35" s="1359"/>
      <c r="CK35" s="1359"/>
      <c r="CL35" s="1360"/>
      <c r="CM35" s="1361" t="s">
        <v>1236</v>
      </c>
      <c r="CN35" s="1363">
        <v>0</v>
      </c>
      <c r="CO35" s="1363">
        <v>0</v>
      </c>
      <c r="CP35" s="1363">
        <v>0</v>
      </c>
      <c r="CQ35" s="1363">
        <v>3</v>
      </c>
      <c r="CR35" s="1363">
        <v>0</v>
      </c>
      <c r="CS35" s="1363">
        <v>0</v>
      </c>
      <c r="CT35" s="1363">
        <v>0</v>
      </c>
      <c r="CU35" s="1363">
        <v>0</v>
      </c>
      <c r="CV35" s="686"/>
      <c r="CW35" s="687">
        <v>0</v>
      </c>
      <c r="CX35" s="687">
        <v>3</v>
      </c>
      <c r="CY35" s="41"/>
      <c r="DA35" s="602"/>
      <c r="DB35" s="602"/>
      <c r="DC35" s="603"/>
      <c r="DD35" s="604" t="s">
        <v>1239</v>
      </c>
      <c r="DE35" s="606">
        <v>0</v>
      </c>
      <c r="DF35" s="606">
        <v>0</v>
      </c>
      <c r="DG35" s="605"/>
      <c r="DH35" s="605"/>
      <c r="DI35" s="606">
        <v>0</v>
      </c>
      <c r="DJ35" s="606">
        <v>0</v>
      </c>
      <c r="DK35" s="606">
        <v>1</v>
      </c>
      <c r="DL35" s="606">
        <v>6</v>
      </c>
      <c r="DM35" s="602"/>
      <c r="DN35" s="602"/>
      <c r="DO35" s="607">
        <v>7</v>
      </c>
      <c r="DP35" s="105"/>
      <c r="DR35" s="608"/>
      <c r="DS35" s="608"/>
      <c r="DT35" s="608"/>
      <c r="DU35" s="620" t="s">
        <v>15</v>
      </c>
      <c r="DV35" s="621"/>
      <c r="DW35" s="621"/>
      <c r="DX35" s="621"/>
      <c r="DY35" s="622">
        <v>1</v>
      </c>
      <c r="DZ35" s="621"/>
      <c r="EA35" s="621"/>
      <c r="EB35" s="622">
        <v>24</v>
      </c>
      <c r="EC35" s="621"/>
      <c r="ED35" s="621"/>
      <c r="EE35" s="623"/>
      <c r="EF35" s="623"/>
      <c r="EG35" s="624">
        <v>25</v>
      </c>
      <c r="EH35" s="614">
        <f>+(EG34+EG33+EG32)/EG35</f>
        <v>0.6</v>
      </c>
      <c r="FA35" s="70"/>
      <c r="FB35" s="70"/>
      <c r="FC35" s="42" t="s">
        <v>119</v>
      </c>
      <c r="FD35" s="42" t="s">
        <v>1230</v>
      </c>
      <c r="FE35" s="70"/>
      <c r="FF35" s="70"/>
      <c r="FG35" s="70"/>
      <c r="FH35" s="70"/>
      <c r="FI35" s="70"/>
      <c r="FJ35" s="70">
        <v>0</v>
      </c>
      <c r="FK35" s="70">
        <v>0</v>
      </c>
      <c r="FL35" s="70">
        <v>1</v>
      </c>
      <c r="FM35" s="70"/>
      <c r="FN35" s="70"/>
      <c r="FO35" s="70">
        <v>1</v>
      </c>
      <c r="FP35" s="42"/>
      <c r="FQ35" s="42"/>
      <c r="FR35" s="516"/>
      <c r="FS35" s="516"/>
      <c r="FT35" s="516"/>
      <c r="FU35" s="516" t="s">
        <v>1231</v>
      </c>
      <c r="FV35" s="516">
        <v>0</v>
      </c>
      <c r="FW35" s="516">
        <v>0</v>
      </c>
      <c r="FX35" s="516">
        <v>0</v>
      </c>
      <c r="FY35" s="516">
        <v>1</v>
      </c>
      <c r="FZ35" s="516">
        <v>1</v>
      </c>
      <c r="GA35" s="516">
        <v>0</v>
      </c>
      <c r="GB35" s="516">
        <v>0</v>
      </c>
      <c r="GC35" s="516">
        <v>0</v>
      </c>
      <c r="GD35" s="516">
        <v>0</v>
      </c>
      <c r="GE35" s="516">
        <v>0</v>
      </c>
      <c r="GF35" s="516">
        <v>0</v>
      </c>
      <c r="GG35" s="517">
        <v>2</v>
      </c>
      <c r="GH35" s="619"/>
      <c r="GI35" s="518"/>
    </row>
    <row r="36" spans="2:191">
      <c r="C36" s="32"/>
      <c r="D36" s="32" t="s">
        <v>1233</v>
      </c>
      <c r="E36" s="4607">
        <v>0</v>
      </c>
      <c r="F36" s="4607">
        <v>1</v>
      </c>
      <c r="G36" s="4607">
        <v>1</v>
      </c>
      <c r="H36" s="4607">
        <v>0</v>
      </c>
      <c r="I36" s="4607">
        <v>0</v>
      </c>
      <c r="J36" s="4607">
        <v>0</v>
      </c>
      <c r="K36" s="4607">
        <v>0</v>
      </c>
      <c r="L36" s="4607">
        <v>0</v>
      </c>
      <c r="M36" s="4607">
        <v>0</v>
      </c>
      <c r="N36" s="4583"/>
      <c r="O36" s="4583">
        <v>0</v>
      </c>
      <c r="P36" s="4583">
        <v>2</v>
      </c>
      <c r="Q36" s="2552"/>
      <c r="R36" s="2552"/>
      <c r="U36" s="1793"/>
      <c r="V36" s="1793" t="s">
        <v>1239</v>
      </c>
      <c r="W36" s="4804">
        <v>0</v>
      </c>
      <c r="X36" s="4804">
        <v>0</v>
      </c>
      <c r="Y36" s="4804">
        <v>0</v>
      </c>
      <c r="Z36" s="4804">
        <v>0</v>
      </c>
      <c r="AA36" s="4804">
        <v>0</v>
      </c>
      <c r="AB36" s="4804">
        <v>0</v>
      </c>
      <c r="AC36" s="4804">
        <v>18</v>
      </c>
      <c r="AD36" s="4804">
        <v>0</v>
      </c>
      <c r="AE36" s="4702">
        <v>2</v>
      </c>
      <c r="AF36" s="4702">
        <v>20</v>
      </c>
      <c r="AG36" s="1793"/>
      <c r="AI36" s="41"/>
      <c r="AJ36" s="41"/>
      <c r="AK36" s="41"/>
      <c r="AL36" s="461" t="s">
        <v>15</v>
      </c>
      <c r="AM36" s="2002">
        <v>1</v>
      </c>
      <c r="AN36" s="2002"/>
      <c r="AO36" s="2002"/>
      <c r="AP36" s="2002"/>
      <c r="AQ36" s="2002"/>
      <c r="AR36" s="2002">
        <v>7</v>
      </c>
      <c r="AS36" s="2002">
        <v>13</v>
      </c>
      <c r="AT36" s="2002">
        <v>9</v>
      </c>
      <c r="AU36" s="2480">
        <v>1</v>
      </c>
      <c r="AV36" s="2480">
        <v>1</v>
      </c>
      <c r="AW36" s="2480">
        <v>32</v>
      </c>
      <c r="AX36" s="635">
        <f>+(AW35+AW34+AW32)/AW36</f>
        <v>0.59375</v>
      </c>
      <c r="AY36" s="1977"/>
      <c r="AZ36" s="42"/>
      <c r="BA36" s="42"/>
      <c r="BB36" s="42"/>
      <c r="BC36" s="42" t="s">
        <v>1231</v>
      </c>
      <c r="BD36" s="1993"/>
      <c r="BE36" s="1993">
        <v>4</v>
      </c>
      <c r="BF36" s="1993">
        <v>2</v>
      </c>
      <c r="BG36" s="1993">
        <v>2</v>
      </c>
      <c r="BH36" s="1993">
        <v>1</v>
      </c>
      <c r="BI36" s="1993">
        <v>0</v>
      </c>
      <c r="BJ36" s="1993">
        <v>6</v>
      </c>
      <c r="BK36" s="1993">
        <v>6</v>
      </c>
      <c r="BL36" s="1993">
        <v>0</v>
      </c>
      <c r="BM36" s="70"/>
      <c r="BN36" s="70">
        <v>0</v>
      </c>
      <c r="BO36" s="70">
        <v>21</v>
      </c>
      <c r="BR36" s="105"/>
      <c r="BS36" s="105"/>
      <c r="BT36" s="41"/>
      <c r="BU36" s="41" t="s">
        <v>1236</v>
      </c>
      <c r="BV36" s="1659">
        <v>0</v>
      </c>
      <c r="BW36" s="1659">
        <v>0</v>
      </c>
      <c r="BX36" s="1659">
        <v>0</v>
      </c>
      <c r="BY36" s="1659"/>
      <c r="BZ36" s="1659">
        <v>1</v>
      </c>
      <c r="CA36" s="1659">
        <v>0</v>
      </c>
      <c r="CB36" s="1659">
        <v>0</v>
      </c>
      <c r="CC36" s="1659">
        <v>0</v>
      </c>
      <c r="CD36" s="1659">
        <v>0</v>
      </c>
      <c r="CE36" s="105">
        <v>0</v>
      </c>
      <c r="CF36" s="105">
        <v>0</v>
      </c>
      <c r="CG36" s="105">
        <v>1</v>
      </c>
      <c r="CH36" s="105"/>
      <c r="CJ36" s="1359"/>
      <c r="CK36" s="1359"/>
      <c r="CL36" s="1360"/>
      <c r="CM36" s="1361" t="s">
        <v>1239</v>
      </c>
      <c r="CN36" s="1363">
        <v>0</v>
      </c>
      <c r="CO36" s="1363">
        <v>0</v>
      </c>
      <c r="CP36" s="1363">
        <v>0</v>
      </c>
      <c r="CQ36" s="1363">
        <v>0</v>
      </c>
      <c r="CR36" s="1363">
        <v>0</v>
      </c>
      <c r="CS36" s="1363">
        <v>0</v>
      </c>
      <c r="CT36" s="1363">
        <v>1</v>
      </c>
      <c r="CU36" s="1363">
        <v>10</v>
      </c>
      <c r="CV36" s="686"/>
      <c r="CW36" s="687">
        <v>2</v>
      </c>
      <c r="CX36" s="687">
        <v>13</v>
      </c>
      <c r="CY36" s="41"/>
      <c r="DA36" s="602"/>
      <c r="DB36" s="602"/>
      <c r="DC36" s="603"/>
      <c r="DD36" s="604" t="s">
        <v>1240</v>
      </c>
      <c r="DE36" s="606">
        <v>0</v>
      </c>
      <c r="DF36" s="606">
        <v>0</v>
      </c>
      <c r="DG36" s="605"/>
      <c r="DH36" s="605"/>
      <c r="DI36" s="606">
        <v>2</v>
      </c>
      <c r="DJ36" s="606">
        <v>1</v>
      </c>
      <c r="DK36" s="606">
        <v>1</v>
      </c>
      <c r="DL36" s="606">
        <v>1</v>
      </c>
      <c r="DM36" s="602"/>
      <c r="DN36" s="602"/>
      <c r="DO36" s="607">
        <v>5</v>
      </c>
      <c r="DP36" s="105"/>
      <c r="DR36" s="608"/>
      <c r="DS36" s="608"/>
      <c r="DT36" s="608" t="s">
        <v>119</v>
      </c>
      <c r="DU36" s="609" t="s">
        <v>1230</v>
      </c>
      <c r="DV36" s="610"/>
      <c r="DW36" s="611">
        <v>0</v>
      </c>
      <c r="DX36" s="610"/>
      <c r="DY36" s="610"/>
      <c r="DZ36" s="610"/>
      <c r="EA36" s="610"/>
      <c r="EB36" s="610"/>
      <c r="EC36" s="611">
        <v>0</v>
      </c>
      <c r="ED36" s="611">
        <v>1</v>
      </c>
      <c r="EE36" s="612"/>
      <c r="EF36" s="612"/>
      <c r="EG36" s="613">
        <v>1</v>
      </c>
      <c r="EH36" s="614"/>
      <c r="FA36" s="70"/>
      <c r="FB36" s="70"/>
      <c r="FC36" s="42"/>
      <c r="FD36" s="42" t="s">
        <v>1231</v>
      </c>
      <c r="FE36" s="70"/>
      <c r="FF36" s="70"/>
      <c r="FG36" s="70"/>
      <c r="FH36" s="70"/>
      <c r="FI36" s="70"/>
      <c r="FJ36" s="70">
        <v>7</v>
      </c>
      <c r="FK36" s="70">
        <v>0</v>
      </c>
      <c r="FL36" s="70">
        <v>0</v>
      </c>
      <c r="FM36" s="70"/>
      <c r="FN36" s="70"/>
      <c r="FO36" s="70">
        <v>7</v>
      </c>
      <c r="FP36" s="42"/>
      <c r="FQ36" s="42"/>
      <c r="FR36" s="516"/>
      <c r="FS36" s="516"/>
      <c r="FT36" s="516"/>
      <c r="FU36" s="516" t="s">
        <v>1235</v>
      </c>
      <c r="FV36" s="516">
        <v>0</v>
      </c>
      <c r="FW36" s="516">
        <v>0</v>
      </c>
      <c r="FX36" s="516">
        <v>0</v>
      </c>
      <c r="FY36" s="516">
        <v>1</v>
      </c>
      <c r="FZ36" s="516">
        <v>0</v>
      </c>
      <c r="GA36" s="516">
        <v>0</v>
      </c>
      <c r="GB36" s="516">
        <v>0</v>
      </c>
      <c r="GC36" s="516">
        <v>0</v>
      </c>
      <c r="GD36" s="516">
        <v>0</v>
      </c>
      <c r="GE36" s="516">
        <v>0</v>
      </c>
      <c r="GF36" s="516">
        <v>0</v>
      </c>
      <c r="GG36" s="517">
        <v>1</v>
      </c>
      <c r="GH36" s="619"/>
      <c r="GI36" s="518"/>
    </row>
    <row r="37" spans="2:191">
      <c r="C37" s="32"/>
      <c r="D37" s="32" t="s">
        <v>1235</v>
      </c>
      <c r="E37" s="4607">
        <v>0</v>
      </c>
      <c r="F37" s="4607">
        <v>0</v>
      </c>
      <c r="G37" s="4607">
        <v>0</v>
      </c>
      <c r="H37" s="4607">
        <v>0</v>
      </c>
      <c r="I37" s="4607">
        <v>0</v>
      </c>
      <c r="J37" s="4607">
        <v>0</v>
      </c>
      <c r="K37" s="4607">
        <v>5</v>
      </c>
      <c r="L37" s="4607">
        <v>6</v>
      </c>
      <c r="M37" s="4607">
        <v>0</v>
      </c>
      <c r="N37" s="4583"/>
      <c r="O37" s="4583">
        <v>0</v>
      </c>
      <c r="P37" s="4583">
        <v>11</v>
      </c>
      <c r="Q37" s="2552"/>
      <c r="R37" s="2552"/>
      <c r="U37" s="1793"/>
      <c r="V37" s="1793" t="s">
        <v>1240</v>
      </c>
      <c r="W37" s="4804">
        <v>0</v>
      </c>
      <c r="X37" s="4804">
        <v>0</v>
      </c>
      <c r="Y37" s="4804">
        <v>0</v>
      </c>
      <c r="Z37" s="4804">
        <v>0</v>
      </c>
      <c r="AA37" s="4804">
        <v>0</v>
      </c>
      <c r="AB37" s="4804">
        <v>0</v>
      </c>
      <c r="AC37" s="4804">
        <v>2</v>
      </c>
      <c r="AD37" s="4804">
        <v>1</v>
      </c>
      <c r="AE37" s="4702">
        <v>0</v>
      </c>
      <c r="AF37" s="4702">
        <v>3</v>
      </c>
      <c r="AG37" s="1793"/>
      <c r="AI37" s="41"/>
      <c r="AJ37" s="41"/>
      <c r="AK37" s="461" t="s">
        <v>544</v>
      </c>
      <c r="AL37" s="461" t="s">
        <v>1230</v>
      </c>
      <c r="AM37" s="2002">
        <v>0</v>
      </c>
      <c r="AN37" s="2002"/>
      <c r="AO37" s="2002">
        <v>0</v>
      </c>
      <c r="AP37" s="2002">
        <v>0</v>
      </c>
      <c r="AQ37" s="2002">
        <v>0</v>
      </c>
      <c r="AR37" s="2002">
        <v>1</v>
      </c>
      <c r="AS37" s="2002">
        <v>0</v>
      </c>
      <c r="AT37" s="2002">
        <v>4</v>
      </c>
      <c r="AU37" s="2480">
        <v>0</v>
      </c>
      <c r="AV37" s="2480">
        <v>0</v>
      </c>
      <c r="AW37" s="2480">
        <v>5</v>
      </c>
      <c r="AX37" s="41"/>
      <c r="AZ37" s="42"/>
      <c r="BA37" s="42"/>
      <c r="BB37" s="42"/>
      <c r="BC37" s="42" t="s">
        <v>1235</v>
      </c>
      <c r="BD37" s="1993"/>
      <c r="BE37" s="1993">
        <v>0</v>
      </c>
      <c r="BF37" s="1993">
        <v>0</v>
      </c>
      <c r="BG37" s="1993">
        <v>0</v>
      </c>
      <c r="BH37" s="1993">
        <v>0</v>
      </c>
      <c r="BI37" s="1993">
        <v>1</v>
      </c>
      <c r="BJ37" s="1993">
        <v>3</v>
      </c>
      <c r="BK37" s="1993">
        <v>0</v>
      </c>
      <c r="BL37" s="1993">
        <v>1</v>
      </c>
      <c r="BM37" s="70"/>
      <c r="BN37" s="70">
        <v>0</v>
      </c>
      <c r="BO37" s="70">
        <v>5</v>
      </c>
      <c r="BR37" s="105"/>
      <c r="BS37" s="105"/>
      <c r="BT37" s="41"/>
      <c r="BU37" s="41" t="s">
        <v>1239</v>
      </c>
      <c r="BV37" s="1659">
        <v>0</v>
      </c>
      <c r="BW37" s="1659">
        <v>0</v>
      </c>
      <c r="BX37" s="1659">
        <v>0</v>
      </c>
      <c r="BY37" s="1659"/>
      <c r="BZ37" s="1659">
        <v>0</v>
      </c>
      <c r="CA37" s="1659">
        <v>0</v>
      </c>
      <c r="CB37" s="1659">
        <v>0</v>
      </c>
      <c r="CC37" s="1659">
        <v>1</v>
      </c>
      <c r="CD37" s="1659">
        <v>11</v>
      </c>
      <c r="CE37" s="105">
        <v>0</v>
      </c>
      <c r="CF37" s="105">
        <v>1</v>
      </c>
      <c r="CG37" s="105">
        <v>13</v>
      </c>
      <c r="CH37" s="105"/>
      <c r="CJ37" s="1359"/>
      <c r="CK37" s="1359"/>
      <c r="CL37" s="1360"/>
      <c r="CM37" s="1361" t="s">
        <v>1240</v>
      </c>
      <c r="CN37" s="1363">
        <v>0</v>
      </c>
      <c r="CO37" s="1363">
        <v>0</v>
      </c>
      <c r="CP37" s="1363">
        <v>0</v>
      </c>
      <c r="CQ37" s="1363">
        <v>0</v>
      </c>
      <c r="CR37" s="1363">
        <v>1</v>
      </c>
      <c r="CS37" s="1363">
        <v>6</v>
      </c>
      <c r="CT37" s="1363">
        <v>0</v>
      </c>
      <c r="CU37" s="1363">
        <v>1</v>
      </c>
      <c r="CV37" s="686"/>
      <c r="CW37" s="687">
        <v>0</v>
      </c>
      <c r="CX37" s="687">
        <v>8</v>
      </c>
      <c r="CY37" s="41"/>
      <c r="DA37" s="602"/>
      <c r="DB37" s="602"/>
      <c r="DC37" s="603"/>
      <c r="DD37" s="604" t="s">
        <v>1344</v>
      </c>
      <c r="DE37" s="606">
        <v>0</v>
      </c>
      <c r="DF37" s="606">
        <v>0</v>
      </c>
      <c r="DG37" s="605"/>
      <c r="DH37" s="605"/>
      <c r="DI37" s="606">
        <v>0</v>
      </c>
      <c r="DJ37" s="606">
        <v>2</v>
      </c>
      <c r="DK37" s="606">
        <v>4</v>
      </c>
      <c r="DL37" s="606">
        <v>3</v>
      </c>
      <c r="DM37" s="602"/>
      <c r="DN37" s="602"/>
      <c r="DO37" s="607">
        <v>9</v>
      </c>
      <c r="DP37" s="105"/>
      <c r="DR37" s="608"/>
      <c r="DS37" s="608"/>
      <c r="DT37" s="608"/>
      <c r="DU37" s="609" t="s">
        <v>1231</v>
      </c>
      <c r="DV37" s="610"/>
      <c r="DW37" s="611">
        <v>0</v>
      </c>
      <c r="DX37" s="610"/>
      <c r="DY37" s="610"/>
      <c r="DZ37" s="610"/>
      <c r="EA37" s="610"/>
      <c r="EB37" s="610"/>
      <c r="EC37" s="611">
        <v>1</v>
      </c>
      <c r="ED37" s="611">
        <v>0</v>
      </c>
      <c r="EE37" s="612"/>
      <c r="EF37" s="612"/>
      <c r="EG37" s="613">
        <v>1</v>
      </c>
      <c r="EH37" s="614"/>
      <c r="FA37" s="70"/>
      <c r="FB37" s="70"/>
      <c r="FC37" s="42"/>
      <c r="FD37" s="42" t="s">
        <v>1235</v>
      </c>
      <c r="FE37" s="70"/>
      <c r="FF37" s="70"/>
      <c r="FG37" s="70"/>
      <c r="FH37" s="70"/>
      <c r="FI37" s="70"/>
      <c r="FJ37" s="70">
        <v>0</v>
      </c>
      <c r="FK37" s="70">
        <v>2</v>
      </c>
      <c r="FL37" s="70">
        <v>0</v>
      </c>
      <c r="FM37" s="70"/>
      <c r="FN37" s="70"/>
      <c r="FO37" s="70">
        <v>2</v>
      </c>
      <c r="FP37" s="42"/>
      <c r="FQ37" s="42"/>
      <c r="FR37" s="516"/>
      <c r="FS37" s="516"/>
      <c r="FT37" s="516"/>
      <c r="FU37" s="516" t="s">
        <v>1236</v>
      </c>
      <c r="FV37" s="516">
        <v>0</v>
      </c>
      <c r="FW37" s="516">
        <v>0</v>
      </c>
      <c r="FX37" s="516">
        <v>1</v>
      </c>
      <c r="FY37" s="516">
        <v>3</v>
      </c>
      <c r="FZ37" s="516">
        <v>13</v>
      </c>
      <c r="GA37" s="516">
        <v>6</v>
      </c>
      <c r="GB37" s="516">
        <v>3</v>
      </c>
      <c r="GC37" s="516">
        <v>0</v>
      </c>
      <c r="GD37" s="516">
        <v>0</v>
      </c>
      <c r="GE37" s="516">
        <v>0</v>
      </c>
      <c r="GF37" s="516">
        <v>0</v>
      </c>
      <c r="GG37" s="517">
        <v>26</v>
      </c>
      <c r="GH37" s="619"/>
      <c r="GI37" s="518"/>
    </row>
    <row r="38" spans="2:191">
      <c r="C38" s="32"/>
      <c r="D38" s="32" t="s">
        <v>1236</v>
      </c>
      <c r="E38" s="4607">
        <v>0</v>
      </c>
      <c r="F38" s="4607">
        <v>0</v>
      </c>
      <c r="G38" s="4607">
        <v>0</v>
      </c>
      <c r="H38" s="4607">
        <v>0</v>
      </c>
      <c r="I38" s="4607">
        <v>2</v>
      </c>
      <c r="J38" s="4607">
        <v>0</v>
      </c>
      <c r="K38" s="4607">
        <v>0</v>
      </c>
      <c r="L38" s="4607">
        <v>0</v>
      </c>
      <c r="M38" s="4607">
        <v>0</v>
      </c>
      <c r="N38" s="4583"/>
      <c r="O38" s="4583">
        <v>0</v>
      </c>
      <c r="P38" s="4583">
        <v>2</v>
      </c>
      <c r="Q38" s="2552"/>
      <c r="R38" s="2552"/>
      <c r="U38" s="1793"/>
      <c r="V38" s="1793" t="s">
        <v>1344</v>
      </c>
      <c r="W38" s="4804">
        <v>0</v>
      </c>
      <c r="X38" s="4804">
        <v>0</v>
      </c>
      <c r="Y38" s="4804">
        <v>0</v>
      </c>
      <c r="Z38" s="4804">
        <v>0</v>
      </c>
      <c r="AA38" s="4804">
        <v>0</v>
      </c>
      <c r="AB38" s="4804">
        <v>0</v>
      </c>
      <c r="AC38" s="4804">
        <v>2</v>
      </c>
      <c r="AD38" s="4804">
        <v>0</v>
      </c>
      <c r="AE38" s="4702">
        <v>0</v>
      </c>
      <c r="AF38" s="4702">
        <v>2</v>
      </c>
      <c r="AG38" s="1793"/>
      <c r="AI38" s="41"/>
      <c r="AJ38" s="41"/>
      <c r="AK38" s="41"/>
      <c r="AL38" s="461" t="s">
        <v>1231</v>
      </c>
      <c r="AM38" s="2002">
        <v>2</v>
      </c>
      <c r="AN38" s="2002"/>
      <c r="AO38" s="2002">
        <v>1</v>
      </c>
      <c r="AP38" s="2002">
        <v>1</v>
      </c>
      <c r="AQ38" s="2002">
        <v>0</v>
      </c>
      <c r="AR38" s="2002">
        <v>8</v>
      </c>
      <c r="AS38" s="2002">
        <v>13</v>
      </c>
      <c r="AT38" s="2002">
        <v>1</v>
      </c>
      <c r="AU38" s="2480">
        <v>1</v>
      </c>
      <c r="AV38" s="2480">
        <v>0</v>
      </c>
      <c r="AW38" s="2480">
        <v>27</v>
      </c>
      <c r="AX38" s="41"/>
      <c r="AZ38" s="42"/>
      <c r="BA38" s="42"/>
      <c r="BB38" s="42"/>
      <c r="BC38" s="42" t="s">
        <v>1239</v>
      </c>
      <c r="BD38" s="1993"/>
      <c r="BE38" s="1993">
        <v>0</v>
      </c>
      <c r="BF38" s="1993">
        <v>0</v>
      </c>
      <c r="BG38" s="1993">
        <v>0</v>
      </c>
      <c r="BH38" s="1993">
        <v>0</v>
      </c>
      <c r="BI38" s="1993">
        <v>0</v>
      </c>
      <c r="BJ38" s="1993">
        <v>0</v>
      </c>
      <c r="BK38" s="1993">
        <v>0</v>
      </c>
      <c r="BL38" s="1993">
        <v>11</v>
      </c>
      <c r="BM38" s="70"/>
      <c r="BN38" s="70">
        <v>3</v>
      </c>
      <c r="BO38" s="70">
        <v>14</v>
      </c>
      <c r="BR38" s="105"/>
      <c r="BS38" s="105"/>
      <c r="BT38" s="41"/>
      <c r="BU38" s="41" t="s">
        <v>1865</v>
      </c>
      <c r="BV38" s="1659">
        <v>3</v>
      </c>
      <c r="BW38" s="1659">
        <v>0</v>
      </c>
      <c r="BX38" s="1659">
        <v>0</v>
      </c>
      <c r="BY38" s="1659"/>
      <c r="BZ38" s="1659">
        <v>0</v>
      </c>
      <c r="CA38" s="1659">
        <v>0</v>
      </c>
      <c r="CB38" s="1659">
        <v>0</v>
      </c>
      <c r="CC38" s="1659">
        <v>0</v>
      </c>
      <c r="CD38" s="1659">
        <v>0</v>
      </c>
      <c r="CE38" s="105">
        <v>0</v>
      </c>
      <c r="CF38" s="105">
        <v>0</v>
      </c>
      <c r="CG38" s="105">
        <v>3</v>
      </c>
      <c r="CH38" s="105"/>
      <c r="CJ38" s="1359"/>
      <c r="CK38" s="1359"/>
      <c r="CL38" s="1360"/>
      <c r="CM38" s="1361" t="s">
        <v>1344</v>
      </c>
      <c r="CN38" s="1363">
        <v>0</v>
      </c>
      <c r="CO38" s="1363">
        <v>0</v>
      </c>
      <c r="CP38" s="1363">
        <v>0</v>
      </c>
      <c r="CQ38" s="1363">
        <v>0</v>
      </c>
      <c r="CR38" s="1363">
        <v>1</v>
      </c>
      <c r="CS38" s="1363">
        <v>3</v>
      </c>
      <c r="CT38" s="1363">
        <v>2</v>
      </c>
      <c r="CU38" s="1363">
        <v>1</v>
      </c>
      <c r="CV38" s="686"/>
      <c r="CW38" s="687">
        <v>0</v>
      </c>
      <c r="CX38" s="687">
        <v>7</v>
      </c>
      <c r="CY38" s="41"/>
      <c r="DA38" s="602"/>
      <c r="DB38" s="602"/>
      <c r="DC38" s="603"/>
      <c r="DD38" s="630" t="s">
        <v>544</v>
      </c>
      <c r="DE38" s="632">
        <v>2</v>
      </c>
      <c r="DF38" s="632">
        <v>1</v>
      </c>
      <c r="DG38" s="631"/>
      <c r="DH38" s="631"/>
      <c r="DI38" s="632">
        <v>4</v>
      </c>
      <c r="DJ38" s="632">
        <v>3</v>
      </c>
      <c r="DK38" s="632">
        <v>19</v>
      </c>
      <c r="DL38" s="632">
        <v>16</v>
      </c>
      <c r="DM38" s="633"/>
      <c r="DN38" s="633"/>
      <c r="DO38" s="634">
        <v>45</v>
      </c>
      <c r="DP38" s="635">
        <f>+(DO33+DO36+DO37)/DO38</f>
        <v>0.4</v>
      </c>
      <c r="DR38" s="608"/>
      <c r="DS38" s="608"/>
      <c r="DT38" s="608"/>
      <c r="DU38" s="609" t="s">
        <v>1233</v>
      </c>
      <c r="DV38" s="610"/>
      <c r="DW38" s="611">
        <v>3</v>
      </c>
      <c r="DX38" s="610"/>
      <c r="DY38" s="610"/>
      <c r="DZ38" s="610"/>
      <c r="EA38" s="610"/>
      <c r="EB38" s="610"/>
      <c r="EC38" s="611">
        <v>0</v>
      </c>
      <c r="ED38" s="611">
        <v>0</v>
      </c>
      <c r="EE38" s="612"/>
      <c r="EF38" s="612"/>
      <c r="EG38" s="613">
        <v>3</v>
      </c>
      <c r="EH38" s="614"/>
      <c r="FA38" s="70"/>
      <c r="FB38" s="70"/>
      <c r="FC38" s="42"/>
      <c r="FD38" s="42" t="s">
        <v>1240</v>
      </c>
      <c r="FE38" s="70"/>
      <c r="FF38" s="70"/>
      <c r="FG38" s="70"/>
      <c r="FH38" s="70"/>
      <c r="FI38" s="70"/>
      <c r="FJ38" s="70">
        <v>0</v>
      </c>
      <c r="FK38" s="70">
        <v>0</v>
      </c>
      <c r="FL38" s="70">
        <v>1</v>
      </c>
      <c r="FM38" s="70"/>
      <c r="FN38" s="70"/>
      <c r="FO38" s="70">
        <v>1</v>
      </c>
      <c r="FP38" s="42"/>
      <c r="FQ38" s="42"/>
      <c r="FR38" s="516"/>
      <c r="FS38" s="516"/>
      <c r="FT38" s="516"/>
      <c r="FU38" s="516" t="s">
        <v>1344</v>
      </c>
      <c r="FV38" s="516">
        <v>0</v>
      </c>
      <c r="FW38" s="516">
        <v>0</v>
      </c>
      <c r="FX38" s="516">
        <v>0</v>
      </c>
      <c r="FY38" s="516">
        <v>1</v>
      </c>
      <c r="FZ38" s="516">
        <v>0</v>
      </c>
      <c r="GA38" s="516">
        <v>0</v>
      </c>
      <c r="GB38" s="516">
        <v>0</v>
      </c>
      <c r="GC38" s="516">
        <v>0</v>
      </c>
      <c r="GD38" s="516">
        <v>0</v>
      </c>
      <c r="GE38" s="516">
        <v>0</v>
      </c>
      <c r="GF38" s="516">
        <v>0</v>
      </c>
      <c r="GG38" s="517">
        <v>1</v>
      </c>
      <c r="GH38" s="619"/>
      <c r="GI38" s="518"/>
    </row>
    <row r="39" spans="2:191">
      <c r="C39" s="32"/>
      <c r="D39" s="32" t="s">
        <v>1239</v>
      </c>
      <c r="E39" s="4607">
        <v>0</v>
      </c>
      <c r="F39" s="4607">
        <v>0</v>
      </c>
      <c r="G39" s="4607">
        <v>0</v>
      </c>
      <c r="H39" s="4607">
        <v>0</v>
      </c>
      <c r="I39" s="4607">
        <v>0</v>
      </c>
      <c r="J39" s="4607">
        <v>0</v>
      </c>
      <c r="K39" s="4607">
        <v>0</v>
      </c>
      <c r="L39" s="4607">
        <v>7</v>
      </c>
      <c r="M39" s="4607">
        <v>7</v>
      </c>
      <c r="N39" s="4583"/>
      <c r="O39" s="4583">
        <v>2</v>
      </c>
      <c r="P39" s="4583">
        <v>16</v>
      </c>
      <c r="Q39" s="2552"/>
      <c r="R39" s="2552"/>
      <c r="U39" s="1793"/>
      <c r="V39" s="1793" t="s">
        <v>544</v>
      </c>
      <c r="W39" s="4804">
        <v>4</v>
      </c>
      <c r="X39" s="4804">
        <v>1</v>
      </c>
      <c r="Y39" s="4804">
        <v>1</v>
      </c>
      <c r="Z39" s="4804">
        <v>2</v>
      </c>
      <c r="AA39" s="4804">
        <v>2</v>
      </c>
      <c r="AB39" s="4804">
        <v>24</v>
      </c>
      <c r="AC39" s="4804">
        <v>34</v>
      </c>
      <c r="AD39" s="4804">
        <v>2</v>
      </c>
      <c r="AE39" s="4702">
        <v>2</v>
      </c>
      <c r="AF39" s="4702">
        <v>72</v>
      </c>
      <c r="AG39" s="4703">
        <f>+(AF34+AF37+AF38)/AF39</f>
        <v>0.1388888888888889</v>
      </c>
      <c r="AI39" s="41"/>
      <c r="AJ39" s="41"/>
      <c r="AK39" s="41"/>
      <c r="AL39" s="461" t="s">
        <v>1235</v>
      </c>
      <c r="AM39" s="2002">
        <v>0</v>
      </c>
      <c r="AN39" s="2002"/>
      <c r="AO39" s="2002">
        <v>0</v>
      </c>
      <c r="AP39" s="2002">
        <v>0</v>
      </c>
      <c r="AQ39" s="2002">
        <v>0</v>
      </c>
      <c r="AR39" s="2002">
        <v>1</v>
      </c>
      <c r="AS39" s="2002">
        <v>4</v>
      </c>
      <c r="AT39" s="2002">
        <v>1</v>
      </c>
      <c r="AU39" s="2480">
        <v>0</v>
      </c>
      <c r="AV39" s="2480">
        <v>0</v>
      </c>
      <c r="AW39" s="2480">
        <v>6</v>
      </c>
      <c r="AX39" s="41"/>
      <c r="AZ39" s="42"/>
      <c r="BA39" s="42"/>
      <c r="BB39" s="42"/>
      <c r="BC39" s="42" t="s">
        <v>1240</v>
      </c>
      <c r="BD39" s="1993"/>
      <c r="BE39" s="1993">
        <v>0</v>
      </c>
      <c r="BF39" s="1993">
        <v>0</v>
      </c>
      <c r="BG39" s="1993">
        <v>0</v>
      </c>
      <c r="BH39" s="1993">
        <v>0</v>
      </c>
      <c r="BI39" s="1993">
        <v>0</v>
      </c>
      <c r="BJ39" s="1993">
        <v>9</v>
      </c>
      <c r="BK39" s="1993">
        <v>6</v>
      </c>
      <c r="BL39" s="1993">
        <v>5</v>
      </c>
      <c r="BM39" s="70"/>
      <c r="BN39" s="70">
        <v>0</v>
      </c>
      <c r="BO39" s="70">
        <v>20</v>
      </c>
      <c r="BR39" s="105"/>
      <c r="BS39" s="105"/>
      <c r="BT39" s="41"/>
      <c r="BU39" s="41" t="s">
        <v>1240</v>
      </c>
      <c r="BV39" s="1659">
        <v>0</v>
      </c>
      <c r="BW39" s="1659">
        <v>0</v>
      </c>
      <c r="BX39" s="1659">
        <v>0</v>
      </c>
      <c r="BY39" s="1659"/>
      <c r="BZ39" s="1659">
        <v>0</v>
      </c>
      <c r="CA39" s="1659">
        <v>0</v>
      </c>
      <c r="CB39" s="1659">
        <v>4</v>
      </c>
      <c r="CC39" s="1659">
        <v>4</v>
      </c>
      <c r="CD39" s="1659">
        <v>1</v>
      </c>
      <c r="CE39" s="105">
        <v>0</v>
      </c>
      <c r="CF39" s="105">
        <v>0</v>
      </c>
      <c r="CG39" s="105">
        <v>9</v>
      </c>
      <c r="CH39" s="105"/>
      <c r="CJ39" s="1359"/>
      <c r="CK39" s="1359"/>
      <c r="CL39" s="1360"/>
      <c r="CM39" s="483" t="s">
        <v>544</v>
      </c>
      <c r="CN39" s="1365">
        <v>1</v>
      </c>
      <c r="CO39" s="1365">
        <v>1</v>
      </c>
      <c r="CP39" s="1365">
        <v>2</v>
      </c>
      <c r="CQ39" s="1365">
        <v>3</v>
      </c>
      <c r="CR39" s="1365">
        <v>5</v>
      </c>
      <c r="CS39" s="1365">
        <v>22</v>
      </c>
      <c r="CT39" s="1365">
        <v>11</v>
      </c>
      <c r="CU39" s="1365">
        <v>16</v>
      </c>
      <c r="CV39" s="695"/>
      <c r="CW39" s="696">
        <v>2</v>
      </c>
      <c r="CX39" s="696">
        <v>63</v>
      </c>
      <c r="CY39" s="1325">
        <f>+(CX34+CX37+CX38)/CX39</f>
        <v>0.2857142857142857</v>
      </c>
      <c r="DA39" s="602"/>
      <c r="DB39" s="602" t="s">
        <v>16</v>
      </c>
      <c r="DC39" s="603" t="s">
        <v>117</v>
      </c>
      <c r="DD39" s="604" t="s">
        <v>1231</v>
      </c>
      <c r="DE39" s="605"/>
      <c r="DF39" s="605"/>
      <c r="DG39" s="605"/>
      <c r="DH39" s="605"/>
      <c r="DI39" s="605"/>
      <c r="DJ39" s="606">
        <v>5</v>
      </c>
      <c r="DK39" s="606">
        <v>3</v>
      </c>
      <c r="DL39" s="605"/>
      <c r="DM39" s="602"/>
      <c r="DN39" s="602"/>
      <c r="DO39" s="607">
        <v>8</v>
      </c>
      <c r="DP39" s="105"/>
      <c r="DR39" s="608"/>
      <c r="DS39" s="608"/>
      <c r="DT39" s="608"/>
      <c r="DU39" s="609" t="s">
        <v>1239</v>
      </c>
      <c r="DV39" s="610"/>
      <c r="DW39" s="611">
        <v>0</v>
      </c>
      <c r="DX39" s="610"/>
      <c r="DY39" s="610"/>
      <c r="DZ39" s="610"/>
      <c r="EA39" s="610"/>
      <c r="EB39" s="610"/>
      <c r="EC39" s="611">
        <v>0</v>
      </c>
      <c r="ED39" s="611">
        <v>5</v>
      </c>
      <c r="EE39" s="612"/>
      <c r="EF39" s="612"/>
      <c r="EG39" s="613">
        <v>5</v>
      </c>
      <c r="EH39" s="614"/>
      <c r="FA39" s="70"/>
      <c r="FB39" s="70"/>
      <c r="FC39" s="42"/>
      <c r="FD39" s="484" t="s">
        <v>15</v>
      </c>
      <c r="FE39" s="454"/>
      <c r="FF39" s="454"/>
      <c r="FG39" s="454"/>
      <c r="FH39" s="454"/>
      <c r="FI39" s="454"/>
      <c r="FJ39" s="454">
        <v>7</v>
      </c>
      <c r="FK39" s="454">
        <v>2</v>
      </c>
      <c r="FL39" s="454">
        <v>2</v>
      </c>
      <c r="FM39" s="454"/>
      <c r="FN39" s="454"/>
      <c r="FO39" s="454">
        <v>11</v>
      </c>
      <c r="FP39" s="536">
        <f>+(FO37+FO38)/FO39</f>
        <v>0.27272727272727271</v>
      </c>
      <c r="FQ39" s="42"/>
      <c r="FR39" s="516"/>
      <c r="FS39" s="516"/>
      <c r="FT39" s="516"/>
      <c r="FU39" s="519" t="s">
        <v>15</v>
      </c>
      <c r="FV39" s="519">
        <v>0</v>
      </c>
      <c r="FW39" s="519">
        <v>0</v>
      </c>
      <c r="FX39" s="519">
        <v>1</v>
      </c>
      <c r="FY39" s="519">
        <v>6</v>
      </c>
      <c r="FZ39" s="519">
        <v>14</v>
      </c>
      <c r="GA39" s="519">
        <v>6</v>
      </c>
      <c r="GB39" s="519">
        <v>4</v>
      </c>
      <c r="GC39" s="519">
        <v>0</v>
      </c>
      <c r="GD39" s="519">
        <v>0</v>
      </c>
      <c r="GE39" s="519">
        <v>0</v>
      </c>
      <c r="GF39" s="519">
        <v>0</v>
      </c>
      <c r="GG39" s="579">
        <v>31</v>
      </c>
      <c r="GH39" s="629">
        <f>+(GG38+GG36)/GG39</f>
        <v>6.4516129032258063E-2</v>
      </c>
      <c r="GI39" s="518">
        <f>+GG36+GG38</f>
        <v>2</v>
      </c>
    </row>
    <row r="40" spans="2:191">
      <c r="C40" s="32"/>
      <c r="D40" s="32" t="s">
        <v>1240</v>
      </c>
      <c r="E40" s="4607">
        <v>0</v>
      </c>
      <c r="F40" s="4607">
        <v>0</v>
      </c>
      <c r="G40" s="4607">
        <v>0</v>
      </c>
      <c r="H40" s="4607">
        <v>0</v>
      </c>
      <c r="I40" s="4607">
        <v>0</v>
      </c>
      <c r="J40" s="4607">
        <v>0</v>
      </c>
      <c r="K40" s="4607">
        <v>1</v>
      </c>
      <c r="L40" s="4607">
        <v>3</v>
      </c>
      <c r="M40" s="4607">
        <v>1</v>
      </c>
      <c r="N40" s="4583"/>
      <c r="O40" s="4583">
        <v>0</v>
      </c>
      <c r="P40" s="4583">
        <v>5</v>
      </c>
      <c r="Q40" s="2552"/>
      <c r="R40" s="2552"/>
      <c r="T40" s="37" t="s">
        <v>16</v>
      </c>
      <c r="U40" s="37" t="s">
        <v>117</v>
      </c>
      <c r="V40" s="37" t="s">
        <v>1231</v>
      </c>
      <c r="W40" s="4803">
        <v>0</v>
      </c>
      <c r="X40" s="4803">
        <v>0</v>
      </c>
      <c r="Y40" s="4803"/>
      <c r="Z40" s="4803"/>
      <c r="AA40" s="4803"/>
      <c r="AB40" s="4803">
        <v>5</v>
      </c>
      <c r="AC40" s="4803">
        <v>0</v>
      </c>
      <c r="AD40" s="4803"/>
      <c r="AE40" s="1788"/>
      <c r="AF40" s="1788">
        <v>5</v>
      </c>
      <c r="AI40" s="41"/>
      <c r="AJ40" s="41"/>
      <c r="AK40" s="41"/>
      <c r="AL40" s="461" t="s">
        <v>1236</v>
      </c>
      <c r="AM40" s="2002">
        <v>0</v>
      </c>
      <c r="AN40" s="2002"/>
      <c r="AO40" s="2002">
        <v>0</v>
      </c>
      <c r="AP40" s="2002">
        <v>0</v>
      </c>
      <c r="AQ40" s="2002">
        <v>2</v>
      </c>
      <c r="AR40" s="2002">
        <v>0</v>
      </c>
      <c r="AS40" s="2002">
        <v>0</v>
      </c>
      <c r="AT40" s="2002">
        <v>0</v>
      </c>
      <c r="AU40" s="2480">
        <v>0</v>
      </c>
      <c r="AV40" s="2480">
        <v>0</v>
      </c>
      <c r="AW40" s="2480">
        <v>2</v>
      </c>
      <c r="AX40" s="41"/>
      <c r="AZ40" s="42"/>
      <c r="BA40" s="42"/>
      <c r="BB40" s="42"/>
      <c r="BC40" s="42" t="s">
        <v>1344</v>
      </c>
      <c r="BD40" s="1993"/>
      <c r="BE40" s="1993">
        <v>0</v>
      </c>
      <c r="BF40" s="1993">
        <v>0</v>
      </c>
      <c r="BG40" s="1993">
        <v>0</v>
      </c>
      <c r="BH40" s="1993">
        <v>0</v>
      </c>
      <c r="BI40" s="1993">
        <v>1</v>
      </c>
      <c r="BJ40" s="1993">
        <v>0</v>
      </c>
      <c r="BK40" s="1993">
        <v>2</v>
      </c>
      <c r="BL40" s="1993">
        <v>0</v>
      </c>
      <c r="BM40" s="70"/>
      <c r="BN40" s="70">
        <v>0</v>
      </c>
      <c r="BO40" s="70">
        <v>3</v>
      </c>
      <c r="BR40" s="105"/>
      <c r="BS40" s="105"/>
      <c r="BT40" s="41"/>
      <c r="BU40" s="41" t="s">
        <v>1344</v>
      </c>
      <c r="BV40" s="1659">
        <v>0</v>
      </c>
      <c r="BW40" s="1659">
        <v>0</v>
      </c>
      <c r="BX40" s="1659">
        <v>0</v>
      </c>
      <c r="BY40" s="1659"/>
      <c r="BZ40" s="1659">
        <v>0</v>
      </c>
      <c r="CA40" s="1659">
        <v>0</v>
      </c>
      <c r="CB40" s="1659">
        <v>4</v>
      </c>
      <c r="CC40" s="1659">
        <v>6</v>
      </c>
      <c r="CD40" s="1659">
        <v>3</v>
      </c>
      <c r="CE40" s="105">
        <v>0</v>
      </c>
      <c r="CF40" s="105">
        <v>0</v>
      </c>
      <c r="CG40" s="105">
        <v>13</v>
      </c>
      <c r="CH40" s="105"/>
      <c r="CJ40" s="1359"/>
      <c r="CK40" s="1359" t="s">
        <v>16</v>
      </c>
      <c r="CL40" s="1360" t="s">
        <v>117</v>
      </c>
      <c r="CM40" s="1361" t="s">
        <v>1230</v>
      </c>
      <c r="CN40" s="1362"/>
      <c r="CO40" s="1362"/>
      <c r="CP40" s="1362"/>
      <c r="CQ40" s="1362"/>
      <c r="CR40" s="1362"/>
      <c r="CS40" s="1363">
        <v>0</v>
      </c>
      <c r="CT40" s="1363">
        <v>2</v>
      </c>
      <c r="CU40" s="1363">
        <v>3</v>
      </c>
      <c r="CV40" s="686"/>
      <c r="CW40" s="686"/>
      <c r="CX40" s="687">
        <v>5</v>
      </c>
      <c r="CY40" s="41"/>
      <c r="DA40" s="602"/>
      <c r="DB40" s="602"/>
      <c r="DC40" s="603"/>
      <c r="DD40" s="604" t="s">
        <v>1239</v>
      </c>
      <c r="DE40" s="605"/>
      <c r="DF40" s="605"/>
      <c r="DG40" s="605"/>
      <c r="DH40" s="605"/>
      <c r="DI40" s="605"/>
      <c r="DJ40" s="606">
        <v>0</v>
      </c>
      <c r="DK40" s="606">
        <v>4</v>
      </c>
      <c r="DL40" s="605"/>
      <c r="DM40" s="602"/>
      <c r="DN40" s="602"/>
      <c r="DO40" s="607">
        <v>4</v>
      </c>
      <c r="DP40" s="105"/>
      <c r="DR40" s="608"/>
      <c r="DS40" s="608"/>
      <c r="DT40" s="608"/>
      <c r="DU40" s="620" t="s">
        <v>15</v>
      </c>
      <c r="DV40" s="621"/>
      <c r="DW40" s="622">
        <v>3</v>
      </c>
      <c r="DX40" s="621"/>
      <c r="DY40" s="621"/>
      <c r="DZ40" s="621"/>
      <c r="EA40" s="621"/>
      <c r="EB40" s="621"/>
      <c r="EC40" s="622">
        <v>1</v>
      </c>
      <c r="ED40" s="622">
        <v>6</v>
      </c>
      <c r="EE40" s="623"/>
      <c r="EF40" s="623"/>
      <c r="EG40" s="624">
        <v>10</v>
      </c>
      <c r="EH40" s="614">
        <v>0</v>
      </c>
      <c r="EK40" s="615" t="s">
        <v>104</v>
      </c>
      <c r="EL40" s="615" t="s">
        <v>105</v>
      </c>
      <c r="EM40" s="616" t="s">
        <v>1231</v>
      </c>
      <c r="EN40" s="617"/>
      <c r="EO40" s="618">
        <v>0</v>
      </c>
      <c r="EP40" s="618">
        <v>4</v>
      </c>
      <c r="EQ40" s="618">
        <v>3</v>
      </c>
      <c r="ER40" s="618">
        <v>1</v>
      </c>
      <c r="ES40" s="618">
        <v>1</v>
      </c>
      <c r="ET40" s="618">
        <v>0</v>
      </c>
      <c r="EU40" s="618">
        <v>0</v>
      </c>
      <c r="EV40" s="617"/>
      <c r="EW40" s="617"/>
      <c r="EX40" s="618">
        <v>9</v>
      </c>
      <c r="EY40" s="515"/>
      <c r="FA40" s="70"/>
      <c r="FB40" s="70" t="s">
        <v>104</v>
      </c>
      <c r="FC40" s="42" t="s">
        <v>105</v>
      </c>
      <c r="FD40" s="42" t="s">
        <v>1231</v>
      </c>
      <c r="FE40" s="70"/>
      <c r="FF40" s="70"/>
      <c r="FG40" s="70">
        <v>0</v>
      </c>
      <c r="FH40" s="70">
        <v>0</v>
      </c>
      <c r="FI40" s="70">
        <v>0</v>
      </c>
      <c r="FJ40" s="70">
        <v>1</v>
      </c>
      <c r="FK40" s="70">
        <v>1</v>
      </c>
      <c r="FL40" s="70"/>
      <c r="FM40" s="70"/>
      <c r="FN40" s="70"/>
      <c r="FO40" s="70">
        <v>2</v>
      </c>
      <c r="FP40" s="42"/>
      <c r="FQ40" s="42"/>
      <c r="FR40" s="516" t="s">
        <v>25</v>
      </c>
      <c r="FS40" s="516" t="s">
        <v>4</v>
      </c>
      <c r="FT40" s="516" t="s">
        <v>120</v>
      </c>
      <c r="FU40" s="516" t="s">
        <v>1230</v>
      </c>
      <c r="FV40" s="516">
        <v>0</v>
      </c>
      <c r="FW40" s="516">
        <v>0</v>
      </c>
      <c r="FX40" s="516">
        <v>0</v>
      </c>
      <c r="FY40" s="516">
        <v>0</v>
      </c>
      <c r="FZ40" s="516">
        <v>0</v>
      </c>
      <c r="GA40" s="516">
        <v>0</v>
      </c>
      <c r="GB40" s="516">
        <v>0</v>
      </c>
      <c r="GC40" s="516">
        <v>0</v>
      </c>
      <c r="GD40" s="516">
        <v>1</v>
      </c>
      <c r="GE40" s="516">
        <v>0</v>
      </c>
      <c r="GF40" s="516">
        <v>0</v>
      </c>
      <c r="GG40" s="517">
        <v>1</v>
      </c>
      <c r="GH40" s="619"/>
      <c r="GI40" s="518"/>
    </row>
    <row r="41" spans="2:191">
      <c r="C41" s="32"/>
      <c r="D41" s="32" t="s">
        <v>2963</v>
      </c>
      <c r="E41" s="4607">
        <v>7</v>
      </c>
      <c r="F41" s="4607">
        <v>0</v>
      </c>
      <c r="G41" s="4607">
        <v>0</v>
      </c>
      <c r="H41" s="4607">
        <v>0</v>
      </c>
      <c r="I41" s="4607">
        <v>0</v>
      </c>
      <c r="J41" s="4607">
        <v>0</v>
      </c>
      <c r="K41" s="4607">
        <v>0</v>
      </c>
      <c r="L41" s="4607">
        <v>0</v>
      </c>
      <c r="M41" s="4607">
        <v>0</v>
      </c>
      <c r="N41" s="4583"/>
      <c r="O41" s="4583">
        <v>0</v>
      </c>
      <c r="P41" s="4583">
        <v>7</v>
      </c>
      <c r="Q41" s="2552"/>
      <c r="R41" s="2552"/>
      <c r="V41" s="37" t="s">
        <v>1233</v>
      </c>
      <c r="W41" s="4803">
        <v>1</v>
      </c>
      <c r="X41" s="4803">
        <v>1</v>
      </c>
      <c r="Y41" s="4803"/>
      <c r="Z41" s="4803"/>
      <c r="AA41" s="4803"/>
      <c r="AB41" s="4803">
        <v>0</v>
      </c>
      <c r="AC41" s="4803">
        <v>0</v>
      </c>
      <c r="AD41" s="4803"/>
      <c r="AE41" s="1788"/>
      <c r="AF41" s="1788">
        <v>2</v>
      </c>
      <c r="AI41" s="41"/>
      <c r="AJ41" s="41"/>
      <c r="AK41" s="41"/>
      <c r="AL41" s="461" t="s">
        <v>1239</v>
      </c>
      <c r="AM41" s="2002">
        <v>0</v>
      </c>
      <c r="AN41" s="2002"/>
      <c r="AO41" s="2002">
        <v>0</v>
      </c>
      <c r="AP41" s="2002">
        <v>0</v>
      </c>
      <c r="AQ41" s="2002">
        <v>0</v>
      </c>
      <c r="AR41" s="2002">
        <v>0</v>
      </c>
      <c r="AS41" s="2002">
        <v>1</v>
      </c>
      <c r="AT41" s="2002">
        <v>10</v>
      </c>
      <c r="AU41" s="2480">
        <v>1</v>
      </c>
      <c r="AV41" s="2480">
        <v>3</v>
      </c>
      <c r="AW41" s="2480">
        <v>15</v>
      </c>
      <c r="AX41" s="41"/>
      <c r="AZ41" s="42"/>
      <c r="BA41" s="42"/>
      <c r="BB41" s="42"/>
      <c r="BC41" s="484" t="s">
        <v>544</v>
      </c>
      <c r="BD41" s="1994"/>
      <c r="BE41" s="1994">
        <v>4</v>
      </c>
      <c r="BF41" s="1994">
        <v>2</v>
      </c>
      <c r="BG41" s="1994">
        <v>2</v>
      </c>
      <c r="BH41" s="1994">
        <v>1</v>
      </c>
      <c r="BI41" s="1994">
        <v>2</v>
      </c>
      <c r="BJ41" s="1994">
        <v>18</v>
      </c>
      <c r="BK41" s="1994">
        <v>15</v>
      </c>
      <c r="BL41" s="1994">
        <v>20</v>
      </c>
      <c r="BM41" s="454"/>
      <c r="BN41" s="454">
        <v>4</v>
      </c>
      <c r="BO41" s="454">
        <v>68</v>
      </c>
      <c r="BP41" s="2485">
        <f>+(BO37+BO39+BO40)/BO41</f>
        <v>0.41176470588235292</v>
      </c>
      <c r="BR41" s="105"/>
      <c r="BS41" s="105"/>
      <c r="BT41" s="41"/>
      <c r="BU41" s="461" t="s">
        <v>544</v>
      </c>
      <c r="BV41" s="1660">
        <v>3</v>
      </c>
      <c r="BW41" s="1660">
        <v>2</v>
      </c>
      <c r="BX41" s="1660">
        <v>1</v>
      </c>
      <c r="BY41" s="1660"/>
      <c r="BZ41" s="1660">
        <v>1</v>
      </c>
      <c r="CA41" s="1660">
        <v>2</v>
      </c>
      <c r="CB41" s="1660">
        <v>20</v>
      </c>
      <c r="CC41" s="1660">
        <v>28</v>
      </c>
      <c r="CD41" s="1660">
        <v>21</v>
      </c>
      <c r="CE41" s="96">
        <v>2</v>
      </c>
      <c r="CF41" s="96">
        <v>1</v>
      </c>
      <c r="CG41" s="96">
        <v>81</v>
      </c>
      <c r="CH41" s="635">
        <f>+(CG35+CG39+CG40-CE35)/CG41</f>
        <v>0.30864197530864196</v>
      </c>
      <c r="CJ41" s="1359"/>
      <c r="CK41" s="1359"/>
      <c r="CL41" s="1360"/>
      <c r="CM41" s="1361" t="s">
        <v>1231</v>
      </c>
      <c r="CN41" s="1362"/>
      <c r="CO41" s="1362"/>
      <c r="CP41" s="1362"/>
      <c r="CQ41" s="1362"/>
      <c r="CR41" s="1362"/>
      <c r="CS41" s="1363">
        <v>6</v>
      </c>
      <c r="CT41" s="1363">
        <v>6</v>
      </c>
      <c r="CU41" s="1363">
        <v>0</v>
      </c>
      <c r="CV41" s="686"/>
      <c r="CW41" s="686"/>
      <c r="CX41" s="687">
        <v>12</v>
      </c>
      <c r="CY41" s="41"/>
      <c r="DA41" s="602"/>
      <c r="DB41" s="602"/>
      <c r="DC41" s="603"/>
      <c r="DD41" s="630" t="s">
        <v>15</v>
      </c>
      <c r="DE41" s="631"/>
      <c r="DF41" s="631"/>
      <c r="DG41" s="631"/>
      <c r="DH41" s="631"/>
      <c r="DI41" s="631"/>
      <c r="DJ41" s="632">
        <v>5</v>
      </c>
      <c r="DK41" s="632">
        <v>7</v>
      </c>
      <c r="DL41" s="631"/>
      <c r="DM41" s="633"/>
      <c r="DN41" s="633"/>
      <c r="DO41" s="634">
        <v>12</v>
      </c>
      <c r="DP41" s="635">
        <v>0</v>
      </c>
      <c r="DR41" s="608"/>
      <c r="DS41" s="608"/>
      <c r="DT41" s="620" t="s">
        <v>545</v>
      </c>
      <c r="DU41" s="609" t="s">
        <v>1230</v>
      </c>
      <c r="DV41" s="610"/>
      <c r="DW41" s="611">
        <v>0</v>
      </c>
      <c r="DX41" s="610"/>
      <c r="DY41" s="611">
        <v>1</v>
      </c>
      <c r="DZ41" s="610"/>
      <c r="EA41" s="610"/>
      <c r="EB41" s="611">
        <v>0</v>
      </c>
      <c r="EC41" s="611">
        <v>0</v>
      </c>
      <c r="ED41" s="611">
        <v>1</v>
      </c>
      <c r="EE41" s="612"/>
      <c r="EF41" s="612"/>
      <c r="EG41" s="613">
        <v>2</v>
      </c>
      <c r="EH41" s="614"/>
      <c r="EK41" s="615"/>
      <c r="EL41" s="615"/>
      <c r="EM41" s="616" t="s">
        <v>1236</v>
      </c>
      <c r="EN41" s="617"/>
      <c r="EO41" s="618">
        <v>1</v>
      </c>
      <c r="EP41" s="618">
        <v>7</v>
      </c>
      <c r="EQ41" s="618">
        <v>1</v>
      </c>
      <c r="ER41" s="618">
        <v>2</v>
      </c>
      <c r="ES41" s="618">
        <v>0</v>
      </c>
      <c r="ET41" s="618">
        <v>0</v>
      </c>
      <c r="EU41" s="618">
        <v>0</v>
      </c>
      <c r="EV41" s="617"/>
      <c r="EW41" s="617"/>
      <c r="EX41" s="618">
        <v>11</v>
      </c>
      <c r="EY41" s="515"/>
      <c r="FA41" s="70"/>
      <c r="FB41" s="70"/>
      <c r="FC41" s="42"/>
      <c r="FD41" s="42" t="s">
        <v>1235</v>
      </c>
      <c r="FE41" s="70"/>
      <c r="FF41" s="70"/>
      <c r="FG41" s="70">
        <v>3</v>
      </c>
      <c r="FH41" s="70">
        <v>0</v>
      </c>
      <c r="FI41" s="70">
        <v>0</v>
      </c>
      <c r="FJ41" s="70">
        <v>0</v>
      </c>
      <c r="FK41" s="70">
        <v>1</v>
      </c>
      <c r="FL41" s="70"/>
      <c r="FM41" s="70"/>
      <c r="FN41" s="70"/>
      <c r="FO41" s="70">
        <v>4</v>
      </c>
      <c r="FP41" s="42"/>
      <c r="FQ41" s="42"/>
      <c r="FR41" s="516"/>
      <c r="FS41" s="516"/>
      <c r="FT41" s="516"/>
      <c r="FU41" s="516" t="s">
        <v>1236</v>
      </c>
      <c r="FV41" s="516">
        <v>0</v>
      </c>
      <c r="FW41" s="516">
        <v>0</v>
      </c>
      <c r="FX41" s="516">
        <v>0</v>
      </c>
      <c r="FY41" s="516">
        <v>0</v>
      </c>
      <c r="FZ41" s="516">
        <v>1</v>
      </c>
      <c r="GA41" s="516">
        <v>0</v>
      </c>
      <c r="GB41" s="516">
        <v>0</v>
      </c>
      <c r="GC41" s="516">
        <v>0</v>
      </c>
      <c r="GD41" s="516">
        <v>0</v>
      </c>
      <c r="GE41" s="516">
        <v>0</v>
      </c>
      <c r="GF41" s="516">
        <v>0</v>
      </c>
      <c r="GG41" s="517">
        <v>1</v>
      </c>
      <c r="GH41" s="619"/>
      <c r="GI41" s="518"/>
    </row>
    <row r="42" spans="2:191">
      <c r="C42" s="32"/>
      <c r="D42" s="32" t="s">
        <v>1344</v>
      </c>
      <c r="E42" s="4607">
        <v>0</v>
      </c>
      <c r="F42" s="4607">
        <v>0</v>
      </c>
      <c r="G42" s="4607">
        <v>0</v>
      </c>
      <c r="H42" s="4607">
        <v>0</v>
      </c>
      <c r="I42" s="4607">
        <v>0</v>
      </c>
      <c r="J42" s="4607">
        <v>0</v>
      </c>
      <c r="K42" s="4607">
        <v>0</v>
      </c>
      <c r="L42" s="4607">
        <v>3</v>
      </c>
      <c r="M42" s="4607">
        <v>0</v>
      </c>
      <c r="N42" s="4583"/>
      <c r="O42" s="4583">
        <v>0</v>
      </c>
      <c r="P42" s="4583">
        <v>3</v>
      </c>
      <c r="Q42" s="2552"/>
      <c r="R42" s="2552"/>
      <c r="V42" s="37" t="s">
        <v>1239</v>
      </c>
      <c r="W42" s="4803">
        <v>0</v>
      </c>
      <c r="X42" s="4803">
        <v>0</v>
      </c>
      <c r="Y42" s="4803"/>
      <c r="Z42" s="4803"/>
      <c r="AA42" s="4803"/>
      <c r="AB42" s="4803">
        <v>0</v>
      </c>
      <c r="AC42" s="4803">
        <v>4</v>
      </c>
      <c r="AD42" s="4803"/>
      <c r="AE42" s="1788"/>
      <c r="AF42" s="1788">
        <v>4</v>
      </c>
      <c r="AI42" s="41"/>
      <c r="AJ42" s="41"/>
      <c r="AK42" s="41"/>
      <c r="AL42" s="461" t="s">
        <v>1240</v>
      </c>
      <c r="AM42" s="2002">
        <v>0</v>
      </c>
      <c r="AN42" s="2002"/>
      <c r="AO42" s="2002">
        <v>0</v>
      </c>
      <c r="AP42" s="2002">
        <v>0</v>
      </c>
      <c r="AQ42" s="2002">
        <v>0</v>
      </c>
      <c r="AR42" s="2002">
        <v>2</v>
      </c>
      <c r="AS42" s="2002">
        <v>8</v>
      </c>
      <c r="AT42" s="2002">
        <v>5</v>
      </c>
      <c r="AU42" s="2480">
        <v>0</v>
      </c>
      <c r="AV42" s="2480">
        <v>0</v>
      </c>
      <c r="AW42" s="2480">
        <v>15</v>
      </c>
      <c r="AX42" s="41"/>
      <c r="AZ42" s="42"/>
      <c r="BA42" s="42" t="s">
        <v>16</v>
      </c>
      <c r="BB42" s="42" t="s">
        <v>242</v>
      </c>
      <c r="BC42" s="42" t="s">
        <v>1231</v>
      </c>
      <c r="BD42" s="1993"/>
      <c r="BE42" s="1993"/>
      <c r="BF42" s="1993"/>
      <c r="BG42" s="1993"/>
      <c r="BH42" s="1993"/>
      <c r="BI42" s="1993">
        <v>1</v>
      </c>
      <c r="BJ42" s="1993">
        <v>9</v>
      </c>
      <c r="BK42" s="1993"/>
      <c r="BL42" s="1993"/>
      <c r="BM42" s="70"/>
      <c r="BN42" s="70"/>
      <c r="BO42" s="70">
        <v>10</v>
      </c>
      <c r="BR42" s="105"/>
      <c r="BS42" s="105" t="s">
        <v>16</v>
      </c>
      <c r="BT42" s="41" t="s">
        <v>117</v>
      </c>
      <c r="BU42" s="41" t="s">
        <v>1231</v>
      </c>
      <c r="BV42" s="1659"/>
      <c r="BW42" s="1659"/>
      <c r="BX42" s="1659"/>
      <c r="BY42" s="1659"/>
      <c r="BZ42" s="1659"/>
      <c r="CA42" s="1659"/>
      <c r="CB42" s="1659">
        <v>7</v>
      </c>
      <c r="CC42" s="1659">
        <v>1</v>
      </c>
      <c r="CD42" s="1659"/>
      <c r="CE42" s="105"/>
      <c r="CF42" s="105"/>
      <c r="CG42" s="105">
        <v>8</v>
      </c>
      <c r="CH42" s="105"/>
      <c r="CJ42" s="1359"/>
      <c r="CK42" s="1359"/>
      <c r="CL42" s="1360"/>
      <c r="CM42" s="1361" t="s">
        <v>1240</v>
      </c>
      <c r="CN42" s="1362"/>
      <c r="CO42" s="1362"/>
      <c r="CP42" s="1362"/>
      <c r="CQ42" s="1362"/>
      <c r="CR42" s="1362"/>
      <c r="CS42" s="1363">
        <v>0</v>
      </c>
      <c r="CT42" s="1363">
        <v>1</v>
      </c>
      <c r="CU42" s="1363">
        <v>0</v>
      </c>
      <c r="CV42" s="686"/>
      <c r="CW42" s="686"/>
      <c r="CX42" s="687">
        <v>1</v>
      </c>
      <c r="CY42" s="41"/>
      <c r="DA42" s="602"/>
      <c r="DB42" s="602"/>
      <c r="DC42" s="603" t="s">
        <v>118</v>
      </c>
      <c r="DD42" s="604" t="s">
        <v>1231</v>
      </c>
      <c r="DE42" s="606">
        <v>0</v>
      </c>
      <c r="DF42" s="605"/>
      <c r="DG42" s="605"/>
      <c r="DH42" s="605"/>
      <c r="DI42" s="605"/>
      <c r="DJ42" s="606">
        <v>2</v>
      </c>
      <c r="DK42" s="606">
        <v>0</v>
      </c>
      <c r="DL42" s="606">
        <v>3</v>
      </c>
      <c r="DM42" s="602"/>
      <c r="DN42" s="602"/>
      <c r="DO42" s="607">
        <v>5</v>
      </c>
      <c r="DP42" s="105"/>
      <c r="DR42" s="608"/>
      <c r="DS42" s="608"/>
      <c r="DT42" s="608"/>
      <c r="DU42" s="609" t="s">
        <v>1231</v>
      </c>
      <c r="DV42" s="610"/>
      <c r="DW42" s="611">
        <v>0</v>
      </c>
      <c r="DX42" s="610"/>
      <c r="DY42" s="611">
        <v>0</v>
      </c>
      <c r="DZ42" s="610"/>
      <c r="EA42" s="610"/>
      <c r="EB42" s="611">
        <v>22</v>
      </c>
      <c r="EC42" s="611">
        <v>1</v>
      </c>
      <c r="ED42" s="611">
        <v>0</v>
      </c>
      <c r="EE42" s="612"/>
      <c r="EF42" s="612"/>
      <c r="EG42" s="613">
        <v>23</v>
      </c>
      <c r="EH42" s="614"/>
      <c r="EK42" s="615"/>
      <c r="EL42" s="615"/>
      <c r="EM42" s="616" t="s">
        <v>1239</v>
      </c>
      <c r="EN42" s="617"/>
      <c r="EO42" s="618">
        <v>0</v>
      </c>
      <c r="EP42" s="618">
        <v>0</v>
      </c>
      <c r="EQ42" s="618">
        <v>3</v>
      </c>
      <c r="ER42" s="618">
        <v>0</v>
      </c>
      <c r="ES42" s="618">
        <v>2</v>
      </c>
      <c r="ET42" s="618">
        <v>1</v>
      </c>
      <c r="EU42" s="618">
        <v>4</v>
      </c>
      <c r="EV42" s="617"/>
      <c r="EW42" s="617"/>
      <c r="EX42" s="618">
        <v>10</v>
      </c>
      <c r="EY42" s="515"/>
      <c r="FA42" s="70"/>
      <c r="FB42" s="70"/>
      <c r="FC42" s="42"/>
      <c r="FD42" s="42" t="s">
        <v>1236</v>
      </c>
      <c r="FE42" s="70"/>
      <c r="FF42" s="70"/>
      <c r="FG42" s="70">
        <v>22</v>
      </c>
      <c r="FH42" s="70">
        <v>5</v>
      </c>
      <c r="FI42" s="70">
        <v>4</v>
      </c>
      <c r="FJ42" s="70">
        <v>1</v>
      </c>
      <c r="FK42" s="70">
        <v>0</v>
      </c>
      <c r="FL42" s="70"/>
      <c r="FM42" s="70"/>
      <c r="FN42" s="70"/>
      <c r="FO42" s="70">
        <v>32</v>
      </c>
      <c r="FP42" s="42"/>
      <c r="FQ42" s="42"/>
      <c r="FR42" s="516"/>
      <c r="FS42" s="516"/>
      <c r="FT42" s="516"/>
      <c r="FU42" s="516" t="s">
        <v>1239</v>
      </c>
      <c r="FV42" s="516">
        <v>0</v>
      </c>
      <c r="FW42" s="516">
        <v>0</v>
      </c>
      <c r="FX42" s="516">
        <v>0</v>
      </c>
      <c r="FY42" s="516">
        <v>0</v>
      </c>
      <c r="FZ42" s="516">
        <v>0</v>
      </c>
      <c r="GA42" s="516">
        <v>0</v>
      </c>
      <c r="GB42" s="516">
        <v>0</v>
      </c>
      <c r="GC42" s="516">
        <v>0</v>
      </c>
      <c r="GD42" s="516">
        <v>0</v>
      </c>
      <c r="GE42" s="516">
        <v>2</v>
      </c>
      <c r="GF42" s="516">
        <v>0</v>
      </c>
      <c r="GG42" s="517">
        <v>2</v>
      </c>
      <c r="GH42" s="619"/>
      <c r="GI42" s="518"/>
    </row>
    <row r="43" spans="2:191">
      <c r="C43" s="32"/>
      <c r="D43" s="32" t="s">
        <v>15</v>
      </c>
      <c r="E43" s="4607">
        <v>7</v>
      </c>
      <c r="F43" s="4607">
        <v>4</v>
      </c>
      <c r="G43" s="4607">
        <v>1</v>
      </c>
      <c r="H43" s="4607">
        <v>1</v>
      </c>
      <c r="I43" s="4607">
        <v>2</v>
      </c>
      <c r="J43" s="4607">
        <v>2</v>
      </c>
      <c r="K43" s="4607">
        <v>24</v>
      </c>
      <c r="L43" s="4607">
        <v>22</v>
      </c>
      <c r="M43" s="4607">
        <v>14</v>
      </c>
      <c r="N43" s="4583"/>
      <c r="O43" s="4583">
        <v>2</v>
      </c>
      <c r="P43" s="4583">
        <v>79</v>
      </c>
      <c r="Q43" s="1977">
        <f>+(P37+P40+P42)/(P43-P41)</f>
        <v>0.2638888888888889</v>
      </c>
      <c r="R43" s="1977"/>
      <c r="V43" s="1793" t="s">
        <v>15</v>
      </c>
      <c r="W43" s="4804">
        <v>1</v>
      </c>
      <c r="X43" s="4804">
        <v>1</v>
      </c>
      <c r="Y43" s="4804"/>
      <c r="Z43" s="4804"/>
      <c r="AA43" s="4804"/>
      <c r="AB43" s="4804">
        <v>5</v>
      </c>
      <c r="AC43" s="4804">
        <v>4</v>
      </c>
      <c r="AD43" s="4804"/>
      <c r="AE43" s="4702"/>
      <c r="AF43" s="4702">
        <v>11</v>
      </c>
      <c r="AG43" s="4703">
        <v>0</v>
      </c>
      <c r="AI43" s="41"/>
      <c r="AJ43" s="41"/>
      <c r="AK43" s="41"/>
      <c r="AL43" s="461" t="s">
        <v>1344</v>
      </c>
      <c r="AM43" s="2002">
        <v>0</v>
      </c>
      <c r="AN43" s="2002"/>
      <c r="AO43" s="2002">
        <v>0</v>
      </c>
      <c r="AP43" s="2002">
        <v>0</v>
      </c>
      <c r="AQ43" s="2002">
        <v>0</v>
      </c>
      <c r="AR43" s="2002">
        <v>3</v>
      </c>
      <c r="AS43" s="2002">
        <v>6</v>
      </c>
      <c r="AT43" s="2002">
        <v>1</v>
      </c>
      <c r="AU43" s="2480">
        <v>0</v>
      </c>
      <c r="AV43" s="2480">
        <v>0</v>
      </c>
      <c r="AW43" s="2480">
        <v>10</v>
      </c>
      <c r="AX43" s="41"/>
      <c r="AZ43" s="42"/>
      <c r="BA43" s="42"/>
      <c r="BB43" s="42"/>
      <c r="BC43" s="42" t="s">
        <v>1235</v>
      </c>
      <c r="BD43" s="1993"/>
      <c r="BE43" s="1993"/>
      <c r="BF43" s="1993"/>
      <c r="BG43" s="1993"/>
      <c r="BH43" s="1993"/>
      <c r="BI43" s="1993">
        <v>0</v>
      </c>
      <c r="BJ43" s="1993">
        <v>1</v>
      </c>
      <c r="BK43" s="1993"/>
      <c r="BL43" s="1993"/>
      <c r="BM43" s="70"/>
      <c r="BN43" s="70"/>
      <c r="BO43" s="70">
        <v>1</v>
      </c>
      <c r="BR43" s="105"/>
      <c r="BS43" s="105"/>
      <c r="BT43" s="41"/>
      <c r="BU43" s="41" t="s">
        <v>1239</v>
      </c>
      <c r="BV43" s="1659"/>
      <c r="BW43" s="1659"/>
      <c r="BX43" s="1659"/>
      <c r="BY43" s="1659"/>
      <c r="BZ43" s="1659"/>
      <c r="CA43" s="1659"/>
      <c r="CB43" s="1659">
        <v>0</v>
      </c>
      <c r="CC43" s="1659">
        <v>1</v>
      </c>
      <c r="CD43" s="1659"/>
      <c r="CE43" s="105"/>
      <c r="CF43" s="105"/>
      <c r="CG43" s="105">
        <v>1</v>
      </c>
      <c r="CH43" s="105"/>
      <c r="CJ43" s="1359"/>
      <c r="CK43" s="1359"/>
      <c r="CL43" s="1360"/>
      <c r="CM43" s="483" t="s">
        <v>15</v>
      </c>
      <c r="CN43" s="1364"/>
      <c r="CO43" s="1364"/>
      <c r="CP43" s="1364"/>
      <c r="CQ43" s="1364"/>
      <c r="CR43" s="1364"/>
      <c r="CS43" s="1365">
        <v>6</v>
      </c>
      <c r="CT43" s="1365">
        <v>9</v>
      </c>
      <c r="CU43" s="1365">
        <v>3</v>
      </c>
      <c r="CV43" s="695"/>
      <c r="CW43" s="695"/>
      <c r="CX43" s="696">
        <v>18</v>
      </c>
      <c r="CY43" s="1325">
        <f>+CX42/CX43</f>
        <v>5.5555555555555552E-2</v>
      </c>
      <c r="DA43" s="602"/>
      <c r="DB43" s="602"/>
      <c r="DC43" s="603"/>
      <c r="DD43" s="604" t="s">
        <v>1233</v>
      </c>
      <c r="DE43" s="606">
        <v>1</v>
      </c>
      <c r="DF43" s="605"/>
      <c r="DG43" s="605"/>
      <c r="DH43" s="605"/>
      <c r="DI43" s="605"/>
      <c r="DJ43" s="606">
        <v>0</v>
      </c>
      <c r="DK43" s="606">
        <v>0</v>
      </c>
      <c r="DL43" s="606">
        <v>0</v>
      </c>
      <c r="DM43" s="602"/>
      <c r="DN43" s="602"/>
      <c r="DO43" s="607">
        <v>1</v>
      </c>
      <c r="DP43" s="105"/>
      <c r="DR43" s="608"/>
      <c r="DS43" s="608"/>
      <c r="DT43" s="608"/>
      <c r="DU43" s="609" t="s">
        <v>1233</v>
      </c>
      <c r="DV43" s="610"/>
      <c r="DW43" s="611">
        <v>3</v>
      </c>
      <c r="DX43" s="610"/>
      <c r="DY43" s="611">
        <v>0</v>
      </c>
      <c r="DZ43" s="610"/>
      <c r="EA43" s="610"/>
      <c r="EB43" s="611">
        <v>0</v>
      </c>
      <c r="EC43" s="611">
        <v>0</v>
      </c>
      <c r="ED43" s="611">
        <v>0</v>
      </c>
      <c r="EE43" s="612"/>
      <c r="EF43" s="612"/>
      <c r="EG43" s="613">
        <v>3</v>
      </c>
      <c r="EH43" s="614"/>
      <c r="EK43" s="615"/>
      <c r="EL43" s="615"/>
      <c r="EM43" s="616" t="s">
        <v>1240</v>
      </c>
      <c r="EN43" s="617"/>
      <c r="EO43" s="618">
        <v>0</v>
      </c>
      <c r="EP43" s="618">
        <v>1</v>
      </c>
      <c r="EQ43" s="618">
        <v>1</v>
      </c>
      <c r="ER43" s="618">
        <v>0</v>
      </c>
      <c r="ES43" s="618">
        <v>0</v>
      </c>
      <c r="ET43" s="618">
        <v>0</v>
      </c>
      <c r="EU43" s="618">
        <v>0</v>
      </c>
      <c r="EV43" s="617"/>
      <c r="EW43" s="617"/>
      <c r="EX43" s="618">
        <v>2</v>
      </c>
      <c r="EY43" s="515"/>
      <c r="FA43" s="70"/>
      <c r="FB43" s="70"/>
      <c r="FC43" s="42"/>
      <c r="FD43" s="42" t="s">
        <v>1239</v>
      </c>
      <c r="FE43" s="70"/>
      <c r="FF43" s="70"/>
      <c r="FG43" s="70">
        <v>0</v>
      </c>
      <c r="FH43" s="70">
        <v>1</v>
      </c>
      <c r="FI43" s="70">
        <v>0</v>
      </c>
      <c r="FJ43" s="70">
        <v>0</v>
      </c>
      <c r="FK43" s="70">
        <v>0</v>
      </c>
      <c r="FL43" s="70"/>
      <c r="FM43" s="70"/>
      <c r="FN43" s="70"/>
      <c r="FO43" s="70">
        <v>1</v>
      </c>
      <c r="FP43" s="42"/>
      <c r="FQ43" s="42"/>
      <c r="FR43" s="516"/>
      <c r="FS43" s="516"/>
      <c r="FT43" s="516"/>
      <c r="FU43" s="519" t="s">
        <v>15</v>
      </c>
      <c r="FV43" s="519">
        <v>0</v>
      </c>
      <c r="FW43" s="519">
        <v>0</v>
      </c>
      <c r="FX43" s="519">
        <v>0</v>
      </c>
      <c r="FY43" s="519">
        <v>0</v>
      </c>
      <c r="FZ43" s="519">
        <v>1</v>
      </c>
      <c r="GA43" s="519">
        <v>0</v>
      </c>
      <c r="GB43" s="519">
        <v>0</v>
      </c>
      <c r="GC43" s="519">
        <v>0</v>
      </c>
      <c r="GD43" s="519">
        <v>1</v>
      </c>
      <c r="GE43" s="519">
        <v>2</v>
      </c>
      <c r="GF43" s="519">
        <v>0</v>
      </c>
      <c r="GG43" s="579">
        <v>4</v>
      </c>
      <c r="GH43" s="629">
        <f>0/GG43</f>
        <v>0</v>
      </c>
      <c r="GI43" s="518">
        <v>0</v>
      </c>
    </row>
    <row r="44" spans="2:191">
      <c r="B44" s="167" t="s">
        <v>16</v>
      </c>
      <c r="C44" s="4800" t="s">
        <v>117</v>
      </c>
      <c r="D44" s="4800" t="s">
        <v>1231</v>
      </c>
      <c r="E44" s="4606"/>
      <c r="F44" s="4606">
        <v>0</v>
      </c>
      <c r="G44" s="4606">
        <v>0</v>
      </c>
      <c r="H44" s="4606"/>
      <c r="I44" s="4606"/>
      <c r="J44" s="4606"/>
      <c r="K44" s="4606">
        <v>2</v>
      </c>
      <c r="L44" s="4606">
        <v>0</v>
      </c>
      <c r="M44" s="4606"/>
      <c r="N44" s="2552"/>
      <c r="O44" s="2552"/>
      <c r="P44" s="2552">
        <v>2</v>
      </c>
      <c r="Q44" s="2552"/>
      <c r="R44" s="2552"/>
      <c r="U44" s="37" t="s">
        <v>242</v>
      </c>
      <c r="V44" s="37" t="s">
        <v>1231</v>
      </c>
      <c r="W44" s="4803">
        <v>0</v>
      </c>
      <c r="X44" s="4803"/>
      <c r="Y44" s="4803"/>
      <c r="Z44" s="4803"/>
      <c r="AA44" s="4803">
        <v>1</v>
      </c>
      <c r="AB44" s="4803">
        <v>7</v>
      </c>
      <c r="AC44" s="4803">
        <v>0</v>
      </c>
      <c r="AD44" s="4803"/>
      <c r="AE44" s="1788"/>
      <c r="AF44" s="1788">
        <v>8</v>
      </c>
      <c r="AI44" s="41"/>
      <c r="AJ44" s="41"/>
      <c r="AK44" s="41"/>
      <c r="AL44" s="461" t="s">
        <v>544</v>
      </c>
      <c r="AM44" s="2002">
        <v>2</v>
      </c>
      <c r="AN44" s="2002"/>
      <c r="AO44" s="2002">
        <v>1</v>
      </c>
      <c r="AP44" s="2002">
        <v>1</v>
      </c>
      <c r="AQ44" s="2002">
        <v>2</v>
      </c>
      <c r="AR44" s="2002">
        <v>15</v>
      </c>
      <c r="AS44" s="2002">
        <v>32</v>
      </c>
      <c r="AT44" s="2002">
        <v>22</v>
      </c>
      <c r="AU44" s="2480">
        <v>2</v>
      </c>
      <c r="AV44" s="2480">
        <v>3</v>
      </c>
      <c r="AW44" s="2480">
        <v>80</v>
      </c>
      <c r="AX44" s="635">
        <f>+(AW43+AW42+AW39)/AW44</f>
        <v>0.38750000000000001</v>
      </c>
      <c r="AY44" s="1977"/>
      <c r="AZ44" s="42"/>
      <c r="BA44" s="42"/>
      <c r="BB44" s="42"/>
      <c r="BC44" s="484" t="s">
        <v>15</v>
      </c>
      <c r="BD44" s="1994"/>
      <c r="BE44" s="1994"/>
      <c r="BF44" s="1994"/>
      <c r="BG44" s="1994"/>
      <c r="BH44" s="1994"/>
      <c r="BI44" s="1994">
        <v>1</v>
      </c>
      <c r="BJ44" s="1994">
        <v>10</v>
      </c>
      <c r="BK44" s="1994"/>
      <c r="BL44" s="1994"/>
      <c r="BM44" s="454"/>
      <c r="BN44" s="454"/>
      <c r="BO44" s="454">
        <v>11</v>
      </c>
      <c r="BP44" s="2485">
        <f>+BO43/BO44</f>
        <v>9.0909090909090912E-2</v>
      </c>
      <c r="BR44" s="105"/>
      <c r="BS44" s="105"/>
      <c r="BT44" s="41"/>
      <c r="BU44" s="41" t="s">
        <v>1240</v>
      </c>
      <c r="BV44" s="1659"/>
      <c r="BW44" s="1659"/>
      <c r="BX44" s="1659"/>
      <c r="BY44" s="1659"/>
      <c r="BZ44" s="1659"/>
      <c r="CA44" s="1659"/>
      <c r="CB44" s="1659">
        <v>1</v>
      </c>
      <c r="CC44" s="1659">
        <v>0</v>
      </c>
      <c r="CD44" s="1659"/>
      <c r="CE44" s="105"/>
      <c r="CF44" s="105"/>
      <c r="CG44" s="105">
        <v>1</v>
      </c>
      <c r="CH44" s="105"/>
      <c r="CJ44" s="1359"/>
      <c r="CK44" s="1359"/>
      <c r="CL44" s="1360" t="s">
        <v>242</v>
      </c>
      <c r="CM44" s="1361" t="s">
        <v>1231</v>
      </c>
      <c r="CN44" s="1362"/>
      <c r="CO44" s="1362"/>
      <c r="CP44" s="1363">
        <v>2</v>
      </c>
      <c r="CQ44" s="1363">
        <v>2</v>
      </c>
      <c r="CR44" s="1363">
        <v>4</v>
      </c>
      <c r="CS44" s="1363">
        <v>11</v>
      </c>
      <c r="CT44" s="1362"/>
      <c r="CU44" s="1362"/>
      <c r="CV44" s="686"/>
      <c r="CW44" s="686"/>
      <c r="CX44" s="687">
        <v>19</v>
      </c>
      <c r="CY44" s="41"/>
      <c r="DA44" s="602"/>
      <c r="DB44" s="602"/>
      <c r="DC44" s="603"/>
      <c r="DD44" s="604" t="s">
        <v>1235</v>
      </c>
      <c r="DE44" s="606">
        <v>0</v>
      </c>
      <c r="DF44" s="605"/>
      <c r="DG44" s="605"/>
      <c r="DH44" s="605"/>
      <c r="DI44" s="605"/>
      <c r="DJ44" s="606">
        <v>2</v>
      </c>
      <c r="DK44" s="606">
        <v>3</v>
      </c>
      <c r="DL44" s="606">
        <v>0</v>
      </c>
      <c r="DM44" s="602"/>
      <c r="DN44" s="602"/>
      <c r="DO44" s="607">
        <v>5</v>
      </c>
      <c r="DP44" s="105"/>
      <c r="DR44" s="608"/>
      <c r="DS44" s="608"/>
      <c r="DT44" s="608"/>
      <c r="DU44" s="609" t="s">
        <v>1235</v>
      </c>
      <c r="DV44" s="610"/>
      <c r="DW44" s="611">
        <v>0</v>
      </c>
      <c r="DX44" s="610"/>
      <c r="DY44" s="611">
        <v>0</v>
      </c>
      <c r="DZ44" s="610"/>
      <c r="EA44" s="610"/>
      <c r="EB44" s="611">
        <v>6</v>
      </c>
      <c r="EC44" s="611">
        <v>0</v>
      </c>
      <c r="ED44" s="611">
        <v>0</v>
      </c>
      <c r="EE44" s="612"/>
      <c r="EF44" s="612"/>
      <c r="EG44" s="613">
        <v>6</v>
      </c>
      <c r="EH44" s="614"/>
      <c r="EK44" s="615"/>
      <c r="EL44" s="615"/>
      <c r="EM44" s="616" t="s">
        <v>1344</v>
      </c>
      <c r="EN44" s="617"/>
      <c r="EO44" s="618">
        <v>0</v>
      </c>
      <c r="EP44" s="618">
        <v>1</v>
      </c>
      <c r="EQ44" s="618">
        <v>0</v>
      </c>
      <c r="ER44" s="618">
        <v>0</v>
      </c>
      <c r="ES44" s="618">
        <v>0</v>
      </c>
      <c r="ET44" s="618">
        <v>0</v>
      </c>
      <c r="EU44" s="618">
        <v>0</v>
      </c>
      <c r="EV44" s="617"/>
      <c r="EW44" s="617"/>
      <c r="EX44" s="618">
        <v>1</v>
      </c>
      <c r="EY44" s="515"/>
      <c r="FA44" s="70"/>
      <c r="FB44" s="70"/>
      <c r="FC44" s="42"/>
      <c r="FD44" s="42" t="s">
        <v>1240</v>
      </c>
      <c r="FE44" s="70"/>
      <c r="FF44" s="70"/>
      <c r="FG44" s="70">
        <v>0</v>
      </c>
      <c r="FH44" s="70">
        <v>1</v>
      </c>
      <c r="FI44" s="70">
        <v>0</v>
      </c>
      <c r="FJ44" s="70">
        <v>3</v>
      </c>
      <c r="FK44" s="70">
        <v>0</v>
      </c>
      <c r="FL44" s="70"/>
      <c r="FM44" s="70"/>
      <c r="FN44" s="70"/>
      <c r="FO44" s="70">
        <v>4</v>
      </c>
      <c r="FP44" s="42"/>
      <c r="FQ44" s="42"/>
      <c r="FR44" s="516"/>
      <c r="FS44" s="516"/>
      <c r="FT44" s="516" t="s">
        <v>121</v>
      </c>
      <c r="FU44" s="516" t="s">
        <v>1230</v>
      </c>
      <c r="FV44" s="516">
        <v>0</v>
      </c>
      <c r="FW44" s="516">
        <v>0</v>
      </c>
      <c r="FX44" s="516">
        <v>0</v>
      </c>
      <c r="FY44" s="516">
        <v>0</v>
      </c>
      <c r="FZ44" s="516">
        <v>0</v>
      </c>
      <c r="GA44" s="516">
        <v>0</v>
      </c>
      <c r="GB44" s="516">
        <v>0</v>
      </c>
      <c r="GC44" s="516">
        <v>0</v>
      </c>
      <c r="GD44" s="516">
        <v>3</v>
      </c>
      <c r="GE44" s="516">
        <v>1</v>
      </c>
      <c r="GF44" s="516">
        <v>1</v>
      </c>
      <c r="GG44" s="517">
        <v>5</v>
      </c>
      <c r="GH44" s="619"/>
      <c r="GI44" s="518"/>
    </row>
    <row r="45" spans="2:191">
      <c r="D45" s="4800" t="s">
        <v>1233</v>
      </c>
      <c r="E45" s="4606"/>
      <c r="F45" s="4606">
        <v>1</v>
      </c>
      <c r="G45" s="4606">
        <v>1</v>
      </c>
      <c r="H45" s="4606"/>
      <c r="I45" s="4606"/>
      <c r="J45" s="4606"/>
      <c r="K45" s="4606">
        <v>0</v>
      </c>
      <c r="L45" s="4606">
        <v>0</v>
      </c>
      <c r="M45" s="4606"/>
      <c r="N45" s="2552"/>
      <c r="O45" s="2552"/>
      <c r="P45" s="2552">
        <v>2</v>
      </c>
      <c r="Q45" s="2552"/>
      <c r="R45" s="2552"/>
      <c r="V45" s="37" t="s">
        <v>1233</v>
      </c>
      <c r="W45" s="4803">
        <v>2</v>
      </c>
      <c r="X45" s="4803"/>
      <c r="Y45" s="4803"/>
      <c r="Z45" s="4803"/>
      <c r="AA45" s="4803">
        <v>0</v>
      </c>
      <c r="AB45" s="4803">
        <v>0</v>
      </c>
      <c r="AC45" s="4803">
        <v>0</v>
      </c>
      <c r="AD45" s="4803"/>
      <c r="AE45" s="1788"/>
      <c r="AF45" s="1788">
        <v>2</v>
      </c>
      <c r="AI45" s="41"/>
      <c r="AJ45" s="41" t="s">
        <v>16</v>
      </c>
      <c r="AK45" s="41" t="s">
        <v>117</v>
      </c>
      <c r="AL45" s="41" t="s">
        <v>1230</v>
      </c>
      <c r="AM45" s="2001">
        <v>0</v>
      </c>
      <c r="AN45" s="2001"/>
      <c r="AO45" s="2001"/>
      <c r="AP45" s="2001"/>
      <c r="AQ45" s="2001"/>
      <c r="AR45" s="2001">
        <v>0</v>
      </c>
      <c r="AS45" s="2001">
        <v>0</v>
      </c>
      <c r="AT45" s="2001">
        <v>1</v>
      </c>
      <c r="AU45" s="105"/>
      <c r="AV45" s="105"/>
      <c r="AW45" s="105">
        <v>1</v>
      </c>
      <c r="AX45" s="41"/>
      <c r="AZ45" s="42"/>
      <c r="BA45" s="42"/>
      <c r="BB45" s="42" t="s">
        <v>118</v>
      </c>
      <c r="BC45" s="42" t="s">
        <v>1230</v>
      </c>
      <c r="BD45" s="1993"/>
      <c r="BE45" s="1993">
        <v>0</v>
      </c>
      <c r="BF45" s="1993"/>
      <c r="BG45" s="1993"/>
      <c r="BH45" s="1993">
        <v>0</v>
      </c>
      <c r="BI45" s="1993"/>
      <c r="BJ45" s="1993"/>
      <c r="BK45" s="1993">
        <v>0</v>
      </c>
      <c r="BL45" s="1993">
        <v>4</v>
      </c>
      <c r="BM45" s="70"/>
      <c r="BN45" s="70"/>
      <c r="BO45" s="70">
        <v>4</v>
      </c>
      <c r="BR45" s="105"/>
      <c r="BS45" s="105"/>
      <c r="BT45" s="41"/>
      <c r="BU45" s="461" t="s">
        <v>15</v>
      </c>
      <c r="BV45" s="1660"/>
      <c r="BW45" s="1660"/>
      <c r="BX45" s="1660"/>
      <c r="BY45" s="1660"/>
      <c r="BZ45" s="1660"/>
      <c r="CA45" s="1660"/>
      <c r="CB45" s="1660">
        <v>8</v>
      </c>
      <c r="CC45" s="1660">
        <v>2</v>
      </c>
      <c r="CD45" s="1660"/>
      <c r="CE45" s="96"/>
      <c r="CF45" s="96"/>
      <c r="CG45" s="96">
        <v>10</v>
      </c>
      <c r="CH45" s="635">
        <f>+CG44/CG45</f>
        <v>0.1</v>
      </c>
      <c r="CJ45" s="1359"/>
      <c r="CK45" s="1359"/>
      <c r="CL45" s="1360"/>
      <c r="CM45" s="1361" t="s">
        <v>1235</v>
      </c>
      <c r="CN45" s="1362"/>
      <c r="CO45" s="1362"/>
      <c r="CP45" s="1363">
        <v>0</v>
      </c>
      <c r="CQ45" s="1363">
        <v>0</v>
      </c>
      <c r="CR45" s="1363">
        <v>0</v>
      </c>
      <c r="CS45" s="1363">
        <v>1</v>
      </c>
      <c r="CT45" s="1362"/>
      <c r="CU45" s="1362"/>
      <c r="CV45" s="686"/>
      <c r="CW45" s="686"/>
      <c r="CX45" s="687">
        <v>1</v>
      </c>
      <c r="CY45" s="41"/>
      <c r="DA45" s="602"/>
      <c r="DB45" s="602"/>
      <c r="DC45" s="603"/>
      <c r="DD45" s="604" t="s">
        <v>1240</v>
      </c>
      <c r="DE45" s="606">
        <v>0</v>
      </c>
      <c r="DF45" s="605"/>
      <c r="DG45" s="605"/>
      <c r="DH45" s="605"/>
      <c r="DI45" s="605"/>
      <c r="DJ45" s="606">
        <v>1</v>
      </c>
      <c r="DK45" s="606">
        <v>2</v>
      </c>
      <c r="DL45" s="606">
        <v>0</v>
      </c>
      <c r="DM45" s="602"/>
      <c r="DN45" s="602"/>
      <c r="DO45" s="607">
        <v>3</v>
      </c>
      <c r="DP45" s="105"/>
      <c r="DR45" s="608"/>
      <c r="DS45" s="608"/>
      <c r="DT45" s="608"/>
      <c r="DU45" s="609" t="s">
        <v>1239</v>
      </c>
      <c r="DV45" s="610"/>
      <c r="DW45" s="611">
        <v>0</v>
      </c>
      <c r="DX45" s="610"/>
      <c r="DY45" s="611">
        <v>0</v>
      </c>
      <c r="DZ45" s="610"/>
      <c r="EA45" s="610"/>
      <c r="EB45" s="611">
        <v>0</v>
      </c>
      <c r="EC45" s="611">
        <v>0</v>
      </c>
      <c r="ED45" s="611">
        <v>5</v>
      </c>
      <c r="EE45" s="612"/>
      <c r="EF45" s="612"/>
      <c r="EG45" s="613">
        <v>5</v>
      </c>
      <c r="EH45" s="614"/>
      <c r="EK45" s="615"/>
      <c r="EL45" s="615"/>
      <c r="EM45" s="625" t="s">
        <v>15</v>
      </c>
      <c r="EN45" s="626"/>
      <c r="EO45" s="627">
        <v>1</v>
      </c>
      <c r="EP45" s="627">
        <v>13</v>
      </c>
      <c r="EQ45" s="627">
        <v>8</v>
      </c>
      <c r="ER45" s="627">
        <v>3</v>
      </c>
      <c r="ES45" s="627">
        <v>3</v>
      </c>
      <c r="ET45" s="627">
        <v>1</v>
      </c>
      <c r="EU45" s="627">
        <v>4</v>
      </c>
      <c r="EV45" s="626"/>
      <c r="EW45" s="626"/>
      <c r="EX45" s="627">
        <v>33</v>
      </c>
      <c r="EY45" s="628">
        <f>+(EX44+EX43)/EX45</f>
        <v>9.0909090909090912E-2</v>
      </c>
      <c r="FA45" s="70"/>
      <c r="FB45" s="70"/>
      <c r="FC45" s="42"/>
      <c r="FD45" s="42" t="s">
        <v>1344</v>
      </c>
      <c r="FE45" s="70"/>
      <c r="FF45" s="70"/>
      <c r="FG45" s="70">
        <v>2</v>
      </c>
      <c r="FH45" s="70">
        <v>1</v>
      </c>
      <c r="FI45" s="70">
        <v>0</v>
      </c>
      <c r="FJ45" s="70">
        <v>0</v>
      </c>
      <c r="FK45" s="70">
        <v>0</v>
      </c>
      <c r="FL45" s="70"/>
      <c r="FM45" s="70"/>
      <c r="FN45" s="70"/>
      <c r="FO45" s="70">
        <v>3</v>
      </c>
      <c r="FP45" s="42"/>
      <c r="FQ45" s="42"/>
      <c r="FR45" s="516"/>
      <c r="FS45" s="516"/>
      <c r="FT45" s="516"/>
      <c r="FU45" s="516" t="s">
        <v>1231</v>
      </c>
      <c r="FV45" s="516">
        <v>0</v>
      </c>
      <c r="FW45" s="516">
        <v>0</v>
      </c>
      <c r="FX45" s="516">
        <v>0</v>
      </c>
      <c r="FY45" s="516">
        <v>0</v>
      </c>
      <c r="FZ45" s="516">
        <v>0</v>
      </c>
      <c r="GA45" s="516">
        <v>0</v>
      </c>
      <c r="GB45" s="516">
        <v>1</v>
      </c>
      <c r="GC45" s="516">
        <v>1</v>
      </c>
      <c r="GD45" s="516">
        <v>0</v>
      </c>
      <c r="GE45" s="516">
        <v>0</v>
      </c>
      <c r="GF45" s="516">
        <v>0</v>
      </c>
      <c r="GG45" s="517">
        <v>2</v>
      </c>
      <c r="GH45" s="619"/>
      <c r="GI45" s="518"/>
    </row>
    <row r="46" spans="2:191">
      <c r="D46" s="4800" t="s">
        <v>1235</v>
      </c>
      <c r="E46" s="4606"/>
      <c r="F46" s="4606">
        <v>0</v>
      </c>
      <c r="G46" s="4606">
        <v>0</v>
      </c>
      <c r="H46" s="4606"/>
      <c r="I46" s="4606"/>
      <c r="J46" s="4606"/>
      <c r="K46" s="4606">
        <v>3</v>
      </c>
      <c r="L46" s="4606">
        <v>0</v>
      </c>
      <c r="M46" s="4606"/>
      <c r="N46" s="2552"/>
      <c r="O46" s="2552"/>
      <c r="P46" s="2552">
        <v>3</v>
      </c>
      <c r="Q46" s="2552"/>
      <c r="R46" s="2552"/>
      <c r="V46" s="37" t="s">
        <v>1239</v>
      </c>
      <c r="W46" s="4803">
        <v>0</v>
      </c>
      <c r="X46" s="4803"/>
      <c r="Y46" s="4803"/>
      <c r="Z46" s="4803"/>
      <c r="AA46" s="4803">
        <v>0</v>
      </c>
      <c r="AB46" s="4803">
        <v>0</v>
      </c>
      <c r="AC46" s="4803">
        <v>2</v>
      </c>
      <c r="AD46" s="4803"/>
      <c r="AE46" s="1788"/>
      <c r="AF46" s="1788">
        <v>2</v>
      </c>
      <c r="AI46" s="41"/>
      <c r="AJ46" s="41"/>
      <c r="AK46" s="41"/>
      <c r="AL46" s="41" t="s">
        <v>1231</v>
      </c>
      <c r="AM46" s="2001">
        <v>0</v>
      </c>
      <c r="AN46" s="2001"/>
      <c r="AO46" s="2001"/>
      <c r="AP46" s="2001"/>
      <c r="AQ46" s="2001"/>
      <c r="AR46" s="2001">
        <v>0</v>
      </c>
      <c r="AS46" s="2001">
        <v>4</v>
      </c>
      <c r="AT46" s="2001">
        <v>0</v>
      </c>
      <c r="AU46" s="105"/>
      <c r="AV46" s="105"/>
      <c r="AW46" s="105">
        <v>4</v>
      </c>
      <c r="AX46" s="41"/>
      <c r="AZ46" s="42"/>
      <c r="BA46" s="42"/>
      <c r="BB46" s="42"/>
      <c r="BC46" s="42" t="s">
        <v>1231</v>
      </c>
      <c r="BD46" s="1993"/>
      <c r="BE46" s="1993">
        <v>1</v>
      </c>
      <c r="BF46" s="1993"/>
      <c r="BG46" s="1993"/>
      <c r="BH46" s="1993">
        <v>0</v>
      </c>
      <c r="BI46" s="1993"/>
      <c r="BJ46" s="1993"/>
      <c r="BK46" s="1993">
        <v>4</v>
      </c>
      <c r="BL46" s="1993">
        <v>0</v>
      </c>
      <c r="BM46" s="70"/>
      <c r="BN46" s="70"/>
      <c r="BO46" s="70">
        <v>5</v>
      </c>
      <c r="BR46" s="105"/>
      <c r="BS46" s="105"/>
      <c r="BT46" s="41" t="s">
        <v>118</v>
      </c>
      <c r="BU46" s="41" t="s">
        <v>1231</v>
      </c>
      <c r="BV46" s="1659"/>
      <c r="BW46" s="1659">
        <v>1</v>
      </c>
      <c r="BX46" s="1659"/>
      <c r="BY46" s="1659"/>
      <c r="BZ46" s="1659"/>
      <c r="CA46" s="1659"/>
      <c r="CB46" s="1659"/>
      <c r="CC46" s="1659">
        <v>1</v>
      </c>
      <c r="CD46" s="1659">
        <v>1</v>
      </c>
      <c r="CE46" s="105">
        <v>1</v>
      </c>
      <c r="CF46" s="105">
        <v>0</v>
      </c>
      <c r="CG46" s="105">
        <v>4</v>
      </c>
      <c r="CH46" s="105"/>
      <c r="CJ46" s="1359"/>
      <c r="CK46" s="1359"/>
      <c r="CL46" s="1360"/>
      <c r="CM46" s="1361" t="s">
        <v>1240</v>
      </c>
      <c r="CN46" s="1362"/>
      <c r="CO46" s="1362"/>
      <c r="CP46" s="1363">
        <v>0</v>
      </c>
      <c r="CQ46" s="1363">
        <v>0</v>
      </c>
      <c r="CR46" s="1363">
        <v>0</v>
      </c>
      <c r="CS46" s="1363">
        <v>1</v>
      </c>
      <c r="CT46" s="1362"/>
      <c r="CU46" s="1362"/>
      <c r="CV46" s="686"/>
      <c r="CW46" s="686"/>
      <c r="CX46" s="687">
        <v>1</v>
      </c>
      <c r="CY46" s="41"/>
      <c r="DA46" s="602"/>
      <c r="DB46" s="602"/>
      <c r="DC46" s="603"/>
      <c r="DD46" s="604" t="s">
        <v>1344</v>
      </c>
      <c r="DE46" s="606">
        <v>0</v>
      </c>
      <c r="DF46" s="605"/>
      <c r="DG46" s="605"/>
      <c r="DH46" s="605"/>
      <c r="DI46" s="605"/>
      <c r="DJ46" s="606">
        <v>0</v>
      </c>
      <c r="DK46" s="606">
        <v>1</v>
      </c>
      <c r="DL46" s="606">
        <v>0</v>
      </c>
      <c r="DM46" s="602"/>
      <c r="DN46" s="602"/>
      <c r="DO46" s="607">
        <v>1</v>
      </c>
      <c r="DP46" s="105"/>
      <c r="DR46" s="608"/>
      <c r="DS46" s="608"/>
      <c r="DT46" s="608"/>
      <c r="DU46" s="609" t="s">
        <v>1240</v>
      </c>
      <c r="DV46" s="610"/>
      <c r="DW46" s="611">
        <v>0</v>
      </c>
      <c r="DX46" s="610"/>
      <c r="DY46" s="611">
        <v>0</v>
      </c>
      <c r="DZ46" s="610"/>
      <c r="EA46" s="610"/>
      <c r="EB46" s="611">
        <v>2</v>
      </c>
      <c r="EC46" s="611">
        <v>0</v>
      </c>
      <c r="ED46" s="611">
        <v>0</v>
      </c>
      <c r="EE46" s="612"/>
      <c r="EF46" s="612"/>
      <c r="EG46" s="613">
        <v>2</v>
      </c>
      <c r="EH46" s="614"/>
      <c r="FA46" s="70"/>
      <c r="FB46" s="70"/>
      <c r="FC46" s="42"/>
      <c r="FD46" s="484" t="s">
        <v>15</v>
      </c>
      <c r="FE46" s="454"/>
      <c r="FF46" s="454"/>
      <c r="FG46" s="454">
        <v>27</v>
      </c>
      <c r="FH46" s="454">
        <v>8</v>
      </c>
      <c r="FI46" s="454">
        <v>4</v>
      </c>
      <c r="FJ46" s="454">
        <v>5</v>
      </c>
      <c r="FK46" s="454">
        <v>2</v>
      </c>
      <c r="FL46" s="454"/>
      <c r="FM46" s="454"/>
      <c r="FN46" s="454"/>
      <c r="FO46" s="454">
        <v>46</v>
      </c>
      <c r="FP46" s="536">
        <f>+(FO41+FO44+FO45)/FO46</f>
        <v>0.2391304347826087</v>
      </c>
      <c r="FQ46" s="42"/>
      <c r="FR46" s="516"/>
      <c r="FS46" s="516"/>
      <c r="FT46" s="516"/>
      <c r="FU46" s="516" t="s">
        <v>1233</v>
      </c>
      <c r="FV46" s="516">
        <v>0</v>
      </c>
      <c r="FW46" s="516">
        <v>1</v>
      </c>
      <c r="FX46" s="516">
        <v>1</v>
      </c>
      <c r="FY46" s="516">
        <v>0</v>
      </c>
      <c r="FZ46" s="516">
        <v>0</v>
      </c>
      <c r="GA46" s="516">
        <v>0</v>
      </c>
      <c r="GB46" s="516">
        <v>0</v>
      </c>
      <c r="GC46" s="516">
        <v>0</v>
      </c>
      <c r="GD46" s="516">
        <v>0</v>
      </c>
      <c r="GE46" s="516">
        <v>0</v>
      </c>
      <c r="GF46" s="516">
        <v>0</v>
      </c>
      <c r="GG46" s="517">
        <v>2</v>
      </c>
      <c r="GH46" s="619"/>
      <c r="GI46" s="518"/>
    </row>
    <row r="47" spans="2:191">
      <c r="D47" s="4800" t="s">
        <v>1239</v>
      </c>
      <c r="E47" s="4606"/>
      <c r="F47" s="4606">
        <v>0</v>
      </c>
      <c r="G47" s="4606">
        <v>0</v>
      </c>
      <c r="H47" s="4606"/>
      <c r="I47" s="4606"/>
      <c r="J47" s="4606"/>
      <c r="K47" s="4606">
        <v>0</v>
      </c>
      <c r="L47" s="4606">
        <v>4</v>
      </c>
      <c r="M47" s="4606"/>
      <c r="N47" s="2552"/>
      <c r="O47" s="2552"/>
      <c r="P47" s="2552">
        <v>4</v>
      </c>
      <c r="Q47" s="2552"/>
      <c r="R47" s="2552"/>
      <c r="V47" s="1793" t="s">
        <v>15</v>
      </c>
      <c r="W47" s="4804">
        <v>2</v>
      </c>
      <c r="X47" s="4804"/>
      <c r="Y47" s="4804"/>
      <c r="Z47" s="4804"/>
      <c r="AA47" s="4804">
        <v>1</v>
      </c>
      <c r="AB47" s="4804">
        <v>7</v>
      </c>
      <c r="AC47" s="4804">
        <v>2</v>
      </c>
      <c r="AD47" s="4804"/>
      <c r="AE47" s="4702"/>
      <c r="AF47" s="4702">
        <v>12</v>
      </c>
      <c r="AG47" s="4703">
        <v>0</v>
      </c>
      <c r="AI47" s="41"/>
      <c r="AJ47" s="41"/>
      <c r="AK47" s="41"/>
      <c r="AL47" s="41" t="s">
        <v>1233</v>
      </c>
      <c r="AM47" s="2001">
        <v>1</v>
      </c>
      <c r="AN47" s="2001"/>
      <c r="AO47" s="2001"/>
      <c r="AP47" s="2001"/>
      <c r="AQ47" s="2001"/>
      <c r="AR47" s="2001">
        <v>0</v>
      </c>
      <c r="AS47" s="2001">
        <v>0</v>
      </c>
      <c r="AT47" s="2001">
        <v>0</v>
      </c>
      <c r="AU47" s="105"/>
      <c r="AV47" s="105"/>
      <c r="AW47" s="105">
        <v>1</v>
      </c>
      <c r="AX47" s="41"/>
      <c r="AZ47" s="42"/>
      <c r="BA47" s="42"/>
      <c r="BB47" s="42"/>
      <c r="BC47" s="42" t="s">
        <v>1236</v>
      </c>
      <c r="BD47" s="1993"/>
      <c r="BE47" s="1993">
        <v>0</v>
      </c>
      <c r="BF47" s="1993"/>
      <c r="BG47" s="1993"/>
      <c r="BH47" s="1993">
        <v>1</v>
      </c>
      <c r="BI47" s="1993"/>
      <c r="BJ47" s="1993"/>
      <c r="BK47" s="1993">
        <v>0</v>
      </c>
      <c r="BL47" s="1993">
        <v>0</v>
      </c>
      <c r="BM47" s="70"/>
      <c r="BN47" s="70"/>
      <c r="BO47" s="70">
        <v>1</v>
      </c>
      <c r="BR47" s="105"/>
      <c r="BS47" s="105"/>
      <c r="BT47" s="41"/>
      <c r="BU47" s="41" t="s">
        <v>1233</v>
      </c>
      <c r="BV47" s="1659"/>
      <c r="BW47" s="1659">
        <v>1</v>
      </c>
      <c r="BX47" s="1659"/>
      <c r="BY47" s="1659"/>
      <c r="BZ47" s="1659"/>
      <c r="CA47" s="1659"/>
      <c r="CB47" s="1659"/>
      <c r="CC47" s="1659">
        <v>0</v>
      </c>
      <c r="CD47" s="1659">
        <v>0</v>
      </c>
      <c r="CE47" s="105">
        <v>0</v>
      </c>
      <c r="CF47" s="105">
        <v>0</v>
      </c>
      <c r="CG47" s="105">
        <v>1</v>
      </c>
      <c r="CH47" s="105"/>
      <c r="CJ47" s="1359"/>
      <c r="CK47" s="1359"/>
      <c r="CL47" s="1360"/>
      <c r="CM47" s="1361" t="s">
        <v>1344</v>
      </c>
      <c r="CN47" s="1362"/>
      <c r="CO47" s="1362"/>
      <c r="CP47" s="1363">
        <v>0</v>
      </c>
      <c r="CQ47" s="1363">
        <v>0</v>
      </c>
      <c r="CR47" s="1363">
        <v>0</v>
      </c>
      <c r="CS47" s="1363">
        <v>4</v>
      </c>
      <c r="CT47" s="1362"/>
      <c r="CU47" s="1362"/>
      <c r="CV47" s="686"/>
      <c r="CW47" s="686"/>
      <c r="CX47" s="687">
        <v>4</v>
      </c>
      <c r="CY47" s="41"/>
      <c r="DA47" s="602"/>
      <c r="DB47" s="602"/>
      <c r="DC47" s="603"/>
      <c r="DD47" s="630" t="s">
        <v>15</v>
      </c>
      <c r="DE47" s="632">
        <v>1</v>
      </c>
      <c r="DF47" s="631"/>
      <c r="DG47" s="631"/>
      <c r="DH47" s="631"/>
      <c r="DI47" s="631"/>
      <c r="DJ47" s="632">
        <v>5</v>
      </c>
      <c r="DK47" s="632">
        <v>6</v>
      </c>
      <c r="DL47" s="632">
        <v>3</v>
      </c>
      <c r="DM47" s="633"/>
      <c r="DN47" s="633"/>
      <c r="DO47" s="634">
        <v>15</v>
      </c>
      <c r="DP47" s="635">
        <f>+(DO44+DO45+DO46)/DO47</f>
        <v>0.6</v>
      </c>
      <c r="DR47" s="608"/>
      <c r="DS47" s="608"/>
      <c r="DT47" s="608"/>
      <c r="DU47" s="609" t="s">
        <v>1344</v>
      </c>
      <c r="DV47" s="610"/>
      <c r="DW47" s="611">
        <v>0</v>
      </c>
      <c r="DX47" s="610"/>
      <c r="DY47" s="611">
        <v>0</v>
      </c>
      <c r="DZ47" s="610"/>
      <c r="EA47" s="610"/>
      <c r="EB47" s="611">
        <v>7</v>
      </c>
      <c r="EC47" s="611">
        <v>0</v>
      </c>
      <c r="ED47" s="611">
        <v>0</v>
      </c>
      <c r="EE47" s="612"/>
      <c r="EF47" s="612"/>
      <c r="EG47" s="613">
        <v>7</v>
      </c>
      <c r="EH47" s="614"/>
      <c r="EJ47" s="615" t="s">
        <v>25</v>
      </c>
      <c r="EK47" s="615" t="s">
        <v>4</v>
      </c>
      <c r="EL47" s="615" t="s">
        <v>120</v>
      </c>
      <c r="EM47" s="616" t="s">
        <v>1230</v>
      </c>
      <c r="EN47" s="617"/>
      <c r="EO47" s="617"/>
      <c r="EP47" s="617"/>
      <c r="EQ47" s="617"/>
      <c r="ER47" s="617"/>
      <c r="ES47" s="617"/>
      <c r="ET47" s="618">
        <v>0</v>
      </c>
      <c r="EU47" s="618">
        <v>0</v>
      </c>
      <c r="EV47" s="618">
        <v>1</v>
      </c>
      <c r="EW47" s="617"/>
      <c r="EX47" s="618">
        <v>1</v>
      </c>
      <c r="EY47" s="515"/>
      <c r="FA47" s="70" t="s">
        <v>25</v>
      </c>
      <c r="FB47" s="70" t="s">
        <v>4</v>
      </c>
      <c r="FC47" s="42" t="s">
        <v>120</v>
      </c>
      <c r="FD47" s="42" t="s">
        <v>1230</v>
      </c>
      <c r="FE47" s="70"/>
      <c r="FF47" s="70"/>
      <c r="FG47" s="70"/>
      <c r="FH47" s="70"/>
      <c r="FI47" s="70"/>
      <c r="FJ47" s="70"/>
      <c r="FK47" s="70">
        <v>0</v>
      </c>
      <c r="FL47" s="70">
        <v>1</v>
      </c>
      <c r="FM47" s="70"/>
      <c r="FN47" s="70">
        <v>1</v>
      </c>
      <c r="FO47" s="70">
        <v>2</v>
      </c>
      <c r="FP47" s="42"/>
      <c r="FQ47" s="42"/>
      <c r="FR47" s="516"/>
      <c r="FS47" s="516"/>
      <c r="FT47" s="516"/>
      <c r="FU47" s="516" t="s">
        <v>1235</v>
      </c>
      <c r="FV47" s="516">
        <v>0</v>
      </c>
      <c r="FW47" s="516">
        <v>0</v>
      </c>
      <c r="FX47" s="516">
        <v>0</v>
      </c>
      <c r="FY47" s="516">
        <v>0</v>
      </c>
      <c r="FZ47" s="516">
        <v>0</v>
      </c>
      <c r="GA47" s="516">
        <v>0</v>
      </c>
      <c r="GB47" s="516">
        <v>0</v>
      </c>
      <c r="GC47" s="516">
        <v>2</v>
      </c>
      <c r="GD47" s="516">
        <v>0</v>
      </c>
      <c r="GE47" s="516">
        <v>0</v>
      </c>
      <c r="GF47" s="516">
        <v>0</v>
      </c>
      <c r="GG47" s="517">
        <v>2</v>
      </c>
      <c r="GH47" s="619"/>
      <c r="GI47" s="518"/>
    </row>
    <row r="48" spans="2:191">
      <c r="D48" s="32" t="s">
        <v>15</v>
      </c>
      <c r="E48" s="4607"/>
      <c r="F48" s="4607">
        <v>1</v>
      </c>
      <c r="G48" s="4607">
        <v>1</v>
      </c>
      <c r="H48" s="4607"/>
      <c r="I48" s="4607"/>
      <c r="J48" s="4607"/>
      <c r="K48" s="4607">
        <v>5</v>
      </c>
      <c r="L48" s="4607">
        <v>4</v>
      </c>
      <c r="M48" s="4607"/>
      <c r="N48" s="4583"/>
      <c r="O48" s="4583"/>
      <c r="P48" s="4583">
        <v>11</v>
      </c>
      <c r="Q48" s="1977">
        <f>+P46/P48</f>
        <v>0.27272727272727271</v>
      </c>
      <c r="R48" s="1977"/>
      <c r="U48" s="37" t="s">
        <v>118</v>
      </c>
      <c r="V48" s="37" t="s">
        <v>1231</v>
      </c>
      <c r="W48" s="4803"/>
      <c r="X48" s="4803"/>
      <c r="Y48" s="4803">
        <v>0</v>
      </c>
      <c r="Z48" s="4803"/>
      <c r="AA48" s="4803">
        <v>2</v>
      </c>
      <c r="AB48" s="4803">
        <v>4</v>
      </c>
      <c r="AC48" s="4803">
        <v>0</v>
      </c>
      <c r="AD48" s="4803"/>
      <c r="AE48" s="1788"/>
      <c r="AF48" s="1788">
        <v>6</v>
      </c>
      <c r="AI48" s="41"/>
      <c r="AJ48" s="41"/>
      <c r="AK48" s="41"/>
      <c r="AL48" s="41" t="s">
        <v>1235</v>
      </c>
      <c r="AM48" s="2001">
        <v>0</v>
      </c>
      <c r="AN48" s="2001"/>
      <c r="AO48" s="2001"/>
      <c r="AP48" s="2001"/>
      <c r="AQ48" s="2001"/>
      <c r="AR48" s="2001">
        <v>2</v>
      </c>
      <c r="AS48" s="2001">
        <v>2</v>
      </c>
      <c r="AT48" s="2001">
        <v>0</v>
      </c>
      <c r="AU48" s="105"/>
      <c r="AV48" s="105"/>
      <c r="AW48" s="105">
        <v>4</v>
      </c>
      <c r="AX48" s="41"/>
      <c r="AZ48" s="42"/>
      <c r="BA48" s="42"/>
      <c r="BB48" s="42"/>
      <c r="BC48" s="42" t="s">
        <v>1239</v>
      </c>
      <c r="BD48" s="1993"/>
      <c r="BE48" s="1993">
        <v>0</v>
      </c>
      <c r="BF48" s="1993"/>
      <c r="BG48" s="1993"/>
      <c r="BH48" s="1993">
        <v>0</v>
      </c>
      <c r="BI48" s="1993"/>
      <c r="BJ48" s="1993"/>
      <c r="BK48" s="1993">
        <v>0</v>
      </c>
      <c r="BL48" s="1993">
        <v>6</v>
      </c>
      <c r="BM48" s="70"/>
      <c r="BN48" s="70"/>
      <c r="BO48" s="70">
        <v>6</v>
      </c>
      <c r="BR48" s="105"/>
      <c r="BS48" s="105"/>
      <c r="BT48" s="41"/>
      <c r="BU48" s="41" t="s">
        <v>1239</v>
      </c>
      <c r="BV48" s="1659"/>
      <c r="BW48" s="1659">
        <v>0</v>
      </c>
      <c r="BX48" s="1659"/>
      <c r="BY48" s="1659"/>
      <c r="BZ48" s="1659"/>
      <c r="CA48" s="1659"/>
      <c r="CB48" s="1659"/>
      <c r="CC48" s="1659">
        <v>0</v>
      </c>
      <c r="CD48" s="1659">
        <v>1</v>
      </c>
      <c r="CE48" s="105">
        <v>2</v>
      </c>
      <c r="CF48" s="105">
        <v>1</v>
      </c>
      <c r="CG48" s="105">
        <v>4</v>
      </c>
      <c r="CH48" s="105"/>
      <c r="CJ48" s="1359"/>
      <c r="CK48" s="1359"/>
      <c r="CL48" s="1360"/>
      <c r="CM48" s="483" t="s">
        <v>15</v>
      </c>
      <c r="CN48" s="1364"/>
      <c r="CO48" s="1364"/>
      <c r="CP48" s="1365">
        <v>2</v>
      </c>
      <c r="CQ48" s="1365">
        <v>2</v>
      </c>
      <c r="CR48" s="1365">
        <v>4</v>
      </c>
      <c r="CS48" s="1365">
        <v>17</v>
      </c>
      <c r="CT48" s="1364"/>
      <c r="CU48" s="1364"/>
      <c r="CV48" s="695"/>
      <c r="CW48" s="695"/>
      <c r="CX48" s="696">
        <v>25</v>
      </c>
      <c r="CY48" s="1325">
        <f>+(CX45+CX46+CX47)/CX48</f>
        <v>0.24</v>
      </c>
      <c r="DA48" s="602"/>
      <c r="DB48" s="602"/>
      <c r="DC48" s="603" t="s">
        <v>508</v>
      </c>
      <c r="DD48" s="604" t="s">
        <v>1231</v>
      </c>
      <c r="DE48" s="605"/>
      <c r="DF48" s="605"/>
      <c r="DG48" s="605"/>
      <c r="DH48" s="605"/>
      <c r="DI48" s="605"/>
      <c r="DJ48" s="606">
        <v>3</v>
      </c>
      <c r="DK48" s="606">
        <v>3</v>
      </c>
      <c r="DL48" s="606">
        <v>0</v>
      </c>
      <c r="DM48" s="602"/>
      <c r="DN48" s="602"/>
      <c r="DO48" s="607">
        <v>6</v>
      </c>
      <c r="DP48" s="105"/>
      <c r="DR48" s="608"/>
      <c r="DS48" s="608"/>
      <c r="DT48" s="608"/>
      <c r="DU48" s="620" t="s">
        <v>545</v>
      </c>
      <c r="DV48" s="621"/>
      <c r="DW48" s="622">
        <v>3</v>
      </c>
      <c r="DX48" s="621"/>
      <c r="DY48" s="622">
        <v>1</v>
      </c>
      <c r="DZ48" s="621"/>
      <c r="EA48" s="621"/>
      <c r="EB48" s="622">
        <v>37</v>
      </c>
      <c r="EC48" s="622">
        <v>1</v>
      </c>
      <c r="ED48" s="622">
        <v>6</v>
      </c>
      <c r="EE48" s="623"/>
      <c r="EF48" s="623"/>
      <c r="EG48" s="624">
        <v>48</v>
      </c>
      <c r="EH48" s="614">
        <f>+(EG47+EG46+EG44)/EG48</f>
        <v>0.3125</v>
      </c>
      <c r="EJ48" s="615"/>
      <c r="EK48" s="615"/>
      <c r="EL48" s="615"/>
      <c r="EM48" s="616" t="s">
        <v>1239</v>
      </c>
      <c r="EN48" s="617"/>
      <c r="EO48" s="617"/>
      <c r="EP48" s="617"/>
      <c r="EQ48" s="617"/>
      <c r="ER48" s="617"/>
      <c r="ES48" s="617"/>
      <c r="ET48" s="618">
        <v>1</v>
      </c>
      <c r="EU48" s="618">
        <v>2</v>
      </c>
      <c r="EV48" s="618">
        <v>2</v>
      </c>
      <c r="EW48" s="617"/>
      <c r="EX48" s="618">
        <v>5</v>
      </c>
      <c r="EY48" s="515"/>
      <c r="FA48" s="70"/>
      <c r="FB48" s="70"/>
      <c r="FC48" s="42"/>
      <c r="FD48" s="42" t="s">
        <v>1231</v>
      </c>
      <c r="FE48" s="70"/>
      <c r="FF48" s="70"/>
      <c r="FG48" s="70"/>
      <c r="FH48" s="70"/>
      <c r="FI48" s="70"/>
      <c r="FJ48" s="70"/>
      <c r="FK48" s="70">
        <v>1</v>
      </c>
      <c r="FL48" s="70">
        <v>0</v>
      </c>
      <c r="FM48" s="70"/>
      <c r="FN48" s="70">
        <v>0</v>
      </c>
      <c r="FO48" s="70">
        <v>1</v>
      </c>
      <c r="FP48" s="42"/>
      <c r="FQ48" s="42"/>
      <c r="FR48" s="516"/>
      <c r="FS48" s="516"/>
      <c r="FT48" s="516"/>
      <c r="FU48" s="516" t="s">
        <v>1236</v>
      </c>
      <c r="FV48" s="516">
        <v>0</v>
      </c>
      <c r="FW48" s="516">
        <v>0</v>
      </c>
      <c r="FX48" s="516">
        <v>0</v>
      </c>
      <c r="FY48" s="516">
        <v>0</v>
      </c>
      <c r="FZ48" s="516">
        <v>1</v>
      </c>
      <c r="GA48" s="516">
        <v>0</v>
      </c>
      <c r="GB48" s="516">
        <v>0</v>
      </c>
      <c r="GC48" s="516">
        <v>0</v>
      </c>
      <c r="GD48" s="516">
        <v>0</v>
      </c>
      <c r="GE48" s="516">
        <v>0</v>
      </c>
      <c r="GF48" s="516">
        <v>0</v>
      </c>
      <c r="GG48" s="517">
        <v>1</v>
      </c>
      <c r="GH48" s="619"/>
      <c r="GI48" s="518"/>
    </row>
    <row r="49" spans="3:191">
      <c r="C49" s="4800" t="s">
        <v>242</v>
      </c>
      <c r="D49" s="4800" t="s">
        <v>1231</v>
      </c>
      <c r="E49" s="4606"/>
      <c r="F49" s="4606">
        <v>0</v>
      </c>
      <c r="G49" s="4606"/>
      <c r="H49" s="4606"/>
      <c r="I49" s="4606"/>
      <c r="J49" s="4606">
        <v>1</v>
      </c>
      <c r="K49" s="4606">
        <v>7</v>
      </c>
      <c r="L49" s="4606">
        <v>0</v>
      </c>
      <c r="M49" s="4606"/>
      <c r="N49" s="2552"/>
      <c r="O49" s="2552"/>
      <c r="P49" s="2552">
        <v>8</v>
      </c>
      <c r="Q49" s="2552"/>
      <c r="R49" s="2552"/>
      <c r="V49" s="37" t="s">
        <v>1233</v>
      </c>
      <c r="W49" s="4803"/>
      <c r="X49" s="4803"/>
      <c r="Y49" s="4803">
        <v>1</v>
      </c>
      <c r="Z49" s="4803"/>
      <c r="AA49" s="4803">
        <v>0</v>
      </c>
      <c r="AB49" s="4803">
        <v>0</v>
      </c>
      <c r="AC49" s="4803">
        <v>0</v>
      </c>
      <c r="AD49" s="4803"/>
      <c r="AE49" s="1788"/>
      <c r="AF49" s="1788">
        <v>1</v>
      </c>
      <c r="AI49" s="41"/>
      <c r="AJ49" s="41"/>
      <c r="AK49" s="41"/>
      <c r="AL49" s="41" t="s">
        <v>1239</v>
      </c>
      <c r="AM49" s="2001">
        <v>0</v>
      </c>
      <c r="AN49" s="2001"/>
      <c r="AO49" s="2001"/>
      <c r="AP49" s="2001"/>
      <c r="AQ49" s="2001"/>
      <c r="AR49" s="2001">
        <v>0</v>
      </c>
      <c r="AS49" s="2001">
        <v>0</v>
      </c>
      <c r="AT49" s="2001">
        <v>1</v>
      </c>
      <c r="AU49" s="105"/>
      <c r="AV49" s="105"/>
      <c r="AW49" s="105">
        <v>1</v>
      </c>
      <c r="AX49" s="41"/>
      <c r="AZ49" s="42"/>
      <c r="BA49" s="42"/>
      <c r="BB49" s="42"/>
      <c r="BC49" s="42" t="s">
        <v>1240</v>
      </c>
      <c r="BD49" s="1993"/>
      <c r="BE49" s="1993">
        <v>0</v>
      </c>
      <c r="BF49" s="1993"/>
      <c r="BG49" s="1993"/>
      <c r="BH49" s="1993">
        <v>0</v>
      </c>
      <c r="BI49" s="1993"/>
      <c r="BJ49" s="1993"/>
      <c r="BK49" s="1993">
        <v>1</v>
      </c>
      <c r="BL49" s="1993">
        <v>0</v>
      </c>
      <c r="BM49" s="70"/>
      <c r="BN49" s="70"/>
      <c r="BO49" s="70">
        <v>1</v>
      </c>
      <c r="BR49" s="105"/>
      <c r="BS49" s="105"/>
      <c r="BT49" s="41"/>
      <c r="BU49" s="41" t="s">
        <v>1240</v>
      </c>
      <c r="BV49" s="1659"/>
      <c r="BW49" s="1659">
        <v>0</v>
      </c>
      <c r="BX49" s="1659"/>
      <c r="BY49" s="1659"/>
      <c r="BZ49" s="1659"/>
      <c r="CA49" s="1659"/>
      <c r="CB49" s="1659"/>
      <c r="CC49" s="1659">
        <v>3</v>
      </c>
      <c r="CD49" s="1659">
        <v>1</v>
      </c>
      <c r="CE49" s="105">
        <v>0</v>
      </c>
      <c r="CF49" s="105">
        <v>0</v>
      </c>
      <c r="CG49" s="105">
        <v>4</v>
      </c>
      <c r="CH49" s="105"/>
      <c r="CJ49" s="1359"/>
      <c r="CK49" s="1359"/>
      <c r="CL49" s="1360" t="s">
        <v>119</v>
      </c>
      <c r="CM49" s="1361" t="s">
        <v>1231</v>
      </c>
      <c r="CN49" s="1363">
        <v>0</v>
      </c>
      <c r="CO49" s="1363">
        <v>0</v>
      </c>
      <c r="CP49" s="1362"/>
      <c r="CQ49" s="1363">
        <v>1</v>
      </c>
      <c r="CR49" s="1362"/>
      <c r="CS49" s="1363">
        <v>0</v>
      </c>
      <c r="CT49" s="1363">
        <v>3</v>
      </c>
      <c r="CU49" s="1363">
        <v>0</v>
      </c>
      <c r="CV49" s="686"/>
      <c r="CW49" s="686"/>
      <c r="CX49" s="687">
        <v>4</v>
      </c>
      <c r="CY49" s="41"/>
      <c r="DA49" s="602"/>
      <c r="DB49" s="602"/>
      <c r="DC49" s="603"/>
      <c r="DD49" s="604" t="s">
        <v>1235</v>
      </c>
      <c r="DE49" s="605"/>
      <c r="DF49" s="605"/>
      <c r="DG49" s="605"/>
      <c r="DH49" s="605"/>
      <c r="DI49" s="605"/>
      <c r="DJ49" s="606">
        <v>1</v>
      </c>
      <c r="DK49" s="606">
        <v>0</v>
      </c>
      <c r="DL49" s="606">
        <v>0</v>
      </c>
      <c r="DM49" s="602"/>
      <c r="DN49" s="602"/>
      <c r="DO49" s="607">
        <v>1</v>
      </c>
      <c r="DP49" s="105"/>
      <c r="DR49" s="608"/>
      <c r="DS49" s="608" t="s">
        <v>104</v>
      </c>
      <c r="DT49" s="608" t="s">
        <v>105</v>
      </c>
      <c r="DU49" s="609" t="s">
        <v>1231</v>
      </c>
      <c r="DV49" s="610"/>
      <c r="DW49" s="611">
        <v>0</v>
      </c>
      <c r="DX49" s="611">
        <v>0</v>
      </c>
      <c r="DY49" s="611">
        <v>1</v>
      </c>
      <c r="DZ49" s="611">
        <v>1</v>
      </c>
      <c r="EA49" s="611">
        <v>1</v>
      </c>
      <c r="EB49" s="611">
        <v>0</v>
      </c>
      <c r="EC49" s="610"/>
      <c r="ED49" s="610"/>
      <c r="EE49" s="612"/>
      <c r="EF49" s="612"/>
      <c r="EG49" s="613">
        <v>3</v>
      </c>
      <c r="EH49" s="614"/>
      <c r="EJ49" s="615"/>
      <c r="EK49" s="615"/>
      <c r="EL49" s="615"/>
      <c r="EM49" s="625" t="s">
        <v>15</v>
      </c>
      <c r="EN49" s="626"/>
      <c r="EO49" s="626"/>
      <c r="EP49" s="626"/>
      <c r="EQ49" s="626"/>
      <c r="ER49" s="626"/>
      <c r="ES49" s="626"/>
      <c r="ET49" s="627">
        <v>1</v>
      </c>
      <c r="EU49" s="627">
        <v>2</v>
      </c>
      <c r="EV49" s="627">
        <v>3</v>
      </c>
      <c r="EW49" s="626"/>
      <c r="EX49" s="627">
        <v>6</v>
      </c>
      <c r="EY49" s="628">
        <v>0</v>
      </c>
      <c r="FA49" s="70"/>
      <c r="FB49" s="70"/>
      <c r="FC49" s="42"/>
      <c r="FD49" s="484" t="s">
        <v>15</v>
      </c>
      <c r="FE49" s="454"/>
      <c r="FF49" s="454"/>
      <c r="FG49" s="454"/>
      <c r="FH49" s="454"/>
      <c r="FI49" s="454"/>
      <c r="FJ49" s="454"/>
      <c r="FK49" s="454">
        <v>1</v>
      </c>
      <c r="FL49" s="454">
        <v>1</v>
      </c>
      <c r="FM49" s="454"/>
      <c r="FN49" s="454">
        <v>1</v>
      </c>
      <c r="FO49" s="454">
        <v>3</v>
      </c>
      <c r="FP49" s="538">
        <v>0</v>
      </c>
      <c r="FQ49" s="42"/>
      <c r="FR49" s="516"/>
      <c r="FS49" s="516"/>
      <c r="FT49" s="516"/>
      <c r="FU49" s="516" t="s">
        <v>1239</v>
      </c>
      <c r="FV49" s="516">
        <v>0</v>
      </c>
      <c r="FW49" s="516">
        <v>0</v>
      </c>
      <c r="FX49" s="516">
        <v>0</v>
      </c>
      <c r="FY49" s="516">
        <v>0</v>
      </c>
      <c r="FZ49" s="516">
        <v>0</v>
      </c>
      <c r="GA49" s="516">
        <v>0</v>
      </c>
      <c r="GB49" s="516">
        <v>0</v>
      </c>
      <c r="GC49" s="516">
        <v>1</v>
      </c>
      <c r="GD49" s="516">
        <v>6</v>
      </c>
      <c r="GE49" s="516">
        <v>2</v>
      </c>
      <c r="GF49" s="516">
        <v>1</v>
      </c>
      <c r="GG49" s="517">
        <v>10</v>
      </c>
      <c r="GH49" s="619"/>
      <c r="GI49" s="518"/>
    </row>
    <row r="50" spans="3:191">
      <c r="D50" s="4800" t="s">
        <v>1233</v>
      </c>
      <c r="E50" s="4606"/>
      <c r="F50" s="4606">
        <v>2</v>
      </c>
      <c r="G50" s="4606"/>
      <c r="H50" s="4606"/>
      <c r="I50" s="4606"/>
      <c r="J50" s="4606">
        <v>0</v>
      </c>
      <c r="K50" s="4606">
        <v>0</v>
      </c>
      <c r="L50" s="4606">
        <v>0</v>
      </c>
      <c r="M50" s="4606"/>
      <c r="N50" s="2552"/>
      <c r="O50" s="2552"/>
      <c r="P50" s="2552">
        <v>2</v>
      </c>
      <c r="Q50" s="2552"/>
      <c r="R50" s="2552"/>
      <c r="V50" s="37" t="s">
        <v>1239</v>
      </c>
      <c r="W50" s="4803"/>
      <c r="X50" s="4803"/>
      <c r="Y50" s="4803">
        <v>0</v>
      </c>
      <c r="Z50" s="4803"/>
      <c r="AA50" s="4803">
        <v>0</v>
      </c>
      <c r="AB50" s="4803">
        <v>0</v>
      </c>
      <c r="AC50" s="4803">
        <v>14</v>
      </c>
      <c r="AD50" s="4803"/>
      <c r="AE50" s="1788"/>
      <c r="AF50" s="1788">
        <v>14</v>
      </c>
      <c r="AI50" s="41"/>
      <c r="AJ50" s="41"/>
      <c r="AK50" s="41"/>
      <c r="AL50" s="41" t="s">
        <v>1240</v>
      </c>
      <c r="AM50" s="2001">
        <v>0</v>
      </c>
      <c r="AN50" s="2001"/>
      <c r="AO50" s="2001"/>
      <c r="AP50" s="2001"/>
      <c r="AQ50" s="2001"/>
      <c r="AR50" s="2001">
        <v>0</v>
      </c>
      <c r="AS50" s="2001">
        <v>2</v>
      </c>
      <c r="AT50" s="2001">
        <v>0</v>
      </c>
      <c r="AU50" s="105"/>
      <c r="AV50" s="105"/>
      <c r="AW50" s="105">
        <v>2</v>
      </c>
      <c r="AX50" s="41"/>
      <c r="AZ50" s="42"/>
      <c r="BA50" s="42"/>
      <c r="BB50" s="42"/>
      <c r="BC50" s="484" t="s">
        <v>15</v>
      </c>
      <c r="BD50" s="1994"/>
      <c r="BE50" s="1994">
        <v>1</v>
      </c>
      <c r="BF50" s="1994"/>
      <c r="BG50" s="1994"/>
      <c r="BH50" s="1994">
        <v>1</v>
      </c>
      <c r="BI50" s="1994"/>
      <c r="BJ50" s="1994"/>
      <c r="BK50" s="1994">
        <v>5</v>
      </c>
      <c r="BL50" s="1994">
        <v>10</v>
      </c>
      <c r="BM50" s="454"/>
      <c r="BN50" s="454"/>
      <c r="BO50" s="454">
        <v>17</v>
      </c>
      <c r="BP50" s="2485">
        <f>+BO49/BO50</f>
        <v>5.8823529411764705E-2</v>
      </c>
      <c r="BR50" s="105"/>
      <c r="BS50" s="105"/>
      <c r="BT50" s="41"/>
      <c r="BU50" s="41" t="s">
        <v>1344</v>
      </c>
      <c r="BV50" s="1659"/>
      <c r="BW50" s="1659">
        <v>0</v>
      </c>
      <c r="BX50" s="1659"/>
      <c r="BY50" s="1659"/>
      <c r="BZ50" s="1659"/>
      <c r="CA50" s="1659"/>
      <c r="CB50" s="1659"/>
      <c r="CC50" s="1659">
        <v>11</v>
      </c>
      <c r="CD50" s="1659">
        <v>0</v>
      </c>
      <c r="CE50" s="105">
        <v>0</v>
      </c>
      <c r="CF50" s="105">
        <v>0</v>
      </c>
      <c r="CG50" s="105">
        <v>11</v>
      </c>
      <c r="CH50" s="105"/>
      <c r="CJ50" s="1359"/>
      <c r="CK50" s="1359"/>
      <c r="CL50" s="1360"/>
      <c r="CM50" s="1361" t="s">
        <v>1233</v>
      </c>
      <c r="CN50" s="1363">
        <v>1</v>
      </c>
      <c r="CO50" s="1363">
        <v>1</v>
      </c>
      <c r="CP50" s="1362"/>
      <c r="CQ50" s="1363">
        <v>0</v>
      </c>
      <c r="CR50" s="1362"/>
      <c r="CS50" s="1363">
        <v>0</v>
      </c>
      <c r="CT50" s="1363">
        <v>0</v>
      </c>
      <c r="CU50" s="1363">
        <v>0</v>
      </c>
      <c r="CV50" s="686"/>
      <c r="CW50" s="686"/>
      <c r="CX50" s="687">
        <v>2</v>
      </c>
      <c r="CY50" s="41"/>
      <c r="DA50" s="602"/>
      <c r="DB50" s="602"/>
      <c r="DC50" s="603"/>
      <c r="DD50" s="604" t="s">
        <v>1239</v>
      </c>
      <c r="DE50" s="605"/>
      <c r="DF50" s="605"/>
      <c r="DG50" s="605"/>
      <c r="DH50" s="605"/>
      <c r="DI50" s="605"/>
      <c r="DJ50" s="606">
        <v>0</v>
      </c>
      <c r="DK50" s="606">
        <v>0</v>
      </c>
      <c r="DL50" s="606">
        <v>1</v>
      </c>
      <c r="DM50" s="602"/>
      <c r="DN50" s="602"/>
      <c r="DO50" s="607">
        <v>1</v>
      </c>
      <c r="DP50" s="105"/>
      <c r="DR50" s="608"/>
      <c r="DS50" s="608"/>
      <c r="DT50" s="608"/>
      <c r="DU50" s="609" t="s">
        <v>1235</v>
      </c>
      <c r="DV50" s="610"/>
      <c r="DW50" s="611">
        <v>0</v>
      </c>
      <c r="DX50" s="611">
        <v>0</v>
      </c>
      <c r="DY50" s="611">
        <v>0</v>
      </c>
      <c r="DZ50" s="611">
        <v>1</v>
      </c>
      <c r="EA50" s="611">
        <v>0</v>
      </c>
      <c r="EB50" s="611">
        <v>2</v>
      </c>
      <c r="EC50" s="610"/>
      <c r="ED50" s="610"/>
      <c r="EE50" s="612"/>
      <c r="EF50" s="612"/>
      <c r="EG50" s="613">
        <v>3</v>
      </c>
      <c r="EH50" s="614"/>
      <c r="EJ50" s="615"/>
      <c r="EK50" s="615"/>
      <c r="EL50" s="615" t="s">
        <v>121</v>
      </c>
      <c r="EM50" s="616" t="s">
        <v>1230</v>
      </c>
      <c r="EN50" s="617"/>
      <c r="EO50" s="617"/>
      <c r="EP50" s="617"/>
      <c r="EQ50" s="618">
        <v>0</v>
      </c>
      <c r="ER50" s="618">
        <v>0</v>
      </c>
      <c r="ES50" s="617"/>
      <c r="ET50" s="618">
        <v>0</v>
      </c>
      <c r="EU50" s="618">
        <v>1</v>
      </c>
      <c r="EV50" s="618">
        <v>1</v>
      </c>
      <c r="EW50" s="618">
        <v>3</v>
      </c>
      <c r="EX50" s="618">
        <v>5</v>
      </c>
      <c r="EY50" s="515"/>
      <c r="FA50" s="70"/>
      <c r="FB50" s="70"/>
      <c r="FC50" s="42" t="s">
        <v>121</v>
      </c>
      <c r="FD50" s="42" t="s">
        <v>1230</v>
      </c>
      <c r="FE50" s="70">
        <v>0</v>
      </c>
      <c r="FF50" s="70"/>
      <c r="FG50" s="70"/>
      <c r="FH50" s="70"/>
      <c r="FI50" s="70">
        <v>0</v>
      </c>
      <c r="FJ50" s="70">
        <v>0</v>
      </c>
      <c r="FK50" s="70"/>
      <c r="FL50" s="70">
        <v>5</v>
      </c>
      <c r="FM50" s="70">
        <v>2</v>
      </c>
      <c r="FN50" s="70"/>
      <c r="FO50" s="70">
        <v>7</v>
      </c>
      <c r="FP50" s="42"/>
      <c r="FQ50" s="42"/>
      <c r="FR50" s="516"/>
      <c r="FS50" s="516"/>
      <c r="FT50" s="516"/>
      <c r="FU50" s="516" t="s">
        <v>1344</v>
      </c>
      <c r="FV50" s="516">
        <v>0</v>
      </c>
      <c r="FW50" s="516">
        <v>0</v>
      </c>
      <c r="FX50" s="516">
        <v>0</v>
      </c>
      <c r="FY50" s="516">
        <v>0</v>
      </c>
      <c r="FZ50" s="516">
        <v>0</v>
      </c>
      <c r="GA50" s="516">
        <v>0</v>
      </c>
      <c r="GB50" s="516">
        <v>1</v>
      </c>
      <c r="GC50" s="516">
        <v>1</v>
      </c>
      <c r="GD50" s="516">
        <v>1</v>
      </c>
      <c r="GE50" s="516">
        <v>0</v>
      </c>
      <c r="GF50" s="516">
        <v>0</v>
      </c>
      <c r="GG50" s="517">
        <v>3</v>
      </c>
      <c r="GH50" s="619"/>
      <c r="GI50" s="518"/>
    </row>
    <row r="51" spans="3:191">
      <c r="D51" s="4800" t="s">
        <v>1239</v>
      </c>
      <c r="E51" s="4606"/>
      <c r="F51" s="4606">
        <v>0</v>
      </c>
      <c r="G51" s="4606"/>
      <c r="H51" s="4606"/>
      <c r="I51" s="4606"/>
      <c r="J51" s="4606">
        <v>0</v>
      </c>
      <c r="K51" s="4606">
        <v>0</v>
      </c>
      <c r="L51" s="4606">
        <v>2</v>
      </c>
      <c r="M51" s="4606"/>
      <c r="N51" s="2552"/>
      <c r="O51" s="2552"/>
      <c r="P51" s="2552">
        <v>2</v>
      </c>
      <c r="Q51" s="2552"/>
      <c r="R51" s="2552"/>
      <c r="V51" s="1793" t="s">
        <v>15</v>
      </c>
      <c r="W51" s="4804"/>
      <c r="X51" s="4804"/>
      <c r="Y51" s="4804">
        <v>1</v>
      </c>
      <c r="Z51" s="4804"/>
      <c r="AA51" s="4804">
        <v>2</v>
      </c>
      <c r="AB51" s="4804">
        <v>4</v>
      </c>
      <c r="AC51" s="4804">
        <v>14</v>
      </c>
      <c r="AD51" s="4804"/>
      <c r="AE51" s="4702"/>
      <c r="AF51" s="4702">
        <v>21</v>
      </c>
      <c r="AG51" s="4703">
        <v>0</v>
      </c>
      <c r="AI51" s="41"/>
      <c r="AJ51" s="41"/>
      <c r="AK51" s="41"/>
      <c r="AL51" s="461" t="s">
        <v>15</v>
      </c>
      <c r="AM51" s="2002">
        <v>1</v>
      </c>
      <c r="AN51" s="2002"/>
      <c r="AO51" s="2002"/>
      <c r="AP51" s="2002"/>
      <c r="AQ51" s="2002"/>
      <c r="AR51" s="2002">
        <v>2</v>
      </c>
      <c r="AS51" s="2002">
        <v>8</v>
      </c>
      <c r="AT51" s="2002">
        <v>2</v>
      </c>
      <c r="AU51" s="2480"/>
      <c r="AV51" s="2480"/>
      <c r="AW51" s="2480">
        <v>13</v>
      </c>
      <c r="AX51" s="635">
        <f>+(AW50+AW48)/AW51</f>
        <v>0.46153846153846156</v>
      </c>
      <c r="AY51" s="1977"/>
      <c r="AZ51" s="42"/>
      <c r="BA51" s="42"/>
      <c r="BB51" s="42" t="s">
        <v>119</v>
      </c>
      <c r="BC51" s="42" t="s">
        <v>1231</v>
      </c>
      <c r="BD51" s="1993"/>
      <c r="BE51" s="1993">
        <v>1</v>
      </c>
      <c r="BF51" s="1993"/>
      <c r="BG51" s="1993"/>
      <c r="BH51" s="1993"/>
      <c r="BI51" s="1993"/>
      <c r="BJ51" s="1993">
        <v>1</v>
      </c>
      <c r="BK51" s="1993">
        <v>0</v>
      </c>
      <c r="BL51" s="1993"/>
      <c r="BM51" s="70"/>
      <c r="BN51" s="70"/>
      <c r="BO51" s="70">
        <v>2</v>
      </c>
      <c r="BR51" s="105"/>
      <c r="BS51" s="105"/>
      <c r="BT51" s="41"/>
      <c r="BU51" s="461" t="s">
        <v>15</v>
      </c>
      <c r="BV51" s="1660"/>
      <c r="BW51" s="1660">
        <v>2</v>
      </c>
      <c r="BX51" s="1660"/>
      <c r="BY51" s="1660"/>
      <c r="BZ51" s="1660"/>
      <c r="CA51" s="1660"/>
      <c r="CB51" s="1660"/>
      <c r="CC51" s="1660">
        <v>15</v>
      </c>
      <c r="CD51" s="1660">
        <v>3</v>
      </c>
      <c r="CE51" s="96">
        <v>3</v>
      </c>
      <c r="CF51" s="96">
        <v>1</v>
      </c>
      <c r="CG51" s="96">
        <v>24</v>
      </c>
      <c r="CH51" s="635">
        <f>+(CG49+CG50)/CG51</f>
        <v>0.625</v>
      </c>
      <c r="CJ51" s="1359"/>
      <c r="CK51" s="1359"/>
      <c r="CL51" s="1360"/>
      <c r="CM51" s="1361" t="s">
        <v>1239</v>
      </c>
      <c r="CN51" s="1363">
        <v>0</v>
      </c>
      <c r="CO51" s="1363">
        <v>0</v>
      </c>
      <c r="CP51" s="1362"/>
      <c r="CQ51" s="1363">
        <v>0</v>
      </c>
      <c r="CR51" s="1362"/>
      <c r="CS51" s="1363">
        <v>0</v>
      </c>
      <c r="CT51" s="1363">
        <v>0</v>
      </c>
      <c r="CU51" s="1363">
        <v>5</v>
      </c>
      <c r="CV51" s="686"/>
      <c r="CW51" s="686"/>
      <c r="CX51" s="687">
        <v>5</v>
      </c>
      <c r="CY51" s="41"/>
      <c r="DA51" s="602"/>
      <c r="DB51" s="602"/>
      <c r="DC51" s="603"/>
      <c r="DD51" s="604" t="s">
        <v>1240</v>
      </c>
      <c r="DE51" s="605"/>
      <c r="DF51" s="605"/>
      <c r="DG51" s="605"/>
      <c r="DH51" s="605"/>
      <c r="DI51" s="605"/>
      <c r="DJ51" s="606">
        <v>3</v>
      </c>
      <c r="DK51" s="606">
        <v>1</v>
      </c>
      <c r="DL51" s="606">
        <v>0</v>
      </c>
      <c r="DM51" s="602"/>
      <c r="DN51" s="602"/>
      <c r="DO51" s="607">
        <v>4</v>
      </c>
      <c r="DP51" s="105"/>
      <c r="DR51" s="608"/>
      <c r="DS51" s="608"/>
      <c r="DT51" s="608"/>
      <c r="DU51" s="609" t="s">
        <v>1236</v>
      </c>
      <c r="DV51" s="610"/>
      <c r="DW51" s="611">
        <v>1</v>
      </c>
      <c r="DX51" s="611">
        <v>2</v>
      </c>
      <c r="DY51" s="611">
        <v>15</v>
      </c>
      <c r="DZ51" s="611">
        <v>10</v>
      </c>
      <c r="EA51" s="611">
        <v>10</v>
      </c>
      <c r="EB51" s="611">
        <v>5</v>
      </c>
      <c r="EC51" s="610"/>
      <c r="ED51" s="610"/>
      <c r="EE51" s="612"/>
      <c r="EF51" s="612"/>
      <c r="EG51" s="613">
        <v>43</v>
      </c>
      <c r="EH51" s="614"/>
      <c r="EJ51" s="615"/>
      <c r="EK51" s="615"/>
      <c r="EL51" s="615"/>
      <c r="EM51" s="616" t="s">
        <v>1231</v>
      </c>
      <c r="EN51" s="617"/>
      <c r="EO51" s="617"/>
      <c r="EP51" s="617"/>
      <c r="EQ51" s="618">
        <v>1</v>
      </c>
      <c r="ER51" s="618">
        <v>0</v>
      </c>
      <c r="ES51" s="617"/>
      <c r="ET51" s="618">
        <v>1</v>
      </c>
      <c r="EU51" s="618">
        <v>1</v>
      </c>
      <c r="EV51" s="618">
        <v>1</v>
      </c>
      <c r="EW51" s="618">
        <v>0</v>
      </c>
      <c r="EX51" s="618">
        <v>4</v>
      </c>
      <c r="EY51" s="515"/>
      <c r="FA51" s="70"/>
      <c r="FB51" s="70"/>
      <c r="FC51" s="42"/>
      <c r="FD51" s="42" t="s">
        <v>1231</v>
      </c>
      <c r="FE51" s="70">
        <v>1</v>
      </c>
      <c r="FF51" s="70"/>
      <c r="FG51" s="70"/>
      <c r="FH51" s="70"/>
      <c r="FI51" s="70">
        <v>0</v>
      </c>
      <c r="FJ51" s="70">
        <v>0</v>
      </c>
      <c r="FK51" s="70"/>
      <c r="FL51" s="70">
        <v>0</v>
      </c>
      <c r="FM51" s="70">
        <v>0</v>
      </c>
      <c r="FN51" s="70"/>
      <c r="FO51" s="70">
        <v>1</v>
      </c>
      <c r="FP51" s="42"/>
      <c r="FQ51" s="42"/>
      <c r="FR51" s="516"/>
      <c r="FS51" s="516"/>
      <c r="FT51" s="516"/>
      <c r="FU51" s="519" t="s">
        <v>15</v>
      </c>
      <c r="FV51" s="519">
        <v>0</v>
      </c>
      <c r="FW51" s="519">
        <v>1</v>
      </c>
      <c r="FX51" s="519">
        <v>1</v>
      </c>
      <c r="FY51" s="519">
        <v>0</v>
      </c>
      <c r="FZ51" s="519">
        <v>1</v>
      </c>
      <c r="GA51" s="519">
        <v>0</v>
      </c>
      <c r="GB51" s="519">
        <v>2</v>
      </c>
      <c r="GC51" s="519">
        <v>5</v>
      </c>
      <c r="GD51" s="519">
        <v>10</v>
      </c>
      <c r="GE51" s="519">
        <v>3</v>
      </c>
      <c r="GF51" s="519">
        <v>2</v>
      </c>
      <c r="GG51" s="579">
        <v>25</v>
      </c>
      <c r="GH51" s="629">
        <f>+(GG50+GG47)/GG51</f>
        <v>0.2</v>
      </c>
      <c r="GI51" s="518">
        <f>+GG47+GG50</f>
        <v>5</v>
      </c>
    </row>
    <row r="52" spans="3:191">
      <c r="D52" s="32" t="s">
        <v>15</v>
      </c>
      <c r="E52" s="4607"/>
      <c r="F52" s="4607">
        <v>2</v>
      </c>
      <c r="G52" s="4607"/>
      <c r="H52" s="4607"/>
      <c r="I52" s="4607"/>
      <c r="J52" s="4607">
        <v>1</v>
      </c>
      <c r="K52" s="4607">
        <v>7</v>
      </c>
      <c r="L52" s="4607">
        <v>2</v>
      </c>
      <c r="M52" s="4607"/>
      <c r="N52" s="4583"/>
      <c r="O52" s="4583"/>
      <c r="P52" s="4583">
        <v>12</v>
      </c>
      <c r="Q52" s="1977">
        <v>0</v>
      </c>
      <c r="R52" s="1977"/>
      <c r="U52" s="37" t="s">
        <v>119</v>
      </c>
      <c r="V52" s="37" t="s">
        <v>1231</v>
      </c>
      <c r="W52" s="4803"/>
      <c r="X52" s="4803"/>
      <c r="Y52" s="4803"/>
      <c r="Z52" s="4803"/>
      <c r="AA52" s="4803"/>
      <c r="AB52" s="4803">
        <v>5</v>
      </c>
      <c r="AC52" s="4803"/>
      <c r="AD52" s="4803"/>
      <c r="AE52" s="1788"/>
      <c r="AF52" s="1788">
        <v>5</v>
      </c>
      <c r="AI52" s="41"/>
      <c r="AJ52" s="41"/>
      <c r="AK52" s="41" t="s">
        <v>508</v>
      </c>
      <c r="AL52" s="41" t="s">
        <v>1230</v>
      </c>
      <c r="AM52" s="2001"/>
      <c r="AN52" s="2001"/>
      <c r="AO52" s="2001"/>
      <c r="AP52" s="2001"/>
      <c r="AQ52" s="2001"/>
      <c r="AR52" s="2001">
        <v>0</v>
      </c>
      <c r="AS52" s="2001">
        <v>2</v>
      </c>
      <c r="AT52" s="2001"/>
      <c r="AU52" s="105"/>
      <c r="AV52" s="105"/>
      <c r="AW52" s="105">
        <v>2</v>
      </c>
      <c r="AX52" s="41"/>
      <c r="AZ52" s="42"/>
      <c r="BA52" s="42"/>
      <c r="BB52" s="42"/>
      <c r="BC52" s="42" t="s">
        <v>1239</v>
      </c>
      <c r="BD52" s="1993"/>
      <c r="BE52" s="1993">
        <v>0</v>
      </c>
      <c r="BF52" s="1993"/>
      <c r="BG52" s="1993"/>
      <c r="BH52" s="1993"/>
      <c r="BI52" s="1993"/>
      <c r="BJ52" s="1993">
        <v>0</v>
      </c>
      <c r="BK52" s="1993">
        <v>1</v>
      </c>
      <c r="BL52" s="1993"/>
      <c r="BM52" s="70"/>
      <c r="BN52" s="70"/>
      <c r="BO52" s="70">
        <v>1</v>
      </c>
      <c r="BR52" s="105"/>
      <c r="BS52" s="105"/>
      <c r="BT52" s="41" t="s">
        <v>508</v>
      </c>
      <c r="BU52" s="41" t="s">
        <v>1230</v>
      </c>
      <c r="BV52" s="1659">
        <v>0</v>
      </c>
      <c r="BW52" s="1659"/>
      <c r="BX52" s="1659"/>
      <c r="BY52" s="1659"/>
      <c r="BZ52" s="1659"/>
      <c r="CA52" s="1659"/>
      <c r="CB52" s="1659">
        <v>0</v>
      </c>
      <c r="CC52" s="1659">
        <v>4</v>
      </c>
      <c r="CD52" s="1659"/>
      <c r="CE52" s="105"/>
      <c r="CF52" s="105"/>
      <c r="CG52" s="105">
        <v>4</v>
      </c>
      <c r="CH52" s="105"/>
      <c r="CJ52" s="1359"/>
      <c r="CK52" s="1359"/>
      <c r="CL52" s="1360"/>
      <c r="CM52" s="1361" t="s">
        <v>1344</v>
      </c>
      <c r="CN52" s="1363">
        <v>0</v>
      </c>
      <c r="CO52" s="1363">
        <v>0</v>
      </c>
      <c r="CP52" s="1362"/>
      <c r="CQ52" s="1363">
        <v>0</v>
      </c>
      <c r="CR52" s="1362"/>
      <c r="CS52" s="1363">
        <v>1</v>
      </c>
      <c r="CT52" s="1363">
        <v>0</v>
      </c>
      <c r="CU52" s="1363">
        <v>0</v>
      </c>
      <c r="CV52" s="686"/>
      <c r="CW52" s="686"/>
      <c r="CX52" s="687">
        <v>1</v>
      </c>
      <c r="CY52" s="41"/>
      <c r="DA52" s="602"/>
      <c r="DB52" s="602"/>
      <c r="DC52" s="603"/>
      <c r="DD52" s="630" t="s">
        <v>15</v>
      </c>
      <c r="DE52" s="631"/>
      <c r="DF52" s="631"/>
      <c r="DG52" s="631"/>
      <c r="DH52" s="631"/>
      <c r="DI52" s="631"/>
      <c r="DJ52" s="632">
        <v>7</v>
      </c>
      <c r="DK52" s="632">
        <v>4</v>
      </c>
      <c r="DL52" s="632">
        <v>1</v>
      </c>
      <c r="DM52" s="633"/>
      <c r="DN52" s="633"/>
      <c r="DO52" s="634">
        <v>12</v>
      </c>
      <c r="DP52" s="635">
        <f>+(DO49+DO51)/DO52</f>
        <v>0.41666666666666669</v>
      </c>
      <c r="DR52" s="608"/>
      <c r="DS52" s="608"/>
      <c r="DT52" s="608"/>
      <c r="DU52" s="609" t="s">
        <v>1239</v>
      </c>
      <c r="DV52" s="610"/>
      <c r="DW52" s="611">
        <v>0</v>
      </c>
      <c r="DX52" s="611">
        <v>0</v>
      </c>
      <c r="DY52" s="611">
        <v>0</v>
      </c>
      <c r="DZ52" s="611">
        <v>0</v>
      </c>
      <c r="EA52" s="611">
        <v>2</v>
      </c>
      <c r="EB52" s="611">
        <v>0</v>
      </c>
      <c r="EC52" s="610"/>
      <c r="ED52" s="610"/>
      <c r="EE52" s="612"/>
      <c r="EF52" s="612"/>
      <c r="EG52" s="613">
        <v>2</v>
      </c>
      <c r="EH52" s="614"/>
      <c r="EJ52" s="615"/>
      <c r="EK52" s="615"/>
      <c r="EL52" s="615"/>
      <c r="EM52" s="616" t="s">
        <v>1235</v>
      </c>
      <c r="EN52" s="617"/>
      <c r="EO52" s="617"/>
      <c r="EP52" s="617"/>
      <c r="EQ52" s="618">
        <v>0</v>
      </c>
      <c r="ER52" s="618">
        <v>0</v>
      </c>
      <c r="ES52" s="617"/>
      <c r="ET52" s="618">
        <v>3</v>
      </c>
      <c r="EU52" s="618">
        <v>0</v>
      </c>
      <c r="EV52" s="618">
        <v>0</v>
      </c>
      <c r="EW52" s="618">
        <v>0</v>
      </c>
      <c r="EX52" s="618">
        <v>3</v>
      </c>
      <c r="EY52" s="515"/>
      <c r="FA52" s="70"/>
      <c r="FB52" s="70"/>
      <c r="FC52" s="42"/>
      <c r="FD52" s="42" t="s">
        <v>1235</v>
      </c>
      <c r="FE52" s="70">
        <v>0</v>
      </c>
      <c r="FF52" s="70"/>
      <c r="FG52" s="70"/>
      <c r="FH52" s="70"/>
      <c r="FI52" s="70">
        <v>0</v>
      </c>
      <c r="FJ52" s="70">
        <v>2</v>
      </c>
      <c r="FK52" s="70"/>
      <c r="FL52" s="70">
        <v>0</v>
      </c>
      <c r="FM52" s="70">
        <v>0</v>
      </c>
      <c r="FN52" s="70"/>
      <c r="FO52" s="70">
        <v>2</v>
      </c>
      <c r="FP52" s="42"/>
      <c r="FQ52" s="42"/>
      <c r="FR52" s="516"/>
      <c r="FS52" s="516"/>
      <c r="FT52" s="516" t="s">
        <v>122</v>
      </c>
      <c r="FU52" s="516" t="s">
        <v>1230</v>
      </c>
      <c r="FV52" s="516">
        <v>0</v>
      </c>
      <c r="FW52" s="516">
        <v>0</v>
      </c>
      <c r="FX52" s="516">
        <v>0</v>
      </c>
      <c r="FY52" s="516">
        <v>0</v>
      </c>
      <c r="FZ52" s="516">
        <v>0</v>
      </c>
      <c r="GA52" s="516">
        <v>0</v>
      </c>
      <c r="GB52" s="516">
        <v>0</v>
      </c>
      <c r="GC52" s="516">
        <v>1</v>
      </c>
      <c r="GD52" s="516">
        <v>5</v>
      </c>
      <c r="GE52" s="516">
        <v>1</v>
      </c>
      <c r="GF52" s="516">
        <v>1</v>
      </c>
      <c r="GG52" s="517">
        <v>8</v>
      </c>
      <c r="GH52" s="619"/>
      <c r="GI52" s="518"/>
    </row>
    <row r="53" spans="3:191">
      <c r="C53" s="4800" t="s">
        <v>118</v>
      </c>
      <c r="D53" s="4800" t="s">
        <v>1231</v>
      </c>
      <c r="E53" s="4606">
        <v>0</v>
      </c>
      <c r="F53" s="4606"/>
      <c r="G53" s="4606"/>
      <c r="H53" s="4606">
        <v>0</v>
      </c>
      <c r="I53" s="4606"/>
      <c r="J53" s="4606">
        <v>2</v>
      </c>
      <c r="K53" s="4606">
        <v>4</v>
      </c>
      <c r="L53" s="4606">
        <v>0</v>
      </c>
      <c r="M53" s="4606"/>
      <c r="N53" s="2552"/>
      <c r="O53" s="2552"/>
      <c r="P53" s="2552">
        <v>6</v>
      </c>
      <c r="Q53" s="2552"/>
      <c r="R53" s="2552"/>
      <c r="V53" s="37" t="s">
        <v>1235</v>
      </c>
      <c r="W53" s="4803"/>
      <c r="X53" s="4803"/>
      <c r="Y53" s="4803"/>
      <c r="Z53" s="4803"/>
      <c r="AA53" s="4803"/>
      <c r="AB53" s="4803">
        <v>1</v>
      </c>
      <c r="AC53" s="4803"/>
      <c r="AD53" s="4803"/>
      <c r="AE53" s="1788"/>
      <c r="AF53" s="1788">
        <v>1</v>
      </c>
      <c r="AI53" s="41"/>
      <c r="AJ53" s="41"/>
      <c r="AK53" s="41"/>
      <c r="AL53" s="41" t="s">
        <v>1231</v>
      </c>
      <c r="AM53" s="2001"/>
      <c r="AN53" s="2001"/>
      <c r="AO53" s="2001"/>
      <c r="AP53" s="2001"/>
      <c r="AQ53" s="2001"/>
      <c r="AR53" s="2001">
        <v>12</v>
      </c>
      <c r="AS53" s="2001">
        <v>0</v>
      </c>
      <c r="AT53" s="2001"/>
      <c r="AU53" s="105"/>
      <c r="AV53" s="105"/>
      <c r="AW53" s="105">
        <v>12</v>
      </c>
      <c r="AX53" s="41"/>
      <c r="AZ53" s="42"/>
      <c r="BA53" s="42"/>
      <c r="BB53" s="42"/>
      <c r="BC53" s="42" t="s">
        <v>1240</v>
      </c>
      <c r="BD53" s="1993"/>
      <c r="BE53" s="1993">
        <v>0</v>
      </c>
      <c r="BF53" s="1993"/>
      <c r="BG53" s="1993"/>
      <c r="BH53" s="1993"/>
      <c r="BI53" s="1993"/>
      <c r="BJ53" s="1993">
        <v>3</v>
      </c>
      <c r="BK53" s="1993">
        <v>0</v>
      </c>
      <c r="BL53" s="1993"/>
      <c r="BM53" s="70"/>
      <c r="BN53" s="70"/>
      <c r="BO53" s="70">
        <v>3</v>
      </c>
      <c r="BR53" s="105"/>
      <c r="BS53" s="105"/>
      <c r="BT53" s="41"/>
      <c r="BU53" s="41" t="s">
        <v>1231</v>
      </c>
      <c r="BV53" s="1659">
        <v>0</v>
      </c>
      <c r="BW53" s="1659"/>
      <c r="BX53" s="1659"/>
      <c r="BY53" s="1659"/>
      <c r="BZ53" s="1659"/>
      <c r="CA53" s="1659"/>
      <c r="CB53" s="1659">
        <v>6</v>
      </c>
      <c r="CC53" s="1659">
        <v>0</v>
      </c>
      <c r="CD53" s="1659"/>
      <c r="CE53" s="105"/>
      <c r="CF53" s="105"/>
      <c r="CG53" s="105">
        <v>6</v>
      </c>
      <c r="CH53" s="105"/>
      <c r="CJ53" s="1359"/>
      <c r="CK53" s="1359"/>
      <c r="CL53" s="1360"/>
      <c r="CM53" s="483" t="s">
        <v>15</v>
      </c>
      <c r="CN53" s="1365">
        <v>1</v>
      </c>
      <c r="CO53" s="1365">
        <v>1</v>
      </c>
      <c r="CP53" s="1364"/>
      <c r="CQ53" s="1365">
        <v>1</v>
      </c>
      <c r="CR53" s="1364"/>
      <c r="CS53" s="1365">
        <v>1</v>
      </c>
      <c r="CT53" s="1365">
        <v>3</v>
      </c>
      <c r="CU53" s="1365">
        <v>5</v>
      </c>
      <c r="CV53" s="695"/>
      <c r="CW53" s="695"/>
      <c r="CX53" s="696">
        <v>12</v>
      </c>
      <c r="CY53" s="1325">
        <f>+CX52/CX53</f>
        <v>8.3333333333333329E-2</v>
      </c>
      <c r="DA53" s="602"/>
      <c r="DB53" s="602"/>
      <c r="DC53" s="603" t="s">
        <v>545</v>
      </c>
      <c r="DD53" s="604" t="s">
        <v>1231</v>
      </c>
      <c r="DE53" s="606">
        <v>0</v>
      </c>
      <c r="DF53" s="605"/>
      <c r="DG53" s="605"/>
      <c r="DH53" s="605"/>
      <c r="DI53" s="605"/>
      <c r="DJ53" s="606">
        <v>10</v>
      </c>
      <c r="DK53" s="606">
        <v>6</v>
      </c>
      <c r="DL53" s="606">
        <v>3</v>
      </c>
      <c r="DM53" s="602"/>
      <c r="DN53" s="602"/>
      <c r="DO53" s="607">
        <v>19</v>
      </c>
      <c r="DP53" s="105"/>
      <c r="DR53" s="608"/>
      <c r="DS53" s="608"/>
      <c r="DT53" s="608"/>
      <c r="DU53" s="609" t="s">
        <v>1240</v>
      </c>
      <c r="DV53" s="610"/>
      <c r="DW53" s="611">
        <v>0</v>
      </c>
      <c r="DX53" s="611">
        <v>0</v>
      </c>
      <c r="DY53" s="611">
        <v>0</v>
      </c>
      <c r="DZ53" s="611">
        <v>1</v>
      </c>
      <c r="EA53" s="611">
        <v>1</v>
      </c>
      <c r="EB53" s="611">
        <v>0</v>
      </c>
      <c r="EC53" s="610"/>
      <c r="ED53" s="610"/>
      <c r="EE53" s="612"/>
      <c r="EF53" s="612"/>
      <c r="EG53" s="613">
        <v>2</v>
      </c>
      <c r="EH53" s="614"/>
      <c r="EJ53" s="615"/>
      <c r="EK53" s="615"/>
      <c r="EL53" s="615"/>
      <c r="EM53" s="616" t="s">
        <v>1236</v>
      </c>
      <c r="EN53" s="617"/>
      <c r="EO53" s="617"/>
      <c r="EP53" s="617"/>
      <c r="EQ53" s="618">
        <v>0</v>
      </c>
      <c r="ER53" s="618">
        <v>1</v>
      </c>
      <c r="ES53" s="617"/>
      <c r="ET53" s="618">
        <v>0</v>
      </c>
      <c r="EU53" s="618">
        <v>0</v>
      </c>
      <c r="EV53" s="618">
        <v>0</v>
      </c>
      <c r="EW53" s="618">
        <v>0</v>
      </c>
      <c r="EX53" s="618">
        <v>1</v>
      </c>
      <c r="EY53" s="515"/>
      <c r="FA53" s="70"/>
      <c r="FB53" s="70"/>
      <c r="FC53" s="42"/>
      <c r="FD53" s="42" t="s">
        <v>1236</v>
      </c>
      <c r="FE53" s="70">
        <v>0</v>
      </c>
      <c r="FF53" s="70"/>
      <c r="FG53" s="70"/>
      <c r="FH53" s="70"/>
      <c r="FI53" s="70">
        <v>1</v>
      </c>
      <c r="FJ53" s="70">
        <v>0</v>
      </c>
      <c r="FK53" s="70"/>
      <c r="FL53" s="70">
        <v>0</v>
      </c>
      <c r="FM53" s="70">
        <v>0</v>
      </c>
      <c r="FN53" s="70"/>
      <c r="FO53" s="70">
        <v>1</v>
      </c>
      <c r="FP53" s="42"/>
      <c r="FQ53" s="42"/>
      <c r="FR53" s="516"/>
      <c r="FS53" s="516"/>
      <c r="FT53" s="516"/>
      <c r="FU53" s="516" t="s">
        <v>1231</v>
      </c>
      <c r="FV53" s="516">
        <v>0</v>
      </c>
      <c r="FW53" s="516">
        <v>0</v>
      </c>
      <c r="FX53" s="516">
        <v>0</v>
      </c>
      <c r="FY53" s="516">
        <v>1</v>
      </c>
      <c r="FZ53" s="516">
        <v>0</v>
      </c>
      <c r="GA53" s="516">
        <v>0</v>
      </c>
      <c r="GB53" s="516">
        <v>0</v>
      </c>
      <c r="GC53" s="516">
        <v>0</v>
      </c>
      <c r="GD53" s="516">
        <v>0</v>
      </c>
      <c r="GE53" s="516">
        <v>0</v>
      </c>
      <c r="GF53" s="516">
        <v>0</v>
      </c>
      <c r="GG53" s="517">
        <v>1</v>
      </c>
      <c r="GH53" s="619"/>
      <c r="GI53" s="518"/>
    </row>
    <row r="54" spans="3:191">
      <c r="D54" s="4800" t="s">
        <v>1233</v>
      </c>
      <c r="E54" s="4606">
        <v>0</v>
      </c>
      <c r="F54" s="4606"/>
      <c r="G54" s="4606"/>
      <c r="H54" s="4606">
        <v>1</v>
      </c>
      <c r="I54" s="4606"/>
      <c r="J54" s="4606">
        <v>0</v>
      </c>
      <c r="K54" s="4606">
        <v>0</v>
      </c>
      <c r="L54" s="4606">
        <v>0</v>
      </c>
      <c r="M54" s="4606"/>
      <c r="N54" s="2552"/>
      <c r="O54" s="2552"/>
      <c r="P54" s="2552">
        <v>1</v>
      </c>
      <c r="Q54" s="2552"/>
      <c r="R54" s="2552"/>
      <c r="V54" s="37" t="s">
        <v>1240</v>
      </c>
      <c r="W54" s="4803"/>
      <c r="X54" s="4803"/>
      <c r="Y54" s="4803"/>
      <c r="Z54" s="4803"/>
      <c r="AA54" s="4803"/>
      <c r="AB54" s="4803">
        <v>1</v>
      </c>
      <c r="AC54" s="4803"/>
      <c r="AD54" s="4803"/>
      <c r="AE54" s="1788"/>
      <c r="AF54" s="1788">
        <v>1</v>
      </c>
      <c r="AI54" s="41"/>
      <c r="AJ54" s="41"/>
      <c r="AK54" s="41"/>
      <c r="AL54" s="41" t="s">
        <v>1235</v>
      </c>
      <c r="AM54" s="2001"/>
      <c r="AN54" s="2001"/>
      <c r="AO54" s="2001"/>
      <c r="AP54" s="2001"/>
      <c r="AQ54" s="2001"/>
      <c r="AR54" s="2001">
        <v>2</v>
      </c>
      <c r="AS54" s="2001">
        <v>0</v>
      </c>
      <c r="AT54" s="2001"/>
      <c r="AU54" s="105"/>
      <c r="AV54" s="105"/>
      <c r="AW54" s="105">
        <v>2</v>
      </c>
      <c r="AX54" s="41"/>
      <c r="AZ54" s="42"/>
      <c r="BA54" s="42"/>
      <c r="BB54" s="42"/>
      <c r="BC54" s="484" t="s">
        <v>15</v>
      </c>
      <c r="BD54" s="1994"/>
      <c r="BE54" s="1994">
        <v>1</v>
      </c>
      <c r="BF54" s="1994"/>
      <c r="BG54" s="1994"/>
      <c r="BH54" s="1994"/>
      <c r="BI54" s="1994"/>
      <c r="BJ54" s="1994">
        <v>4</v>
      </c>
      <c r="BK54" s="1994">
        <v>1</v>
      </c>
      <c r="BL54" s="1994"/>
      <c r="BM54" s="454"/>
      <c r="BN54" s="454"/>
      <c r="BO54" s="454">
        <v>6</v>
      </c>
      <c r="BP54" s="2485">
        <f>+BO53/BO54</f>
        <v>0.5</v>
      </c>
      <c r="BR54" s="105"/>
      <c r="BS54" s="105"/>
      <c r="BT54" s="41"/>
      <c r="BU54" s="41" t="s">
        <v>1235</v>
      </c>
      <c r="BV54" s="1659">
        <v>0</v>
      </c>
      <c r="BW54" s="1659"/>
      <c r="BX54" s="1659"/>
      <c r="BY54" s="1659"/>
      <c r="BZ54" s="1659"/>
      <c r="CA54" s="1659"/>
      <c r="CB54" s="1659">
        <v>1</v>
      </c>
      <c r="CC54" s="1659">
        <v>0</v>
      </c>
      <c r="CD54" s="1659"/>
      <c r="CE54" s="105"/>
      <c r="CF54" s="105"/>
      <c r="CG54" s="105">
        <v>1</v>
      </c>
      <c r="CH54" s="105"/>
      <c r="CJ54" s="1359"/>
      <c r="CK54" s="1359"/>
      <c r="CL54" s="1360" t="s">
        <v>545</v>
      </c>
      <c r="CM54" s="1361" t="s">
        <v>1230</v>
      </c>
      <c r="CN54" s="1363">
        <v>0</v>
      </c>
      <c r="CO54" s="1363">
        <v>0</v>
      </c>
      <c r="CP54" s="1363">
        <v>0</v>
      </c>
      <c r="CQ54" s="1363">
        <v>0</v>
      </c>
      <c r="CR54" s="1363">
        <v>0</v>
      </c>
      <c r="CS54" s="1363">
        <v>0</v>
      </c>
      <c r="CT54" s="1363">
        <v>2</v>
      </c>
      <c r="CU54" s="1363">
        <v>3</v>
      </c>
      <c r="CV54" s="686"/>
      <c r="CW54" s="686"/>
      <c r="CX54" s="687">
        <v>5</v>
      </c>
      <c r="CY54" s="41"/>
      <c r="DA54" s="602"/>
      <c r="DB54" s="602"/>
      <c r="DC54" s="603"/>
      <c r="DD54" s="604" t="s">
        <v>1233</v>
      </c>
      <c r="DE54" s="606">
        <v>1</v>
      </c>
      <c r="DF54" s="605"/>
      <c r="DG54" s="605"/>
      <c r="DH54" s="605"/>
      <c r="DI54" s="605"/>
      <c r="DJ54" s="606">
        <v>0</v>
      </c>
      <c r="DK54" s="606">
        <v>0</v>
      </c>
      <c r="DL54" s="606">
        <v>0</v>
      </c>
      <c r="DM54" s="602"/>
      <c r="DN54" s="602"/>
      <c r="DO54" s="607">
        <v>1</v>
      </c>
      <c r="DP54" s="105"/>
      <c r="DR54" s="608"/>
      <c r="DS54" s="608"/>
      <c r="DT54" s="608"/>
      <c r="DU54" s="609" t="s">
        <v>1344</v>
      </c>
      <c r="DV54" s="610"/>
      <c r="DW54" s="611">
        <v>0</v>
      </c>
      <c r="DX54" s="611">
        <v>0</v>
      </c>
      <c r="DY54" s="611">
        <v>2</v>
      </c>
      <c r="DZ54" s="611">
        <v>4</v>
      </c>
      <c r="EA54" s="611">
        <v>2</v>
      </c>
      <c r="EB54" s="611">
        <v>0</v>
      </c>
      <c r="EC54" s="610"/>
      <c r="ED54" s="610"/>
      <c r="EE54" s="612"/>
      <c r="EF54" s="612"/>
      <c r="EG54" s="613">
        <v>8</v>
      </c>
      <c r="EH54" s="614"/>
      <c r="EJ54" s="615"/>
      <c r="EK54" s="615"/>
      <c r="EL54" s="615"/>
      <c r="EM54" s="616" t="s">
        <v>1239</v>
      </c>
      <c r="EN54" s="617"/>
      <c r="EO54" s="617"/>
      <c r="EP54" s="617"/>
      <c r="EQ54" s="618">
        <v>0</v>
      </c>
      <c r="ER54" s="618">
        <v>0</v>
      </c>
      <c r="ES54" s="617"/>
      <c r="ET54" s="618">
        <v>0</v>
      </c>
      <c r="EU54" s="618">
        <v>6</v>
      </c>
      <c r="EV54" s="618">
        <v>1</v>
      </c>
      <c r="EW54" s="618">
        <v>0</v>
      </c>
      <c r="EX54" s="618">
        <v>7</v>
      </c>
      <c r="EY54" s="515"/>
      <c r="FA54" s="70"/>
      <c r="FB54" s="70"/>
      <c r="FC54" s="42"/>
      <c r="FD54" s="42" t="s">
        <v>1239</v>
      </c>
      <c r="FE54" s="70">
        <v>0</v>
      </c>
      <c r="FF54" s="70"/>
      <c r="FG54" s="70"/>
      <c r="FH54" s="70"/>
      <c r="FI54" s="70">
        <v>0</v>
      </c>
      <c r="FJ54" s="70">
        <v>0</v>
      </c>
      <c r="FK54" s="70"/>
      <c r="FL54" s="70">
        <v>9</v>
      </c>
      <c r="FM54" s="70">
        <v>0</v>
      </c>
      <c r="FN54" s="70"/>
      <c r="FO54" s="70">
        <v>9</v>
      </c>
      <c r="FP54" s="42"/>
      <c r="FQ54" s="42"/>
      <c r="FR54" s="516"/>
      <c r="FS54" s="516"/>
      <c r="FT54" s="516"/>
      <c r="FU54" s="516" t="s">
        <v>1235</v>
      </c>
      <c r="FV54" s="516">
        <v>0</v>
      </c>
      <c r="FW54" s="516">
        <v>0</v>
      </c>
      <c r="FX54" s="516">
        <v>0</v>
      </c>
      <c r="FY54" s="516">
        <v>0</v>
      </c>
      <c r="FZ54" s="516">
        <v>0</v>
      </c>
      <c r="GA54" s="516">
        <v>0</v>
      </c>
      <c r="GB54" s="516">
        <v>0</v>
      </c>
      <c r="GC54" s="516">
        <v>1</v>
      </c>
      <c r="GD54" s="516">
        <v>0</v>
      </c>
      <c r="GE54" s="516">
        <v>0</v>
      </c>
      <c r="GF54" s="516">
        <v>0</v>
      </c>
      <c r="GG54" s="517">
        <v>1</v>
      </c>
      <c r="GH54" s="619"/>
      <c r="GI54" s="518"/>
    </row>
    <row r="55" spans="3:191">
      <c r="D55" s="4800" t="s">
        <v>1239</v>
      </c>
      <c r="E55" s="4606">
        <v>0</v>
      </c>
      <c r="F55" s="4606"/>
      <c r="G55" s="4606"/>
      <c r="H55" s="4606">
        <v>0</v>
      </c>
      <c r="I55" s="4606"/>
      <c r="J55" s="4606">
        <v>0</v>
      </c>
      <c r="K55" s="4606">
        <v>0</v>
      </c>
      <c r="L55" s="4606">
        <v>14</v>
      </c>
      <c r="M55" s="4606"/>
      <c r="N55" s="2552"/>
      <c r="O55" s="2552"/>
      <c r="P55" s="2552">
        <v>14</v>
      </c>
      <c r="Q55" s="2552"/>
      <c r="R55" s="2552"/>
      <c r="V55" s="1793" t="s">
        <v>15</v>
      </c>
      <c r="W55" s="4804"/>
      <c r="X55" s="4804"/>
      <c r="Y55" s="4804"/>
      <c r="Z55" s="4804"/>
      <c r="AA55" s="4804"/>
      <c r="AB55" s="4804">
        <v>7</v>
      </c>
      <c r="AC55" s="4804"/>
      <c r="AD55" s="4804"/>
      <c r="AE55" s="4702"/>
      <c r="AF55" s="4702">
        <v>7</v>
      </c>
      <c r="AG55" s="4703">
        <f>+(AF53+AF54)/AF55</f>
        <v>0.2857142857142857</v>
      </c>
      <c r="AI55" s="41"/>
      <c r="AJ55" s="41"/>
      <c r="AK55" s="41"/>
      <c r="AL55" s="41" t="s">
        <v>1240</v>
      </c>
      <c r="AM55" s="2001"/>
      <c r="AN55" s="2001"/>
      <c r="AO55" s="2001"/>
      <c r="AP55" s="2001"/>
      <c r="AQ55" s="2001"/>
      <c r="AR55" s="2001">
        <v>1</v>
      </c>
      <c r="AS55" s="2001">
        <v>0</v>
      </c>
      <c r="AT55" s="2001"/>
      <c r="AU55" s="105"/>
      <c r="AV55" s="105"/>
      <c r="AW55" s="105">
        <v>1</v>
      </c>
      <c r="AX55" s="41"/>
      <c r="AZ55" s="42"/>
      <c r="BA55" s="42"/>
      <c r="BB55" s="42" t="s">
        <v>545</v>
      </c>
      <c r="BC55" s="42" t="s">
        <v>1230</v>
      </c>
      <c r="BD55" s="1993"/>
      <c r="BE55" s="1993">
        <v>0</v>
      </c>
      <c r="BF55" s="1993"/>
      <c r="BG55" s="1993"/>
      <c r="BH55" s="1993">
        <v>0</v>
      </c>
      <c r="BI55" s="1993">
        <v>0</v>
      </c>
      <c r="BJ55" s="1993">
        <v>0</v>
      </c>
      <c r="BK55" s="1993">
        <v>0</v>
      </c>
      <c r="BL55" s="1993">
        <v>4</v>
      </c>
      <c r="BM55" s="70"/>
      <c r="BN55" s="70"/>
      <c r="BO55" s="70">
        <v>4</v>
      </c>
      <c r="BR55" s="105"/>
      <c r="BS55" s="105"/>
      <c r="BT55" s="41"/>
      <c r="BU55" s="41" t="s">
        <v>1865</v>
      </c>
      <c r="BV55" s="1659">
        <v>1</v>
      </c>
      <c r="BW55" s="1659"/>
      <c r="BX55" s="1659"/>
      <c r="BY55" s="1659"/>
      <c r="BZ55" s="1659"/>
      <c r="CA55" s="1659"/>
      <c r="CB55" s="1659">
        <v>0</v>
      </c>
      <c r="CC55" s="1659">
        <v>0</v>
      </c>
      <c r="CD55" s="1659"/>
      <c r="CE55" s="105"/>
      <c r="CF55" s="105"/>
      <c r="CG55" s="105">
        <v>1</v>
      </c>
      <c r="CH55" s="105"/>
      <c r="CJ55" s="1359"/>
      <c r="CK55" s="1359"/>
      <c r="CL55" s="1360"/>
      <c r="CM55" s="1361" t="s">
        <v>1231</v>
      </c>
      <c r="CN55" s="1363">
        <v>0</v>
      </c>
      <c r="CO55" s="1363">
        <v>0</v>
      </c>
      <c r="CP55" s="1363">
        <v>2</v>
      </c>
      <c r="CQ55" s="1363">
        <v>3</v>
      </c>
      <c r="CR55" s="1363">
        <v>4</v>
      </c>
      <c r="CS55" s="1363">
        <v>17</v>
      </c>
      <c r="CT55" s="1363">
        <v>9</v>
      </c>
      <c r="CU55" s="1363">
        <v>0</v>
      </c>
      <c r="CV55" s="686"/>
      <c r="CW55" s="686"/>
      <c r="CX55" s="687">
        <v>35</v>
      </c>
      <c r="CY55" s="41"/>
      <c r="DA55" s="602"/>
      <c r="DB55" s="602"/>
      <c r="DC55" s="603"/>
      <c r="DD55" s="604" t="s">
        <v>1235</v>
      </c>
      <c r="DE55" s="606">
        <v>0</v>
      </c>
      <c r="DF55" s="605"/>
      <c r="DG55" s="605"/>
      <c r="DH55" s="605"/>
      <c r="DI55" s="605"/>
      <c r="DJ55" s="606">
        <v>3</v>
      </c>
      <c r="DK55" s="606">
        <v>3</v>
      </c>
      <c r="DL55" s="606">
        <v>0</v>
      </c>
      <c r="DM55" s="602"/>
      <c r="DN55" s="602"/>
      <c r="DO55" s="607">
        <v>6</v>
      </c>
      <c r="DP55" s="105"/>
      <c r="DR55" s="608"/>
      <c r="DS55" s="608"/>
      <c r="DT55" s="608"/>
      <c r="DU55" s="620" t="s">
        <v>15</v>
      </c>
      <c r="DV55" s="621"/>
      <c r="DW55" s="622">
        <v>1</v>
      </c>
      <c r="DX55" s="622">
        <v>2</v>
      </c>
      <c r="DY55" s="622">
        <v>18</v>
      </c>
      <c r="DZ55" s="622">
        <v>17</v>
      </c>
      <c r="EA55" s="622">
        <v>16</v>
      </c>
      <c r="EB55" s="622">
        <v>7</v>
      </c>
      <c r="EC55" s="621"/>
      <c r="ED55" s="621"/>
      <c r="EE55" s="623"/>
      <c r="EF55" s="623"/>
      <c r="EG55" s="624">
        <v>61</v>
      </c>
      <c r="EH55" s="614">
        <f>+(EG54+EG53+EG50)/EG55</f>
        <v>0.21311475409836064</v>
      </c>
      <c r="EJ55" s="615"/>
      <c r="EK55" s="615"/>
      <c r="EL55" s="615"/>
      <c r="EM55" s="625" t="s">
        <v>15</v>
      </c>
      <c r="EN55" s="626"/>
      <c r="EO55" s="626"/>
      <c r="EP55" s="626"/>
      <c r="EQ55" s="627">
        <v>1</v>
      </c>
      <c r="ER55" s="627">
        <v>1</v>
      </c>
      <c r="ES55" s="626"/>
      <c r="ET55" s="627">
        <v>4</v>
      </c>
      <c r="EU55" s="627">
        <v>8</v>
      </c>
      <c r="EV55" s="627">
        <v>3</v>
      </c>
      <c r="EW55" s="627">
        <v>3</v>
      </c>
      <c r="EX55" s="627">
        <v>20</v>
      </c>
      <c r="EY55" s="628">
        <f>+EX52/EX55</f>
        <v>0.15</v>
      </c>
      <c r="FA55" s="70"/>
      <c r="FB55" s="70"/>
      <c r="FC55" s="42"/>
      <c r="FD55" s="484" t="s">
        <v>15</v>
      </c>
      <c r="FE55" s="454">
        <v>1</v>
      </c>
      <c r="FF55" s="454"/>
      <c r="FG55" s="454"/>
      <c r="FH55" s="454"/>
      <c r="FI55" s="454">
        <v>1</v>
      </c>
      <c r="FJ55" s="454">
        <v>2</v>
      </c>
      <c r="FK55" s="454"/>
      <c r="FL55" s="454">
        <v>14</v>
      </c>
      <c r="FM55" s="454">
        <v>2</v>
      </c>
      <c r="FN55" s="454"/>
      <c r="FO55" s="454">
        <v>20</v>
      </c>
      <c r="FP55" s="536">
        <f>+FO52/FO55</f>
        <v>0.1</v>
      </c>
      <c r="FQ55" s="42"/>
      <c r="FR55" s="516"/>
      <c r="FS55" s="516"/>
      <c r="FT55" s="516"/>
      <c r="FU55" s="516" t="s">
        <v>1239</v>
      </c>
      <c r="FV55" s="516">
        <v>0</v>
      </c>
      <c r="FW55" s="516">
        <v>0</v>
      </c>
      <c r="FX55" s="516">
        <v>0</v>
      </c>
      <c r="FY55" s="516">
        <v>0</v>
      </c>
      <c r="FZ55" s="516">
        <v>0</v>
      </c>
      <c r="GA55" s="516">
        <v>0</v>
      </c>
      <c r="GB55" s="516">
        <v>0</v>
      </c>
      <c r="GC55" s="516">
        <v>1</v>
      </c>
      <c r="GD55" s="516">
        <v>0</v>
      </c>
      <c r="GE55" s="516">
        <v>0</v>
      </c>
      <c r="GF55" s="516">
        <v>0</v>
      </c>
      <c r="GG55" s="517">
        <v>1</v>
      </c>
      <c r="GH55" s="619"/>
      <c r="GI55" s="518"/>
    </row>
    <row r="56" spans="3:191">
      <c r="D56" s="4800" t="s">
        <v>2963</v>
      </c>
      <c r="E56" s="4606">
        <v>1</v>
      </c>
      <c r="F56" s="4606"/>
      <c r="G56" s="4606"/>
      <c r="H56" s="4606">
        <v>0</v>
      </c>
      <c r="I56" s="4606"/>
      <c r="J56" s="4606">
        <v>0</v>
      </c>
      <c r="K56" s="4606">
        <v>0</v>
      </c>
      <c r="L56" s="4606">
        <v>0</v>
      </c>
      <c r="M56" s="4606"/>
      <c r="N56" s="2552"/>
      <c r="O56" s="2552"/>
      <c r="P56" s="2552">
        <v>1</v>
      </c>
      <c r="Q56" s="2552"/>
      <c r="R56" s="2552"/>
      <c r="U56" s="37" t="s">
        <v>2277</v>
      </c>
      <c r="V56" s="37" t="s">
        <v>1230</v>
      </c>
      <c r="W56" s="4803">
        <v>0</v>
      </c>
      <c r="X56" s="4803">
        <v>0</v>
      </c>
      <c r="Y56" s="4803">
        <v>0</v>
      </c>
      <c r="Z56" s="4803">
        <v>1</v>
      </c>
      <c r="AA56" s="4803">
        <v>0</v>
      </c>
      <c r="AB56" s="4803"/>
      <c r="AC56" s="4803">
        <v>0</v>
      </c>
      <c r="AD56" s="4803">
        <v>0</v>
      </c>
      <c r="AE56" s="1788">
        <v>0</v>
      </c>
      <c r="AF56" s="1788">
        <v>1</v>
      </c>
      <c r="AI56" s="41"/>
      <c r="AJ56" s="41"/>
      <c r="AK56" s="41"/>
      <c r="AL56" s="41" t="s">
        <v>1344</v>
      </c>
      <c r="AM56" s="2001"/>
      <c r="AN56" s="2001"/>
      <c r="AO56" s="2001"/>
      <c r="AP56" s="2001"/>
      <c r="AQ56" s="2001"/>
      <c r="AR56" s="2001">
        <v>1</v>
      </c>
      <c r="AS56" s="2001">
        <v>0</v>
      </c>
      <c r="AT56" s="2001"/>
      <c r="AU56" s="105"/>
      <c r="AV56" s="105"/>
      <c r="AW56" s="105">
        <v>1</v>
      </c>
      <c r="AX56" s="41"/>
      <c r="AZ56" s="42"/>
      <c r="BA56" s="42"/>
      <c r="BB56" s="42"/>
      <c r="BC56" s="42" t="s">
        <v>1231</v>
      </c>
      <c r="BD56" s="1993"/>
      <c r="BE56" s="1993">
        <v>2</v>
      </c>
      <c r="BF56" s="1993"/>
      <c r="BG56" s="1993"/>
      <c r="BH56" s="1993">
        <v>0</v>
      </c>
      <c r="BI56" s="1993">
        <v>1</v>
      </c>
      <c r="BJ56" s="1993">
        <v>10</v>
      </c>
      <c r="BK56" s="1993">
        <v>4</v>
      </c>
      <c r="BL56" s="1993">
        <v>0</v>
      </c>
      <c r="BM56" s="70"/>
      <c r="BN56" s="70"/>
      <c r="BO56" s="70">
        <v>17</v>
      </c>
      <c r="BR56" s="105"/>
      <c r="BS56" s="105"/>
      <c r="BT56" s="41"/>
      <c r="BU56" s="41" t="s">
        <v>1240</v>
      </c>
      <c r="BV56" s="1659">
        <v>0</v>
      </c>
      <c r="BW56" s="1659"/>
      <c r="BX56" s="1659"/>
      <c r="BY56" s="1659"/>
      <c r="BZ56" s="1659"/>
      <c r="CA56" s="1659"/>
      <c r="CB56" s="1659">
        <v>6</v>
      </c>
      <c r="CC56" s="1659">
        <v>0</v>
      </c>
      <c r="CD56" s="1659"/>
      <c r="CE56" s="105"/>
      <c r="CF56" s="105"/>
      <c r="CG56" s="105">
        <v>6</v>
      </c>
      <c r="CH56" s="105"/>
      <c r="CJ56" s="1359"/>
      <c r="CK56" s="1359"/>
      <c r="CL56" s="1360"/>
      <c r="CM56" s="1361" t="s">
        <v>1233</v>
      </c>
      <c r="CN56" s="1363">
        <v>1</v>
      </c>
      <c r="CO56" s="1363">
        <v>1</v>
      </c>
      <c r="CP56" s="1363">
        <v>0</v>
      </c>
      <c r="CQ56" s="1363">
        <v>0</v>
      </c>
      <c r="CR56" s="1363">
        <v>0</v>
      </c>
      <c r="CS56" s="1363">
        <v>0</v>
      </c>
      <c r="CT56" s="1363">
        <v>0</v>
      </c>
      <c r="CU56" s="1363">
        <v>0</v>
      </c>
      <c r="CV56" s="686"/>
      <c r="CW56" s="686"/>
      <c r="CX56" s="687">
        <v>2</v>
      </c>
      <c r="CY56" s="41"/>
      <c r="DA56" s="602"/>
      <c r="DB56" s="602"/>
      <c r="DC56" s="603"/>
      <c r="DD56" s="604" t="s">
        <v>1239</v>
      </c>
      <c r="DE56" s="606">
        <v>0</v>
      </c>
      <c r="DF56" s="605"/>
      <c r="DG56" s="605"/>
      <c r="DH56" s="605"/>
      <c r="DI56" s="605"/>
      <c r="DJ56" s="606">
        <v>0</v>
      </c>
      <c r="DK56" s="606">
        <v>4</v>
      </c>
      <c r="DL56" s="606">
        <v>1</v>
      </c>
      <c r="DM56" s="602"/>
      <c r="DN56" s="602"/>
      <c r="DO56" s="607">
        <v>5</v>
      </c>
      <c r="DP56" s="105"/>
      <c r="DR56" s="608"/>
      <c r="DS56" s="608"/>
      <c r="DT56" s="620" t="s">
        <v>844</v>
      </c>
      <c r="DU56" s="609" t="s">
        <v>1231</v>
      </c>
      <c r="DV56" s="610"/>
      <c r="DW56" s="611">
        <v>0</v>
      </c>
      <c r="DX56" s="611">
        <v>0</v>
      </c>
      <c r="DY56" s="611">
        <v>1</v>
      </c>
      <c r="DZ56" s="611">
        <v>1</v>
      </c>
      <c r="EA56" s="611">
        <v>1</v>
      </c>
      <c r="EB56" s="611">
        <v>0</v>
      </c>
      <c r="EC56" s="610"/>
      <c r="ED56" s="610"/>
      <c r="EE56" s="612"/>
      <c r="EF56" s="612"/>
      <c r="EG56" s="613">
        <v>3</v>
      </c>
      <c r="EH56" s="614"/>
      <c r="EJ56" s="615"/>
      <c r="EK56" s="615"/>
      <c r="EL56" s="615" t="s">
        <v>122</v>
      </c>
      <c r="EM56" s="616" t="s">
        <v>1230</v>
      </c>
      <c r="EN56" s="617"/>
      <c r="EO56" s="617"/>
      <c r="EP56" s="617"/>
      <c r="EQ56" s="617"/>
      <c r="ER56" s="618">
        <v>0</v>
      </c>
      <c r="ES56" s="618">
        <v>0</v>
      </c>
      <c r="ET56" s="618">
        <v>1</v>
      </c>
      <c r="EU56" s="618">
        <v>5</v>
      </c>
      <c r="EV56" s="618">
        <v>2</v>
      </c>
      <c r="EW56" s="618">
        <v>6</v>
      </c>
      <c r="EX56" s="618">
        <v>14</v>
      </c>
      <c r="EY56" s="515"/>
      <c r="FA56" s="70"/>
      <c r="FB56" s="70"/>
      <c r="FC56" s="42" t="s">
        <v>122</v>
      </c>
      <c r="FD56" s="42" t="s">
        <v>1230</v>
      </c>
      <c r="FE56" s="70"/>
      <c r="FF56" s="70">
        <v>0</v>
      </c>
      <c r="FG56" s="70">
        <v>0</v>
      </c>
      <c r="FH56" s="70"/>
      <c r="FI56" s="70"/>
      <c r="FJ56" s="70"/>
      <c r="FK56" s="70">
        <v>1</v>
      </c>
      <c r="FL56" s="70">
        <v>7</v>
      </c>
      <c r="FM56" s="70"/>
      <c r="FN56" s="70">
        <v>1</v>
      </c>
      <c r="FO56" s="70">
        <v>9</v>
      </c>
      <c r="FP56" s="42"/>
      <c r="FQ56" s="42"/>
      <c r="FR56" s="516"/>
      <c r="FS56" s="516"/>
      <c r="FT56" s="516"/>
      <c r="FU56" s="516" t="s">
        <v>1344</v>
      </c>
      <c r="FV56" s="516">
        <v>0</v>
      </c>
      <c r="FW56" s="516">
        <v>0</v>
      </c>
      <c r="FX56" s="516">
        <v>0</v>
      </c>
      <c r="FY56" s="516">
        <v>0</v>
      </c>
      <c r="FZ56" s="516">
        <v>0</v>
      </c>
      <c r="GA56" s="516">
        <v>0</v>
      </c>
      <c r="GB56" s="516">
        <v>0</v>
      </c>
      <c r="GC56" s="516">
        <v>0</v>
      </c>
      <c r="GD56" s="516">
        <v>1</v>
      </c>
      <c r="GE56" s="516">
        <v>0</v>
      </c>
      <c r="GF56" s="516">
        <v>0</v>
      </c>
      <c r="GG56" s="517">
        <v>1</v>
      </c>
      <c r="GH56" s="619"/>
      <c r="GI56" s="518"/>
    </row>
    <row r="57" spans="3:191">
      <c r="D57" s="32" t="s">
        <v>15</v>
      </c>
      <c r="E57" s="4607">
        <v>1</v>
      </c>
      <c r="F57" s="4607"/>
      <c r="G57" s="4607"/>
      <c r="H57" s="4607">
        <v>1</v>
      </c>
      <c r="I57" s="4607"/>
      <c r="J57" s="4607">
        <v>2</v>
      </c>
      <c r="K57" s="4607">
        <v>4</v>
      </c>
      <c r="L57" s="4607">
        <v>14</v>
      </c>
      <c r="M57" s="4607"/>
      <c r="N57" s="4583"/>
      <c r="O57" s="4583"/>
      <c r="P57" s="4583">
        <v>22</v>
      </c>
      <c r="Q57" s="1977">
        <v>0</v>
      </c>
      <c r="R57" s="1977"/>
      <c r="V57" s="37" t="s">
        <v>1231</v>
      </c>
      <c r="W57" s="4803">
        <v>10</v>
      </c>
      <c r="X57" s="4803">
        <v>3</v>
      </c>
      <c r="Y57" s="4803">
        <v>1</v>
      </c>
      <c r="Z57" s="4803">
        <v>0</v>
      </c>
      <c r="AA57" s="4803">
        <v>1</v>
      </c>
      <c r="AB57" s="4803"/>
      <c r="AC57" s="4803">
        <v>12</v>
      </c>
      <c r="AD57" s="4803">
        <v>15</v>
      </c>
      <c r="AE57" s="1788">
        <v>0</v>
      </c>
      <c r="AF57" s="1788">
        <v>42</v>
      </c>
      <c r="AI57" s="41"/>
      <c r="AJ57" s="41"/>
      <c r="AK57" s="41"/>
      <c r="AL57" s="461" t="s">
        <v>15</v>
      </c>
      <c r="AM57" s="2002"/>
      <c r="AN57" s="2002"/>
      <c r="AO57" s="2002"/>
      <c r="AP57" s="2002"/>
      <c r="AQ57" s="2002"/>
      <c r="AR57" s="2002">
        <v>16</v>
      </c>
      <c r="AS57" s="2002">
        <v>2</v>
      </c>
      <c r="AT57" s="2002"/>
      <c r="AU57" s="2480"/>
      <c r="AV57" s="2480"/>
      <c r="AW57" s="2480">
        <v>18</v>
      </c>
      <c r="AX57" s="635">
        <f>+(AW56+AW55+AW54)/AW57</f>
        <v>0.22222222222222221</v>
      </c>
      <c r="AY57" s="1977"/>
      <c r="AZ57" s="42"/>
      <c r="BA57" s="42"/>
      <c r="BB57" s="42"/>
      <c r="BC57" s="42" t="s">
        <v>1235</v>
      </c>
      <c r="BD57" s="1993"/>
      <c r="BE57" s="1993">
        <v>0</v>
      </c>
      <c r="BF57" s="1993"/>
      <c r="BG57" s="1993"/>
      <c r="BH57" s="1993">
        <v>0</v>
      </c>
      <c r="BI57" s="1993">
        <v>0</v>
      </c>
      <c r="BJ57" s="1993">
        <v>1</v>
      </c>
      <c r="BK57" s="1993">
        <v>0</v>
      </c>
      <c r="BL57" s="1993">
        <v>0</v>
      </c>
      <c r="BM57" s="70"/>
      <c r="BN57" s="70"/>
      <c r="BO57" s="70">
        <v>1</v>
      </c>
      <c r="BR57" s="105"/>
      <c r="BS57" s="105"/>
      <c r="BT57" s="41"/>
      <c r="BU57" s="41" t="s">
        <v>1344</v>
      </c>
      <c r="BV57" s="1659">
        <v>0</v>
      </c>
      <c r="BW57" s="1659"/>
      <c r="BX57" s="1659"/>
      <c r="BY57" s="1659"/>
      <c r="BZ57" s="1659"/>
      <c r="CA57" s="1659"/>
      <c r="CB57" s="1659">
        <v>1</v>
      </c>
      <c r="CC57" s="1659">
        <v>0</v>
      </c>
      <c r="CD57" s="1659"/>
      <c r="CE57" s="105"/>
      <c r="CF57" s="105"/>
      <c r="CG57" s="105">
        <v>1</v>
      </c>
      <c r="CH57" s="105"/>
      <c r="CJ57" s="1359"/>
      <c r="CK57" s="1359"/>
      <c r="CL57" s="1360"/>
      <c r="CM57" s="1361" t="s">
        <v>1235</v>
      </c>
      <c r="CN57" s="1363">
        <v>0</v>
      </c>
      <c r="CO57" s="1363">
        <v>0</v>
      </c>
      <c r="CP57" s="1363">
        <v>0</v>
      </c>
      <c r="CQ57" s="1363">
        <v>0</v>
      </c>
      <c r="CR57" s="1363">
        <v>0</v>
      </c>
      <c r="CS57" s="1363">
        <v>1</v>
      </c>
      <c r="CT57" s="1363">
        <v>0</v>
      </c>
      <c r="CU57" s="1363">
        <v>0</v>
      </c>
      <c r="CV57" s="686"/>
      <c r="CW57" s="686"/>
      <c r="CX57" s="687">
        <v>1</v>
      </c>
      <c r="CY57" s="41"/>
      <c r="DA57" s="602"/>
      <c r="DB57" s="602"/>
      <c r="DC57" s="603"/>
      <c r="DD57" s="604" t="s">
        <v>1240</v>
      </c>
      <c r="DE57" s="606">
        <v>0</v>
      </c>
      <c r="DF57" s="605"/>
      <c r="DG57" s="605"/>
      <c r="DH57" s="605"/>
      <c r="DI57" s="605"/>
      <c r="DJ57" s="606">
        <v>4</v>
      </c>
      <c r="DK57" s="606">
        <v>3</v>
      </c>
      <c r="DL57" s="606">
        <v>0</v>
      </c>
      <c r="DM57" s="602"/>
      <c r="DN57" s="602"/>
      <c r="DO57" s="607">
        <v>7</v>
      </c>
      <c r="DP57" s="105"/>
      <c r="DR57" s="608"/>
      <c r="DS57" s="608"/>
      <c r="DT57" s="608"/>
      <c r="DU57" s="609" t="s">
        <v>1235</v>
      </c>
      <c r="DV57" s="610"/>
      <c r="DW57" s="611">
        <v>0</v>
      </c>
      <c r="DX57" s="611">
        <v>0</v>
      </c>
      <c r="DY57" s="611">
        <v>0</v>
      </c>
      <c r="DZ57" s="611">
        <v>1</v>
      </c>
      <c r="EA57" s="611">
        <v>0</v>
      </c>
      <c r="EB57" s="611">
        <v>2</v>
      </c>
      <c r="EC57" s="610"/>
      <c r="ED57" s="610"/>
      <c r="EE57" s="612"/>
      <c r="EF57" s="612"/>
      <c r="EG57" s="613">
        <v>3</v>
      </c>
      <c r="EH57" s="614"/>
      <c r="EJ57" s="615"/>
      <c r="EK57" s="615"/>
      <c r="EL57" s="615"/>
      <c r="EM57" s="616" t="s">
        <v>1231</v>
      </c>
      <c r="EN57" s="617"/>
      <c r="EO57" s="617"/>
      <c r="EP57" s="617"/>
      <c r="EQ57" s="617"/>
      <c r="ER57" s="618">
        <v>1</v>
      </c>
      <c r="ES57" s="618">
        <v>1</v>
      </c>
      <c r="ET57" s="618">
        <v>1</v>
      </c>
      <c r="EU57" s="618">
        <v>2</v>
      </c>
      <c r="EV57" s="618">
        <v>2</v>
      </c>
      <c r="EW57" s="618">
        <v>0</v>
      </c>
      <c r="EX57" s="618">
        <v>7</v>
      </c>
      <c r="EY57" s="515"/>
      <c r="FA57" s="70"/>
      <c r="FB57" s="70"/>
      <c r="FC57" s="42"/>
      <c r="FD57" s="42" t="s">
        <v>1231</v>
      </c>
      <c r="FE57" s="70"/>
      <c r="FF57" s="70">
        <v>0</v>
      </c>
      <c r="FG57" s="70">
        <v>2</v>
      </c>
      <c r="FH57" s="70"/>
      <c r="FI57" s="70"/>
      <c r="FJ57" s="70"/>
      <c r="FK57" s="70">
        <v>1</v>
      </c>
      <c r="FL57" s="70">
        <v>2</v>
      </c>
      <c r="FM57" s="70"/>
      <c r="FN57" s="70">
        <v>0</v>
      </c>
      <c r="FO57" s="70">
        <v>5</v>
      </c>
      <c r="FP57" s="42"/>
      <c r="FQ57" s="42"/>
      <c r="FR57" s="516"/>
      <c r="FS57" s="516"/>
      <c r="FT57" s="516"/>
      <c r="FU57" s="519" t="s">
        <v>15</v>
      </c>
      <c r="FV57" s="519">
        <v>0</v>
      </c>
      <c r="FW57" s="519">
        <v>0</v>
      </c>
      <c r="FX57" s="519">
        <v>0</v>
      </c>
      <c r="FY57" s="519">
        <v>1</v>
      </c>
      <c r="FZ57" s="519">
        <v>0</v>
      </c>
      <c r="GA57" s="519">
        <v>0</v>
      </c>
      <c r="GB57" s="519">
        <v>0</v>
      </c>
      <c r="GC57" s="519">
        <v>3</v>
      </c>
      <c r="GD57" s="519">
        <v>6</v>
      </c>
      <c r="GE57" s="519">
        <v>1</v>
      </c>
      <c r="GF57" s="519">
        <v>1</v>
      </c>
      <c r="GG57" s="579">
        <v>12</v>
      </c>
      <c r="GH57" s="629">
        <f>+(GG56+GG54)/GG57</f>
        <v>0.16666666666666666</v>
      </c>
      <c r="GI57" s="518">
        <f>+GG54+GG56</f>
        <v>2</v>
      </c>
    </row>
    <row r="58" spans="3:191">
      <c r="C58" s="4800" t="s">
        <v>119</v>
      </c>
      <c r="D58" s="4800" t="s">
        <v>1231</v>
      </c>
      <c r="E58" s="4606">
        <v>0</v>
      </c>
      <c r="F58" s="4606"/>
      <c r="G58" s="4606"/>
      <c r="H58" s="4606"/>
      <c r="I58" s="4606"/>
      <c r="J58" s="4606"/>
      <c r="K58" s="4606">
        <v>3</v>
      </c>
      <c r="L58" s="4606"/>
      <c r="M58" s="4606"/>
      <c r="N58" s="2552"/>
      <c r="O58" s="2552"/>
      <c r="P58" s="2552">
        <v>3</v>
      </c>
      <c r="Q58" s="2552"/>
      <c r="R58" s="2552"/>
      <c r="V58" s="37" t="s">
        <v>1236</v>
      </c>
      <c r="W58" s="4803">
        <v>0</v>
      </c>
      <c r="X58" s="4803">
        <v>0</v>
      </c>
      <c r="Y58" s="4803">
        <v>1</v>
      </c>
      <c r="Z58" s="4803">
        <v>0</v>
      </c>
      <c r="AA58" s="4803">
        <v>0</v>
      </c>
      <c r="AB58" s="4803"/>
      <c r="AC58" s="4803">
        <v>0</v>
      </c>
      <c r="AD58" s="4803">
        <v>0</v>
      </c>
      <c r="AE58" s="1788">
        <v>0</v>
      </c>
      <c r="AF58" s="1788">
        <v>1</v>
      </c>
      <c r="AI58" s="41"/>
      <c r="AJ58" s="41"/>
      <c r="AK58" s="461" t="s">
        <v>545</v>
      </c>
      <c r="AL58" s="461" t="s">
        <v>1230</v>
      </c>
      <c r="AM58" s="2002">
        <v>0</v>
      </c>
      <c r="AN58" s="2002"/>
      <c r="AO58" s="2002"/>
      <c r="AP58" s="2002"/>
      <c r="AQ58" s="2002"/>
      <c r="AR58" s="2002">
        <v>0</v>
      </c>
      <c r="AS58" s="2002">
        <v>2</v>
      </c>
      <c r="AT58" s="2002">
        <v>1</v>
      </c>
      <c r="AU58" s="2480"/>
      <c r="AV58" s="2480"/>
      <c r="AW58" s="2480">
        <v>3</v>
      </c>
      <c r="AX58" s="41"/>
      <c r="AZ58" s="42"/>
      <c r="BA58" s="42"/>
      <c r="BB58" s="42"/>
      <c r="BC58" s="42" t="s">
        <v>1236</v>
      </c>
      <c r="BD58" s="1993"/>
      <c r="BE58" s="1993">
        <v>0</v>
      </c>
      <c r="BF58" s="1993"/>
      <c r="BG58" s="1993"/>
      <c r="BH58" s="1993">
        <v>1</v>
      </c>
      <c r="BI58" s="1993">
        <v>0</v>
      </c>
      <c r="BJ58" s="1993">
        <v>0</v>
      </c>
      <c r="BK58" s="1993">
        <v>0</v>
      </c>
      <c r="BL58" s="1993">
        <v>0</v>
      </c>
      <c r="BM58" s="70"/>
      <c r="BN58" s="70"/>
      <c r="BO58" s="70">
        <v>1</v>
      </c>
      <c r="BR58" s="105"/>
      <c r="BS58" s="105"/>
      <c r="BT58" s="41"/>
      <c r="BU58" s="461" t="s">
        <v>15</v>
      </c>
      <c r="BV58" s="1660">
        <v>1</v>
      </c>
      <c r="BW58" s="1660"/>
      <c r="BX58" s="1660"/>
      <c r="BY58" s="1660"/>
      <c r="BZ58" s="1660"/>
      <c r="CA58" s="1660"/>
      <c r="CB58" s="1660">
        <v>14</v>
      </c>
      <c r="CC58" s="1660">
        <v>4</v>
      </c>
      <c r="CD58" s="1660"/>
      <c r="CE58" s="96"/>
      <c r="CF58" s="96"/>
      <c r="CG58" s="96">
        <v>19</v>
      </c>
      <c r="CH58" s="635">
        <f>+(CG54+CG56+CG57)/CG58</f>
        <v>0.42105263157894735</v>
      </c>
      <c r="CJ58" s="1359"/>
      <c r="CK58" s="1359"/>
      <c r="CL58" s="1360"/>
      <c r="CM58" s="1361" t="s">
        <v>1239</v>
      </c>
      <c r="CN58" s="1363">
        <v>0</v>
      </c>
      <c r="CO58" s="1363">
        <v>0</v>
      </c>
      <c r="CP58" s="1363">
        <v>0</v>
      </c>
      <c r="CQ58" s="1363">
        <v>0</v>
      </c>
      <c r="CR58" s="1363">
        <v>0</v>
      </c>
      <c r="CS58" s="1363">
        <v>0</v>
      </c>
      <c r="CT58" s="1363">
        <v>0</v>
      </c>
      <c r="CU58" s="1363">
        <v>5</v>
      </c>
      <c r="CV58" s="686"/>
      <c r="CW58" s="686"/>
      <c r="CX58" s="687">
        <v>5</v>
      </c>
      <c r="CY58" s="41"/>
      <c r="DA58" s="602"/>
      <c r="DB58" s="602"/>
      <c r="DC58" s="603"/>
      <c r="DD58" s="604" t="s">
        <v>1344</v>
      </c>
      <c r="DE58" s="606">
        <v>0</v>
      </c>
      <c r="DF58" s="605"/>
      <c r="DG58" s="605"/>
      <c r="DH58" s="605"/>
      <c r="DI58" s="605"/>
      <c r="DJ58" s="606">
        <v>0</v>
      </c>
      <c r="DK58" s="606">
        <v>1</v>
      </c>
      <c r="DL58" s="606">
        <v>0</v>
      </c>
      <c r="DM58" s="602"/>
      <c r="DN58" s="602"/>
      <c r="DO58" s="607">
        <v>1</v>
      </c>
      <c r="DP58" s="105"/>
      <c r="DR58" s="608"/>
      <c r="DS58" s="608"/>
      <c r="DT58" s="608"/>
      <c r="DU58" s="609" t="s">
        <v>1236</v>
      </c>
      <c r="DV58" s="610"/>
      <c r="DW58" s="611">
        <v>1</v>
      </c>
      <c r="DX58" s="611">
        <v>2</v>
      </c>
      <c r="DY58" s="611">
        <v>15</v>
      </c>
      <c r="DZ58" s="611">
        <v>10</v>
      </c>
      <c r="EA58" s="611">
        <v>10</v>
      </c>
      <c r="EB58" s="611">
        <v>5</v>
      </c>
      <c r="EC58" s="610"/>
      <c r="ED58" s="610"/>
      <c r="EE58" s="612"/>
      <c r="EF58" s="612"/>
      <c r="EG58" s="613">
        <v>43</v>
      </c>
      <c r="EH58" s="614"/>
      <c r="EJ58" s="615"/>
      <c r="EK58" s="615"/>
      <c r="EL58" s="615"/>
      <c r="EM58" s="616" t="s">
        <v>1235</v>
      </c>
      <c r="EN58" s="617"/>
      <c r="EO58" s="617"/>
      <c r="EP58" s="617"/>
      <c r="EQ58" s="617"/>
      <c r="ER58" s="618">
        <v>0</v>
      </c>
      <c r="ES58" s="618">
        <v>1</v>
      </c>
      <c r="ET58" s="618">
        <v>2</v>
      </c>
      <c r="EU58" s="618">
        <v>0</v>
      </c>
      <c r="EV58" s="618">
        <v>0</v>
      </c>
      <c r="EW58" s="618">
        <v>0</v>
      </c>
      <c r="EX58" s="618">
        <v>3</v>
      </c>
      <c r="EY58" s="515"/>
      <c r="FA58" s="70"/>
      <c r="FB58" s="70"/>
      <c r="FC58" s="42"/>
      <c r="FD58" s="42" t="s">
        <v>1236</v>
      </c>
      <c r="FE58" s="70"/>
      <c r="FF58" s="70">
        <v>1</v>
      </c>
      <c r="FG58" s="70">
        <v>0</v>
      </c>
      <c r="FH58" s="70"/>
      <c r="FI58" s="70"/>
      <c r="FJ58" s="70"/>
      <c r="FK58" s="70">
        <v>0</v>
      </c>
      <c r="FL58" s="70">
        <v>0</v>
      </c>
      <c r="FM58" s="70"/>
      <c r="FN58" s="70">
        <v>0</v>
      </c>
      <c r="FO58" s="70">
        <v>1</v>
      </c>
      <c r="FP58" s="42"/>
      <c r="FQ58" s="42"/>
      <c r="FR58" s="516"/>
      <c r="FS58" s="516"/>
      <c r="FT58" s="516" t="s">
        <v>123</v>
      </c>
      <c r="FU58" s="516" t="s">
        <v>1230</v>
      </c>
      <c r="FV58" s="516">
        <v>0</v>
      </c>
      <c r="FW58" s="516">
        <v>0</v>
      </c>
      <c r="FX58" s="516">
        <v>0</v>
      </c>
      <c r="FY58" s="516">
        <v>0</v>
      </c>
      <c r="FZ58" s="516">
        <v>0</v>
      </c>
      <c r="GA58" s="516">
        <v>0</v>
      </c>
      <c r="GB58" s="516">
        <v>0</v>
      </c>
      <c r="GC58" s="516">
        <v>0</v>
      </c>
      <c r="GD58" s="516">
        <v>1</v>
      </c>
      <c r="GE58" s="516">
        <v>0</v>
      </c>
      <c r="GF58" s="516">
        <v>2</v>
      </c>
      <c r="GG58" s="517">
        <v>3</v>
      </c>
      <c r="GH58" s="619"/>
      <c r="GI58" s="518"/>
    </row>
    <row r="59" spans="3:191">
      <c r="D59" s="4800" t="s">
        <v>1235</v>
      </c>
      <c r="E59" s="4606">
        <v>0</v>
      </c>
      <c r="F59" s="4606"/>
      <c r="G59" s="4606"/>
      <c r="H59" s="4606"/>
      <c r="I59" s="4606"/>
      <c r="J59" s="4606"/>
      <c r="K59" s="4606">
        <v>1</v>
      </c>
      <c r="L59" s="4606"/>
      <c r="M59" s="4606"/>
      <c r="N59" s="2552"/>
      <c r="O59" s="2552"/>
      <c r="P59" s="2552">
        <v>1</v>
      </c>
      <c r="Q59" s="2552"/>
      <c r="R59" s="2552"/>
      <c r="V59" s="37" t="s">
        <v>1239</v>
      </c>
      <c r="W59" s="4803">
        <v>0</v>
      </c>
      <c r="X59" s="4803">
        <v>0</v>
      </c>
      <c r="Y59" s="4803">
        <v>0</v>
      </c>
      <c r="Z59" s="4803">
        <v>0</v>
      </c>
      <c r="AA59" s="4803">
        <v>0</v>
      </c>
      <c r="AB59" s="4803"/>
      <c r="AC59" s="4803">
        <v>0</v>
      </c>
      <c r="AD59" s="4803">
        <v>0</v>
      </c>
      <c r="AE59" s="1788">
        <v>8</v>
      </c>
      <c r="AF59" s="1788">
        <v>8</v>
      </c>
      <c r="AI59" s="41"/>
      <c r="AJ59" s="41"/>
      <c r="AK59" s="461"/>
      <c r="AL59" s="461" t="s">
        <v>1231</v>
      </c>
      <c r="AM59" s="2002">
        <v>0</v>
      </c>
      <c r="AN59" s="2002"/>
      <c r="AO59" s="2002"/>
      <c r="AP59" s="2002"/>
      <c r="AQ59" s="2002"/>
      <c r="AR59" s="2002">
        <v>12</v>
      </c>
      <c r="AS59" s="2002">
        <v>4</v>
      </c>
      <c r="AT59" s="2002">
        <v>0</v>
      </c>
      <c r="AU59" s="2480"/>
      <c r="AV59" s="2480"/>
      <c r="AW59" s="2480">
        <v>16</v>
      </c>
      <c r="AX59" s="41"/>
      <c r="AZ59" s="42"/>
      <c r="BA59" s="42"/>
      <c r="BB59" s="42"/>
      <c r="BC59" s="42" t="s">
        <v>1239</v>
      </c>
      <c r="BD59" s="1993"/>
      <c r="BE59" s="1993">
        <v>0</v>
      </c>
      <c r="BF59" s="1993"/>
      <c r="BG59" s="1993"/>
      <c r="BH59" s="1993">
        <v>0</v>
      </c>
      <c r="BI59" s="1993">
        <v>0</v>
      </c>
      <c r="BJ59" s="1993">
        <v>0</v>
      </c>
      <c r="BK59" s="1993">
        <v>1</v>
      </c>
      <c r="BL59" s="1993">
        <v>6</v>
      </c>
      <c r="BM59" s="70"/>
      <c r="BN59" s="70"/>
      <c r="BO59" s="70">
        <v>7</v>
      </c>
      <c r="BR59" s="105"/>
      <c r="BS59" s="105"/>
      <c r="BT59" s="41" t="s">
        <v>545</v>
      </c>
      <c r="BU59" s="41" t="s">
        <v>1230</v>
      </c>
      <c r="BV59" s="1659">
        <v>0</v>
      </c>
      <c r="BW59" s="1659">
        <v>0</v>
      </c>
      <c r="BX59" s="1659"/>
      <c r="BY59" s="1659"/>
      <c r="BZ59" s="1659"/>
      <c r="CA59" s="1659"/>
      <c r="CB59" s="1659">
        <v>0</v>
      </c>
      <c r="CC59" s="1659">
        <v>4</v>
      </c>
      <c r="CD59" s="1659">
        <v>0</v>
      </c>
      <c r="CE59" s="105">
        <v>0</v>
      </c>
      <c r="CF59" s="105">
        <v>0</v>
      </c>
      <c r="CG59" s="105">
        <v>4</v>
      </c>
      <c r="CH59" s="105"/>
      <c r="CJ59" s="1359"/>
      <c r="CK59" s="1359"/>
      <c r="CL59" s="1360"/>
      <c r="CM59" s="1361" t="s">
        <v>1240</v>
      </c>
      <c r="CN59" s="1363">
        <v>0</v>
      </c>
      <c r="CO59" s="1363">
        <v>0</v>
      </c>
      <c r="CP59" s="1363">
        <v>0</v>
      </c>
      <c r="CQ59" s="1363">
        <v>0</v>
      </c>
      <c r="CR59" s="1363">
        <v>0</v>
      </c>
      <c r="CS59" s="1363">
        <v>1</v>
      </c>
      <c r="CT59" s="1363">
        <v>1</v>
      </c>
      <c r="CU59" s="1363">
        <v>0</v>
      </c>
      <c r="CV59" s="686"/>
      <c r="CW59" s="686"/>
      <c r="CX59" s="687">
        <v>2</v>
      </c>
      <c r="CY59" s="41"/>
      <c r="DA59" s="602"/>
      <c r="DB59" s="602"/>
      <c r="DC59" s="603"/>
      <c r="DD59" s="630" t="s">
        <v>545</v>
      </c>
      <c r="DE59" s="632">
        <v>1</v>
      </c>
      <c r="DF59" s="631"/>
      <c r="DG59" s="631"/>
      <c r="DH59" s="631"/>
      <c r="DI59" s="631"/>
      <c r="DJ59" s="632">
        <v>17</v>
      </c>
      <c r="DK59" s="632">
        <v>17</v>
      </c>
      <c r="DL59" s="632">
        <v>4</v>
      </c>
      <c r="DM59" s="633"/>
      <c r="DN59" s="633"/>
      <c r="DO59" s="634">
        <v>39</v>
      </c>
      <c r="DP59" s="635">
        <f>+(DO55+DO57+DO58)/DO59</f>
        <v>0.35897435897435898</v>
      </c>
      <c r="DR59" s="608"/>
      <c r="DS59" s="608"/>
      <c r="DT59" s="608"/>
      <c r="DU59" s="609" t="s">
        <v>1239</v>
      </c>
      <c r="DV59" s="610"/>
      <c r="DW59" s="611">
        <v>0</v>
      </c>
      <c r="DX59" s="611">
        <v>0</v>
      </c>
      <c r="DY59" s="611">
        <v>0</v>
      </c>
      <c r="DZ59" s="611">
        <v>0</v>
      </c>
      <c r="EA59" s="611">
        <v>2</v>
      </c>
      <c r="EB59" s="611">
        <v>0</v>
      </c>
      <c r="EC59" s="610"/>
      <c r="ED59" s="610"/>
      <c r="EE59" s="612"/>
      <c r="EF59" s="612"/>
      <c r="EG59" s="613">
        <v>2</v>
      </c>
      <c r="EH59" s="614"/>
      <c r="EJ59" s="615"/>
      <c r="EK59" s="615"/>
      <c r="EL59" s="615"/>
      <c r="EM59" s="625" t="s">
        <v>15</v>
      </c>
      <c r="EN59" s="626"/>
      <c r="EO59" s="626"/>
      <c r="EP59" s="626"/>
      <c r="EQ59" s="626"/>
      <c r="ER59" s="627">
        <v>1</v>
      </c>
      <c r="ES59" s="627">
        <v>2</v>
      </c>
      <c r="ET59" s="627">
        <v>4</v>
      </c>
      <c r="EU59" s="627">
        <v>7</v>
      </c>
      <c r="EV59" s="627">
        <v>4</v>
      </c>
      <c r="EW59" s="627">
        <v>6</v>
      </c>
      <c r="EX59" s="627">
        <v>24</v>
      </c>
      <c r="EY59" s="628">
        <f>+EX58/EX59</f>
        <v>0.125</v>
      </c>
      <c r="FA59" s="70"/>
      <c r="FB59" s="70"/>
      <c r="FC59" s="42"/>
      <c r="FD59" s="42" t="s">
        <v>1239</v>
      </c>
      <c r="FE59" s="70"/>
      <c r="FF59" s="70">
        <v>0</v>
      </c>
      <c r="FG59" s="70">
        <v>0</v>
      </c>
      <c r="FH59" s="70"/>
      <c r="FI59" s="70"/>
      <c r="FJ59" s="70"/>
      <c r="FK59" s="70">
        <v>0</v>
      </c>
      <c r="FL59" s="70">
        <v>1</v>
      </c>
      <c r="FM59" s="70"/>
      <c r="FN59" s="70">
        <v>0</v>
      </c>
      <c r="FO59" s="70">
        <v>1</v>
      </c>
      <c r="FP59" s="42"/>
      <c r="FQ59" s="42"/>
      <c r="FR59" s="516"/>
      <c r="FS59" s="516"/>
      <c r="FT59" s="516"/>
      <c r="FU59" s="516" t="s">
        <v>1235</v>
      </c>
      <c r="FV59" s="516">
        <v>0</v>
      </c>
      <c r="FW59" s="516">
        <v>0</v>
      </c>
      <c r="FX59" s="516">
        <v>0</v>
      </c>
      <c r="FY59" s="516">
        <v>0</v>
      </c>
      <c r="FZ59" s="516">
        <v>0</v>
      </c>
      <c r="GA59" s="516">
        <v>0</v>
      </c>
      <c r="GB59" s="516">
        <v>0</v>
      </c>
      <c r="GC59" s="516">
        <v>2</v>
      </c>
      <c r="GD59" s="516">
        <v>0</v>
      </c>
      <c r="GE59" s="516">
        <v>0</v>
      </c>
      <c r="GF59" s="516">
        <v>0</v>
      </c>
      <c r="GG59" s="517">
        <v>2</v>
      </c>
      <c r="GH59" s="619"/>
      <c r="GI59" s="518"/>
    </row>
    <row r="60" spans="3:191">
      <c r="D60" s="4800" t="s">
        <v>1240</v>
      </c>
      <c r="E60" s="4606">
        <v>0</v>
      </c>
      <c r="F60" s="4606"/>
      <c r="G60" s="4606"/>
      <c r="H60" s="4606"/>
      <c r="I60" s="4606"/>
      <c r="J60" s="4606"/>
      <c r="K60" s="4606">
        <v>1</v>
      </c>
      <c r="L60" s="4606"/>
      <c r="M60" s="4606"/>
      <c r="N60" s="2552"/>
      <c r="O60" s="2552"/>
      <c r="P60" s="2552">
        <v>1</v>
      </c>
      <c r="Q60" s="2552"/>
      <c r="R60" s="2552"/>
      <c r="V60" s="1793" t="s">
        <v>15</v>
      </c>
      <c r="W60" s="4804">
        <v>10</v>
      </c>
      <c r="X60" s="4804">
        <v>3</v>
      </c>
      <c r="Y60" s="4804">
        <v>2</v>
      </c>
      <c r="Z60" s="4804">
        <v>1</v>
      </c>
      <c r="AA60" s="4804">
        <v>1</v>
      </c>
      <c r="AB60" s="4804"/>
      <c r="AC60" s="4804">
        <v>12</v>
      </c>
      <c r="AD60" s="4804">
        <v>15</v>
      </c>
      <c r="AE60" s="4702">
        <v>8</v>
      </c>
      <c r="AF60" s="4702">
        <v>52</v>
      </c>
      <c r="AG60" s="4703">
        <v>0</v>
      </c>
      <c r="AI60" s="41"/>
      <c r="AJ60" s="41"/>
      <c r="AK60" s="461"/>
      <c r="AL60" s="461" t="s">
        <v>1233</v>
      </c>
      <c r="AM60" s="2002">
        <v>1</v>
      </c>
      <c r="AN60" s="2002"/>
      <c r="AO60" s="2002"/>
      <c r="AP60" s="2002"/>
      <c r="AQ60" s="2002"/>
      <c r="AR60" s="2002">
        <v>0</v>
      </c>
      <c r="AS60" s="2002">
        <v>0</v>
      </c>
      <c r="AT60" s="2002">
        <v>0</v>
      </c>
      <c r="AU60" s="2480"/>
      <c r="AV60" s="2480"/>
      <c r="AW60" s="2480">
        <v>1</v>
      </c>
      <c r="AX60" s="41"/>
      <c r="AZ60" s="42"/>
      <c r="BA60" s="42"/>
      <c r="BB60" s="42"/>
      <c r="BC60" s="42" t="s">
        <v>1240</v>
      </c>
      <c r="BD60" s="1993"/>
      <c r="BE60" s="1993">
        <v>0</v>
      </c>
      <c r="BF60" s="1993"/>
      <c r="BG60" s="1993"/>
      <c r="BH60" s="1993">
        <v>0</v>
      </c>
      <c r="BI60" s="1993">
        <v>0</v>
      </c>
      <c r="BJ60" s="1993">
        <v>3</v>
      </c>
      <c r="BK60" s="1993">
        <v>1</v>
      </c>
      <c r="BL60" s="1993">
        <v>0</v>
      </c>
      <c r="BM60" s="70"/>
      <c r="BN60" s="70"/>
      <c r="BO60" s="70">
        <v>4</v>
      </c>
      <c r="BR60" s="105"/>
      <c r="BS60" s="105"/>
      <c r="BT60" s="41"/>
      <c r="BU60" s="41" t="s">
        <v>1231</v>
      </c>
      <c r="BV60" s="1659">
        <v>0</v>
      </c>
      <c r="BW60" s="1659">
        <v>1</v>
      </c>
      <c r="BX60" s="1659"/>
      <c r="BY60" s="1659"/>
      <c r="BZ60" s="1659"/>
      <c r="CA60" s="1659"/>
      <c r="CB60" s="1659">
        <v>13</v>
      </c>
      <c r="CC60" s="1659">
        <v>2</v>
      </c>
      <c r="CD60" s="1659">
        <v>1</v>
      </c>
      <c r="CE60" s="105">
        <v>1</v>
      </c>
      <c r="CF60" s="105">
        <v>0</v>
      </c>
      <c r="CG60" s="105">
        <v>18</v>
      </c>
      <c r="CH60" s="105"/>
      <c r="CJ60" s="1359"/>
      <c r="CK60" s="1359"/>
      <c r="CL60" s="1360"/>
      <c r="CM60" s="1361" t="s">
        <v>1344</v>
      </c>
      <c r="CN60" s="1363">
        <v>0</v>
      </c>
      <c r="CO60" s="1363">
        <v>0</v>
      </c>
      <c r="CP60" s="1363">
        <v>0</v>
      </c>
      <c r="CQ60" s="1363">
        <v>0</v>
      </c>
      <c r="CR60" s="1363">
        <v>0</v>
      </c>
      <c r="CS60" s="1363">
        <v>5</v>
      </c>
      <c r="CT60" s="1363">
        <v>0</v>
      </c>
      <c r="CU60" s="1363">
        <v>0</v>
      </c>
      <c r="CV60" s="686"/>
      <c r="CW60" s="686"/>
      <c r="CX60" s="687">
        <v>5</v>
      </c>
      <c r="CY60" s="41"/>
      <c r="DA60" s="602"/>
      <c r="DB60" s="602" t="s">
        <v>104</v>
      </c>
      <c r="DC60" s="603" t="s">
        <v>105</v>
      </c>
      <c r="DD60" s="604" t="s">
        <v>1236</v>
      </c>
      <c r="DE60" s="605"/>
      <c r="DF60" s="605"/>
      <c r="DG60" s="606">
        <v>1</v>
      </c>
      <c r="DH60" s="605"/>
      <c r="DI60" s="606">
        <v>2</v>
      </c>
      <c r="DJ60" s="606">
        <v>2</v>
      </c>
      <c r="DK60" s="605"/>
      <c r="DL60" s="605"/>
      <c r="DM60" s="602"/>
      <c r="DN60" s="602"/>
      <c r="DO60" s="607">
        <v>5</v>
      </c>
      <c r="DP60" s="105"/>
      <c r="DR60" s="608"/>
      <c r="DS60" s="608"/>
      <c r="DT60" s="608"/>
      <c r="DU60" s="609" t="s">
        <v>1240</v>
      </c>
      <c r="DV60" s="610"/>
      <c r="DW60" s="611">
        <v>0</v>
      </c>
      <c r="DX60" s="611">
        <v>0</v>
      </c>
      <c r="DY60" s="611">
        <v>0</v>
      </c>
      <c r="DZ60" s="611">
        <v>1</v>
      </c>
      <c r="EA60" s="611">
        <v>1</v>
      </c>
      <c r="EB60" s="611">
        <v>0</v>
      </c>
      <c r="EC60" s="610"/>
      <c r="ED60" s="610"/>
      <c r="EE60" s="612"/>
      <c r="EF60" s="612"/>
      <c r="EG60" s="613">
        <v>2</v>
      </c>
      <c r="EH60" s="614"/>
      <c r="EJ60" s="615"/>
      <c r="EK60" s="615"/>
      <c r="EL60" s="615" t="s">
        <v>123</v>
      </c>
      <c r="EM60" s="616" t="s">
        <v>1230</v>
      </c>
      <c r="EN60" s="617"/>
      <c r="EO60" s="617"/>
      <c r="EP60" s="617"/>
      <c r="EQ60" s="617"/>
      <c r="ER60" s="617"/>
      <c r="ES60" s="618">
        <v>0</v>
      </c>
      <c r="ET60" s="618">
        <v>0</v>
      </c>
      <c r="EU60" s="618">
        <v>1</v>
      </c>
      <c r="EV60" s="617"/>
      <c r="EW60" s="617"/>
      <c r="EX60" s="618">
        <v>1</v>
      </c>
      <c r="EY60" s="515"/>
      <c r="FA60" s="70"/>
      <c r="FB60" s="70"/>
      <c r="FC60" s="42"/>
      <c r="FD60" s="484" t="s">
        <v>15</v>
      </c>
      <c r="FE60" s="454"/>
      <c r="FF60" s="454">
        <v>1</v>
      </c>
      <c r="FG60" s="454">
        <v>2</v>
      </c>
      <c r="FH60" s="454"/>
      <c r="FI60" s="454"/>
      <c r="FJ60" s="454"/>
      <c r="FK60" s="454">
        <v>2</v>
      </c>
      <c r="FL60" s="454">
        <v>10</v>
      </c>
      <c r="FM60" s="454"/>
      <c r="FN60" s="454">
        <v>1</v>
      </c>
      <c r="FO60" s="454">
        <v>16</v>
      </c>
      <c r="FP60" s="538">
        <v>0</v>
      </c>
      <c r="FQ60" s="42"/>
      <c r="FR60" s="516"/>
      <c r="FS60" s="516"/>
      <c r="FT60" s="516"/>
      <c r="FU60" s="516" t="s">
        <v>1239</v>
      </c>
      <c r="FV60" s="516">
        <v>0</v>
      </c>
      <c r="FW60" s="516">
        <v>0</v>
      </c>
      <c r="FX60" s="516">
        <v>0</v>
      </c>
      <c r="FY60" s="516">
        <v>0</v>
      </c>
      <c r="FZ60" s="516">
        <v>0</v>
      </c>
      <c r="GA60" s="516">
        <v>0</v>
      </c>
      <c r="GB60" s="516">
        <v>0</v>
      </c>
      <c r="GC60" s="516">
        <v>1</v>
      </c>
      <c r="GD60" s="516">
        <v>4</v>
      </c>
      <c r="GE60" s="516">
        <v>0</v>
      </c>
      <c r="GF60" s="516">
        <v>0</v>
      </c>
      <c r="GG60" s="517">
        <v>5</v>
      </c>
      <c r="GH60" s="619"/>
      <c r="GI60" s="518"/>
    </row>
    <row r="61" spans="3:191">
      <c r="D61" s="4800" t="s">
        <v>2963</v>
      </c>
      <c r="E61" s="4606">
        <v>2</v>
      </c>
      <c r="F61" s="4606"/>
      <c r="G61" s="4606"/>
      <c r="H61" s="4606"/>
      <c r="I61" s="4606"/>
      <c r="J61" s="4606"/>
      <c r="K61" s="4606">
        <v>0</v>
      </c>
      <c r="L61" s="4606"/>
      <c r="M61" s="4606"/>
      <c r="N61" s="2552"/>
      <c r="O61" s="2552"/>
      <c r="P61" s="2552">
        <v>2</v>
      </c>
      <c r="Q61" s="2552"/>
      <c r="R61" s="2552"/>
      <c r="U61" s="37" t="s">
        <v>2278</v>
      </c>
      <c r="V61" s="37" t="s">
        <v>1230</v>
      </c>
      <c r="W61" s="4803"/>
      <c r="X61" s="4803">
        <v>0</v>
      </c>
      <c r="Y61" s="4803">
        <v>0</v>
      </c>
      <c r="Z61" s="4803"/>
      <c r="AA61" s="4803"/>
      <c r="AB61" s="4803">
        <v>0</v>
      </c>
      <c r="AC61" s="4803">
        <v>0</v>
      </c>
      <c r="AD61" s="4803"/>
      <c r="AE61" s="1788">
        <v>2</v>
      </c>
      <c r="AF61" s="1788">
        <v>2</v>
      </c>
      <c r="AI61" s="41"/>
      <c r="AJ61" s="41"/>
      <c r="AK61" s="461"/>
      <c r="AL61" s="461" t="s">
        <v>1235</v>
      </c>
      <c r="AM61" s="2002">
        <v>0</v>
      </c>
      <c r="AN61" s="2002"/>
      <c r="AO61" s="2002"/>
      <c r="AP61" s="2002"/>
      <c r="AQ61" s="2002"/>
      <c r="AR61" s="2002">
        <v>4</v>
      </c>
      <c r="AS61" s="2002">
        <v>2</v>
      </c>
      <c r="AT61" s="2002">
        <v>0</v>
      </c>
      <c r="AU61" s="2480"/>
      <c r="AV61" s="2480"/>
      <c r="AW61" s="2480">
        <v>6</v>
      </c>
      <c r="AX61" s="41"/>
      <c r="AZ61" s="42"/>
      <c r="BA61" s="42"/>
      <c r="BB61" s="42"/>
      <c r="BC61" s="484" t="s">
        <v>545</v>
      </c>
      <c r="BD61" s="1994"/>
      <c r="BE61" s="1994">
        <v>2</v>
      </c>
      <c r="BF61" s="1994"/>
      <c r="BG61" s="1994"/>
      <c r="BH61" s="1994">
        <v>1</v>
      </c>
      <c r="BI61" s="1994">
        <v>1</v>
      </c>
      <c r="BJ61" s="1994">
        <v>14</v>
      </c>
      <c r="BK61" s="1994">
        <v>6</v>
      </c>
      <c r="BL61" s="1994">
        <v>10</v>
      </c>
      <c r="BM61" s="454"/>
      <c r="BN61" s="454"/>
      <c r="BO61" s="454">
        <v>34</v>
      </c>
      <c r="BP61" s="2485">
        <f>+(BO57+BO60)/BO61</f>
        <v>0.14705882352941177</v>
      </c>
      <c r="BR61" s="105"/>
      <c r="BS61" s="105"/>
      <c r="BT61" s="41"/>
      <c r="BU61" s="41" t="s">
        <v>1233</v>
      </c>
      <c r="BV61" s="1659">
        <v>0</v>
      </c>
      <c r="BW61" s="1659">
        <v>1</v>
      </c>
      <c r="BX61" s="1659"/>
      <c r="BY61" s="1659"/>
      <c r="BZ61" s="1659"/>
      <c r="CA61" s="1659"/>
      <c r="CB61" s="1659">
        <v>0</v>
      </c>
      <c r="CC61" s="1659">
        <v>0</v>
      </c>
      <c r="CD61" s="1659">
        <v>0</v>
      </c>
      <c r="CE61" s="105">
        <v>0</v>
      </c>
      <c r="CF61" s="105">
        <v>0</v>
      </c>
      <c r="CG61" s="105">
        <v>1</v>
      </c>
      <c r="CH61" s="105"/>
      <c r="CJ61" s="1359"/>
      <c r="CK61" s="1359"/>
      <c r="CL61" s="1360"/>
      <c r="CM61" s="483" t="s">
        <v>545</v>
      </c>
      <c r="CN61" s="1365">
        <v>1</v>
      </c>
      <c r="CO61" s="1365">
        <v>1</v>
      </c>
      <c r="CP61" s="1365">
        <v>2</v>
      </c>
      <c r="CQ61" s="1365">
        <v>3</v>
      </c>
      <c r="CR61" s="1365">
        <v>4</v>
      </c>
      <c r="CS61" s="1365">
        <v>24</v>
      </c>
      <c r="CT61" s="1365">
        <v>12</v>
      </c>
      <c r="CU61" s="1365">
        <v>8</v>
      </c>
      <c r="CV61" s="695"/>
      <c r="CW61" s="695"/>
      <c r="CX61" s="696">
        <v>55</v>
      </c>
      <c r="CY61" s="1325">
        <f>+(CX57+CX59+CX60)/CX61</f>
        <v>0.14545454545454545</v>
      </c>
      <c r="DA61" s="602"/>
      <c r="DB61" s="602"/>
      <c r="DC61" s="603"/>
      <c r="DD61" s="604" t="s">
        <v>1344</v>
      </c>
      <c r="DE61" s="605"/>
      <c r="DF61" s="605"/>
      <c r="DG61" s="606">
        <v>3</v>
      </c>
      <c r="DH61" s="605"/>
      <c r="DI61" s="606">
        <v>0</v>
      </c>
      <c r="DJ61" s="606">
        <v>0</v>
      </c>
      <c r="DK61" s="605"/>
      <c r="DL61" s="605"/>
      <c r="DM61" s="602"/>
      <c r="DN61" s="602"/>
      <c r="DO61" s="607">
        <v>3</v>
      </c>
      <c r="DP61" s="105"/>
      <c r="DR61" s="608"/>
      <c r="DS61" s="608"/>
      <c r="DT61" s="608"/>
      <c r="DU61" s="609" t="s">
        <v>1344</v>
      </c>
      <c r="DV61" s="610"/>
      <c r="DW61" s="611">
        <v>0</v>
      </c>
      <c r="DX61" s="611">
        <v>0</v>
      </c>
      <c r="DY61" s="611">
        <v>2</v>
      </c>
      <c r="DZ61" s="611">
        <v>4</v>
      </c>
      <c r="EA61" s="611">
        <v>2</v>
      </c>
      <c r="EB61" s="611">
        <v>0</v>
      </c>
      <c r="EC61" s="610"/>
      <c r="ED61" s="610"/>
      <c r="EE61" s="612"/>
      <c r="EF61" s="612"/>
      <c r="EG61" s="613">
        <v>8</v>
      </c>
      <c r="EH61" s="614"/>
      <c r="EJ61" s="615"/>
      <c r="EK61" s="615"/>
      <c r="EL61" s="615"/>
      <c r="EM61" s="616" t="s">
        <v>1235</v>
      </c>
      <c r="EN61" s="617"/>
      <c r="EO61" s="617"/>
      <c r="EP61" s="617"/>
      <c r="EQ61" s="617"/>
      <c r="ER61" s="617"/>
      <c r="ES61" s="618">
        <v>0</v>
      </c>
      <c r="ET61" s="618">
        <v>2</v>
      </c>
      <c r="EU61" s="618">
        <v>0</v>
      </c>
      <c r="EV61" s="617"/>
      <c r="EW61" s="617"/>
      <c r="EX61" s="618">
        <v>2</v>
      </c>
      <c r="EY61" s="515"/>
      <c r="FA61" s="70"/>
      <c r="FB61" s="70"/>
      <c r="FC61" s="42" t="s">
        <v>123</v>
      </c>
      <c r="FD61" s="42" t="s">
        <v>1230</v>
      </c>
      <c r="FE61" s="70"/>
      <c r="FF61" s="70">
        <v>0</v>
      </c>
      <c r="FG61" s="70"/>
      <c r="FH61" s="70"/>
      <c r="FI61" s="70"/>
      <c r="FJ61" s="70">
        <v>0</v>
      </c>
      <c r="FK61" s="70">
        <v>0</v>
      </c>
      <c r="FL61" s="70">
        <v>2</v>
      </c>
      <c r="FM61" s="70"/>
      <c r="FN61" s="70"/>
      <c r="FO61" s="70">
        <v>2</v>
      </c>
      <c r="FP61" s="42"/>
      <c r="FQ61" s="42"/>
      <c r="FR61" s="516"/>
      <c r="FS61" s="516"/>
      <c r="FT61" s="516"/>
      <c r="FU61" s="519" t="s">
        <v>15</v>
      </c>
      <c r="FV61" s="519">
        <v>0</v>
      </c>
      <c r="FW61" s="519">
        <v>0</v>
      </c>
      <c r="FX61" s="519">
        <v>0</v>
      </c>
      <c r="FY61" s="519">
        <v>0</v>
      </c>
      <c r="FZ61" s="519">
        <v>0</v>
      </c>
      <c r="GA61" s="519">
        <v>0</v>
      </c>
      <c r="GB61" s="519">
        <v>0</v>
      </c>
      <c r="GC61" s="519">
        <v>3</v>
      </c>
      <c r="GD61" s="519">
        <v>5</v>
      </c>
      <c r="GE61" s="519">
        <v>0</v>
      </c>
      <c r="GF61" s="519">
        <v>2</v>
      </c>
      <c r="GG61" s="579">
        <v>10</v>
      </c>
      <c r="GH61" s="629">
        <f>+GG59/GG61</f>
        <v>0.2</v>
      </c>
      <c r="GI61" s="518">
        <f>+GG59</f>
        <v>2</v>
      </c>
    </row>
    <row r="62" spans="3:191">
      <c r="D62" s="4800" t="s">
        <v>1344</v>
      </c>
      <c r="E62" s="4606">
        <v>0</v>
      </c>
      <c r="F62" s="4606"/>
      <c r="G62" s="4606"/>
      <c r="H62" s="4606"/>
      <c r="I62" s="4606"/>
      <c r="J62" s="4606"/>
      <c r="K62" s="4606">
        <v>2</v>
      </c>
      <c r="L62" s="4606"/>
      <c r="M62" s="4606"/>
      <c r="N62" s="2552"/>
      <c r="O62" s="2552"/>
      <c r="P62" s="2552">
        <v>2</v>
      </c>
      <c r="Q62" s="2552"/>
      <c r="R62" s="2552"/>
      <c r="V62" s="37" t="s">
        <v>1231</v>
      </c>
      <c r="W62" s="4803"/>
      <c r="X62" s="4803">
        <v>0</v>
      </c>
      <c r="Y62" s="4803">
        <v>1</v>
      </c>
      <c r="Z62" s="4803"/>
      <c r="AA62" s="4803"/>
      <c r="AB62" s="4803">
        <v>3</v>
      </c>
      <c r="AC62" s="4803">
        <v>3</v>
      </c>
      <c r="AD62" s="4803"/>
      <c r="AE62" s="1788">
        <v>0</v>
      </c>
      <c r="AF62" s="1788">
        <v>7</v>
      </c>
      <c r="AI62" s="41"/>
      <c r="AJ62" s="41"/>
      <c r="AK62" s="461"/>
      <c r="AL62" s="461" t="s">
        <v>1239</v>
      </c>
      <c r="AM62" s="2002">
        <v>0</v>
      </c>
      <c r="AN62" s="2002"/>
      <c r="AO62" s="2002"/>
      <c r="AP62" s="2002"/>
      <c r="AQ62" s="2002"/>
      <c r="AR62" s="2002">
        <v>0</v>
      </c>
      <c r="AS62" s="2002">
        <v>0</v>
      </c>
      <c r="AT62" s="2002">
        <v>1</v>
      </c>
      <c r="AU62" s="2480"/>
      <c r="AV62" s="2480"/>
      <c r="AW62" s="2480">
        <v>1</v>
      </c>
      <c r="AX62" s="41"/>
      <c r="AZ62" s="42"/>
      <c r="BA62" s="42" t="s">
        <v>21</v>
      </c>
      <c r="BB62" s="42" t="s">
        <v>105</v>
      </c>
      <c r="BC62" s="42" t="s">
        <v>1235</v>
      </c>
      <c r="BD62" s="1993"/>
      <c r="BE62" s="1993"/>
      <c r="BF62" s="1993"/>
      <c r="BG62" s="1993"/>
      <c r="BH62" s="1993"/>
      <c r="BI62" s="1993"/>
      <c r="BJ62" s="1993">
        <v>1</v>
      </c>
      <c r="BK62" s="1993"/>
      <c r="BL62" s="1993"/>
      <c r="BM62" s="70"/>
      <c r="BN62" s="70"/>
      <c r="BO62" s="70">
        <v>1</v>
      </c>
      <c r="BR62" s="105"/>
      <c r="BS62" s="105"/>
      <c r="BT62" s="41"/>
      <c r="BU62" s="41" t="s">
        <v>1235</v>
      </c>
      <c r="BV62" s="1659">
        <v>0</v>
      </c>
      <c r="BW62" s="1659">
        <v>0</v>
      </c>
      <c r="BX62" s="1659"/>
      <c r="BY62" s="1659"/>
      <c r="BZ62" s="1659"/>
      <c r="CA62" s="1659"/>
      <c r="CB62" s="1659">
        <v>1</v>
      </c>
      <c r="CC62" s="1659">
        <v>0</v>
      </c>
      <c r="CD62" s="1659">
        <v>0</v>
      </c>
      <c r="CE62" s="105">
        <v>0</v>
      </c>
      <c r="CF62" s="105">
        <v>0</v>
      </c>
      <c r="CG62" s="105">
        <v>1</v>
      </c>
      <c r="CH62" s="105"/>
      <c r="CJ62" s="1359"/>
      <c r="CK62" s="1359" t="s">
        <v>104</v>
      </c>
      <c r="CL62" s="1360" t="s">
        <v>105</v>
      </c>
      <c r="CM62" s="1361" t="s">
        <v>1231</v>
      </c>
      <c r="CN62" s="1362"/>
      <c r="CO62" s="1362"/>
      <c r="CP62" s="1363">
        <v>0</v>
      </c>
      <c r="CQ62" s="1363">
        <v>0</v>
      </c>
      <c r="CR62" s="1363">
        <v>1</v>
      </c>
      <c r="CS62" s="1363">
        <v>0</v>
      </c>
      <c r="CT62" s="1362"/>
      <c r="CU62" s="1362"/>
      <c r="CV62" s="686"/>
      <c r="CW62" s="686"/>
      <c r="CX62" s="687">
        <v>1</v>
      </c>
      <c r="CY62" s="41"/>
      <c r="DA62" s="602"/>
      <c r="DB62" s="602"/>
      <c r="DC62" s="603"/>
      <c r="DD62" s="630" t="s">
        <v>15</v>
      </c>
      <c r="DE62" s="631"/>
      <c r="DF62" s="631"/>
      <c r="DG62" s="632">
        <v>4</v>
      </c>
      <c r="DH62" s="631"/>
      <c r="DI62" s="632">
        <v>2</v>
      </c>
      <c r="DJ62" s="632">
        <v>2</v>
      </c>
      <c r="DK62" s="631"/>
      <c r="DL62" s="631"/>
      <c r="DM62" s="633"/>
      <c r="DN62" s="633"/>
      <c r="DO62" s="634">
        <v>8</v>
      </c>
      <c r="DP62" s="635">
        <f>+DO61/DO62</f>
        <v>0.375</v>
      </c>
      <c r="DR62" s="608"/>
      <c r="DS62" s="608"/>
      <c r="DT62" s="608"/>
      <c r="DU62" s="620" t="s">
        <v>844</v>
      </c>
      <c r="DV62" s="621"/>
      <c r="DW62" s="622">
        <v>1</v>
      </c>
      <c r="DX62" s="622">
        <v>2</v>
      </c>
      <c r="DY62" s="622">
        <v>18</v>
      </c>
      <c r="DZ62" s="622">
        <v>17</v>
      </c>
      <c r="EA62" s="622">
        <v>16</v>
      </c>
      <c r="EB62" s="622">
        <v>7</v>
      </c>
      <c r="EC62" s="621"/>
      <c r="ED62" s="621"/>
      <c r="EE62" s="623"/>
      <c r="EF62" s="623"/>
      <c r="EG62" s="624">
        <v>61</v>
      </c>
      <c r="EH62" s="614">
        <f>+(EG61+EG60+EG57)/EG62</f>
        <v>0.21311475409836064</v>
      </c>
      <c r="EJ62" s="615"/>
      <c r="EK62" s="615"/>
      <c r="EL62" s="615"/>
      <c r="EM62" s="616" t="s">
        <v>1239</v>
      </c>
      <c r="EN62" s="617"/>
      <c r="EO62" s="617"/>
      <c r="EP62" s="617"/>
      <c r="EQ62" s="617"/>
      <c r="ER62" s="617"/>
      <c r="ES62" s="618">
        <v>0</v>
      </c>
      <c r="ET62" s="618">
        <v>0</v>
      </c>
      <c r="EU62" s="618">
        <v>5</v>
      </c>
      <c r="EV62" s="617"/>
      <c r="EW62" s="617"/>
      <c r="EX62" s="618">
        <v>5</v>
      </c>
      <c r="EY62" s="515"/>
      <c r="FA62" s="70"/>
      <c r="FB62" s="70"/>
      <c r="FC62" s="42"/>
      <c r="FD62" s="42" t="s">
        <v>1231</v>
      </c>
      <c r="FE62" s="70"/>
      <c r="FF62" s="70">
        <v>1</v>
      </c>
      <c r="FG62" s="70"/>
      <c r="FH62" s="70"/>
      <c r="FI62" s="70"/>
      <c r="FJ62" s="70">
        <v>0</v>
      </c>
      <c r="FK62" s="70">
        <v>0</v>
      </c>
      <c r="FL62" s="70">
        <v>0</v>
      </c>
      <c r="FM62" s="70"/>
      <c r="FN62" s="70"/>
      <c r="FO62" s="70">
        <v>1</v>
      </c>
      <c r="FP62" s="42"/>
      <c r="FQ62" s="42"/>
      <c r="FR62" s="516"/>
      <c r="FS62" s="516"/>
      <c r="FT62" s="516" t="s">
        <v>124</v>
      </c>
      <c r="FU62" s="516" t="s">
        <v>1231</v>
      </c>
      <c r="FV62" s="516">
        <v>0</v>
      </c>
      <c r="FW62" s="516">
        <v>0</v>
      </c>
      <c r="FX62" s="516">
        <v>0</v>
      </c>
      <c r="FY62" s="516">
        <v>0</v>
      </c>
      <c r="FZ62" s="516">
        <v>0</v>
      </c>
      <c r="GA62" s="516">
        <v>0</v>
      </c>
      <c r="GB62" s="516">
        <v>0</v>
      </c>
      <c r="GC62" s="516">
        <v>2</v>
      </c>
      <c r="GD62" s="516">
        <v>0</v>
      </c>
      <c r="GE62" s="516">
        <v>0</v>
      </c>
      <c r="GF62" s="516">
        <v>0</v>
      </c>
      <c r="GG62" s="517">
        <v>2</v>
      </c>
      <c r="GH62" s="619"/>
      <c r="GI62" s="518"/>
    </row>
    <row r="63" spans="3:191">
      <c r="D63" s="32" t="s">
        <v>15</v>
      </c>
      <c r="E63" s="4607">
        <v>2</v>
      </c>
      <c r="F63" s="4607"/>
      <c r="G63" s="4607"/>
      <c r="H63" s="4607"/>
      <c r="I63" s="4607"/>
      <c r="J63" s="4607"/>
      <c r="K63" s="4607">
        <v>7</v>
      </c>
      <c r="L63" s="4607"/>
      <c r="M63" s="4607"/>
      <c r="N63" s="4583"/>
      <c r="O63" s="4583"/>
      <c r="P63" s="4583">
        <v>9</v>
      </c>
      <c r="Q63" s="1977">
        <f>+(P59+P60+P62)/(P63-P61)</f>
        <v>0.5714285714285714</v>
      </c>
      <c r="R63" s="1977"/>
      <c r="V63" s="37" t="s">
        <v>1239</v>
      </c>
      <c r="W63" s="4803"/>
      <c r="X63" s="4803">
        <v>0</v>
      </c>
      <c r="Y63" s="4803">
        <v>0</v>
      </c>
      <c r="Z63" s="4803"/>
      <c r="AA63" s="4803"/>
      <c r="AB63" s="4803">
        <v>0</v>
      </c>
      <c r="AC63" s="4803">
        <v>0</v>
      </c>
      <c r="AD63" s="4803"/>
      <c r="AE63" s="1788">
        <v>1</v>
      </c>
      <c r="AF63" s="1788">
        <v>1</v>
      </c>
      <c r="AI63" s="41"/>
      <c r="AJ63" s="41"/>
      <c r="AK63" s="461"/>
      <c r="AL63" s="461" t="s">
        <v>1240</v>
      </c>
      <c r="AM63" s="2002">
        <v>0</v>
      </c>
      <c r="AN63" s="2002"/>
      <c r="AO63" s="2002"/>
      <c r="AP63" s="2002"/>
      <c r="AQ63" s="2002"/>
      <c r="AR63" s="2002">
        <v>1</v>
      </c>
      <c r="AS63" s="2002">
        <v>2</v>
      </c>
      <c r="AT63" s="2002">
        <v>0</v>
      </c>
      <c r="AU63" s="2480"/>
      <c r="AV63" s="2480"/>
      <c r="AW63" s="2480">
        <v>3</v>
      </c>
      <c r="AX63" s="41"/>
      <c r="AZ63" s="42"/>
      <c r="BA63" s="42"/>
      <c r="BB63" s="42"/>
      <c r="BC63" s="484" t="s">
        <v>15</v>
      </c>
      <c r="BD63" s="1994"/>
      <c r="BE63" s="1994"/>
      <c r="BF63" s="1994"/>
      <c r="BG63" s="1994"/>
      <c r="BH63" s="1994"/>
      <c r="BI63" s="1994"/>
      <c r="BJ63" s="1994">
        <v>1</v>
      </c>
      <c r="BK63" s="1994"/>
      <c r="BL63" s="1994"/>
      <c r="BM63" s="454"/>
      <c r="BN63" s="454"/>
      <c r="BO63" s="454">
        <v>1</v>
      </c>
      <c r="BP63" s="2485">
        <f>+BO62/BO63</f>
        <v>1</v>
      </c>
      <c r="BR63" s="105"/>
      <c r="BS63" s="105"/>
      <c r="BT63" s="41"/>
      <c r="BU63" s="41" t="s">
        <v>1239</v>
      </c>
      <c r="BV63" s="1659">
        <v>0</v>
      </c>
      <c r="BW63" s="1659">
        <v>0</v>
      </c>
      <c r="BX63" s="1659"/>
      <c r="BY63" s="1659"/>
      <c r="BZ63" s="1659"/>
      <c r="CA63" s="1659"/>
      <c r="CB63" s="1659">
        <v>0</v>
      </c>
      <c r="CC63" s="1659">
        <v>1</v>
      </c>
      <c r="CD63" s="1659">
        <v>1</v>
      </c>
      <c r="CE63" s="105">
        <v>2</v>
      </c>
      <c r="CF63" s="105">
        <v>1</v>
      </c>
      <c r="CG63" s="105">
        <v>5</v>
      </c>
      <c r="CH63" s="105"/>
      <c r="CJ63" s="1359"/>
      <c r="CK63" s="1359"/>
      <c r="CL63" s="1360"/>
      <c r="CM63" s="1361" t="s">
        <v>1235</v>
      </c>
      <c r="CN63" s="1362"/>
      <c r="CO63" s="1362"/>
      <c r="CP63" s="1363">
        <v>0</v>
      </c>
      <c r="CQ63" s="1363">
        <v>2</v>
      </c>
      <c r="CR63" s="1363">
        <v>0</v>
      </c>
      <c r="CS63" s="1363">
        <v>0</v>
      </c>
      <c r="CT63" s="1362"/>
      <c r="CU63" s="1362"/>
      <c r="CV63" s="686"/>
      <c r="CW63" s="686"/>
      <c r="CX63" s="687">
        <v>2</v>
      </c>
      <c r="CY63" s="41"/>
      <c r="DA63" s="602"/>
      <c r="DB63" s="602"/>
      <c r="DC63" s="603" t="s">
        <v>844</v>
      </c>
      <c r="DD63" s="604" t="s">
        <v>1236</v>
      </c>
      <c r="DE63" s="605"/>
      <c r="DF63" s="605"/>
      <c r="DG63" s="606">
        <v>1</v>
      </c>
      <c r="DH63" s="605"/>
      <c r="DI63" s="606">
        <v>2</v>
      </c>
      <c r="DJ63" s="606">
        <v>2</v>
      </c>
      <c r="DK63" s="605"/>
      <c r="DL63" s="605"/>
      <c r="DM63" s="602"/>
      <c r="DN63" s="602"/>
      <c r="DO63" s="607">
        <v>5</v>
      </c>
      <c r="DP63" s="105"/>
      <c r="DR63" s="608"/>
      <c r="DS63" s="608"/>
      <c r="DT63" s="620" t="s">
        <v>106</v>
      </c>
      <c r="DU63" s="609" t="s">
        <v>1230</v>
      </c>
      <c r="DV63" s="610"/>
      <c r="DW63" s="611">
        <v>0</v>
      </c>
      <c r="DX63" s="611">
        <v>0</v>
      </c>
      <c r="DY63" s="611">
        <v>1</v>
      </c>
      <c r="DZ63" s="611">
        <v>0</v>
      </c>
      <c r="EA63" s="611">
        <v>0</v>
      </c>
      <c r="EB63" s="611">
        <v>0</v>
      </c>
      <c r="EC63" s="611">
        <v>0</v>
      </c>
      <c r="ED63" s="611">
        <v>2</v>
      </c>
      <c r="EE63" s="612"/>
      <c r="EF63" s="612"/>
      <c r="EG63" s="613">
        <v>3</v>
      </c>
      <c r="EH63" s="614"/>
      <c r="EJ63" s="615"/>
      <c r="EK63" s="615"/>
      <c r="EL63" s="615"/>
      <c r="EM63" s="616" t="s">
        <v>1344</v>
      </c>
      <c r="EN63" s="617"/>
      <c r="EO63" s="617"/>
      <c r="EP63" s="617"/>
      <c r="EQ63" s="617"/>
      <c r="ER63" s="617"/>
      <c r="ES63" s="618">
        <v>1</v>
      </c>
      <c r="ET63" s="618">
        <v>2</v>
      </c>
      <c r="EU63" s="618">
        <v>0</v>
      </c>
      <c r="EV63" s="617"/>
      <c r="EW63" s="617"/>
      <c r="EX63" s="618">
        <v>3</v>
      </c>
      <c r="EY63" s="515"/>
      <c r="FA63" s="70"/>
      <c r="FB63" s="70"/>
      <c r="FC63" s="42"/>
      <c r="FD63" s="42" t="s">
        <v>1235</v>
      </c>
      <c r="FE63" s="70"/>
      <c r="FF63" s="70">
        <v>0</v>
      </c>
      <c r="FG63" s="70"/>
      <c r="FH63" s="70"/>
      <c r="FI63" s="70"/>
      <c r="FJ63" s="70">
        <v>1</v>
      </c>
      <c r="FK63" s="70">
        <v>1</v>
      </c>
      <c r="FL63" s="70">
        <v>0</v>
      </c>
      <c r="FM63" s="70"/>
      <c r="FN63" s="70"/>
      <c r="FO63" s="70">
        <v>2</v>
      </c>
      <c r="FP63" s="42"/>
      <c r="FQ63" s="42"/>
      <c r="FR63" s="516"/>
      <c r="FS63" s="516"/>
      <c r="FT63" s="516"/>
      <c r="FU63" s="516" t="s">
        <v>1235</v>
      </c>
      <c r="FV63" s="516">
        <v>0</v>
      </c>
      <c r="FW63" s="516">
        <v>0</v>
      </c>
      <c r="FX63" s="516">
        <v>0</v>
      </c>
      <c r="FY63" s="516">
        <v>0</v>
      </c>
      <c r="FZ63" s="516">
        <v>0</v>
      </c>
      <c r="GA63" s="516">
        <v>0</v>
      </c>
      <c r="GB63" s="516">
        <v>0</v>
      </c>
      <c r="GC63" s="516">
        <v>0</v>
      </c>
      <c r="GD63" s="516">
        <v>0</v>
      </c>
      <c r="GE63" s="516">
        <v>1</v>
      </c>
      <c r="GF63" s="516">
        <v>0</v>
      </c>
      <c r="GG63" s="517">
        <v>1</v>
      </c>
      <c r="GH63" s="619"/>
      <c r="GI63" s="518"/>
    </row>
    <row r="64" spans="3:191">
      <c r="C64" s="4800" t="s">
        <v>2277</v>
      </c>
      <c r="D64" s="4800" t="s">
        <v>1230</v>
      </c>
      <c r="E64" s="4606">
        <v>0</v>
      </c>
      <c r="F64" s="4606">
        <v>0</v>
      </c>
      <c r="G64" s="4606">
        <v>0</v>
      </c>
      <c r="H64" s="4606">
        <v>0</v>
      </c>
      <c r="I64" s="4606"/>
      <c r="J64" s="4606">
        <v>1</v>
      </c>
      <c r="K64" s="4606"/>
      <c r="L64" s="4606">
        <v>0</v>
      </c>
      <c r="M64" s="4606">
        <v>0</v>
      </c>
      <c r="N64" s="2552">
        <v>0</v>
      </c>
      <c r="O64" s="2552">
        <v>0</v>
      </c>
      <c r="P64" s="2552">
        <v>1</v>
      </c>
      <c r="Q64" s="2552"/>
      <c r="R64" s="2552"/>
      <c r="V64" s="37" t="s">
        <v>1240</v>
      </c>
      <c r="W64" s="4803"/>
      <c r="X64" s="4803">
        <v>0</v>
      </c>
      <c r="Y64" s="4803">
        <v>0</v>
      </c>
      <c r="Z64" s="4803"/>
      <c r="AA64" s="4803"/>
      <c r="AB64" s="4803">
        <v>1</v>
      </c>
      <c r="AC64" s="4803">
        <v>0</v>
      </c>
      <c r="AD64" s="4803"/>
      <c r="AE64" s="1788">
        <v>0</v>
      </c>
      <c r="AF64" s="1788">
        <v>1</v>
      </c>
      <c r="AI64" s="41"/>
      <c r="AJ64" s="41"/>
      <c r="AK64" s="461"/>
      <c r="AL64" s="461" t="s">
        <v>1344</v>
      </c>
      <c r="AM64" s="2002">
        <v>0</v>
      </c>
      <c r="AN64" s="2002"/>
      <c r="AO64" s="2002"/>
      <c r="AP64" s="2002"/>
      <c r="AQ64" s="2002"/>
      <c r="AR64" s="2002">
        <v>1</v>
      </c>
      <c r="AS64" s="2002">
        <v>0</v>
      </c>
      <c r="AT64" s="2002">
        <v>0</v>
      </c>
      <c r="AU64" s="2480"/>
      <c r="AV64" s="2480"/>
      <c r="AW64" s="2480">
        <v>1</v>
      </c>
      <c r="AX64" s="41"/>
      <c r="AZ64" s="42"/>
      <c r="BA64" s="42"/>
      <c r="BB64" s="42" t="s">
        <v>1638</v>
      </c>
      <c r="BC64" s="42" t="s">
        <v>1231</v>
      </c>
      <c r="BD64" s="1993"/>
      <c r="BE64" s="1993"/>
      <c r="BF64" s="1993"/>
      <c r="BG64" s="1993"/>
      <c r="BH64" s="1993">
        <v>0</v>
      </c>
      <c r="BI64" s="1993">
        <v>3</v>
      </c>
      <c r="BJ64" s="1993">
        <v>0</v>
      </c>
      <c r="BK64" s="1993">
        <v>2</v>
      </c>
      <c r="BL64" s="1993">
        <v>0</v>
      </c>
      <c r="BM64" s="70"/>
      <c r="BN64" s="70"/>
      <c r="BO64" s="70">
        <v>5</v>
      </c>
      <c r="BR64" s="105"/>
      <c r="BS64" s="105"/>
      <c r="BT64" s="41"/>
      <c r="BU64" s="41" t="s">
        <v>1865</v>
      </c>
      <c r="BV64" s="1659">
        <v>1</v>
      </c>
      <c r="BW64" s="1659">
        <v>0</v>
      </c>
      <c r="BX64" s="1659"/>
      <c r="BY64" s="1659"/>
      <c r="BZ64" s="1659"/>
      <c r="CA64" s="1659"/>
      <c r="CB64" s="1659">
        <v>0</v>
      </c>
      <c r="CC64" s="1659">
        <v>0</v>
      </c>
      <c r="CD64" s="1659">
        <v>0</v>
      </c>
      <c r="CE64" s="105">
        <v>0</v>
      </c>
      <c r="CF64" s="105">
        <v>0</v>
      </c>
      <c r="CG64" s="105">
        <v>1</v>
      </c>
      <c r="CH64" s="105"/>
      <c r="CJ64" s="1359"/>
      <c r="CK64" s="1359"/>
      <c r="CL64" s="1360"/>
      <c r="CM64" s="1361" t="s">
        <v>1236</v>
      </c>
      <c r="CN64" s="1362"/>
      <c r="CO64" s="1362"/>
      <c r="CP64" s="1363">
        <v>4</v>
      </c>
      <c r="CQ64" s="1363">
        <v>4</v>
      </c>
      <c r="CR64" s="1363">
        <v>6</v>
      </c>
      <c r="CS64" s="1363">
        <v>10</v>
      </c>
      <c r="CT64" s="1362"/>
      <c r="CU64" s="1362"/>
      <c r="CV64" s="686"/>
      <c r="CW64" s="686"/>
      <c r="CX64" s="687">
        <v>24</v>
      </c>
      <c r="CY64" s="41"/>
      <c r="DA64" s="602"/>
      <c r="DB64" s="602"/>
      <c r="DC64" s="603"/>
      <c r="DD64" s="604" t="s">
        <v>1344</v>
      </c>
      <c r="DE64" s="605"/>
      <c r="DF64" s="605"/>
      <c r="DG64" s="606">
        <v>3</v>
      </c>
      <c r="DH64" s="605"/>
      <c r="DI64" s="606">
        <v>0</v>
      </c>
      <c r="DJ64" s="606">
        <v>0</v>
      </c>
      <c r="DK64" s="605"/>
      <c r="DL64" s="605"/>
      <c r="DM64" s="602"/>
      <c r="DN64" s="602"/>
      <c r="DO64" s="607">
        <v>3</v>
      </c>
      <c r="DP64" s="105"/>
      <c r="DR64" s="608"/>
      <c r="DS64" s="608"/>
      <c r="DT64" s="608"/>
      <c r="DU64" s="609" t="s">
        <v>1231</v>
      </c>
      <c r="DV64" s="610"/>
      <c r="DW64" s="611">
        <v>2</v>
      </c>
      <c r="DX64" s="611">
        <v>2</v>
      </c>
      <c r="DY64" s="611">
        <v>1</v>
      </c>
      <c r="DZ64" s="611">
        <v>1</v>
      </c>
      <c r="EA64" s="611">
        <v>4</v>
      </c>
      <c r="EB64" s="611">
        <v>28</v>
      </c>
      <c r="EC64" s="611">
        <v>9</v>
      </c>
      <c r="ED64" s="611">
        <v>0</v>
      </c>
      <c r="EE64" s="612"/>
      <c r="EF64" s="612"/>
      <c r="EG64" s="613">
        <v>47</v>
      </c>
      <c r="EH64" s="614"/>
      <c r="EJ64" s="615"/>
      <c r="EK64" s="615"/>
      <c r="EL64" s="615"/>
      <c r="EM64" s="625" t="s">
        <v>15</v>
      </c>
      <c r="EN64" s="626"/>
      <c r="EO64" s="626"/>
      <c r="EP64" s="626"/>
      <c r="EQ64" s="626"/>
      <c r="ER64" s="626"/>
      <c r="ES64" s="627">
        <v>1</v>
      </c>
      <c r="ET64" s="627">
        <v>4</v>
      </c>
      <c r="EU64" s="627">
        <v>6</v>
      </c>
      <c r="EV64" s="626"/>
      <c r="EW64" s="626"/>
      <c r="EX64" s="627">
        <v>11</v>
      </c>
      <c r="EY64" s="628">
        <f>+(EX63+EX61)/EX64</f>
        <v>0.45454545454545453</v>
      </c>
      <c r="FA64" s="70"/>
      <c r="FB64" s="70"/>
      <c r="FC64" s="42"/>
      <c r="FD64" s="42" t="s">
        <v>1239</v>
      </c>
      <c r="FE64" s="70"/>
      <c r="FF64" s="70">
        <v>0</v>
      </c>
      <c r="FG64" s="70"/>
      <c r="FH64" s="70"/>
      <c r="FI64" s="70"/>
      <c r="FJ64" s="70">
        <v>0</v>
      </c>
      <c r="FK64" s="70">
        <v>0</v>
      </c>
      <c r="FL64" s="70">
        <v>9</v>
      </c>
      <c r="FM64" s="70"/>
      <c r="FN64" s="70"/>
      <c r="FO64" s="70">
        <v>9</v>
      </c>
      <c r="FP64" s="42"/>
      <c r="FQ64" s="42"/>
      <c r="FR64" s="516"/>
      <c r="FS64" s="516"/>
      <c r="FT64" s="516"/>
      <c r="FU64" s="516" t="s">
        <v>1239</v>
      </c>
      <c r="FV64" s="516">
        <v>0</v>
      </c>
      <c r="FW64" s="516">
        <v>0</v>
      </c>
      <c r="FX64" s="516">
        <v>0</v>
      </c>
      <c r="FY64" s="516">
        <v>0</v>
      </c>
      <c r="FZ64" s="516">
        <v>0</v>
      </c>
      <c r="GA64" s="516">
        <v>0</v>
      </c>
      <c r="GB64" s="516">
        <v>0</v>
      </c>
      <c r="GC64" s="516">
        <v>3</v>
      </c>
      <c r="GD64" s="516">
        <v>2</v>
      </c>
      <c r="GE64" s="516">
        <v>1</v>
      </c>
      <c r="GF64" s="516">
        <v>1</v>
      </c>
      <c r="GG64" s="517">
        <v>7</v>
      </c>
      <c r="GH64" s="619"/>
      <c r="GI64" s="518"/>
    </row>
    <row r="65" spans="3:191">
      <c r="D65" s="4800" t="s">
        <v>1231</v>
      </c>
      <c r="E65" s="4606">
        <v>0</v>
      </c>
      <c r="F65" s="4606">
        <v>10</v>
      </c>
      <c r="G65" s="4606">
        <v>3</v>
      </c>
      <c r="H65" s="4606">
        <v>1</v>
      </c>
      <c r="I65" s="4606"/>
      <c r="J65" s="4606">
        <v>1</v>
      </c>
      <c r="K65" s="4606"/>
      <c r="L65" s="4606">
        <v>12</v>
      </c>
      <c r="M65" s="4606">
        <v>14</v>
      </c>
      <c r="N65" s="2552">
        <v>0</v>
      </c>
      <c r="O65" s="2552">
        <v>0</v>
      </c>
      <c r="P65" s="2552">
        <v>41</v>
      </c>
      <c r="Q65" s="2552"/>
      <c r="R65" s="2552"/>
      <c r="V65" s="37" t="s">
        <v>1344</v>
      </c>
      <c r="W65" s="4803"/>
      <c r="X65" s="4803">
        <v>0</v>
      </c>
      <c r="Y65" s="4803">
        <v>0</v>
      </c>
      <c r="Z65" s="4803"/>
      <c r="AA65" s="4803"/>
      <c r="AB65" s="4803">
        <v>3</v>
      </c>
      <c r="AC65" s="4803">
        <v>1</v>
      </c>
      <c r="AD65" s="4803"/>
      <c r="AE65" s="1788">
        <v>0</v>
      </c>
      <c r="AF65" s="1788">
        <v>4</v>
      </c>
      <c r="AI65" s="41"/>
      <c r="AJ65" s="41"/>
      <c r="AK65" s="41"/>
      <c r="AL65" s="461" t="s">
        <v>545</v>
      </c>
      <c r="AM65" s="2002">
        <v>1</v>
      </c>
      <c r="AN65" s="2002"/>
      <c r="AO65" s="2002"/>
      <c r="AP65" s="2002"/>
      <c r="AQ65" s="2002"/>
      <c r="AR65" s="2002">
        <v>18</v>
      </c>
      <c r="AS65" s="2002">
        <v>10</v>
      </c>
      <c r="AT65" s="2002">
        <v>2</v>
      </c>
      <c r="AU65" s="2480"/>
      <c r="AV65" s="2480"/>
      <c r="AW65" s="2480">
        <v>31</v>
      </c>
      <c r="AX65" s="635">
        <f>+(AW64+AW63+AW61)/AW65</f>
        <v>0.32258064516129031</v>
      </c>
      <c r="AY65" s="1977"/>
      <c r="AZ65" s="42"/>
      <c r="BA65" s="42"/>
      <c r="BB65" s="42"/>
      <c r="BC65" s="42" t="s">
        <v>1235</v>
      </c>
      <c r="BD65" s="1993"/>
      <c r="BE65" s="1993"/>
      <c r="BF65" s="1993"/>
      <c r="BG65" s="1993"/>
      <c r="BH65" s="1993">
        <v>1</v>
      </c>
      <c r="BI65" s="1993">
        <v>0</v>
      </c>
      <c r="BJ65" s="1993">
        <v>1</v>
      </c>
      <c r="BK65" s="1993">
        <v>0</v>
      </c>
      <c r="BL65" s="1993">
        <v>0</v>
      </c>
      <c r="BM65" s="70"/>
      <c r="BN65" s="70"/>
      <c r="BO65" s="70">
        <v>2</v>
      </c>
      <c r="BR65" s="105"/>
      <c r="BS65" s="105"/>
      <c r="BT65" s="41"/>
      <c r="BU65" s="41" t="s">
        <v>1240</v>
      </c>
      <c r="BV65" s="1659">
        <v>0</v>
      </c>
      <c r="BW65" s="1659">
        <v>0</v>
      </c>
      <c r="BX65" s="1659"/>
      <c r="BY65" s="1659"/>
      <c r="BZ65" s="1659"/>
      <c r="CA65" s="1659"/>
      <c r="CB65" s="1659">
        <v>7</v>
      </c>
      <c r="CC65" s="1659">
        <v>3</v>
      </c>
      <c r="CD65" s="1659">
        <v>1</v>
      </c>
      <c r="CE65" s="105">
        <v>0</v>
      </c>
      <c r="CF65" s="105">
        <v>0</v>
      </c>
      <c r="CG65" s="105">
        <v>11</v>
      </c>
      <c r="CH65" s="105"/>
      <c r="CJ65" s="1359"/>
      <c r="CK65" s="1359"/>
      <c r="CL65" s="1360"/>
      <c r="CM65" s="1361" t="s">
        <v>1344</v>
      </c>
      <c r="CN65" s="1362"/>
      <c r="CO65" s="1362"/>
      <c r="CP65" s="1363">
        <v>0</v>
      </c>
      <c r="CQ65" s="1363">
        <v>0</v>
      </c>
      <c r="CR65" s="1363">
        <v>1</v>
      </c>
      <c r="CS65" s="1363">
        <v>2</v>
      </c>
      <c r="CT65" s="1362"/>
      <c r="CU65" s="1362"/>
      <c r="CV65" s="686"/>
      <c r="CW65" s="686"/>
      <c r="CX65" s="687">
        <v>3</v>
      </c>
      <c r="CY65" s="41"/>
      <c r="DA65" s="602"/>
      <c r="DB65" s="602"/>
      <c r="DC65" s="603"/>
      <c r="DD65" s="630" t="s">
        <v>844</v>
      </c>
      <c r="DE65" s="631"/>
      <c r="DF65" s="631"/>
      <c r="DG65" s="632">
        <v>4</v>
      </c>
      <c r="DH65" s="631"/>
      <c r="DI65" s="632">
        <v>2</v>
      </c>
      <c r="DJ65" s="632">
        <v>2</v>
      </c>
      <c r="DK65" s="631"/>
      <c r="DL65" s="631"/>
      <c r="DM65" s="633"/>
      <c r="DN65" s="633"/>
      <c r="DO65" s="634">
        <v>8</v>
      </c>
      <c r="DP65" s="635">
        <f>+DO64/DO65</f>
        <v>0.375</v>
      </c>
      <c r="DR65" s="608"/>
      <c r="DS65" s="608"/>
      <c r="DT65" s="608"/>
      <c r="DU65" s="609" t="s">
        <v>1233</v>
      </c>
      <c r="DV65" s="610"/>
      <c r="DW65" s="611">
        <v>3</v>
      </c>
      <c r="DX65" s="611">
        <v>0</v>
      </c>
      <c r="DY65" s="611">
        <v>0</v>
      </c>
      <c r="DZ65" s="611">
        <v>0</v>
      </c>
      <c r="EA65" s="611">
        <v>0</v>
      </c>
      <c r="EB65" s="611">
        <v>0</v>
      </c>
      <c r="EC65" s="611">
        <v>0</v>
      </c>
      <c r="ED65" s="611">
        <v>0</v>
      </c>
      <c r="EE65" s="612"/>
      <c r="EF65" s="612"/>
      <c r="EG65" s="613">
        <v>3</v>
      </c>
      <c r="EH65" s="614"/>
      <c r="EJ65" s="615"/>
      <c r="EK65" s="615"/>
      <c r="EL65" s="615" t="s">
        <v>124</v>
      </c>
      <c r="EM65" s="616" t="s">
        <v>1230</v>
      </c>
      <c r="EN65" s="618">
        <v>0</v>
      </c>
      <c r="EO65" s="617"/>
      <c r="EP65" s="617"/>
      <c r="EQ65" s="617"/>
      <c r="ER65" s="617"/>
      <c r="ES65" s="618">
        <v>0</v>
      </c>
      <c r="ET65" s="618">
        <v>0</v>
      </c>
      <c r="EU65" s="618">
        <v>1</v>
      </c>
      <c r="EV65" s="618">
        <v>0</v>
      </c>
      <c r="EW65" s="618">
        <v>2</v>
      </c>
      <c r="EX65" s="618">
        <v>3</v>
      </c>
      <c r="EY65" s="515"/>
      <c r="FA65" s="70"/>
      <c r="FB65" s="70"/>
      <c r="FC65" s="42"/>
      <c r="FD65" s="484" t="s">
        <v>15</v>
      </c>
      <c r="FE65" s="454"/>
      <c r="FF65" s="454">
        <v>1</v>
      </c>
      <c r="FG65" s="454"/>
      <c r="FH65" s="454"/>
      <c r="FI65" s="454"/>
      <c r="FJ65" s="454">
        <v>1</v>
      </c>
      <c r="FK65" s="454">
        <v>1</v>
      </c>
      <c r="FL65" s="454">
        <v>11</v>
      </c>
      <c r="FM65" s="454"/>
      <c r="FN65" s="454"/>
      <c r="FO65" s="454">
        <v>14</v>
      </c>
      <c r="FP65" s="536">
        <f>+FO63/FO65</f>
        <v>0.14285714285714285</v>
      </c>
      <c r="FQ65" s="42"/>
      <c r="FR65" s="516"/>
      <c r="FS65" s="516"/>
      <c r="FT65" s="516"/>
      <c r="FU65" s="516" t="s">
        <v>1344</v>
      </c>
      <c r="FV65" s="516">
        <v>0</v>
      </c>
      <c r="FW65" s="516">
        <v>0</v>
      </c>
      <c r="FX65" s="516">
        <v>0</v>
      </c>
      <c r="FY65" s="516">
        <v>0</v>
      </c>
      <c r="FZ65" s="516">
        <v>0</v>
      </c>
      <c r="GA65" s="516">
        <v>0</v>
      </c>
      <c r="GB65" s="516">
        <v>2</v>
      </c>
      <c r="GC65" s="516">
        <v>3</v>
      </c>
      <c r="GD65" s="516">
        <v>0</v>
      </c>
      <c r="GE65" s="516">
        <v>0</v>
      </c>
      <c r="GF65" s="516">
        <v>0</v>
      </c>
      <c r="GG65" s="517">
        <v>5</v>
      </c>
      <c r="GH65" s="619"/>
      <c r="GI65" s="518"/>
    </row>
    <row r="66" spans="3:191">
      <c r="D66" s="4800" t="s">
        <v>1236</v>
      </c>
      <c r="E66" s="4606">
        <v>0</v>
      </c>
      <c r="F66" s="4606">
        <v>0</v>
      </c>
      <c r="G66" s="4606">
        <v>0</v>
      </c>
      <c r="H66" s="4606">
        <v>1</v>
      </c>
      <c r="I66" s="4606"/>
      <c r="J66" s="4606">
        <v>0</v>
      </c>
      <c r="K66" s="4606"/>
      <c r="L66" s="4606">
        <v>0</v>
      </c>
      <c r="M66" s="4606">
        <v>0</v>
      </c>
      <c r="N66" s="2552">
        <v>0</v>
      </c>
      <c r="O66" s="2552">
        <v>0</v>
      </c>
      <c r="P66" s="2552">
        <v>1</v>
      </c>
      <c r="Q66" s="2552"/>
      <c r="R66" s="2552"/>
      <c r="V66" s="37" t="s">
        <v>2531</v>
      </c>
      <c r="W66" s="4803"/>
      <c r="X66" s="4803">
        <v>1</v>
      </c>
      <c r="Y66" s="4803">
        <v>0</v>
      </c>
      <c r="Z66" s="4803"/>
      <c r="AA66" s="4803"/>
      <c r="AB66" s="4803">
        <v>0</v>
      </c>
      <c r="AC66" s="4803">
        <v>0</v>
      </c>
      <c r="AD66" s="4803"/>
      <c r="AE66" s="1788">
        <v>0</v>
      </c>
      <c r="AF66" s="1788">
        <v>1</v>
      </c>
      <c r="AI66" s="41"/>
      <c r="AJ66" s="41" t="s">
        <v>21</v>
      </c>
      <c r="AK66" s="41" t="s">
        <v>1638</v>
      </c>
      <c r="AL66" s="41" t="s">
        <v>1235</v>
      </c>
      <c r="AM66" s="2001"/>
      <c r="AN66" s="2001"/>
      <c r="AO66" s="2001"/>
      <c r="AP66" s="2001"/>
      <c r="AQ66" s="2001"/>
      <c r="AR66" s="2001"/>
      <c r="AS66" s="2001">
        <v>1</v>
      </c>
      <c r="AT66" s="2001">
        <v>0</v>
      </c>
      <c r="AU66" s="105"/>
      <c r="AV66" s="105"/>
      <c r="AW66" s="105">
        <v>1</v>
      </c>
      <c r="AX66" s="41"/>
      <c r="AZ66" s="42"/>
      <c r="BA66" s="42"/>
      <c r="BB66" s="42"/>
      <c r="BC66" s="42" t="s">
        <v>1239</v>
      </c>
      <c r="BD66" s="1993"/>
      <c r="BE66" s="1993"/>
      <c r="BF66" s="1993"/>
      <c r="BG66" s="1993"/>
      <c r="BH66" s="1993">
        <v>0</v>
      </c>
      <c r="BI66" s="1993">
        <v>0</v>
      </c>
      <c r="BJ66" s="1993">
        <v>0</v>
      </c>
      <c r="BK66" s="1993">
        <v>0</v>
      </c>
      <c r="BL66" s="1993">
        <v>1</v>
      </c>
      <c r="BM66" s="70"/>
      <c r="BN66" s="70"/>
      <c r="BO66" s="70">
        <v>1</v>
      </c>
      <c r="BR66" s="105"/>
      <c r="BS66" s="105"/>
      <c r="BT66" s="41"/>
      <c r="BU66" s="41" t="s">
        <v>1344</v>
      </c>
      <c r="BV66" s="1659">
        <v>0</v>
      </c>
      <c r="BW66" s="1659">
        <v>0</v>
      </c>
      <c r="BX66" s="1659"/>
      <c r="BY66" s="1659"/>
      <c r="BZ66" s="1659"/>
      <c r="CA66" s="1659"/>
      <c r="CB66" s="1659">
        <v>1</v>
      </c>
      <c r="CC66" s="1659">
        <v>11</v>
      </c>
      <c r="CD66" s="1659">
        <v>0</v>
      </c>
      <c r="CE66" s="105">
        <v>0</v>
      </c>
      <c r="CF66" s="105">
        <v>0</v>
      </c>
      <c r="CG66" s="105">
        <v>12</v>
      </c>
      <c r="CH66" s="105"/>
      <c r="CJ66" s="1359"/>
      <c r="CK66" s="1359"/>
      <c r="CL66" s="1360"/>
      <c r="CM66" s="483" t="s">
        <v>15</v>
      </c>
      <c r="CN66" s="1364"/>
      <c r="CO66" s="1364"/>
      <c r="CP66" s="1365">
        <v>4</v>
      </c>
      <c r="CQ66" s="1365">
        <v>6</v>
      </c>
      <c r="CR66" s="1365">
        <v>8</v>
      </c>
      <c r="CS66" s="1365">
        <v>12</v>
      </c>
      <c r="CT66" s="1364"/>
      <c r="CU66" s="1364"/>
      <c r="CV66" s="695"/>
      <c r="CW66" s="695"/>
      <c r="CX66" s="696">
        <v>30</v>
      </c>
      <c r="CY66" s="1325">
        <f>+(CX63+CX65)/CX66</f>
        <v>0.16666666666666666</v>
      </c>
      <c r="DA66" s="602"/>
      <c r="DB66" s="602"/>
      <c r="DC66" s="630" t="s">
        <v>106</v>
      </c>
      <c r="DD66" s="604" t="s">
        <v>1230</v>
      </c>
      <c r="DE66" s="606">
        <v>0</v>
      </c>
      <c r="DF66" s="606">
        <v>0</v>
      </c>
      <c r="DG66" s="606">
        <v>0</v>
      </c>
      <c r="DH66" s="605"/>
      <c r="DI66" s="606">
        <v>0</v>
      </c>
      <c r="DJ66" s="606">
        <v>0</v>
      </c>
      <c r="DK66" s="606">
        <v>1</v>
      </c>
      <c r="DL66" s="606">
        <v>5</v>
      </c>
      <c r="DM66" s="602"/>
      <c r="DN66" s="602"/>
      <c r="DO66" s="607">
        <v>6</v>
      </c>
      <c r="DP66" s="105"/>
      <c r="DR66" s="608"/>
      <c r="DS66" s="608"/>
      <c r="DT66" s="608"/>
      <c r="DU66" s="609" t="s">
        <v>1235</v>
      </c>
      <c r="DV66" s="610"/>
      <c r="DW66" s="611">
        <v>0</v>
      </c>
      <c r="DX66" s="611">
        <v>0</v>
      </c>
      <c r="DY66" s="611">
        <v>0</v>
      </c>
      <c r="DZ66" s="611">
        <v>1</v>
      </c>
      <c r="EA66" s="611">
        <v>0</v>
      </c>
      <c r="EB66" s="611">
        <v>8</v>
      </c>
      <c r="EC66" s="611">
        <v>1</v>
      </c>
      <c r="ED66" s="611">
        <v>0</v>
      </c>
      <c r="EE66" s="612"/>
      <c r="EF66" s="612"/>
      <c r="EG66" s="613">
        <v>10</v>
      </c>
      <c r="EH66" s="614"/>
      <c r="EJ66" s="615"/>
      <c r="EK66" s="615"/>
      <c r="EL66" s="615"/>
      <c r="EM66" s="616" t="s">
        <v>1231</v>
      </c>
      <c r="EN66" s="618">
        <v>1</v>
      </c>
      <c r="EO66" s="617"/>
      <c r="EP66" s="617"/>
      <c r="EQ66" s="617"/>
      <c r="ER66" s="617"/>
      <c r="ES66" s="618">
        <v>2</v>
      </c>
      <c r="ET66" s="618">
        <v>1</v>
      </c>
      <c r="EU66" s="618">
        <v>3</v>
      </c>
      <c r="EV66" s="618">
        <v>0</v>
      </c>
      <c r="EW66" s="618">
        <v>0</v>
      </c>
      <c r="EX66" s="618">
        <v>7</v>
      </c>
      <c r="EY66" s="515"/>
      <c r="FA66" s="70"/>
      <c r="FB66" s="70"/>
      <c r="FC66" s="42" t="s">
        <v>124</v>
      </c>
      <c r="FD66" s="42" t="s">
        <v>1230</v>
      </c>
      <c r="FE66" s="70">
        <v>0</v>
      </c>
      <c r="FF66" s="70"/>
      <c r="FG66" s="70"/>
      <c r="FH66" s="70"/>
      <c r="FI66" s="70"/>
      <c r="FJ66" s="70"/>
      <c r="FK66" s="70">
        <v>0</v>
      </c>
      <c r="FL66" s="70">
        <v>1</v>
      </c>
      <c r="FM66" s="70"/>
      <c r="FN66" s="70">
        <v>0</v>
      </c>
      <c r="FO66" s="70">
        <v>1</v>
      </c>
      <c r="FP66" s="42"/>
      <c r="FQ66" s="42"/>
      <c r="FR66" s="516"/>
      <c r="FS66" s="516"/>
      <c r="FT66" s="516"/>
      <c r="FU66" s="519" t="s">
        <v>15</v>
      </c>
      <c r="FV66" s="519">
        <v>0</v>
      </c>
      <c r="FW66" s="519">
        <v>0</v>
      </c>
      <c r="FX66" s="519">
        <v>0</v>
      </c>
      <c r="FY66" s="519">
        <v>0</v>
      </c>
      <c r="FZ66" s="519">
        <v>0</v>
      </c>
      <c r="GA66" s="519">
        <v>0</v>
      </c>
      <c r="GB66" s="519">
        <v>2</v>
      </c>
      <c r="GC66" s="519">
        <v>8</v>
      </c>
      <c r="GD66" s="519">
        <v>2</v>
      </c>
      <c r="GE66" s="519">
        <v>2</v>
      </c>
      <c r="GF66" s="519">
        <v>1</v>
      </c>
      <c r="GG66" s="579">
        <v>15</v>
      </c>
      <c r="GH66" s="629">
        <f>+(GG65+GG63-GE63)/GG66</f>
        <v>0.33333333333333331</v>
      </c>
      <c r="GI66" s="518">
        <f>+GG63+GG65-GE63</f>
        <v>5</v>
      </c>
    </row>
    <row r="67" spans="3:191">
      <c r="D67" s="4800" t="s">
        <v>1239</v>
      </c>
      <c r="E67" s="4606">
        <v>0</v>
      </c>
      <c r="F67" s="4606">
        <v>0</v>
      </c>
      <c r="G67" s="4606">
        <v>0</v>
      </c>
      <c r="H67" s="4606">
        <v>0</v>
      </c>
      <c r="I67" s="4606"/>
      <c r="J67" s="4606">
        <v>0</v>
      </c>
      <c r="K67" s="4606"/>
      <c r="L67" s="4606">
        <v>0</v>
      </c>
      <c r="M67" s="4606">
        <v>0</v>
      </c>
      <c r="N67" s="2552">
        <v>8</v>
      </c>
      <c r="O67" s="2552">
        <v>1</v>
      </c>
      <c r="P67" s="2552">
        <v>9</v>
      </c>
      <c r="Q67" s="2552"/>
      <c r="R67" s="2552"/>
      <c r="V67" s="1793" t="s">
        <v>15</v>
      </c>
      <c r="W67" s="4804"/>
      <c r="X67" s="4804">
        <v>1</v>
      </c>
      <c r="Y67" s="4804">
        <v>1</v>
      </c>
      <c r="Z67" s="4804"/>
      <c r="AA67" s="4804"/>
      <c r="AB67" s="4804">
        <v>7</v>
      </c>
      <c r="AC67" s="4804">
        <v>4</v>
      </c>
      <c r="AD67" s="4804"/>
      <c r="AE67" s="4702">
        <v>3</v>
      </c>
      <c r="AF67" s="4702">
        <v>16</v>
      </c>
      <c r="AG67" s="4703">
        <f>+(AF64+AF65)/AF67</f>
        <v>0.3125</v>
      </c>
      <c r="AI67" s="41"/>
      <c r="AJ67" s="41"/>
      <c r="AK67" s="41"/>
      <c r="AL67" s="41" t="s">
        <v>1239</v>
      </c>
      <c r="AM67" s="2001"/>
      <c r="AN67" s="2001"/>
      <c r="AO67" s="2001"/>
      <c r="AP67" s="2001"/>
      <c r="AQ67" s="2001"/>
      <c r="AR67" s="2001"/>
      <c r="AS67" s="2001">
        <v>0</v>
      </c>
      <c r="AT67" s="2001">
        <v>1</v>
      </c>
      <c r="AU67" s="105"/>
      <c r="AV67" s="105"/>
      <c r="AW67" s="105">
        <v>1</v>
      </c>
      <c r="AX67" s="41"/>
      <c r="AZ67" s="42"/>
      <c r="BA67" s="42"/>
      <c r="BB67" s="42"/>
      <c r="BC67" s="42" t="s">
        <v>1240</v>
      </c>
      <c r="BD67" s="1993"/>
      <c r="BE67" s="1993"/>
      <c r="BF67" s="1993"/>
      <c r="BG67" s="1993"/>
      <c r="BH67" s="1993">
        <v>0</v>
      </c>
      <c r="BI67" s="1993">
        <v>2</v>
      </c>
      <c r="BJ67" s="1993">
        <v>0</v>
      </c>
      <c r="BK67" s="1993">
        <v>0</v>
      </c>
      <c r="BL67" s="1993">
        <v>0</v>
      </c>
      <c r="BM67" s="70"/>
      <c r="BN67" s="70"/>
      <c r="BO67" s="70">
        <v>2</v>
      </c>
      <c r="BR67" s="105"/>
      <c r="BS67" s="105"/>
      <c r="BT67" s="41"/>
      <c r="BU67" s="461" t="s">
        <v>545</v>
      </c>
      <c r="BV67" s="1660">
        <v>1</v>
      </c>
      <c r="BW67" s="1660">
        <v>2</v>
      </c>
      <c r="BX67" s="1660"/>
      <c r="BY67" s="1660"/>
      <c r="BZ67" s="1660"/>
      <c r="CA67" s="1660"/>
      <c r="CB67" s="1660">
        <v>22</v>
      </c>
      <c r="CC67" s="1660">
        <v>21</v>
      </c>
      <c r="CD67" s="1660">
        <v>3</v>
      </c>
      <c r="CE67" s="96">
        <v>3</v>
      </c>
      <c r="CF67" s="96">
        <v>1</v>
      </c>
      <c r="CG67" s="96">
        <v>53</v>
      </c>
      <c r="CH67" s="635">
        <f>+(CG62+CG65+CG66)/CG67</f>
        <v>0.45283018867924529</v>
      </c>
      <c r="CJ67" s="1359"/>
      <c r="CK67" s="1359"/>
      <c r="CL67" s="1360" t="s">
        <v>1638</v>
      </c>
      <c r="CM67" s="1361" t="s">
        <v>1231</v>
      </c>
      <c r="CN67" s="1362"/>
      <c r="CO67" s="1362"/>
      <c r="CP67" s="1362"/>
      <c r="CQ67" s="1362"/>
      <c r="CR67" s="1363">
        <v>0</v>
      </c>
      <c r="CS67" s="1362"/>
      <c r="CT67" s="1363">
        <v>1</v>
      </c>
      <c r="CU67" s="1363">
        <v>0</v>
      </c>
      <c r="CV67" s="686"/>
      <c r="CW67" s="686"/>
      <c r="CX67" s="687">
        <v>1</v>
      </c>
      <c r="CY67" s="41"/>
      <c r="DA67" s="602"/>
      <c r="DB67" s="602"/>
      <c r="DC67" s="603"/>
      <c r="DD67" s="604" t="s">
        <v>1231</v>
      </c>
      <c r="DE67" s="606">
        <v>1</v>
      </c>
      <c r="DF67" s="606">
        <v>0</v>
      </c>
      <c r="DG67" s="606">
        <v>0</v>
      </c>
      <c r="DH67" s="605"/>
      <c r="DI67" s="606">
        <v>1</v>
      </c>
      <c r="DJ67" s="606">
        <v>10</v>
      </c>
      <c r="DK67" s="606">
        <v>15</v>
      </c>
      <c r="DL67" s="606">
        <v>3</v>
      </c>
      <c r="DM67" s="602"/>
      <c r="DN67" s="602"/>
      <c r="DO67" s="607">
        <v>30</v>
      </c>
      <c r="DP67" s="105"/>
      <c r="DR67" s="608"/>
      <c r="DS67" s="608"/>
      <c r="DT67" s="608"/>
      <c r="DU67" s="609" t="s">
        <v>1236</v>
      </c>
      <c r="DV67" s="610"/>
      <c r="DW67" s="611">
        <v>1</v>
      </c>
      <c r="DX67" s="611">
        <v>2</v>
      </c>
      <c r="DY67" s="611">
        <v>15</v>
      </c>
      <c r="DZ67" s="611">
        <v>10</v>
      </c>
      <c r="EA67" s="611">
        <v>10</v>
      </c>
      <c r="EB67" s="611">
        <v>5</v>
      </c>
      <c r="EC67" s="611">
        <v>0</v>
      </c>
      <c r="ED67" s="611">
        <v>0</v>
      </c>
      <c r="EE67" s="612"/>
      <c r="EF67" s="612"/>
      <c r="EG67" s="613">
        <v>43</v>
      </c>
      <c r="EH67" s="614"/>
      <c r="EJ67" s="615"/>
      <c r="EK67" s="615"/>
      <c r="EL67" s="615"/>
      <c r="EM67" s="616" t="s">
        <v>1235</v>
      </c>
      <c r="EN67" s="618">
        <v>0</v>
      </c>
      <c r="EO67" s="617"/>
      <c r="EP67" s="617"/>
      <c r="EQ67" s="617"/>
      <c r="ER67" s="617"/>
      <c r="ES67" s="618">
        <v>0</v>
      </c>
      <c r="ET67" s="618">
        <v>0</v>
      </c>
      <c r="EU67" s="618">
        <v>0</v>
      </c>
      <c r="EV67" s="618">
        <v>1</v>
      </c>
      <c r="EW67" s="618">
        <v>0</v>
      </c>
      <c r="EX67" s="618">
        <v>1</v>
      </c>
      <c r="EY67" s="515"/>
      <c r="FA67" s="70"/>
      <c r="FB67" s="70"/>
      <c r="FC67" s="42"/>
      <c r="FD67" s="42" t="s">
        <v>1231</v>
      </c>
      <c r="FE67" s="70">
        <v>1</v>
      </c>
      <c r="FF67" s="70"/>
      <c r="FG67" s="70"/>
      <c r="FH67" s="70"/>
      <c r="FI67" s="70"/>
      <c r="FJ67" s="70"/>
      <c r="FK67" s="70">
        <v>2</v>
      </c>
      <c r="FL67" s="70">
        <v>0</v>
      </c>
      <c r="FM67" s="70"/>
      <c r="FN67" s="70">
        <v>0</v>
      </c>
      <c r="FO67" s="70">
        <v>3</v>
      </c>
      <c r="FP67" s="42"/>
      <c r="FQ67" s="42"/>
      <c r="FR67" s="516"/>
      <c r="FS67" s="516"/>
      <c r="FT67" s="516" t="s">
        <v>1345</v>
      </c>
      <c r="FU67" s="516" t="s">
        <v>1236</v>
      </c>
      <c r="FV67" s="516">
        <v>0</v>
      </c>
      <c r="FW67" s="516">
        <v>0</v>
      </c>
      <c r="FX67" s="516">
        <v>0</v>
      </c>
      <c r="FY67" s="516">
        <v>0</v>
      </c>
      <c r="FZ67" s="516">
        <v>0</v>
      </c>
      <c r="GA67" s="516">
        <v>0</v>
      </c>
      <c r="GB67" s="516">
        <v>1</v>
      </c>
      <c r="GC67" s="516">
        <v>0</v>
      </c>
      <c r="GD67" s="516">
        <v>0</v>
      </c>
      <c r="GE67" s="516">
        <v>0</v>
      </c>
      <c r="GF67" s="516">
        <v>0</v>
      </c>
      <c r="GG67" s="517">
        <v>1</v>
      </c>
      <c r="GH67" s="619"/>
      <c r="GI67" s="518"/>
    </row>
    <row r="68" spans="3:191">
      <c r="D68" s="4800" t="s">
        <v>2963</v>
      </c>
      <c r="E68" s="4606">
        <v>6</v>
      </c>
      <c r="F68" s="4606">
        <v>0</v>
      </c>
      <c r="G68" s="4606">
        <v>0</v>
      </c>
      <c r="H68" s="4606">
        <v>0</v>
      </c>
      <c r="I68" s="4606"/>
      <c r="J68" s="4606">
        <v>0</v>
      </c>
      <c r="K68" s="4606"/>
      <c r="L68" s="4606">
        <v>0</v>
      </c>
      <c r="M68" s="4606">
        <v>0</v>
      </c>
      <c r="N68" s="2552">
        <v>0</v>
      </c>
      <c r="O68" s="2552">
        <v>0</v>
      </c>
      <c r="P68" s="2552">
        <v>6</v>
      </c>
      <c r="Q68" s="2552"/>
      <c r="R68" s="2552"/>
      <c r="U68" s="1793" t="s">
        <v>545</v>
      </c>
      <c r="V68" s="1793" t="s">
        <v>1230</v>
      </c>
      <c r="W68" s="4804">
        <v>0</v>
      </c>
      <c r="X68" s="4804">
        <v>0</v>
      </c>
      <c r="Y68" s="4804">
        <v>0</v>
      </c>
      <c r="Z68" s="4804">
        <v>1</v>
      </c>
      <c r="AA68" s="4804">
        <v>0</v>
      </c>
      <c r="AB68" s="4804">
        <v>0</v>
      </c>
      <c r="AC68" s="4804">
        <v>0</v>
      </c>
      <c r="AD68" s="4804">
        <v>0</v>
      </c>
      <c r="AE68" s="4702">
        <v>2</v>
      </c>
      <c r="AF68" s="4702">
        <v>3</v>
      </c>
      <c r="AI68" s="41"/>
      <c r="AJ68" s="41"/>
      <c r="AK68" s="41"/>
      <c r="AL68" s="461" t="s">
        <v>15</v>
      </c>
      <c r="AM68" s="2002"/>
      <c r="AN68" s="2002"/>
      <c r="AO68" s="2002"/>
      <c r="AP68" s="2002"/>
      <c r="AQ68" s="2002"/>
      <c r="AR68" s="2002"/>
      <c r="AS68" s="2002">
        <v>1</v>
      </c>
      <c r="AT68" s="2002">
        <v>1</v>
      </c>
      <c r="AU68" s="2480"/>
      <c r="AV68" s="2480"/>
      <c r="AW68" s="2480">
        <v>2</v>
      </c>
      <c r="AX68" s="635">
        <f>+AW66/AW68</f>
        <v>0.5</v>
      </c>
      <c r="AY68" s="1977"/>
      <c r="AZ68" s="42"/>
      <c r="BA68" s="42"/>
      <c r="BB68" s="42"/>
      <c r="BC68" s="42" t="s">
        <v>1344</v>
      </c>
      <c r="BD68" s="1993"/>
      <c r="BE68" s="1993"/>
      <c r="BF68" s="1993"/>
      <c r="BG68" s="1993"/>
      <c r="BH68" s="1993">
        <v>0</v>
      </c>
      <c r="BI68" s="1993">
        <v>1</v>
      </c>
      <c r="BJ68" s="1993">
        <v>0</v>
      </c>
      <c r="BK68" s="1993">
        <v>0</v>
      </c>
      <c r="BL68" s="1993">
        <v>0</v>
      </c>
      <c r="BM68" s="70"/>
      <c r="BN68" s="70"/>
      <c r="BO68" s="70">
        <v>1</v>
      </c>
      <c r="BR68" s="105"/>
      <c r="BS68" s="105" t="s">
        <v>104</v>
      </c>
      <c r="BT68" s="41" t="s">
        <v>1639</v>
      </c>
      <c r="BU68" s="41" t="s">
        <v>1231</v>
      </c>
      <c r="BV68" s="1659"/>
      <c r="BW68" s="1659"/>
      <c r="BX68" s="1659"/>
      <c r="BY68" s="1659"/>
      <c r="BZ68" s="1659"/>
      <c r="CA68" s="1659">
        <v>1</v>
      </c>
      <c r="CB68" s="1659">
        <v>1</v>
      </c>
      <c r="CC68" s="1659"/>
      <c r="CD68" s="1659">
        <v>0</v>
      </c>
      <c r="CE68" s="105"/>
      <c r="CF68" s="105"/>
      <c r="CG68" s="105">
        <v>2</v>
      </c>
      <c r="CH68" s="105"/>
      <c r="CJ68" s="1359"/>
      <c r="CK68" s="1359"/>
      <c r="CL68" s="1360"/>
      <c r="CM68" s="1361" t="s">
        <v>1239</v>
      </c>
      <c r="CN68" s="1362"/>
      <c r="CO68" s="1362"/>
      <c r="CP68" s="1362"/>
      <c r="CQ68" s="1362"/>
      <c r="CR68" s="1363">
        <v>1</v>
      </c>
      <c r="CS68" s="1362"/>
      <c r="CT68" s="1363">
        <v>1</v>
      </c>
      <c r="CU68" s="1363">
        <v>2</v>
      </c>
      <c r="CV68" s="686"/>
      <c r="CW68" s="686"/>
      <c r="CX68" s="687">
        <v>4</v>
      </c>
      <c r="CY68" s="41"/>
      <c r="DA68" s="602"/>
      <c r="DB68" s="602"/>
      <c r="DC68" s="603"/>
      <c r="DD68" s="604" t="s">
        <v>1233</v>
      </c>
      <c r="DE68" s="606">
        <v>2</v>
      </c>
      <c r="DF68" s="606">
        <v>1</v>
      </c>
      <c r="DG68" s="606">
        <v>0</v>
      </c>
      <c r="DH68" s="605"/>
      <c r="DI68" s="606">
        <v>0</v>
      </c>
      <c r="DJ68" s="606">
        <v>0</v>
      </c>
      <c r="DK68" s="606">
        <v>0</v>
      </c>
      <c r="DL68" s="606">
        <v>0</v>
      </c>
      <c r="DM68" s="602"/>
      <c r="DN68" s="602"/>
      <c r="DO68" s="607">
        <v>3</v>
      </c>
      <c r="DP68" s="105"/>
      <c r="DR68" s="608"/>
      <c r="DS68" s="608"/>
      <c r="DT68" s="608"/>
      <c r="DU68" s="609" t="s">
        <v>1239</v>
      </c>
      <c r="DV68" s="610"/>
      <c r="DW68" s="611">
        <v>0</v>
      </c>
      <c r="DX68" s="611">
        <v>0</v>
      </c>
      <c r="DY68" s="611">
        <v>0</v>
      </c>
      <c r="DZ68" s="611">
        <v>0</v>
      </c>
      <c r="EA68" s="611">
        <v>2</v>
      </c>
      <c r="EB68" s="611">
        <v>0</v>
      </c>
      <c r="EC68" s="611">
        <v>0</v>
      </c>
      <c r="ED68" s="611">
        <v>9</v>
      </c>
      <c r="EE68" s="612"/>
      <c r="EF68" s="612"/>
      <c r="EG68" s="613">
        <v>11</v>
      </c>
      <c r="EH68" s="614"/>
      <c r="EJ68" s="615"/>
      <c r="EK68" s="615"/>
      <c r="EL68" s="615"/>
      <c r="EM68" s="616" t="s">
        <v>1239</v>
      </c>
      <c r="EN68" s="618">
        <v>0</v>
      </c>
      <c r="EO68" s="617"/>
      <c r="EP68" s="617"/>
      <c r="EQ68" s="617"/>
      <c r="ER68" s="617"/>
      <c r="ES68" s="618">
        <v>0</v>
      </c>
      <c r="ET68" s="618">
        <v>0</v>
      </c>
      <c r="EU68" s="618">
        <v>0</v>
      </c>
      <c r="EV68" s="618">
        <v>2</v>
      </c>
      <c r="EW68" s="618">
        <v>2</v>
      </c>
      <c r="EX68" s="618">
        <v>4</v>
      </c>
      <c r="EY68" s="515"/>
      <c r="FA68" s="70"/>
      <c r="FB68" s="70"/>
      <c r="FC68" s="42"/>
      <c r="FD68" s="42" t="s">
        <v>1235</v>
      </c>
      <c r="FE68" s="70">
        <v>0</v>
      </c>
      <c r="FF68" s="70"/>
      <c r="FG68" s="70"/>
      <c r="FH68" s="70"/>
      <c r="FI68" s="70"/>
      <c r="FJ68" s="70"/>
      <c r="FK68" s="70">
        <v>0</v>
      </c>
      <c r="FL68" s="70">
        <v>2</v>
      </c>
      <c r="FM68" s="70"/>
      <c r="FN68" s="70">
        <v>0</v>
      </c>
      <c r="FO68" s="70">
        <v>2</v>
      </c>
      <c r="FP68" s="42"/>
      <c r="FQ68" s="42"/>
      <c r="FR68" s="516"/>
      <c r="FS68" s="516"/>
      <c r="FT68" s="516"/>
      <c r="FU68" s="516" t="s">
        <v>1344</v>
      </c>
      <c r="FV68" s="516">
        <v>0</v>
      </c>
      <c r="FW68" s="516">
        <v>0</v>
      </c>
      <c r="FX68" s="516">
        <v>0</v>
      </c>
      <c r="FY68" s="516">
        <v>0</v>
      </c>
      <c r="FZ68" s="516">
        <v>0</v>
      </c>
      <c r="GA68" s="516">
        <v>0</v>
      </c>
      <c r="GB68" s="516">
        <v>1</v>
      </c>
      <c r="GC68" s="516">
        <v>0</v>
      </c>
      <c r="GD68" s="516">
        <v>0</v>
      </c>
      <c r="GE68" s="516">
        <v>0</v>
      </c>
      <c r="GF68" s="516">
        <v>0</v>
      </c>
      <c r="GG68" s="517">
        <v>1</v>
      </c>
      <c r="GH68" s="619"/>
      <c r="GI68" s="518"/>
    </row>
    <row r="69" spans="3:191">
      <c r="D69" s="32" t="s">
        <v>15</v>
      </c>
      <c r="E69" s="4607">
        <v>6</v>
      </c>
      <c r="F69" s="4607">
        <v>10</v>
      </c>
      <c r="G69" s="4607">
        <v>3</v>
      </c>
      <c r="H69" s="4607">
        <v>2</v>
      </c>
      <c r="I69" s="4607"/>
      <c r="J69" s="4607">
        <v>2</v>
      </c>
      <c r="K69" s="4607"/>
      <c r="L69" s="4607">
        <v>12</v>
      </c>
      <c r="M69" s="4607">
        <v>14</v>
      </c>
      <c r="N69" s="4583">
        <v>8</v>
      </c>
      <c r="O69" s="4583">
        <v>1</v>
      </c>
      <c r="P69" s="4583">
        <v>58</v>
      </c>
      <c r="Q69" s="1977">
        <v>0</v>
      </c>
      <c r="R69" s="1977"/>
      <c r="U69" s="1793"/>
      <c r="V69" s="1793" t="s">
        <v>1231</v>
      </c>
      <c r="W69" s="4804">
        <v>10</v>
      </c>
      <c r="X69" s="4804">
        <v>3</v>
      </c>
      <c r="Y69" s="4804">
        <v>2</v>
      </c>
      <c r="Z69" s="4804">
        <v>0</v>
      </c>
      <c r="AA69" s="4804">
        <v>4</v>
      </c>
      <c r="AB69" s="4804">
        <v>24</v>
      </c>
      <c r="AC69" s="4804">
        <v>15</v>
      </c>
      <c r="AD69" s="4804">
        <v>15</v>
      </c>
      <c r="AE69" s="4702">
        <v>0</v>
      </c>
      <c r="AF69" s="4702">
        <v>73</v>
      </c>
      <c r="AI69" s="41"/>
      <c r="AJ69" s="41"/>
      <c r="AK69" s="41" t="s">
        <v>1639</v>
      </c>
      <c r="AL69" s="41" t="s">
        <v>1231</v>
      </c>
      <c r="AM69" s="2001"/>
      <c r="AN69" s="2001">
        <v>1</v>
      </c>
      <c r="AO69" s="2001"/>
      <c r="AP69" s="2001"/>
      <c r="AQ69" s="2001"/>
      <c r="AR69" s="2001"/>
      <c r="AS69" s="2001"/>
      <c r="AT69" s="2001">
        <v>0</v>
      </c>
      <c r="AU69" s="105"/>
      <c r="AV69" s="105"/>
      <c r="AW69" s="105">
        <v>1</v>
      </c>
      <c r="AX69" s="41"/>
      <c r="AZ69" s="42"/>
      <c r="BA69" s="42"/>
      <c r="BB69" s="42"/>
      <c r="BC69" s="484" t="s">
        <v>15</v>
      </c>
      <c r="BD69" s="1994"/>
      <c r="BE69" s="1994"/>
      <c r="BF69" s="1994"/>
      <c r="BG69" s="1994"/>
      <c r="BH69" s="1994">
        <v>1</v>
      </c>
      <c r="BI69" s="1994">
        <v>6</v>
      </c>
      <c r="BJ69" s="1994">
        <v>1</v>
      </c>
      <c r="BK69" s="1994">
        <v>2</v>
      </c>
      <c r="BL69" s="1994">
        <v>1</v>
      </c>
      <c r="BM69" s="454"/>
      <c r="BN69" s="454"/>
      <c r="BO69" s="454">
        <v>11</v>
      </c>
      <c r="BP69" s="2485">
        <f>+(BO65+BO67+BO68)/BO69</f>
        <v>0.45454545454545453</v>
      </c>
      <c r="BR69" s="105"/>
      <c r="BS69" s="105"/>
      <c r="BT69" s="41"/>
      <c r="BU69" s="41" t="s">
        <v>1239</v>
      </c>
      <c r="BV69" s="1659"/>
      <c r="BW69" s="1659"/>
      <c r="BX69" s="1659"/>
      <c r="BY69" s="1659"/>
      <c r="BZ69" s="1659"/>
      <c r="CA69" s="1659">
        <v>0</v>
      </c>
      <c r="CB69" s="1659">
        <v>0</v>
      </c>
      <c r="CC69" s="1659"/>
      <c r="CD69" s="1659">
        <v>2</v>
      </c>
      <c r="CE69" s="105"/>
      <c r="CF69" s="105"/>
      <c r="CG69" s="105">
        <v>2</v>
      </c>
      <c r="CH69" s="105"/>
      <c r="CJ69" s="1359"/>
      <c r="CK69" s="1359"/>
      <c r="CL69" s="1360"/>
      <c r="CM69" s="483" t="s">
        <v>15</v>
      </c>
      <c r="CN69" s="1364"/>
      <c r="CO69" s="1364"/>
      <c r="CP69" s="1364"/>
      <c r="CQ69" s="1364"/>
      <c r="CR69" s="1365">
        <v>1</v>
      </c>
      <c r="CS69" s="1364"/>
      <c r="CT69" s="1365">
        <v>2</v>
      </c>
      <c r="CU69" s="1365">
        <v>2</v>
      </c>
      <c r="CV69" s="695"/>
      <c r="CW69" s="695"/>
      <c r="CX69" s="696">
        <v>5</v>
      </c>
      <c r="CY69" s="1325">
        <v>0</v>
      </c>
      <c r="DA69" s="602"/>
      <c r="DB69" s="602"/>
      <c r="DC69" s="603"/>
      <c r="DD69" s="604" t="s">
        <v>1235</v>
      </c>
      <c r="DE69" s="606">
        <v>0</v>
      </c>
      <c r="DF69" s="606">
        <v>0</v>
      </c>
      <c r="DG69" s="606">
        <v>0</v>
      </c>
      <c r="DH69" s="605"/>
      <c r="DI69" s="606">
        <v>1</v>
      </c>
      <c r="DJ69" s="606">
        <v>3</v>
      </c>
      <c r="DK69" s="606">
        <v>5</v>
      </c>
      <c r="DL69" s="606">
        <v>1</v>
      </c>
      <c r="DM69" s="602"/>
      <c r="DN69" s="602"/>
      <c r="DO69" s="607">
        <v>10</v>
      </c>
      <c r="DP69" s="105"/>
      <c r="DR69" s="608"/>
      <c r="DS69" s="608"/>
      <c r="DT69" s="608"/>
      <c r="DU69" s="609" t="s">
        <v>1240</v>
      </c>
      <c r="DV69" s="610"/>
      <c r="DW69" s="611">
        <v>0</v>
      </c>
      <c r="DX69" s="611">
        <v>0</v>
      </c>
      <c r="DY69" s="611">
        <v>0</v>
      </c>
      <c r="DZ69" s="611">
        <v>1</v>
      </c>
      <c r="EA69" s="611">
        <v>2</v>
      </c>
      <c r="EB69" s="611">
        <v>3</v>
      </c>
      <c r="EC69" s="611">
        <v>0</v>
      </c>
      <c r="ED69" s="611">
        <v>0</v>
      </c>
      <c r="EE69" s="612"/>
      <c r="EF69" s="612"/>
      <c r="EG69" s="613">
        <v>6</v>
      </c>
      <c r="EH69" s="614"/>
      <c r="EJ69" s="615"/>
      <c r="EK69" s="615"/>
      <c r="EL69" s="615"/>
      <c r="EM69" s="625" t="s">
        <v>15</v>
      </c>
      <c r="EN69" s="627">
        <v>1</v>
      </c>
      <c r="EO69" s="626"/>
      <c r="EP69" s="626"/>
      <c r="EQ69" s="626"/>
      <c r="ER69" s="626"/>
      <c r="ES69" s="627">
        <v>2</v>
      </c>
      <c r="ET69" s="627">
        <v>1</v>
      </c>
      <c r="EU69" s="627">
        <v>4</v>
      </c>
      <c r="EV69" s="627">
        <v>3</v>
      </c>
      <c r="EW69" s="627">
        <v>4</v>
      </c>
      <c r="EX69" s="627">
        <v>15</v>
      </c>
      <c r="EY69" s="628">
        <f>+EX67/EX69</f>
        <v>6.6666666666666666E-2</v>
      </c>
      <c r="FA69" s="70"/>
      <c r="FB69" s="70"/>
      <c r="FC69" s="42"/>
      <c r="FD69" s="42" t="s">
        <v>1239</v>
      </c>
      <c r="FE69" s="70">
        <v>0</v>
      </c>
      <c r="FF69" s="70"/>
      <c r="FG69" s="70"/>
      <c r="FH69" s="70"/>
      <c r="FI69" s="70"/>
      <c r="FJ69" s="70"/>
      <c r="FK69" s="70">
        <v>0</v>
      </c>
      <c r="FL69" s="70">
        <v>6</v>
      </c>
      <c r="FM69" s="70"/>
      <c r="FN69" s="70">
        <v>3</v>
      </c>
      <c r="FO69" s="70">
        <v>9</v>
      </c>
      <c r="FP69" s="42"/>
      <c r="FQ69" s="42"/>
      <c r="FR69" s="516"/>
      <c r="FS69" s="516"/>
      <c r="FT69" s="516"/>
      <c r="FU69" s="519" t="s">
        <v>15</v>
      </c>
      <c r="FV69" s="519">
        <v>0</v>
      </c>
      <c r="FW69" s="519">
        <v>0</v>
      </c>
      <c r="FX69" s="519">
        <v>0</v>
      </c>
      <c r="FY69" s="519">
        <v>0</v>
      </c>
      <c r="FZ69" s="519">
        <v>0</v>
      </c>
      <c r="GA69" s="519">
        <v>0</v>
      </c>
      <c r="GB69" s="519">
        <v>2</v>
      </c>
      <c r="GC69" s="519">
        <v>0</v>
      </c>
      <c r="GD69" s="519">
        <v>0</v>
      </c>
      <c r="GE69" s="519">
        <v>0</v>
      </c>
      <c r="GF69" s="519">
        <v>0</v>
      </c>
      <c r="GG69" s="579">
        <v>2</v>
      </c>
      <c r="GH69" s="629">
        <f>+GG68/GG69</f>
        <v>0.5</v>
      </c>
      <c r="GI69" s="518">
        <f>+GG68</f>
        <v>1</v>
      </c>
    </row>
    <row r="70" spans="3:191">
      <c r="C70" s="4800" t="s">
        <v>2278</v>
      </c>
      <c r="D70" s="4800" t="s">
        <v>1230</v>
      </c>
      <c r="E70" s="4606"/>
      <c r="F70" s="4606"/>
      <c r="G70" s="4606">
        <v>0</v>
      </c>
      <c r="H70" s="4606">
        <v>0</v>
      </c>
      <c r="I70" s="4606"/>
      <c r="J70" s="4606"/>
      <c r="K70" s="4606">
        <v>0</v>
      </c>
      <c r="L70" s="4606">
        <v>0</v>
      </c>
      <c r="M70" s="4606"/>
      <c r="N70" s="2552"/>
      <c r="O70" s="2552">
        <v>2</v>
      </c>
      <c r="P70" s="2552">
        <v>2</v>
      </c>
      <c r="Q70" s="2552"/>
      <c r="R70" s="2552"/>
      <c r="U70" s="1793"/>
      <c r="V70" s="1793" t="s">
        <v>1233</v>
      </c>
      <c r="W70" s="4804">
        <v>3</v>
      </c>
      <c r="X70" s="4804">
        <v>1</v>
      </c>
      <c r="Y70" s="4804">
        <v>1</v>
      </c>
      <c r="Z70" s="4804">
        <v>0</v>
      </c>
      <c r="AA70" s="4804">
        <v>0</v>
      </c>
      <c r="AB70" s="4804">
        <v>0</v>
      </c>
      <c r="AC70" s="4804">
        <v>0</v>
      </c>
      <c r="AD70" s="4804">
        <v>0</v>
      </c>
      <c r="AE70" s="4702">
        <v>0</v>
      </c>
      <c r="AF70" s="4702">
        <v>5</v>
      </c>
      <c r="AI70" s="41"/>
      <c r="AJ70" s="41"/>
      <c r="AK70" s="41"/>
      <c r="AL70" s="41" t="s">
        <v>1239</v>
      </c>
      <c r="AM70" s="2001"/>
      <c r="AN70" s="2001">
        <v>0</v>
      </c>
      <c r="AO70" s="2001"/>
      <c r="AP70" s="2001"/>
      <c r="AQ70" s="2001"/>
      <c r="AR70" s="2001"/>
      <c r="AS70" s="2001"/>
      <c r="AT70" s="2001">
        <v>1</v>
      </c>
      <c r="AU70" s="105"/>
      <c r="AV70" s="105"/>
      <c r="AW70" s="105">
        <v>1</v>
      </c>
      <c r="AX70" s="41"/>
      <c r="AZ70" s="42"/>
      <c r="BA70" s="42"/>
      <c r="BB70" s="42" t="s">
        <v>1639</v>
      </c>
      <c r="BC70" s="42" t="s">
        <v>1231</v>
      </c>
      <c r="BD70" s="1993">
        <v>2</v>
      </c>
      <c r="BE70" s="1993"/>
      <c r="BF70" s="1993"/>
      <c r="BG70" s="1993"/>
      <c r="BH70" s="1993"/>
      <c r="BI70" s="1993"/>
      <c r="BJ70" s="1993"/>
      <c r="BK70" s="1993">
        <v>2</v>
      </c>
      <c r="BL70" s="1993">
        <v>0</v>
      </c>
      <c r="BM70" s="70">
        <v>0</v>
      </c>
      <c r="BN70" s="70"/>
      <c r="BO70" s="70">
        <v>4</v>
      </c>
      <c r="BR70" s="105"/>
      <c r="BS70" s="105"/>
      <c r="BT70" s="41"/>
      <c r="BU70" s="461" t="s">
        <v>15</v>
      </c>
      <c r="BV70" s="1660"/>
      <c r="BW70" s="1660"/>
      <c r="BX70" s="1660"/>
      <c r="BY70" s="1660"/>
      <c r="BZ70" s="1660"/>
      <c r="CA70" s="1660">
        <v>1</v>
      </c>
      <c r="CB70" s="1660">
        <v>1</v>
      </c>
      <c r="CC70" s="1660"/>
      <c r="CD70" s="1660">
        <v>2</v>
      </c>
      <c r="CE70" s="96"/>
      <c r="CF70" s="96"/>
      <c r="CG70" s="96">
        <v>4</v>
      </c>
      <c r="CH70" s="635">
        <v>0</v>
      </c>
      <c r="CJ70" s="1359"/>
      <c r="CK70" s="1359"/>
      <c r="CL70" s="1360" t="s">
        <v>1639</v>
      </c>
      <c r="CM70" s="1361" t="s">
        <v>1239</v>
      </c>
      <c r="CN70" s="1362"/>
      <c r="CO70" s="1362"/>
      <c r="CP70" s="1363">
        <v>0</v>
      </c>
      <c r="CQ70" s="1363">
        <v>1</v>
      </c>
      <c r="CR70" s="1362"/>
      <c r="CS70" s="1362"/>
      <c r="CT70" s="1363">
        <v>1</v>
      </c>
      <c r="CU70" s="1362"/>
      <c r="CV70" s="686"/>
      <c r="CW70" s="686"/>
      <c r="CX70" s="687">
        <v>2</v>
      </c>
      <c r="CY70" s="41"/>
      <c r="DA70" s="602"/>
      <c r="DB70" s="602"/>
      <c r="DC70" s="603"/>
      <c r="DD70" s="604" t="s">
        <v>1236</v>
      </c>
      <c r="DE70" s="606">
        <v>0</v>
      </c>
      <c r="DF70" s="606">
        <v>0</v>
      </c>
      <c r="DG70" s="606">
        <v>1</v>
      </c>
      <c r="DH70" s="605"/>
      <c r="DI70" s="606">
        <v>2</v>
      </c>
      <c r="DJ70" s="606">
        <v>2</v>
      </c>
      <c r="DK70" s="606">
        <v>1</v>
      </c>
      <c r="DL70" s="606">
        <v>0</v>
      </c>
      <c r="DM70" s="602"/>
      <c r="DN70" s="602"/>
      <c r="DO70" s="607">
        <v>6</v>
      </c>
      <c r="DP70" s="105"/>
      <c r="DR70" s="608"/>
      <c r="DS70" s="608"/>
      <c r="DT70" s="608"/>
      <c r="DU70" s="609" t="s">
        <v>1344</v>
      </c>
      <c r="DV70" s="610"/>
      <c r="DW70" s="611">
        <v>0</v>
      </c>
      <c r="DX70" s="611">
        <v>0</v>
      </c>
      <c r="DY70" s="611">
        <v>2</v>
      </c>
      <c r="DZ70" s="611">
        <v>4</v>
      </c>
      <c r="EA70" s="611">
        <v>3</v>
      </c>
      <c r="EB70" s="611">
        <v>8</v>
      </c>
      <c r="EC70" s="611">
        <v>0</v>
      </c>
      <c r="ED70" s="611">
        <v>1</v>
      </c>
      <c r="EE70" s="612"/>
      <c r="EF70" s="612"/>
      <c r="EG70" s="613">
        <v>18</v>
      </c>
      <c r="EH70" s="614"/>
      <c r="EJ70" s="615"/>
      <c r="EK70" s="615"/>
      <c r="EL70" s="615" t="s">
        <v>417</v>
      </c>
      <c r="EM70" s="616" t="s">
        <v>1231</v>
      </c>
      <c r="EN70" s="617"/>
      <c r="EO70" s="617"/>
      <c r="EP70" s="617"/>
      <c r="EQ70" s="617"/>
      <c r="ER70" s="617"/>
      <c r="ES70" s="618">
        <v>0</v>
      </c>
      <c r="ET70" s="618">
        <v>1</v>
      </c>
      <c r="EU70" s="618">
        <v>0</v>
      </c>
      <c r="EV70" s="617"/>
      <c r="EW70" s="617"/>
      <c r="EX70" s="618">
        <v>1</v>
      </c>
      <c r="EY70" s="515"/>
      <c r="FA70" s="70"/>
      <c r="FB70" s="70"/>
      <c r="FC70" s="42"/>
      <c r="FD70" s="484" t="s">
        <v>15</v>
      </c>
      <c r="FE70" s="454">
        <v>1</v>
      </c>
      <c r="FF70" s="454"/>
      <c r="FG70" s="454"/>
      <c r="FH70" s="454"/>
      <c r="FI70" s="454"/>
      <c r="FJ70" s="454"/>
      <c r="FK70" s="454">
        <v>2</v>
      </c>
      <c r="FL70" s="454">
        <v>9</v>
      </c>
      <c r="FM70" s="454"/>
      <c r="FN70" s="454">
        <v>3</v>
      </c>
      <c r="FO70" s="454">
        <v>15</v>
      </c>
      <c r="FP70" s="536">
        <f>+FO68/FO70</f>
        <v>0.13333333333333333</v>
      </c>
      <c r="FQ70" s="42"/>
      <c r="FR70" s="516"/>
      <c r="FS70" s="516"/>
      <c r="FT70" s="516" t="s">
        <v>845</v>
      </c>
      <c r="FU70" s="516" t="s">
        <v>1231</v>
      </c>
      <c r="FV70" s="516">
        <v>0</v>
      </c>
      <c r="FW70" s="516">
        <v>0</v>
      </c>
      <c r="FX70" s="516">
        <v>0</v>
      </c>
      <c r="FY70" s="516">
        <v>0</v>
      </c>
      <c r="FZ70" s="516">
        <v>0</v>
      </c>
      <c r="GA70" s="516">
        <v>0</v>
      </c>
      <c r="GB70" s="516">
        <v>1</v>
      </c>
      <c r="GC70" s="516">
        <v>0</v>
      </c>
      <c r="GD70" s="516">
        <v>0</v>
      </c>
      <c r="GE70" s="516">
        <v>0</v>
      </c>
      <c r="GF70" s="516">
        <v>0</v>
      </c>
      <c r="GG70" s="517">
        <v>1</v>
      </c>
      <c r="GH70" s="619"/>
      <c r="GI70" s="518"/>
    </row>
    <row r="71" spans="3:191">
      <c r="D71" s="4800" t="s">
        <v>1231</v>
      </c>
      <c r="E71" s="4606"/>
      <c r="F71" s="4606"/>
      <c r="G71" s="4606">
        <v>0</v>
      </c>
      <c r="H71" s="4606">
        <v>1</v>
      </c>
      <c r="I71" s="4606"/>
      <c r="J71" s="4606"/>
      <c r="K71" s="4606">
        <v>3</v>
      </c>
      <c r="L71" s="4606">
        <v>3</v>
      </c>
      <c r="M71" s="4606"/>
      <c r="N71" s="2552"/>
      <c r="O71" s="2552">
        <v>0</v>
      </c>
      <c r="P71" s="2552">
        <v>7</v>
      </c>
      <c r="Q71" s="2552"/>
      <c r="R71" s="2552"/>
      <c r="U71" s="1793"/>
      <c r="V71" s="1793" t="s">
        <v>1235</v>
      </c>
      <c r="W71" s="4804">
        <v>0</v>
      </c>
      <c r="X71" s="4804">
        <v>0</v>
      </c>
      <c r="Y71" s="4804">
        <v>0</v>
      </c>
      <c r="Z71" s="4804">
        <v>0</v>
      </c>
      <c r="AA71" s="4804">
        <v>0</v>
      </c>
      <c r="AB71" s="4804">
        <v>1</v>
      </c>
      <c r="AC71" s="4804">
        <v>0</v>
      </c>
      <c r="AD71" s="4804">
        <v>0</v>
      </c>
      <c r="AE71" s="4702">
        <v>0</v>
      </c>
      <c r="AF71" s="4702">
        <v>1</v>
      </c>
      <c r="AI71" s="41"/>
      <c r="AJ71" s="41"/>
      <c r="AK71" s="41"/>
      <c r="AL71" s="461" t="s">
        <v>15</v>
      </c>
      <c r="AM71" s="2002"/>
      <c r="AN71" s="2002">
        <v>1</v>
      </c>
      <c r="AO71" s="2002"/>
      <c r="AP71" s="2002"/>
      <c r="AQ71" s="2002"/>
      <c r="AR71" s="2002"/>
      <c r="AS71" s="2002"/>
      <c r="AT71" s="2002">
        <v>1</v>
      </c>
      <c r="AU71" s="2480"/>
      <c r="AV71" s="2480"/>
      <c r="AW71" s="2480">
        <v>2</v>
      </c>
      <c r="AX71" s="635">
        <v>0</v>
      </c>
      <c r="AY71" s="1977"/>
      <c r="AZ71" s="42"/>
      <c r="BA71" s="42"/>
      <c r="BB71" s="42"/>
      <c r="BC71" s="42" t="s">
        <v>1239</v>
      </c>
      <c r="BD71" s="1993">
        <v>0</v>
      </c>
      <c r="BE71" s="1993"/>
      <c r="BF71" s="1993"/>
      <c r="BG71" s="1993"/>
      <c r="BH71" s="1993"/>
      <c r="BI71" s="1993"/>
      <c r="BJ71" s="1993"/>
      <c r="BK71" s="1993">
        <v>0</v>
      </c>
      <c r="BL71" s="1993">
        <v>5</v>
      </c>
      <c r="BM71" s="70">
        <v>1</v>
      </c>
      <c r="BN71" s="70"/>
      <c r="BO71" s="70">
        <v>6</v>
      </c>
      <c r="BR71" s="105"/>
      <c r="BS71" s="105"/>
      <c r="BT71" s="41" t="s">
        <v>1637</v>
      </c>
      <c r="BU71" s="41" t="s">
        <v>1231</v>
      </c>
      <c r="BV71" s="1659"/>
      <c r="BW71" s="1659"/>
      <c r="BX71" s="1659"/>
      <c r="BY71" s="1659">
        <v>1</v>
      </c>
      <c r="BZ71" s="1659"/>
      <c r="CA71" s="1659"/>
      <c r="CB71" s="1659"/>
      <c r="CC71" s="1659"/>
      <c r="CD71" s="1659">
        <v>0</v>
      </c>
      <c r="CE71" s="105"/>
      <c r="CF71" s="105"/>
      <c r="CG71" s="105">
        <v>1</v>
      </c>
      <c r="CH71" s="105"/>
      <c r="CJ71" s="1359"/>
      <c r="CK71" s="1359"/>
      <c r="CL71" s="1360"/>
      <c r="CM71" s="1361" t="s">
        <v>1344</v>
      </c>
      <c r="CN71" s="1362"/>
      <c r="CO71" s="1362"/>
      <c r="CP71" s="1363">
        <v>1</v>
      </c>
      <c r="CQ71" s="1363">
        <v>0</v>
      </c>
      <c r="CR71" s="1362"/>
      <c r="CS71" s="1362"/>
      <c r="CT71" s="1363">
        <v>0</v>
      </c>
      <c r="CU71" s="1362"/>
      <c r="CV71" s="686"/>
      <c r="CW71" s="686"/>
      <c r="CX71" s="687">
        <v>1</v>
      </c>
      <c r="CY71" s="41"/>
      <c r="DA71" s="602"/>
      <c r="DB71" s="602"/>
      <c r="DC71" s="603"/>
      <c r="DD71" s="604" t="s">
        <v>1239</v>
      </c>
      <c r="DE71" s="606">
        <v>0</v>
      </c>
      <c r="DF71" s="606">
        <v>0</v>
      </c>
      <c r="DG71" s="606">
        <v>0</v>
      </c>
      <c r="DH71" s="605"/>
      <c r="DI71" s="606">
        <v>0</v>
      </c>
      <c r="DJ71" s="606">
        <v>0</v>
      </c>
      <c r="DK71" s="606">
        <v>5</v>
      </c>
      <c r="DL71" s="606">
        <v>7</v>
      </c>
      <c r="DM71" s="602"/>
      <c r="DN71" s="602"/>
      <c r="DO71" s="607">
        <v>12</v>
      </c>
      <c r="DP71" s="105"/>
      <c r="DR71" s="608"/>
      <c r="DS71" s="608"/>
      <c r="DT71" s="608"/>
      <c r="DU71" s="620" t="s">
        <v>106</v>
      </c>
      <c r="DV71" s="621"/>
      <c r="DW71" s="622">
        <v>6</v>
      </c>
      <c r="DX71" s="622">
        <v>4</v>
      </c>
      <c r="DY71" s="622">
        <v>19</v>
      </c>
      <c r="DZ71" s="622">
        <v>17</v>
      </c>
      <c r="EA71" s="622">
        <v>21</v>
      </c>
      <c r="EB71" s="622">
        <v>52</v>
      </c>
      <c r="EC71" s="622">
        <v>10</v>
      </c>
      <c r="ED71" s="622">
        <v>12</v>
      </c>
      <c r="EE71" s="623"/>
      <c r="EF71" s="623"/>
      <c r="EG71" s="624">
        <v>141</v>
      </c>
      <c r="EH71" s="614">
        <f>+(EG70+EG69+EG66)/EG71</f>
        <v>0.24113475177304963</v>
      </c>
      <c r="EJ71" s="615"/>
      <c r="EK71" s="615"/>
      <c r="EL71" s="615"/>
      <c r="EM71" s="616" t="s">
        <v>1235</v>
      </c>
      <c r="EN71" s="617"/>
      <c r="EO71" s="617"/>
      <c r="EP71" s="617"/>
      <c r="EQ71" s="617"/>
      <c r="ER71" s="617"/>
      <c r="ES71" s="618">
        <v>0</v>
      </c>
      <c r="ET71" s="618">
        <v>2</v>
      </c>
      <c r="EU71" s="618">
        <v>0</v>
      </c>
      <c r="EV71" s="617"/>
      <c r="EW71" s="617"/>
      <c r="EX71" s="618">
        <v>2</v>
      </c>
      <c r="EY71" s="515"/>
      <c r="FA71" s="70"/>
      <c r="FB71" s="70"/>
      <c r="FC71" s="42" t="s">
        <v>417</v>
      </c>
      <c r="FD71" s="42" t="s">
        <v>1230</v>
      </c>
      <c r="FE71" s="70"/>
      <c r="FF71" s="70"/>
      <c r="FG71" s="70"/>
      <c r="FH71" s="70"/>
      <c r="FI71" s="70"/>
      <c r="FJ71" s="70">
        <v>0</v>
      </c>
      <c r="FK71" s="70">
        <v>1</v>
      </c>
      <c r="FL71" s="70">
        <v>0</v>
      </c>
      <c r="FM71" s="70"/>
      <c r="FN71" s="70"/>
      <c r="FO71" s="70">
        <v>1</v>
      </c>
      <c r="FP71" s="42"/>
      <c r="FQ71" s="42"/>
      <c r="FR71" s="516"/>
      <c r="FS71" s="516"/>
      <c r="FT71" s="516"/>
      <c r="FU71" s="516" t="s">
        <v>1235</v>
      </c>
      <c r="FV71" s="516">
        <v>0</v>
      </c>
      <c r="FW71" s="516">
        <v>0</v>
      </c>
      <c r="FX71" s="516">
        <v>0</v>
      </c>
      <c r="FY71" s="516">
        <v>0</v>
      </c>
      <c r="FZ71" s="516">
        <v>0</v>
      </c>
      <c r="GA71" s="516">
        <v>0</v>
      </c>
      <c r="GB71" s="516">
        <v>0</v>
      </c>
      <c r="GC71" s="516">
        <v>1</v>
      </c>
      <c r="GD71" s="516">
        <v>0</v>
      </c>
      <c r="GE71" s="516">
        <v>0</v>
      </c>
      <c r="GF71" s="516">
        <v>0</v>
      </c>
      <c r="GG71" s="517">
        <v>1</v>
      </c>
      <c r="GH71" s="619"/>
      <c r="GI71" s="518"/>
    </row>
    <row r="72" spans="3:191">
      <c r="D72" s="4800" t="s">
        <v>1235</v>
      </c>
      <c r="E72" s="4606"/>
      <c r="F72" s="4606"/>
      <c r="G72" s="4606">
        <v>0</v>
      </c>
      <c r="H72" s="4606">
        <v>0</v>
      </c>
      <c r="I72" s="4606"/>
      <c r="J72" s="4606"/>
      <c r="K72" s="4606">
        <v>1</v>
      </c>
      <c r="L72" s="4606">
        <v>0</v>
      </c>
      <c r="M72" s="4606"/>
      <c r="N72" s="2552"/>
      <c r="O72" s="2552">
        <v>0</v>
      </c>
      <c r="P72" s="2552">
        <v>1</v>
      </c>
      <c r="Q72" s="2552"/>
      <c r="R72" s="2552"/>
      <c r="U72" s="1793"/>
      <c r="V72" s="1793" t="s">
        <v>1236</v>
      </c>
      <c r="W72" s="4804">
        <v>0</v>
      </c>
      <c r="X72" s="4804">
        <v>0</v>
      </c>
      <c r="Y72" s="4804">
        <v>1</v>
      </c>
      <c r="Z72" s="4804">
        <v>0</v>
      </c>
      <c r="AA72" s="4804">
        <v>0</v>
      </c>
      <c r="AB72" s="4804">
        <v>0</v>
      </c>
      <c r="AC72" s="4804">
        <v>0</v>
      </c>
      <c r="AD72" s="4804">
        <v>0</v>
      </c>
      <c r="AE72" s="4702">
        <v>0</v>
      </c>
      <c r="AF72" s="4702">
        <v>1</v>
      </c>
      <c r="AI72" s="41"/>
      <c r="AJ72" s="41"/>
      <c r="AK72" s="41" t="s">
        <v>1640</v>
      </c>
      <c r="AL72" s="41" t="s">
        <v>1231</v>
      </c>
      <c r="AM72" s="2001"/>
      <c r="AN72" s="2001"/>
      <c r="AO72" s="2001"/>
      <c r="AP72" s="2001"/>
      <c r="AQ72" s="2001"/>
      <c r="AR72" s="2001">
        <v>2</v>
      </c>
      <c r="AS72" s="2001"/>
      <c r="AT72" s="2001">
        <v>0</v>
      </c>
      <c r="AU72" s="105"/>
      <c r="AV72" s="105"/>
      <c r="AW72" s="105">
        <v>2</v>
      </c>
      <c r="AX72" s="41"/>
      <c r="AZ72" s="42"/>
      <c r="BA72" s="42"/>
      <c r="BB72" s="42"/>
      <c r="BC72" s="484" t="s">
        <v>15</v>
      </c>
      <c r="BD72" s="1994">
        <v>2</v>
      </c>
      <c r="BE72" s="1994"/>
      <c r="BF72" s="1994"/>
      <c r="BG72" s="1994"/>
      <c r="BH72" s="1994"/>
      <c r="BI72" s="1994"/>
      <c r="BJ72" s="1994"/>
      <c r="BK72" s="1994">
        <v>2</v>
      </c>
      <c r="BL72" s="1994">
        <v>5</v>
      </c>
      <c r="BM72" s="454">
        <v>1</v>
      </c>
      <c r="BN72" s="454"/>
      <c r="BO72" s="454">
        <v>10</v>
      </c>
      <c r="BP72" s="2485">
        <v>0</v>
      </c>
      <c r="BR72" s="105"/>
      <c r="BS72" s="105"/>
      <c r="BT72" s="41"/>
      <c r="BU72" s="41" t="s">
        <v>1239</v>
      </c>
      <c r="BV72" s="1659"/>
      <c r="BW72" s="1659"/>
      <c r="BX72" s="1659"/>
      <c r="BY72" s="1659">
        <v>0</v>
      </c>
      <c r="BZ72" s="1659"/>
      <c r="CA72" s="1659"/>
      <c r="CB72" s="1659"/>
      <c r="CC72" s="1659"/>
      <c r="CD72" s="1659">
        <v>1</v>
      </c>
      <c r="CE72" s="105"/>
      <c r="CF72" s="105"/>
      <c r="CG72" s="105">
        <v>1</v>
      </c>
      <c r="CH72" s="105"/>
      <c r="CJ72" s="1359"/>
      <c r="CK72" s="1359"/>
      <c r="CL72" s="1360"/>
      <c r="CM72" s="483" t="s">
        <v>15</v>
      </c>
      <c r="CN72" s="1364"/>
      <c r="CO72" s="1364"/>
      <c r="CP72" s="1365">
        <v>1</v>
      </c>
      <c r="CQ72" s="1365">
        <v>1</v>
      </c>
      <c r="CR72" s="1364"/>
      <c r="CS72" s="1364"/>
      <c r="CT72" s="1365">
        <v>1</v>
      </c>
      <c r="CU72" s="1364"/>
      <c r="CV72" s="695"/>
      <c r="CW72" s="695"/>
      <c r="CX72" s="696">
        <v>3</v>
      </c>
      <c r="CY72" s="1325">
        <f>+CX71/CX72</f>
        <v>0.33333333333333331</v>
      </c>
      <c r="DA72" s="602"/>
      <c r="DB72" s="602"/>
      <c r="DC72" s="603"/>
      <c r="DD72" s="604" t="s">
        <v>1240</v>
      </c>
      <c r="DE72" s="606">
        <v>0</v>
      </c>
      <c r="DF72" s="606">
        <v>0</v>
      </c>
      <c r="DG72" s="606">
        <v>0</v>
      </c>
      <c r="DH72" s="605"/>
      <c r="DI72" s="606">
        <v>2</v>
      </c>
      <c r="DJ72" s="606">
        <v>5</v>
      </c>
      <c r="DK72" s="606">
        <v>4</v>
      </c>
      <c r="DL72" s="606">
        <v>1</v>
      </c>
      <c r="DM72" s="602"/>
      <c r="DN72" s="602"/>
      <c r="DO72" s="607">
        <v>12</v>
      </c>
      <c r="DP72" s="105"/>
      <c r="DR72" s="608" t="s">
        <v>25</v>
      </c>
      <c r="DS72" s="608" t="s">
        <v>4</v>
      </c>
      <c r="DT72" s="608" t="s">
        <v>120</v>
      </c>
      <c r="DU72" s="609" t="s">
        <v>1231</v>
      </c>
      <c r="DV72" s="610"/>
      <c r="DW72" s="610"/>
      <c r="DX72" s="610"/>
      <c r="DY72" s="610"/>
      <c r="DZ72" s="610"/>
      <c r="EA72" s="610"/>
      <c r="EB72" s="610"/>
      <c r="EC72" s="611">
        <v>2</v>
      </c>
      <c r="ED72" s="610"/>
      <c r="EE72" s="613">
        <v>0</v>
      </c>
      <c r="EF72" s="612"/>
      <c r="EG72" s="613">
        <v>2</v>
      </c>
      <c r="EH72" s="614"/>
      <c r="EJ72" s="615"/>
      <c r="EK72" s="615"/>
      <c r="EL72" s="615"/>
      <c r="EM72" s="616" t="s">
        <v>1236</v>
      </c>
      <c r="EN72" s="617"/>
      <c r="EO72" s="617"/>
      <c r="EP72" s="617"/>
      <c r="EQ72" s="617"/>
      <c r="ER72" s="617"/>
      <c r="ES72" s="618">
        <v>0</v>
      </c>
      <c r="ET72" s="618">
        <v>1</v>
      </c>
      <c r="EU72" s="618">
        <v>0</v>
      </c>
      <c r="EV72" s="617"/>
      <c r="EW72" s="617"/>
      <c r="EX72" s="618">
        <v>1</v>
      </c>
      <c r="EY72" s="515"/>
      <c r="FA72" s="70"/>
      <c r="FB72" s="70"/>
      <c r="FC72" s="42"/>
      <c r="FD72" s="42" t="s">
        <v>1231</v>
      </c>
      <c r="FE72" s="70"/>
      <c r="FF72" s="70"/>
      <c r="FG72" s="70"/>
      <c r="FH72" s="70"/>
      <c r="FI72" s="70"/>
      <c r="FJ72" s="70">
        <v>2</v>
      </c>
      <c r="FK72" s="70">
        <v>3</v>
      </c>
      <c r="FL72" s="70">
        <v>0</v>
      </c>
      <c r="FM72" s="70"/>
      <c r="FN72" s="70"/>
      <c r="FO72" s="70">
        <v>5</v>
      </c>
      <c r="FP72" s="42"/>
      <c r="FQ72" s="42"/>
      <c r="FR72" s="516"/>
      <c r="FS72" s="516"/>
      <c r="FT72" s="516"/>
      <c r="FU72" s="516" t="s">
        <v>1239</v>
      </c>
      <c r="FV72" s="516">
        <v>0</v>
      </c>
      <c r="FW72" s="516">
        <v>0</v>
      </c>
      <c r="FX72" s="516">
        <v>0</v>
      </c>
      <c r="FY72" s="516">
        <v>0</v>
      </c>
      <c r="FZ72" s="516">
        <v>0</v>
      </c>
      <c r="GA72" s="516">
        <v>0</v>
      </c>
      <c r="GB72" s="516">
        <v>0</v>
      </c>
      <c r="GC72" s="516">
        <v>3</v>
      </c>
      <c r="GD72" s="516">
        <v>5</v>
      </c>
      <c r="GE72" s="516">
        <v>0</v>
      </c>
      <c r="GF72" s="516">
        <v>0</v>
      </c>
      <c r="GG72" s="517">
        <v>8</v>
      </c>
      <c r="GH72" s="619"/>
      <c r="GI72" s="518"/>
    </row>
    <row r="73" spans="3:191">
      <c r="D73" s="4800" t="s">
        <v>1239</v>
      </c>
      <c r="E73" s="4606"/>
      <c r="F73" s="4606"/>
      <c r="G73" s="4606">
        <v>0</v>
      </c>
      <c r="H73" s="4606">
        <v>0</v>
      </c>
      <c r="I73" s="4606"/>
      <c r="J73" s="4606"/>
      <c r="K73" s="4606">
        <v>0</v>
      </c>
      <c r="L73" s="4606">
        <v>0</v>
      </c>
      <c r="M73" s="4606"/>
      <c r="N73" s="2552"/>
      <c r="O73" s="2552">
        <v>1</v>
      </c>
      <c r="P73" s="2552">
        <v>1</v>
      </c>
      <c r="Q73" s="2552"/>
      <c r="R73" s="2552"/>
      <c r="U73" s="1793"/>
      <c r="V73" s="1793" t="s">
        <v>1239</v>
      </c>
      <c r="W73" s="4804">
        <v>0</v>
      </c>
      <c r="X73" s="4804">
        <v>0</v>
      </c>
      <c r="Y73" s="4804">
        <v>0</v>
      </c>
      <c r="Z73" s="4804">
        <v>0</v>
      </c>
      <c r="AA73" s="4804">
        <v>0</v>
      </c>
      <c r="AB73" s="4804">
        <v>0</v>
      </c>
      <c r="AC73" s="4804">
        <v>20</v>
      </c>
      <c r="AD73" s="4804">
        <v>0</v>
      </c>
      <c r="AE73" s="4702">
        <v>9</v>
      </c>
      <c r="AF73" s="4702">
        <v>29</v>
      </c>
      <c r="AI73" s="41"/>
      <c r="AJ73" s="41"/>
      <c r="AK73" s="41"/>
      <c r="AL73" s="41" t="s">
        <v>1236</v>
      </c>
      <c r="AM73" s="2001"/>
      <c r="AN73" s="2001"/>
      <c r="AO73" s="2001"/>
      <c r="AP73" s="2001"/>
      <c r="AQ73" s="2001"/>
      <c r="AR73" s="2001">
        <v>1</v>
      </c>
      <c r="AS73" s="2001"/>
      <c r="AT73" s="2001">
        <v>0</v>
      </c>
      <c r="AU73" s="105"/>
      <c r="AV73" s="105"/>
      <c r="AW73" s="105">
        <v>1</v>
      </c>
      <c r="AX73" s="41"/>
      <c r="AZ73" s="42"/>
      <c r="BA73" s="42"/>
      <c r="BB73" s="42" t="s">
        <v>1640</v>
      </c>
      <c r="BC73" s="42" t="s">
        <v>1231</v>
      </c>
      <c r="BD73" s="1993"/>
      <c r="BE73" s="1993">
        <v>1</v>
      </c>
      <c r="BF73" s="1993"/>
      <c r="BG73" s="1993"/>
      <c r="BH73" s="1993">
        <v>3</v>
      </c>
      <c r="BI73" s="1993">
        <v>2</v>
      </c>
      <c r="BJ73" s="1993">
        <v>2</v>
      </c>
      <c r="BK73" s="1993">
        <v>3</v>
      </c>
      <c r="BL73" s="1993"/>
      <c r="BM73" s="70">
        <v>0</v>
      </c>
      <c r="BN73" s="70"/>
      <c r="BO73" s="70">
        <v>11</v>
      </c>
      <c r="BR73" s="105"/>
      <c r="BS73" s="105"/>
      <c r="BT73" s="41"/>
      <c r="BU73" s="461" t="s">
        <v>15</v>
      </c>
      <c r="BV73" s="1660"/>
      <c r="BW73" s="1660"/>
      <c r="BX73" s="1660"/>
      <c r="BY73" s="1660">
        <v>1</v>
      </c>
      <c r="BZ73" s="1660"/>
      <c r="CA73" s="1660"/>
      <c r="CB73" s="1660"/>
      <c r="CC73" s="1660"/>
      <c r="CD73" s="1660">
        <v>1</v>
      </c>
      <c r="CE73" s="96"/>
      <c r="CF73" s="96"/>
      <c r="CG73" s="96">
        <v>2</v>
      </c>
      <c r="CH73" s="635">
        <v>0</v>
      </c>
      <c r="CJ73" s="1359"/>
      <c r="CK73" s="1359"/>
      <c r="CL73" s="1360" t="s">
        <v>1640</v>
      </c>
      <c r="CM73" s="1361" t="s">
        <v>1239</v>
      </c>
      <c r="CN73" s="1362"/>
      <c r="CO73" s="1362"/>
      <c r="CP73" s="1362"/>
      <c r="CQ73" s="1363">
        <v>0</v>
      </c>
      <c r="CR73" s="1362"/>
      <c r="CS73" s="1362"/>
      <c r="CT73" s="1363">
        <v>1</v>
      </c>
      <c r="CU73" s="1362"/>
      <c r="CV73" s="686"/>
      <c r="CW73" s="686"/>
      <c r="CX73" s="687">
        <v>1</v>
      </c>
      <c r="CY73" s="41"/>
      <c r="DA73" s="602"/>
      <c r="DB73" s="602"/>
      <c r="DC73" s="603"/>
      <c r="DD73" s="604" t="s">
        <v>1344</v>
      </c>
      <c r="DE73" s="606">
        <v>0</v>
      </c>
      <c r="DF73" s="606">
        <v>0</v>
      </c>
      <c r="DG73" s="606">
        <v>3</v>
      </c>
      <c r="DH73" s="605"/>
      <c r="DI73" s="606">
        <v>0</v>
      </c>
      <c r="DJ73" s="606">
        <v>2</v>
      </c>
      <c r="DK73" s="606">
        <v>5</v>
      </c>
      <c r="DL73" s="606">
        <v>3</v>
      </c>
      <c r="DM73" s="602"/>
      <c r="DN73" s="602"/>
      <c r="DO73" s="607">
        <v>13</v>
      </c>
      <c r="DP73" s="105"/>
      <c r="DR73" s="608"/>
      <c r="DS73" s="608"/>
      <c r="DT73" s="608"/>
      <c r="DU73" s="609" t="s">
        <v>1235</v>
      </c>
      <c r="DV73" s="610"/>
      <c r="DW73" s="610"/>
      <c r="DX73" s="610"/>
      <c r="DY73" s="610"/>
      <c r="DZ73" s="610"/>
      <c r="EA73" s="610"/>
      <c r="EB73" s="610"/>
      <c r="EC73" s="611">
        <v>1</v>
      </c>
      <c r="ED73" s="610"/>
      <c r="EE73" s="613">
        <v>0</v>
      </c>
      <c r="EF73" s="612"/>
      <c r="EG73" s="613">
        <v>1</v>
      </c>
      <c r="EH73" s="614"/>
      <c r="EJ73" s="615"/>
      <c r="EK73" s="615"/>
      <c r="EL73" s="615"/>
      <c r="EM73" s="616" t="s">
        <v>1239</v>
      </c>
      <c r="EN73" s="617"/>
      <c r="EO73" s="617"/>
      <c r="EP73" s="617"/>
      <c r="EQ73" s="617"/>
      <c r="ER73" s="617"/>
      <c r="ES73" s="618">
        <v>0</v>
      </c>
      <c r="ET73" s="618">
        <v>0</v>
      </c>
      <c r="EU73" s="618">
        <v>10</v>
      </c>
      <c r="EV73" s="617"/>
      <c r="EW73" s="617"/>
      <c r="EX73" s="618">
        <v>10</v>
      </c>
      <c r="EY73" s="515"/>
      <c r="FA73" s="70"/>
      <c r="FB73" s="70"/>
      <c r="FC73" s="42"/>
      <c r="FD73" s="42" t="s">
        <v>1235</v>
      </c>
      <c r="FE73" s="70"/>
      <c r="FF73" s="70"/>
      <c r="FG73" s="70"/>
      <c r="FH73" s="70"/>
      <c r="FI73" s="70"/>
      <c r="FJ73" s="70">
        <v>2</v>
      </c>
      <c r="FK73" s="70">
        <v>2</v>
      </c>
      <c r="FL73" s="70">
        <v>0</v>
      </c>
      <c r="FM73" s="70"/>
      <c r="FN73" s="70"/>
      <c r="FO73" s="70">
        <v>4</v>
      </c>
      <c r="FP73" s="42"/>
      <c r="FQ73" s="42"/>
      <c r="FR73" s="516"/>
      <c r="FS73" s="516"/>
      <c r="FT73" s="516"/>
      <c r="FU73" s="519" t="s">
        <v>15</v>
      </c>
      <c r="FV73" s="519">
        <v>0</v>
      </c>
      <c r="FW73" s="519">
        <v>0</v>
      </c>
      <c r="FX73" s="519">
        <v>0</v>
      </c>
      <c r="FY73" s="519">
        <v>0</v>
      </c>
      <c r="FZ73" s="519">
        <v>0</v>
      </c>
      <c r="GA73" s="519">
        <v>0</v>
      </c>
      <c r="GB73" s="519">
        <v>1</v>
      </c>
      <c r="GC73" s="519">
        <v>4</v>
      </c>
      <c r="GD73" s="519">
        <v>5</v>
      </c>
      <c r="GE73" s="519">
        <v>0</v>
      </c>
      <c r="GF73" s="519">
        <v>0</v>
      </c>
      <c r="GG73" s="579">
        <v>10</v>
      </c>
      <c r="GH73" s="629">
        <f>+GG71/GG73</f>
        <v>0.1</v>
      </c>
      <c r="GI73" s="518">
        <f>+GG71</f>
        <v>1</v>
      </c>
    </row>
    <row r="74" spans="3:191">
      <c r="D74" s="4800" t="s">
        <v>1344</v>
      </c>
      <c r="E74" s="4606"/>
      <c r="F74" s="4606"/>
      <c r="G74" s="4606">
        <v>0</v>
      </c>
      <c r="H74" s="4606">
        <v>0</v>
      </c>
      <c r="I74" s="4606"/>
      <c r="J74" s="4606"/>
      <c r="K74" s="4606">
        <v>3</v>
      </c>
      <c r="L74" s="4606">
        <v>1</v>
      </c>
      <c r="M74" s="4606"/>
      <c r="N74" s="2552"/>
      <c r="O74" s="2552">
        <v>0</v>
      </c>
      <c r="P74" s="2552">
        <v>4</v>
      </c>
      <c r="Q74" s="2552"/>
      <c r="R74" s="2552"/>
      <c r="U74" s="1793"/>
      <c r="V74" s="1793" t="s">
        <v>1240</v>
      </c>
      <c r="W74" s="4804">
        <v>0</v>
      </c>
      <c r="X74" s="4804">
        <v>0</v>
      </c>
      <c r="Y74" s="4804">
        <v>0</v>
      </c>
      <c r="Z74" s="4804">
        <v>0</v>
      </c>
      <c r="AA74" s="4804">
        <v>0</v>
      </c>
      <c r="AB74" s="4804">
        <v>2</v>
      </c>
      <c r="AC74" s="4804">
        <v>0</v>
      </c>
      <c r="AD74" s="4804">
        <v>0</v>
      </c>
      <c r="AE74" s="4702">
        <v>0</v>
      </c>
      <c r="AF74" s="4702">
        <v>2</v>
      </c>
      <c r="AI74" s="41"/>
      <c r="AJ74" s="41"/>
      <c r="AK74" s="41"/>
      <c r="AL74" s="41" t="s">
        <v>1239</v>
      </c>
      <c r="AM74" s="2001"/>
      <c r="AN74" s="2001"/>
      <c r="AO74" s="2001"/>
      <c r="AP74" s="2001"/>
      <c r="AQ74" s="2001"/>
      <c r="AR74" s="2001">
        <v>0</v>
      </c>
      <c r="AS74" s="2001"/>
      <c r="AT74" s="2001">
        <v>2</v>
      </c>
      <c r="AU74" s="105"/>
      <c r="AV74" s="105"/>
      <c r="AW74" s="105">
        <v>2</v>
      </c>
      <c r="AX74" s="41"/>
      <c r="AZ74" s="42"/>
      <c r="BA74" s="42"/>
      <c r="BB74" s="42"/>
      <c r="BC74" s="42" t="s">
        <v>1235</v>
      </c>
      <c r="BD74" s="1993"/>
      <c r="BE74" s="1993">
        <v>0</v>
      </c>
      <c r="BF74" s="1993"/>
      <c r="BG74" s="1993"/>
      <c r="BH74" s="1993">
        <v>2</v>
      </c>
      <c r="BI74" s="1993">
        <v>1</v>
      </c>
      <c r="BJ74" s="1993">
        <v>1</v>
      </c>
      <c r="BK74" s="1993">
        <v>0</v>
      </c>
      <c r="BL74" s="1993"/>
      <c r="BM74" s="70">
        <v>0</v>
      </c>
      <c r="BN74" s="70"/>
      <c r="BO74" s="70">
        <v>4</v>
      </c>
      <c r="BR74" s="105"/>
      <c r="BS74" s="105"/>
      <c r="BT74" s="41" t="s">
        <v>1641</v>
      </c>
      <c r="BU74" s="41" t="s">
        <v>1231</v>
      </c>
      <c r="BV74" s="1659"/>
      <c r="BW74" s="1659"/>
      <c r="BX74" s="1659"/>
      <c r="BY74" s="1659"/>
      <c r="BZ74" s="1659">
        <v>1</v>
      </c>
      <c r="CA74" s="1659"/>
      <c r="CB74" s="1659"/>
      <c r="CC74" s="1659"/>
      <c r="CD74" s="1659">
        <v>0</v>
      </c>
      <c r="CE74" s="105"/>
      <c r="CF74" s="105"/>
      <c r="CG74" s="105">
        <v>1</v>
      </c>
      <c r="CH74" s="105"/>
      <c r="CJ74" s="1359"/>
      <c r="CK74" s="1359"/>
      <c r="CL74" s="1360"/>
      <c r="CM74" s="1361" t="s">
        <v>1344</v>
      </c>
      <c r="CN74" s="1362"/>
      <c r="CO74" s="1362"/>
      <c r="CP74" s="1362"/>
      <c r="CQ74" s="1363">
        <v>3</v>
      </c>
      <c r="CR74" s="1362"/>
      <c r="CS74" s="1362"/>
      <c r="CT74" s="1363">
        <v>0</v>
      </c>
      <c r="CU74" s="1362"/>
      <c r="CV74" s="686"/>
      <c r="CW74" s="686"/>
      <c r="CX74" s="687">
        <v>3</v>
      </c>
      <c r="CY74" s="41"/>
      <c r="DA74" s="602"/>
      <c r="DB74" s="602"/>
      <c r="DC74" s="603"/>
      <c r="DD74" s="630" t="s">
        <v>106</v>
      </c>
      <c r="DE74" s="632">
        <v>3</v>
      </c>
      <c r="DF74" s="632">
        <v>1</v>
      </c>
      <c r="DG74" s="632">
        <v>4</v>
      </c>
      <c r="DH74" s="631"/>
      <c r="DI74" s="632">
        <v>6</v>
      </c>
      <c r="DJ74" s="632">
        <v>22</v>
      </c>
      <c r="DK74" s="632">
        <v>36</v>
      </c>
      <c r="DL74" s="632">
        <v>20</v>
      </c>
      <c r="DM74" s="633"/>
      <c r="DN74" s="633"/>
      <c r="DO74" s="634">
        <v>92</v>
      </c>
      <c r="DP74" s="635">
        <f>+(DO69+DO72+DO73)/DO74</f>
        <v>0.38043478260869568</v>
      </c>
      <c r="DR74" s="608"/>
      <c r="DS74" s="608"/>
      <c r="DT74" s="608"/>
      <c r="DU74" s="609" t="s">
        <v>1239</v>
      </c>
      <c r="DV74" s="610"/>
      <c r="DW74" s="610"/>
      <c r="DX74" s="610"/>
      <c r="DY74" s="610"/>
      <c r="DZ74" s="610"/>
      <c r="EA74" s="610"/>
      <c r="EB74" s="610"/>
      <c r="EC74" s="611">
        <v>0</v>
      </c>
      <c r="ED74" s="610"/>
      <c r="EE74" s="613">
        <v>1</v>
      </c>
      <c r="EF74" s="612"/>
      <c r="EG74" s="613">
        <v>1</v>
      </c>
      <c r="EH74" s="614"/>
      <c r="EJ74" s="615"/>
      <c r="EK74" s="615"/>
      <c r="EL74" s="615"/>
      <c r="EM74" s="616" t="s">
        <v>1344</v>
      </c>
      <c r="EN74" s="617"/>
      <c r="EO74" s="617"/>
      <c r="EP74" s="617"/>
      <c r="EQ74" s="617"/>
      <c r="ER74" s="617"/>
      <c r="ES74" s="618">
        <v>1</v>
      </c>
      <c r="ET74" s="618">
        <v>0</v>
      </c>
      <c r="EU74" s="618">
        <v>0</v>
      </c>
      <c r="EV74" s="617"/>
      <c r="EW74" s="617"/>
      <c r="EX74" s="618">
        <v>1</v>
      </c>
      <c r="EY74" s="515"/>
      <c r="FA74" s="70"/>
      <c r="FB74" s="70"/>
      <c r="FC74" s="42"/>
      <c r="FD74" s="42" t="s">
        <v>1239</v>
      </c>
      <c r="FE74" s="70"/>
      <c r="FF74" s="70"/>
      <c r="FG74" s="70"/>
      <c r="FH74" s="70"/>
      <c r="FI74" s="70"/>
      <c r="FJ74" s="70">
        <v>0</v>
      </c>
      <c r="FK74" s="70">
        <v>0</v>
      </c>
      <c r="FL74" s="70">
        <v>2</v>
      </c>
      <c r="FM74" s="70"/>
      <c r="FN74" s="70"/>
      <c r="FO74" s="70">
        <v>2</v>
      </c>
      <c r="FP74" s="42"/>
      <c r="FQ74" s="42"/>
      <c r="FR74" s="516"/>
      <c r="FS74" s="516" t="s">
        <v>16</v>
      </c>
      <c r="FT74" s="516" t="s">
        <v>107</v>
      </c>
      <c r="FU74" s="516" t="s">
        <v>1231</v>
      </c>
      <c r="FV74" s="516">
        <v>0</v>
      </c>
      <c r="FW74" s="516">
        <v>0</v>
      </c>
      <c r="FX74" s="516">
        <v>0</v>
      </c>
      <c r="FY74" s="516">
        <v>1</v>
      </c>
      <c r="FZ74" s="516">
        <v>0</v>
      </c>
      <c r="GA74" s="516">
        <v>0</v>
      </c>
      <c r="GB74" s="516">
        <v>0</v>
      </c>
      <c r="GC74" s="516">
        <v>0</v>
      </c>
      <c r="GD74" s="516">
        <v>0</v>
      </c>
      <c r="GE74" s="516">
        <v>0</v>
      </c>
      <c r="GF74" s="516">
        <v>0</v>
      </c>
      <c r="GG74" s="517">
        <v>1</v>
      </c>
      <c r="GH74" s="619"/>
      <c r="GI74" s="518"/>
    </row>
    <row r="75" spans="3:191">
      <c r="D75" s="4800" t="s">
        <v>2531</v>
      </c>
      <c r="E75" s="4606"/>
      <c r="F75" s="4606"/>
      <c r="G75" s="4606">
        <v>1</v>
      </c>
      <c r="H75" s="4606">
        <v>0</v>
      </c>
      <c r="I75" s="4606"/>
      <c r="J75" s="4606"/>
      <c r="K75" s="4606">
        <v>0</v>
      </c>
      <c r="L75" s="4606">
        <v>0</v>
      </c>
      <c r="M75" s="4606"/>
      <c r="N75" s="2552"/>
      <c r="O75" s="2552">
        <v>0</v>
      </c>
      <c r="P75" s="2552">
        <v>1</v>
      </c>
      <c r="Q75" s="2552"/>
      <c r="R75" s="2552"/>
      <c r="U75" s="1793"/>
      <c r="V75" s="1793" t="s">
        <v>1344</v>
      </c>
      <c r="W75" s="4804">
        <v>0</v>
      </c>
      <c r="X75" s="4804">
        <v>0</v>
      </c>
      <c r="Y75" s="4804">
        <v>0</v>
      </c>
      <c r="Z75" s="4804">
        <v>0</v>
      </c>
      <c r="AA75" s="4804">
        <v>0</v>
      </c>
      <c r="AB75" s="4804">
        <v>3</v>
      </c>
      <c r="AC75" s="4804">
        <v>1</v>
      </c>
      <c r="AD75" s="4804">
        <v>0</v>
      </c>
      <c r="AE75" s="4702">
        <v>0</v>
      </c>
      <c r="AF75" s="4702">
        <v>4</v>
      </c>
      <c r="AI75" s="41"/>
      <c r="AJ75" s="41"/>
      <c r="AK75" s="41"/>
      <c r="AL75" s="461" t="s">
        <v>15</v>
      </c>
      <c r="AM75" s="2002"/>
      <c r="AN75" s="2002"/>
      <c r="AO75" s="2002"/>
      <c r="AP75" s="2002"/>
      <c r="AQ75" s="2002"/>
      <c r="AR75" s="2002">
        <v>3</v>
      </c>
      <c r="AS75" s="2002"/>
      <c r="AT75" s="2002">
        <v>2</v>
      </c>
      <c r="AU75" s="2480"/>
      <c r="AV75" s="2480"/>
      <c r="AW75" s="2480">
        <v>5</v>
      </c>
      <c r="AX75" s="635">
        <v>0</v>
      </c>
      <c r="AY75" s="1977"/>
      <c r="AZ75" s="42"/>
      <c r="BA75" s="42"/>
      <c r="BB75" s="42"/>
      <c r="BC75" s="42" t="s">
        <v>1236</v>
      </c>
      <c r="BD75" s="1993"/>
      <c r="BE75" s="1993">
        <v>0</v>
      </c>
      <c r="BF75" s="1993"/>
      <c r="BG75" s="1993"/>
      <c r="BH75" s="1993">
        <v>0</v>
      </c>
      <c r="BI75" s="1993">
        <v>1</v>
      </c>
      <c r="BJ75" s="1993">
        <v>0</v>
      </c>
      <c r="BK75" s="1993">
        <v>0</v>
      </c>
      <c r="BL75" s="1993"/>
      <c r="BM75" s="70">
        <v>0</v>
      </c>
      <c r="BN75" s="70"/>
      <c r="BO75" s="70">
        <v>1</v>
      </c>
      <c r="BR75" s="105"/>
      <c r="BS75" s="105"/>
      <c r="BT75" s="41"/>
      <c r="BU75" s="41" t="s">
        <v>1239</v>
      </c>
      <c r="BV75" s="1659"/>
      <c r="BW75" s="1659"/>
      <c r="BX75" s="1659"/>
      <c r="BY75" s="1659"/>
      <c r="BZ75" s="1659">
        <v>0</v>
      </c>
      <c r="CA75" s="1659"/>
      <c r="CB75" s="1659"/>
      <c r="CC75" s="1659"/>
      <c r="CD75" s="1659">
        <v>2</v>
      </c>
      <c r="CE75" s="105"/>
      <c r="CF75" s="105"/>
      <c r="CG75" s="105">
        <v>2</v>
      </c>
      <c r="CH75" s="105"/>
      <c r="CJ75" s="1359"/>
      <c r="CK75" s="1359"/>
      <c r="CL75" s="1360"/>
      <c r="CM75" s="483" t="s">
        <v>15</v>
      </c>
      <c r="CN75" s="1364"/>
      <c r="CO75" s="1364"/>
      <c r="CP75" s="1364"/>
      <c r="CQ75" s="1365">
        <v>3</v>
      </c>
      <c r="CR75" s="1364"/>
      <c r="CS75" s="1364"/>
      <c r="CT75" s="1365">
        <v>1</v>
      </c>
      <c r="CU75" s="1364"/>
      <c r="CV75" s="695"/>
      <c r="CW75" s="695"/>
      <c r="CX75" s="696">
        <v>4</v>
      </c>
      <c r="CY75" s="1325">
        <f>+CX74/CX75</f>
        <v>0.75</v>
      </c>
      <c r="DA75" s="602" t="s">
        <v>25</v>
      </c>
      <c r="DB75" s="602" t="s">
        <v>4</v>
      </c>
      <c r="DC75" s="603" t="s">
        <v>120</v>
      </c>
      <c r="DD75" s="604" t="s">
        <v>1230</v>
      </c>
      <c r="DE75" s="606">
        <v>0</v>
      </c>
      <c r="DF75" s="605"/>
      <c r="DG75" s="605"/>
      <c r="DH75" s="605"/>
      <c r="DI75" s="605"/>
      <c r="DJ75" s="605"/>
      <c r="DK75" s="606">
        <v>1</v>
      </c>
      <c r="DL75" s="606">
        <v>0</v>
      </c>
      <c r="DM75" s="607">
        <v>1</v>
      </c>
      <c r="DN75" s="607">
        <v>0</v>
      </c>
      <c r="DO75" s="607">
        <v>2</v>
      </c>
      <c r="DP75" s="105"/>
      <c r="DR75" s="608"/>
      <c r="DS75" s="608"/>
      <c r="DT75" s="608"/>
      <c r="DU75" s="609" t="s">
        <v>1344</v>
      </c>
      <c r="DV75" s="610"/>
      <c r="DW75" s="610"/>
      <c r="DX75" s="610"/>
      <c r="DY75" s="610"/>
      <c r="DZ75" s="610"/>
      <c r="EA75" s="610"/>
      <c r="EB75" s="610"/>
      <c r="EC75" s="611">
        <v>2</v>
      </c>
      <c r="ED75" s="610"/>
      <c r="EE75" s="613">
        <v>0</v>
      </c>
      <c r="EF75" s="612"/>
      <c r="EG75" s="613">
        <v>2</v>
      </c>
      <c r="EH75" s="614"/>
      <c r="EJ75" s="615"/>
      <c r="EK75" s="615"/>
      <c r="EL75" s="615"/>
      <c r="EM75" s="625" t="s">
        <v>15</v>
      </c>
      <c r="EN75" s="626"/>
      <c r="EO75" s="626"/>
      <c r="EP75" s="626"/>
      <c r="EQ75" s="626"/>
      <c r="ER75" s="626"/>
      <c r="ES75" s="627">
        <v>1</v>
      </c>
      <c r="ET75" s="627">
        <v>4</v>
      </c>
      <c r="EU75" s="627">
        <v>10</v>
      </c>
      <c r="EV75" s="626"/>
      <c r="EW75" s="626"/>
      <c r="EX75" s="627">
        <v>15</v>
      </c>
      <c r="EY75" s="628">
        <f>+(EX74+EX71)/EX75</f>
        <v>0.2</v>
      </c>
      <c r="FA75" s="70"/>
      <c r="FB75" s="70"/>
      <c r="FC75" s="42"/>
      <c r="FD75" s="42" t="s">
        <v>1344</v>
      </c>
      <c r="FE75" s="70"/>
      <c r="FF75" s="70"/>
      <c r="FG75" s="70"/>
      <c r="FH75" s="70"/>
      <c r="FI75" s="70"/>
      <c r="FJ75" s="70">
        <v>3</v>
      </c>
      <c r="FK75" s="70">
        <v>1</v>
      </c>
      <c r="FL75" s="70">
        <v>0</v>
      </c>
      <c r="FM75" s="70"/>
      <c r="FN75" s="70"/>
      <c r="FO75" s="70">
        <v>4</v>
      </c>
      <c r="FP75" s="42"/>
      <c r="FQ75" s="42"/>
      <c r="FR75" s="516"/>
      <c r="FS75" s="516"/>
      <c r="FT75" s="516"/>
      <c r="FU75" s="516" t="s">
        <v>1235</v>
      </c>
      <c r="FV75" s="516">
        <v>0</v>
      </c>
      <c r="FW75" s="516">
        <v>0</v>
      </c>
      <c r="FX75" s="516">
        <v>0</v>
      </c>
      <c r="FY75" s="516">
        <v>10</v>
      </c>
      <c r="FZ75" s="516">
        <v>2</v>
      </c>
      <c r="GA75" s="516">
        <v>0</v>
      </c>
      <c r="GB75" s="516">
        <v>0</v>
      </c>
      <c r="GC75" s="516">
        <v>0</v>
      </c>
      <c r="GD75" s="516">
        <v>0</v>
      </c>
      <c r="GE75" s="516">
        <v>0</v>
      </c>
      <c r="GF75" s="516">
        <v>0</v>
      </c>
      <c r="GG75" s="517">
        <v>12</v>
      </c>
      <c r="GH75" s="619"/>
      <c r="GI75" s="518"/>
    </row>
    <row r="76" spans="3:191">
      <c r="D76" s="32" t="s">
        <v>15</v>
      </c>
      <c r="E76" s="4607"/>
      <c r="F76" s="4607"/>
      <c r="G76" s="4607">
        <v>1</v>
      </c>
      <c r="H76" s="4607">
        <v>1</v>
      </c>
      <c r="I76" s="4607"/>
      <c r="J76" s="4607"/>
      <c r="K76" s="4607">
        <v>7</v>
      </c>
      <c r="L76" s="4607">
        <v>4</v>
      </c>
      <c r="M76" s="4607"/>
      <c r="N76" s="4583"/>
      <c r="O76" s="4583">
        <v>3</v>
      </c>
      <c r="P76" s="4583">
        <v>16</v>
      </c>
      <c r="Q76" s="1977">
        <f>+(P72+P74)/P76</f>
        <v>0.3125</v>
      </c>
      <c r="R76" s="1977"/>
      <c r="U76" s="1793"/>
      <c r="V76" s="1793" t="s">
        <v>2531</v>
      </c>
      <c r="W76" s="4804">
        <v>0</v>
      </c>
      <c r="X76" s="4804">
        <v>1</v>
      </c>
      <c r="Y76" s="4804">
        <v>0</v>
      </c>
      <c r="Z76" s="4804">
        <v>0</v>
      </c>
      <c r="AA76" s="4804">
        <v>0</v>
      </c>
      <c r="AB76" s="4804">
        <v>0</v>
      </c>
      <c r="AC76" s="4804">
        <v>0</v>
      </c>
      <c r="AD76" s="4804">
        <v>0</v>
      </c>
      <c r="AE76" s="4702">
        <v>0</v>
      </c>
      <c r="AF76" s="4702">
        <v>1</v>
      </c>
      <c r="AI76" s="41"/>
      <c r="AJ76" s="41"/>
      <c r="AK76" s="41" t="s">
        <v>1641</v>
      </c>
      <c r="AL76" s="41" t="s">
        <v>1230</v>
      </c>
      <c r="AM76" s="2001"/>
      <c r="AN76" s="2001"/>
      <c r="AO76" s="2001"/>
      <c r="AP76" s="2001"/>
      <c r="AQ76" s="2001">
        <v>0</v>
      </c>
      <c r="AR76" s="2001">
        <v>0</v>
      </c>
      <c r="AS76" s="2001">
        <v>1</v>
      </c>
      <c r="AT76" s="2001">
        <v>0</v>
      </c>
      <c r="AU76" s="105"/>
      <c r="AV76" s="105"/>
      <c r="AW76" s="105">
        <v>1</v>
      </c>
      <c r="AX76" s="41"/>
      <c r="AZ76" s="42"/>
      <c r="BA76" s="42"/>
      <c r="BB76" s="42"/>
      <c r="BC76" s="42" t="s">
        <v>1239</v>
      </c>
      <c r="BD76" s="1993"/>
      <c r="BE76" s="1993">
        <v>0</v>
      </c>
      <c r="BF76" s="1993"/>
      <c r="BG76" s="1993"/>
      <c r="BH76" s="1993">
        <v>0</v>
      </c>
      <c r="BI76" s="1993">
        <v>0</v>
      </c>
      <c r="BJ76" s="1993">
        <v>0</v>
      </c>
      <c r="BK76" s="1993">
        <v>0</v>
      </c>
      <c r="BL76" s="1993"/>
      <c r="BM76" s="70">
        <v>2</v>
      </c>
      <c r="BN76" s="70"/>
      <c r="BO76" s="70">
        <v>2</v>
      </c>
      <c r="BR76" s="105"/>
      <c r="BS76" s="105"/>
      <c r="BT76" s="41"/>
      <c r="BU76" s="461" t="s">
        <v>15</v>
      </c>
      <c r="BV76" s="1660"/>
      <c r="BW76" s="1660"/>
      <c r="BX76" s="1660"/>
      <c r="BY76" s="1660"/>
      <c r="BZ76" s="1660">
        <v>1</v>
      </c>
      <c r="CA76" s="1660"/>
      <c r="CB76" s="1660"/>
      <c r="CC76" s="1660"/>
      <c r="CD76" s="1660">
        <v>2</v>
      </c>
      <c r="CE76" s="96"/>
      <c r="CF76" s="96"/>
      <c r="CG76" s="96">
        <v>3</v>
      </c>
      <c r="CH76" s="635">
        <v>0</v>
      </c>
      <c r="CJ76" s="1359"/>
      <c r="CK76" s="1359"/>
      <c r="CL76" s="1360" t="s">
        <v>1637</v>
      </c>
      <c r="CM76" s="1361" t="s">
        <v>1231</v>
      </c>
      <c r="CN76" s="1362"/>
      <c r="CO76" s="1362"/>
      <c r="CP76" s="1362"/>
      <c r="CQ76" s="1362"/>
      <c r="CR76" s="1363">
        <v>0</v>
      </c>
      <c r="CS76" s="1363">
        <v>1</v>
      </c>
      <c r="CT76" s="1363">
        <v>0</v>
      </c>
      <c r="CU76" s="1362"/>
      <c r="CV76" s="686"/>
      <c r="CW76" s="686"/>
      <c r="CX76" s="687">
        <v>1</v>
      </c>
      <c r="CY76" s="41"/>
      <c r="DA76" s="602"/>
      <c r="DB76" s="602"/>
      <c r="DC76" s="603"/>
      <c r="DD76" s="604" t="s">
        <v>1231</v>
      </c>
      <c r="DE76" s="606">
        <v>0</v>
      </c>
      <c r="DF76" s="605"/>
      <c r="DG76" s="605"/>
      <c r="DH76" s="605"/>
      <c r="DI76" s="605"/>
      <c r="DJ76" s="605"/>
      <c r="DK76" s="606">
        <v>1</v>
      </c>
      <c r="DL76" s="606">
        <v>0</v>
      </c>
      <c r="DM76" s="607">
        <v>0</v>
      </c>
      <c r="DN76" s="607">
        <v>0</v>
      </c>
      <c r="DO76" s="607">
        <v>1</v>
      </c>
      <c r="DP76" s="105"/>
      <c r="DR76" s="608"/>
      <c r="DS76" s="608"/>
      <c r="DT76" s="608"/>
      <c r="DU76" s="620" t="s">
        <v>15</v>
      </c>
      <c r="DV76" s="621"/>
      <c r="DW76" s="621"/>
      <c r="DX76" s="621"/>
      <c r="DY76" s="621"/>
      <c r="DZ76" s="621"/>
      <c r="EA76" s="621"/>
      <c r="EB76" s="621"/>
      <c r="EC76" s="622">
        <v>5</v>
      </c>
      <c r="ED76" s="621"/>
      <c r="EE76" s="624">
        <v>1</v>
      </c>
      <c r="EF76" s="623"/>
      <c r="EG76" s="624">
        <v>6</v>
      </c>
      <c r="EH76" s="614">
        <f>+(EG75+EG73)/EG76</f>
        <v>0.5</v>
      </c>
      <c r="EJ76" s="615"/>
      <c r="EK76" s="615" t="s">
        <v>16</v>
      </c>
      <c r="EL76" s="615" t="s">
        <v>107</v>
      </c>
      <c r="EM76" s="616" t="s">
        <v>1235</v>
      </c>
      <c r="EN76" s="617"/>
      <c r="EO76" s="617"/>
      <c r="EP76" s="618">
        <v>9</v>
      </c>
      <c r="EQ76" s="618">
        <v>0</v>
      </c>
      <c r="ER76" s="617"/>
      <c r="ES76" s="618">
        <v>0</v>
      </c>
      <c r="ET76" s="617"/>
      <c r="EU76" s="617"/>
      <c r="EV76" s="617"/>
      <c r="EW76" s="617"/>
      <c r="EX76" s="618">
        <v>9</v>
      </c>
      <c r="EY76" s="515"/>
      <c r="FA76" s="70"/>
      <c r="FB76" s="70"/>
      <c r="FC76" s="42"/>
      <c r="FD76" s="484" t="s">
        <v>15</v>
      </c>
      <c r="FE76" s="454"/>
      <c r="FF76" s="454"/>
      <c r="FG76" s="454"/>
      <c r="FH76" s="454"/>
      <c r="FI76" s="454"/>
      <c r="FJ76" s="454">
        <v>7</v>
      </c>
      <c r="FK76" s="454">
        <v>7</v>
      </c>
      <c r="FL76" s="454">
        <v>2</v>
      </c>
      <c r="FM76" s="454"/>
      <c r="FN76" s="454"/>
      <c r="FO76" s="454">
        <v>16</v>
      </c>
      <c r="FP76" s="536">
        <f>+(FO73+FO75)/FO76</f>
        <v>0.5</v>
      </c>
      <c r="FQ76" s="42"/>
      <c r="FR76" s="516"/>
      <c r="FS76" s="516"/>
      <c r="FT76" s="516"/>
      <c r="FU76" s="516" t="s">
        <v>1236</v>
      </c>
      <c r="FV76" s="516">
        <v>0</v>
      </c>
      <c r="FW76" s="516">
        <v>0</v>
      </c>
      <c r="FX76" s="516">
        <v>0</v>
      </c>
      <c r="FY76" s="516">
        <v>1</v>
      </c>
      <c r="FZ76" s="516">
        <v>0</v>
      </c>
      <c r="GA76" s="516">
        <v>0</v>
      </c>
      <c r="GB76" s="516">
        <v>0</v>
      </c>
      <c r="GC76" s="516">
        <v>0</v>
      </c>
      <c r="GD76" s="516">
        <v>0</v>
      </c>
      <c r="GE76" s="516">
        <v>0</v>
      </c>
      <c r="GF76" s="516">
        <v>0</v>
      </c>
      <c r="GG76" s="517">
        <v>1</v>
      </c>
      <c r="GH76" s="619"/>
      <c r="GI76" s="518"/>
    </row>
    <row r="77" spans="3:191">
      <c r="C77" s="32" t="s">
        <v>545</v>
      </c>
      <c r="D77" s="32" t="s">
        <v>1230</v>
      </c>
      <c r="E77" s="4607">
        <v>0</v>
      </c>
      <c r="F77" s="4607">
        <v>0</v>
      </c>
      <c r="G77" s="4607">
        <v>0</v>
      </c>
      <c r="H77" s="4607">
        <v>0</v>
      </c>
      <c r="I77" s="4607"/>
      <c r="J77" s="4607">
        <v>1</v>
      </c>
      <c r="K77" s="4607">
        <v>0</v>
      </c>
      <c r="L77" s="4607">
        <v>0</v>
      </c>
      <c r="M77" s="4607">
        <v>0</v>
      </c>
      <c r="N77" s="4583">
        <v>0</v>
      </c>
      <c r="O77" s="4583">
        <v>2</v>
      </c>
      <c r="P77" s="4583">
        <v>3</v>
      </c>
      <c r="Q77" s="2552"/>
      <c r="R77" s="2552"/>
      <c r="U77" s="1793"/>
      <c r="V77" s="1793" t="s">
        <v>545</v>
      </c>
      <c r="W77" s="4804">
        <v>13</v>
      </c>
      <c r="X77" s="4804">
        <v>5</v>
      </c>
      <c r="Y77" s="4804">
        <v>4</v>
      </c>
      <c r="Z77" s="4804">
        <v>1</v>
      </c>
      <c r="AA77" s="4804">
        <v>4</v>
      </c>
      <c r="AB77" s="4804">
        <v>30</v>
      </c>
      <c r="AC77" s="4804">
        <v>36</v>
      </c>
      <c r="AD77" s="4804">
        <v>15</v>
      </c>
      <c r="AE77" s="4702">
        <v>11</v>
      </c>
      <c r="AF77" s="4702">
        <v>119</v>
      </c>
      <c r="AG77" s="4703">
        <f>+(AF71+AF74+AF75)/AF77</f>
        <v>5.8823529411764705E-2</v>
      </c>
      <c r="AI77" s="41"/>
      <c r="AJ77" s="41"/>
      <c r="AK77" s="41"/>
      <c r="AL77" s="41" t="s">
        <v>1231</v>
      </c>
      <c r="AM77" s="2001"/>
      <c r="AN77" s="2001"/>
      <c r="AO77" s="2001"/>
      <c r="AP77" s="2001"/>
      <c r="AQ77" s="2001">
        <v>0</v>
      </c>
      <c r="AR77" s="2001">
        <v>1</v>
      </c>
      <c r="AS77" s="2001">
        <v>0</v>
      </c>
      <c r="AT77" s="2001">
        <v>0</v>
      </c>
      <c r="AU77" s="105"/>
      <c r="AV77" s="105"/>
      <c r="AW77" s="105">
        <v>1</v>
      </c>
      <c r="AX77" s="41"/>
      <c r="AZ77" s="42"/>
      <c r="BA77" s="42"/>
      <c r="BB77" s="42"/>
      <c r="BC77" s="42" t="s">
        <v>1240</v>
      </c>
      <c r="BD77" s="1993"/>
      <c r="BE77" s="1993">
        <v>0</v>
      </c>
      <c r="BF77" s="1993"/>
      <c r="BG77" s="1993"/>
      <c r="BH77" s="1993">
        <v>0</v>
      </c>
      <c r="BI77" s="1993">
        <v>0</v>
      </c>
      <c r="BJ77" s="1993">
        <v>1</v>
      </c>
      <c r="BK77" s="1993">
        <v>1</v>
      </c>
      <c r="BL77" s="1993"/>
      <c r="BM77" s="70">
        <v>0</v>
      </c>
      <c r="BN77" s="70"/>
      <c r="BO77" s="70">
        <v>2</v>
      </c>
      <c r="BR77" s="105"/>
      <c r="BS77" s="105"/>
      <c r="BT77" s="41" t="s">
        <v>844</v>
      </c>
      <c r="BU77" s="41" t="s">
        <v>1231</v>
      </c>
      <c r="BV77" s="1659"/>
      <c r="BW77" s="1659"/>
      <c r="BX77" s="1659"/>
      <c r="BY77" s="1659">
        <v>1</v>
      </c>
      <c r="BZ77" s="1659">
        <v>1</v>
      </c>
      <c r="CA77" s="1659">
        <v>1</v>
      </c>
      <c r="CB77" s="1659">
        <v>1</v>
      </c>
      <c r="CC77" s="1659"/>
      <c r="CD77" s="1659">
        <v>0</v>
      </c>
      <c r="CE77" s="105"/>
      <c r="CF77" s="105"/>
      <c r="CG77" s="105">
        <v>4</v>
      </c>
      <c r="CH77" s="105"/>
      <c r="CJ77" s="1359"/>
      <c r="CK77" s="1359"/>
      <c r="CL77" s="1360"/>
      <c r="CM77" s="1361" t="s">
        <v>1239</v>
      </c>
      <c r="CN77" s="1362"/>
      <c r="CO77" s="1362"/>
      <c r="CP77" s="1362"/>
      <c r="CQ77" s="1362"/>
      <c r="CR77" s="1363">
        <v>1</v>
      </c>
      <c r="CS77" s="1363">
        <v>0</v>
      </c>
      <c r="CT77" s="1363">
        <v>1</v>
      </c>
      <c r="CU77" s="1362"/>
      <c r="CV77" s="686"/>
      <c r="CW77" s="686"/>
      <c r="CX77" s="687">
        <v>2</v>
      </c>
      <c r="CY77" s="41"/>
      <c r="DA77" s="602"/>
      <c r="DB77" s="602"/>
      <c r="DC77" s="603"/>
      <c r="DD77" s="604" t="s">
        <v>1233</v>
      </c>
      <c r="DE77" s="606">
        <v>2</v>
      </c>
      <c r="DF77" s="605"/>
      <c r="DG77" s="605"/>
      <c r="DH77" s="605"/>
      <c r="DI77" s="605"/>
      <c r="DJ77" s="605"/>
      <c r="DK77" s="606">
        <v>0</v>
      </c>
      <c r="DL77" s="606">
        <v>0</v>
      </c>
      <c r="DM77" s="607">
        <v>0</v>
      </c>
      <c r="DN77" s="607">
        <v>0</v>
      </c>
      <c r="DO77" s="607">
        <v>2</v>
      </c>
      <c r="DP77" s="105"/>
      <c r="DR77" s="608"/>
      <c r="DS77" s="608"/>
      <c r="DT77" s="608" t="s">
        <v>121</v>
      </c>
      <c r="DU77" s="609" t="s">
        <v>1230</v>
      </c>
      <c r="DV77" s="610"/>
      <c r="DW77" s="610"/>
      <c r="DX77" s="611">
        <v>0</v>
      </c>
      <c r="DY77" s="611">
        <v>0</v>
      </c>
      <c r="DZ77" s="610"/>
      <c r="EA77" s="610"/>
      <c r="EB77" s="611">
        <v>0</v>
      </c>
      <c r="EC77" s="611">
        <v>0</v>
      </c>
      <c r="ED77" s="611">
        <v>3</v>
      </c>
      <c r="EE77" s="613">
        <v>0</v>
      </c>
      <c r="EF77" s="613">
        <v>2</v>
      </c>
      <c r="EG77" s="613">
        <v>5</v>
      </c>
      <c r="EH77" s="614"/>
      <c r="EJ77" s="615"/>
      <c r="EK77" s="615"/>
      <c r="EL77" s="615"/>
      <c r="EM77" s="616" t="s">
        <v>1236</v>
      </c>
      <c r="EN77" s="617"/>
      <c r="EO77" s="617"/>
      <c r="EP77" s="618">
        <v>0</v>
      </c>
      <c r="EQ77" s="618">
        <v>0</v>
      </c>
      <c r="ER77" s="617"/>
      <c r="ES77" s="618">
        <v>1</v>
      </c>
      <c r="ET77" s="617"/>
      <c r="EU77" s="617"/>
      <c r="EV77" s="617"/>
      <c r="EW77" s="617"/>
      <c r="EX77" s="618">
        <v>1</v>
      </c>
      <c r="EY77" s="515"/>
      <c r="FA77" s="70"/>
      <c r="FB77" s="70" t="s">
        <v>16</v>
      </c>
      <c r="FC77" s="42" t="s">
        <v>125</v>
      </c>
      <c r="FD77" s="42" t="s">
        <v>1230</v>
      </c>
      <c r="FE77" s="70"/>
      <c r="FF77" s="70"/>
      <c r="FG77" s="70"/>
      <c r="FH77" s="70"/>
      <c r="FI77" s="70"/>
      <c r="FJ77" s="70">
        <v>0</v>
      </c>
      <c r="FK77" s="70">
        <v>0</v>
      </c>
      <c r="FL77" s="70">
        <v>2</v>
      </c>
      <c r="FM77" s="70"/>
      <c r="FN77" s="70"/>
      <c r="FO77" s="70">
        <v>2</v>
      </c>
      <c r="FP77" s="42"/>
      <c r="FQ77" s="42"/>
      <c r="FR77" s="516"/>
      <c r="FS77" s="516"/>
      <c r="FT77" s="516"/>
      <c r="FU77" s="516" t="s">
        <v>1344</v>
      </c>
      <c r="FV77" s="516">
        <v>0</v>
      </c>
      <c r="FW77" s="516">
        <v>0</v>
      </c>
      <c r="FX77" s="516">
        <v>0</v>
      </c>
      <c r="FY77" s="516">
        <v>3</v>
      </c>
      <c r="FZ77" s="516">
        <v>0</v>
      </c>
      <c r="GA77" s="516">
        <v>0</v>
      </c>
      <c r="GB77" s="516">
        <v>1</v>
      </c>
      <c r="GC77" s="516">
        <v>0</v>
      </c>
      <c r="GD77" s="516">
        <v>0</v>
      </c>
      <c r="GE77" s="516">
        <v>0</v>
      </c>
      <c r="GF77" s="516">
        <v>0</v>
      </c>
      <c r="GG77" s="517">
        <v>4</v>
      </c>
      <c r="GH77" s="619"/>
      <c r="GI77" s="518"/>
    </row>
    <row r="78" spans="3:191">
      <c r="C78" s="32"/>
      <c r="D78" s="32" t="s">
        <v>1231</v>
      </c>
      <c r="E78" s="4607">
        <v>0</v>
      </c>
      <c r="F78" s="4607">
        <v>10</v>
      </c>
      <c r="G78" s="4607">
        <v>3</v>
      </c>
      <c r="H78" s="4607">
        <v>2</v>
      </c>
      <c r="I78" s="4607"/>
      <c r="J78" s="4607">
        <v>4</v>
      </c>
      <c r="K78" s="4607">
        <v>19</v>
      </c>
      <c r="L78" s="4607">
        <v>15</v>
      </c>
      <c r="M78" s="4607">
        <v>14</v>
      </c>
      <c r="N78" s="4583">
        <v>0</v>
      </c>
      <c r="O78" s="4583">
        <v>0</v>
      </c>
      <c r="P78" s="4583">
        <v>67</v>
      </c>
      <c r="Q78" s="2552"/>
      <c r="R78" s="2552"/>
      <c r="T78" s="37" t="s">
        <v>21</v>
      </c>
      <c r="U78" s="37" t="s">
        <v>1639</v>
      </c>
      <c r="V78" s="37" t="s">
        <v>1239</v>
      </c>
      <c r="W78" s="4803"/>
      <c r="X78" s="4803"/>
      <c r="Y78" s="4803"/>
      <c r="Z78" s="4803"/>
      <c r="AA78" s="4803"/>
      <c r="AB78" s="4803"/>
      <c r="AC78" s="4803">
        <v>4</v>
      </c>
      <c r="AD78" s="4803"/>
      <c r="AE78" s="1788"/>
      <c r="AF78" s="1788">
        <v>4</v>
      </c>
      <c r="AI78" s="41"/>
      <c r="AJ78" s="41"/>
      <c r="AK78" s="41"/>
      <c r="AL78" s="41" t="s">
        <v>1235</v>
      </c>
      <c r="AM78" s="2001"/>
      <c r="AN78" s="2001"/>
      <c r="AO78" s="2001"/>
      <c r="AP78" s="2001"/>
      <c r="AQ78" s="2001">
        <v>1</v>
      </c>
      <c r="AR78" s="2001">
        <v>0</v>
      </c>
      <c r="AS78" s="2001">
        <v>0</v>
      </c>
      <c r="AT78" s="2001">
        <v>0</v>
      </c>
      <c r="AU78" s="105"/>
      <c r="AV78" s="105"/>
      <c r="AW78" s="105">
        <v>1</v>
      </c>
      <c r="AX78" s="41"/>
      <c r="AZ78" s="42"/>
      <c r="BA78" s="42"/>
      <c r="BB78" s="42"/>
      <c r="BC78" s="42" t="s">
        <v>1344</v>
      </c>
      <c r="BD78" s="1993"/>
      <c r="BE78" s="1993">
        <v>0</v>
      </c>
      <c r="BF78" s="1993"/>
      <c r="BG78" s="1993"/>
      <c r="BH78" s="1993">
        <v>0</v>
      </c>
      <c r="BI78" s="1993">
        <v>1</v>
      </c>
      <c r="BJ78" s="1993">
        <v>0</v>
      </c>
      <c r="BK78" s="1993">
        <v>0</v>
      </c>
      <c r="BL78" s="1993"/>
      <c r="BM78" s="70">
        <v>0</v>
      </c>
      <c r="BN78" s="70"/>
      <c r="BO78" s="70">
        <v>1</v>
      </c>
      <c r="BR78" s="105"/>
      <c r="BS78" s="105"/>
      <c r="BT78" s="41"/>
      <c r="BU78" s="41" t="s">
        <v>1239</v>
      </c>
      <c r="BV78" s="1659"/>
      <c r="BW78" s="1659"/>
      <c r="BX78" s="1659"/>
      <c r="BY78" s="1659">
        <v>0</v>
      </c>
      <c r="BZ78" s="1659">
        <v>0</v>
      </c>
      <c r="CA78" s="1659">
        <v>0</v>
      </c>
      <c r="CB78" s="1659">
        <v>0</v>
      </c>
      <c r="CC78" s="1659"/>
      <c r="CD78" s="1659">
        <v>5</v>
      </c>
      <c r="CE78" s="105"/>
      <c r="CF78" s="105"/>
      <c r="CG78" s="105">
        <v>5</v>
      </c>
      <c r="CH78" s="105"/>
      <c r="CJ78" s="1359"/>
      <c r="CK78" s="1359"/>
      <c r="CL78" s="1360"/>
      <c r="CM78" s="1361" t="s">
        <v>1240</v>
      </c>
      <c r="CN78" s="1362"/>
      <c r="CO78" s="1362"/>
      <c r="CP78" s="1362"/>
      <c r="CQ78" s="1362"/>
      <c r="CR78" s="1363">
        <v>0</v>
      </c>
      <c r="CS78" s="1363">
        <v>1</v>
      </c>
      <c r="CT78" s="1363">
        <v>0</v>
      </c>
      <c r="CU78" s="1362"/>
      <c r="CV78" s="686"/>
      <c r="CW78" s="686"/>
      <c r="CX78" s="687">
        <v>1</v>
      </c>
      <c r="CY78" s="41"/>
      <c r="DA78" s="602"/>
      <c r="DB78" s="602"/>
      <c r="DC78" s="603"/>
      <c r="DD78" s="604" t="s">
        <v>1235</v>
      </c>
      <c r="DE78" s="606">
        <v>0</v>
      </c>
      <c r="DF78" s="605"/>
      <c r="DG78" s="605"/>
      <c r="DH78" s="605"/>
      <c r="DI78" s="605"/>
      <c r="DJ78" s="605"/>
      <c r="DK78" s="606">
        <v>2</v>
      </c>
      <c r="DL78" s="606">
        <v>0</v>
      </c>
      <c r="DM78" s="607">
        <v>1</v>
      </c>
      <c r="DN78" s="607">
        <v>0</v>
      </c>
      <c r="DO78" s="607">
        <v>3</v>
      </c>
      <c r="DP78" s="105"/>
      <c r="DR78" s="608"/>
      <c r="DS78" s="608"/>
      <c r="DT78" s="608"/>
      <c r="DU78" s="609" t="s">
        <v>1231</v>
      </c>
      <c r="DV78" s="610"/>
      <c r="DW78" s="610"/>
      <c r="DX78" s="611">
        <v>2</v>
      </c>
      <c r="DY78" s="611">
        <v>1</v>
      </c>
      <c r="DZ78" s="610"/>
      <c r="EA78" s="610"/>
      <c r="EB78" s="611">
        <v>1</v>
      </c>
      <c r="EC78" s="611">
        <v>1</v>
      </c>
      <c r="ED78" s="611">
        <v>1</v>
      </c>
      <c r="EE78" s="613">
        <v>0</v>
      </c>
      <c r="EF78" s="613">
        <v>0</v>
      </c>
      <c r="EG78" s="613">
        <v>6</v>
      </c>
      <c r="EH78" s="614"/>
      <c r="EJ78" s="615"/>
      <c r="EK78" s="615"/>
      <c r="EL78" s="615"/>
      <c r="EM78" s="616" t="s">
        <v>1344</v>
      </c>
      <c r="EN78" s="617"/>
      <c r="EO78" s="617"/>
      <c r="EP78" s="618">
        <v>3</v>
      </c>
      <c r="EQ78" s="618">
        <v>2</v>
      </c>
      <c r="ER78" s="617"/>
      <c r="ES78" s="618">
        <v>0</v>
      </c>
      <c r="ET78" s="617"/>
      <c r="EU78" s="617"/>
      <c r="EV78" s="617"/>
      <c r="EW78" s="617"/>
      <c r="EX78" s="618">
        <v>5</v>
      </c>
      <c r="EY78" s="515"/>
      <c r="FA78" s="70"/>
      <c r="FB78" s="70"/>
      <c r="FC78" s="42"/>
      <c r="FD78" s="42" t="s">
        <v>1231</v>
      </c>
      <c r="FE78" s="70"/>
      <c r="FF78" s="70"/>
      <c r="FG78" s="70"/>
      <c r="FH78" s="70"/>
      <c r="FI78" s="70"/>
      <c r="FJ78" s="70">
        <v>0</v>
      </c>
      <c r="FK78" s="70">
        <v>1</v>
      </c>
      <c r="FL78" s="70">
        <v>0</v>
      </c>
      <c r="FM78" s="70"/>
      <c r="FN78" s="70"/>
      <c r="FO78" s="70">
        <v>1</v>
      </c>
      <c r="FP78" s="42"/>
      <c r="FQ78" s="42"/>
      <c r="FR78" s="516"/>
      <c r="FS78" s="516"/>
      <c r="FT78" s="516"/>
      <c r="FU78" s="519" t="s">
        <v>15</v>
      </c>
      <c r="FV78" s="519">
        <v>0</v>
      </c>
      <c r="FW78" s="519">
        <v>0</v>
      </c>
      <c r="FX78" s="519">
        <v>0</v>
      </c>
      <c r="FY78" s="519">
        <v>15</v>
      </c>
      <c r="FZ78" s="519">
        <v>2</v>
      </c>
      <c r="GA78" s="519">
        <v>0</v>
      </c>
      <c r="GB78" s="519">
        <v>1</v>
      </c>
      <c r="GC78" s="519">
        <v>0</v>
      </c>
      <c r="GD78" s="519">
        <v>0</v>
      </c>
      <c r="GE78" s="519">
        <v>0</v>
      </c>
      <c r="GF78" s="519">
        <v>0</v>
      </c>
      <c r="GG78" s="579">
        <v>18</v>
      </c>
      <c r="GH78" s="629">
        <f>+(GG77+GG75)/GG78</f>
        <v>0.88888888888888884</v>
      </c>
      <c r="GI78" s="518">
        <f>+GG75+GG77</f>
        <v>16</v>
      </c>
    </row>
    <row r="79" spans="3:191">
      <c r="C79" s="32"/>
      <c r="D79" s="32" t="s">
        <v>1233</v>
      </c>
      <c r="E79" s="4607">
        <v>0</v>
      </c>
      <c r="F79" s="4607">
        <v>3</v>
      </c>
      <c r="G79" s="4607">
        <v>1</v>
      </c>
      <c r="H79" s="4607">
        <v>1</v>
      </c>
      <c r="I79" s="4607"/>
      <c r="J79" s="4607">
        <v>0</v>
      </c>
      <c r="K79" s="4607">
        <v>0</v>
      </c>
      <c r="L79" s="4607">
        <v>0</v>
      </c>
      <c r="M79" s="4607">
        <v>0</v>
      </c>
      <c r="N79" s="4583">
        <v>0</v>
      </c>
      <c r="O79" s="4583">
        <v>0</v>
      </c>
      <c r="P79" s="4583">
        <v>5</v>
      </c>
      <c r="Q79" s="2552"/>
      <c r="R79" s="2552"/>
      <c r="V79" s="1793" t="s">
        <v>15</v>
      </c>
      <c r="W79" s="4804"/>
      <c r="X79" s="4804"/>
      <c r="Y79" s="4804"/>
      <c r="Z79" s="4804"/>
      <c r="AA79" s="4804"/>
      <c r="AB79" s="4804"/>
      <c r="AC79" s="4804">
        <v>4</v>
      </c>
      <c r="AD79" s="4804"/>
      <c r="AE79" s="4702"/>
      <c r="AF79" s="4702">
        <v>4</v>
      </c>
      <c r="AG79" s="4703">
        <v>0</v>
      </c>
      <c r="AI79" s="41"/>
      <c r="AJ79" s="41"/>
      <c r="AK79" s="41"/>
      <c r="AL79" s="41" t="s">
        <v>1239</v>
      </c>
      <c r="AM79" s="2001"/>
      <c r="AN79" s="2001"/>
      <c r="AO79" s="2001"/>
      <c r="AP79" s="2001"/>
      <c r="AQ79" s="2001">
        <v>0</v>
      </c>
      <c r="AR79" s="2001">
        <v>0</v>
      </c>
      <c r="AS79" s="2001">
        <v>0</v>
      </c>
      <c r="AT79" s="2001">
        <v>1</v>
      </c>
      <c r="AU79" s="105"/>
      <c r="AV79" s="105"/>
      <c r="AW79" s="105">
        <v>1</v>
      </c>
      <c r="AX79" s="41"/>
      <c r="AZ79" s="42"/>
      <c r="BA79" s="42"/>
      <c r="BB79" s="42"/>
      <c r="BC79" s="484" t="s">
        <v>15</v>
      </c>
      <c r="BD79" s="1994"/>
      <c r="BE79" s="1994">
        <v>1</v>
      </c>
      <c r="BF79" s="1994"/>
      <c r="BG79" s="1994"/>
      <c r="BH79" s="1994">
        <v>5</v>
      </c>
      <c r="BI79" s="1994">
        <v>5</v>
      </c>
      <c r="BJ79" s="1994">
        <v>4</v>
      </c>
      <c r="BK79" s="1994">
        <v>4</v>
      </c>
      <c r="BL79" s="1994"/>
      <c r="BM79" s="454">
        <v>2</v>
      </c>
      <c r="BN79" s="454"/>
      <c r="BO79" s="454">
        <v>21</v>
      </c>
      <c r="BP79" s="2485">
        <f>+(BO74+BO77+BO78)/BO79</f>
        <v>0.33333333333333331</v>
      </c>
      <c r="BR79" s="105"/>
      <c r="BS79" s="105"/>
      <c r="BT79" s="41"/>
      <c r="BU79" s="461" t="s">
        <v>844</v>
      </c>
      <c r="BV79" s="1660"/>
      <c r="BW79" s="1660"/>
      <c r="BX79" s="1660"/>
      <c r="BY79" s="1660">
        <v>1</v>
      </c>
      <c r="BZ79" s="1660">
        <v>1</v>
      </c>
      <c r="CA79" s="1660">
        <v>1</v>
      </c>
      <c r="CB79" s="1660">
        <v>1</v>
      </c>
      <c r="CC79" s="1660"/>
      <c r="CD79" s="1660">
        <v>5</v>
      </c>
      <c r="CE79" s="96"/>
      <c r="CF79" s="96"/>
      <c r="CG79" s="96">
        <v>9</v>
      </c>
      <c r="CH79" s="635">
        <v>0</v>
      </c>
      <c r="CJ79" s="1359"/>
      <c r="CK79" s="1359"/>
      <c r="CL79" s="1360"/>
      <c r="CM79" s="483" t="s">
        <v>15</v>
      </c>
      <c r="CN79" s="1364"/>
      <c r="CO79" s="1364"/>
      <c r="CP79" s="1364"/>
      <c r="CQ79" s="1364"/>
      <c r="CR79" s="1365">
        <v>1</v>
      </c>
      <c r="CS79" s="1365">
        <v>2</v>
      </c>
      <c r="CT79" s="1365">
        <v>1</v>
      </c>
      <c r="CU79" s="1364"/>
      <c r="CV79" s="695"/>
      <c r="CW79" s="695"/>
      <c r="CX79" s="696">
        <v>4</v>
      </c>
      <c r="CY79" s="1325">
        <f>+CX78/CX79</f>
        <v>0.25</v>
      </c>
      <c r="DA79" s="602"/>
      <c r="DB79" s="602"/>
      <c r="DC79" s="603"/>
      <c r="DD79" s="604" t="s">
        <v>1239</v>
      </c>
      <c r="DE79" s="606">
        <v>0</v>
      </c>
      <c r="DF79" s="605"/>
      <c r="DG79" s="605"/>
      <c r="DH79" s="605"/>
      <c r="DI79" s="605"/>
      <c r="DJ79" s="605"/>
      <c r="DK79" s="606">
        <v>0</v>
      </c>
      <c r="DL79" s="606">
        <v>4</v>
      </c>
      <c r="DM79" s="607">
        <v>1</v>
      </c>
      <c r="DN79" s="607">
        <v>1</v>
      </c>
      <c r="DO79" s="607">
        <v>6</v>
      </c>
      <c r="DP79" s="105"/>
      <c r="DR79" s="608"/>
      <c r="DS79" s="608"/>
      <c r="DT79" s="608"/>
      <c r="DU79" s="609" t="s">
        <v>1233</v>
      </c>
      <c r="DV79" s="610"/>
      <c r="DW79" s="610"/>
      <c r="DX79" s="611">
        <v>1</v>
      </c>
      <c r="DY79" s="611">
        <v>0</v>
      </c>
      <c r="DZ79" s="610"/>
      <c r="EA79" s="610"/>
      <c r="EB79" s="611">
        <v>0</v>
      </c>
      <c r="EC79" s="611">
        <v>0</v>
      </c>
      <c r="ED79" s="611">
        <v>0</v>
      </c>
      <c r="EE79" s="613">
        <v>0</v>
      </c>
      <c r="EF79" s="613">
        <v>0</v>
      </c>
      <c r="EG79" s="613">
        <v>1</v>
      </c>
      <c r="EH79" s="614"/>
      <c r="EJ79" s="615"/>
      <c r="EK79" s="615"/>
      <c r="EL79" s="615"/>
      <c r="EM79" s="625" t="s">
        <v>15</v>
      </c>
      <c r="EN79" s="626"/>
      <c r="EO79" s="626"/>
      <c r="EP79" s="627">
        <v>12</v>
      </c>
      <c r="EQ79" s="627">
        <v>2</v>
      </c>
      <c r="ER79" s="626"/>
      <c r="ES79" s="627">
        <v>1</v>
      </c>
      <c r="ET79" s="626"/>
      <c r="EU79" s="626"/>
      <c r="EV79" s="626"/>
      <c r="EW79" s="626"/>
      <c r="EX79" s="627">
        <v>15</v>
      </c>
      <c r="EY79" s="628">
        <f>+(EX78+EX76)/EX79</f>
        <v>0.93333333333333335</v>
      </c>
      <c r="FA79" s="70"/>
      <c r="FB79" s="70"/>
      <c r="FC79" s="42"/>
      <c r="FD79" s="42" t="s">
        <v>1235</v>
      </c>
      <c r="FE79" s="70"/>
      <c r="FF79" s="70"/>
      <c r="FG79" s="70"/>
      <c r="FH79" s="70"/>
      <c r="FI79" s="70"/>
      <c r="FJ79" s="70">
        <v>1</v>
      </c>
      <c r="FK79" s="70">
        <v>2</v>
      </c>
      <c r="FL79" s="70">
        <v>0</v>
      </c>
      <c r="FM79" s="70"/>
      <c r="FN79" s="70"/>
      <c r="FO79" s="70">
        <v>3</v>
      </c>
      <c r="FP79" s="42"/>
      <c r="FQ79" s="42"/>
      <c r="FR79" s="516"/>
      <c r="FS79" s="516"/>
      <c r="FT79" s="516" t="s">
        <v>125</v>
      </c>
      <c r="FU79" s="516" t="s">
        <v>1231</v>
      </c>
      <c r="FV79" s="516">
        <v>0</v>
      </c>
      <c r="FW79" s="516">
        <v>1</v>
      </c>
      <c r="FX79" s="516">
        <v>0</v>
      </c>
      <c r="FY79" s="516">
        <v>0</v>
      </c>
      <c r="FZ79" s="516">
        <v>0</v>
      </c>
      <c r="GA79" s="516">
        <v>0</v>
      </c>
      <c r="GB79" s="516">
        <v>1</v>
      </c>
      <c r="GC79" s="516">
        <v>1</v>
      </c>
      <c r="GD79" s="516">
        <v>0</v>
      </c>
      <c r="GE79" s="516">
        <v>0</v>
      </c>
      <c r="GF79" s="516">
        <v>0</v>
      </c>
      <c r="GG79" s="517">
        <v>3</v>
      </c>
      <c r="GH79" s="619"/>
      <c r="GI79" s="518"/>
    </row>
    <row r="80" spans="3:191">
      <c r="C80" s="32"/>
      <c r="D80" s="32" t="s">
        <v>1235</v>
      </c>
      <c r="E80" s="4607">
        <v>0</v>
      </c>
      <c r="F80" s="4607">
        <v>0</v>
      </c>
      <c r="G80" s="4607">
        <v>0</v>
      </c>
      <c r="H80" s="4607">
        <v>0</v>
      </c>
      <c r="I80" s="4607"/>
      <c r="J80" s="4607">
        <v>0</v>
      </c>
      <c r="K80" s="4607">
        <v>5</v>
      </c>
      <c r="L80" s="4607">
        <v>0</v>
      </c>
      <c r="M80" s="4607">
        <v>0</v>
      </c>
      <c r="N80" s="4583">
        <v>0</v>
      </c>
      <c r="O80" s="4583">
        <v>0</v>
      </c>
      <c r="P80" s="4583">
        <v>5</v>
      </c>
      <c r="Q80" s="2552"/>
      <c r="R80" s="2552"/>
      <c r="U80" s="37" t="s">
        <v>1640</v>
      </c>
      <c r="V80" s="37" t="s">
        <v>1230</v>
      </c>
      <c r="W80" s="4803"/>
      <c r="X80" s="4803"/>
      <c r="Y80" s="4803"/>
      <c r="Z80" s="4803">
        <v>1</v>
      </c>
      <c r="AA80" s="4803">
        <v>0</v>
      </c>
      <c r="AB80" s="4803">
        <v>0</v>
      </c>
      <c r="AC80" s="4803">
        <v>0</v>
      </c>
      <c r="AD80" s="4803"/>
      <c r="AE80" s="1788"/>
      <c r="AF80" s="1788">
        <v>1</v>
      </c>
      <c r="AI80" s="41"/>
      <c r="AJ80" s="41"/>
      <c r="AK80" s="41"/>
      <c r="AL80" s="41" t="s">
        <v>1240</v>
      </c>
      <c r="AM80" s="2001"/>
      <c r="AN80" s="2001"/>
      <c r="AO80" s="2001"/>
      <c r="AP80" s="2001"/>
      <c r="AQ80" s="2001">
        <v>0</v>
      </c>
      <c r="AR80" s="2001">
        <v>0</v>
      </c>
      <c r="AS80" s="2001">
        <v>1</v>
      </c>
      <c r="AT80" s="2001">
        <v>0</v>
      </c>
      <c r="AU80" s="105"/>
      <c r="AV80" s="105"/>
      <c r="AW80" s="105">
        <v>1</v>
      </c>
      <c r="AX80" s="41"/>
      <c r="AZ80" s="42"/>
      <c r="BA80" s="42"/>
      <c r="BB80" s="42" t="s">
        <v>1637</v>
      </c>
      <c r="BC80" s="42" t="s">
        <v>1230</v>
      </c>
      <c r="BD80" s="1993"/>
      <c r="BE80" s="1993"/>
      <c r="BF80" s="1993"/>
      <c r="BG80" s="1993"/>
      <c r="BH80" s="1993">
        <v>0</v>
      </c>
      <c r="BI80" s="1993"/>
      <c r="BJ80" s="1993">
        <v>0</v>
      </c>
      <c r="BK80" s="1993">
        <v>1</v>
      </c>
      <c r="BL80" s="1993">
        <v>0</v>
      </c>
      <c r="BM80" s="70">
        <v>0</v>
      </c>
      <c r="BN80" s="70"/>
      <c r="BO80" s="70">
        <v>1</v>
      </c>
      <c r="BR80" s="105"/>
      <c r="BS80" s="105"/>
      <c r="BT80" s="41" t="s">
        <v>106</v>
      </c>
      <c r="BU80" s="41" t="s">
        <v>1230</v>
      </c>
      <c r="BV80" s="1659">
        <v>0</v>
      </c>
      <c r="BW80" s="1659">
        <v>0</v>
      </c>
      <c r="BX80" s="1659">
        <v>0</v>
      </c>
      <c r="BY80" s="1659">
        <v>0</v>
      </c>
      <c r="BZ80" s="1659">
        <v>0</v>
      </c>
      <c r="CA80" s="1659">
        <v>1</v>
      </c>
      <c r="CB80" s="1659">
        <v>0</v>
      </c>
      <c r="CC80" s="1659">
        <v>4</v>
      </c>
      <c r="CD80" s="1659">
        <v>4</v>
      </c>
      <c r="CE80" s="105">
        <v>0</v>
      </c>
      <c r="CF80" s="105">
        <v>0</v>
      </c>
      <c r="CG80" s="105">
        <v>9</v>
      </c>
      <c r="CH80" s="105"/>
      <c r="CJ80" s="1359"/>
      <c r="CK80" s="1359"/>
      <c r="CL80" s="1360" t="s">
        <v>1641</v>
      </c>
      <c r="CM80" s="1361" t="s">
        <v>1239</v>
      </c>
      <c r="CN80" s="1362"/>
      <c r="CO80" s="1362"/>
      <c r="CP80" s="1363">
        <v>0</v>
      </c>
      <c r="CQ80" s="1363">
        <v>1</v>
      </c>
      <c r="CR80" s="1362"/>
      <c r="CS80" s="1362"/>
      <c r="CT80" s="1362"/>
      <c r="CU80" s="1362"/>
      <c r="CV80" s="686"/>
      <c r="CW80" s="686"/>
      <c r="CX80" s="687">
        <v>1</v>
      </c>
      <c r="CY80" s="41"/>
      <c r="DA80" s="602"/>
      <c r="DB80" s="602"/>
      <c r="DC80" s="603"/>
      <c r="DD80" s="604" t="s">
        <v>1344</v>
      </c>
      <c r="DE80" s="606">
        <v>0</v>
      </c>
      <c r="DF80" s="605"/>
      <c r="DG80" s="605"/>
      <c r="DH80" s="605"/>
      <c r="DI80" s="605"/>
      <c r="DJ80" s="605"/>
      <c r="DK80" s="606">
        <v>0</v>
      </c>
      <c r="DL80" s="606">
        <v>1</v>
      </c>
      <c r="DM80" s="607">
        <v>0</v>
      </c>
      <c r="DN80" s="607">
        <v>0</v>
      </c>
      <c r="DO80" s="607">
        <v>1</v>
      </c>
      <c r="DP80" s="105"/>
      <c r="DR80" s="608"/>
      <c r="DS80" s="608"/>
      <c r="DT80" s="608"/>
      <c r="DU80" s="609" t="s">
        <v>1235</v>
      </c>
      <c r="DV80" s="610"/>
      <c r="DW80" s="610"/>
      <c r="DX80" s="611">
        <v>0</v>
      </c>
      <c r="DY80" s="611">
        <v>0</v>
      </c>
      <c r="DZ80" s="610"/>
      <c r="EA80" s="610"/>
      <c r="EB80" s="611">
        <v>0</v>
      </c>
      <c r="EC80" s="611">
        <v>7</v>
      </c>
      <c r="ED80" s="611">
        <v>0</v>
      </c>
      <c r="EE80" s="613">
        <v>1</v>
      </c>
      <c r="EF80" s="613">
        <v>0</v>
      </c>
      <c r="EG80" s="613">
        <v>8</v>
      </c>
      <c r="EH80" s="614"/>
      <c r="EJ80" s="615"/>
      <c r="EK80" s="615"/>
      <c r="EL80" s="615" t="s">
        <v>126</v>
      </c>
      <c r="EM80" s="616" t="s">
        <v>1231</v>
      </c>
      <c r="EN80" s="617"/>
      <c r="EO80" s="618">
        <v>0</v>
      </c>
      <c r="EP80" s="618">
        <v>0</v>
      </c>
      <c r="EQ80" s="618">
        <v>1</v>
      </c>
      <c r="ER80" s="618">
        <v>0</v>
      </c>
      <c r="ES80" s="618">
        <v>1</v>
      </c>
      <c r="ET80" s="618">
        <v>15</v>
      </c>
      <c r="EU80" s="618">
        <v>0</v>
      </c>
      <c r="EV80" s="617"/>
      <c r="EW80" s="617"/>
      <c r="EX80" s="618">
        <v>17</v>
      </c>
      <c r="EY80" s="515"/>
      <c r="FA80" s="70"/>
      <c r="FB80" s="70"/>
      <c r="FC80" s="42"/>
      <c r="FD80" s="42" t="s">
        <v>1239</v>
      </c>
      <c r="FE80" s="70"/>
      <c r="FF80" s="70"/>
      <c r="FG80" s="70"/>
      <c r="FH80" s="70"/>
      <c r="FI80" s="70"/>
      <c r="FJ80" s="70">
        <v>0</v>
      </c>
      <c r="FK80" s="70">
        <v>0</v>
      </c>
      <c r="FL80" s="70">
        <v>8</v>
      </c>
      <c r="FM80" s="70"/>
      <c r="FN80" s="70"/>
      <c r="FO80" s="70">
        <v>8</v>
      </c>
      <c r="FP80" s="42"/>
      <c r="FQ80" s="42"/>
      <c r="FR80" s="516"/>
      <c r="FS80" s="516"/>
      <c r="FT80" s="516"/>
      <c r="FU80" s="516" t="s">
        <v>1235</v>
      </c>
      <c r="FV80" s="516">
        <v>0</v>
      </c>
      <c r="FW80" s="516">
        <v>0</v>
      </c>
      <c r="FX80" s="516">
        <v>0</v>
      </c>
      <c r="FY80" s="516">
        <v>0</v>
      </c>
      <c r="FZ80" s="516">
        <v>0</v>
      </c>
      <c r="GA80" s="516">
        <v>0</v>
      </c>
      <c r="GB80" s="516">
        <v>0</v>
      </c>
      <c r="GC80" s="516">
        <v>1</v>
      </c>
      <c r="GD80" s="516">
        <v>0</v>
      </c>
      <c r="GE80" s="516">
        <v>0</v>
      </c>
      <c r="GF80" s="516">
        <v>0</v>
      </c>
      <c r="GG80" s="517">
        <v>1</v>
      </c>
      <c r="GH80" s="619"/>
      <c r="GI80" s="518"/>
    </row>
    <row r="81" spans="2:191">
      <c r="C81" s="32"/>
      <c r="D81" s="32" t="s">
        <v>1236</v>
      </c>
      <c r="E81" s="4607">
        <v>0</v>
      </c>
      <c r="F81" s="4607">
        <v>0</v>
      </c>
      <c r="G81" s="4607">
        <v>0</v>
      </c>
      <c r="H81" s="4607">
        <v>1</v>
      </c>
      <c r="I81" s="4607"/>
      <c r="J81" s="4607">
        <v>0</v>
      </c>
      <c r="K81" s="4607">
        <v>0</v>
      </c>
      <c r="L81" s="4607">
        <v>0</v>
      </c>
      <c r="M81" s="4607">
        <v>0</v>
      </c>
      <c r="N81" s="4583">
        <v>0</v>
      </c>
      <c r="O81" s="4583">
        <v>0</v>
      </c>
      <c r="P81" s="4583">
        <v>1</v>
      </c>
      <c r="Q81" s="2552"/>
      <c r="R81" s="2552"/>
      <c r="V81" s="37" t="s">
        <v>1231</v>
      </c>
      <c r="W81" s="4803"/>
      <c r="X81" s="4803"/>
      <c r="Y81" s="4803"/>
      <c r="Z81" s="4803">
        <v>0</v>
      </c>
      <c r="AA81" s="4803">
        <v>1</v>
      </c>
      <c r="AB81" s="4803">
        <v>1</v>
      </c>
      <c r="AC81" s="4803">
        <v>0</v>
      </c>
      <c r="AD81" s="4803"/>
      <c r="AE81" s="1788"/>
      <c r="AF81" s="1788">
        <v>2</v>
      </c>
      <c r="AI81" s="41"/>
      <c r="AJ81" s="41"/>
      <c r="AK81" s="41"/>
      <c r="AL81" s="461" t="s">
        <v>15</v>
      </c>
      <c r="AM81" s="2002"/>
      <c r="AN81" s="2002"/>
      <c r="AO81" s="2002"/>
      <c r="AP81" s="2002"/>
      <c r="AQ81" s="2002">
        <v>1</v>
      </c>
      <c r="AR81" s="2002">
        <v>1</v>
      </c>
      <c r="AS81" s="2002">
        <v>2</v>
      </c>
      <c r="AT81" s="2002">
        <v>1</v>
      </c>
      <c r="AU81" s="2480"/>
      <c r="AV81" s="2480"/>
      <c r="AW81" s="2480">
        <v>5</v>
      </c>
      <c r="AX81" s="635">
        <f>+(AW80+AW78)/AW81</f>
        <v>0.4</v>
      </c>
      <c r="AY81" s="1977"/>
      <c r="AZ81" s="42"/>
      <c r="BA81" s="42"/>
      <c r="BB81" s="42"/>
      <c r="BC81" s="42" t="s">
        <v>1231</v>
      </c>
      <c r="BD81" s="1993"/>
      <c r="BE81" s="1993"/>
      <c r="BF81" s="1993"/>
      <c r="BG81" s="1993"/>
      <c r="BH81" s="1993">
        <v>0</v>
      </c>
      <c r="BI81" s="1993"/>
      <c r="BJ81" s="1993">
        <v>3</v>
      </c>
      <c r="BK81" s="1993">
        <v>3</v>
      </c>
      <c r="BL81" s="1993">
        <v>0</v>
      </c>
      <c r="BM81" s="70">
        <v>0</v>
      </c>
      <c r="BN81" s="70"/>
      <c r="BO81" s="70">
        <v>6</v>
      </c>
      <c r="BR81" s="105"/>
      <c r="BS81" s="105"/>
      <c r="BT81" s="41"/>
      <c r="BU81" s="41" t="s">
        <v>1231</v>
      </c>
      <c r="BV81" s="1659">
        <v>0</v>
      </c>
      <c r="BW81" s="1659">
        <v>2</v>
      </c>
      <c r="BX81" s="1659">
        <v>1</v>
      </c>
      <c r="BY81" s="1659">
        <v>1</v>
      </c>
      <c r="BZ81" s="1659">
        <v>1</v>
      </c>
      <c r="CA81" s="1659">
        <v>2</v>
      </c>
      <c r="CB81" s="1659">
        <v>24</v>
      </c>
      <c r="CC81" s="1659">
        <v>19</v>
      </c>
      <c r="CD81" s="1659">
        <v>2</v>
      </c>
      <c r="CE81" s="105">
        <v>2</v>
      </c>
      <c r="CF81" s="105">
        <v>0</v>
      </c>
      <c r="CG81" s="105">
        <v>54</v>
      </c>
      <c r="CH81" s="105"/>
      <c r="CJ81" s="1359"/>
      <c r="CK81" s="1359"/>
      <c r="CL81" s="1360"/>
      <c r="CM81" s="1361" t="s">
        <v>1344</v>
      </c>
      <c r="CN81" s="1362"/>
      <c r="CO81" s="1362"/>
      <c r="CP81" s="1363">
        <v>1</v>
      </c>
      <c r="CQ81" s="1363">
        <v>0</v>
      </c>
      <c r="CR81" s="1362"/>
      <c r="CS81" s="1362"/>
      <c r="CT81" s="1362"/>
      <c r="CU81" s="1362"/>
      <c r="CV81" s="686"/>
      <c r="CW81" s="686"/>
      <c r="CX81" s="687">
        <v>1</v>
      </c>
      <c r="CY81" s="41"/>
      <c r="DA81" s="602"/>
      <c r="DB81" s="602"/>
      <c r="DC81" s="603"/>
      <c r="DD81" s="630" t="s">
        <v>15</v>
      </c>
      <c r="DE81" s="632">
        <v>2</v>
      </c>
      <c r="DF81" s="631"/>
      <c r="DG81" s="631"/>
      <c r="DH81" s="631"/>
      <c r="DI81" s="631"/>
      <c r="DJ81" s="631"/>
      <c r="DK81" s="632">
        <v>4</v>
      </c>
      <c r="DL81" s="632">
        <v>5</v>
      </c>
      <c r="DM81" s="634">
        <v>3</v>
      </c>
      <c r="DN81" s="634">
        <v>1</v>
      </c>
      <c r="DO81" s="634">
        <v>15</v>
      </c>
      <c r="DP81" s="635">
        <f>+(DO78+DO80-DM78)/DO81</f>
        <v>0.2</v>
      </c>
      <c r="DR81" s="608"/>
      <c r="DS81" s="608"/>
      <c r="DT81" s="608"/>
      <c r="DU81" s="609" t="s">
        <v>1236</v>
      </c>
      <c r="DV81" s="610"/>
      <c r="DW81" s="610"/>
      <c r="DX81" s="611">
        <v>0</v>
      </c>
      <c r="DY81" s="611">
        <v>1</v>
      </c>
      <c r="DZ81" s="610"/>
      <c r="EA81" s="610"/>
      <c r="EB81" s="611">
        <v>0</v>
      </c>
      <c r="EC81" s="611">
        <v>0</v>
      </c>
      <c r="ED81" s="611">
        <v>0</v>
      </c>
      <c r="EE81" s="613">
        <v>0</v>
      </c>
      <c r="EF81" s="613">
        <v>0</v>
      </c>
      <c r="EG81" s="613">
        <v>1</v>
      </c>
      <c r="EH81" s="614"/>
      <c r="EJ81" s="615"/>
      <c r="EK81" s="615"/>
      <c r="EL81" s="615"/>
      <c r="EM81" s="616" t="s">
        <v>1233</v>
      </c>
      <c r="EN81" s="617"/>
      <c r="EO81" s="618">
        <v>1</v>
      </c>
      <c r="EP81" s="618">
        <v>0</v>
      </c>
      <c r="EQ81" s="618">
        <v>0</v>
      </c>
      <c r="ER81" s="618">
        <v>0</v>
      </c>
      <c r="ES81" s="618">
        <v>0</v>
      </c>
      <c r="ET81" s="618">
        <v>0</v>
      </c>
      <c r="EU81" s="618">
        <v>0</v>
      </c>
      <c r="EV81" s="617"/>
      <c r="EW81" s="617"/>
      <c r="EX81" s="618">
        <v>1</v>
      </c>
      <c r="EY81" s="515"/>
      <c r="FA81" s="70"/>
      <c r="FB81" s="70"/>
      <c r="FC81" s="42"/>
      <c r="FD81" s="484" t="s">
        <v>15</v>
      </c>
      <c r="FE81" s="454"/>
      <c r="FF81" s="454"/>
      <c r="FG81" s="454"/>
      <c r="FH81" s="454"/>
      <c r="FI81" s="454"/>
      <c r="FJ81" s="454">
        <v>1</v>
      </c>
      <c r="FK81" s="454">
        <v>3</v>
      </c>
      <c r="FL81" s="454">
        <v>10</v>
      </c>
      <c r="FM81" s="454"/>
      <c r="FN81" s="454"/>
      <c r="FO81" s="454">
        <v>14</v>
      </c>
      <c r="FP81" s="536">
        <f>+FO79/FO81</f>
        <v>0.21428571428571427</v>
      </c>
      <c r="FQ81" s="42"/>
      <c r="FR81" s="516"/>
      <c r="FS81" s="516"/>
      <c r="FT81" s="516"/>
      <c r="FU81" s="516" t="s">
        <v>1239</v>
      </c>
      <c r="FV81" s="516">
        <v>0</v>
      </c>
      <c r="FW81" s="516">
        <v>0</v>
      </c>
      <c r="FX81" s="516">
        <v>0</v>
      </c>
      <c r="FY81" s="516">
        <v>0</v>
      </c>
      <c r="FZ81" s="516">
        <v>0</v>
      </c>
      <c r="GA81" s="516">
        <v>0</v>
      </c>
      <c r="GB81" s="516">
        <v>0</v>
      </c>
      <c r="GC81" s="516">
        <v>4</v>
      </c>
      <c r="GD81" s="516">
        <v>5</v>
      </c>
      <c r="GE81" s="516">
        <v>0</v>
      </c>
      <c r="GF81" s="516">
        <v>0</v>
      </c>
      <c r="GG81" s="517">
        <v>9</v>
      </c>
      <c r="GH81" s="619"/>
      <c r="GI81" s="518"/>
    </row>
    <row r="82" spans="2:191">
      <c r="C82" s="32"/>
      <c r="D82" s="32" t="s">
        <v>1239</v>
      </c>
      <c r="E82" s="4607">
        <v>0</v>
      </c>
      <c r="F82" s="4607">
        <v>0</v>
      </c>
      <c r="G82" s="4607">
        <v>0</v>
      </c>
      <c r="H82" s="4607">
        <v>0</v>
      </c>
      <c r="I82" s="4607"/>
      <c r="J82" s="4607">
        <v>0</v>
      </c>
      <c r="K82" s="4607">
        <v>0</v>
      </c>
      <c r="L82" s="4607">
        <v>20</v>
      </c>
      <c r="M82" s="4607">
        <v>0</v>
      </c>
      <c r="N82" s="4583">
        <v>8</v>
      </c>
      <c r="O82" s="4583">
        <v>2</v>
      </c>
      <c r="P82" s="4583">
        <v>30</v>
      </c>
      <c r="Q82" s="2552"/>
      <c r="R82" s="2552"/>
      <c r="V82" s="37" t="s">
        <v>1239</v>
      </c>
      <c r="W82" s="4803"/>
      <c r="X82" s="4803"/>
      <c r="Y82" s="4803"/>
      <c r="Z82" s="4803">
        <v>0</v>
      </c>
      <c r="AA82" s="4803">
        <v>0</v>
      </c>
      <c r="AB82" s="4803">
        <v>0</v>
      </c>
      <c r="AC82" s="4803">
        <v>2</v>
      </c>
      <c r="AD82" s="4803"/>
      <c r="AE82" s="1788"/>
      <c r="AF82" s="1788">
        <v>2</v>
      </c>
      <c r="AI82" s="41"/>
      <c r="AJ82" s="41"/>
      <c r="AK82" s="41" t="s">
        <v>2538</v>
      </c>
      <c r="AL82" s="41" t="s">
        <v>1239</v>
      </c>
      <c r="AM82" s="2001"/>
      <c r="AN82" s="2001"/>
      <c r="AO82" s="2001"/>
      <c r="AP82" s="2001"/>
      <c r="AQ82" s="2001"/>
      <c r="AR82" s="2001"/>
      <c r="AS82" s="2001"/>
      <c r="AT82" s="2001">
        <v>2</v>
      </c>
      <c r="AU82" s="105"/>
      <c r="AV82" s="105"/>
      <c r="AW82" s="105">
        <v>2</v>
      </c>
      <c r="AX82" s="41"/>
      <c r="AZ82" s="42"/>
      <c r="BA82" s="42"/>
      <c r="BB82" s="42"/>
      <c r="BC82" s="42" t="s">
        <v>1239</v>
      </c>
      <c r="BD82" s="1993"/>
      <c r="BE82" s="1993"/>
      <c r="BF82" s="1993"/>
      <c r="BG82" s="1993"/>
      <c r="BH82" s="1993">
        <v>0</v>
      </c>
      <c r="BI82" s="1993"/>
      <c r="BJ82" s="1993">
        <v>0</v>
      </c>
      <c r="BK82" s="1993">
        <v>0</v>
      </c>
      <c r="BL82" s="1993">
        <v>8</v>
      </c>
      <c r="BM82" s="70">
        <v>0</v>
      </c>
      <c r="BN82" s="70"/>
      <c r="BO82" s="70">
        <v>8</v>
      </c>
      <c r="BR82" s="105"/>
      <c r="BS82" s="105"/>
      <c r="BT82" s="41"/>
      <c r="BU82" s="41" t="s">
        <v>1233</v>
      </c>
      <c r="BV82" s="1659">
        <v>0</v>
      </c>
      <c r="BW82" s="1659">
        <v>2</v>
      </c>
      <c r="BX82" s="1659">
        <v>0</v>
      </c>
      <c r="BY82" s="1659">
        <v>0</v>
      </c>
      <c r="BZ82" s="1659">
        <v>0</v>
      </c>
      <c r="CA82" s="1659">
        <v>0</v>
      </c>
      <c r="CB82" s="1659">
        <v>0</v>
      </c>
      <c r="CC82" s="1659">
        <v>0</v>
      </c>
      <c r="CD82" s="1659">
        <v>0</v>
      </c>
      <c r="CE82" s="105">
        <v>0</v>
      </c>
      <c r="CF82" s="105">
        <v>0</v>
      </c>
      <c r="CG82" s="105">
        <v>2</v>
      </c>
      <c r="CH82" s="105"/>
      <c r="CJ82" s="1359"/>
      <c r="CK82" s="1359"/>
      <c r="CL82" s="1360"/>
      <c r="CM82" s="483" t="s">
        <v>15</v>
      </c>
      <c r="CN82" s="1364"/>
      <c r="CO82" s="1364"/>
      <c r="CP82" s="1365">
        <v>1</v>
      </c>
      <c r="CQ82" s="1365">
        <v>1</v>
      </c>
      <c r="CR82" s="1364"/>
      <c r="CS82" s="1364"/>
      <c r="CT82" s="1364"/>
      <c r="CU82" s="1364"/>
      <c r="CV82" s="695"/>
      <c r="CW82" s="695"/>
      <c r="CX82" s="696">
        <v>2</v>
      </c>
      <c r="CY82" s="1325">
        <f>+CX81/CX82</f>
        <v>0.5</v>
      </c>
      <c r="DA82" s="602"/>
      <c r="DB82" s="602"/>
      <c r="DC82" s="603" t="s">
        <v>121</v>
      </c>
      <c r="DD82" s="604" t="s">
        <v>1230</v>
      </c>
      <c r="DE82" s="605"/>
      <c r="DF82" s="605"/>
      <c r="DG82" s="605"/>
      <c r="DH82" s="605"/>
      <c r="DI82" s="606">
        <v>0</v>
      </c>
      <c r="DJ82" s="605"/>
      <c r="DK82" s="606">
        <v>0</v>
      </c>
      <c r="DL82" s="606">
        <v>5</v>
      </c>
      <c r="DM82" s="602"/>
      <c r="DN82" s="607">
        <v>2</v>
      </c>
      <c r="DO82" s="607">
        <v>7</v>
      </c>
      <c r="DP82" s="105"/>
      <c r="DR82" s="608"/>
      <c r="DS82" s="608"/>
      <c r="DT82" s="608"/>
      <c r="DU82" s="609" t="s">
        <v>1239</v>
      </c>
      <c r="DV82" s="610"/>
      <c r="DW82" s="610"/>
      <c r="DX82" s="611">
        <v>0</v>
      </c>
      <c r="DY82" s="611">
        <v>0</v>
      </c>
      <c r="DZ82" s="610"/>
      <c r="EA82" s="610"/>
      <c r="EB82" s="611">
        <v>0</v>
      </c>
      <c r="EC82" s="611">
        <v>0</v>
      </c>
      <c r="ED82" s="611">
        <v>13</v>
      </c>
      <c r="EE82" s="613">
        <v>4</v>
      </c>
      <c r="EF82" s="613">
        <v>1</v>
      </c>
      <c r="EG82" s="613">
        <v>18</v>
      </c>
      <c r="EH82" s="614"/>
      <c r="EJ82" s="615"/>
      <c r="EK82" s="615"/>
      <c r="EL82" s="615"/>
      <c r="EM82" s="616" t="s">
        <v>1235</v>
      </c>
      <c r="EN82" s="617"/>
      <c r="EO82" s="618">
        <v>0</v>
      </c>
      <c r="EP82" s="618">
        <v>0</v>
      </c>
      <c r="EQ82" s="618">
        <v>0</v>
      </c>
      <c r="ER82" s="618">
        <v>0</v>
      </c>
      <c r="ES82" s="618">
        <v>1</v>
      </c>
      <c r="ET82" s="618">
        <v>5</v>
      </c>
      <c r="EU82" s="618">
        <v>1</v>
      </c>
      <c r="EV82" s="617"/>
      <c r="EW82" s="617"/>
      <c r="EX82" s="618">
        <v>7</v>
      </c>
      <c r="EY82" s="515"/>
      <c r="FA82" s="70"/>
      <c r="FB82" s="70"/>
      <c r="FC82" s="42" t="s">
        <v>126</v>
      </c>
      <c r="FD82" s="42" t="s">
        <v>1231</v>
      </c>
      <c r="FE82" s="70"/>
      <c r="FF82" s="70"/>
      <c r="FG82" s="70"/>
      <c r="FH82" s="70"/>
      <c r="FI82" s="70"/>
      <c r="FJ82" s="70">
        <v>1</v>
      </c>
      <c r="FK82" s="70">
        <v>2</v>
      </c>
      <c r="FL82" s="70">
        <v>0</v>
      </c>
      <c r="FM82" s="70"/>
      <c r="FN82" s="70"/>
      <c r="FO82" s="70">
        <v>3</v>
      </c>
      <c r="FP82" s="42"/>
      <c r="FQ82" s="42"/>
      <c r="FR82" s="516"/>
      <c r="FS82" s="516"/>
      <c r="FT82" s="516"/>
      <c r="FU82" s="516" t="s">
        <v>1344</v>
      </c>
      <c r="FV82" s="516">
        <v>0</v>
      </c>
      <c r="FW82" s="516">
        <v>0</v>
      </c>
      <c r="FX82" s="516">
        <v>0</v>
      </c>
      <c r="FY82" s="516">
        <v>0</v>
      </c>
      <c r="FZ82" s="516">
        <v>0</v>
      </c>
      <c r="GA82" s="516">
        <v>0</v>
      </c>
      <c r="GB82" s="516">
        <v>8</v>
      </c>
      <c r="GC82" s="516">
        <v>0</v>
      </c>
      <c r="GD82" s="516">
        <v>0</v>
      </c>
      <c r="GE82" s="516">
        <v>0</v>
      </c>
      <c r="GF82" s="516">
        <v>0</v>
      </c>
      <c r="GG82" s="517">
        <v>8</v>
      </c>
      <c r="GH82" s="619"/>
      <c r="GI82" s="518"/>
    </row>
    <row r="83" spans="2:191">
      <c r="C83" s="32"/>
      <c r="D83" s="32" t="s">
        <v>1240</v>
      </c>
      <c r="E83" s="4607">
        <v>0</v>
      </c>
      <c r="F83" s="4607">
        <v>0</v>
      </c>
      <c r="G83" s="4607">
        <v>0</v>
      </c>
      <c r="H83" s="4607">
        <v>0</v>
      </c>
      <c r="I83" s="4607"/>
      <c r="J83" s="4607">
        <v>0</v>
      </c>
      <c r="K83" s="4607">
        <v>1</v>
      </c>
      <c r="L83" s="4607">
        <v>0</v>
      </c>
      <c r="M83" s="4607">
        <v>0</v>
      </c>
      <c r="N83" s="4583">
        <v>0</v>
      </c>
      <c r="O83" s="4583">
        <v>0</v>
      </c>
      <c r="P83" s="4583">
        <v>1</v>
      </c>
      <c r="Q83" s="2552"/>
      <c r="R83" s="2552"/>
      <c r="V83" s="1793" t="s">
        <v>15</v>
      </c>
      <c r="W83" s="4804"/>
      <c r="X83" s="4804"/>
      <c r="Y83" s="4804"/>
      <c r="Z83" s="4804">
        <v>1</v>
      </c>
      <c r="AA83" s="4804">
        <v>1</v>
      </c>
      <c r="AB83" s="4804">
        <v>1</v>
      </c>
      <c r="AC83" s="4804">
        <v>2</v>
      </c>
      <c r="AD83" s="4804"/>
      <c r="AE83" s="4702"/>
      <c r="AF83" s="4702">
        <v>5</v>
      </c>
      <c r="AG83" s="4703">
        <v>0</v>
      </c>
      <c r="AI83" s="41"/>
      <c r="AJ83" s="41"/>
      <c r="AK83" s="41"/>
      <c r="AL83" s="461" t="s">
        <v>15</v>
      </c>
      <c r="AM83" s="2002"/>
      <c r="AN83" s="2002"/>
      <c r="AO83" s="2002"/>
      <c r="AP83" s="2002"/>
      <c r="AQ83" s="2002"/>
      <c r="AR83" s="2002"/>
      <c r="AS83" s="2002"/>
      <c r="AT83" s="2002">
        <v>2</v>
      </c>
      <c r="AU83" s="2480"/>
      <c r="AV83" s="2480"/>
      <c r="AW83" s="2480">
        <v>2</v>
      </c>
      <c r="AX83" s="635">
        <v>0</v>
      </c>
      <c r="AY83" s="1977"/>
      <c r="AZ83" s="42"/>
      <c r="BA83" s="42"/>
      <c r="BB83" s="42"/>
      <c r="BC83" s="42" t="s">
        <v>1240</v>
      </c>
      <c r="BD83" s="1993"/>
      <c r="BE83" s="1993"/>
      <c r="BF83" s="1993"/>
      <c r="BG83" s="1993"/>
      <c r="BH83" s="1993">
        <v>1</v>
      </c>
      <c r="BI83" s="1993"/>
      <c r="BJ83" s="1993">
        <v>0</v>
      </c>
      <c r="BK83" s="1993">
        <v>0</v>
      </c>
      <c r="BL83" s="1993">
        <v>0</v>
      </c>
      <c r="BM83" s="70">
        <v>1</v>
      </c>
      <c r="BN83" s="70"/>
      <c r="BO83" s="70">
        <v>2</v>
      </c>
      <c r="BR83" s="105"/>
      <c r="BS83" s="105"/>
      <c r="BT83" s="41"/>
      <c r="BU83" s="41" t="s">
        <v>1235</v>
      </c>
      <c r="BV83" s="1659">
        <v>0</v>
      </c>
      <c r="BW83" s="1659">
        <v>0</v>
      </c>
      <c r="BX83" s="1659">
        <v>0</v>
      </c>
      <c r="BY83" s="1659">
        <v>0</v>
      </c>
      <c r="BZ83" s="1659">
        <v>0</v>
      </c>
      <c r="CA83" s="1659">
        <v>0</v>
      </c>
      <c r="CB83" s="1659">
        <v>3</v>
      </c>
      <c r="CC83" s="1659">
        <v>0</v>
      </c>
      <c r="CD83" s="1659">
        <v>1</v>
      </c>
      <c r="CE83" s="105">
        <v>1</v>
      </c>
      <c r="CF83" s="105">
        <v>0</v>
      </c>
      <c r="CG83" s="105">
        <v>5</v>
      </c>
      <c r="CH83" s="105"/>
      <c r="CJ83" s="1359"/>
      <c r="CK83" s="1359"/>
      <c r="CL83" s="1360" t="s">
        <v>844</v>
      </c>
      <c r="CM83" s="1361" t="s">
        <v>1231</v>
      </c>
      <c r="CN83" s="1362"/>
      <c r="CO83" s="1362"/>
      <c r="CP83" s="1363">
        <v>0</v>
      </c>
      <c r="CQ83" s="1363">
        <v>0</v>
      </c>
      <c r="CR83" s="1363">
        <v>1</v>
      </c>
      <c r="CS83" s="1363">
        <v>1</v>
      </c>
      <c r="CT83" s="1363">
        <v>1</v>
      </c>
      <c r="CU83" s="1363">
        <v>0</v>
      </c>
      <c r="CV83" s="686"/>
      <c r="CW83" s="686"/>
      <c r="CX83" s="687">
        <v>3</v>
      </c>
      <c r="CY83" s="41"/>
      <c r="DA83" s="602"/>
      <c r="DB83" s="602"/>
      <c r="DC83" s="603"/>
      <c r="DD83" s="604" t="s">
        <v>1231</v>
      </c>
      <c r="DE83" s="605"/>
      <c r="DF83" s="605"/>
      <c r="DG83" s="605"/>
      <c r="DH83" s="605"/>
      <c r="DI83" s="606">
        <v>0</v>
      </c>
      <c r="DJ83" s="605"/>
      <c r="DK83" s="606">
        <v>2</v>
      </c>
      <c r="DL83" s="606">
        <v>0</v>
      </c>
      <c r="DM83" s="602"/>
      <c r="DN83" s="607">
        <v>0</v>
      </c>
      <c r="DO83" s="607">
        <v>2</v>
      </c>
      <c r="DP83" s="105"/>
      <c r="DR83" s="608"/>
      <c r="DS83" s="608"/>
      <c r="DT83" s="608"/>
      <c r="DU83" s="620" t="s">
        <v>15</v>
      </c>
      <c r="DV83" s="621"/>
      <c r="DW83" s="621"/>
      <c r="DX83" s="622">
        <v>3</v>
      </c>
      <c r="DY83" s="622">
        <v>2</v>
      </c>
      <c r="DZ83" s="621"/>
      <c r="EA83" s="621"/>
      <c r="EB83" s="622">
        <v>1</v>
      </c>
      <c r="EC83" s="622">
        <v>8</v>
      </c>
      <c r="ED83" s="622">
        <v>17</v>
      </c>
      <c r="EE83" s="624">
        <v>5</v>
      </c>
      <c r="EF83" s="624">
        <v>3</v>
      </c>
      <c r="EG83" s="624">
        <v>39</v>
      </c>
      <c r="EH83" s="614">
        <f>+(EG80-EE80)/EG83</f>
        <v>0.17948717948717949</v>
      </c>
      <c r="EJ83" s="615"/>
      <c r="EK83" s="615"/>
      <c r="EL83" s="615"/>
      <c r="EM83" s="616" t="s">
        <v>1236</v>
      </c>
      <c r="EN83" s="617"/>
      <c r="EO83" s="618">
        <v>0</v>
      </c>
      <c r="EP83" s="618">
        <v>1</v>
      </c>
      <c r="EQ83" s="618">
        <v>0</v>
      </c>
      <c r="ER83" s="618">
        <v>1</v>
      </c>
      <c r="ES83" s="618">
        <v>1</v>
      </c>
      <c r="ET83" s="618">
        <v>0</v>
      </c>
      <c r="EU83" s="618">
        <v>0</v>
      </c>
      <c r="EV83" s="617"/>
      <c r="EW83" s="617"/>
      <c r="EX83" s="618">
        <v>3</v>
      </c>
      <c r="EY83" s="515"/>
      <c r="FA83" s="70"/>
      <c r="FB83" s="70"/>
      <c r="FC83" s="42"/>
      <c r="FD83" s="42" t="s">
        <v>1235</v>
      </c>
      <c r="FE83" s="70"/>
      <c r="FF83" s="70"/>
      <c r="FG83" s="70"/>
      <c r="FH83" s="70"/>
      <c r="FI83" s="70"/>
      <c r="FJ83" s="70">
        <v>0</v>
      </c>
      <c r="FK83" s="70">
        <v>1</v>
      </c>
      <c r="FL83" s="70">
        <v>0</v>
      </c>
      <c r="FM83" s="70"/>
      <c r="FN83" s="70"/>
      <c r="FO83" s="70">
        <v>1</v>
      </c>
      <c r="FP83" s="42"/>
      <c r="FQ83" s="42"/>
      <c r="FR83" s="516"/>
      <c r="FS83" s="516"/>
      <c r="FT83" s="516"/>
      <c r="FU83" s="519" t="s">
        <v>15</v>
      </c>
      <c r="FV83" s="519">
        <v>0</v>
      </c>
      <c r="FW83" s="519">
        <v>1</v>
      </c>
      <c r="FX83" s="519">
        <v>0</v>
      </c>
      <c r="FY83" s="519">
        <v>0</v>
      </c>
      <c r="FZ83" s="519">
        <v>0</v>
      </c>
      <c r="GA83" s="519">
        <v>0</v>
      </c>
      <c r="GB83" s="519">
        <v>9</v>
      </c>
      <c r="GC83" s="519">
        <v>6</v>
      </c>
      <c r="GD83" s="519">
        <v>5</v>
      </c>
      <c r="GE83" s="519">
        <v>0</v>
      </c>
      <c r="GF83" s="519">
        <v>0</v>
      </c>
      <c r="GG83" s="579">
        <v>21</v>
      </c>
      <c r="GH83" s="629">
        <f>+(GG82+GG80)/GG83</f>
        <v>0.42857142857142855</v>
      </c>
      <c r="GI83" s="518">
        <f>+GG80+GG82</f>
        <v>9</v>
      </c>
    </row>
    <row r="84" spans="2:191">
      <c r="C84" s="32"/>
      <c r="D84" s="32" t="s">
        <v>2963</v>
      </c>
      <c r="E84" s="4607">
        <v>9</v>
      </c>
      <c r="F84" s="4607">
        <v>0</v>
      </c>
      <c r="G84" s="4607">
        <v>0</v>
      </c>
      <c r="H84" s="4607">
        <v>0</v>
      </c>
      <c r="I84" s="4607"/>
      <c r="J84" s="4607">
        <v>0</v>
      </c>
      <c r="K84" s="4607">
        <v>0</v>
      </c>
      <c r="L84" s="4607">
        <v>0</v>
      </c>
      <c r="M84" s="4607">
        <v>0</v>
      </c>
      <c r="N84" s="4583">
        <v>0</v>
      </c>
      <c r="O84" s="4583">
        <v>0</v>
      </c>
      <c r="P84" s="4583">
        <v>9</v>
      </c>
      <c r="Q84" s="2552"/>
      <c r="R84" s="2552"/>
      <c r="U84" s="37" t="s">
        <v>1637</v>
      </c>
      <c r="V84" s="37" t="s">
        <v>1239</v>
      </c>
      <c r="W84" s="4803"/>
      <c r="X84" s="4803"/>
      <c r="Y84" s="4803"/>
      <c r="Z84" s="4803"/>
      <c r="AA84" s="4803"/>
      <c r="AB84" s="4803"/>
      <c r="AC84" s="4803">
        <v>8</v>
      </c>
      <c r="AD84" s="4803"/>
      <c r="AE84" s="1788"/>
      <c r="AF84" s="1788">
        <v>8</v>
      </c>
      <c r="AI84" s="41"/>
      <c r="AJ84" s="41"/>
      <c r="AK84" s="461" t="s">
        <v>546</v>
      </c>
      <c r="AL84" s="461" t="s">
        <v>1230</v>
      </c>
      <c r="AM84" s="2002"/>
      <c r="AN84" s="2002">
        <v>0</v>
      </c>
      <c r="AO84" s="2002"/>
      <c r="AP84" s="2002"/>
      <c r="AQ84" s="2002">
        <v>0</v>
      </c>
      <c r="AR84" s="2002">
        <v>0</v>
      </c>
      <c r="AS84" s="2002">
        <v>1</v>
      </c>
      <c r="AT84" s="2002">
        <v>0</v>
      </c>
      <c r="AU84" s="2480"/>
      <c r="AV84" s="2480"/>
      <c r="AW84" s="2480">
        <v>1</v>
      </c>
      <c r="AX84" s="41"/>
      <c r="AZ84" s="42"/>
      <c r="BA84" s="42"/>
      <c r="BB84" s="42"/>
      <c r="BC84" s="484" t="s">
        <v>15</v>
      </c>
      <c r="BD84" s="1994"/>
      <c r="BE84" s="1994"/>
      <c r="BF84" s="1994"/>
      <c r="BG84" s="1994"/>
      <c r="BH84" s="1994">
        <v>1</v>
      </c>
      <c r="BI84" s="1994"/>
      <c r="BJ84" s="1994">
        <v>3</v>
      </c>
      <c r="BK84" s="1994">
        <v>4</v>
      </c>
      <c r="BL84" s="1994">
        <v>8</v>
      </c>
      <c r="BM84" s="454">
        <v>1</v>
      </c>
      <c r="BN84" s="454"/>
      <c r="BO84" s="454">
        <v>17</v>
      </c>
      <c r="BP84" s="2485">
        <f>+(BO83-BM83)/BO84</f>
        <v>5.8823529411764705E-2</v>
      </c>
      <c r="BR84" s="105"/>
      <c r="BS84" s="105"/>
      <c r="BT84" s="41"/>
      <c r="BU84" s="41" t="s">
        <v>1236</v>
      </c>
      <c r="BV84" s="1659">
        <v>0</v>
      </c>
      <c r="BW84" s="1659">
        <v>0</v>
      </c>
      <c r="BX84" s="1659">
        <v>0</v>
      </c>
      <c r="BY84" s="1659">
        <v>0</v>
      </c>
      <c r="BZ84" s="1659">
        <v>1</v>
      </c>
      <c r="CA84" s="1659">
        <v>0</v>
      </c>
      <c r="CB84" s="1659">
        <v>0</v>
      </c>
      <c r="CC84" s="1659">
        <v>0</v>
      </c>
      <c r="CD84" s="1659">
        <v>0</v>
      </c>
      <c r="CE84" s="105">
        <v>0</v>
      </c>
      <c r="CF84" s="105">
        <v>0</v>
      </c>
      <c r="CG84" s="105">
        <v>1</v>
      </c>
      <c r="CH84" s="105"/>
      <c r="CJ84" s="1359"/>
      <c r="CK84" s="1359"/>
      <c r="CL84" s="1360"/>
      <c r="CM84" s="1361" t="s">
        <v>1235</v>
      </c>
      <c r="CN84" s="1362"/>
      <c r="CO84" s="1362"/>
      <c r="CP84" s="1363">
        <v>0</v>
      </c>
      <c r="CQ84" s="1363">
        <v>2</v>
      </c>
      <c r="CR84" s="1363">
        <v>0</v>
      </c>
      <c r="CS84" s="1363">
        <v>0</v>
      </c>
      <c r="CT84" s="1363">
        <v>0</v>
      </c>
      <c r="CU84" s="1363">
        <v>0</v>
      </c>
      <c r="CV84" s="686"/>
      <c r="CW84" s="686"/>
      <c r="CX84" s="687">
        <v>2</v>
      </c>
      <c r="CY84" s="41"/>
      <c r="DA84" s="602"/>
      <c r="DB84" s="602"/>
      <c r="DC84" s="603"/>
      <c r="DD84" s="604" t="s">
        <v>1235</v>
      </c>
      <c r="DE84" s="605"/>
      <c r="DF84" s="605"/>
      <c r="DG84" s="605"/>
      <c r="DH84" s="605"/>
      <c r="DI84" s="606">
        <v>0</v>
      </c>
      <c r="DJ84" s="605"/>
      <c r="DK84" s="606">
        <v>1</v>
      </c>
      <c r="DL84" s="606">
        <v>1</v>
      </c>
      <c r="DM84" s="602"/>
      <c r="DN84" s="607">
        <v>0</v>
      </c>
      <c r="DO84" s="607">
        <v>2</v>
      </c>
      <c r="DP84" s="105"/>
      <c r="DR84" s="608"/>
      <c r="DS84" s="608"/>
      <c r="DT84" s="608" t="s">
        <v>122</v>
      </c>
      <c r="DU84" s="609" t="s">
        <v>1230</v>
      </c>
      <c r="DV84" s="610"/>
      <c r="DW84" s="610"/>
      <c r="DX84" s="610"/>
      <c r="DY84" s="610"/>
      <c r="DZ84" s="610"/>
      <c r="EA84" s="610"/>
      <c r="EB84" s="611">
        <v>0</v>
      </c>
      <c r="EC84" s="610"/>
      <c r="ED84" s="611">
        <v>3</v>
      </c>
      <c r="EE84" s="612"/>
      <c r="EF84" s="613">
        <v>4</v>
      </c>
      <c r="EG84" s="613">
        <v>7</v>
      </c>
      <c r="EH84" s="614"/>
      <c r="EJ84" s="615"/>
      <c r="EK84" s="615"/>
      <c r="EL84" s="615"/>
      <c r="EM84" s="616" t="s">
        <v>1239</v>
      </c>
      <c r="EN84" s="617"/>
      <c r="EO84" s="618">
        <v>0</v>
      </c>
      <c r="EP84" s="618">
        <v>0</v>
      </c>
      <c r="EQ84" s="618">
        <v>0</v>
      </c>
      <c r="ER84" s="618">
        <v>0</v>
      </c>
      <c r="ES84" s="618">
        <v>0</v>
      </c>
      <c r="ET84" s="618">
        <v>1</v>
      </c>
      <c r="EU84" s="618">
        <v>33</v>
      </c>
      <c r="EV84" s="617"/>
      <c r="EW84" s="617"/>
      <c r="EX84" s="618">
        <v>34</v>
      </c>
      <c r="EY84" s="515"/>
      <c r="FA84" s="70"/>
      <c r="FB84" s="70"/>
      <c r="FC84" s="42"/>
      <c r="FD84" s="42" t="s">
        <v>1239</v>
      </c>
      <c r="FE84" s="70"/>
      <c r="FF84" s="70"/>
      <c r="FG84" s="70"/>
      <c r="FH84" s="70"/>
      <c r="FI84" s="70"/>
      <c r="FJ84" s="70">
        <v>0</v>
      </c>
      <c r="FK84" s="70">
        <v>0</v>
      </c>
      <c r="FL84" s="70">
        <v>2</v>
      </c>
      <c r="FM84" s="70"/>
      <c r="FN84" s="70"/>
      <c r="FO84" s="70">
        <v>2</v>
      </c>
      <c r="FP84" s="42"/>
      <c r="FQ84" s="42"/>
      <c r="FR84" s="516"/>
      <c r="FS84" s="516"/>
      <c r="FT84" s="516" t="s">
        <v>126</v>
      </c>
      <c r="FU84" s="516" t="s">
        <v>1230</v>
      </c>
      <c r="FV84" s="516">
        <v>0</v>
      </c>
      <c r="FW84" s="516">
        <v>0</v>
      </c>
      <c r="FX84" s="516">
        <v>0</v>
      </c>
      <c r="FY84" s="516">
        <v>0</v>
      </c>
      <c r="FZ84" s="516">
        <v>0</v>
      </c>
      <c r="GA84" s="516">
        <v>0</v>
      </c>
      <c r="GB84" s="516">
        <v>0</v>
      </c>
      <c r="GC84" s="516">
        <v>0</v>
      </c>
      <c r="GD84" s="516">
        <v>3</v>
      </c>
      <c r="GE84" s="516">
        <v>0</v>
      </c>
      <c r="GF84" s="516">
        <v>0</v>
      </c>
      <c r="GG84" s="517">
        <v>3</v>
      </c>
      <c r="GH84" s="619"/>
      <c r="GI84" s="518"/>
    </row>
    <row r="85" spans="2:191">
      <c r="C85" s="32"/>
      <c r="D85" s="32" t="s">
        <v>1344</v>
      </c>
      <c r="E85" s="4607">
        <v>0</v>
      </c>
      <c r="F85" s="4607">
        <v>0</v>
      </c>
      <c r="G85" s="4607">
        <v>0</v>
      </c>
      <c r="H85" s="4607">
        <v>0</v>
      </c>
      <c r="I85" s="4607"/>
      <c r="J85" s="4607">
        <v>0</v>
      </c>
      <c r="K85" s="4607">
        <v>5</v>
      </c>
      <c r="L85" s="4607">
        <v>1</v>
      </c>
      <c r="M85" s="4607">
        <v>0</v>
      </c>
      <c r="N85" s="4583">
        <v>0</v>
      </c>
      <c r="O85" s="4583">
        <v>0</v>
      </c>
      <c r="P85" s="4583">
        <v>6</v>
      </c>
      <c r="Q85" s="2552"/>
      <c r="R85" s="2552"/>
      <c r="V85" s="1793" t="s">
        <v>15</v>
      </c>
      <c r="W85" s="4804"/>
      <c r="X85" s="4804"/>
      <c r="Y85" s="4804"/>
      <c r="Z85" s="4804"/>
      <c r="AA85" s="4804"/>
      <c r="AB85" s="4804"/>
      <c r="AC85" s="4804">
        <v>8</v>
      </c>
      <c r="AD85" s="4804"/>
      <c r="AE85" s="4702"/>
      <c r="AF85" s="4702">
        <v>8</v>
      </c>
      <c r="AG85" s="4703">
        <v>0</v>
      </c>
      <c r="AI85" s="41"/>
      <c r="AJ85" s="41"/>
      <c r="AK85" s="461"/>
      <c r="AL85" s="461" t="s">
        <v>1231</v>
      </c>
      <c r="AM85" s="2002"/>
      <c r="AN85" s="2002">
        <v>1</v>
      </c>
      <c r="AO85" s="2002"/>
      <c r="AP85" s="2002"/>
      <c r="AQ85" s="2002">
        <v>0</v>
      </c>
      <c r="AR85" s="2002">
        <v>3</v>
      </c>
      <c r="AS85" s="2002">
        <v>0</v>
      </c>
      <c r="AT85" s="2002">
        <v>0</v>
      </c>
      <c r="AU85" s="2480"/>
      <c r="AV85" s="2480"/>
      <c r="AW85" s="2480">
        <v>4</v>
      </c>
      <c r="AX85" s="41"/>
      <c r="AZ85" s="42"/>
      <c r="BA85" s="42"/>
      <c r="BB85" s="42" t="s">
        <v>1641</v>
      </c>
      <c r="BC85" s="42" t="s">
        <v>1231</v>
      </c>
      <c r="BD85" s="1993">
        <v>0</v>
      </c>
      <c r="BE85" s="1993">
        <v>2</v>
      </c>
      <c r="BF85" s="1993">
        <v>0</v>
      </c>
      <c r="BG85" s="1993"/>
      <c r="BH85" s="1993">
        <v>1</v>
      </c>
      <c r="BI85" s="1993">
        <v>1</v>
      </c>
      <c r="BJ85" s="1993">
        <v>1</v>
      </c>
      <c r="BK85" s="1993"/>
      <c r="BL85" s="1993">
        <v>1</v>
      </c>
      <c r="BM85" s="70">
        <v>0</v>
      </c>
      <c r="BN85" s="70"/>
      <c r="BO85" s="70">
        <v>6</v>
      </c>
      <c r="BR85" s="105"/>
      <c r="BS85" s="105"/>
      <c r="BT85" s="41"/>
      <c r="BU85" s="41" t="s">
        <v>1239</v>
      </c>
      <c r="BV85" s="1659">
        <v>0</v>
      </c>
      <c r="BW85" s="1659">
        <v>0</v>
      </c>
      <c r="BX85" s="1659">
        <v>0</v>
      </c>
      <c r="BY85" s="1659">
        <v>0</v>
      </c>
      <c r="BZ85" s="1659">
        <v>0</v>
      </c>
      <c r="CA85" s="1659">
        <v>0</v>
      </c>
      <c r="CB85" s="1659">
        <v>0</v>
      </c>
      <c r="CC85" s="1659">
        <v>2</v>
      </c>
      <c r="CD85" s="1659">
        <v>17</v>
      </c>
      <c r="CE85" s="105">
        <v>2</v>
      </c>
      <c r="CF85" s="105">
        <v>2</v>
      </c>
      <c r="CG85" s="105">
        <v>23</v>
      </c>
      <c r="CH85" s="105"/>
      <c r="CJ85" s="1359"/>
      <c r="CK85" s="1359"/>
      <c r="CL85" s="1360"/>
      <c r="CM85" s="1361" t="s">
        <v>1236</v>
      </c>
      <c r="CN85" s="1362"/>
      <c r="CO85" s="1362"/>
      <c r="CP85" s="1363">
        <v>4</v>
      </c>
      <c r="CQ85" s="1363">
        <v>4</v>
      </c>
      <c r="CR85" s="1363">
        <v>6</v>
      </c>
      <c r="CS85" s="1363">
        <v>10</v>
      </c>
      <c r="CT85" s="1363">
        <v>0</v>
      </c>
      <c r="CU85" s="1363">
        <v>0</v>
      </c>
      <c r="CV85" s="686"/>
      <c r="CW85" s="686"/>
      <c r="CX85" s="687">
        <v>24</v>
      </c>
      <c r="CY85" s="41"/>
      <c r="DA85" s="602"/>
      <c r="DB85" s="602"/>
      <c r="DC85" s="603"/>
      <c r="DD85" s="604" t="s">
        <v>1236</v>
      </c>
      <c r="DE85" s="605"/>
      <c r="DF85" s="605"/>
      <c r="DG85" s="605"/>
      <c r="DH85" s="605"/>
      <c r="DI85" s="606">
        <v>1</v>
      </c>
      <c r="DJ85" s="605"/>
      <c r="DK85" s="606">
        <v>0</v>
      </c>
      <c r="DL85" s="606">
        <v>0</v>
      </c>
      <c r="DM85" s="602"/>
      <c r="DN85" s="607">
        <v>0</v>
      </c>
      <c r="DO85" s="607">
        <v>1</v>
      </c>
      <c r="DP85" s="105"/>
      <c r="DR85" s="608"/>
      <c r="DS85" s="608"/>
      <c r="DT85" s="608"/>
      <c r="DU85" s="609" t="s">
        <v>1235</v>
      </c>
      <c r="DV85" s="610"/>
      <c r="DW85" s="610"/>
      <c r="DX85" s="610"/>
      <c r="DY85" s="610"/>
      <c r="DZ85" s="610"/>
      <c r="EA85" s="610"/>
      <c r="EB85" s="611">
        <v>1</v>
      </c>
      <c r="EC85" s="610"/>
      <c r="ED85" s="611">
        <v>0</v>
      </c>
      <c r="EE85" s="612"/>
      <c r="EF85" s="613">
        <v>0</v>
      </c>
      <c r="EG85" s="613">
        <v>1</v>
      </c>
      <c r="EH85" s="614"/>
      <c r="EJ85" s="615"/>
      <c r="EK85" s="615"/>
      <c r="EL85" s="615"/>
      <c r="EM85" s="616" t="s">
        <v>1344</v>
      </c>
      <c r="EN85" s="617"/>
      <c r="EO85" s="618">
        <v>0</v>
      </c>
      <c r="EP85" s="618">
        <v>0</v>
      </c>
      <c r="EQ85" s="618">
        <v>0</v>
      </c>
      <c r="ER85" s="618">
        <v>0</v>
      </c>
      <c r="ES85" s="618">
        <v>4</v>
      </c>
      <c r="ET85" s="618">
        <v>0</v>
      </c>
      <c r="EU85" s="618">
        <v>0</v>
      </c>
      <c r="EV85" s="617"/>
      <c r="EW85" s="617"/>
      <c r="EX85" s="618">
        <v>4</v>
      </c>
      <c r="EY85" s="515"/>
      <c r="FA85" s="70"/>
      <c r="FB85" s="70"/>
      <c r="FC85" s="42"/>
      <c r="FD85" s="484" t="s">
        <v>15</v>
      </c>
      <c r="FE85" s="454"/>
      <c r="FF85" s="454"/>
      <c r="FG85" s="454"/>
      <c r="FH85" s="454"/>
      <c r="FI85" s="454"/>
      <c r="FJ85" s="454">
        <v>1</v>
      </c>
      <c r="FK85" s="454">
        <v>3</v>
      </c>
      <c r="FL85" s="454">
        <v>2</v>
      </c>
      <c r="FM85" s="454"/>
      <c r="FN85" s="454"/>
      <c r="FO85" s="454">
        <v>6</v>
      </c>
      <c r="FP85" s="536">
        <f>+FO83/FO85</f>
        <v>0.16666666666666666</v>
      </c>
      <c r="FQ85" s="42"/>
      <c r="FR85" s="516"/>
      <c r="FS85" s="516"/>
      <c r="FT85" s="516"/>
      <c r="FU85" s="516" t="s">
        <v>1231</v>
      </c>
      <c r="FV85" s="516">
        <v>0</v>
      </c>
      <c r="FW85" s="516">
        <v>0</v>
      </c>
      <c r="FX85" s="516">
        <v>0</v>
      </c>
      <c r="FY85" s="516">
        <v>1</v>
      </c>
      <c r="FZ85" s="516">
        <v>1</v>
      </c>
      <c r="GA85" s="516">
        <v>0</v>
      </c>
      <c r="GB85" s="516">
        <v>3</v>
      </c>
      <c r="GC85" s="516">
        <v>1</v>
      </c>
      <c r="GD85" s="516">
        <v>0</v>
      </c>
      <c r="GE85" s="516">
        <v>0</v>
      </c>
      <c r="GF85" s="516">
        <v>0</v>
      </c>
      <c r="GG85" s="517">
        <v>6</v>
      </c>
      <c r="GH85" s="619"/>
      <c r="GI85" s="518"/>
    </row>
    <row r="86" spans="2:191">
      <c r="C86" s="32"/>
      <c r="D86" s="32" t="s">
        <v>2531</v>
      </c>
      <c r="E86" s="4607">
        <v>0</v>
      </c>
      <c r="F86" s="4607">
        <v>0</v>
      </c>
      <c r="G86" s="4607">
        <v>1</v>
      </c>
      <c r="H86" s="4607">
        <v>0</v>
      </c>
      <c r="I86" s="4607"/>
      <c r="J86" s="4607">
        <v>0</v>
      </c>
      <c r="K86" s="4607">
        <v>0</v>
      </c>
      <c r="L86" s="4607">
        <v>0</v>
      </c>
      <c r="M86" s="4607">
        <v>0</v>
      </c>
      <c r="N86" s="4583">
        <v>0</v>
      </c>
      <c r="O86" s="4583">
        <v>0</v>
      </c>
      <c r="P86" s="4583">
        <v>1</v>
      </c>
      <c r="Q86" s="2552"/>
      <c r="R86" s="2552"/>
      <c r="U86" s="37" t="s">
        <v>1641</v>
      </c>
      <c r="V86" s="37" t="s">
        <v>1239</v>
      </c>
      <c r="W86" s="4803"/>
      <c r="X86" s="4803"/>
      <c r="Y86" s="4803"/>
      <c r="Z86" s="4803"/>
      <c r="AA86" s="4803"/>
      <c r="AB86" s="4803"/>
      <c r="AC86" s="4803">
        <v>5</v>
      </c>
      <c r="AD86" s="4803"/>
      <c r="AE86" s="1788"/>
      <c r="AF86" s="1788">
        <v>5</v>
      </c>
      <c r="AI86" s="41"/>
      <c r="AJ86" s="41"/>
      <c r="AK86" s="461"/>
      <c r="AL86" s="461" t="s">
        <v>1235</v>
      </c>
      <c r="AM86" s="2002"/>
      <c r="AN86" s="2002">
        <v>0</v>
      </c>
      <c r="AO86" s="2002"/>
      <c r="AP86" s="2002"/>
      <c r="AQ86" s="2002">
        <v>1</v>
      </c>
      <c r="AR86" s="2002">
        <v>0</v>
      </c>
      <c r="AS86" s="2002">
        <v>1</v>
      </c>
      <c r="AT86" s="2002">
        <v>0</v>
      </c>
      <c r="AU86" s="2480"/>
      <c r="AV86" s="2480"/>
      <c r="AW86" s="2480">
        <v>2</v>
      </c>
      <c r="AX86" s="41"/>
      <c r="AZ86" s="42"/>
      <c r="BA86" s="42"/>
      <c r="BB86" s="42"/>
      <c r="BC86" s="42" t="s">
        <v>1233</v>
      </c>
      <c r="BD86" s="1993">
        <v>1</v>
      </c>
      <c r="BE86" s="1993">
        <v>0</v>
      </c>
      <c r="BF86" s="1993">
        <v>1</v>
      </c>
      <c r="BG86" s="1993"/>
      <c r="BH86" s="1993">
        <v>0</v>
      </c>
      <c r="BI86" s="1993">
        <v>0</v>
      </c>
      <c r="BJ86" s="1993">
        <v>0</v>
      </c>
      <c r="BK86" s="1993"/>
      <c r="BL86" s="1993">
        <v>0</v>
      </c>
      <c r="BM86" s="70">
        <v>0</v>
      </c>
      <c r="BN86" s="70"/>
      <c r="BO86" s="70">
        <v>2</v>
      </c>
      <c r="BR86" s="105"/>
      <c r="BS86" s="105"/>
      <c r="BT86" s="41"/>
      <c r="BU86" s="41" t="s">
        <v>1865</v>
      </c>
      <c r="BV86" s="1659">
        <v>4</v>
      </c>
      <c r="BW86" s="1659">
        <v>0</v>
      </c>
      <c r="BX86" s="1659">
        <v>0</v>
      </c>
      <c r="BY86" s="1659">
        <v>0</v>
      </c>
      <c r="BZ86" s="1659">
        <v>0</v>
      </c>
      <c r="CA86" s="1659">
        <v>0</v>
      </c>
      <c r="CB86" s="1659">
        <v>0</v>
      </c>
      <c r="CC86" s="1659">
        <v>0</v>
      </c>
      <c r="CD86" s="1659">
        <v>0</v>
      </c>
      <c r="CE86" s="105">
        <v>0</v>
      </c>
      <c r="CF86" s="105">
        <v>0</v>
      </c>
      <c r="CG86" s="105">
        <v>4</v>
      </c>
      <c r="CH86" s="105"/>
      <c r="CJ86" s="1359"/>
      <c r="CK86" s="1359"/>
      <c r="CL86" s="1360"/>
      <c r="CM86" s="1361" t="s">
        <v>1239</v>
      </c>
      <c r="CN86" s="1362"/>
      <c r="CO86" s="1362"/>
      <c r="CP86" s="1363">
        <v>0</v>
      </c>
      <c r="CQ86" s="1363">
        <v>2</v>
      </c>
      <c r="CR86" s="1363">
        <v>2</v>
      </c>
      <c r="CS86" s="1363">
        <v>0</v>
      </c>
      <c r="CT86" s="1363">
        <v>4</v>
      </c>
      <c r="CU86" s="1363">
        <v>2</v>
      </c>
      <c r="CV86" s="686"/>
      <c r="CW86" s="686"/>
      <c r="CX86" s="687">
        <v>10</v>
      </c>
      <c r="CY86" s="41"/>
      <c r="DA86" s="602"/>
      <c r="DB86" s="602"/>
      <c r="DC86" s="603"/>
      <c r="DD86" s="604" t="s">
        <v>1239</v>
      </c>
      <c r="DE86" s="605"/>
      <c r="DF86" s="605"/>
      <c r="DG86" s="605"/>
      <c r="DH86" s="605"/>
      <c r="DI86" s="606">
        <v>0</v>
      </c>
      <c r="DJ86" s="605"/>
      <c r="DK86" s="606">
        <v>0</v>
      </c>
      <c r="DL86" s="606">
        <v>12</v>
      </c>
      <c r="DM86" s="602"/>
      <c r="DN86" s="607">
        <v>1</v>
      </c>
      <c r="DO86" s="607">
        <v>13</v>
      </c>
      <c r="DP86" s="105"/>
      <c r="DR86" s="608"/>
      <c r="DS86" s="608"/>
      <c r="DT86" s="608"/>
      <c r="DU86" s="609" t="s">
        <v>1239</v>
      </c>
      <c r="DV86" s="610"/>
      <c r="DW86" s="610"/>
      <c r="DX86" s="610"/>
      <c r="DY86" s="610"/>
      <c r="DZ86" s="610"/>
      <c r="EA86" s="610"/>
      <c r="EB86" s="611">
        <v>0</v>
      </c>
      <c r="EC86" s="610"/>
      <c r="ED86" s="611">
        <v>1</v>
      </c>
      <c r="EE86" s="612"/>
      <c r="EF86" s="613">
        <v>0</v>
      </c>
      <c r="EG86" s="613">
        <v>1</v>
      </c>
      <c r="EH86" s="614"/>
      <c r="EJ86" s="615"/>
      <c r="EK86" s="615"/>
      <c r="EL86" s="615"/>
      <c r="EM86" s="625" t="s">
        <v>15</v>
      </c>
      <c r="EN86" s="626"/>
      <c r="EO86" s="627">
        <v>1</v>
      </c>
      <c r="EP86" s="627">
        <v>1</v>
      </c>
      <c r="EQ86" s="627">
        <v>1</v>
      </c>
      <c r="ER86" s="627">
        <v>1</v>
      </c>
      <c r="ES86" s="627">
        <v>7</v>
      </c>
      <c r="ET86" s="627">
        <v>21</v>
      </c>
      <c r="EU86" s="627">
        <v>34</v>
      </c>
      <c r="EV86" s="626"/>
      <c r="EW86" s="626"/>
      <c r="EX86" s="627">
        <v>66</v>
      </c>
      <c r="EY86" s="628">
        <f>+(EX85+EX82)/EX86</f>
        <v>0.16666666666666666</v>
      </c>
      <c r="FA86" s="70"/>
      <c r="FB86" s="70"/>
      <c r="FC86" s="42" t="s">
        <v>128</v>
      </c>
      <c r="FD86" s="42" t="s">
        <v>1235</v>
      </c>
      <c r="FE86" s="70"/>
      <c r="FF86" s="70"/>
      <c r="FG86" s="70"/>
      <c r="FH86" s="70"/>
      <c r="FI86" s="70"/>
      <c r="FJ86" s="70"/>
      <c r="FK86" s="70">
        <v>4</v>
      </c>
      <c r="FL86" s="70"/>
      <c r="FM86" s="70">
        <v>0</v>
      </c>
      <c r="FN86" s="70"/>
      <c r="FO86" s="70">
        <v>4</v>
      </c>
      <c r="FP86" s="42"/>
      <c r="FQ86" s="42"/>
      <c r="FR86" s="516"/>
      <c r="FS86" s="516"/>
      <c r="FT86" s="516"/>
      <c r="FU86" s="516" t="s">
        <v>1235</v>
      </c>
      <c r="FV86" s="516">
        <v>0</v>
      </c>
      <c r="FW86" s="516">
        <v>0</v>
      </c>
      <c r="FX86" s="516">
        <v>0</v>
      </c>
      <c r="FY86" s="516">
        <v>0</v>
      </c>
      <c r="FZ86" s="516">
        <v>0</v>
      </c>
      <c r="GA86" s="516">
        <v>0</v>
      </c>
      <c r="GB86" s="516">
        <v>1</v>
      </c>
      <c r="GC86" s="516">
        <v>1</v>
      </c>
      <c r="GD86" s="516">
        <v>0</v>
      </c>
      <c r="GE86" s="516">
        <v>0</v>
      </c>
      <c r="GF86" s="516">
        <v>0</v>
      </c>
      <c r="GG86" s="517">
        <v>2</v>
      </c>
      <c r="GH86" s="619"/>
      <c r="GI86" s="518"/>
    </row>
    <row r="87" spans="2:191">
      <c r="D87" s="32" t="s">
        <v>15</v>
      </c>
      <c r="E87" s="4607">
        <v>9</v>
      </c>
      <c r="F87" s="4607">
        <v>13</v>
      </c>
      <c r="G87" s="4607">
        <v>5</v>
      </c>
      <c r="H87" s="4607">
        <v>4</v>
      </c>
      <c r="I87" s="4607"/>
      <c r="J87" s="4607">
        <v>5</v>
      </c>
      <c r="K87" s="4607">
        <v>30</v>
      </c>
      <c r="L87" s="4607">
        <v>36</v>
      </c>
      <c r="M87" s="4607">
        <v>14</v>
      </c>
      <c r="N87" s="4583">
        <v>8</v>
      </c>
      <c r="O87" s="4583">
        <v>4</v>
      </c>
      <c r="P87" s="4583">
        <v>128</v>
      </c>
      <c r="Q87" s="1977">
        <f>+(P80+P83+P85)/(P87-P84)</f>
        <v>0.10084033613445378</v>
      </c>
      <c r="R87" s="1977"/>
      <c r="V87" s="1793" t="s">
        <v>15</v>
      </c>
      <c r="W87" s="4804"/>
      <c r="X87" s="4804"/>
      <c r="Y87" s="4804"/>
      <c r="Z87" s="4804"/>
      <c r="AA87" s="4804"/>
      <c r="AB87" s="4804"/>
      <c r="AC87" s="4804">
        <v>5</v>
      </c>
      <c r="AD87" s="4804"/>
      <c r="AE87" s="4702"/>
      <c r="AF87" s="4702">
        <v>5</v>
      </c>
      <c r="AG87" s="4703">
        <v>0</v>
      </c>
      <c r="AI87" s="41"/>
      <c r="AJ87" s="41"/>
      <c r="AK87" s="461"/>
      <c r="AL87" s="461" t="s">
        <v>1236</v>
      </c>
      <c r="AM87" s="2002"/>
      <c r="AN87" s="2002">
        <v>0</v>
      </c>
      <c r="AO87" s="2002"/>
      <c r="AP87" s="2002"/>
      <c r="AQ87" s="2002">
        <v>0</v>
      </c>
      <c r="AR87" s="2002">
        <v>1</v>
      </c>
      <c r="AS87" s="2002">
        <v>0</v>
      </c>
      <c r="AT87" s="2002">
        <v>0</v>
      </c>
      <c r="AU87" s="2480"/>
      <c r="AV87" s="2480"/>
      <c r="AW87" s="2480">
        <v>1</v>
      </c>
      <c r="AX87" s="41"/>
      <c r="AZ87" s="42"/>
      <c r="BA87" s="42"/>
      <c r="BB87" s="42"/>
      <c r="BC87" s="42" t="s">
        <v>1239</v>
      </c>
      <c r="BD87" s="1993">
        <v>0</v>
      </c>
      <c r="BE87" s="1993">
        <v>0</v>
      </c>
      <c r="BF87" s="1993">
        <v>0</v>
      </c>
      <c r="BG87" s="1993"/>
      <c r="BH87" s="1993">
        <v>0</v>
      </c>
      <c r="BI87" s="1993">
        <v>0</v>
      </c>
      <c r="BJ87" s="1993">
        <v>0</v>
      </c>
      <c r="BK87" s="1993"/>
      <c r="BL87" s="1993">
        <v>3</v>
      </c>
      <c r="BM87" s="70">
        <v>1</v>
      </c>
      <c r="BN87" s="70"/>
      <c r="BO87" s="70">
        <v>4</v>
      </c>
      <c r="BR87" s="105"/>
      <c r="BS87" s="105"/>
      <c r="BT87" s="41"/>
      <c r="BU87" s="41" t="s">
        <v>1240</v>
      </c>
      <c r="BV87" s="1659">
        <v>0</v>
      </c>
      <c r="BW87" s="1659">
        <v>0</v>
      </c>
      <c r="BX87" s="1659">
        <v>0</v>
      </c>
      <c r="BY87" s="1659">
        <v>0</v>
      </c>
      <c r="BZ87" s="1659">
        <v>0</v>
      </c>
      <c r="CA87" s="1659">
        <v>0</v>
      </c>
      <c r="CB87" s="1659">
        <v>11</v>
      </c>
      <c r="CC87" s="1659">
        <v>7</v>
      </c>
      <c r="CD87" s="1659">
        <v>2</v>
      </c>
      <c r="CE87" s="105">
        <v>0</v>
      </c>
      <c r="CF87" s="105">
        <v>0</v>
      </c>
      <c r="CG87" s="105">
        <v>20</v>
      </c>
      <c r="CH87" s="105"/>
      <c r="CJ87" s="1359"/>
      <c r="CK87" s="1359"/>
      <c r="CL87" s="1360"/>
      <c r="CM87" s="1361" t="s">
        <v>1240</v>
      </c>
      <c r="CN87" s="1362"/>
      <c r="CO87" s="1362"/>
      <c r="CP87" s="1363">
        <v>0</v>
      </c>
      <c r="CQ87" s="1363">
        <v>0</v>
      </c>
      <c r="CR87" s="1363">
        <v>0</v>
      </c>
      <c r="CS87" s="1363">
        <v>1</v>
      </c>
      <c r="CT87" s="1363">
        <v>0</v>
      </c>
      <c r="CU87" s="1363">
        <v>0</v>
      </c>
      <c r="CV87" s="686"/>
      <c r="CW87" s="686"/>
      <c r="CX87" s="687">
        <v>1</v>
      </c>
      <c r="CY87" s="41"/>
      <c r="DA87" s="602"/>
      <c r="DB87" s="602"/>
      <c r="DC87" s="603"/>
      <c r="DD87" s="630" t="s">
        <v>15</v>
      </c>
      <c r="DE87" s="631"/>
      <c r="DF87" s="631"/>
      <c r="DG87" s="631"/>
      <c r="DH87" s="631"/>
      <c r="DI87" s="632">
        <v>1</v>
      </c>
      <c r="DJ87" s="631"/>
      <c r="DK87" s="632">
        <v>3</v>
      </c>
      <c r="DL87" s="632">
        <v>18</v>
      </c>
      <c r="DM87" s="633"/>
      <c r="DN87" s="634">
        <v>3</v>
      </c>
      <c r="DO87" s="634">
        <v>25</v>
      </c>
      <c r="DP87" s="96"/>
      <c r="DR87" s="608"/>
      <c r="DS87" s="608"/>
      <c r="DT87" s="608"/>
      <c r="DU87" s="609" t="s">
        <v>1344</v>
      </c>
      <c r="DV87" s="610"/>
      <c r="DW87" s="610"/>
      <c r="DX87" s="610"/>
      <c r="DY87" s="610"/>
      <c r="DZ87" s="610"/>
      <c r="EA87" s="610"/>
      <c r="EB87" s="611">
        <v>3</v>
      </c>
      <c r="EC87" s="610"/>
      <c r="ED87" s="611">
        <v>0</v>
      </c>
      <c r="EE87" s="612"/>
      <c r="EF87" s="613">
        <v>0</v>
      </c>
      <c r="EG87" s="613">
        <v>3</v>
      </c>
      <c r="EH87" s="614"/>
      <c r="EJ87" s="615"/>
      <c r="EK87" s="615"/>
      <c r="EL87" s="615" t="s">
        <v>127</v>
      </c>
      <c r="EM87" s="616" t="s">
        <v>1230</v>
      </c>
      <c r="EN87" s="617"/>
      <c r="EO87" s="617"/>
      <c r="EP87" s="617"/>
      <c r="EQ87" s="617"/>
      <c r="ER87" s="618">
        <v>0</v>
      </c>
      <c r="ES87" s="618">
        <v>0</v>
      </c>
      <c r="ET87" s="618">
        <v>0</v>
      </c>
      <c r="EU87" s="618">
        <v>1</v>
      </c>
      <c r="EV87" s="617"/>
      <c r="EW87" s="617"/>
      <c r="EX87" s="618">
        <v>1</v>
      </c>
      <c r="EY87" s="515"/>
      <c r="FA87" s="70"/>
      <c r="FB87" s="70"/>
      <c r="FC87" s="42"/>
      <c r="FD87" s="42" t="s">
        <v>1239</v>
      </c>
      <c r="FE87" s="70"/>
      <c r="FF87" s="70"/>
      <c r="FG87" s="70"/>
      <c r="FH87" s="70"/>
      <c r="FI87" s="70"/>
      <c r="FJ87" s="70"/>
      <c r="FK87" s="70">
        <v>0</v>
      </c>
      <c r="FL87" s="70"/>
      <c r="FM87" s="70">
        <v>1</v>
      </c>
      <c r="FN87" s="70"/>
      <c r="FO87" s="70">
        <v>1</v>
      </c>
      <c r="FP87" s="42"/>
      <c r="FQ87" s="42"/>
      <c r="FR87" s="516"/>
      <c r="FS87" s="516"/>
      <c r="FT87" s="516"/>
      <c r="FU87" s="516" t="s">
        <v>1236</v>
      </c>
      <c r="FV87" s="516">
        <v>0</v>
      </c>
      <c r="FW87" s="516">
        <v>0</v>
      </c>
      <c r="FX87" s="516">
        <v>0</v>
      </c>
      <c r="FY87" s="516">
        <v>0</v>
      </c>
      <c r="FZ87" s="516">
        <v>0</v>
      </c>
      <c r="GA87" s="516">
        <v>1</v>
      </c>
      <c r="GB87" s="516">
        <v>1</v>
      </c>
      <c r="GC87" s="516">
        <v>0</v>
      </c>
      <c r="GD87" s="516">
        <v>0</v>
      </c>
      <c r="GE87" s="516">
        <v>0</v>
      </c>
      <c r="GF87" s="516">
        <v>0</v>
      </c>
      <c r="GG87" s="517">
        <v>2</v>
      </c>
      <c r="GH87" s="619"/>
      <c r="GI87" s="518"/>
    </row>
    <row r="88" spans="2:191">
      <c r="B88" s="167" t="s">
        <v>21</v>
      </c>
      <c r="C88" s="4800" t="s">
        <v>1639</v>
      </c>
      <c r="D88" s="4800" t="s">
        <v>1239</v>
      </c>
      <c r="E88" s="4606"/>
      <c r="F88" s="4606"/>
      <c r="G88" s="4606"/>
      <c r="H88" s="4606"/>
      <c r="I88" s="4606"/>
      <c r="J88" s="4606"/>
      <c r="K88" s="4606"/>
      <c r="L88" s="4606">
        <v>2</v>
      </c>
      <c r="M88" s="4606">
        <v>2</v>
      </c>
      <c r="N88" s="2552"/>
      <c r="O88" s="2552"/>
      <c r="P88" s="2552">
        <v>4</v>
      </c>
      <c r="Q88" s="2552"/>
      <c r="R88" s="2552"/>
      <c r="U88" s="1793" t="s">
        <v>546</v>
      </c>
      <c r="V88" s="1793" t="s">
        <v>1230</v>
      </c>
      <c r="W88" s="4804"/>
      <c r="X88" s="4804"/>
      <c r="Y88" s="4804"/>
      <c r="Z88" s="4804">
        <v>1</v>
      </c>
      <c r="AA88" s="4804">
        <v>0</v>
      </c>
      <c r="AB88" s="4804">
        <v>0</v>
      </c>
      <c r="AC88" s="4804">
        <v>0</v>
      </c>
      <c r="AD88" s="4804"/>
      <c r="AE88" s="4702"/>
      <c r="AF88" s="4702">
        <v>1</v>
      </c>
      <c r="AG88" s="1793"/>
      <c r="AI88" s="41"/>
      <c r="AJ88" s="41"/>
      <c r="AK88" s="461"/>
      <c r="AL88" s="461" t="s">
        <v>1239</v>
      </c>
      <c r="AM88" s="2002"/>
      <c r="AN88" s="2002">
        <v>0</v>
      </c>
      <c r="AO88" s="2002"/>
      <c r="AP88" s="2002"/>
      <c r="AQ88" s="2002">
        <v>0</v>
      </c>
      <c r="AR88" s="2002">
        <v>0</v>
      </c>
      <c r="AS88" s="2002">
        <v>0</v>
      </c>
      <c r="AT88" s="2002">
        <v>7</v>
      </c>
      <c r="AU88" s="2480"/>
      <c r="AV88" s="2480"/>
      <c r="AW88" s="2480">
        <v>7</v>
      </c>
      <c r="AX88" s="41"/>
      <c r="AZ88" s="42"/>
      <c r="BA88" s="42"/>
      <c r="BB88" s="42"/>
      <c r="BC88" s="42" t="s">
        <v>1240</v>
      </c>
      <c r="BD88" s="1993">
        <v>0</v>
      </c>
      <c r="BE88" s="1993">
        <v>0</v>
      </c>
      <c r="BF88" s="1993">
        <v>0</v>
      </c>
      <c r="BG88" s="1993"/>
      <c r="BH88" s="1993">
        <v>0</v>
      </c>
      <c r="BI88" s="1993">
        <v>0</v>
      </c>
      <c r="BJ88" s="1993">
        <v>0</v>
      </c>
      <c r="BK88" s="1993"/>
      <c r="BL88" s="1993">
        <v>1</v>
      </c>
      <c r="BM88" s="70">
        <v>0</v>
      </c>
      <c r="BN88" s="70"/>
      <c r="BO88" s="70">
        <v>1</v>
      </c>
      <c r="BR88" s="105"/>
      <c r="BS88" s="105"/>
      <c r="BT88" s="41"/>
      <c r="BU88" s="41" t="s">
        <v>1344</v>
      </c>
      <c r="BV88" s="1659">
        <v>0</v>
      </c>
      <c r="BW88" s="1659">
        <v>0</v>
      </c>
      <c r="BX88" s="1659">
        <v>0</v>
      </c>
      <c r="BY88" s="1659">
        <v>0</v>
      </c>
      <c r="BZ88" s="1659">
        <v>0</v>
      </c>
      <c r="CA88" s="1659">
        <v>0</v>
      </c>
      <c r="CB88" s="1659">
        <v>5</v>
      </c>
      <c r="CC88" s="1659">
        <v>17</v>
      </c>
      <c r="CD88" s="1659">
        <v>3</v>
      </c>
      <c r="CE88" s="105">
        <v>0</v>
      </c>
      <c r="CF88" s="105">
        <v>0</v>
      </c>
      <c r="CG88" s="105">
        <v>25</v>
      </c>
      <c r="CH88" s="105"/>
      <c r="CJ88" s="1359"/>
      <c r="CK88" s="1359"/>
      <c r="CL88" s="1360"/>
      <c r="CM88" s="1361" t="s">
        <v>1344</v>
      </c>
      <c r="CN88" s="1362"/>
      <c r="CO88" s="1362"/>
      <c r="CP88" s="1363">
        <v>2</v>
      </c>
      <c r="CQ88" s="1363">
        <v>3</v>
      </c>
      <c r="CR88" s="1363">
        <v>1</v>
      </c>
      <c r="CS88" s="1363">
        <v>2</v>
      </c>
      <c r="CT88" s="1363">
        <v>0</v>
      </c>
      <c r="CU88" s="1363">
        <v>0</v>
      </c>
      <c r="CV88" s="686"/>
      <c r="CW88" s="686"/>
      <c r="CX88" s="687">
        <v>8</v>
      </c>
      <c r="CY88" s="41"/>
      <c r="DA88" s="602"/>
      <c r="DB88" s="602"/>
      <c r="DC88" s="603" t="s">
        <v>122</v>
      </c>
      <c r="DD88" s="604" t="s">
        <v>1230</v>
      </c>
      <c r="DE88" s="606">
        <v>0</v>
      </c>
      <c r="DF88" s="605"/>
      <c r="DG88" s="605"/>
      <c r="DH88" s="605"/>
      <c r="DI88" s="605"/>
      <c r="DJ88" s="606">
        <v>0</v>
      </c>
      <c r="DK88" s="606">
        <v>0</v>
      </c>
      <c r="DL88" s="606">
        <v>11</v>
      </c>
      <c r="DM88" s="607">
        <v>0</v>
      </c>
      <c r="DN88" s="607">
        <v>4</v>
      </c>
      <c r="DO88" s="607">
        <v>15</v>
      </c>
      <c r="DP88" s="635">
        <f>+DO84/DO87</f>
        <v>0.08</v>
      </c>
      <c r="DR88" s="608"/>
      <c r="DS88" s="608"/>
      <c r="DT88" s="608"/>
      <c r="DU88" s="620" t="s">
        <v>15</v>
      </c>
      <c r="DV88" s="621"/>
      <c r="DW88" s="621"/>
      <c r="DX88" s="621"/>
      <c r="DY88" s="621"/>
      <c r="DZ88" s="621"/>
      <c r="EA88" s="621"/>
      <c r="EB88" s="622">
        <v>4</v>
      </c>
      <c r="EC88" s="621"/>
      <c r="ED88" s="622">
        <v>4</v>
      </c>
      <c r="EE88" s="623"/>
      <c r="EF88" s="624">
        <v>4</v>
      </c>
      <c r="EG88" s="624">
        <v>12</v>
      </c>
      <c r="EH88" s="614">
        <f>+(EG87+EG85)/EG88</f>
        <v>0.33333333333333331</v>
      </c>
      <c r="EJ88" s="615"/>
      <c r="EK88" s="615"/>
      <c r="EL88" s="615"/>
      <c r="EM88" s="616" t="s">
        <v>1231</v>
      </c>
      <c r="EN88" s="617"/>
      <c r="EO88" s="617"/>
      <c r="EP88" s="617"/>
      <c r="EQ88" s="617"/>
      <c r="ER88" s="618">
        <v>0</v>
      </c>
      <c r="ES88" s="618">
        <v>3</v>
      </c>
      <c r="ET88" s="618">
        <v>3</v>
      </c>
      <c r="EU88" s="618">
        <v>0</v>
      </c>
      <c r="EV88" s="617"/>
      <c r="EW88" s="617"/>
      <c r="EX88" s="618">
        <v>6</v>
      </c>
      <c r="EY88" s="515"/>
      <c r="FA88" s="70"/>
      <c r="FB88" s="70"/>
      <c r="FC88" s="42"/>
      <c r="FD88" s="42" t="s">
        <v>1240</v>
      </c>
      <c r="FE88" s="70"/>
      <c r="FF88" s="70"/>
      <c r="FG88" s="70"/>
      <c r="FH88" s="70"/>
      <c r="FI88" s="70"/>
      <c r="FJ88" s="70"/>
      <c r="FK88" s="70">
        <v>4</v>
      </c>
      <c r="FL88" s="70"/>
      <c r="FM88" s="70">
        <v>0</v>
      </c>
      <c r="FN88" s="70"/>
      <c r="FO88" s="70">
        <v>4</v>
      </c>
      <c r="FP88" s="42"/>
      <c r="FQ88" s="42"/>
      <c r="FR88" s="516"/>
      <c r="FS88" s="516"/>
      <c r="FT88" s="516"/>
      <c r="FU88" s="516" t="s">
        <v>1239</v>
      </c>
      <c r="FV88" s="516">
        <v>0</v>
      </c>
      <c r="FW88" s="516">
        <v>0</v>
      </c>
      <c r="FX88" s="516">
        <v>0</v>
      </c>
      <c r="FY88" s="516">
        <v>0</v>
      </c>
      <c r="FZ88" s="516">
        <v>0</v>
      </c>
      <c r="GA88" s="516">
        <v>0</v>
      </c>
      <c r="GB88" s="516">
        <v>0</v>
      </c>
      <c r="GC88" s="516">
        <v>12</v>
      </c>
      <c r="GD88" s="516">
        <v>51</v>
      </c>
      <c r="GE88" s="516">
        <v>0</v>
      </c>
      <c r="GF88" s="516">
        <v>0</v>
      </c>
      <c r="GG88" s="517">
        <v>63</v>
      </c>
      <c r="GH88" s="619"/>
      <c r="GI88" s="518"/>
    </row>
    <row r="89" spans="2:191">
      <c r="D89" s="32" t="s">
        <v>15</v>
      </c>
      <c r="E89" s="4607"/>
      <c r="F89" s="4607"/>
      <c r="G89" s="4607"/>
      <c r="H89" s="4607"/>
      <c r="I89" s="4607"/>
      <c r="J89" s="4607"/>
      <c r="K89" s="4607"/>
      <c r="L89" s="4607">
        <v>2</v>
      </c>
      <c r="M89" s="4607">
        <v>2</v>
      </c>
      <c r="N89" s="4583"/>
      <c r="O89" s="4583"/>
      <c r="P89" s="4583">
        <v>4</v>
      </c>
      <c r="Q89" s="1977">
        <v>0</v>
      </c>
      <c r="R89" s="1977"/>
      <c r="U89" s="1793"/>
      <c r="V89" s="1793" t="s">
        <v>1231</v>
      </c>
      <c r="W89" s="4804"/>
      <c r="X89" s="4804"/>
      <c r="Y89" s="4804"/>
      <c r="Z89" s="4804">
        <v>0</v>
      </c>
      <c r="AA89" s="4804">
        <v>1</v>
      </c>
      <c r="AB89" s="4804">
        <v>1</v>
      </c>
      <c r="AC89" s="4804">
        <v>0</v>
      </c>
      <c r="AD89" s="4804"/>
      <c r="AE89" s="4702"/>
      <c r="AF89" s="4702">
        <v>2</v>
      </c>
      <c r="AG89" s="1793"/>
      <c r="AI89" s="41"/>
      <c r="AJ89" s="41"/>
      <c r="AK89" s="461"/>
      <c r="AL89" s="461" t="s">
        <v>1240</v>
      </c>
      <c r="AM89" s="2002"/>
      <c r="AN89" s="2002">
        <v>0</v>
      </c>
      <c r="AO89" s="2002"/>
      <c r="AP89" s="2002"/>
      <c r="AQ89" s="2002">
        <v>0</v>
      </c>
      <c r="AR89" s="2002">
        <v>0</v>
      </c>
      <c r="AS89" s="2002">
        <v>1</v>
      </c>
      <c r="AT89" s="2002">
        <v>0</v>
      </c>
      <c r="AU89" s="2480"/>
      <c r="AV89" s="2480"/>
      <c r="AW89" s="2480">
        <v>1</v>
      </c>
      <c r="AX89" s="41"/>
      <c r="AZ89" s="42"/>
      <c r="BA89" s="42"/>
      <c r="BB89" s="42"/>
      <c r="BC89" s="484" t="s">
        <v>15</v>
      </c>
      <c r="BD89" s="1994">
        <v>1</v>
      </c>
      <c r="BE89" s="1994">
        <v>2</v>
      </c>
      <c r="BF89" s="1994">
        <v>1</v>
      </c>
      <c r="BG89" s="1994"/>
      <c r="BH89" s="1994">
        <v>1</v>
      </c>
      <c r="BI89" s="1994">
        <v>1</v>
      </c>
      <c r="BJ89" s="1994">
        <v>1</v>
      </c>
      <c r="BK89" s="1994"/>
      <c r="BL89" s="1994">
        <v>5</v>
      </c>
      <c r="BM89" s="454">
        <v>1</v>
      </c>
      <c r="BN89" s="454"/>
      <c r="BO89" s="454">
        <v>13</v>
      </c>
      <c r="BP89" s="2485">
        <f>+BO88/BO89</f>
        <v>7.6923076923076927E-2</v>
      </c>
      <c r="BR89" s="105"/>
      <c r="BS89" s="105"/>
      <c r="BT89" s="41"/>
      <c r="BU89" s="461" t="s">
        <v>106</v>
      </c>
      <c r="BV89" s="1660">
        <v>4</v>
      </c>
      <c r="BW89" s="1660">
        <v>4</v>
      </c>
      <c r="BX89" s="1660">
        <v>1</v>
      </c>
      <c r="BY89" s="1660">
        <v>1</v>
      </c>
      <c r="BZ89" s="1660">
        <v>2</v>
      </c>
      <c r="CA89" s="1660">
        <v>3</v>
      </c>
      <c r="CB89" s="1660">
        <v>43</v>
      </c>
      <c r="CC89" s="1660">
        <v>49</v>
      </c>
      <c r="CD89" s="1660">
        <v>29</v>
      </c>
      <c r="CE89" s="96">
        <v>5</v>
      </c>
      <c r="CF89" s="96">
        <v>2</v>
      </c>
      <c r="CG89" s="96">
        <v>143</v>
      </c>
      <c r="CH89" s="635">
        <f>+(CG83+CG87+CG88-CE83)/CG89</f>
        <v>0.34265734265734266</v>
      </c>
      <c r="CJ89" s="1359"/>
      <c r="CK89" s="1359"/>
      <c r="CL89" s="1360"/>
      <c r="CM89" s="483" t="s">
        <v>844</v>
      </c>
      <c r="CN89" s="1364"/>
      <c r="CO89" s="1364"/>
      <c r="CP89" s="1365">
        <v>6</v>
      </c>
      <c r="CQ89" s="1365">
        <v>11</v>
      </c>
      <c r="CR89" s="1365">
        <v>10</v>
      </c>
      <c r="CS89" s="1365">
        <v>14</v>
      </c>
      <c r="CT89" s="1365">
        <v>5</v>
      </c>
      <c r="CU89" s="1365">
        <v>2</v>
      </c>
      <c r="CV89" s="695"/>
      <c r="CW89" s="695"/>
      <c r="CX89" s="696">
        <v>48</v>
      </c>
      <c r="CY89" s="1325">
        <f>+(CX84+CX87+CX88)/CX89</f>
        <v>0.22916666666666666</v>
      </c>
      <c r="DA89" s="602"/>
      <c r="DB89" s="602"/>
      <c r="DC89" s="603"/>
      <c r="DD89" s="604" t="s">
        <v>1231</v>
      </c>
      <c r="DE89" s="606">
        <v>0</v>
      </c>
      <c r="DF89" s="605"/>
      <c r="DG89" s="605"/>
      <c r="DH89" s="605"/>
      <c r="DI89" s="605"/>
      <c r="DJ89" s="606">
        <v>0</v>
      </c>
      <c r="DK89" s="606">
        <v>0</v>
      </c>
      <c r="DL89" s="606">
        <v>0</v>
      </c>
      <c r="DM89" s="607">
        <v>1</v>
      </c>
      <c r="DN89" s="607">
        <v>0</v>
      </c>
      <c r="DO89" s="607">
        <v>1</v>
      </c>
      <c r="DP89" s="105"/>
      <c r="DR89" s="608"/>
      <c r="DS89" s="608"/>
      <c r="DT89" s="608" t="s">
        <v>123</v>
      </c>
      <c r="DU89" s="609" t="s">
        <v>1230</v>
      </c>
      <c r="DV89" s="611">
        <v>0</v>
      </c>
      <c r="DW89" s="610"/>
      <c r="DX89" s="610"/>
      <c r="DY89" s="610"/>
      <c r="DZ89" s="610"/>
      <c r="EA89" s="611">
        <v>0</v>
      </c>
      <c r="EB89" s="610"/>
      <c r="EC89" s="611">
        <v>0</v>
      </c>
      <c r="ED89" s="611">
        <v>4</v>
      </c>
      <c r="EE89" s="612"/>
      <c r="EF89" s="613">
        <v>1</v>
      </c>
      <c r="EG89" s="613">
        <v>5</v>
      </c>
      <c r="EH89" s="614"/>
      <c r="EJ89" s="615"/>
      <c r="EK89" s="615"/>
      <c r="EL89" s="615"/>
      <c r="EM89" s="616" t="s">
        <v>1235</v>
      </c>
      <c r="EN89" s="617"/>
      <c r="EO89" s="617"/>
      <c r="EP89" s="617"/>
      <c r="EQ89" s="617"/>
      <c r="ER89" s="618">
        <v>0</v>
      </c>
      <c r="ES89" s="618">
        <v>9</v>
      </c>
      <c r="ET89" s="618">
        <v>14</v>
      </c>
      <c r="EU89" s="618">
        <v>0</v>
      </c>
      <c r="EV89" s="617"/>
      <c r="EW89" s="617"/>
      <c r="EX89" s="618">
        <v>23</v>
      </c>
      <c r="EY89" s="515"/>
      <c r="FA89" s="70"/>
      <c r="FB89" s="70"/>
      <c r="FC89" s="42"/>
      <c r="FD89" s="42" t="s">
        <v>1344</v>
      </c>
      <c r="FE89" s="70"/>
      <c r="FF89" s="70"/>
      <c r="FG89" s="70"/>
      <c r="FH89" s="70"/>
      <c r="FI89" s="70"/>
      <c r="FJ89" s="70"/>
      <c r="FK89" s="70">
        <v>1</v>
      </c>
      <c r="FL89" s="70"/>
      <c r="FM89" s="70">
        <v>0</v>
      </c>
      <c r="FN89" s="70"/>
      <c r="FO89" s="70">
        <v>1</v>
      </c>
      <c r="FP89" s="42"/>
      <c r="FQ89" s="42"/>
      <c r="FR89" s="516"/>
      <c r="FS89" s="516"/>
      <c r="FT89" s="516"/>
      <c r="FU89" s="516" t="s">
        <v>1344</v>
      </c>
      <c r="FV89" s="516">
        <v>0</v>
      </c>
      <c r="FW89" s="516">
        <v>0</v>
      </c>
      <c r="FX89" s="516">
        <v>0</v>
      </c>
      <c r="FY89" s="516">
        <v>0</v>
      </c>
      <c r="FZ89" s="516">
        <v>0</v>
      </c>
      <c r="GA89" s="516">
        <v>0</v>
      </c>
      <c r="GB89" s="516">
        <v>3</v>
      </c>
      <c r="GC89" s="516">
        <v>1</v>
      </c>
      <c r="GD89" s="516">
        <v>0</v>
      </c>
      <c r="GE89" s="516">
        <v>0</v>
      </c>
      <c r="GF89" s="516">
        <v>0</v>
      </c>
      <c r="GG89" s="517">
        <v>4</v>
      </c>
      <c r="GH89" s="619"/>
      <c r="GI89" s="518"/>
    </row>
    <row r="90" spans="2:191">
      <c r="C90" s="4800" t="s">
        <v>1640</v>
      </c>
      <c r="D90" s="4800" t="s">
        <v>1230</v>
      </c>
      <c r="E90" s="4606"/>
      <c r="F90" s="4606"/>
      <c r="G90" s="4606"/>
      <c r="H90" s="4606"/>
      <c r="I90" s="4606"/>
      <c r="J90" s="4606">
        <v>1</v>
      </c>
      <c r="K90" s="4606">
        <v>0</v>
      </c>
      <c r="L90" s="4606"/>
      <c r="M90" s="4606">
        <v>0</v>
      </c>
      <c r="N90" s="2552"/>
      <c r="O90" s="2552"/>
      <c r="P90" s="2552">
        <v>1</v>
      </c>
      <c r="Q90" s="2552"/>
      <c r="R90" s="2552"/>
      <c r="U90" s="1793"/>
      <c r="V90" s="1793" t="s">
        <v>1239</v>
      </c>
      <c r="W90" s="4804"/>
      <c r="X90" s="4804"/>
      <c r="Y90" s="4804"/>
      <c r="Z90" s="4804">
        <v>0</v>
      </c>
      <c r="AA90" s="4804">
        <v>0</v>
      </c>
      <c r="AB90" s="4804">
        <v>0</v>
      </c>
      <c r="AC90" s="4804">
        <v>19</v>
      </c>
      <c r="AD90" s="4804"/>
      <c r="AE90" s="4702"/>
      <c r="AF90" s="4702">
        <v>19</v>
      </c>
      <c r="AG90" s="1793"/>
      <c r="AI90" s="41"/>
      <c r="AJ90" s="41"/>
      <c r="AK90" s="461"/>
      <c r="AL90" s="461" t="s">
        <v>546</v>
      </c>
      <c r="AM90" s="2002"/>
      <c r="AN90" s="2002">
        <v>1</v>
      </c>
      <c r="AO90" s="2002"/>
      <c r="AP90" s="2002"/>
      <c r="AQ90" s="2002">
        <v>1</v>
      </c>
      <c r="AR90" s="2002">
        <v>4</v>
      </c>
      <c r="AS90" s="2002">
        <v>3</v>
      </c>
      <c r="AT90" s="2002">
        <v>7</v>
      </c>
      <c r="AU90" s="2480"/>
      <c r="AV90" s="2480"/>
      <c r="AW90" s="2480">
        <v>16</v>
      </c>
      <c r="AX90" s="635">
        <f>+(AW89+AW86)/AW90</f>
        <v>0.1875</v>
      </c>
      <c r="AY90" s="1977"/>
      <c r="AZ90" s="42"/>
      <c r="BA90" s="42"/>
      <c r="BB90" s="42" t="s">
        <v>2538</v>
      </c>
      <c r="BC90" s="42" t="s">
        <v>1231</v>
      </c>
      <c r="BD90" s="1993"/>
      <c r="BE90" s="1993"/>
      <c r="BF90" s="1993"/>
      <c r="BG90" s="1993"/>
      <c r="BH90" s="1993"/>
      <c r="BI90" s="1993"/>
      <c r="BJ90" s="1993">
        <v>1</v>
      </c>
      <c r="BK90" s="1993">
        <v>1</v>
      </c>
      <c r="BL90" s="1993">
        <v>0</v>
      </c>
      <c r="BM90" s="70">
        <v>0</v>
      </c>
      <c r="BN90" s="70"/>
      <c r="BO90" s="70">
        <v>2</v>
      </c>
      <c r="BR90" s="105" t="s">
        <v>25</v>
      </c>
      <c r="BS90" s="105" t="s">
        <v>4</v>
      </c>
      <c r="BT90" s="41" t="s">
        <v>120</v>
      </c>
      <c r="BU90" s="41" t="s">
        <v>1231</v>
      </c>
      <c r="BV90" s="1659"/>
      <c r="BW90" s="1659"/>
      <c r="BX90" s="1659"/>
      <c r="BY90" s="1659">
        <v>1</v>
      </c>
      <c r="BZ90" s="1659">
        <v>0</v>
      </c>
      <c r="CA90" s="1659"/>
      <c r="CB90" s="1659"/>
      <c r="CC90" s="1659">
        <v>1</v>
      </c>
      <c r="CD90" s="1659">
        <v>0</v>
      </c>
      <c r="CE90" s="105">
        <v>0</v>
      </c>
      <c r="CF90" s="105">
        <v>0</v>
      </c>
      <c r="CG90" s="105">
        <v>2</v>
      </c>
      <c r="CH90" s="105"/>
      <c r="CJ90" s="1359"/>
      <c r="CK90" s="1359"/>
      <c r="CL90" s="1360" t="s">
        <v>106</v>
      </c>
      <c r="CM90" s="1361" t="s">
        <v>1230</v>
      </c>
      <c r="CN90" s="1363">
        <v>0</v>
      </c>
      <c r="CO90" s="1363">
        <v>0</v>
      </c>
      <c r="CP90" s="1363">
        <v>0</v>
      </c>
      <c r="CQ90" s="1363">
        <v>0</v>
      </c>
      <c r="CR90" s="1363">
        <v>0</v>
      </c>
      <c r="CS90" s="1363">
        <v>2</v>
      </c>
      <c r="CT90" s="1363">
        <v>3</v>
      </c>
      <c r="CU90" s="1363">
        <v>7</v>
      </c>
      <c r="CV90" s="686"/>
      <c r="CW90" s="687">
        <v>0</v>
      </c>
      <c r="CX90" s="687">
        <v>12</v>
      </c>
      <c r="CY90" s="41"/>
      <c r="DA90" s="602"/>
      <c r="DB90" s="602"/>
      <c r="DC90" s="603"/>
      <c r="DD90" s="604" t="s">
        <v>1233</v>
      </c>
      <c r="DE90" s="606">
        <v>2</v>
      </c>
      <c r="DF90" s="605"/>
      <c r="DG90" s="605"/>
      <c r="DH90" s="605"/>
      <c r="DI90" s="605"/>
      <c r="DJ90" s="606">
        <v>0</v>
      </c>
      <c r="DK90" s="606">
        <v>0</v>
      </c>
      <c r="DL90" s="606">
        <v>0</v>
      </c>
      <c r="DM90" s="607">
        <v>0</v>
      </c>
      <c r="DN90" s="607">
        <v>0</v>
      </c>
      <c r="DO90" s="607">
        <v>2</v>
      </c>
      <c r="DP90" s="105"/>
      <c r="DR90" s="608"/>
      <c r="DS90" s="608"/>
      <c r="DT90" s="608"/>
      <c r="DU90" s="609" t="s">
        <v>1231</v>
      </c>
      <c r="DV90" s="611">
        <v>1</v>
      </c>
      <c r="DW90" s="610"/>
      <c r="DX90" s="610"/>
      <c r="DY90" s="610"/>
      <c r="DZ90" s="610"/>
      <c r="EA90" s="611">
        <v>0</v>
      </c>
      <c r="EB90" s="610"/>
      <c r="EC90" s="611">
        <v>0</v>
      </c>
      <c r="ED90" s="611">
        <v>0</v>
      </c>
      <c r="EE90" s="612"/>
      <c r="EF90" s="613">
        <v>0</v>
      </c>
      <c r="EG90" s="613">
        <v>1</v>
      </c>
      <c r="EH90" s="614"/>
      <c r="EJ90" s="615"/>
      <c r="EK90" s="615"/>
      <c r="EL90" s="615"/>
      <c r="EM90" s="616" t="s">
        <v>1236</v>
      </c>
      <c r="EN90" s="617"/>
      <c r="EO90" s="617"/>
      <c r="EP90" s="617"/>
      <c r="EQ90" s="617"/>
      <c r="ER90" s="618">
        <v>1</v>
      </c>
      <c r="ES90" s="618">
        <v>1</v>
      </c>
      <c r="ET90" s="618">
        <v>0</v>
      </c>
      <c r="EU90" s="618">
        <v>0</v>
      </c>
      <c r="EV90" s="617"/>
      <c r="EW90" s="617"/>
      <c r="EX90" s="618">
        <v>2</v>
      </c>
      <c r="EY90" s="515"/>
      <c r="FA90" s="70"/>
      <c r="FB90" s="70"/>
      <c r="FC90" s="42"/>
      <c r="FD90" s="484" t="s">
        <v>15</v>
      </c>
      <c r="FE90" s="454"/>
      <c r="FF90" s="454"/>
      <c r="FG90" s="454"/>
      <c r="FH90" s="454"/>
      <c r="FI90" s="454"/>
      <c r="FJ90" s="454"/>
      <c r="FK90" s="454">
        <v>9</v>
      </c>
      <c r="FL90" s="454"/>
      <c r="FM90" s="454">
        <v>1</v>
      </c>
      <c r="FN90" s="454"/>
      <c r="FO90" s="454">
        <v>10</v>
      </c>
      <c r="FP90" s="536">
        <f>+(FO86+FO88+FO89)/FO90</f>
        <v>0.9</v>
      </c>
      <c r="FQ90" s="42"/>
      <c r="FR90" s="516"/>
      <c r="FS90" s="516"/>
      <c r="FT90" s="516"/>
      <c r="FU90" s="519" t="s">
        <v>15</v>
      </c>
      <c r="FV90" s="519">
        <v>0</v>
      </c>
      <c r="FW90" s="519">
        <v>0</v>
      </c>
      <c r="FX90" s="519">
        <v>0</v>
      </c>
      <c r="FY90" s="519">
        <v>1</v>
      </c>
      <c r="FZ90" s="519">
        <v>1</v>
      </c>
      <c r="GA90" s="519">
        <v>1</v>
      </c>
      <c r="GB90" s="519">
        <v>8</v>
      </c>
      <c r="GC90" s="519">
        <v>15</v>
      </c>
      <c r="GD90" s="519">
        <v>54</v>
      </c>
      <c r="GE90" s="519">
        <v>0</v>
      </c>
      <c r="GF90" s="519">
        <v>0</v>
      </c>
      <c r="GG90" s="579">
        <v>80</v>
      </c>
      <c r="GH90" s="629">
        <f>+(GG89+GG86)/GG90</f>
        <v>7.4999999999999997E-2</v>
      </c>
      <c r="GI90" s="518">
        <f>+GG86+GG89</f>
        <v>6</v>
      </c>
    </row>
    <row r="91" spans="2:191">
      <c r="D91" s="4800" t="s">
        <v>1231</v>
      </c>
      <c r="E91" s="4606"/>
      <c r="F91" s="4606"/>
      <c r="G91" s="4606"/>
      <c r="H91" s="4606"/>
      <c r="I91" s="4606"/>
      <c r="J91" s="4606">
        <v>1</v>
      </c>
      <c r="K91" s="4606">
        <v>1</v>
      </c>
      <c r="L91" s="4606"/>
      <c r="M91" s="4606">
        <v>0</v>
      </c>
      <c r="N91" s="2552"/>
      <c r="O91" s="2552"/>
      <c r="P91" s="2552">
        <v>2</v>
      </c>
      <c r="Q91" s="2552"/>
      <c r="R91" s="2552"/>
      <c r="U91" s="1793"/>
      <c r="V91" s="1793" t="s">
        <v>546</v>
      </c>
      <c r="W91" s="4804"/>
      <c r="X91" s="4804"/>
      <c r="Y91" s="4804"/>
      <c r="Z91" s="4804">
        <v>1</v>
      </c>
      <c r="AA91" s="4804">
        <v>1</v>
      </c>
      <c r="AB91" s="4804">
        <v>1</v>
      </c>
      <c r="AC91" s="4804">
        <v>19</v>
      </c>
      <c r="AD91" s="4804"/>
      <c r="AE91" s="4702"/>
      <c r="AF91" s="4702">
        <v>22</v>
      </c>
      <c r="AG91" s="4703">
        <v>0</v>
      </c>
      <c r="AI91" s="41"/>
      <c r="AJ91" s="41"/>
      <c r="AK91" s="461" t="s">
        <v>106</v>
      </c>
      <c r="AL91" s="461" t="s">
        <v>1230</v>
      </c>
      <c r="AM91" s="2002">
        <v>0</v>
      </c>
      <c r="AN91" s="2002">
        <v>0</v>
      </c>
      <c r="AO91" s="2002">
        <v>0</v>
      </c>
      <c r="AP91" s="2002">
        <v>0</v>
      </c>
      <c r="AQ91" s="2002">
        <v>0</v>
      </c>
      <c r="AR91" s="2002">
        <v>1</v>
      </c>
      <c r="AS91" s="2002">
        <v>3</v>
      </c>
      <c r="AT91" s="2002">
        <v>5</v>
      </c>
      <c r="AU91" s="2480">
        <v>0</v>
      </c>
      <c r="AV91" s="2480">
        <v>0</v>
      </c>
      <c r="AW91" s="2480">
        <v>9</v>
      </c>
      <c r="AX91" s="41"/>
      <c r="AZ91" s="42"/>
      <c r="BA91" s="42"/>
      <c r="BB91" s="42"/>
      <c r="BC91" s="42" t="s">
        <v>1239</v>
      </c>
      <c r="BD91" s="1993"/>
      <c r="BE91" s="1993"/>
      <c r="BF91" s="1993"/>
      <c r="BG91" s="1993"/>
      <c r="BH91" s="1993"/>
      <c r="BI91" s="1993"/>
      <c r="BJ91" s="1993">
        <v>0</v>
      </c>
      <c r="BK91" s="1993">
        <v>0</v>
      </c>
      <c r="BL91" s="1993">
        <v>4</v>
      </c>
      <c r="BM91" s="70">
        <v>1</v>
      </c>
      <c r="BN91" s="70"/>
      <c r="BO91" s="70">
        <v>5</v>
      </c>
      <c r="BR91" s="105"/>
      <c r="BS91" s="105"/>
      <c r="BT91" s="41"/>
      <c r="BU91" s="41" t="s">
        <v>1236</v>
      </c>
      <c r="BV91" s="1659"/>
      <c r="BW91" s="1659"/>
      <c r="BX91" s="1659"/>
      <c r="BY91" s="1659">
        <v>0</v>
      </c>
      <c r="BZ91" s="1659">
        <v>2</v>
      </c>
      <c r="CA91" s="1659"/>
      <c r="CB91" s="1659"/>
      <c r="CC91" s="1659">
        <v>0</v>
      </c>
      <c r="CD91" s="1659">
        <v>0</v>
      </c>
      <c r="CE91" s="105">
        <v>0</v>
      </c>
      <c r="CF91" s="105">
        <v>0</v>
      </c>
      <c r="CG91" s="105">
        <v>2</v>
      </c>
      <c r="CH91" s="105"/>
      <c r="CJ91" s="1359"/>
      <c r="CK91" s="1359"/>
      <c r="CL91" s="1360"/>
      <c r="CM91" s="1361" t="s">
        <v>1231</v>
      </c>
      <c r="CN91" s="1363">
        <v>1</v>
      </c>
      <c r="CO91" s="1363">
        <v>1</v>
      </c>
      <c r="CP91" s="1363">
        <v>3</v>
      </c>
      <c r="CQ91" s="1363">
        <v>3</v>
      </c>
      <c r="CR91" s="1363">
        <v>7</v>
      </c>
      <c r="CS91" s="1363">
        <v>29</v>
      </c>
      <c r="CT91" s="1363">
        <v>15</v>
      </c>
      <c r="CU91" s="1363">
        <v>0</v>
      </c>
      <c r="CV91" s="686"/>
      <c r="CW91" s="687">
        <v>0</v>
      </c>
      <c r="CX91" s="687">
        <v>59</v>
      </c>
      <c r="CY91" s="41"/>
      <c r="DA91" s="602"/>
      <c r="DB91" s="602"/>
      <c r="DC91" s="603"/>
      <c r="DD91" s="604" t="s">
        <v>1235</v>
      </c>
      <c r="DE91" s="606">
        <v>0</v>
      </c>
      <c r="DF91" s="605"/>
      <c r="DG91" s="605"/>
      <c r="DH91" s="605"/>
      <c r="DI91" s="605"/>
      <c r="DJ91" s="606">
        <v>1</v>
      </c>
      <c r="DK91" s="606">
        <v>1</v>
      </c>
      <c r="DL91" s="606">
        <v>3</v>
      </c>
      <c r="DM91" s="607">
        <v>0</v>
      </c>
      <c r="DN91" s="607">
        <v>0</v>
      </c>
      <c r="DO91" s="607">
        <v>5</v>
      </c>
      <c r="DP91" s="105"/>
      <c r="DR91" s="608"/>
      <c r="DS91" s="608"/>
      <c r="DT91" s="608"/>
      <c r="DU91" s="609" t="s">
        <v>1235</v>
      </c>
      <c r="DV91" s="611">
        <v>0</v>
      </c>
      <c r="DW91" s="610"/>
      <c r="DX91" s="610"/>
      <c r="DY91" s="610"/>
      <c r="DZ91" s="610"/>
      <c r="EA91" s="611">
        <v>0</v>
      </c>
      <c r="EB91" s="610"/>
      <c r="EC91" s="611">
        <v>2</v>
      </c>
      <c r="ED91" s="611">
        <v>0</v>
      </c>
      <c r="EE91" s="612"/>
      <c r="EF91" s="613">
        <v>0</v>
      </c>
      <c r="EG91" s="613">
        <v>2</v>
      </c>
      <c r="EH91" s="614"/>
      <c r="EJ91" s="615"/>
      <c r="EK91" s="615"/>
      <c r="EL91" s="615"/>
      <c r="EM91" s="616" t="s">
        <v>1239</v>
      </c>
      <c r="EN91" s="617"/>
      <c r="EO91" s="617"/>
      <c r="EP91" s="617"/>
      <c r="EQ91" s="617"/>
      <c r="ER91" s="618">
        <v>0</v>
      </c>
      <c r="ES91" s="618">
        <v>0</v>
      </c>
      <c r="ET91" s="618">
        <v>0</v>
      </c>
      <c r="EU91" s="618">
        <v>1</v>
      </c>
      <c r="EV91" s="617"/>
      <c r="EW91" s="617"/>
      <c r="EX91" s="618">
        <v>1</v>
      </c>
      <c r="EY91" s="515"/>
      <c r="FA91" s="70"/>
      <c r="FB91" s="70" t="s">
        <v>41</v>
      </c>
      <c r="FC91" s="42" t="s">
        <v>129</v>
      </c>
      <c r="FD91" s="42" t="s">
        <v>1230</v>
      </c>
      <c r="FE91" s="70"/>
      <c r="FF91" s="70">
        <v>0</v>
      </c>
      <c r="FG91" s="70"/>
      <c r="FH91" s="70"/>
      <c r="FI91" s="70"/>
      <c r="FJ91" s="70">
        <v>0</v>
      </c>
      <c r="FK91" s="70">
        <v>0</v>
      </c>
      <c r="FL91" s="70">
        <v>1</v>
      </c>
      <c r="FM91" s="70"/>
      <c r="FN91" s="70"/>
      <c r="FO91" s="70">
        <v>1</v>
      </c>
      <c r="FP91" s="42"/>
      <c r="FQ91" s="42"/>
      <c r="FR91" s="516"/>
      <c r="FS91" s="516"/>
      <c r="FT91" s="516" t="s">
        <v>127</v>
      </c>
      <c r="FU91" s="516" t="s">
        <v>1231</v>
      </c>
      <c r="FV91" s="516">
        <v>0</v>
      </c>
      <c r="FW91" s="516">
        <v>0</v>
      </c>
      <c r="FX91" s="516">
        <v>1</v>
      </c>
      <c r="FY91" s="516">
        <v>0</v>
      </c>
      <c r="FZ91" s="516">
        <v>0</v>
      </c>
      <c r="GA91" s="516">
        <v>0</v>
      </c>
      <c r="GB91" s="516">
        <v>2</v>
      </c>
      <c r="GC91" s="516">
        <v>2</v>
      </c>
      <c r="GD91" s="516">
        <v>0</v>
      </c>
      <c r="GE91" s="516">
        <v>0</v>
      </c>
      <c r="GF91" s="516">
        <v>0</v>
      </c>
      <c r="GG91" s="517">
        <v>5</v>
      </c>
      <c r="GH91" s="619"/>
      <c r="GI91" s="518"/>
    </row>
    <row r="92" spans="2:191">
      <c r="D92" s="4800" t="s">
        <v>1239</v>
      </c>
      <c r="E92" s="4606"/>
      <c r="F92" s="4606"/>
      <c r="G92" s="4606"/>
      <c r="H92" s="4606"/>
      <c r="I92" s="4606"/>
      <c r="J92" s="4606">
        <v>0</v>
      </c>
      <c r="K92" s="4606">
        <v>0</v>
      </c>
      <c r="L92" s="4606"/>
      <c r="M92" s="4606">
        <v>2</v>
      </c>
      <c r="N92" s="2552"/>
      <c r="O92" s="2552"/>
      <c r="P92" s="2552">
        <v>2</v>
      </c>
      <c r="Q92" s="2552"/>
      <c r="R92" s="2552"/>
      <c r="U92" s="1793" t="s">
        <v>106</v>
      </c>
      <c r="V92" s="1793" t="s">
        <v>1230</v>
      </c>
      <c r="W92" s="4804">
        <v>0</v>
      </c>
      <c r="X92" s="4804">
        <v>0</v>
      </c>
      <c r="Y92" s="4804">
        <v>0</v>
      </c>
      <c r="Z92" s="4804">
        <v>2</v>
      </c>
      <c r="AA92" s="4804">
        <v>0</v>
      </c>
      <c r="AB92" s="4804">
        <v>0</v>
      </c>
      <c r="AC92" s="4804">
        <v>6</v>
      </c>
      <c r="AD92" s="4804">
        <v>0</v>
      </c>
      <c r="AE92" s="4702">
        <v>2</v>
      </c>
      <c r="AF92" s="4702">
        <v>10</v>
      </c>
      <c r="AG92" s="1793"/>
      <c r="AI92" s="41"/>
      <c r="AJ92" s="41"/>
      <c r="AK92" s="461"/>
      <c r="AL92" s="461" t="s">
        <v>1231</v>
      </c>
      <c r="AM92" s="2002">
        <v>2</v>
      </c>
      <c r="AN92" s="2002">
        <v>1</v>
      </c>
      <c r="AO92" s="2002">
        <v>1</v>
      </c>
      <c r="AP92" s="2002">
        <v>1</v>
      </c>
      <c r="AQ92" s="2002">
        <v>0</v>
      </c>
      <c r="AR92" s="2002">
        <v>23</v>
      </c>
      <c r="AS92" s="2002">
        <v>17</v>
      </c>
      <c r="AT92" s="2002">
        <v>1</v>
      </c>
      <c r="AU92" s="2480">
        <v>1</v>
      </c>
      <c r="AV92" s="2480">
        <v>0</v>
      </c>
      <c r="AW92" s="2480">
        <v>47</v>
      </c>
      <c r="AX92" s="41"/>
      <c r="AZ92" s="42"/>
      <c r="BA92" s="42"/>
      <c r="BB92" s="42"/>
      <c r="BC92" s="484" t="s">
        <v>15</v>
      </c>
      <c r="BD92" s="1994"/>
      <c r="BE92" s="1994"/>
      <c r="BF92" s="1994"/>
      <c r="BG92" s="1994"/>
      <c r="BH92" s="1994"/>
      <c r="BI92" s="1994"/>
      <c r="BJ92" s="1994">
        <v>1</v>
      </c>
      <c r="BK92" s="1994">
        <v>1</v>
      </c>
      <c r="BL92" s="1994">
        <v>4</v>
      </c>
      <c r="BM92" s="454">
        <v>1</v>
      </c>
      <c r="BN92" s="454"/>
      <c r="BO92" s="454">
        <v>7</v>
      </c>
      <c r="BP92" s="2485">
        <v>0</v>
      </c>
      <c r="BR92" s="105"/>
      <c r="BS92" s="105"/>
      <c r="BT92" s="41"/>
      <c r="BU92" s="41" t="s">
        <v>1239</v>
      </c>
      <c r="BV92" s="1659"/>
      <c r="BW92" s="1659"/>
      <c r="BX92" s="1659"/>
      <c r="BY92" s="1659">
        <v>0</v>
      </c>
      <c r="BZ92" s="1659">
        <v>0</v>
      </c>
      <c r="CA92" s="1659"/>
      <c r="CB92" s="1659"/>
      <c r="CC92" s="1659">
        <v>0</v>
      </c>
      <c r="CD92" s="1659">
        <v>4</v>
      </c>
      <c r="CE92" s="105">
        <v>1</v>
      </c>
      <c r="CF92" s="105">
        <v>1</v>
      </c>
      <c r="CG92" s="105">
        <v>6</v>
      </c>
      <c r="CH92" s="105"/>
      <c r="CJ92" s="1359"/>
      <c r="CK92" s="1359"/>
      <c r="CL92" s="1360"/>
      <c r="CM92" s="1361" t="s">
        <v>1233</v>
      </c>
      <c r="CN92" s="1363">
        <v>1</v>
      </c>
      <c r="CO92" s="1363">
        <v>1</v>
      </c>
      <c r="CP92" s="1363">
        <v>1</v>
      </c>
      <c r="CQ92" s="1363">
        <v>0</v>
      </c>
      <c r="CR92" s="1363">
        <v>0</v>
      </c>
      <c r="CS92" s="1363">
        <v>0</v>
      </c>
      <c r="CT92" s="1363">
        <v>0</v>
      </c>
      <c r="CU92" s="1363">
        <v>0</v>
      </c>
      <c r="CV92" s="686"/>
      <c r="CW92" s="687">
        <v>0</v>
      </c>
      <c r="CX92" s="687">
        <v>3</v>
      </c>
      <c r="CY92" s="41"/>
      <c r="DA92" s="602"/>
      <c r="DB92" s="602"/>
      <c r="DC92" s="603"/>
      <c r="DD92" s="604" t="s">
        <v>1239</v>
      </c>
      <c r="DE92" s="606">
        <v>0</v>
      </c>
      <c r="DF92" s="605"/>
      <c r="DG92" s="605"/>
      <c r="DH92" s="605"/>
      <c r="DI92" s="605"/>
      <c r="DJ92" s="606">
        <v>0</v>
      </c>
      <c r="DK92" s="606">
        <v>0</v>
      </c>
      <c r="DL92" s="606">
        <v>1</v>
      </c>
      <c r="DM92" s="607">
        <v>0</v>
      </c>
      <c r="DN92" s="607">
        <v>1</v>
      </c>
      <c r="DO92" s="607">
        <v>2</v>
      </c>
      <c r="DP92" s="105"/>
      <c r="DR92" s="608"/>
      <c r="DS92" s="608"/>
      <c r="DT92" s="608"/>
      <c r="DU92" s="609" t="s">
        <v>1239</v>
      </c>
      <c r="DV92" s="611">
        <v>0</v>
      </c>
      <c r="DW92" s="610"/>
      <c r="DX92" s="610"/>
      <c r="DY92" s="610"/>
      <c r="DZ92" s="610"/>
      <c r="EA92" s="611">
        <v>0</v>
      </c>
      <c r="EB92" s="610"/>
      <c r="EC92" s="611">
        <v>0</v>
      </c>
      <c r="ED92" s="611">
        <v>3</v>
      </c>
      <c r="EE92" s="612"/>
      <c r="EF92" s="613">
        <v>0</v>
      </c>
      <c r="EG92" s="613">
        <v>3</v>
      </c>
      <c r="EH92" s="614"/>
      <c r="EJ92" s="615"/>
      <c r="EK92" s="615"/>
      <c r="EL92" s="615"/>
      <c r="EM92" s="616" t="s">
        <v>1344</v>
      </c>
      <c r="EN92" s="617"/>
      <c r="EO92" s="617"/>
      <c r="EP92" s="617"/>
      <c r="EQ92" s="617"/>
      <c r="ER92" s="618">
        <v>0</v>
      </c>
      <c r="ES92" s="618">
        <v>1</v>
      </c>
      <c r="ET92" s="618">
        <v>2</v>
      </c>
      <c r="EU92" s="618">
        <v>0</v>
      </c>
      <c r="EV92" s="617"/>
      <c r="EW92" s="617"/>
      <c r="EX92" s="618">
        <v>3</v>
      </c>
      <c r="EY92" s="515"/>
      <c r="FA92" s="70"/>
      <c r="FB92" s="70"/>
      <c r="FC92" s="42"/>
      <c r="FD92" s="42" t="s">
        <v>1231</v>
      </c>
      <c r="FE92" s="70"/>
      <c r="FF92" s="70">
        <v>2</v>
      </c>
      <c r="FG92" s="70"/>
      <c r="FH92" s="70"/>
      <c r="FI92" s="70"/>
      <c r="FJ92" s="70">
        <v>1</v>
      </c>
      <c r="FK92" s="70">
        <v>1</v>
      </c>
      <c r="FL92" s="70">
        <v>0</v>
      </c>
      <c r="FM92" s="70"/>
      <c r="FN92" s="70"/>
      <c r="FO92" s="70">
        <v>4</v>
      </c>
      <c r="FP92" s="42"/>
      <c r="FQ92" s="42"/>
      <c r="FR92" s="516"/>
      <c r="FS92" s="516"/>
      <c r="FT92" s="516"/>
      <c r="FU92" s="516" t="s">
        <v>1233</v>
      </c>
      <c r="FV92" s="516">
        <v>0</v>
      </c>
      <c r="FW92" s="516">
        <v>0</v>
      </c>
      <c r="FX92" s="516">
        <v>0</v>
      </c>
      <c r="FY92" s="516">
        <v>1</v>
      </c>
      <c r="FZ92" s="516">
        <v>0</v>
      </c>
      <c r="GA92" s="516">
        <v>0</v>
      </c>
      <c r="GB92" s="516">
        <v>0</v>
      </c>
      <c r="GC92" s="516">
        <v>0</v>
      </c>
      <c r="GD92" s="516">
        <v>0</v>
      </c>
      <c r="GE92" s="516">
        <v>0</v>
      </c>
      <c r="GF92" s="516">
        <v>0</v>
      </c>
      <c r="GG92" s="517">
        <v>1</v>
      </c>
      <c r="GH92" s="619"/>
      <c r="GI92" s="518"/>
    </row>
    <row r="93" spans="2:191">
      <c r="D93" s="32" t="s">
        <v>15</v>
      </c>
      <c r="E93" s="4607"/>
      <c r="F93" s="4607"/>
      <c r="G93" s="4607"/>
      <c r="H93" s="4607"/>
      <c r="I93" s="4607"/>
      <c r="J93" s="4607">
        <v>2</v>
      </c>
      <c r="K93" s="4607">
        <v>1</v>
      </c>
      <c r="L93" s="4607"/>
      <c r="M93" s="4607">
        <v>2</v>
      </c>
      <c r="N93" s="4583"/>
      <c r="O93" s="4583"/>
      <c r="P93" s="4583">
        <v>5</v>
      </c>
      <c r="Q93" s="1977">
        <v>0</v>
      </c>
      <c r="R93" s="1977"/>
      <c r="U93" s="1793"/>
      <c r="V93" s="1793" t="s">
        <v>1231</v>
      </c>
      <c r="W93" s="4804">
        <v>13</v>
      </c>
      <c r="X93" s="4804">
        <v>3</v>
      </c>
      <c r="Y93" s="4804">
        <v>3</v>
      </c>
      <c r="Z93" s="4804">
        <v>0</v>
      </c>
      <c r="AA93" s="4804">
        <v>7</v>
      </c>
      <c r="AB93" s="4804">
        <v>49</v>
      </c>
      <c r="AC93" s="4804">
        <v>16</v>
      </c>
      <c r="AD93" s="4804">
        <v>16</v>
      </c>
      <c r="AE93" s="4702">
        <v>0</v>
      </c>
      <c r="AF93" s="4702">
        <v>107</v>
      </c>
      <c r="AG93" s="1793"/>
      <c r="AI93" s="41"/>
      <c r="AJ93" s="41"/>
      <c r="AK93" s="461"/>
      <c r="AL93" s="461" t="s">
        <v>1233</v>
      </c>
      <c r="AM93" s="2002">
        <v>1</v>
      </c>
      <c r="AN93" s="2002">
        <v>0</v>
      </c>
      <c r="AO93" s="2002">
        <v>0</v>
      </c>
      <c r="AP93" s="2002">
        <v>0</v>
      </c>
      <c r="AQ93" s="2002">
        <v>0</v>
      </c>
      <c r="AR93" s="2002">
        <v>0</v>
      </c>
      <c r="AS93" s="2002">
        <v>0</v>
      </c>
      <c r="AT93" s="2002">
        <v>0</v>
      </c>
      <c r="AU93" s="2480">
        <v>0</v>
      </c>
      <c r="AV93" s="2480">
        <v>0</v>
      </c>
      <c r="AW93" s="2480">
        <v>1</v>
      </c>
      <c r="AX93" s="41"/>
      <c r="AZ93" s="42"/>
      <c r="BA93" s="42"/>
      <c r="BB93" s="42" t="s">
        <v>546</v>
      </c>
      <c r="BC93" s="42" t="s">
        <v>1230</v>
      </c>
      <c r="BD93" s="1993">
        <v>0</v>
      </c>
      <c r="BE93" s="1993">
        <v>0</v>
      </c>
      <c r="BF93" s="1993">
        <v>0</v>
      </c>
      <c r="BG93" s="1993"/>
      <c r="BH93" s="1993">
        <v>0</v>
      </c>
      <c r="BI93" s="1993">
        <v>0</v>
      </c>
      <c r="BJ93" s="1993">
        <v>0</v>
      </c>
      <c r="BK93" s="1993">
        <v>1</v>
      </c>
      <c r="BL93" s="1993">
        <v>0</v>
      </c>
      <c r="BM93" s="70">
        <v>0</v>
      </c>
      <c r="BN93" s="70"/>
      <c r="BO93" s="70">
        <v>1</v>
      </c>
      <c r="BR93" s="105"/>
      <c r="BS93" s="105"/>
      <c r="BT93" s="41"/>
      <c r="BU93" s="41" t="s">
        <v>1344</v>
      </c>
      <c r="BV93" s="1659"/>
      <c r="BW93" s="1659"/>
      <c r="BX93" s="1659"/>
      <c r="BY93" s="1659">
        <v>0</v>
      </c>
      <c r="BZ93" s="1659">
        <v>0</v>
      </c>
      <c r="CA93" s="1659"/>
      <c r="CB93" s="1659"/>
      <c r="CC93" s="1659">
        <v>0</v>
      </c>
      <c r="CD93" s="1659">
        <v>2</v>
      </c>
      <c r="CE93" s="105">
        <v>0</v>
      </c>
      <c r="CF93" s="105">
        <v>0</v>
      </c>
      <c r="CG93" s="105">
        <v>2</v>
      </c>
      <c r="CH93" s="105"/>
      <c r="CJ93" s="1359"/>
      <c r="CK93" s="1359"/>
      <c r="CL93" s="1360"/>
      <c r="CM93" s="1361" t="s">
        <v>1235</v>
      </c>
      <c r="CN93" s="1363">
        <v>0</v>
      </c>
      <c r="CO93" s="1363">
        <v>0</v>
      </c>
      <c r="CP93" s="1363">
        <v>0</v>
      </c>
      <c r="CQ93" s="1363">
        <v>2</v>
      </c>
      <c r="CR93" s="1363">
        <v>1</v>
      </c>
      <c r="CS93" s="1363">
        <v>1</v>
      </c>
      <c r="CT93" s="1363">
        <v>2</v>
      </c>
      <c r="CU93" s="1363">
        <v>0</v>
      </c>
      <c r="CV93" s="686"/>
      <c r="CW93" s="687">
        <v>0</v>
      </c>
      <c r="CX93" s="687">
        <v>6</v>
      </c>
      <c r="CY93" s="41"/>
      <c r="DA93" s="602"/>
      <c r="DB93" s="602"/>
      <c r="DC93" s="603"/>
      <c r="DD93" s="604" t="s">
        <v>1344</v>
      </c>
      <c r="DE93" s="606">
        <v>0</v>
      </c>
      <c r="DF93" s="605"/>
      <c r="DG93" s="605"/>
      <c r="DH93" s="605"/>
      <c r="DI93" s="605"/>
      <c r="DJ93" s="606">
        <v>0</v>
      </c>
      <c r="DK93" s="606">
        <v>1</v>
      </c>
      <c r="DL93" s="606">
        <v>0</v>
      </c>
      <c r="DM93" s="607">
        <v>0</v>
      </c>
      <c r="DN93" s="607">
        <v>0</v>
      </c>
      <c r="DO93" s="607">
        <v>1</v>
      </c>
      <c r="DP93" s="105"/>
      <c r="DR93" s="608"/>
      <c r="DS93" s="608"/>
      <c r="DT93" s="608"/>
      <c r="DU93" s="609" t="s">
        <v>1344</v>
      </c>
      <c r="DV93" s="611">
        <v>0</v>
      </c>
      <c r="DW93" s="610"/>
      <c r="DX93" s="610"/>
      <c r="DY93" s="610"/>
      <c r="DZ93" s="610"/>
      <c r="EA93" s="611">
        <v>1</v>
      </c>
      <c r="EB93" s="610"/>
      <c r="EC93" s="611">
        <v>0</v>
      </c>
      <c r="ED93" s="611">
        <v>0</v>
      </c>
      <c r="EE93" s="612"/>
      <c r="EF93" s="613">
        <v>0</v>
      </c>
      <c r="EG93" s="613">
        <v>1</v>
      </c>
      <c r="EH93" s="614"/>
      <c r="EJ93" s="615"/>
      <c r="EK93" s="615"/>
      <c r="EL93" s="615"/>
      <c r="EM93" s="625" t="s">
        <v>15</v>
      </c>
      <c r="EN93" s="626"/>
      <c r="EO93" s="626"/>
      <c r="EP93" s="626"/>
      <c r="EQ93" s="626"/>
      <c r="ER93" s="627">
        <v>1</v>
      </c>
      <c r="ES93" s="627">
        <v>14</v>
      </c>
      <c r="ET93" s="627">
        <v>19</v>
      </c>
      <c r="EU93" s="627">
        <v>2</v>
      </c>
      <c r="EV93" s="626"/>
      <c r="EW93" s="626"/>
      <c r="EX93" s="627">
        <v>36</v>
      </c>
      <c r="EY93" s="628">
        <f>+(EX92+EX89)/EX93</f>
        <v>0.72222222222222221</v>
      </c>
      <c r="FA93" s="70"/>
      <c r="FB93" s="70"/>
      <c r="FC93" s="42"/>
      <c r="FD93" s="42" t="s">
        <v>1235</v>
      </c>
      <c r="FE93" s="70"/>
      <c r="FF93" s="70">
        <v>0</v>
      </c>
      <c r="FG93" s="70"/>
      <c r="FH93" s="70"/>
      <c r="FI93" s="70"/>
      <c r="FJ93" s="70">
        <v>2</v>
      </c>
      <c r="FK93" s="70">
        <v>2</v>
      </c>
      <c r="FL93" s="70">
        <v>0</v>
      </c>
      <c r="FM93" s="70"/>
      <c r="FN93" s="70"/>
      <c r="FO93" s="70">
        <v>4</v>
      </c>
      <c r="FP93" s="42"/>
      <c r="FQ93" s="42"/>
      <c r="FR93" s="516"/>
      <c r="FS93" s="516"/>
      <c r="FT93" s="516"/>
      <c r="FU93" s="516" t="s">
        <v>1235</v>
      </c>
      <c r="FV93" s="516">
        <v>0</v>
      </c>
      <c r="FW93" s="516">
        <v>0</v>
      </c>
      <c r="FX93" s="516">
        <v>0</v>
      </c>
      <c r="FY93" s="516">
        <v>0</v>
      </c>
      <c r="FZ93" s="516">
        <v>0</v>
      </c>
      <c r="GA93" s="516">
        <v>0</v>
      </c>
      <c r="GB93" s="516">
        <v>7</v>
      </c>
      <c r="GC93" s="516">
        <v>0</v>
      </c>
      <c r="GD93" s="516">
        <v>0</v>
      </c>
      <c r="GE93" s="516">
        <v>0</v>
      </c>
      <c r="GF93" s="516">
        <v>0</v>
      </c>
      <c r="GG93" s="517">
        <v>7</v>
      </c>
      <c r="GH93" s="619"/>
      <c r="GI93" s="518"/>
    </row>
    <row r="94" spans="2:191">
      <c r="C94" s="4800" t="s">
        <v>1637</v>
      </c>
      <c r="D94" s="4800" t="s">
        <v>1239</v>
      </c>
      <c r="E94" s="4606">
        <v>0</v>
      </c>
      <c r="F94" s="4606"/>
      <c r="G94" s="4606"/>
      <c r="H94" s="4606"/>
      <c r="I94" s="4606"/>
      <c r="J94" s="4606"/>
      <c r="K94" s="4606"/>
      <c r="L94" s="4606"/>
      <c r="M94" s="4606">
        <v>8</v>
      </c>
      <c r="N94" s="2552"/>
      <c r="O94" s="2552"/>
      <c r="P94" s="2552">
        <v>8</v>
      </c>
      <c r="Q94" s="2552"/>
      <c r="R94" s="2552"/>
      <c r="U94" s="1793"/>
      <c r="V94" s="1793" t="s">
        <v>1233</v>
      </c>
      <c r="W94" s="4804">
        <v>4</v>
      </c>
      <c r="X94" s="4804">
        <v>2</v>
      </c>
      <c r="Y94" s="4804">
        <v>1</v>
      </c>
      <c r="Z94" s="4804">
        <v>0</v>
      </c>
      <c r="AA94" s="4804">
        <v>0</v>
      </c>
      <c r="AB94" s="4804">
        <v>0</v>
      </c>
      <c r="AC94" s="4804">
        <v>0</v>
      </c>
      <c r="AD94" s="4804">
        <v>0</v>
      </c>
      <c r="AE94" s="4702">
        <v>0</v>
      </c>
      <c r="AF94" s="4702">
        <v>7</v>
      </c>
      <c r="AG94" s="1793"/>
      <c r="AI94" s="41"/>
      <c r="AJ94" s="41"/>
      <c r="AK94" s="461"/>
      <c r="AL94" s="461" t="s">
        <v>1235</v>
      </c>
      <c r="AM94" s="2002">
        <v>0</v>
      </c>
      <c r="AN94" s="2002">
        <v>0</v>
      </c>
      <c r="AO94" s="2002">
        <v>0</v>
      </c>
      <c r="AP94" s="2002">
        <v>0</v>
      </c>
      <c r="AQ94" s="2002">
        <v>1</v>
      </c>
      <c r="AR94" s="2002">
        <v>5</v>
      </c>
      <c r="AS94" s="2002">
        <v>7</v>
      </c>
      <c r="AT94" s="2002">
        <v>1</v>
      </c>
      <c r="AU94" s="2480">
        <v>0</v>
      </c>
      <c r="AV94" s="2480">
        <v>0</v>
      </c>
      <c r="AW94" s="2480">
        <v>14</v>
      </c>
      <c r="AX94" s="41"/>
      <c r="AZ94" s="42"/>
      <c r="BA94" s="42"/>
      <c r="BB94" s="42"/>
      <c r="BC94" s="42" t="s">
        <v>1231</v>
      </c>
      <c r="BD94" s="1993">
        <v>2</v>
      </c>
      <c r="BE94" s="1993">
        <v>3</v>
      </c>
      <c r="BF94" s="1993">
        <v>0</v>
      </c>
      <c r="BG94" s="1993"/>
      <c r="BH94" s="1993">
        <v>4</v>
      </c>
      <c r="BI94" s="1993">
        <v>6</v>
      </c>
      <c r="BJ94" s="1993">
        <v>7</v>
      </c>
      <c r="BK94" s="1993">
        <v>11</v>
      </c>
      <c r="BL94" s="1993">
        <v>1</v>
      </c>
      <c r="BM94" s="70">
        <v>0</v>
      </c>
      <c r="BN94" s="70"/>
      <c r="BO94" s="70">
        <v>34</v>
      </c>
      <c r="BR94" s="105"/>
      <c r="BS94" s="105"/>
      <c r="BT94" s="41"/>
      <c r="BU94" s="461" t="s">
        <v>15</v>
      </c>
      <c r="BV94" s="1660"/>
      <c r="BW94" s="1660"/>
      <c r="BX94" s="1660"/>
      <c r="BY94" s="1660">
        <v>1</v>
      </c>
      <c r="BZ94" s="1660">
        <v>2</v>
      </c>
      <c r="CA94" s="1660"/>
      <c r="CB94" s="1660"/>
      <c r="CC94" s="1660">
        <v>1</v>
      </c>
      <c r="CD94" s="1660">
        <v>6</v>
      </c>
      <c r="CE94" s="96">
        <v>1</v>
      </c>
      <c r="CF94" s="96">
        <v>1</v>
      </c>
      <c r="CG94" s="96">
        <v>12</v>
      </c>
      <c r="CH94" s="635">
        <f>+CG93/CG94</f>
        <v>0.16666666666666666</v>
      </c>
      <c r="CJ94" s="1359"/>
      <c r="CK94" s="1359"/>
      <c r="CL94" s="1360"/>
      <c r="CM94" s="1361" t="s">
        <v>1236</v>
      </c>
      <c r="CN94" s="1363">
        <v>0</v>
      </c>
      <c r="CO94" s="1363">
        <v>0</v>
      </c>
      <c r="CP94" s="1363">
        <v>4</v>
      </c>
      <c r="CQ94" s="1363">
        <v>7</v>
      </c>
      <c r="CR94" s="1363">
        <v>6</v>
      </c>
      <c r="CS94" s="1363">
        <v>10</v>
      </c>
      <c r="CT94" s="1363">
        <v>0</v>
      </c>
      <c r="CU94" s="1363">
        <v>0</v>
      </c>
      <c r="CV94" s="686"/>
      <c r="CW94" s="687">
        <v>0</v>
      </c>
      <c r="CX94" s="687">
        <v>27</v>
      </c>
      <c r="CY94" s="41"/>
      <c r="DA94" s="602"/>
      <c r="DB94" s="602"/>
      <c r="DC94" s="603"/>
      <c r="DD94" s="630" t="s">
        <v>15</v>
      </c>
      <c r="DE94" s="632">
        <v>2</v>
      </c>
      <c r="DF94" s="631"/>
      <c r="DG94" s="631"/>
      <c r="DH94" s="631"/>
      <c r="DI94" s="631"/>
      <c r="DJ94" s="632">
        <v>1</v>
      </c>
      <c r="DK94" s="632">
        <v>2</v>
      </c>
      <c r="DL94" s="632">
        <v>15</v>
      </c>
      <c r="DM94" s="634">
        <v>1</v>
      </c>
      <c r="DN94" s="634">
        <v>5</v>
      </c>
      <c r="DO94" s="634">
        <v>26</v>
      </c>
      <c r="DP94" s="635">
        <f>+(DO91+DO93)/DO94</f>
        <v>0.23076923076923078</v>
      </c>
      <c r="DR94" s="608"/>
      <c r="DS94" s="608"/>
      <c r="DT94" s="608"/>
      <c r="DU94" s="620" t="s">
        <v>15</v>
      </c>
      <c r="DV94" s="622">
        <v>1</v>
      </c>
      <c r="DW94" s="621"/>
      <c r="DX94" s="621"/>
      <c r="DY94" s="621"/>
      <c r="DZ94" s="621"/>
      <c r="EA94" s="622">
        <v>1</v>
      </c>
      <c r="EB94" s="621"/>
      <c r="EC94" s="622">
        <v>2</v>
      </c>
      <c r="ED94" s="622">
        <v>7</v>
      </c>
      <c r="EE94" s="623"/>
      <c r="EF94" s="624">
        <v>1</v>
      </c>
      <c r="EG94" s="624">
        <v>12</v>
      </c>
      <c r="EH94" s="614">
        <f>+(EG93+EG91)/EG94</f>
        <v>0.25</v>
      </c>
      <c r="EJ94" s="615"/>
      <c r="EK94" s="615"/>
      <c r="EL94" s="615" t="s">
        <v>128</v>
      </c>
      <c r="EM94" s="616" t="s">
        <v>1231</v>
      </c>
      <c r="EN94" s="617"/>
      <c r="EO94" s="617"/>
      <c r="EP94" s="617"/>
      <c r="EQ94" s="617"/>
      <c r="ER94" s="617"/>
      <c r="ES94" s="618">
        <v>1</v>
      </c>
      <c r="ET94" s="618">
        <v>2</v>
      </c>
      <c r="EU94" s="618">
        <v>0</v>
      </c>
      <c r="EV94" s="617"/>
      <c r="EW94" s="617"/>
      <c r="EX94" s="618">
        <v>3</v>
      </c>
      <c r="EY94" s="515"/>
      <c r="FA94" s="70"/>
      <c r="FB94" s="70"/>
      <c r="FC94" s="42"/>
      <c r="FD94" s="42" t="s">
        <v>1239</v>
      </c>
      <c r="FE94" s="70"/>
      <c r="FF94" s="70">
        <v>0</v>
      </c>
      <c r="FG94" s="70"/>
      <c r="FH94" s="70"/>
      <c r="FI94" s="70"/>
      <c r="FJ94" s="70">
        <v>0</v>
      </c>
      <c r="FK94" s="70">
        <v>0</v>
      </c>
      <c r="FL94" s="70">
        <v>3</v>
      </c>
      <c r="FM94" s="70"/>
      <c r="FN94" s="70"/>
      <c r="FO94" s="70">
        <v>3</v>
      </c>
      <c r="FP94" s="42"/>
      <c r="FQ94" s="42"/>
      <c r="FR94" s="516"/>
      <c r="FS94" s="516"/>
      <c r="FT94" s="516"/>
      <c r="FU94" s="516" t="s">
        <v>1236</v>
      </c>
      <c r="FV94" s="516">
        <v>0</v>
      </c>
      <c r="FW94" s="516">
        <v>0</v>
      </c>
      <c r="FX94" s="516">
        <v>1</v>
      </c>
      <c r="FY94" s="516">
        <v>0</v>
      </c>
      <c r="FZ94" s="516">
        <v>0</v>
      </c>
      <c r="GA94" s="516">
        <v>0</v>
      </c>
      <c r="GB94" s="516">
        <v>0</v>
      </c>
      <c r="GC94" s="516">
        <v>0</v>
      </c>
      <c r="GD94" s="516">
        <v>0</v>
      </c>
      <c r="GE94" s="516">
        <v>0</v>
      </c>
      <c r="GF94" s="516">
        <v>0</v>
      </c>
      <c r="GG94" s="517">
        <v>1</v>
      </c>
      <c r="GH94" s="619"/>
      <c r="GI94" s="518"/>
    </row>
    <row r="95" spans="2:191">
      <c r="D95" s="4800" t="s">
        <v>2963</v>
      </c>
      <c r="E95" s="4606">
        <v>1</v>
      </c>
      <c r="F95" s="4606"/>
      <c r="G95" s="4606"/>
      <c r="H95" s="4606"/>
      <c r="I95" s="4606"/>
      <c r="J95" s="4606"/>
      <c r="K95" s="4606"/>
      <c r="L95" s="4606"/>
      <c r="M95" s="4606">
        <v>0</v>
      </c>
      <c r="N95" s="2552"/>
      <c r="O95" s="2552"/>
      <c r="P95" s="2552">
        <v>1</v>
      </c>
      <c r="Q95" s="2552"/>
      <c r="R95" s="2552"/>
      <c r="U95" s="1793"/>
      <c r="V95" s="1793" t="s">
        <v>1235</v>
      </c>
      <c r="W95" s="4804">
        <v>0</v>
      </c>
      <c r="X95" s="4804">
        <v>0</v>
      </c>
      <c r="Y95" s="4804">
        <v>0</v>
      </c>
      <c r="Z95" s="4804">
        <v>0</v>
      </c>
      <c r="AA95" s="4804">
        <v>0</v>
      </c>
      <c r="AB95" s="4804">
        <v>1</v>
      </c>
      <c r="AC95" s="4804">
        <v>5</v>
      </c>
      <c r="AD95" s="4804">
        <v>0</v>
      </c>
      <c r="AE95" s="4702">
        <v>0</v>
      </c>
      <c r="AF95" s="4702">
        <v>6</v>
      </c>
      <c r="AG95" s="1793"/>
      <c r="AI95" s="41"/>
      <c r="AJ95" s="41"/>
      <c r="AK95" s="461"/>
      <c r="AL95" s="461" t="s">
        <v>1236</v>
      </c>
      <c r="AM95" s="2002">
        <v>0</v>
      </c>
      <c r="AN95" s="2002">
        <v>0</v>
      </c>
      <c r="AO95" s="2002">
        <v>0</v>
      </c>
      <c r="AP95" s="2002">
        <v>0</v>
      </c>
      <c r="AQ95" s="2002">
        <v>2</v>
      </c>
      <c r="AR95" s="2002">
        <v>1</v>
      </c>
      <c r="AS95" s="2002">
        <v>0</v>
      </c>
      <c r="AT95" s="2002">
        <v>0</v>
      </c>
      <c r="AU95" s="2480">
        <v>0</v>
      </c>
      <c r="AV95" s="2480">
        <v>0</v>
      </c>
      <c r="AW95" s="2480">
        <v>3</v>
      </c>
      <c r="AX95" s="41"/>
      <c r="AZ95" s="42"/>
      <c r="BA95" s="42"/>
      <c r="BB95" s="42"/>
      <c r="BC95" s="42" t="s">
        <v>1233</v>
      </c>
      <c r="BD95" s="1993">
        <v>1</v>
      </c>
      <c r="BE95" s="1993">
        <v>0</v>
      </c>
      <c r="BF95" s="1993">
        <v>1</v>
      </c>
      <c r="BG95" s="1993"/>
      <c r="BH95" s="1993">
        <v>0</v>
      </c>
      <c r="BI95" s="1993">
        <v>0</v>
      </c>
      <c r="BJ95" s="1993">
        <v>0</v>
      </c>
      <c r="BK95" s="1993">
        <v>0</v>
      </c>
      <c r="BL95" s="1993">
        <v>0</v>
      </c>
      <c r="BM95" s="70">
        <v>0</v>
      </c>
      <c r="BN95" s="70"/>
      <c r="BO95" s="70">
        <v>2</v>
      </c>
      <c r="BR95" s="105"/>
      <c r="BS95" s="105"/>
      <c r="BT95" s="41" t="s">
        <v>121</v>
      </c>
      <c r="BU95" s="41" t="s">
        <v>1230</v>
      </c>
      <c r="BV95" s="1659"/>
      <c r="BW95" s="1659"/>
      <c r="BX95" s="1659">
        <v>0</v>
      </c>
      <c r="BY95" s="1659"/>
      <c r="BZ95" s="1659"/>
      <c r="CA95" s="1659"/>
      <c r="CB95" s="1659">
        <v>0</v>
      </c>
      <c r="CC95" s="1659">
        <v>0</v>
      </c>
      <c r="CD95" s="1659">
        <v>2</v>
      </c>
      <c r="CE95" s="105">
        <v>3</v>
      </c>
      <c r="CF95" s="105"/>
      <c r="CG95" s="105">
        <v>5</v>
      </c>
      <c r="CH95" s="105"/>
      <c r="CJ95" s="1359"/>
      <c r="CK95" s="1359"/>
      <c r="CL95" s="1360"/>
      <c r="CM95" s="1361" t="s">
        <v>1239</v>
      </c>
      <c r="CN95" s="1363">
        <v>0</v>
      </c>
      <c r="CO95" s="1363">
        <v>0</v>
      </c>
      <c r="CP95" s="1363">
        <v>0</v>
      </c>
      <c r="CQ95" s="1363">
        <v>2</v>
      </c>
      <c r="CR95" s="1363">
        <v>2</v>
      </c>
      <c r="CS95" s="1363">
        <v>0</v>
      </c>
      <c r="CT95" s="1363">
        <v>5</v>
      </c>
      <c r="CU95" s="1363">
        <v>17</v>
      </c>
      <c r="CV95" s="686"/>
      <c r="CW95" s="687">
        <v>2</v>
      </c>
      <c r="CX95" s="687">
        <v>28</v>
      </c>
      <c r="CY95" s="41"/>
      <c r="DA95" s="602"/>
      <c r="DB95" s="602"/>
      <c r="DC95" s="603" t="s">
        <v>123</v>
      </c>
      <c r="DD95" s="604" t="s">
        <v>1230</v>
      </c>
      <c r="DE95" s="606">
        <v>0</v>
      </c>
      <c r="DF95" s="606">
        <v>0</v>
      </c>
      <c r="DG95" s="606">
        <v>0</v>
      </c>
      <c r="DH95" s="605"/>
      <c r="DI95" s="605"/>
      <c r="DJ95" s="606">
        <v>0</v>
      </c>
      <c r="DK95" s="606">
        <v>0</v>
      </c>
      <c r="DL95" s="606">
        <v>2</v>
      </c>
      <c r="DM95" s="602"/>
      <c r="DN95" s="602"/>
      <c r="DO95" s="607">
        <v>2</v>
      </c>
      <c r="DP95" s="105"/>
      <c r="DR95" s="608"/>
      <c r="DS95" s="608"/>
      <c r="DT95" s="608" t="s">
        <v>124</v>
      </c>
      <c r="DU95" s="609" t="s">
        <v>1230</v>
      </c>
      <c r="DV95" s="610"/>
      <c r="DW95" s="611">
        <v>0</v>
      </c>
      <c r="DX95" s="610"/>
      <c r="DY95" s="611">
        <v>0</v>
      </c>
      <c r="DZ95" s="610"/>
      <c r="EA95" s="610"/>
      <c r="EB95" s="610"/>
      <c r="EC95" s="611">
        <v>0</v>
      </c>
      <c r="ED95" s="611">
        <v>2</v>
      </c>
      <c r="EE95" s="613">
        <v>0</v>
      </c>
      <c r="EF95" s="613">
        <v>0</v>
      </c>
      <c r="EG95" s="613">
        <v>2</v>
      </c>
      <c r="EH95" s="614"/>
      <c r="EJ95" s="615"/>
      <c r="EK95" s="615"/>
      <c r="EL95" s="615"/>
      <c r="EM95" s="616" t="s">
        <v>1235</v>
      </c>
      <c r="EN95" s="617"/>
      <c r="EO95" s="617"/>
      <c r="EP95" s="617"/>
      <c r="EQ95" s="617"/>
      <c r="ER95" s="617"/>
      <c r="ES95" s="618">
        <v>1</v>
      </c>
      <c r="ET95" s="618">
        <v>3</v>
      </c>
      <c r="EU95" s="618">
        <v>0</v>
      </c>
      <c r="EV95" s="617"/>
      <c r="EW95" s="617"/>
      <c r="EX95" s="618">
        <v>4</v>
      </c>
      <c r="EY95" s="515"/>
      <c r="FA95" s="70"/>
      <c r="FB95" s="70"/>
      <c r="FC95" s="42"/>
      <c r="FD95" s="42" t="s">
        <v>1344</v>
      </c>
      <c r="FE95" s="70"/>
      <c r="FF95" s="70">
        <v>0</v>
      </c>
      <c r="FG95" s="70"/>
      <c r="FH95" s="70"/>
      <c r="FI95" s="70"/>
      <c r="FJ95" s="70">
        <v>7</v>
      </c>
      <c r="FK95" s="70">
        <v>2</v>
      </c>
      <c r="FL95" s="70">
        <v>0</v>
      </c>
      <c r="FM95" s="70"/>
      <c r="FN95" s="70"/>
      <c r="FO95" s="70">
        <v>9</v>
      </c>
      <c r="FP95" s="42"/>
      <c r="FQ95" s="42"/>
      <c r="FR95" s="516"/>
      <c r="FS95" s="516"/>
      <c r="FT95" s="516"/>
      <c r="FU95" s="516" t="s">
        <v>1239</v>
      </c>
      <c r="FV95" s="516">
        <v>0</v>
      </c>
      <c r="FW95" s="516">
        <v>0</v>
      </c>
      <c r="FX95" s="516">
        <v>0</v>
      </c>
      <c r="FY95" s="516">
        <v>0</v>
      </c>
      <c r="FZ95" s="516">
        <v>0</v>
      </c>
      <c r="GA95" s="516">
        <v>0</v>
      </c>
      <c r="GB95" s="516">
        <v>0</v>
      </c>
      <c r="GC95" s="516">
        <v>2</v>
      </c>
      <c r="GD95" s="516">
        <v>4</v>
      </c>
      <c r="GE95" s="516">
        <v>0</v>
      </c>
      <c r="GF95" s="516">
        <v>0</v>
      </c>
      <c r="GG95" s="517">
        <v>6</v>
      </c>
      <c r="GH95" s="619"/>
      <c r="GI95" s="518"/>
    </row>
    <row r="96" spans="2:191">
      <c r="D96" s="32" t="s">
        <v>15</v>
      </c>
      <c r="E96" s="4607">
        <v>1</v>
      </c>
      <c r="F96" s="4607"/>
      <c r="G96" s="4607"/>
      <c r="H96" s="4607"/>
      <c r="I96" s="4607"/>
      <c r="J96" s="4607"/>
      <c r="K96" s="4607"/>
      <c r="L96" s="4607"/>
      <c r="M96" s="4607">
        <v>8</v>
      </c>
      <c r="N96" s="4583"/>
      <c r="O96" s="4583"/>
      <c r="P96" s="4583">
        <v>9</v>
      </c>
      <c r="Q96" s="1977">
        <v>0</v>
      </c>
      <c r="R96" s="1977"/>
      <c r="U96" s="1793"/>
      <c r="V96" s="1793" t="s">
        <v>1236</v>
      </c>
      <c r="W96" s="4804">
        <v>0</v>
      </c>
      <c r="X96" s="4804">
        <v>0</v>
      </c>
      <c r="Y96" s="4804">
        <v>1</v>
      </c>
      <c r="Z96" s="4804">
        <v>2</v>
      </c>
      <c r="AA96" s="4804">
        <v>0</v>
      </c>
      <c r="AB96" s="4804">
        <v>0</v>
      </c>
      <c r="AC96" s="4804">
        <v>0</v>
      </c>
      <c r="AD96" s="4804">
        <v>0</v>
      </c>
      <c r="AE96" s="4702">
        <v>0</v>
      </c>
      <c r="AF96" s="4702">
        <v>3</v>
      </c>
      <c r="AG96" s="1793"/>
      <c r="AI96" s="41"/>
      <c r="AJ96" s="41"/>
      <c r="AK96" s="461"/>
      <c r="AL96" s="461" t="s">
        <v>1239</v>
      </c>
      <c r="AM96" s="2002">
        <v>0</v>
      </c>
      <c r="AN96" s="2002">
        <v>0</v>
      </c>
      <c r="AO96" s="2002">
        <v>0</v>
      </c>
      <c r="AP96" s="2002">
        <v>0</v>
      </c>
      <c r="AQ96" s="2002">
        <v>0</v>
      </c>
      <c r="AR96" s="2002">
        <v>0</v>
      </c>
      <c r="AS96" s="2002">
        <v>1</v>
      </c>
      <c r="AT96" s="2002">
        <v>18</v>
      </c>
      <c r="AU96" s="2480">
        <v>1</v>
      </c>
      <c r="AV96" s="2480">
        <v>3</v>
      </c>
      <c r="AW96" s="2480">
        <v>23</v>
      </c>
      <c r="AX96" s="41"/>
      <c r="AZ96" s="42"/>
      <c r="BA96" s="42"/>
      <c r="BB96" s="42"/>
      <c r="BC96" s="42" t="s">
        <v>1235</v>
      </c>
      <c r="BD96" s="1993">
        <v>0</v>
      </c>
      <c r="BE96" s="1993">
        <v>0</v>
      </c>
      <c r="BF96" s="1993">
        <v>0</v>
      </c>
      <c r="BG96" s="1993"/>
      <c r="BH96" s="1993">
        <v>3</v>
      </c>
      <c r="BI96" s="1993">
        <v>1</v>
      </c>
      <c r="BJ96" s="1993">
        <v>3</v>
      </c>
      <c r="BK96" s="1993">
        <v>0</v>
      </c>
      <c r="BL96" s="1993">
        <v>0</v>
      </c>
      <c r="BM96" s="70">
        <v>0</v>
      </c>
      <c r="BN96" s="70"/>
      <c r="BO96" s="70">
        <v>7</v>
      </c>
      <c r="BR96" s="105"/>
      <c r="BS96" s="105"/>
      <c r="BT96" s="41"/>
      <c r="BU96" s="41" t="s">
        <v>1231</v>
      </c>
      <c r="BV96" s="1659"/>
      <c r="BW96" s="1659"/>
      <c r="BX96" s="1659">
        <v>0</v>
      </c>
      <c r="BY96" s="1659"/>
      <c r="BZ96" s="1659"/>
      <c r="CA96" s="1659"/>
      <c r="CB96" s="1659">
        <v>2</v>
      </c>
      <c r="CC96" s="1659">
        <v>6</v>
      </c>
      <c r="CD96" s="1659">
        <v>0</v>
      </c>
      <c r="CE96" s="105">
        <v>0</v>
      </c>
      <c r="CF96" s="105"/>
      <c r="CG96" s="105">
        <v>8</v>
      </c>
      <c r="CH96" s="105"/>
      <c r="CJ96" s="1359"/>
      <c r="CK96" s="1359"/>
      <c r="CL96" s="1360"/>
      <c r="CM96" s="1361" t="s">
        <v>1240</v>
      </c>
      <c r="CN96" s="1363">
        <v>0</v>
      </c>
      <c r="CO96" s="1363">
        <v>0</v>
      </c>
      <c r="CP96" s="1363">
        <v>0</v>
      </c>
      <c r="CQ96" s="1363">
        <v>0</v>
      </c>
      <c r="CR96" s="1363">
        <v>1</v>
      </c>
      <c r="CS96" s="1363">
        <v>8</v>
      </c>
      <c r="CT96" s="1363">
        <v>1</v>
      </c>
      <c r="CU96" s="1363">
        <v>1</v>
      </c>
      <c r="CV96" s="686"/>
      <c r="CW96" s="687">
        <v>0</v>
      </c>
      <c r="CX96" s="687">
        <v>11</v>
      </c>
      <c r="CY96" s="41"/>
      <c r="DA96" s="602"/>
      <c r="DB96" s="602"/>
      <c r="DC96" s="603"/>
      <c r="DD96" s="604" t="s">
        <v>1231</v>
      </c>
      <c r="DE96" s="606">
        <v>1</v>
      </c>
      <c r="DF96" s="606">
        <v>1</v>
      </c>
      <c r="DG96" s="606">
        <v>1</v>
      </c>
      <c r="DH96" s="605"/>
      <c r="DI96" s="605"/>
      <c r="DJ96" s="606">
        <v>0</v>
      </c>
      <c r="DK96" s="606">
        <v>0</v>
      </c>
      <c r="DL96" s="606">
        <v>0</v>
      </c>
      <c r="DM96" s="602"/>
      <c r="DN96" s="602"/>
      <c r="DO96" s="607">
        <v>3</v>
      </c>
      <c r="DP96" s="105"/>
      <c r="DR96" s="608"/>
      <c r="DS96" s="608"/>
      <c r="DT96" s="608"/>
      <c r="DU96" s="609" t="s">
        <v>1231</v>
      </c>
      <c r="DV96" s="610"/>
      <c r="DW96" s="611">
        <v>3</v>
      </c>
      <c r="DX96" s="610"/>
      <c r="DY96" s="611">
        <v>0</v>
      </c>
      <c r="DZ96" s="610"/>
      <c r="EA96" s="610"/>
      <c r="EB96" s="610"/>
      <c r="EC96" s="611">
        <v>0</v>
      </c>
      <c r="ED96" s="611">
        <v>2</v>
      </c>
      <c r="EE96" s="613">
        <v>0</v>
      </c>
      <c r="EF96" s="613">
        <v>0</v>
      </c>
      <c r="EG96" s="613">
        <v>5</v>
      </c>
      <c r="EH96" s="614"/>
      <c r="EJ96" s="615"/>
      <c r="EK96" s="615"/>
      <c r="EL96" s="615"/>
      <c r="EM96" s="616" t="s">
        <v>1240</v>
      </c>
      <c r="EN96" s="617"/>
      <c r="EO96" s="617"/>
      <c r="EP96" s="617"/>
      <c r="EQ96" s="617"/>
      <c r="ER96" s="617"/>
      <c r="ES96" s="618">
        <v>0</v>
      </c>
      <c r="ET96" s="618">
        <v>3</v>
      </c>
      <c r="EU96" s="618">
        <v>0</v>
      </c>
      <c r="EV96" s="617"/>
      <c r="EW96" s="617"/>
      <c r="EX96" s="618">
        <v>3</v>
      </c>
      <c r="EY96" s="515"/>
      <c r="FA96" s="70"/>
      <c r="FB96" s="70"/>
      <c r="FC96" s="42"/>
      <c r="FD96" s="484" t="s">
        <v>15</v>
      </c>
      <c r="FE96" s="454"/>
      <c r="FF96" s="454">
        <v>2</v>
      </c>
      <c r="FG96" s="454"/>
      <c r="FH96" s="454"/>
      <c r="FI96" s="454"/>
      <c r="FJ96" s="454">
        <v>10</v>
      </c>
      <c r="FK96" s="454">
        <v>5</v>
      </c>
      <c r="FL96" s="454">
        <v>4</v>
      </c>
      <c r="FM96" s="454"/>
      <c r="FN96" s="454"/>
      <c r="FO96" s="454">
        <v>21</v>
      </c>
      <c r="FP96" s="536">
        <f>+(FO93+FO95)/FO96</f>
        <v>0.61904761904761907</v>
      </c>
      <c r="FQ96" s="42"/>
      <c r="FR96" s="516"/>
      <c r="FS96" s="516"/>
      <c r="FT96" s="516"/>
      <c r="FU96" s="516" t="s">
        <v>1344</v>
      </c>
      <c r="FV96" s="516">
        <v>0</v>
      </c>
      <c r="FW96" s="516">
        <v>0</v>
      </c>
      <c r="FX96" s="516">
        <v>0</v>
      </c>
      <c r="FY96" s="516">
        <v>0</v>
      </c>
      <c r="FZ96" s="516">
        <v>0</v>
      </c>
      <c r="GA96" s="516">
        <v>0</v>
      </c>
      <c r="GB96" s="516">
        <v>10</v>
      </c>
      <c r="GC96" s="516">
        <v>1</v>
      </c>
      <c r="GD96" s="516">
        <v>0</v>
      </c>
      <c r="GE96" s="516">
        <v>0</v>
      </c>
      <c r="GF96" s="516">
        <v>0</v>
      </c>
      <c r="GG96" s="517">
        <v>11</v>
      </c>
      <c r="GH96" s="619"/>
      <c r="GI96" s="518"/>
    </row>
    <row r="97" spans="3:191">
      <c r="C97" s="4800" t="s">
        <v>1641</v>
      </c>
      <c r="D97" s="4800" t="s">
        <v>1239</v>
      </c>
      <c r="E97" s="4606"/>
      <c r="F97" s="4606"/>
      <c r="G97" s="4606"/>
      <c r="H97" s="4606"/>
      <c r="I97" s="4606"/>
      <c r="J97" s="4606"/>
      <c r="K97" s="4606"/>
      <c r="L97" s="4606"/>
      <c r="M97" s="4606">
        <v>5</v>
      </c>
      <c r="N97" s="2552"/>
      <c r="O97" s="2552"/>
      <c r="P97" s="2552">
        <v>5</v>
      </c>
      <c r="Q97" s="2552"/>
      <c r="R97" s="2552"/>
      <c r="U97" s="1793"/>
      <c r="V97" s="1793" t="s">
        <v>1239</v>
      </c>
      <c r="W97" s="4804">
        <v>0</v>
      </c>
      <c r="X97" s="4804">
        <v>0</v>
      </c>
      <c r="Y97" s="4804">
        <v>0</v>
      </c>
      <c r="Z97" s="4804">
        <v>0</v>
      </c>
      <c r="AA97" s="4804">
        <v>0</v>
      </c>
      <c r="AB97" s="4804">
        <v>0</v>
      </c>
      <c r="AC97" s="4804">
        <v>57</v>
      </c>
      <c r="AD97" s="4804">
        <v>0</v>
      </c>
      <c r="AE97" s="4702">
        <v>11</v>
      </c>
      <c r="AF97" s="4702">
        <v>68</v>
      </c>
      <c r="AG97" s="1793"/>
      <c r="AI97" s="41"/>
      <c r="AJ97" s="41"/>
      <c r="AK97" s="461"/>
      <c r="AL97" s="461" t="s">
        <v>1240</v>
      </c>
      <c r="AM97" s="2002">
        <v>0</v>
      </c>
      <c r="AN97" s="2002">
        <v>0</v>
      </c>
      <c r="AO97" s="2002">
        <v>0</v>
      </c>
      <c r="AP97" s="2002">
        <v>0</v>
      </c>
      <c r="AQ97" s="2002">
        <v>0</v>
      </c>
      <c r="AR97" s="2002">
        <v>3</v>
      </c>
      <c r="AS97" s="2002">
        <v>11</v>
      </c>
      <c r="AT97" s="2002">
        <v>5</v>
      </c>
      <c r="AU97" s="2480">
        <v>0</v>
      </c>
      <c r="AV97" s="2480">
        <v>0</v>
      </c>
      <c r="AW97" s="2480">
        <v>19</v>
      </c>
      <c r="AX97" s="41"/>
      <c r="AZ97" s="42"/>
      <c r="BA97" s="42"/>
      <c r="BB97" s="42"/>
      <c r="BC97" s="42" t="s">
        <v>1236</v>
      </c>
      <c r="BD97" s="1993">
        <v>0</v>
      </c>
      <c r="BE97" s="1993">
        <v>0</v>
      </c>
      <c r="BF97" s="1993">
        <v>0</v>
      </c>
      <c r="BG97" s="1993"/>
      <c r="BH97" s="1993">
        <v>0</v>
      </c>
      <c r="BI97" s="1993">
        <v>1</v>
      </c>
      <c r="BJ97" s="1993">
        <v>0</v>
      </c>
      <c r="BK97" s="1993">
        <v>0</v>
      </c>
      <c r="BL97" s="1993">
        <v>0</v>
      </c>
      <c r="BM97" s="70">
        <v>0</v>
      </c>
      <c r="BN97" s="70"/>
      <c r="BO97" s="70">
        <v>1</v>
      </c>
      <c r="BR97" s="105"/>
      <c r="BS97" s="105"/>
      <c r="BT97" s="41"/>
      <c r="BU97" s="41" t="s">
        <v>1233</v>
      </c>
      <c r="BV97" s="1659"/>
      <c r="BW97" s="1659"/>
      <c r="BX97" s="1659">
        <v>1</v>
      </c>
      <c r="BY97" s="1659"/>
      <c r="BZ97" s="1659"/>
      <c r="CA97" s="1659"/>
      <c r="CB97" s="1659">
        <v>0</v>
      </c>
      <c r="CC97" s="1659">
        <v>0</v>
      </c>
      <c r="CD97" s="1659">
        <v>0</v>
      </c>
      <c r="CE97" s="105">
        <v>0</v>
      </c>
      <c r="CF97" s="105"/>
      <c r="CG97" s="105">
        <v>1</v>
      </c>
      <c r="CH97" s="105"/>
      <c r="CJ97" s="1359"/>
      <c r="CK97" s="1359"/>
      <c r="CL97" s="1360"/>
      <c r="CM97" s="1361" t="s">
        <v>1344</v>
      </c>
      <c r="CN97" s="1363">
        <v>0</v>
      </c>
      <c r="CO97" s="1363">
        <v>0</v>
      </c>
      <c r="CP97" s="1363">
        <v>2</v>
      </c>
      <c r="CQ97" s="1363">
        <v>3</v>
      </c>
      <c r="CR97" s="1363">
        <v>2</v>
      </c>
      <c r="CS97" s="1363">
        <v>10</v>
      </c>
      <c r="CT97" s="1363">
        <v>2</v>
      </c>
      <c r="CU97" s="1363">
        <v>1</v>
      </c>
      <c r="CV97" s="686"/>
      <c r="CW97" s="687">
        <v>0</v>
      </c>
      <c r="CX97" s="687">
        <v>20</v>
      </c>
      <c r="CY97" s="41"/>
      <c r="DA97" s="602"/>
      <c r="DB97" s="602"/>
      <c r="DC97" s="603"/>
      <c r="DD97" s="604" t="s">
        <v>1235</v>
      </c>
      <c r="DE97" s="606">
        <v>0</v>
      </c>
      <c r="DF97" s="606">
        <v>0</v>
      </c>
      <c r="DG97" s="606">
        <v>0</v>
      </c>
      <c r="DH97" s="605"/>
      <c r="DI97" s="605"/>
      <c r="DJ97" s="606">
        <v>0</v>
      </c>
      <c r="DK97" s="606">
        <v>2</v>
      </c>
      <c r="DL97" s="606">
        <v>0</v>
      </c>
      <c r="DM97" s="602"/>
      <c r="DN97" s="602"/>
      <c r="DO97" s="607">
        <v>2</v>
      </c>
      <c r="DP97" s="105"/>
      <c r="DR97" s="608"/>
      <c r="DS97" s="608"/>
      <c r="DT97" s="608"/>
      <c r="DU97" s="609" t="s">
        <v>1233</v>
      </c>
      <c r="DV97" s="610"/>
      <c r="DW97" s="611">
        <v>0</v>
      </c>
      <c r="DX97" s="610"/>
      <c r="DY97" s="611">
        <v>1</v>
      </c>
      <c r="DZ97" s="610"/>
      <c r="EA97" s="610"/>
      <c r="EB97" s="610"/>
      <c r="EC97" s="611">
        <v>0</v>
      </c>
      <c r="ED97" s="611">
        <v>0</v>
      </c>
      <c r="EE97" s="613">
        <v>0</v>
      </c>
      <c r="EF97" s="613">
        <v>0</v>
      </c>
      <c r="EG97" s="613">
        <v>1</v>
      </c>
      <c r="EH97" s="614"/>
      <c r="EJ97" s="615"/>
      <c r="EK97" s="615"/>
      <c r="EL97" s="615"/>
      <c r="EM97" s="616" t="s">
        <v>1344</v>
      </c>
      <c r="EN97" s="617"/>
      <c r="EO97" s="617"/>
      <c r="EP97" s="617"/>
      <c r="EQ97" s="617"/>
      <c r="ER97" s="617"/>
      <c r="ES97" s="618">
        <v>0</v>
      </c>
      <c r="ET97" s="618">
        <v>3</v>
      </c>
      <c r="EU97" s="618">
        <v>1</v>
      </c>
      <c r="EV97" s="617"/>
      <c r="EW97" s="617"/>
      <c r="EX97" s="618">
        <v>4</v>
      </c>
      <c r="EY97" s="515"/>
      <c r="FA97" s="70"/>
      <c r="FB97" s="70"/>
      <c r="FC97" s="42" t="s">
        <v>130</v>
      </c>
      <c r="FD97" s="42" t="s">
        <v>1231</v>
      </c>
      <c r="FE97" s="70"/>
      <c r="FF97" s="70"/>
      <c r="FG97" s="70"/>
      <c r="FH97" s="70"/>
      <c r="FI97" s="70"/>
      <c r="FJ97" s="70">
        <v>0</v>
      </c>
      <c r="FK97" s="70">
        <v>1</v>
      </c>
      <c r="FL97" s="70">
        <v>0</v>
      </c>
      <c r="FM97" s="70"/>
      <c r="FN97" s="70"/>
      <c r="FO97" s="70">
        <v>1</v>
      </c>
      <c r="FP97" s="42"/>
      <c r="FQ97" s="42"/>
      <c r="FR97" s="516"/>
      <c r="FS97" s="516"/>
      <c r="FT97" s="516"/>
      <c r="FU97" s="519" t="s">
        <v>15</v>
      </c>
      <c r="FV97" s="519">
        <v>0</v>
      </c>
      <c r="FW97" s="519">
        <v>0</v>
      </c>
      <c r="FX97" s="519">
        <v>2</v>
      </c>
      <c r="FY97" s="519">
        <v>1</v>
      </c>
      <c r="FZ97" s="519">
        <v>0</v>
      </c>
      <c r="GA97" s="519">
        <v>0</v>
      </c>
      <c r="GB97" s="519">
        <v>19</v>
      </c>
      <c r="GC97" s="519">
        <v>5</v>
      </c>
      <c r="GD97" s="519">
        <v>4</v>
      </c>
      <c r="GE97" s="519">
        <v>0</v>
      </c>
      <c r="GF97" s="519">
        <v>0</v>
      </c>
      <c r="GG97" s="579">
        <v>31</v>
      </c>
      <c r="GH97" s="629">
        <f>+(GG96+GG93)/GG97</f>
        <v>0.58064516129032262</v>
      </c>
      <c r="GI97" s="518">
        <f>+GG93+GG96</f>
        <v>18</v>
      </c>
    </row>
    <row r="98" spans="3:191">
      <c r="D98" s="32" t="s">
        <v>15</v>
      </c>
      <c r="E98" s="4607"/>
      <c r="F98" s="4607"/>
      <c r="G98" s="4607"/>
      <c r="H98" s="4607"/>
      <c r="I98" s="4607"/>
      <c r="J98" s="4607"/>
      <c r="K98" s="4607"/>
      <c r="L98" s="4607"/>
      <c r="M98" s="4607">
        <v>5</v>
      </c>
      <c r="N98" s="4583"/>
      <c r="O98" s="4583"/>
      <c r="P98" s="4583">
        <v>5</v>
      </c>
      <c r="Q98" s="1977">
        <v>0</v>
      </c>
      <c r="R98" s="1977"/>
      <c r="U98" s="1793"/>
      <c r="V98" s="1793" t="s">
        <v>1240</v>
      </c>
      <c r="W98" s="4804">
        <v>0</v>
      </c>
      <c r="X98" s="4804">
        <v>0</v>
      </c>
      <c r="Y98" s="4804">
        <v>0</v>
      </c>
      <c r="Z98" s="4804">
        <v>0</v>
      </c>
      <c r="AA98" s="4804">
        <v>0</v>
      </c>
      <c r="AB98" s="4804">
        <v>2</v>
      </c>
      <c r="AC98" s="4804">
        <v>2</v>
      </c>
      <c r="AD98" s="4804">
        <v>1</v>
      </c>
      <c r="AE98" s="4702">
        <v>0</v>
      </c>
      <c r="AF98" s="4702">
        <v>5</v>
      </c>
      <c r="AG98" s="1793"/>
      <c r="AI98" s="41"/>
      <c r="AJ98" s="41"/>
      <c r="AK98" s="461"/>
      <c r="AL98" s="461" t="s">
        <v>1344</v>
      </c>
      <c r="AM98" s="2002">
        <v>0</v>
      </c>
      <c r="AN98" s="2002">
        <v>0</v>
      </c>
      <c r="AO98" s="2002">
        <v>0</v>
      </c>
      <c r="AP98" s="2002">
        <v>0</v>
      </c>
      <c r="AQ98" s="2002">
        <v>0</v>
      </c>
      <c r="AR98" s="2002">
        <v>4</v>
      </c>
      <c r="AS98" s="2002">
        <v>6</v>
      </c>
      <c r="AT98" s="2002">
        <v>1</v>
      </c>
      <c r="AU98" s="2480">
        <v>0</v>
      </c>
      <c r="AV98" s="2480">
        <v>0</v>
      </c>
      <c r="AW98" s="2480">
        <v>11</v>
      </c>
      <c r="AX98" s="41"/>
      <c r="AZ98" s="42"/>
      <c r="BA98" s="42"/>
      <c r="BB98" s="42"/>
      <c r="BC98" s="42" t="s">
        <v>1239</v>
      </c>
      <c r="BD98" s="1993">
        <v>0</v>
      </c>
      <c r="BE98" s="1993">
        <v>0</v>
      </c>
      <c r="BF98" s="1993">
        <v>0</v>
      </c>
      <c r="BG98" s="1993"/>
      <c r="BH98" s="1993">
        <v>0</v>
      </c>
      <c r="BI98" s="1993">
        <v>0</v>
      </c>
      <c r="BJ98" s="1993">
        <v>0</v>
      </c>
      <c r="BK98" s="1993">
        <v>0</v>
      </c>
      <c r="BL98" s="1993">
        <v>21</v>
      </c>
      <c r="BM98" s="70">
        <v>5</v>
      </c>
      <c r="BN98" s="70"/>
      <c r="BO98" s="70">
        <v>26</v>
      </c>
      <c r="BR98" s="105"/>
      <c r="BS98" s="105"/>
      <c r="BT98" s="41"/>
      <c r="BU98" s="41" t="s">
        <v>1235</v>
      </c>
      <c r="BV98" s="1659"/>
      <c r="BW98" s="1659"/>
      <c r="BX98" s="1659">
        <v>0</v>
      </c>
      <c r="BY98" s="1659"/>
      <c r="BZ98" s="1659"/>
      <c r="CA98" s="1659"/>
      <c r="CB98" s="1659">
        <v>1</v>
      </c>
      <c r="CC98" s="1659">
        <v>0</v>
      </c>
      <c r="CD98" s="1659">
        <v>0</v>
      </c>
      <c r="CE98" s="105">
        <v>0</v>
      </c>
      <c r="CF98" s="105"/>
      <c r="CG98" s="105">
        <v>1</v>
      </c>
      <c r="CH98" s="105"/>
      <c r="CJ98" s="1359"/>
      <c r="CK98" s="1359"/>
      <c r="CL98" s="1360"/>
      <c r="CM98" s="483" t="s">
        <v>106</v>
      </c>
      <c r="CN98" s="1365">
        <v>2</v>
      </c>
      <c r="CO98" s="1365">
        <v>2</v>
      </c>
      <c r="CP98" s="1365">
        <v>10</v>
      </c>
      <c r="CQ98" s="1365">
        <v>17</v>
      </c>
      <c r="CR98" s="1365">
        <v>19</v>
      </c>
      <c r="CS98" s="1365">
        <v>60</v>
      </c>
      <c r="CT98" s="1365">
        <v>28</v>
      </c>
      <c r="CU98" s="1365">
        <v>26</v>
      </c>
      <c r="CV98" s="695"/>
      <c r="CW98" s="696">
        <v>2</v>
      </c>
      <c r="CX98" s="696">
        <v>166</v>
      </c>
      <c r="CY98" s="1325">
        <f>+(CX93+CX96+CX97)/CX98</f>
        <v>0.22289156626506024</v>
      </c>
      <c r="DA98" s="602"/>
      <c r="DB98" s="602"/>
      <c r="DC98" s="603"/>
      <c r="DD98" s="604" t="s">
        <v>1239</v>
      </c>
      <c r="DE98" s="606">
        <v>0</v>
      </c>
      <c r="DF98" s="606">
        <v>0</v>
      </c>
      <c r="DG98" s="606">
        <v>0</v>
      </c>
      <c r="DH98" s="605"/>
      <c r="DI98" s="605"/>
      <c r="DJ98" s="606">
        <v>0</v>
      </c>
      <c r="DK98" s="606">
        <v>0</v>
      </c>
      <c r="DL98" s="606">
        <v>2</v>
      </c>
      <c r="DM98" s="602"/>
      <c r="DN98" s="602"/>
      <c r="DO98" s="607">
        <v>2</v>
      </c>
      <c r="DP98" s="105"/>
      <c r="DR98" s="608"/>
      <c r="DS98" s="608"/>
      <c r="DT98" s="608"/>
      <c r="DU98" s="609" t="s">
        <v>1235</v>
      </c>
      <c r="DV98" s="610"/>
      <c r="DW98" s="611">
        <v>0</v>
      </c>
      <c r="DX98" s="610"/>
      <c r="DY98" s="611">
        <v>0</v>
      </c>
      <c r="DZ98" s="610"/>
      <c r="EA98" s="610"/>
      <c r="EB98" s="610"/>
      <c r="EC98" s="611">
        <v>2</v>
      </c>
      <c r="ED98" s="611">
        <v>2</v>
      </c>
      <c r="EE98" s="613">
        <v>1</v>
      </c>
      <c r="EF98" s="613">
        <v>0</v>
      </c>
      <c r="EG98" s="613">
        <v>5</v>
      </c>
      <c r="EH98" s="614"/>
      <c r="EJ98" s="615"/>
      <c r="EK98" s="615"/>
      <c r="EL98" s="615"/>
      <c r="EM98" s="625" t="s">
        <v>15</v>
      </c>
      <c r="EN98" s="626"/>
      <c r="EO98" s="626"/>
      <c r="EP98" s="626"/>
      <c r="EQ98" s="626"/>
      <c r="ER98" s="626"/>
      <c r="ES98" s="627">
        <v>2</v>
      </c>
      <c r="ET98" s="627">
        <v>11</v>
      </c>
      <c r="EU98" s="627">
        <v>1</v>
      </c>
      <c r="EV98" s="626"/>
      <c r="EW98" s="626"/>
      <c r="EX98" s="627">
        <v>14</v>
      </c>
      <c r="EY98" s="628">
        <f>+(EX97+EX96+EX95)/EX98</f>
        <v>0.7857142857142857</v>
      </c>
      <c r="FA98" s="70"/>
      <c r="FB98" s="70"/>
      <c r="FC98" s="42"/>
      <c r="FD98" s="42" t="s">
        <v>1235</v>
      </c>
      <c r="FE98" s="70"/>
      <c r="FF98" s="70"/>
      <c r="FG98" s="70"/>
      <c r="FH98" s="70"/>
      <c r="FI98" s="70"/>
      <c r="FJ98" s="70">
        <v>0</v>
      </c>
      <c r="FK98" s="70">
        <v>9</v>
      </c>
      <c r="FL98" s="70">
        <v>0</v>
      </c>
      <c r="FM98" s="70"/>
      <c r="FN98" s="70"/>
      <c r="FO98" s="70">
        <v>9</v>
      </c>
      <c r="FP98" s="42"/>
      <c r="FQ98" s="42"/>
      <c r="FR98" s="516"/>
      <c r="FS98" s="516"/>
      <c r="FT98" s="516" t="s">
        <v>128</v>
      </c>
      <c r="FU98" s="516" t="s">
        <v>1230</v>
      </c>
      <c r="FV98" s="516">
        <v>0</v>
      </c>
      <c r="FW98" s="516">
        <v>0</v>
      </c>
      <c r="FX98" s="516">
        <v>0</v>
      </c>
      <c r="FY98" s="516">
        <v>0</v>
      </c>
      <c r="FZ98" s="516">
        <v>0</v>
      </c>
      <c r="GA98" s="516">
        <v>0</v>
      </c>
      <c r="GB98" s="516">
        <v>0</v>
      </c>
      <c r="GC98" s="516">
        <v>0</v>
      </c>
      <c r="GD98" s="516">
        <v>0</v>
      </c>
      <c r="GE98" s="516">
        <v>0</v>
      </c>
      <c r="GF98" s="516">
        <v>1</v>
      </c>
      <c r="GG98" s="517">
        <v>1</v>
      </c>
      <c r="GH98" s="619"/>
      <c r="GI98" s="518"/>
    </row>
    <row r="99" spans="3:191">
      <c r="C99" s="4800" t="s">
        <v>546</v>
      </c>
      <c r="D99" s="4800" t="s">
        <v>1230</v>
      </c>
      <c r="E99" s="4606">
        <v>0</v>
      </c>
      <c r="F99" s="4606"/>
      <c r="G99" s="4606"/>
      <c r="H99" s="4606"/>
      <c r="I99" s="4606"/>
      <c r="J99" s="4606">
        <v>1</v>
      </c>
      <c r="K99" s="4606">
        <v>0</v>
      </c>
      <c r="L99" s="4606">
        <v>0</v>
      </c>
      <c r="M99" s="4606">
        <v>0</v>
      </c>
      <c r="N99" s="2552"/>
      <c r="O99" s="2552"/>
      <c r="P99" s="2552">
        <v>1</v>
      </c>
      <c r="Q99" s="2552"/>
      <c r="R99" s="2552"/>
      <c r="U99" s="1793"/>
      <c r="V99" s="1793" t="s">
        <v>1344</v>
      </c>
      <c r="W99" s="4804">
        <v>0</v>
      </c>
      <c r="X99" s="4804">
        <v>0</v>
      </c>
      <c r="Y99" s="4804">
        <v>0</v>
      </c>
      <c r="Z99" s="4804">
        <v>0</v>
      </c>
      <c r="AA99" s="4804">
        <v>0</v>
      </c>
      <c r="AB99" s="4804">
        <v>3</v>
      </c>
      <c r="AC99" s="4804">
        <v>3</v>
      </c>
      <c r="AD99" s="4804">
        <v>0</v>
      </c>
      <c r="AE99" s="4702">
        <v>0</v>
      </c>
      <c r="AF99" s="4702">
        <v>6</v>
      </c>
      <c r="AG99" s="1793"/>
      <c r="AI99" s="41"/>
      <c r="AJ99" s="41"/>
      <c r="AK99" s="461"/>
      <c r="AL99" s="461" t="s">
        <v>106</v>
      </c>
      <c r="AM99" s="2002">
        <v>3</v>
      </c>
      <c r="AN99" s="2002">
        <v>1</v>
      </c>
      <c r="AO99" s="2002">
        <v>1</v>
      </c>
      <c r="AP99" s="2002">
        <v>1</v>
      </c>
      <c r="AQ99" s="2002">
        <v>3</v>
      </c>
      <c r="AR99" s="2002">
        <v>37</v>
      </c>
      <c r="AS99" s="2002">
        <v>45</v>
      </c>
      <c r="AT99" s="2002">
        <v>31</v>
      </c>
      <c r="AU99" s="2480">
        <v>2</v>
      </c>
      <c r="AV99" s="2480">
        <v>3</v>
      </c>
      <c r="AW99" s="2480">
        <v>127</v>
      </c>
      <c r="AX99" s="635">
        <f>+(AW98+AW97+AW94)/AW99</f>
        <v>0.34645669291338582</v>
      </c>
      <c r="AY99" s="1977"/>
      <c r="AZ99" s="42"/>
      <c r="BA99" s="42"/>
      <c r="BB99" s="42"/>
      <c r="BC99" s="42" t="s">
        <v>1240</v>
      </c>
      <c r="BD99" s="1993">
        <v>0</v>
      </c>
      <c r="BE99" s="1993">
        <v>0</v>
      </c>
      <c r="BF99" s="1993">
        <v>0</v>
      </c>
      <c r="BG99" s="1993"/>
      <c r="BH99" s="1993">
        <v>1</v>
      </c>
      <c r="BI99" s="1993">
        <v>2</v>
      </c>
      <c r="BJ99" s="1993">
        <v>1</v>
      </c>
      <c r="BK99" s="1993">
        <v>1</v>
      </c>
      <c r="BL99" s="1993">
        <v>1</v>
      </c>
      <c r="BM99" s="70">
        <v>1</v>
      </c>
      <c r="BN99" s="70"/>
      <c r="BO99" s="70">
        <v>7</v>
      </c>
      <c r="BR99" s="105"/>
      <c r="BS99" s="105"/>
      <c r="BT99" s="41"/>
      <c r="BU99" s="41" t="s">
        <v>1239</v>
      </c>
      <c r="BV99" s="1659"/>
      <c r="BW99" s="1659"/>
      <c r="BX99" s="1659">
        <v>0</v>
      </c>
      <c r="BY99" s="1659"/>
      <c r="BZ99" s="1659"/>
      <c r="CA99" s="1659"/>
      <c r="CB99" s="1659">
        <v>0</v>
      </c>
      <c r="CC99" s="1659">
        <v>0</v>
      </c>
      <c r="CD99" s="1659">
        <v>8</v>
      </c>
      <c r="CE99" s="105">
        <v>2</v>
      </c>
      <c r="CF99" s="105"/>
      <c r="CG99" s="105">
        <v>10</v>
      </c>
      <c r="CH99" s="105"/>
      <c r="CJ99" s="1359" t="s">
        <v>25</v>
      </c>
      <c r="CK99" s="1359" t="s">
        <v>4</v>
      </c>
      <c r="CL99" s="1360" t="s">
        <v>120</v>
      </c>
      <c r="CM99" s="1361" t="s">
        <v>1233</v>
      </c>
      <c r="CN99" s="1363">
        <v>1</v>
      </c>
      <c r="CO99" s="1362"/>
      <c r="CP99" s="1363">
        <v>1</v>
      </c>
      <c r="CQ99" s="1362"/>
      <c r="CR99" s="1362"/>
      <c r="CS99" s="1362"/>
      <c r="CT99" s="1363">
        <v>0</v>
      </c>
      <c r="CU99" s="1363">
        <v>0</v>
      </c>
      <c r="CV99" s="687">
        <v>0</v>
      </c>
      <c r="CW99" s="687">
        <v>0</v>
      </c>
      <c r="CX99" s="687">
        <v>2</v>
      </c>
      <c r="CY99" s="41"/>
      <c r="DA99" s="602"/>
      <c r="DB99" s="602"/>
      <c r="DC99" s="603"/>
      <c r="DD99" s="604" t="s">
        <v>1344</v>
      </c>
      <c r="DE99" s="606">
        <v>0</v>
      </c>
      <c r="DF99" s="606">
        <v>0</v>
      </c>
      <c r="DG99" s="606">
        <v>0</v>
      </c>
      <c r="DH99" s="605"/>
      <c r="DI99" s="605"/>
      <c r="DJ99" s="606">
        <v>1</v>
      </c>
      <c r="DK99" s="606">
        <v>1</v>
      </c>
      <c r="DL99" s="606">
        <v>0</v>
      </c>
      <c r="DM99" s="602"/>
      <c r="DN99" s="602"/>
      <c r="DO99" s="607">
        <v>2</v>
      </c>
      <c r="DP99" s="105"/>
      <c r="DR99" s="608"/>
      <c r="DS99" s="608"/>
      <c r="DT99" s="608"/>
      <c r="DU99" s="609" t="s">
        <v>1239</v>
      </c>
      <c r="DV99" s="610"/>
      <c r="DW99" s="611">
        <v>0</v>
      </c>
      <c r="DX99" s="610"/>
      <c r="DY99" s="611">
        <v>0</v>
      </c>
      <c r="DZ99" s="610"/>
      <c r="EA99" s="610"/>
      <c r="EB99" s="610"/>
      <c r="EC99" s="611">
        <v>0</v>
      </c>
      <c r="ED99" s="611">
        <v>2</v>
      </c>
      <c r="EE99" s="613">
        <v>2</v>
      </c>
      <c r="EF99" s="613">
        <v>2</v>
      </c>
      <c r="EG99" s="613">
        <v>6</v>
      </c>
      <c r="EH99" s="614"/>
      <c r="EJ99" s="615"/>
      <c r="EK99" s="615" t="s">
        <v>41</v>
      </c>
      <c r="EL99" s="615" t="s">
        <v>129</v>
      </c>
      <c r="EM99" s="616" t="s">
        <v>1231</v>
      </c>
      <c r="EN99" s="617"/>
      <c r="EO99" s="617"/>
      <c r="EP99" s="617"/>
      <c r="EQ99" s="617"/>
      <c r="ER99" s="617"/>
      <c r="ES99" s="618">
        <v>0</v>
      </c>
      <c r="ET99" s="618">
        <v>2</v>
      </c>
      <c r="EU99" s="618">
        <v>0</v>
      </c>
      <c r="EV99" s="617"/>
      <c r="EW99" s="617"/>
      <c r="EX99" s="618">
        <v>2</v>
      </c>
      <c r="EY99" s="515"/>
      <c r="FA99" s="70"/>
      <c r="FB99" s="70"/>
      <c r="FC99" s="42"/>
      <c r="FD99" s="42" t="s">
        <v>1239</v>
      </c>
      <c r="FE99" s="70"/>
      <c r="FF99" s="70"/>
      <c r="FG99" s="70"/>
      <c r="FH99" s="70"/>
      <c r="FI99" s="70"/>
      <c r="FJ99" s="70">
        <v>0</v>
      </c>
      <c r="FK99" s="70">
        <v>0</v>
      </c>
      <c r="FL99" s="70">
        <v>9</v>
      </c>
      <c r="FM99" s="70"/>
      <c r="FN99" s="70"/>
      <c r="FO99" s="70">
        <v>9</v>
      </c>
      <c r="FP99" s="42"/>
      <c r="FQ99" s="42"/>
      <c r="FR99" s="516"/>
      <c r="FS99" s="516"/>
      <c r="FT99" s="516"/>
      <c r="FU99" s="516" t="s">
        <v>1231</v>
      </c>
      <c r="FV99" s="516">
        <v>0</v>
      </c>
      <c r="FW99" s="516">
        <v>0</v>
      </c>
      <c r="FX99" s="516">
        <v>1</v>
      </c>
      <c r="FY99" s="516">
        <v>0</v>
      </c>
      <c r="FZ99" s="516">
        <v>0</v>
      </c>
      <c r="GA99" s="516">
        <v>0</v>
      </c>
      <c r="GB99" s="516">
        <v>0</v>
      </c>
      <c r="GC99" s="516">
        <v>0</v>
      </c>
      <c r="GD99" s="516">
        <v>0</v>
      </c>
      <c r="GE99" s="516">
        <v>0</v>
      </c>
      <c r="GF99" s="516">
        <v>0</v>
      </c>
      <c r="GG99" s="517">
        <v>1</v>
      </c>
      <c r="GH99" s="619"/>
      <c r="GI99" s="518"/>
    </row>
    <row r="100" spans="3:191">
      <c r="D100" s="4800" t="s">
        <v>1231</v>
      </c>
      <c r="E100" s="4606">
        <v>0</v>
      </c>
      <c r="F100" s="4606"/>
      <c r="G100" s="4606"/>
      <c r="H100" s="4606"/>
      <c r="I100" s="4606"/>
      <c r="J100" s="4606">
        <v>1</v>
      </c>
      <c r="K100" s="4606">
        <v>1</v>
      </c>
      <c r="L100" s="4606">
        <v>0</v>
      </c>
      <c r="M100" s="4606">
        <v>0</v>
      </c>
      <c r="N100" s="2552"/>
      <c r="O100" s="2552"/>
      <c r="P100" s="2552">
        <v>2</v>
      </c>
      <c r="Q100" s="2552"/>
      <c r="R100" s="2552"/>
      <c r="U100" s="1793"/>
      <c r="V100" s="1793" t="s">
        <v>2531</v>
      </c>
      <c r="W100" s="4804">
        <v>0</v>
      </c>
      <c r="X100" s="4804">
        <v>1</v>
      </c>
      <c r="Y100" s="4804">
        <v>0</v>
      </c>
      <c r="Z100" s="4804">
        <v>0</v>
      </c>
      <c r="AA100" s="4804">
        <v>0</v>
      </c>
      <c r="AB100" s="4804">
        <v>0</v>
      </c>
      <c r="AC100" s="4804">
        <v>0</v>
      </c>
      <c r="AD100" s="4804">
        <v>0</v>
      </c>
      <c r="AE100" s="4702">
        <v>0</v>
      </c>
      <c r="AF100" s="4702">
        <v>1</v>
      </c>
      <c r="AG100" s="1793"/>
      <c r="AI100" s="41" t="s">
        <v>25</v>
      </c>
      <c r="AJ100" s="41" t="s">
        <v>4</v>
      </c>
      <c r="AK100" s="41" t="s">
        <v>120</v>
      </c>
      <c r="AL100" s="41" t="s">
        <v>1231</v>
      </c>
      <c r="AM100" s="2001">
        <v>1</v>
      </c>
      <c r="AN100" s="2001"/>
      <c r="AO100" s="2001">
        <v>0</v>
      </c>
      <c r="AP100" s="2001">
        <v>0</v>
      </c>
      <c r="AQ100" s="2001"/>
      <c r="AR100" s="2001">
        <v>0</v>
      </c>
      <c r="AS100" s="2001">
        <v>0</v>
      </c>
      <c r="AT100" s="2001">
        <v>0</v>
      </c>
      <c r="AU100" s="105">
        <v>0</v>
      </c>
      <c r="AV100" s="105"/>
      <c r="AW100" s="105">
        <v>1</v>
      </c>
      <c r="AX100" s="41"/>
      <c r="AZ100" s="42"/>
      <c r="BA100" s="42"/>
      <c r="BB100" s="42"/>
      <c r="BC100" s="42" t="s">
        <v>1344</v>
      </c>
      <c r="BD100" s="1993">
        <v>0</v>
      </c>
      <c r="BE100" s="1993">
        <v>0</v>
      </c>
      <c r="BF100" s="1993">
        <v>0</v>
      </c>
      <c r="BG100" s="1993"/>
      <c r="BH100" s="1993">
        <v>0</v>
      </c>
      <c r="BI100" s="1993">
        <v>2</v>
      </c>
      <c r="BJ100" s="1993">
        <v>0</v>
      </c>
      <c r="BK100" s="1993">
        <v>0</v>
      </c>
      <c r="BL100" s="1993">
        <v>0</v>
      </c>
      <c r="BM100" s="70">
        <v>0</v>
      </c>
      <c r="BN100" s="70"/>
      <c r="BO100" s="70">
        <v>2</v>
      </c>
      <c r="BR100" s="105"/>
      <c r="BS100" s="105"/>
      <c r="BT100" s="41"/>
      <c r="BU100" s="41" t="s">
        <v>1344</v>
      </c>
      <c r="BV100" s="1659"/>
      <c r="BW100" s="1659"/>
      <c r="BX100" s="1659">
        <v>0</v>
      </c>
      <c r="BY100" s="1659"/>
      <c r="BZ100" s="1659"/>
      <c r="CA100" s="1659"/>
      <c r="CB100" s="1659">
        <v>0</v>
      </c>
      <c r="CC100" s="1659">
        <v>2</v>
      </c>
      <c r="CD100" s="1659">
        <v>0</v>
      </c>
      <c r="CE100" s="105">
        <v>0</v>
      </c>
      <c r="CF100" s="105"/>
      <c r="CG100" s="105">
        <v>2</v>
      </c>
      <c r="CH100" s="105"/>
      <c r="CJ100" s="1359"/>
      <c r="CK100" s="1359"/>
      <c r="CL100" s="1360"/>
      <c r="CM100" s="1361" t="s">
        <v>1235</v>
      </c>
      <c r="CN100" s="1363">
        <v>0</v>
      </c>
      <c r="CO100" s="1362"/>
      <c r="CP100" s="1363">
        <v>0</v>
      </c>
      <c r="CQ100" s="1362"/>
      <c r="CR100" s="1362"/>
      <c r="CS100" s="1362"/>
      <c r="CT100" s="1363">
        <v>1</v>
      </c>
      <c r="CU100" s="1363">
        <v>0</v>
      </c>
      <c r="CV100" s="687">
        <v>0</v>
      </c>
      <c r="CW100" s="687">
        <v>0</v>
      </c>
      <c r="CX100" s="687">
        <v>1</v>
      </c>
      <c r="CY100" s="41"/>
      <c r="DA100" s="602"/>
      <c r="DB100" s="602"/>
      <c r="DC100" s="603"/>
      <c r="DD100" s="630" t="s">
        <v>15</v>
      </c>
      <c r="DE100" s="632">
        <v>1</v>
      </c>
      <c r="DF100" s="632">
        <v>1</v>
      </c>
      <c r="DG100" s="632">
        <v>1</v>
      </c>
      <c r="DH100" s="631"/>
      <c r="DI100" s="631"/>
      <c r="DJ100" s="632">
        <v>1</v>
      </c>
      <c r="DK100" s="632">
        <v>3</v>
      </c>
      <c r="DL100" s="632">
        <v>4</v>
      </c>
      <c r="DM100" s="633"/>
      <c r="DN100" s="633"/>
      <c r="DO100" s="634">
        <v>11</v>
      </c>
      <c r="DP100" s="635">
        <f>+(DO97+DO99)/DO100</f>
        <v>0.36363636363636365</v>
      </c>
      <c r="DR100" s="608"/>
      <c r="DS100" s="608"/>
      <c r="DT100" s="608"/>
      <c r="DU100" s="609" t="s">
        <v>1344</v>
      </c>
      <c r="DV100" s="610"/>
      <c r="DW100" s="611">
        <v>0</v>
      </c>
      <c r="DX100" s="610"/>
      <c r="DY100" s="611">
        <v>0</v>
      </c>
      <c r="DZ100" s="610"/>
      <c r="EA100" s="610"/>
      <c r="EB100" s="610"/>
      <c r="EC100" s="611">
        <v>1</v>
      </c>
      <c r="ED100" s="611">
        <v>0</v>
      </c>
      <c r="EE100" s="613">
        <v>0</v>
      </c>
      <c r="EF100" s="613">
        <v>0</v>
      </c>
      <c r="EG100" s="613">
        <v>1</v>
      </c>
      <c r="EH100" s="614"/>
      <c r="EJ100" s="615"/>
      <c r="EK100" s="615"/>
      <c r="EL100" s="615"/>
      <c r="EM100" s="616" t="s">
        <v>1235</v>
      </c>
      <c r="EN100" s="617"/>
      <c r="EO100" s="617"/>
      <c r="EP100" s="617"/>
      <c r="EQ100" s="617"/>
      <c r="ER100" s="617"/>
      <c r="ES100" s="618">
        <v>1</v>
      </c>
      <c r="ET100" s="618">
        <v>5</v>
      </c>
      <c r="EU100" s="618">
        <v>0</v>
      </c>
      <c r="EV100" s="617"/>
      <c r="EW100" s="617"/>
      <c r="EX100" s="618">
        <v>6</v>
      </c>
      <c r="EY100" s="515"/>
      <c r="FA100" s="70"/>
      <c r="FB100" s="70"/>
      <c r="FC100" s="42"/>
      <c r="FD100" s="42" t="s">
        <v>1344</v>
      </c>
      <c r="FE100" s="70"/>
      <c r="FF100" s="70"/>
      <c r="FG100" s="70"/>
      <c r="FH100" s="70"/>
      <c r="FI100" s="70"/>
      <c r="FJ100" s="70">
        <v>1</v>
      </c>
      <c r="FK100" s="70">
        <v>3</v>
      </c>
      <c r="FL100" s="70">
        <v>0</v>
      </c>
      <c r="FM100" s="70"/>
      <c r="FN100" s="70"/>
      <c r="FO100" s="70">
        <v>4</v>
      </c>
      <c r="FP100" s="42"/>
      <c r="FQ100" s="42"/>
      <c r="FR100" s="516"/>
      <c r="FS100" s="516"/>
      <c r="FT100" s="516"/>
      <c r="FU100" s="516" t="s">
        <v>1235</v>
      </c>
      <c r="FV100" s="516">
        <v>0</v>
      </c>
      <c r="FW100" s="516">
        <v>0</v>
      </c>
      <c r="FX100" s="516">
        <v>0</v>
      </c>
      <c r="FY100" s="516">
        <v>0</v>
      </c>
      <c r="FZ100" s="516">
        <v>0</v>
      </c>
      <c r="GA100" s="516">
        <v>0</v>
      </c>
      <c r="GB100" s="516">
        <v>0</v>
      </c>
      <c r="GC100" s="516">
        <v>3</v>
      </c>
      <c r="GD100" s="516">
        <v>0</v>
      </c>
      <c r="GE100" s="516">
        <v>0</v>
      </c>
      <c r="GF100" s="516">
        <v>0</v>
      </c>
      <c r="GG100" s="517">
        <v>3</v>
      </c>
      <c r="GH100" s="619"/>
      <c r="GI100" s="518"/>
    </row>
    <row r="101" spans="3:191">
      <c r="D101" s="4800" t="s">
        <v>1239</v>
      </c>
      <c r="E101" s="4606">
        <v>0</v>
      </c>
      <c r="F101" s="4606"/>
      <c r="G101" s="4606"/>
      <c r="H101" s="4606"/>
      <c r="I101" s="4606"/>
      <c r="J101" s="4606">
        <v>0</v>
      </c>
      <c r="K101" s="4606">
        <v>0</v>
      </c>
      <c r="L101" s="4606">
        <v>2</v>
      </c>
      <c r="M101" s="4606">
        <v>17</v>
      </c>
      <c r="N101" s="2552"/>
      <c r="O101" s="2552"/>
      <c r="P101" s="2552">
        <v>19</v>
      </c>
      <c r="Q101" s="2552"/>
      <c r="R101" s="2552"/>
      <c r="U101" s="1793"/>
      <c r="V101" s="1793" t="s">
        <v>106</v>
      </c>
      <c r="W101" s="4804">
        <v>17</v>
      </c>
      <c r="X101" s="4804">
        <v>6</v>
      </c>
      <c r="Y101" s="4804">
        <v>5</v>
      </c>
      <c r="Z101" s="4804">
        <v>4</v>
      </c>
      <c r="AA101" s="4804">
        <v>7</v>
      </c>
      <c r="AB101" s="4804">
        <v>55</v>
      </c>
      <c r="AC101" s="4804">
        <v>89</v>
      </c>
      <c r="AD101" s="4804">
        <v>17</v>
      </c>
      <c r="AE101" s="4702">
        <v>13</v>
      </c>
      <c r="AF101" s="4702">
        <v>213</v>
      </c>
      <c r="AG101" s="4703">
        <f>+(AF95+AF98+AF99)/AF101</f>
        <v>7.9812206572769953E-2</v>
      </c>
      <c r="AI101" s="41"/>
      <c r="AJ101" s="41"/>
      <c r="AK101" s="41"/>
      <c r="AL101" s="41" t="s">
        <v>1235</v>
      </c>
      <c r="AM101" s="2001">
        <v>0</v>
      </c>
      <c r="AN101" s="2001"/>
      <c r="AO101" s="2001">
        <v>0</v>
      </c>
      <c r="AP101" s="2001">
        <v>0</v>
      </c>
      <c r="AQ101" s="2001"/>
      <c r="AR101" s="2001">
        <v>0</v>
      </c>
      <c r="AS101" s="2001">
        <v>1</v>
      </c>
      <c r="AT101" s="2001">
        <v>1</v>
      </c>
      <c r="AU101" s="105">
        <v>2</v>
      </c>
      <c r="AV101" s="105"/>
      <c r="AW101" s="105">
        <v>4</v>
      </c>
      <c r="AX101" s="41"/>
      <c r="AZ101" s="42"/>
      <c r="BA101" s="42"/>
      <c r="BB101" s="42"/>
      <c r="BC101" s="484" t="s">
        <v>546</v>
      </c>
      <c r="BD101" s="1994">
        <v>3</v>
      </c>
      <c r="BE101" s="1994">
        <v>3</v>
      </c>
      <c r="BF101" s="1994">
        <v>1</v>
      </c>
      <c r="BG101" s="1994"/>
      <c r="BH101" s="1994">
        <v>8</v>
      </c>
      <c r="BI101" s="1994">
        <v>12</v>
      </c>
      <c r="BJ101" s="1994">
        <v>11</v>
      </c>
      <c r="BK101" s="1994">
        <v>13</v>
      </c>
      <c r="BL101" s="1994">
        <v>23</v>
      </c>
      <c r="BM101" s="454">
        <v>6</v>
      </c>
      <c r="BN101" s="454"/>
      <c r="BO101" s="454">
        <v>80</v>
      </c>
      <c r="BP101" s="2485">
        <f>+(BO96+BO99-BM99+BO100)/BO101</f>
        <v>0.1875</v>
      </c>
      <c r="BR101" s="105"/>
      <c r="BS101" s="105"/>
      <c r="BT101" s="41"/>
      <c r="BU101" s="461" t="s">
        <v>15</v>
      </c>
      <c r="BV101" s="1660"/>
      <c r="BW101" s="1660"/>
      <c r="BX101" s="1660">
        <v>1</v>
      </c>
      <c r="BY101" s="1660"/>
      <c r="BZ101" s="1660"/>
      <c r="CA101" s="1660"/>
      <c r="CB101" s="1660">
        <v>3</v>
      </c>
      <c r="CC101" s="1660">
        <v>8</v>
      </c>
      <c r="CD101" s="1660">
        <v>10</v>
      </c>
      <c r="CE101" s="96">
        <v>5</v>
      </c>
      <c r="CF101" s="96"/>
      <c r="CG101" s="96">
        <v>27</v>
      </c>
      <c r="CH101" s="635">
        <f>+(CG98+CG100)/CG101</f>
        <v>0.1111111111111111</v>
      </c>
      <c r="CJ101" s="1359"/>
      <c r="CK101" s="1359"/>
      <c r="CL101" s="1360"/>
      <c r="CM101" s="1361" t="s">
        <v>1236</v>
      </c>
      <c r="CN101" s="1363">
        <v>0</v>
      </c>
      <c r="CO101" s="1362"/>
      <c r="CP101" s="1363">
        <v>1</v>
      </c>
      <c r="CQ101" s="1362"/>
      <c r="CR101" s="1362"/>
      <c r="CS101" s="1362"/>
      <c r="CT101" s="1363">
        <v>0</v>
      </c>
      <c r="CU101" s="1363">
        <v>0</v>
      </c>
      <c r="CV101" s="687">
        <v>0</v>
      </c>
      <c r="CW101" s="687">
        <v>0</v>
      </c>
      <c r="CX101" s="687">
        <v>1</v>
      </c>
      <c r="CY101" s="41"/>
      <c r="DA101" s="602"/>
      <c r="DB101" s="602"/>
      <c r="DC101" s="603" t="s">
        <v>124</v>
      </c>
      <c r="DD101" s="604" t="s">
        <v>1230</v>
      </c>
      <c r="DE101" s="606">
        <v>0</v>
      </c>
      <c r="DF101" s="605"/>
      <c r="DG101" s="605"/>
      <c r="DH101" s="606">
        <v>0</v>
      </c>
      <c r="DI101" s="605"/>
      <c r="DJ101" s="606">
        <v>0</v>
      </c>
      <c r="DK101" s="605"/>
      <c r="DL101" s="606">
        <v>1</v>
      </c>
      <c r="DM101" s="607">
        <v>0</v>
      </c>
      <c r="DN101" s="602"/>
      <c r="DO101" s="607">
        <v>1</v>
      </c>
      <c r="DP101" s="105"/>
      <c r="DR101" s="608"/>
      <c r="DS101" s="608"/>
      <c r="DT101" s="608"/>
      <c r="DU101" s="620" t="s">
        <v>15</v>
      </c>
      <c r="DV101" s="621"/>
      <c r="DW101" s="622">
        <v>3</v>
      </c>
      <c r="DX101" s="621"/>
      <c r="DY101" s="622">
        <v>1</v>
      </c>
      <c r="DZ101" s="621"/>
      <c r="EA101" s="621"/>
      <c r="EB101" s="621"/>
      <c r="EC101" s="622">
        <v>3</v>
      </c>
      <c r="ED101" s="622">
        <v>8</v>
      </c>
      <c r="EE101" s="624">
        <v>3</v>
      </c>
      <c r="EF101" s="624">
        <v>2</v>
      </c>
      <c r="EG101" s="624">
        <v>20</v>
      </c>
      <c r="EH101" s="614">
        <f>+(EG100+EG98-EE98)/EG101</f>
        <v>0.25</v>
      </c>
      <c r="EJ101" s="615"/>
      <c r="EK101" s="615"/>
      <c r="EL101" s="615"/>
      <c r="EM101" s="616" t="s">
        <v>1239</v>
      </c>
      <c r="EN101" s="617"/>
      <c r="EO101" s="617"/>
      <c r="EP101" s="617"/>
      <c r="EQ101" s="617"/>
      <c r="ER101" s="617"/>
      <c r="ES101" s="618">
        <v>0</v>
      </c>
      <c r="ET101" s="618">
        <v>0</v>
      </c>
      <c r="EU101" s="618">
        <v>2</v>
      </c>
      <c r="EV101" s="617"/>
      <c r="EW101" s="617"/>
      <c r="EX101" s="618">
        <v>2</v>
      </c>
      <c r="EY101" s="515"/>
      <c r="FA101" s="70"/>
      <c r="FB101" s="70"/>
      <c r="FC101" s="42"/>
      <c r="FD101" s="484" t="s">
        <v>15</v>
      </c>
      <c r="FE101" s="454"/>
      <c r="FF101" s="454"/>
      <c r="FG101" s="454"/>
      <c r="FH101" s="454"/>
      <c r="FI101" s="454"/>
      <c r="FJ101" s="454">
        <v>1</v>
      </c>
      <c r="FK101" s="454">
        <v>13</v>
      </c>
      <c r="FL101" s="454">
        <v>9</v>
      </c>
      <c r="FM101" s="454"/>
      <c r="FN101" s="454"/>
      <c r="FO101" s="454">
        <v>23</v>
      </c>
      <c r="FP101" s="536">
        <f>+(FO98+FO100)/FO101</f>
        <v>0.56521739130434778</v>
      </c>
      <c r="FQ101" s="42"/>
      <c r="FR101" s="516"/>
      <c r="FS101" s="516"/>
      <c r="FT101" s="516"/>
      <c r="FU101" s="516" t="s">
        <v>1344</v>
      </c>
      <c r="FV101" s="516">
        <v>0</v>
      </c>
      <c r="FW101" s="516">
        <v>0</v>
      </c>
      <c r="FX101" s="516">
        <v>0</v>
      </c>
      <c r="FY101" s="516">
        <v>0</v>
      </c>
      <c r="FZ101" s="516">
        <v>0</v>
      </c>
      <c r="GA101" s="516">
        <v>0</v>
      </c>
      <c r="GB101" s="516">
        <v>0</v>
      </c>
      <c r="GC101" s="516">
        <v>4</v>
      </c>
      <c r="GD101" s="516">
        <v>0</v>
      </c>
      <c r="GE101" s="516">
        <v>0</v>
      </c>
      <c r="GF101" s="516">
        <v>0</v>
      </c>
      <c r="GG101" s="517">
        <v>4</v>
      </c>
      <c r="GH101" s="619"/>
      <c r="GI101" s="518"/>
    </row>
    <row r="102" spans="3:191">
      <c r="D102" s="4800" t="s">
        <v>2963</v>
      </c>
      <c r="E102" s="4606">
        <v>1</v>
      </c>
      <c r="F102" s="4606"/>
      <c r="G102" s="4606"/>
      <c r="H102" s="4606"/>
      <c r="I102" s="4606"/>
      <c r="J102" s="4606">
        <v>0</v>
      </c>
      <c r="K102" s="4606">
        <v>0</v>
      </c>
      <c r="L102" s="4606">
        <v>0</v>
      </c>
      <c r="M102" s="4606">
        <v>0</v>
      </c>
      <c r="N102" s="2552"/>
      <c r="O102" s="2552"/>
      <c r="P102" s="2552">
        <v>1</v>
      </c>
      <c r="Q102" s="2552"/>
      <c r="R102" s="2552"/>
      <c r="S102" s="37" t="s">
        <v>25</v>
      </c>
      <c r="T102" s="37" t="s">
        <v>4</v>
      </c>
      <c r="U102" s="37" t="s">
        <v>120</v>
      </c>
      <c r="V102" s="37" t="s">
        <v>1230</v>
      </c>
      <c r="W102" s="4803"/>
      <c r="X102" s="4803"/>
      <c r="Y102" s="4803"/>
      <c r="Z102" s="4803"/>
      <c r="AA102" s="4803">
        <v>0</v>
      </c>
      <c r="AB102" s="4803"/>
      <c r="AC102" s="4803">
        <v>3</v>
      </c>
      <c r="AD102" s="4803">
        <v>0</v>
      </c>
      <c r="AE102" s="1788">
        <v>0</v>
      </c>
      <c r="AF102" s="1788">
        <v>3</v>
      </c>
      <c r="AI102" s="41"/>
      <c r="AJ102" s="41"/>
      <c r="AK102" s="41"/>
      <c r="AL102" s="41" t="s">
        <v>1236</v>
      </c>
      <c r="AM102" s="2001">
        <v>0</v>
      </c>
      <c r="AN102" s="2001"/>
      <c r="AO102" s="2001">
        <v>1</v>
      </c>
      <c r="AP102" s="2001">
        <v>1</v>
      </c>
      <c r="AQ102" s="2001"/>
      <c r="AR102" s="2001">
        <v>1</v>
      </c>
      <c r="AS102" s="2001">
        <v>0</v>
      </c>
      <c r="AT102" s="2001">
        <v>0</v>
      </c>
      <c r="AU102" s="105">
        <v>0</v>
      </c>
      <c r="AV102" s="105"/>
      <c r="AW102" s="105">
        <v>3</v>
      </c>
      <c r="AX102" s="41"/>
      <c r="AZ102" s="42"/>
      <c r="BA102" s="42"/>
      <c r="BB102" s="42" t="s">
        <v>106</v>
      </c>
      <c r="BC102" s="42" t="s">
        <v>1230</v>
      </c>
      <c r="BD102" s="1993">
        <v>0</v>
      </c>
      <c r="BE102" s="1993">
        <v>0</v>
      </c>
      <c r="BF102" s="1993">
        <v>0</v>
      </c>
      <c r="BG102" s="1993">
        <v>0</v>
      </c>
      <c r="BH102" s="1993">
        <v>0</v>
      </c>
      <c r="BI102" s="1993">
        <v>0</v>
      </c>
      <c r="BJ102" s="1993">
        <v>0</v>
      </c>
      <c r="BK102" s="1993">
        <v>2</v>
      </c>
      <c r="BL102" s="1993">
        <v>7</v>
      </c>
      <c r="BM102" s="70">
        <v>0</v>
      </c>
      <c r="BN102" s="70">
        <v>1</v>
      </c>
      <c r="BO102" s="70">
        <v>10</v>
      </c>
      <c r="BR102" s="105"/>
      <c r="BS102" s="105"/>
      <c r="BT102" s="41" t="s">
        <v>122</v>
      </c>
      <c r="BU102" s="41" t="s">
        <v>1230</v>
      </c>
      <c r="BV102" s="1659"/>
      <c r="BW102" s="1659">
        <v>0</v>
      </c>
      <c r="BX102" s="1659"/>
      <c r="BY102" s="1659"/>
      <c r="BZ102" s="1659"/>
      <c r="CA102" s="1659"/>
      <c r="CB102" s="1659"/>
      <c r="CC102" s="1659">
        <v>1</v>
      </c>
      <c r="CD102" s="1659">
        <v>4</v>
      </c>
      <c r="CE102" s="105"/>
      <c r="CF102" s="105">
        <v>1</v>
      </c>
      <c r="CG102" s="105">
        <v>6</v>
      </c>
      <c r="CH102" s="105"/>
      <c r="CJ102" s="1359"/>
      <c r="CK102" s="1359"/>
      <c r="CL102" s="1360"/>
      <c r="CM102" s="1361" t="s">
        <v>1239</v>
      </c>
      <c r="CN102" s="1363">
        <v>0</v>
      </c>
      <c r="CO102" s="1362"/>
      <c r="CP102" s="1363">
        <v>0</v>
      </c>
      <c r="CQ102" s="1362"/>
      <c r="CR102" s="1362"/>
      <c r="CS102" s="1362"/>
      <c r="CT102" s="1363">
        <v>0</v>
      </c>
      <c r="CU102" s="1363">
        <v>2</v>
      </c>
      <c r="CV102" s="687">
        <v>1</v>
      </c>
      <c r="CW102" s="687">
        <v>1</v>
      </c>
      <c r="CX102" s="687">
        <v>4</v>
      </c>
      <c r="CY102" s="41"/>
      <c r="DA102" s="602"/>
      <c r="DB102" s="602"/>
      <c r="DC102" s="603"/>
      <c r="DD102" s="604" t="s">
        <v>1231</v>
      </c>
      <c r="DE102" s="606">
        <v>1</v>
      </c>
      <c r="DF102" s="605"/>
      <c r="DG102" s="605"/>
      <c r="DH102" s="606">
        <v>0</v>
      </c>
      <c r="DI102" s="605"/>
      <c r="DJ102" s="606">
        <v>0</v>
      </c>
      <c r="DK102" s="605"/>
      <c r="DL102" s="606">
        <v>1</v>
      </c>
      <c r="DM102" s="607">
        <v>0</v>
      </c>
      <c r="DN102" s="602"/>
      <c r="DO102" s="607">
        <v>2</v>
      </c>
      <c r="DP102" s="105"/>
      <c r="DR102" s="608"/>
      <c r="DS102" s="608"/>
      <c r="DT102" s="608" t="s">
        <v>417</v>
      </c>
      <c r="DU102" s="609" t="s">
        <v>1230</v>
      </c>
      <c r="DV102" s="610"/>
      <c r="DW102" s="610"/>
      <c r="DX102" s="610"/>
      <c r="DY102" s="610"/>
      <c r="DZ102" s="610"/>
      <c r="EA102" s="610"/>
      <c r="EB102" s="611">
        <v>0</v>
      </c>
      <c r="EC102" s="611">
        <v>1</v>
      </c>
      <c r="ED102" s="611">
        <v>2</v>
      </c>
      <c r="EE102" s="613">
        <v>1</v>
      </c>
      <c r="EF102" s="612"/>
      <c r="EG102" s="613">
        <v>4</v>
      </c>
      <c r="EH102" s="614"/>
      <c r="EJ102" s="615"/>
      <c r="EK102" s="615"/>
      <c r="EL102" s="615"/>
      <c r="EM102" s="616" t="s">
        <v>1344</v>
      </c>
      <c r="EN102" s="617"/>
      <c r="EO102" s="617"/>
      <c r="EP102" s="617"/>
      <c r="EQ102" s="617"/>
      <c r="ER102" s="617"/>
      <c r="ES102" s="618">
        <v>0</v>
      </c>
      <c r="ET102" s="618">
        <v>3</v>
      </c>
      <c r="EU102" s="618">
        <v>0</v>
      </c>
      <c r="EV102" s="617"/>
      <c r="EW102" s="617"/>
      <c r="EX102" s="618">
        <v>3</v>
      </c>
      <c r="EY102" s="515"/>
      <c r="FA102" s="70"/>
      <c r="FB102" s="70"/>
      <c r="FC102" s="42" t="s">
        <v>131</v>
      </c>
      <c r="FD102" s="42" t="s">
        <v>1231</v>
      </c>
      <c r="FE102" s="70"/>
      <c r="FF102" s="70"/>
      <c r="FG102" s="70"/>
      <c r="FH102" s="70"/>
      <c r="FI102" s="70"/>
      <c r="FJ102" s="70"/>
      <c r="FK102" s="70">
        <v>2</v>
      </c>
      <c r="FL102" s="70">
        <v>0</v>
      </c>
      <c r="FM102" s="70"/>
      <c r="FN102" s="70"/>
      <c r="FO102" s="70">
        <v>2</v>
      </c>
      <c r="FP102" s="42"/>
      <c r="FQ102" s="42"/>
      <c r="FR102" s="516"/>
      <c r="FS102" s="516"/>
      <c r="FT102" s="516"/>
      <c r="FU102" s="519" t="s">
        <v>15</v>
      </c>
      <c r="FV102" s="519">
        <v>0</v>
      </c>
      <c r="FW102" s="519">
        <v>0</v>
      </c>
      <c r="FX102" s="519">
        <v>1</v>
      </c>
      <c r="FY102" s="519">
        <v>0</v>
      </c>
      <c r="FZ102" s="519">
        <v>0</v>
      </c>
      <c r="GA102" s="519">
        <v>0</v>
      </c>
      <c r="GB102" s="519">
        <v>0</v>
      </c>
      <c r="GC102" s="519">
        <v>7</v>
      </c>
      <c r="GD102" s="519">
        <v>0</v>
      </c>
      <c r="GE102" s="519">
        <v>0</v>
      </c>
      <c r="GF102" s="519">
        <v>1</v>
      </c>
      <c r="GG102" s="579">
        <v>9</v>
      </c>
      <c r="GH102" s="629">
        <f>+(GG101+GG100)/GG102</f>
        <v>0.77777777777777779</v>
      </c>
      <c r="GI102" s="518">
        <f>+GG100+GG101</f>
        <v>7</v>
      </c>
    </row>
    <row r="103" spans="3:191">
      <c r="D103" s="32" t="s">
        <v>15</v>
      </c>
      <c r="E103" s="4607">
        <v>1</v>
      </c>
      <c r="F103" s="4607"/>
      <c r="G103" s="4607"/>
      <c r="H103" s="4607"/>
      <c r="I103" s="4607"/>
      <c r="J103" s="4607">
        <v>2</v>
      </c>
      <c r="K103" s="4607">
        <v>1</v>
      </c>
      <c r="L103" s="4607">
        <v>2</v>
      </c>
      <c r="M103" s="4607">
        <v>17</v>
      </c>
      <c r="N103" s="4583"/>
      <c r="O103" s="4583"/>
      <c r="P103" s="4583">
        <v>23</v>
      </c>
      <c r="Q103" s="1977">
        <v>0</v>
      </c>
      <c r="R103" s="1977"/>
      <c r="V103" s="37" t="s">
        <v>1231</v>
      </c>
      <c r="W103" s="4803"/>
      <c r="X103" s="4803"/>
      <c r="Y103" s="4803"/>
      <c r="Z103" s="4803"/>
      <c r="AA103" s="4803">
        <v>1</v>
      </c>
      <c r="AB103" s="4803"/>
      <c r="AC103" s="4803">
        <v>1</v>
      </c>
      <c r="AD103" s="4803">
        <v>0</v>
      </c>
      <c r="AE103" s="1788">
        <v>0</v>
      </c>
      <c r="AF103" s="1788">
        <v>2</v>
      </c>
      <c r="AI103" s="41"/>
      <c r="AJ103" s="41"/>
      <c r="AK103" s="41"/>
      <c r="AL103" s="41" t="s">
        <v>1239</v>
      </c>
      <c r="AM103" s="2001">
        <v>0</v>
      </c>
      <c r="AN103" s="2001"/>
      <c r="AO103" s="2001">
        <v>0</v>
      </c>
      <c r="AP103" s="2001">
        <v>0</v>
      </c>
      <c r="AQ103" s="2001"/>
      <c r="AR103" s="2001">
        <v>0</v>
      </c>
      <c r="AS103" s="2001">
        <v>0</v>
      </c>
      <c r="AT103" s="2001">
        <v>7</v>
      </c>
      <c r="AU103" s="105">
        <v>4</v>
      </c>
      <c r="AV103" s="105"/>
      <c r="AW103" s="105">
        <v>11</v>
      </c>
      <c r="AX103" s="41"/>
      <c r="AZ103" s="42"/>
      <c r="BA103" s="42"/>
      <c r="BB103" s="42"/>
      <c r="BC103" s="42" t="s">
        <v>1231</v>
      </c>
      <c r="BD103" s="1993">
        <v>2</v>
      </c>
      <c r="BE103" s="1993">
        <v>9</v>
      </c>
      <c r="BF103" s="1993">
        <v>2</v>
      </c>
      <c r="BG103" s="1993">
        <v>2</v>
      </c>
      <c r="BH103" s="1993">
        <v>5</v>
      </c>
      <c r="BI103" s="1993">
        <v>7</v>
      </c>
      <c r="BJ103" s="1993">
        <v>23</v>
      </c>
      <c r="BK103" s="1993">
        <v>21</v>
      </c>
      <c r="BL103" s="1993">
        <v>1</v>
      </c>
      <c r="BM103" s="70">
        <v>0</v>
      </c>
      <c r="BN103" s="70">
        <v>0</v>
      </c>
      <c r="BO103" s="70">
        <v>72</v>
      </c>
      <c r="BR103" s="105"/>
      <c r="BS103" s="105"/>
      <c r="BT103" s="41"/>
      <c r="BU103" s="41" t="s">
        <v>1231</v>
      </c>
      <c r="BV103" s="1659"/>
      <c r="BW103" s="1659">
        <v>1</v>
      </c>
      <c r="BX103" s="1659"/>
      <c r="BY103" s="1659"/>
      <c r="BZ103" s="1659"/>
      <c r="CA103" s="1659"/>
      <c r="CB103" s="1659"/>
      <c r="CC103" s="1659">
        <v>0</v>
      </c>
      <c r="CD103" s="1659">
        <v>1</v>
      </c>
      <c r="CE103" s="105"/>
      <c r="CF103" s="105">
        <v>0</v>
      </c>
      <c r="CG103" s="105">
        <v>2</v>
      </c>
      <c r="CH103" s="105"/>
      <c r="CJ103" s="1359"/>
      <c r="CK103" s="1359"/>
      <c r="CL103" s="1360"/>
      <c r="CM103" s="483" t="s">
        <v>15</v>
      </c>
      <c r="CN103" s="1365">
        <v>1</v>
      </c>
      <c r="CO103" s="1364"/>
      <c r="CP103" s="1365">
        <v>2</v>
      </c>
      <c r="CQ103" s="1364"/>
      <c r="CR103" s="1364"/>
      <c r="CS103" s="1364"/>
      <c r="CT103" s="1365">
        <v>1</v>
      </c>
      <c r="CU103" s="1365">
        <v>2</v>
      </c>
      <c r="CV103" s="696">
        <v>1</v>
      </c>
      <c r="CW103" s="696">
        <v>1</v>
      </c>
      <c r="CX103" s="696">
        <v>8</v>
      </c>
      <c r="CY103" s="1325">
        <f>+CX100/CX103</f>
        <v>0.125</v>
      </c>
      <c r="DA103" s="602"/>
      <c r="DB103" s="602"/>
      <c r="DC103" s="603"/>
      <c r="DD103" s="604" t="s">
        <v>1235</v>
      </c>
      <c r="DE103" s="606">
        <v>0</v>
      </c>
      <c r="DF103" s="605"/>
      <c r="DG103" s="605"/>
      <c r="DH103" s="606">
        <v>0</v>
      </c>
      <c r="DI103" s="605"/>
      <c r="DJ103" s="606">
        <v>1</v>
      </c>
      <c r="DK103" s="605"/>
      <c r="DL103" s="606">
        <v>2</v>
      </c>
      <c r="DM103" s="607">
        <v>0</v>
      </c>
      <c r="DN103" s="602"/>
      <c r="DO103" s="607">
        <v>3</v>
      </c>
      <c r="DP103" s="105"/>
      <c r="DR103" s="608"/>
      <c r="DS103" s="608"/>
      <c r="DT103" s="608"/>
      <c r="DU103" s="609" t="s">
        <v>1231</v>
      </c>
      <c r="DV103" s="610"/>
      <c r="DW103" s="610"/>
      <c r="DX103" s="610"/>
      <c r="DY103" s="610"/>
      <c r="DZ103" s="610"/>
      <c r="EA103" s="610"/>
      <c r="EB103" s="611">
        <v>3</v>
      </c>
      <c r="EC103" s="611">
        <v>3</v>
      </c>
      <c r="ED103" s="611">
        <v>0</v>
      </c>
      <c r="EE103" s="613">
        <v>2</v>
      </c>
      <c r="EF103" s="612"/>
      <c r="EG103" s="613">
        <v>8</v>
      </c>
      <c r="EH103" s="614"/>
      <c r="EJ103" s="615"/>
      <c r="EK103" s="615"/>
      <c r="EL103" s="615"/>
      <c r="EM103" s="625" t="s">
        <v>15</v>
      </c>
      <c r="EN103" s="626"/>
      <c r="EO103" s="626"/>
      <c r="EP103" s="626"/>
      <c r="EQ103" s="626"/>
      <c r="ER103" s="626"/>
      <c r="ES103" s="627">
        <v>1</v>
      </c>
      <c r="ET103" s="627">
        <v>10</v>
      </c>
      <c r="EU103" s="627">
        <v>2</v>
      </c>
      <c r="EV103" s="626"/>
      <c r="EW103" s="626"/>
      <c r="EX103" s="627">
        <v>13</v>
      </c>
      <c r="EY103" s="628">
        <f>+(EX102+EX100)/EX103</f>
        <v>0.69230769230769229</v>
      </c>
      <c r="FA103" s="70"/>
      <c r="FB103" s="70"/>
      <c r="FC103" s="42"/>
      <c r="FD103" s="42" t="s">
        <v>1235</v>
      </c>
      <c r="FE103" s="70"/>
      <c r="FF103" s="70"/>
      <c r="FG103" s="70"/>
      <c r="FH103" s="70"/>
      <c r="FI103" s="70"/>
      <c r="FJ103" s="70"/>
      <c r="FK103" s="70">
        <v>3</v>
      </c>
      <c r="FL103" s="70">
        <v>0</v>
      </c>
      <c r="FM103" s="70"/>
      <c r="FN103" s="70"/>
      <c r="FO103" s="70">
        <v>3</v>
      </c>
      <c r="FP103" s="42"/>
      <c r="FQ103" s="42"/>
      <c r="FR103" s="516"/>
      <c r="FS103" s="516" t="s">
        <v>41</v>
      </c>
      <c r="FT103" s="516" t="s">
        <v>129</v>
      </c>
      <c r="FU103" s="516" t="s">
        <v>1230</v>
      </c>
      <c r="FV103" s="516">
        <v>0</v>
      </c>
      <c r="FW103" s="516">
        <v>0</v>
      </c>
      <c r="FX103" s="516">
        <v>0</v>
      </c>
      <c r="FY103" s="516">
        <v>0</v>
      </c>
      <c r="FZ103" s="516">
        <v>0</v>
      </c>
      <c r="GA103" s="516">
        <v>0</v>
      </c>
      <c r="GB103" s="516">
        <v>0</v>
      </c>
      <c r="GC103" s="516">
        <v>0</v>
      </c>
      <c r="GD103" s="516">
        <v>1</v>
      </c>
      <c r="GE103" s="516">
        <v>0</v>
      </c>
      <c r="GF103" s="516">
        <v>0</v>
      </c>
      <c r="GG103" s="517">
        <v>1</v>
      </c>
      <c r="GH103" s="619"/>
      <c r="GI103" s="518"/>
    </row>
    <row r="104" spans="3:191">
      <c r="C104" s="32" t="s">
        <v>106</v>
      </c>
      <c r="D104" s="32" t="s">
        <v>1230</v>
      </c>
      <c r="E104" s="4607">
        <v>0</v>
      </c>
      <c r="F104" s="4607">
        <v>0</v>
      </c>
      <c r="G104" s="4607">
        <v>0</v>
      </c>
      <c r="H104" s="4607">
        <v>0</v>
      </c>
      <c r="I104" s="4607">
        <v>0</v>
      </c>
      <c r="J104" s="4607">
        <v>2</v>
      </c>
      <c r="K104" s="4607">
        <v>0</v>
      </c>
      <c r="L104" s="4607">
        <v>0</v>
      </c>
      <c r="M104" s="4607">
        <v>5</v>
      </c>
      <c r="N104" s="4583">
        <v>0</v>
      </c>
      <c r="O104" s="4583">
        <v>2</v>
      </c>
      <c r="P104" s="4583">
        <v>9</v>
      </c>
      <c r="Q104" s="4583"/>
      <c r="R104" s="4583"/>
      <c r="V104" s="37" t="s">
        <v>1235</v>
      </c>
      <c r="W104" s="4803"/>
      <c r="X104" s="4803"/>
      <c r="Y104" s="4803"/>
      <c r="Z104" s="4803"/>
      <c r="AA104" s="4803">
        <v>0</v>
      </c>
      <c r="AB104" s="4803"/>
      <c r="AC104" s="4803">
        <v>1</v>
      </c>
      <c r="AD104" s="4803">
        <v>0</v>
      </c>
      <c r="AE104" s="1788">
        <v>0</v>
      </c>
      <c r="AF104" s="1788">
        <v>1</v>
      </c>
      <c r="AI104" s="41"/>
      <c r="AJ104" s="41"/>
      <c r="AK104" s="41"/>
      <c r="AL104" s="41" t="s">
        <v>1344</v>
      </c>
      <c r="AM104" s="2001">
        <v>0</v>
      </c>
      <c r="AN104" s="2001"/>
      <c r="AO104" s="2001">
        <v>0</v>
      </c>
      <c r="AP104" s="2001">
        <v>0</v>
      </c>
      <c r="AQ104" s="2001"/>
      <c r="AR104" s="2001">
        <v>0</v>
      </c>
      <c r="AS104" s="2001">
        <v>1</v>
      </c>
      <c r="AT104" s="2001">
        <v>1</v>
      </c>
      <c r="AU104" s="105">
        <v>0</v>
      </c>
      <c r="AV104" s="105"/>
      <c r="AW104" s="105">
        <v>2</v>
      </c>
      <c r="AX104" s="41"/>
      <c r="AZ104" s="42"/>
      <c r="BA104" s="42"/>
      <c r="BB104" s="42"/>
      <c r="BC104" s="42" t="s">
        <v>1233</v>
      </c>
      <c r="BD104" s="1993">
        <v>1</v>
      </c>
      <c r="BE104" s="1993">
        <v>0</v>
      </c>
      <c r="BF104" s="1993">
        <v>1</v>
      </c>
      <c r="BG104" s="1993">
        <v>0</v>
      </c>
      <c r="BH104" s="1993">
        <v>0</v>
      </c>
      <c r="BI104" s="1993">
        <v>0</v>
      </c>
      <c r="BJ104" s="1993">
        <v>0</v>
      </c>
      <c r="BK104" s="1993">
        <v>0</v>
      </c>
      <c r="BL104" s="1993">
        <v>0</v>
      </c>
      <c r="BM104" s="70">
        <v>0</v>
      </c>
      <c r="BN104" s="70">
        <v>0</v>
      </c>
      <c r="BO104" s="70">
        <v>2</v>
      </c>
      <c r="BR104" s="105"/>
      <c r="BS104" s="105"/>
      <c r="BT104" s="41"/>
      <c r="BU104" s="41" t="s">
        <v>1235</v>
      </c>
      <c r="BV104" s="1659"/>
      <c r="BW104" s="1659">
        <v>0</v>
      </c>
      <c r="BX104" s="1659"/>
      <c r="BY104" s="1659"/>
      <c r="BZ104" s="1659"/>
      <c r="CA104" s="1659"/>
      <c r="CB104" s="1659"/>
      <c r="CC104" s="1659">
        <v>1</v>
      </c>
      <c r="CD104" s="1659">
        <v>1</v>
      </c>
      <c r="CE104" s="105"/>
      <c r="CF104" s="105">
        <v>0</v>
      </c>
      <c r="CG104" s="105">
        <v>2</v>
      </c>
      <c r="CH104" s="105"/>
      <c r="CJ104" s="1359"/>
      <c r="CK104" s="1359"/>
      <c r="CL104" s="1360" t="s">
        <v>121</v>
      </c>
      <c r="CM104" s="1361" t="s">
        <v>1230</v>
      </c>
      <c r="CN104" s="1363">
        <v>0</v>
      </c>
      <c r="CO104" s="1362"/>
      <c r="CP104" s="1363">
        <v>0</v>
      </c>
      <c r="CQ104" s="1362"/>
      <c r="CR104" s="1362"/>
      <c r="CS104" s="1363">
        <v>0</v>
      </c>
      <c r="CT104" s="1363">
        <v>0</v>
      </c>
      <c r="CU104" s="1363">
        <v>0</v>
      </c>
      <c r="CV104" s="687">
        <v>0</v>
      </c>
      <c r="CW104" s="687">
        <v>2</v>
      </c>
      <c r="CX104" s="687">
        <v>2</v>
      </c>
      <c r="CY104" s="41"/>
      <c r="DA104" s="602"/>
      <c r="DB104" s="602"/>
      <c r="DC104" s="603"/>
      <c r="DD104" s="604" t="s">
        <v>1236</v>
      </c>
      <c r="DE104" s="606">
        <v>0</v>
      </c>
      <c r="DF104" s="605"/>
      <c r="DG104" s="605"/>
      <c r="DH104" s="606">
        <v>1</v>
      </c>
      <c r="DI104" s="605"/>
      <c r="DJ104" s="606">
        <v>0</v>
      </c>
      <c r="DK104" s="605"/>
      <c r="DL104" s="606">
        <v>0</v>
      </c>
      <c r="DM104" s="607">
        <v>0</v>
      </c>
      <c r="DN104" s="602"/>
      <c r="DO104" s="607">
        <v>1</v>
      </c>
      <c r="DP104" s="105"/>
      <c r="DR104" s="608"/>
      <c r="DS104" s="608"/>
      <c r="DT104" s="608"/>
      <c r="DU104" s="609" t="s">
        <v>1235</v>
      </c>
      <c r="DV104" s="610"/>
      <c r="DW104" s="610"/>
      <c r="DX104" s="610"/>
      <c r="DY104" s="610"/>
      <c r="DZ104" s="610"/>
      <c r="EA104" s="610"/>
      <c r="EB104" s="611">
        <v>0</v>
      </c>
      <c r="EC104" s="611">
        <v>3</v>
      </c>
      <c r="ED104" s="611">
        <v>0</v>
      </c>
      <c r="EE104" s="613">
        <v>0</v>
      </c>
      <c r="EF104" s="612"/>
      <c r="EG104" s="613">
        <v>3</v>
      </c>
      <c r="EH104" s="614"/>
      <c r="EJ104" s="615"/>
      <c r="EK104" s="615"/>
      <c r="EL104" s="615" t="s">
        <v>130</v>
      </c>
      <c r="EM104" s="616" t="s">
        <v>1231</v>
      </c>
      <c r="EN104" s="617"/>
      <c r="EO104" s="617"/>
      <c r="EP104" s="617"/>
      <c r="EQ104" s="617"/>
      <c r="ER104" s="617"/>
      <c r="ES104" s="618">
        <v>1</v>
      </c>
      <c r="ET104" s="618">
        <v>0</v>
      </c>
      <c r="EU104" s="618">
        <v>0</v>
      </c>
      <c r="EV104" s="617"/>
      <c r="EW104" s="617"/>
      <c r="EX104" s="618">
        <v>1</v>
      </c>
      <c r="EY104" s="515"/>
      <c r="FA104" s="70"/>
      <c r="FB104" s="70"/>
      <c r="FC104" s="42"/>
      <c r="FD104" s="42" t="s">
        <v>1239</v>
      </c>
      <c r="FE104" s="70"/>
      <c r="FF104" s="70"/>
      <c r="FG104" s="70"/>
      <c r="FH104" s="70"/>
      <c r="FI104" s="70"/>
      <c r="FJ104" s="70"/>
      <c r="FK104" s="70">
        <v>1</v>
      </c>
      <c r="FL104" s="70">
        <v>6</v>
      </c>
      <c r="FM104" s="70"/>
      <c r="FN104" s="70"/>
      <c r="FO104" s="70">
        <v>7</v>
      </c>
      <c r="FP104" s="42"/>
      <c r="FQ104" s="42"/>
      <c r="FR104" s="516"/>
      <c r="FS104" s="516"/>
      <c r="FT104" s="516"/>
      <c r="FU104" s="516" t="s">
        <v>1235</v>
      </c>
      <c r="FV104" s="516">
        <v>0</v>
      </c>
      <c r="FW104" s="516">
        <v>0</v>
      </c>
      <c r="FX104" s="516">
        <v>0</v>
      </c>
      <c r="FY104" s="516">
        <v>0</v>
      </c>
      <c r="FZ104" s="516">
        <v>0</v>
      </c>
      <c r="GA104" s="516">
        <v>0</v>
      </c>
      <c r="GB104" s="516">
        <v>5</v>
      </c>
      <c r="GC104" s="516">
        <v>3</v>
      </c>
      <c r="GD104" s="516">
        <v>0</v>
      </c>
      <c r="GE104" s="516">
        <v>0</v>
      </c>
      <c r="GF104" s="516">
        <v>0</v>
      </c>
      <c r="GG104" s="517">
        <v>8</v>
      </c>
      <c r="GH104" s="619"/>
      <c r="GI104" s="518"/>
    </row>
    <row r="105" spans="3:191">
      <c r="C105" s="32"/>
      <c r="D105" s="32" t="s">
        <v>1231</v>
      </c>
      <c r="E105" s="4607">
        <v>0</v>
      </c>
      <c r="F105" s="4607">
        <v>13</v>
      </c>
      <c r="G105" s="4607">
        <v>3</v>
      </c>
      <c r="H105" s="4607">
        <v>3</v>
      </c>
      <c r="I105" s="4607">
        <v>0</v>
      </c>
      <c r="J105" s="4607">
        <v>7</v>
      </c>
      <c r="K105" s="4607">
        <v>38</v>
      </c>
      <c r="L105" s="4607">
        <v>18</v>
      </c>
      <c r="M105" s="4607">
        <v>15</v>
      </c>
      <c r="N105" s="4583">
        <v>0</v>
      </c>
      <c r="O105" s="4583">
        <v>0</v>
      </c>
      <c r="P105" s="4583">
        <v>97</v>
      </c>
      <c r="Q105" s="4583"/>
      <c r="R105" s="4583"/>
      <c r="V105" s="37" t="s">
        <v>1239</v>
      </c>
      <c r="W105" s="4803"/>
      <c r="X105" s="4803"/>
      <c r="Y105" s="4803"/>
      <c r="Z105" s="4803"/>
      <c r="AA105" s="4803">
        <v>0</v>
      </c>
      <c r="AB105" s="4803"/>
      <c r="AC105" s="4803">
        <v>4</v>
      </c>
      <c r="AD105" s="4803">
        <v>8</v>
      </c>
      <c r="AE105" s="1788">
        <v>3</v>
      </c>
      <c r="AF105" s="1788">
        <v>15</v>
      </c>
      <c r="AI105" s="41"/>
      <c r="AJ105" s="41"/>
      <c r="AK105" s="41"/>
      <c r="AL105" s="461" t="s">
        <v>15</v>
      </c>
      <c r="AM105" s="2002">
        <v>1</v>
      </c>
      <c r="AN105" s="2002"/>
      <c r="AO105" s="2002">
        <v>1</v>
      </c>
      <c r="AP105" s="2002">
        <v>1</v>
      </c>
      <c r="AQ105" s="2002"/>
      <c r="AR105" s="2002">
        <v>1</v>
      </c>
      <c r="AS105" s="2002">
        <v>2</v>
      </c>
      <c r="AT105" s="2002">
        <v>9</v>
      </c>
      <c r="AU105" s="2480">
        <v>6</v>
      </c>
      <c r="AV105" s="2480"/>
      <c r="AW105" s="2480">
        <v>21</v>
      </c>
      <c r="AX105" s="635">
        <f>+(AW104+AW101-AU101)/AW105</f>
        <v>0.19047619047619047</v>
      </c>
      <c r="AY105" s="1977"/>
      <c r="AZ105" s="42"/>
      <c r="BA105" s="42"/>
      <c r="BB105" s="42"/>
      <c r="BC105" s="42" t="s">
        <v>1235</v>
      </c>
      <c r="BD105" s="1993">
        <v>0</v>
      </c>
      <c r="BE105" s="1993">
        <v>0</v>
      </c>
      <c r="BF105" s="1993">
        <v>0</v>
      </c>
      <c r="BG105" s="1993">
        <v>0</v>
      </c>
      <c r="BH105" s="1993">
        <v>3</v>
      </c>
      <c r="BI105" s="1993">
        <v>2</v>
      </c>
      <c r="BJ105" s="1993">
        <v>7</v>
      </c>
      <c r="BK105" s="1993">
        <v>0</v>
      </c>
      <c r="BL105" s="1993">
        <v>1</v>
      </c>
      <c r="BM105" s="70">
        <v>0</v>
      </c>
      <c r="BN105" s="70">
        <v>0</v>
      </c>
      <c r="BO105" s="70">
        <v>13</v>
      </c>
      <c r="BR105" s="105"/>
      <c r="BS105" s="105"/>
      <c r="BT105" s="41"/>
      <c r="BU105" s="41" t="s">
        <v>1239</v>
      </c>
      <c r="BV105" s="1659"/>
      <c r="BW105" s="1659">
        <v>0</v>
      </c>
      <c r="BX105" s="1659"/>
      <c r="BY105" s="1659"/>
      <c r="BZ105" s="1659"/>
      <c r="CA105" s="1659"/>
      <c r="CB105" s="1659"/>
      <c r="CC105" s="1659">
        <v>0</v>
      </c>
      <c r="CD105" s="1659">
        <v>2</v>
      </c>
      <c r="CE105" s="105"/>
      <c r="CF105" s="105">
        <v>0</v>
      </c>
      <c r="CG105" s="105">
        <v>2</v>
      </c>
      <c r="CH105" s="105"/>
      <c r="CJ105" s="1359"/>
      <c r="CK105" s="1359"/>
      <c r="CL105" s="1360"/>
      <c r="CM105" s="1361" t="s">
        <v>1231</v>
      </c>
      <c r="CN105" s="1363">
        <v>0</v>
      </c>
      <c r="CO105" s="1362"/>
      <c r="CP105" s="1363">
        <v>2</v>
      </c>
      <c r="CQ105" s="1362"/>
      <c r="CR105" s="1362"/>
      <c r="CS105" s="1363">
        <v>1</v>
      </c>
      <c r="CT105" s="1363">
        <v>3</v>
      </c>
      <c r="CU105" s="1363">
        <v>1</v>
      </c>
      <c r="CV105" s="687">
        <v>0</v>
      </c>
      <c r="CW105" s="687">
        <v>0</v>
      </c>
      <c r="CX105" s="687">
        <v>7</v>
      </c>
      <c r="CY105" s="41"/>
      <c r="DA105" s="602"/>
      <c r="DB105" s="602"/>
      <c r="DC105" s="603"/>
      <c r="DD105" s="604" t="s">
        <v>1239</v>
      </c>
      <c r="DE105" s="606">
        <v>0</v>
      </c>
      <c r="DF105" s="605"/>
      <c r="DG105" s="605"/>
      <c r="DH105" s="606">
        <v>0</v>
      </c>
      <c r="DI105" s="605"/>
      <c r="DJ105" s="606">
        <v>0</v>
      </c>
      <c r="DK105" s="605"/>
      <c r="DL105" s="606">
        <v>5</v>
      </c>
      <c r="DM105" s="607">
        <v>1</v>
      </c>
      <c r="DN105" s="602"/>
      <c r="DO105" s="607">
        <v>6</v>
      </c>
      <c r="DP105" s="105"/>
      <c r="DR105" s="608"/>
      <c r="DS105" s="608"/>
      <c r="DT105" s="608"/>
      <c r="DU105" s="609" t="s">
        <v>1239</v>
      </c>
      <c r="DV105" s="610"/>
      <c r="DW105" s="610"/>
      <c r="DX105" s="610"/>
      <c r="DY105" s="610"/>
      <c r="DZ105" s="610"/>
      <c r="EA105" s="610"/>
      <c r="EB105" s="611">
        <v>0</v>
      </c>
      <c r="EC105" s="611">
        <v>0</v>
      </c>
      <c r="ED105" s="611">
        <v>7</v>
      </c>
      <c r="EE105" s="613">
        <v>0</v>
      </c>
      <c r="EF105" s="612"/>
      <c r="EG105" s="613">
        <v>7</v>
      </c>
      <c r="EH105" s="614"/>
      <c r="EJ105" s="615"/>
      <c r="EK105" s="615"/>
      <c r="EL105" s="615"/>
      <c r="EM105" s="616" t="s">
        <v>1235</v>
      </c>
      <c r="EN105" s="617"/>
      <c r="EO105" s="617"/>
      <c r="EP105" s="617"/>
      <c r="EQ105" s="617"/>
      <c r="ER105" s="617"/>
      <c r="ES105" s="618">
        <v>0</v>
      </c>
      <c r="ET105" s="618">
        <v>12</v>
      </c>
      <c r="EU105" s="618">
        <v>0</v>
      </c>
      <c r="EV105" s="617"/>
      <c r="EW105" s="617"/>
      <c r="EX105" s="618">
        <v>12</v>
      </c>
      <c r="EY105" s="515"/>
      <c r="FA105" s="70"/>
      <c r="FB105" s="70"/>
      <c r="FC105" s="42"/>
      <c r="FD105" s="484" t="s">
        <v>15</v>
      </c>
      <c r="FE105" s="454"/>
      <c r="FF105" s="454"/>
      <c r="FG105" s="454"/>
      <c r="FH105" s="454"/>
      <c r="FI105" s="454"/>
      <c r="FJ105" s="454"/>
      <c r="FK105" s="454">
        <v>6</v>
      </c>
      <c r="FL105" s="454">
        <v>6</v>
      </c>
      <c r="FM105" s="454"/>
      <c r="FN105" s="454"/>
      <c r="FO105" s="454">
        <v>12</v>
      </c>
      <c r="FP105" s="536">
        <f>+FO103/FO105</f>
        <v>0.25</v>
      </c>
      <c r="FQ105" s="42"/>
      <c r="FR105" s="516"/>
      <c r="FS105" s="516"/>
      <c r="FT105" s="516"/>
      <c r="FU105" s="516" t="s">
        <v>1239</v>
      </c>
      <c r="FV105" s="516">
        <v>0</v>
      </c>
      <c r="FW105" s="516">
        <v>0</v>
      </c>
      <c r="FX105" s="516">
        <v>0</v>
      </c>
      <c r="FY105" s="516">
        <v>0</v>
      </c>
      <c r="FZ105" s="516">
        <v>0</v>
      </c>
      <c r="GA105" s="516">
        <v>0</v>
      </c>
      <c r="GB105" s="516">
        <v>0</v>
      </c>
      <c r="GC105" s="516">
        <v>1</v>
      </c>
      <c r="GD105" s="516">
        <v>4</v>
      </c>
      <c r="GE105" s="516">
        <v>0</v>
      </c>
      <c r="GF105" s="516">
        <v>0</v>
      </c>
      <c r="GG105" s="517">
        <v>5</v>
      </c>
      <c r="GH105" s="619"/>
      <c r="GI105" s="518"/>
    </row>
    <row r="106" spans="3:191">
      <c r="C106" s="32"/>
      <c r="D106" s="32" t="s">
        <v>1233</v>
      </c>
      <c r="E106" s="4607">
        <v>0</v>
      </c>
      <c r="F106" s="4607">
        <v>4</v>
      </c>
      <c r="G106" s="4607">
        <v>2</v>
      </c>
      <c r="H106" s="4607">
        <v>1</v>
      </c>
      <c r="I106" s="4607">
        <v>0</v>
      </c>
      <c r="J106" s="4607">
        <v>0</v>
      </c>
      <c r="K106" s="4607">
        <v>0</v>
      </c>
      <c r="L106" s="4607">
        <v>0</v>
      </c>
      <c r="M106" s="4607">
        <v>0</v>
      </c>
      <c r="N106" s="4583">
        <v>0</v>
      </c>
      <c r="O106" s="4583">
        <v>0</v>
      </c>
      <c r="P106" s="4583">
        <v>7</v>
      </c>
      <c r="Q106" s="4583"/>
      <c r="R106" s="4583"/>
      <c r="V106" s="37" t="s">
        <v>1344</v>
      </c>
      <c r="W106" s="4803"/>
      <c r="X106" s="4803"/>
      <c r="Y106" s="4803"/>
      <c r="Z106" s="4803"/>
      <c r="AA106" s="4803">
        <v>0</v>
      </c>
      <c r="AB106" s="4803"/>
      <c r="AC106" s="4803">
        <v>1</v>
      </c>
      <c r="AD106" s="4803">
        <v>0</v>
      </c>
      <c r="AE106" s="1788">
        <v>0</v>
      </c>
      <c r="AF106" s="1788">
        <v>1</v>
      </c>
      <c r="AI106" s="41"/>
      <c r="AJ106" s="41"/>
      <c r="AK106" s="41" t="s">
        <v>121</v>
      </c>
      <c r="AL106" s="41" t="s">
        <v>1231</v>
      </c>
      <c r="AM106" s="2001"/>
      <c r="AN106" s="2001">
        <v>1</v>
      </c>
      <c r="AO106" s="2001"/>
      <c r="AP106" s="2001">
        <v>1</v>
      </c>
      <c r="AQ106" s="2001"/>
      <c r="AR106" s="2001"/>
      <c r="AS106" s="2001">
        <v>1</v>
      </c>
      <c r="AT106" s="2001">
        <v>0</v>
      </c>
      <c r="AU106" s="105">
        <v>0</v>
      </c>
      <c r="AV106" s="105">
        <v>0</v>
      </c>
      <c r="AW106" s="105">
        <v>3</v>
      </c>
      <c r="AX106" s="41"/>
      <c r="AZ106" s="42"/>
      <c r="BA106" s="42"/>
      <c r="BB106" s="42"/>
      <c r="BC106" s="42" t="s">
        <v>1236</v>
      </c>
      <c r="BD106" s="1993">
        <v>0</v>
      </c>
      <c r="BE106" s="1993">
        <v>0</v>
      </c>
      <c r="BF106" s="1993">
        <v>0</v>
      </c>
      <c r="BG106" s="1993">
        <v>0</v>
      </c>
      <c r="BH106" s="1993">
        <v>1</v>
      </c>
      <c r="BI106" s="1993">
        <v>1</v>
      </c>
      <c r="BJ106" s="1993">
        <v>0</v>
      </c>
      <c r="BK106" s="1993">
        <v>0</v>
      </c>
      <c r="BL106" s="1993">
        <v>0</v>
      </c>
      <c r="BM106" s="70">
        <v>0</v>
      </c>
      <c r="BN106" s="70">
        <v>0</v>
      </c>
      <c r="BO106" s="70">
        <v>2</v>
      </c>
      <c r="BR106" s="105"/>
      <c r="BS106" s="105"/>
      <c r="BT106" s="41"/>
      <c r="BU106" s="41" t="s">
        <v>1344</v>
      </c>
      <c r="BV106" s="1659"/>
      <c r="BW106" s="1659">
        <v>0</v>
      </c>
      <c r="BX106" s="1659"/>
      <c r="BY106" s="1659"/>
      <c r="BZ106" s="1659"/>
      <c r="CA106" s="1659"/>
      <c r="CB106" s="1659"/>
      <c r="CC106" s="1659">
        <v>1</v>
      </c>
      <c r="CD106" s="1659">
        <v>0</v>
      </c>
      <c r="CE106" s="105"/>
      <c r="CF106" s="105">
        <v>0</v>
      </c>
      <c r="CG106" s="105">
        <v>1</v>
      </c>
      <c r="CH106" s="105"/>
      <c r="CJ106" s="1359"/>
      <c r="CK106" s="1359"/>
      <c r="CL106" s="1360"/>
      <c r="CM106" s="1361" t="s">
        <v>1233</v>
      </c>
      <c r="CN106" s="1363">
        <v>1</v>
      </c>
      <c r="CO106" s="1362"/>
      <c r="CP106" s="1363">
        <v>0</v>
      </c>
      <c r="CQ106" s="1362"/>
      <c r="CR106" s="1362"/>
      <c r="CS106" s="1363">
        <v>0</v>
      </c>
      <c r="CT106" s="1363">
        <v>0</v>
      </c>
      <c r="CU106" s="1363">
        <v>0</v>
      </c>
      <c r="CV106" s="687">
        <v>0</v>
      </c>
      <c r="CW106" s="687">
        <v>0</v>
      </c>
      <c r="CX106" s="687">
        <v>1</v>
      </c>
      <c r="CY106" s="41"/>
      <c r="DA106" s="602"/>
      <c r="DB106" s="602"/>
      <c r="DC106" s="603"/>
      <c r="DD106" s="604" t="s">
        <v>1344</v>
      </c>
      <c r="DE106" s="606">
        <v>0</v>
      </c>
      <c r="DF106" s="605"/>
      <c r="DG106" s="605"/>
      <c r="DH106" s="606">
        <v>0</v>
      </c>
      <c r="DI106" s="605"/>
      <c r="DJ106" s="606">
        <v>0</v>
      </c>
      <c r="DK106" s="605"/>
      <c r="DL106" s="606">
        <v>2</v>
      </c>
      <c r="DM106" s="607">
        <v>0</v>
      </c>
      <c r="DN106" s="602"/>
      <c r="DO106" s="607">
        <v>2</v>
      </c>
      <c r="DP106" s="105"/>
      <c r="DR106" s="608"/>
      <c r="DS106" s="608"/>
      <c r="DT106" s="608"/>
      <c r="DU106" s="609" t="s">
        <v>1344</v>
      </c>
      <c r="DV106" s="610"/>
      <c r="DW106" s="610"/>
      <c r="DX106" s="610"/>
      <c r="DY106" s="610"/>
      <c r="DZ106" s="610"/>
      <c r="EA106" s="610"/>
      <c r="EB106" s="611">
        <v>0</v>
      </c>
      <c r="EC106" s="611">
        <v>1</v>
      </c>
      <c r="ED106" s="611">
        <v>0</v>
      </c>
      <c r="EE106" s="613">
        <v>0</v>
      </c>
      <c r="EF106" s="612"/>
      <c r="EG106" s="613">
        <v>1</v>
      </c>
      <c r="EH106" s="614"/>
      <c r="EJ106" s="615"/>
      <c r="EK106" s="615"/>
      <c r="EL106" s="615"/>
      <c r="EM106" s="616" t="s">
        <v>1239</v>
      </c>
      <c r="EN106" s="617"/>
      <c r="EO106" s="617"/>
      <c r="EP106" s="617"/>
      <c r="EQ106" s="617"/>
      <c r="ER106" s="617"/>
      <c r="ES106" s="618">
        <v>0</v>
      </c>
      <c r="ET106" s="618">
        <v>0</v>
      </c>
      <c r="EU106" s="618">
        <v>6</v>
      </c>
      <c r="EV106" s="617"/>
      <c r="EW106" s="617"/>
      <c r="EX106" s="618">
        <v>6</v>
      </c>
      <c r="EY106" s="515"/>
      <c r="FA106" s="70" t="s">
        <v>48</v>
      </c>
      <c r="FB106" s="70" t="s">
        <v>16</v>
      </c>
      <c r="FC106" s="42" t="s">
        <v>134</v>
      </c>
      <c r="FD106" s="42" t="s">
        <v>1235</v>
      </c>
      <c r="FE106" s="70"/>
      <c r="FF106" s="70"/>
      <c r="FG106" s="70">
        <v>1</v>
      </c>
      <c r="FH106" s="70">
        <v>0</v>
      </c>
      <c r="FI106" s="70"/>
      <c r="FJ106" s="70"/>
      <c r="FK106" s="70"/>
      <c r="FL106" s="70"/>
      <c r="FM106" s="70"/>
      <c r="FN106" s="70"/>
      <c r="FO106" s="70">
        <v>1</v>
      </c>
      <c r="FP106" s="42"/>
      <c r="FQ106" s="42"/>
      <c r="FR106" s="516"/>
      <c r="FS106" s="516"/>
      <c r="FT106" s="516"/>
      <c r="FU106" s="516" t="s">
        <v>1344</v>
      </c>
      <c r="FV106" s="516">
        <v>0</v>
      </c>
      <c r="FW106" s="516">
        <v>0</v>
      </c>
      <c r="FX106" s="516">
        <v>0</v>
      </c>
      <c r="FY106" s="516">
        <v>0</v>
      </c>
      <c r="FZ106" s="516">
        <v>0</v>
      </c>
      <c r="GA106" s="516">
        <v>0</v>
      </c>
      <c r="GB106" s="516">
        <v>2</v>
      </c>
      <c r="GC106" s="516">
        <v>0</v>
      </c>
      <c r="GD106" s="516">
        <v>0</v>
      </c>
      <c r="GE106" s="516">
        <v>0</v>
      </c>
      <c r="GF106" s="516">
        <v>0</v>
      </c>
      <c r="GG106" s="517">
        <v>2</v>
      </c>
      <c r="GH106" s="619"/>
      <c r="GI106" s="518"/>
    </row>
    <row r="107" spans="3:191">
      <c r="C107" s="32"/>
      <c r="D107" s="32" t="s">
        <v>1235</v>
      </c>
      <c r="E107" s="4607">
        <v>0</v>
      </c>
      <c r="F107" s="4607">
        <v>0</v>
      </c>
      <c r="G107" s="4607">
        <v>0</v>
      </c>
      <c r="H107" s="4607">
        <v>0</v>
      </c>
      <c r="I107" s="4607">
        <v>0</v>
      </c>
      <c r="J107" s="4607">
        <v>0</v>
      </c>
      <c r="K107" s="4607">
        <v>10</v>
      </c>
      <c r="L107" s="4607">
        <v>6</v>
      </c>
      <c r="M107" s="4607">
        <v>0</v>
      </c>
      <c r="N107" s="4583">
        <v>0</v>
      </c>
      <c r="O107" s="4583">
        <v>0</v>
      </c>
      <c r="P107" s="4583">
        <v>16</v>
      </c>
      <c r="Q107" s="4583"/>
      <c r="R107" s="4583"/>
      <c r="V107" s="1793" t="s">
        <v>15</v>
      </c>
      <c r="W107" s="4804"/>
      <c r="X107" s="4804"/>
      <c r="Y107" s="4804"/>
      <c r="Z107" s="4804"/>
      <c r="AA107" s="4804">
        <v>1</v>
      </c>
      <c r="AB107" s="4804"/>
      <c r="AC107" s="4804">
        <v>10</v>
      </c>
      <c r="AD107" s="4804">
        <v>8</v>
      </c>
      <c r="AE107" s="4702">
        <v>3</v>
      </c>
      <c r="AF107" s="4702">
        <v>22</v>
      </c>
      <c r="AG107" s="4703">
        <f>+(AF104+AF106)/AF107</f>
        <v>9.0909090909090912E-2</v>
      </c>
      <c r="AI107" s="41"/>
      <c r="AJ107" s="41"/>
      <c r="AK107" s="41"/>
      <c r="AL107" s="41" t="s">
        <v>1239</v>
      </c>
      <c r="AM107" s="2001"/>
      <c r="AN107" s="2001">
        <v>0</v>
      </c>
      <c r="AO107" s="2001"/>
      <c r="AP107" s="2001">
        <v>0</v>
      </c>
      <c r="AQ107" s="2001"/>
      <c r="AR107" s="2001"/>
      <c r="AS107" s="2001">
        <v>0</v>
      </c>
      <c r="AT107" s="2001">
        <v>9</v>
      </c>
      <c r="AU107" s="105">
        <v>2</v>
      </c>
      <c r="AV107" s="105">
        <v>0</v>
      </c>
      <c r="AW107" s="105">
        <v>11</v>
      </c>
      <c r="AX107" s="41"/>
      <c r="AZ107" s="42"/>
      <c r="BA107" s="42"/>
      <c r="BB107" s="42"/>
      <c r="BC107" s="42" t="s">
        <v>1239</v>
      </c>
      <c r="BD107" s="1993">
        <v>0</v>
      </c>
      <c r="BE107" s="1993">
        <v>0</v>
      </c>
      <c r="BF107" s="1993">
        <v>0</v>
      </c>
      <c r="BG107" s="1993">
        <v>0</v>
      </c>
      <c r="BH107" s="1993">
        <v>0</v>
      </c>
      <c r="BI107" s="1993">
        <v>0</v>
      </c>
      <c r="BJ107" s="1993">
        <v>0</v>
      </c>
      <c r="BK107" s="1993">
        <v>1</v>
      </c>
      <c r="BL107" s="1993">
        <v>38</v>
      </c>
      <c r="BM107" s="70">
        <v>5</v>
      </c>
      <c r="BN107" s="70">
        <v>3</v>
      </c>
      <c r="BO107" s="70">
        <v>47</v>
      </c>
      <c r="BR107" s="105"/>
      <c r="BS107" s="105"/>
      <c r="BT107" s="41"/>
      <c r="BU107" s="461" t="s">
        <v>15</v>
      </c>
      <c r="BV107" s="1660"/>
      <c r="BW107" s="1660">
        <v>1</v>
      </c>
      <c r="BX107" s="1660"/>
      <c r="BY107" s="1660"/>
      <c r="BZ107" s="1660"/>
      <c r="CA107" s="1660"/>
      <c r="CB107" s="1660"/>
      <c r="CC107" s="1660">
        <v>3</v>
      </c>
      <c r="CD107" s="1660">
        <v>8</v>
      </c>
      <c r="CE107" s="96"/>
      <c r="CF107" s="96">
        <v>1</v>
      </c>
      <c r="CG107" s="96">
        <v>13</v>
      </c>
      <c r="CH107" s="635">
        <f>+(CG104+CG106)/CG107</f>
        <v>0.23076923076923078</v>
      </c>
      <c r="CJ107" s="1359"/>
      <c r="CK107" s="1359"/>
      <c r="CL107" s="1360"/>
      <c r="CM107" s="1361" t="s">
        <v>1235</v>
      </c>
      <c r="CN107" s="1363">
        <v>0</v>
      </c>
      <c r="CO107" s="1362"/>
      <c r="CP107" s="1363">
        <v>0</v>
      </c>
      <c r="CQ107" s="1362"/>
      <c r="CR107" s="1362"/>
      <c r="CS107" s="1363">
        <v>0</v>
      </c>
      <c r="CT107" s="1363">
        <v>1</v>
      </c>
      <c r="CU107" s="1363">
        <v>0</v>
      </c>
      <c r="CV107" s="687">
        <v>0</v>
      </c>
      <c r="CW107" s="687">
        <v>0</v>
      </c>
      <c r="CX107" s="687">
        <v>1</v>
      </c>
      <c r="CY107" s="41"/>
      <c r="DA107" s="602"/>
      <c r="DB107" s="602"/>
      <c r="DC107" s="603"/>
      <c r="DD107" s="630" t="s">
        <v>15</v>
      </c>
      <c r="DE107" s="632">
        <v>1</v>
      </c>
      <c r="DF107" s="631"/>
      <c r="DG107" s="631"/>
      <c r="DH107" s="632">
        <v>1</v>
      </c>
      <c r="DI107" s="631"/>
      <c r="DJ107" s="632">
        <v>1</v>
      </c>
      <c r="DK107" s="631"/>
      <c r="DL107" s="632">
        <v>11</v>
      </c>
      <c r="DM107" s="634">
        <v>1</v>
      </c>
      <c r="DN107" s="633"/>
      <c r="DO107" s="634">
        <v>15</v>
      </c>
      <c r="DP107" s="635">
        <f>+(DO103+DO106)/DO107</f>
        <v>0.33333333333333331</v>
      </c>
      <c r="DR107" s="608"/>
      <c r="DS107" s="608"/>
      <c r="DT107" s="608"/>
      <c r="DU107" s="620" t="s">
        <v>15</v>
      </c>
      <c r="DV107" s="621"/>
      <c r="DW107" s="621"/>
      <c r="DX107" s="621"/>
      <c r="DY107" s="621"/>
      <c r="DZ107" s="621"/>
      <c r="EA107" s="621"/>
      <c r="EB107" s="622">
        <v>3</v>
      </c>
      <c r="EC107" s="622">
        <v>8</v>
      </c>
      <c r="ED107" s="622">
        <v>9</v>
      </c>
      <c r="EE107" s="624">
        <v>3</v>
      </c>
      <c r="EF107" s="623"/>
      <c r="EG107" s="624">
        <v>23</v>
      </c>
      <c r="EH107" s="614">
        <f>+(EG106+EG104)/EG107</f>
        <v>0.17391304347826086</v>
      </c>
      <c r="EJ107" s="615"/>
      <c r="EK107" s="615"/>
      <c r="EL107" s="615"/>
      <c r="EM107" s="625" t="s">
        <v>15</v>
      </c>
      <c r="EN107" s="626"/>
      <c r="EO107" s="626"/>
      <c r="EP107" s="626"/>
      <c r="EQ107" s="626"/>
      <c r="ER107" s="626"/>
      <c r="ES107" s="627">
        <v>1</v>
      </c>
      <c r="ET107" s="627">
        <v>12</v>
      </c>
      <c r="EU107" s="627">
        <v>6</v>
      </c>
      <c r="EV107" s="626"/>
      <c r="EW107" s="626"/>
      <c r="EX107" s="627">
        <v>19</v>
      </c>
      <c r="EY107" s="628">
        <f>+EX105/EX107</f>
        <v>0.63157894736842102</v>
      </c>
      <c r="FA107" s="70"/>
      <c r="FB107" s="70"/>
      <c r="FC107" s="42"/>
      <c r="FD107" s="42" t="s">
        <v>1236</v>
      </c>
      <c r="FE107" s="70"/>
      <c r="FF107" s="70"/>
      <c r="FG107" s="70">
        <v>2</v>
      </c>
      <c r="FH107" s="70">
        <v>0</v>
      </c>
      <c r="FI107" s="70"/>
      <c r="FJ107" s="70"/>
      <c r="FK107" s="70"/>
      <c r="FL107" s="70"/>
      <c r="FM107" s="70"/>
      <c r="FN107" s="70"/>
      <c r="FO107" s="70">
        <v>2</v>
      </c>
      <c r="FP107" s="42"/>
      <c r="FQ107" s="42"/>
      <c r="FR107" s="516"/>
      <c r="FS107" s="516"/>
      <c r="FT107" s="516"/>
      <c r="FU107" s="519" t="s">
        <v>15</v>
      </c>
      <c r="FV107" s="519">
        <v>0</v>
      </c>
      <c r="FW107" s="519">
        <v>0</v>
      </c>
      <c r="FX107" s="519">
        <v>0</v>
      </c>
      <c r="FY107" s="519">
        <v>0</v>
      </c>
      <c r="FZ107" s="519">
        <v>0</v>
      </c>
      <c r="GA107" s="519">
        <v>0</v>
      </c>
      <c r="GB107" s="519">
        <v>7</v>
      </c>
      <c r="GC107" s="519">
        <v>4</v>
      </c>
      <c r="GD107" s="519">
        <v>5</v>
      </c>
      <c r="GE107" s="519">
        <v>0</v>
      </c>
      <c r="GF107" s="519">
        <v>0</v>
      </c>
      <c r="GG107" s="579">
        <v>16</v>
      </c>
      <c r="GH107" s="629">
        <f>+(GG106+GG104)/GG107</f>
        <v>0.625</v>
      </c>
      <c r="GI107" s="518">
        <f>+GG104+GG106</f>
        <v>10</v>
      </c>
    </row>
    <row r="108" spans="3:191">
      <c r="C108" s="32"/>
      <c r="D108" s="32" t="s">
        <v>1236</v>
      </c>
      <c r="E108" s="4607">
        <v>0</v>
      </c>
      <c r="F108" s="4607">
        <v>0</v>
      </c>
      <c r="G108" s="4607">
        <v>0</v>
      </c>
      <c r="H108" s="4607">
        <v>1</v>
      </c>
      <c r="I108" s="4607">
        <v>2</v>
      </c>
      <c r="J108" s="4607">
        <v>0</v>
      </c>
      <c r="K108" s="4607">
        <v>0</v>
      </c>
      <c r="L108" s="4607">
        <v>0</v>
      </c>
      <c r="M108" s="4607">
        <v>0</v>
      </c>
      <c r="N108" s="4583">
        <v>0</v>
      </c>
      <c r="O108" s="4583">
        <v>0</v>
      </c>
      <c r="P108" s="4583">
        <v>3</v>
      </c>
      <c r="Q108" s="4583"/>
      <c r="R108" s="4583"/>
      <c r="U108" s="37" t="s">
        <v>121</v>
      </c>
      <c r="V108" s="37" t="s">
        <v>1230</v>
      </c>
      <c r="W108" s="4803"/>
      <c r="X108" s="4803"/>
      <c r="Y108" s="4803"/>
      <c r="Z108" s="4803"/>
      <c r="AA108" s="4803">
        <v>0</v>
      </c>
      <c r="AB108" s="4803">
        <v>1</v>
      </c>
      <c r="AC108" s="4803">
        <v>0</v>
      </c>
      <c r="AD108" s="4803">
        <v>4</v>
      </c>
      <c r="AE108" s="1788">
        <v>1</v>
      </c>
      <c r="AF108" s="1788">
        <v>6</v>
      </c>
      <c r="AI108" s="41"/>
      <c r="AJ108" s="41"/>
      <c r="AK108" s="41"/>
      <c r="AL108" s="41" t="s">
        <v>2704</v>
      </c>
      <c r="AM108" s="2001"/>
      <c r="AN108" s="2001">
        <v>0</v>
      </c>
      <c r="AO108" s="2001"/>
      <c r="AP108" s="2001">
        <v>0</v>
      </c>
      <c r="AQ108" s="2001"/>
      <c r="AR108" s="2001"/>
      <c r="AS108" s="2001">
        <v>0</v>
      </c>
      <c r="AT108" s="2001">
        <v>0</v>
      </c>
      <c r="AU108" s="105">
        <v>2</v>
      </c>
      <c r="AV108" s="105">
        <v>1</v>
      </c>
      <c r="AW108" s="105">
        <v>3</v>
      </c>
      <c r="AX108" s="41"/>
      <c r="AZ108" s="42"/>
      <c r="BA108" s="42"/>
      <c r="BB108" s="42"/>
      <c r="BC108" s="42" t="s">
        <v>1240</v>
      </c>
      <c r="BD108" s="1993">
        <v>0</v>
      </c>
      <c r="BE108" s="1993">
        <v>0</v>
      </c>
      <c r="BF108" s="1993">
        <v>0</v>
      </c>
      <c r="BG108" s="1993">
        <v>0</v>
      </c>
      <c r="BH108" s="1993">
        <v>1</v>
      </c>
      <c r="BI108" s="1993">
        <v>2</v>
      </c>
      <c r="BJ108" s="1993">
        <v>13</v>
      </c>
      <c r="BK108" s="1993">
        <v>8</v>
      </c>
      <c r="BL108" s="1993">
        <v>6</v>
      </c>
      <c r="BM108" s="70">
        <v>1</v>
      </c>
      <c r="BN108" s="70">
        <v>0</v>
      </c>
      <c r="BO108" s="70">
        <v>31</v>
      </c>
      <c r="BR108" s="105"/>
      <c r="BS108" s="105"/>
      <c r="BT108" s="41" t="s">
        <v>123</v>
      </c>
      <c r="BU108" s="41" t="s">
        <v>1231</v>
      </c>
      <c r="BV108" s="1659"/>
      <c r="BW108" s="1659">
        <v>1</v>
      </c>
      <c r="BX108" s="1659"/>
      <c r="BY108" s="1659"/>
      <c r="BZ108" s="1659"/>
      <c r="CA108" s="1659"/>
      <c r="CB108" s="1659"/>
      <c r="CC108" s="1659">
        <v>0</v>
      </c>
      <c r="CD108" s="1659">
        <v>0</v>
      </c>
      <c r="CE108" s="105"/>
      <c r="CF108" s="105"/>
      <c r="CG108" s="105">
        <v>1</v>
      </c>
      <c r="CH108" s="105"/>
      <c r="CJ108" s="1359"/>
      <c r="CK108" s="1359"/>
      <c r="CL108" s="1360"/>
      <c r="CM108" s="1361" t="s">
        <v>1239</v>
      </c>
      <c r="CN108" s="1363">
        <v>0</v>
      </c>
      <c r="CO108" s="1362"/>
      <c r="CP108" s="1363">
        <v>0</v>
      </c>
      <c r="CQ108" s="1362"/>
      <c r="CR108" s="1362"/>
      <c r="CS108" s="1363">
        <v>0</v>
      </c>
      <c r="CT108" s="1363">
        <v>0</v>
      </c>
      <c r="CU108" s="1363">
        <v>13</v>
      </c>
      <c r="CV108" s="687">
        <v>1</v>
      </c>
      <c r="CW108" s="687">
        <v>0</v>
      </c>
      <c r="CX108" s="687">
        <v>14</v>
      </c>
      <c r="CY108" s="41"/>
      <c r="DA108" s="602"/>
      <c r="DB108" s="602"/>
      <c r="DC108" s="603" t="s">
        <v>417</v>
      </c>
      <c r="DD108" s="604" t="s">
        <v>1230</v>
      </c>
      <c r="DE108" s="606">
        <v>0</v>
      </c>
      <c r="DF108" s="606">
        <v>0</v>
      </c>
      <c r="DG108" s="605"/>
      <c r="DH108" s="605"/>
      <c r="DI108" s="605"/>
      <c r="DJ108" s="606">
        <v>0</v>
      </c>
      <c r="DK108" s="606">
        <v>1</v>
      </c>
      <c r="DL108" s="606">
        <v>1</v>
      </c>
      <c r="DM108" s="607">
        <v>2</v>
      </c>
      <c r="DN108" s="607">
        <v>1</v>
      </c>
      <c r="DO108" s="607">
        <v>5</v>
      </c>
      <c r="DP108" s="105"/>
      <c r="DR108" s="608"/>
      <c r="DS108" s="608"/>
      <c r="DT108" s="620" t="s">
        <v>544</v>
      </c>
      <c r="DU108" s="609" t="s">
        <v>1230</v>
      </c>
      <c r="DV108" s="611">
        <v>0</v>
      </c>
      <c r="DW108" s="611">
        <v>0</v>
      </c>
      <c r="DX108" s="611">
        <v>0</v>
      </c>
      <c r="DY108" s="611">
        <v>0</v>
      </c>
      <c r="DZ108" s="610"/>
      <c r="EA108" s="611">
        <v>0</v>
      </c>
      <c r="EB108" s="611">
        <v>0</v>
      </c>
      <c r="EC108" s="611">
        <v>1</v>
      </c>
      <c r="ED108" s="611">
        <v>14</v>
      </c>
      <c r="EE108" s="613">
        <v>1</v>
      </c>
      <c r="EF108" s="613">
        <v>7</v>
      </c>
      <c r="EG108" s="613">
        <v>23</v>
      </c>
      <c r="EH108" s="614"/>
      <c r="EJ108" s="615"/>
      <c r="EK108" s="615"/>
      <c r="EL108" s="615" t="s">
        <v>131</v>
      </c>
      <c r="EM108" s="616" t="s">
        <v>1230</v>
      </c>
      <c r="EN108" s="617"/>
      <c r="EO108" s="617"/>
      <c r="EP108" s="617"/>
      <c r="EQ108" s="617"/>
      <c r="ER108" s="617"/>
      <c r="ES108" s="617"/>
      <c r="ET108" s="618">
        <v>0</v>
      </c>
      <c r="EU108" s="618">
        <v>1</v>
      </c>
      <c r="EV108" s="617"/>
      <c r="EW108" s="617"/>
      <c r="EX108" s="618">
        <v>1</v>
      </c>
      <c r="EY108" s="515"/>
      <c r="FA108" s="70"/>
      <c r="FB108" s="70"/>
      <c r="FC108" s="42"/>
      <c r="FD108" s="42" t="s">
        <v>1240</v>
      </c>
      <c r="FE108" s="70"/>
      <c r="FF108" s="70"/>
      <c r="FG108" s="70">
        <v>2</v>
      </c>
      <c r="FH108" s="70">
        <v>1</v>
      </c>
      <c r="FI108" s="70"/>
      <c r="FJ108" s="70"/>
      <c r="FK108" s="70"/>
      <c r="FL108" s="70"/>
      <c r="FM108" s="70"/>
      <c r="FN108" s="70"/>
      <c r="FO108" s="70">
        <v>3</v>
      </c>
      <c r="FP108" s="42"/>
      <c r="FQ108" s="42"/>
      <c r="FR108" s="516"/>
      <c r="FS108" s="516"/>
      <c r="FT108" s="516" t="s">
        <v>130</v>
      </c>
      <c r="FU108" s="516" t="s">
        <v>1230</v>
      </c>
      <c r="FV108" s="516">
        <v>0</v>
      </c>
      <c r="FW108" s="516">
        <v>0</v>
      </c>
      <c r="FX108" s="516">
        <v>0</v>
      </c>
      <c r="FY108" s="516">
        <v>0</v>
      </c>
      <c r="FZ108" s="516">
        <v>0</v>
      </c>
      <c r="GA108" s="516">
        <v>0</v>
      </c>
      <c r="GB108" s="516">
        <v>0</v>
      </c>
      <c r="GC108" s="516">
        <v>0</v>
      </c>
      <c r="GD108" s="516">
        <v>1</v>
      </c>
      <c r="GE108" s="516">
        <v>0</v>
      </c>
      <c r="GF108" s="516">
        <v>0</v>
      </c>
      <c r="GG108" s="517">
        <v>1</v>
      </c>
      <c r="GH108" s="619"/>
      <c r="GI108" s="518"/>
    </row>
    <row r="109" spans="3:191">
      <c r="C109" s="32"/>
      <c r="D109" s="32" t="s">
        <v>1239</v>
      </c>
      <c r="E109" s="4607">
        <v>0</v>
      </c>
      <c r="F109" s="4607">
        <v>0</v>
      </c>
      <c r="G109" s="4607">
        <v>0</v>
      </c>
      <c r="H109" s="4607">
        <v>0</v>
      </c>
      <c r="I109" s="4607">
        <v>0</v>
      </c>
      <c r="J109" s="4607">
        <v>0</v>
      </c>
      <c r="K109" s="4607">
        <v>0</v>
      </c>
      <c r="L109" s="4607">
        <v>29</v>
      </c>
      <c r="M109" s="4607">
        <v>24</v>
      </c>
      <c r="N109" s="4583">
        <v>8</v>
      </c>
      <c r="O109" s="4583">
        <v>4</v>
      </c>
      <c r="P109" s="4583">
        <v>65</v>
      </c>
      <c r="Q109" s="4583"/>
      <c r="R109" s="4583"/>
      <c r="V109" s="37" t="s">
        <v>1231</v>
      </c>
      <c r="W109" s="4803"/>
      <c r="X109" s="4803"/>
      <c r="Y109" s="4803"/>
      <c r="Z109" s="4803"/>
      <c r="AA109" s="4803">
        <v>1</v>
      </c>
      <c r="AB109" s="4803">
        <v>0</v>
      </c>
      <c r="AC109" s="4803">
        <v>0</v>
      </c>
      <c r="AD109" s="4803">
        <v>0</v>
      </c>
      <c r="AE109" s="1788">
        <v>0</v>
      </c>
      <c r="AF109" s="1788">
        <v>1</v>
      </c>
      <c r="AI109" s="41"/>
      <c r="AJ109" s="41"/>
      <c r="AK109" s="41"/>
      <c r="AL109" s="461" t="s">
        <v>15</v>
      </c>
      <c r="AM109" s="2002"/>
      <c r="AN109" s="2002">
        <v>1</v>
      </c>
      <c r="AO109" s="2002"/>
      <c r="AP109" s="2002">
        <v>1</v>
      </c>
      <c r="AQ109" s="2002"/>
      <c r="AR109" s="2002"/>
      <c r="AS109" s="2002">
        <v>1</v>
      </c>
      <c r="AT109" s="2002">
        <v>9</v>
      </c>
      <c r="AU109" s="2480">
        <v>4</v>
      </c>
      <c r="AV109" s="2480">
        <v>1</v>
      </c>
      <c r="AW109" s="2480">
        <v>17</v>
      </c>
      <c r="AX109" s="635">
        <v>0</v>
      </c>
      <c r="AY109" s="1977"/>
      <c r="AZ109" s="42"/>
      <c r="BA109" s="42"/>
      <c r="BB109" s="42"/>
      <c r="BC109" s="42" t="s">
        <v>1344</v>
      </c>
      <c r="BD109" s="1993">
        <v>0</v>
      </c>
      <c r="BE109" s="1993">
        <v>0</v>
      </c>
      <c r="BF109" s="1993">
        <v>0</v>
      </c>
      <c r="BG109" s="1993">
        <v>0</v>
      </c>
      <c r="BH109" s="1993">
        <v>0</v>
      </c>
      <c r="BI109" s="1993">
        <v>3</v>
      </c>
      <c r="BJ109" s="1993">
        <v>0</v>
      </c>
      <c r="BK109" s="1993">
        <v>2</v>
      </c>
      <c r="BL109" s="1993">
        <v>0</v>
      </c>
      <c r="BM109" s="70">
        <v>0</v>
      </c>
      <c r="BN109" s="70">
        <v>0</v>
      </c>
      <c r="BO109" s="70">
        <v>5</v>
      </c>
      <c r="BR109" s="105"/>
      <c r="BS109" s="105"/>
      <c r="BT109" s="41"/>
      <c r="BU109" s="41" t="s">
        <v>1235</v>
      </c>
      <c r="BV109" s="1659"/>
      <c r="BW109" s="1659">
        <v>0</v>
      </c>
      <c r="BX109" s="1659"/>
      <c r="BY109" s="1659"/>
      <c r="BZ109" s="1659"/>
      <c r="CA109" s="1659"/>
      <c r="CB109" s="1659"/>
      <c r="CC109" s="1659">
        <v>4</v>
      </c>
      <c r="CD109" s="1659">
        <v>0</v>
      </c>
      <c r="CE109" s="105"/>
      <c r="CF109" s="105"/>
      <c r="CG109" s="105">
        <v>4</v>
      </c>
      <c r="CH109" s="105"/>
      <c r="CJ109" s="1359"/>
      <c r="CK109" s="1359"/>
      <c r="CL109" s="1360"/>
      <c r="CM109" s="483" t="s">
        <v>15</v>
      </c>
      <c r="CN109" s="1365">
        <v>1</v>
      </c>
      <c r="CO109" s="1364"/>
      <c r="CP109" s="1365">
        <v>2</v>
      </c>
      <c r="CQ109" s="1364"/>
      <c r="CR109" s="1364"/>
      <c r="CS109" s="1365">
        <v>1</v>
      </c>
      <c r="CT109" s="1365">
        <v>4</v>
      </c>
      <c r="CU109" s="1365">
        <v>14</v>
      </c>
      <c r="CV109" s="696">
        <v>1</v>
      </c>
      <c r="CW109" s="696">
        <v>2</v>
      </c>
      <c r="CX109" s="696">
        <v>25</v>
      </c>
      <c r="CY109" s="1325">
        <f>+CX107/CX109</f>
        <v>0.04</v>
      </c>
      <c r="DA109" s="602"/>
      <c r="DB109" s="602"/>
      <c r="DC109" s="603"/>
      <c r="DD109" s="604" t="s">
        <v>1231</v>
      </c>
      <c r="DE109" s="606">
        <v>0</v>
      </c>
      <c r="DF109" s="606">
        <v>0</v>
      </c>
      <c r="DG109" s="605"/>
      <c r="DH109" s="605"/>
      <c r="DI109" s="605"/>
      <c r="DJ109" s="606">
        <v>2</v>
      </c>
      <c r="DK109" s="606">
        <v>0</v>
      </c>
      <c r="DL109" s="606">
        <v>0</v>
      </c>
      <c r="DM109" s="607">
        <v>4</v>
      </c>
      <c r="DN109" s="607">
        <v>0</v>
      </c>
      <c r="DO109" s="607">
        <v>6</v>
      </c>
      <c r="DP109" s="105"/>
      <c r="DR109" s="608"/>
      <c r="DS109" s="608"/>
      <c r="DT109" s="608"/>
      <c r="DU109" s="609" t="s">
        <v>1231</v>
      </c>
      <c r="DV109" s="611">
        <v>1</v>
      </c>
      <c r="DW109" s="611">
        <v>3</v>
      </c>
      <c r="DX109" s="611">
        <v>2</v>
      </c>
      <c r="DY109" s="611">
        <v>1</v>
      </c>
      <c r="DZ109" s="610"/>
      <c r="EA109" s="611">
        <v>0</v>
      </c>
      <c r="EB109" s="611">
        <v>4</v>
      </c>
      <c r="EC109" s="611">
        <v>6</v>
      </c>
      <c r="ED109" s="611">
        <v>3</v>
      </c>
      <c r="EE109" s="613">
        <v>2</v>
      </c>
      <c r="EF109" s="613">
        <v>0</v>
      </c>
      <c r="EG109" s="613">
        <v>22</v>
      </c>
      <c r="EH109" s="614"/>
      <c r="EJ109" s="615"/>
      <c r="EK109" s="615"/>
      <c r="EL109" s="615"/>
      <c r="EM109" s="616" t="s">
        <v>1231</v>
      </c>
      <c r="EN109" s="617"/>
      <c r="EO109" s="617"/>
      <c r="EP109" s="617"/>
      <c r="EQ109" s="617"/>
      <c r="ER109" s="617"/>
      <c r="ES109" s="617"/>
      <c r="ET109" s="618">
        <v>1</v>
      </c>
      <c r="EU109" s="618">
        <v>0</v>
      </c>
      <c r="EV109" s="617"/>
      <c r="EW109" s="617"/>
      <c r="EX109" s="618">
        <v>1</v>
      </c>
      <c r="EY109" s="515"/>
      <c r="FA109" s="70"/>
      <c r="FB109" s="70"/>
      <c r="FC109" s="42"/>
      <c r="FD109" s="42" t="s">
        <v>1344</v>
      </c>
      <c r="FE109" s="70"/>
      <c r="FF109" s="70"/>
      <c r="FG109" s="70">
        <v>9</v>
      </c>
      <c r="FH109" s="70">
        <v>1</v>
      </c>
      <c r="FI109" s="70"/>
      <c r="FJ109" s="70"/>
      <c r="FK109" s="70"/>
      <c r="FL109" s="70"/>
      <c r="FM109" s="70"/>
      <c r="FN109" s="70"/>
      <c r="FO109" s="70">
        <v>10</v>
      </c>
      <c r="FP109" s="42"/>
      <c r="FQ109" s="42"/>
      <c r="FR109" s="516"/>
      <c r="FS109" s="516"/>
      <c r="FT109" s="516"/>
      <c r="FU109" s="516" t="s">
        <v>1235</v>
      </c>
      <c r="FV109" s="516">
        <v>0</v>
      </c>
      <c r="FW109" s="516">
        <v>0</v>
      </c>
      <c r="FX109" s="516">
        <v>0</v>
      </c>
      <c r="FY109" s="516">
        <v>0</v>
      </c>
      <c r="FZ109" s="516">
        <v>0</v>
      </c>
      <c r="GA109" s="516">
        <v>0</v>
      </c>
      <c r="GB109" s="516">
        <v>1</v>
      </c>
      <c r="GC109" s="516">
        <v>1</v>
      </c>
      <c r="GD109" s="516">
        <v>0</v>
      </c>
      <c r="GE109" s="516">
        <v>0</v>
      </c>
      <c r="GF109" s="516">
        <v>0</v>
      </c>
      <c r="GG109" s="517">
        <v>2</v>
      </c>
      <c r="GH109" s="619"/>
      <c r="GI109" s="518"/>
    </row>
    <row r="110" spans="3:191">
      <c r="C110" s="32"/>
      <c r="D110" s="32" t="s">
        <v>1240</v>
      </c>
      <c r="E110" s="4607">
        <v>0</v>
      </c>
      <c r="F110" s="4607">
        <v>0</v>
      </c>
      <c r="G110" s="4607">
        <v>0</v>
      </c>
      <c r="H110" s="4607">
        <v>0</v>
      </c>
      <c r="I110" s="4607">
        <v>0</v>
      </c>
      <c r="J110" s="4607">
        <v>0</v>
      </c>
      <c r="K110" s="4607">
        <v>2</v>
      </c>
      <c r="L110" s="4607">
        <v>3</v>
      </c>
      <c r="M110" s="4607">
        <v>1</v>
      </c>
      <c r="N110" s="4583">
        <v>0</v>
      </c>
      <c r="O110" s="4583">
        <v>0</v>
      </c>
      <c r="P110" s="4583">
        <v>6</v>
      </c>
      <c r="Q110" s="4583"/>
      <c r="R110" s="4583"/>
      <c r="V110" s="37" t="s">
        <v>1235</v>
      </c>
      <c r="W110" s="4803"/>
      <c r="X110" s="4803"/>
      <c r="Y110" s="4803"/>
      <c r="Z110" s="4803"/>
      <c r="AA110" s="4803">
        <v>0</v>
      </c>
      <c r="AB110" s="4803">
        <v>0</v>
      </c>
      <c r="AC110" s="4803">
        <v>2</v>
      </c>
      <c r="AD110" s="4803">
        <v>0</v>
      </c>
      <c r="AE110" s="1788">
        <v>0</v>
      </c>
      <c r="AF110" s="1788">
        <v>2</v>
      </c>
      <c r="AI110" s="41"/>
      <c r="AJ110" s="41"/>
      <c r="AK110" s="41" t="s">
        <v>122</v>
      </c>
      <c r="AL110" s="41" t="s">
        <v>1230</v>
      </c>
      <c r="AM110" s="2001"/>
      <c r="AN110" s="2001"/>
      <c r="AO110" s="2001"/>
      <c r="AP110" s="2001"/>
      <c r="AQ110" s="2001"/>
      <c r="AR110" s="2001">
        <v>0</v>
      </c>
      <c r="AS110" s="2001">
        <v>0</v>
      </c>
      <c r="AT110" s="2001">
        <v>1</v>
      </c>
      <c r="AU110" s="105"/>
      <c r="AV110" s="105"/>
      <c r="AW110" s="105">
        <v>1</v>
      </c>
      <c r="AX110" s="41"/>
      <c r="AZ110" s="42"/>
      <c r="BA110" s="42"/>
      <c r="BB110" s="42"/>
      <c r="BC110" s="484" t="s">
        <v>106</v>
      </c>
      <c r="BD110" s="1994">
        <v>3</v>
      </c>
      <c r="BE110" s="1994">
        <v>9</v>
      </c>
      <c r="BF110" s="1994">
        <v>3</v>
      </c>
      <c r="BG110" s="1994">
        <v>2</v>
      </c>
      <c r="BH110" s="1994">
        <v>10</v>
      </c>
      <c r="BI110" s="1994">
        <v>15</v>
      </c>
      <c r="BJ110" s="1994">
        <v>43</v>
      </c>
      <c r="BK110" s="1994">
        <v>34</v>
      </c>
      <c r="BL110" s="1994">
        <v>53</v>
      </c>
      <c r="BM110" s="454">
        <v>6</v>
      </c>
      <c r="BN110" s="454">
        <v>4</v>
      </c>
      <c r="BO110" s="454">
        <v>182</v>
      </c>
      <c r="BP110" s="2485">
        <f>+(BO105+BO108-BM108+BO109)/BO110</f>
        <v>0.26373626373626374</v>
      </c>
      <c r="BR110" s="105"/>
      <c r="BS110" s="105"/>
      <c r="BT110" s="41"/>
      <c r="BU110" s="41" t="s">
        <v>1239</v>
      </c>
      <c r="BV110" s="1659"/>
      <c r="BW110" s="1659">
        <v>0</v>
      </c>
      <c r="BX110" s="1659"/>
      <c r="BY110" s="1659"/>
      <c r="BZ110" s="1659"/>
      <c r="CA110" s="1659"/>
      <c r="CB110" s="1659"/>
      <c r="CC110" s="1659">
        <v>0</v>
      </c>
      <c r="CD110" s="1659">
        <v>4</v>
      </c>
      <c r="CE110" s="105"/>
      <c r="CF110" s="105"/>
      <c r="CG110" s="105">
        <v>4</v>
      </c>
      <c r="CH110" s="105"/>
      <c r="CJ110" s="1359"/>
      <c r="CK110" s="1359"/>
      <c r="CL110" s="1360" t="s">
        <v>122</v>
      </c>
      <c r="CM110" s="1361" t="s">
        <v>1230</v>
      </c>
      <c r="CN110" s="1363">
        <v>0</v>
      </c>
      <c r="CO110" s="1363">
        <v>0</v>
      </c>
      <c r="CP110" s="1362"/>
      <c r="CQ110" s="1362"/>
      <c r="CR110" s="1362"/>
      <c r="CS110" s="1363">
        <v>0</v>
      </c>
      <c r="CT110" s="1363">
        <v>0</v>
      </c>
      <c r="CU110" s="1363">
        <v>1</v>
      </c>
      <c r="CV110" s="687">
        <v>1</v>
      </c>
      <c r="CW110" s="687">
        <v>8</v>
      </c>
      <c r="CX110" s="687">
        <v>10</v>
      </c>
      <c r="CY110" s="41"/>
      <c r="DA110" s="602"/>
      <c r="DB110" s="602"/>
      <c r="DC110" s="603"/>
      <c r="DD110" s="604" t="s">
        <v>1233</v>
      </c>
      <c r="DE110" s="606">
        <v>1</v>
      </c>
      <c r="DF110" s="606">
        <v>1</v>
      </c>
      <c r="DG110" s="605"/>
      <c r="DH110" s="605"/>
      <c r="DI110" s="605"/>
      <c r="DJ110" s="606">
        <v>0</v>
      </c>
      <c r="DK110" s="606">
        <v>0</v>
      </c>
      <c r="DL110" s="606">
        <v>0</v>
      </c>
      <c r="DM110" s="607">
        <v>0</v>
      </c>
      <c r="DN110" s="607">
        <v>0</v>
      </c>
      <c r="DO110" s="607">
        <v>2</v>
      </c>
      <c r="DP110" s="105"/>
      <c r="DR110" s="608"/>
      <c r="DS110" s="608"/>
      <c r="DT110" s="608"/>
      <c r="DU110" s="609" t="s">
        <v>1233</v>
      </c>
      <c r="DV110" s="611">
        <v>0</v>
      </c>
      <c r="DW110" s="611">
        <v>0</v>
      </c>
      <c r="DX110" s="611">
        <v>1</v>
      </c>
      <c r="DY110" s="611">
        <v>1</v>
      </c>
      <c r="DZ110" s="610"/>
      <c r="EA110" s="611">
        <v>0</v>
      </c>
      <c r="EB110" s="611">
        <v>0</v>
      </c>
      <c r="EC110" s="611">
        <v>0</v>
      </c>
      <c r="ED110" s="611">
        <v>0</v>
      </c>
      <c r="EE110" s="613">
        <v>0</v>
      </c>
      <c r="EF110" s="613">
        <v>0</v>
      </c>
      <c r="EG110" s="613">
        <v>2</v>
      </c>
      <c r="EH110" s="614"/>
      <c r="EJ110" s="615"/>
      <c r="EK110" s="615"/>
      <c r="EL110" s="615"/>
      <c r="EM110" s="616" t="s">
        <v>1239</v>
      </c>
      <c r="EN110" s="617"/>
      <c r="EO110" s="617"/>
      <c r="EP110" s="617"/>
      <c r="EQ110" s="617"/>
      <c r="ER110" s="617"/>
      <c r="ES110" s="617"/>
      <c r="ET110" s="618">
        <v>0</v>
      </c>
      <c r="EU110" s="618">
        <v>10</v>
      </c>
      <c r="EV110" s="617"/>
      <c r="EW110" s="617"/>
      <c r="EX110" s="618">
        <v>10</v>
      </c>
      <c r="EY110" s="515"/>
      <c r="FA110" s="70"/>
      <c r="FB110" s="70"/>
      <c r="FC110" s="42"/>
      <c r="FD110" s="484" t="s">
        <v>15</v>
      </c>
      <c r="FE110" s="454"/>
      <c r="FF110" s="454"/>
      <c r="FG110" s="454">
        <v>14</v>
      </c>
      <c r="FH110" s="454">
        <v>2</v>
      </c>
      <c r="FI110" s="454"/>
      <c r="FJ110" s="454"/>
      <c r="FK110" s="454"/>
      <c r="FL110" s="454"/>
      <c r="FM110" s="454"/>
      <c r="FN110" s="454"/>
      <c r="FO110" s="454">
        <v>16</v>
      </c>
      <c r="FP110" s="536">
        <f>+(FO106+FO108+FO109)/FO110</f>
        <v>0.875</v>
      </c>
      <c r="FQ110" s="42"/>
      <c r="FR110" s="516"/>
      <c r="FS110" s="516"/>
      <c r="FT110" s="516"/>
      <c r="FU110" s="516" t="s">
        <v>1239</v>
      </c>
      <c r="FV110" s="516">
        <v>0</v>
      </c>
      <c r="FW110" s="516">
        <v>0</v>
      </c>
      <c r="FX110" s="516">
        <v>0</v>
      </c>
      <c r="FY110" s="516">
        <v>0</v>
      </c>
      <c r="FZ110" s="516">
        <v>0</v>
      </c>
      <c r="GA110" s="516">
        <v>0</v>
      </c>
      <c r="GB110" s="516">
        <v>0</v>
      </c>
      <c r="GC110" s="516">
        <v>0</v>
      </c>
      <c r="GD110" s="516">
        <v>11</v>
      </c>
      <c r="GE110" s="516">
        <v>0</v>
      </c>
      <c r="GF110" s="516">
        <v>0</v>
      </c>
      <c r="GG110" s="517">
        <v>11</v>
      </c>
      <c r="GH110" s="619"/>
      <c r="GI110" s="518"/>
    </row>
    <row r="111" spans="3:191">
      <c r="C111" s="32"/>
      <c r="D111" s="32" t="s">
        <v>2963</v>
      </c>
      <c r="E111" s="4607">
        <v>17</v>
      </c>
      <c r="F111" s="4607">
        <v>0</v>
      </c>
      <c r="G111" s="4607">
        <v>0</v>
      </c>
      <c r="H111" s="4607">
        <v>0</v>
      </c>
      <c r="I111" s="4607">
        <v>0</v>
      </c>
      <c r="J111" s="4607">
        <v>0</v>
      </c>
      <c r="K111" s="4607">
        <v>0</v>
      </c>
      <c r="L111" s="4607">
        <v>0</v>
      </c>
      <c r="M111" s="4607">
        <v>0</v>
      </c>
      <c r="N111" s="4583">
        <v>0</v>
      </c>
      <c r="O111" s="4583">
        <v>0</v>
      </c>
      <c r="P111" s="4583">
        <v>17</v>
      </c>
      <c r="Q111" s="4583"/>
      <c r="R111" s="4583"/>
      <c r="V111" s="37" t="s">
        <v>1239</v>
      </c>
      <c r="W111" s="4803"/>
      <c r="X111" s="4803"/>
      <c r="Y111" s="4803"/>
      <c r="Z111" s="4803"/>
      <c r="AA111" s="4803">
        <v>0</v>
      </c>
      <c r="AB111" s="4803">
        <v>0</v>
      </c>
      <c r="AC111" s="4803">
        <v>13</v>
      </c>
      <c r="AD111" s="4803">
        <v>0</v>
      </c>
      <c r="AE111" s="1788">
        <v>0</v>
      </c>
      <c r="AF111" s="1788">
        <v>13</v>
      </c>
      <c r="AI111" s="41"/>
      <c r="AJ111" s="41"/>
      <c r="AK111" s="41"/>
      <c r="AL111" s="41" t="s">
        <v>1231</v>
      </c>
      <c r="AM111" s="2001"/>
      <c r="AN111" s="2001"/>
      <c r="AO111" s="2001"/>
      <c r="AP111" s="2001"/>
      <c r="AQ111" s="2001"/>
      <c r="AR111" s="2001">
        <v>1</v>
      </c>
      <c r="AS111" s="2001">
        <v>0</v>
      </c>
      <c r="AT111" s="2001">
        <v>0</v>
      </c>
      <c r="AU111" s="105"/>
      <c r="AV111" s="105"/>
      <c r="AW111" s="105">
        <v>1</v>
      </c>
      <c r="AX111" s="41"/>
      <c r="AZ111" s="42" t="s">
        <v>25</v>
      </c>
      <c r="BA111" s="42" t="s">
        <v>4</v>
      </c>
      <c r="BB111" s="42" t="s">
        <v>120</v>
      </c>
      <c r="BC111" s="42" t="s">
        <v>1230</v>
      </c>
      <c r="BD111" s="1993"/>
      <c r="BE111" s="1993"/>
      <c r="BF111" s="1993"/>
      <c r="BG111" s="1993">
        <v>0</v>
      </c>
      <c r="BH111" s="1993">
        <v>0</v>
      </c>
      <c r="BI111" s="1993"/>
      <c r="BJ111" s="1993"/>
      <c r="BK111" s="1993">
        <v>0</v>
      </c>
      <c r="BL111" s="1993">
        <v>1</v>
      </c>
      <c r="BM111" s="70">
        <v>1</v>
      </c>
      <c r="BN111" s="70">
        <v>1</v>
      </c>
      <c r="BO111" s="70">
        <v>3</v>
      </c>
      <c r="BR111" s="105"/>
      <c r="BS111" s="105"/>
      <c r="BT111" s="41"/>
      <c r="BU111" s="461" t="s">
        <v>15</v>
      </c>
      <c r="BV111" s="1660"/>
      <c r="BW111" s="1660">
        <v>1</v>
      </c>
      <c r="BX111" s="1660"/>
      <c r="BY111" s="1660"/>
      <c r="BZ111" s="1660"/>
      <c r="CA111" s="1660"/>
      <c r="CB111" s="1660"/>
      <c r="CC111" s="1660">
        <v>4</v>
      </c>
      <c r="CD111" s="1660">
        <v>4</v>
      </c>
      <c r="CE111" s="96"/>
      <c r="CF111" s="96"/>
      <c r="CG111" s="96">
        <v>9</v>
      </c>
      <c r="CH111" s="635">
        <f>+CG109/CG111</f>
        <v>0.44444444444444442</v>
      </c>
      <c r="CJ111" s="1359"/>
      <c r="CK111" s="1359"/>
      <c r="CL111" s="1360"/>
      <c r="CM111" s="1361" t="s">
        <v>1231</v>
      </c>
      <c r="CN111" s="1363">
        <v>1</v>
      </c>
      <c r="CO111" s="1363">
        <v>0</v>
      </c>
      <c r="CP111" s="1362"/>
      <c r="CQ111" s="1362"/>
      <c r="CR111" s="1362"/>
      <c r="CS111" s="1363">
        <v>0</v>
      </c>
      <c r="CT111" s="1363">
        <v>0</v>
      </c>
      <c r="CU111" s="1363">
        <v>0</v>
      </c>
      <c r="CV111" s="687">
        <v>0</v>
      </c>
      <c r="CW111" s="687">
        <v>0</v>
      </c>
      <c r="CX111" s="687">
        <v>1</v>
      </c>
      <c r="CY111" s="41"/>
      <c r="DA111" s="602"/>
      <c r="DB111" s="602"/>
      <c r="DC111" s="603"/>
      <c r="DD111" s="604" t="s">
        <v>1235</v>
      </c>
      <c r="DE111" s="606">
        <v>0</v>
      </c>
      <c r="DF111" s="606">
        <v>0</v>
      </c>
      <c r="DG111" s="605"/>
      <c r="DH111" s="605"/>
      <c r="DI111" s="605"/>
      <c r="DJ111" s="606">
        <v>0</v>
      </c>
      <c r="DK111" s="606">
        <v>1</v>
      </c>
      <c r="DL111" s="606">
        <v>0</v>
      </c>
      <c r="DM111" s="607">
        <v>0</v>
      </c>
      <c r="DN111" s="607">
        <v>0</v>
      </c>
      <c r="DO111" s="607">
        <v>1</v>
      </c>
      <c r="DP111" s="105"/>
      <c r="DR111" s="608"/>
      <c r="DS111" s="608"/>
      <c r="DT111" s="608"/>
      <c r="DU111" s="609" t="s">
        <v>1235</v>
      </c>
      <c r="DV111" s="611">
        <v>0</v>
      </c>
      <c r="DW111" s="611">
        <v>0</v>
      </c>
      <c r="DX111" s="611">
        <v>0</v>
      </c>
      <c r="DY111" s="611">
        <v>0</v>
      </c>
      <c r="DZ111" s="610"/>
      <c r="EA111" s="611">
        <v>0</v>
      </c>
      <c r="EB111" s="611">
        <v>1</v>
      </c>
      <c r="EC111" s="611">
        <v>15</v>
      </c>
      <c r="ED111" s="611">
        <v>2</v>
      </c>
      <c r="EE111" s="613">
        <v>2</v>
      </c>
      <c r="EF111" s="613">
        <v>0</v>
      </c>
      <c r="EG111" s="613">
        <v>20</v>
      </c>
      <c r="EH111" s="614"/>
      <c r="EJ111" s="615"/>
      <c r="EK111" s="615"/>
      <c r="EL111" s="615"/>
      <c r="EM111" s="625" t="s">
        <v>15</v>
      </c>
      <c r="EN111" s="626"/>
      <c r="EO111" s="626"/>
      <c r="EP111" s="626"/>
      <c r="EQ111" s="626"/>
      <c r="ER111" s="626"/>
      <c r="ES111" s="626"/>
      <c r="ET111" s="627">
        <v>1</v>
      </c>
      <c r="EU111" s="627">
        <v>11</v>
      </c>
      <c r="EV111" s="626"/>
      <c r="EW111" s="626"/>
      <c r="EX111" s="627">
        <v>12</v>
      </c>
      <c r="EY111" s="628">
        <v>0</v>
      </c>
      <c r="FA111" s="70"/>
      <c r="FB111" s="70" t="s">
        <v>41</v>
      </c>
      <c r="FC111" s="42" t="s">
        <v>138</v>
      </c>
      <c r="FD111" s="42" t="s">
        <v>1231</v>
      </c>
      <c r="FE111" s="70"/>
      <c r="FF111" s="70"/>
      <c r="FG111" s="70"/>
      <c r="FH111" s="70"/>
      <c r="FI111" s="70"/>
      <c r="FJ111" s="70">
        <v>9</v>
      </c>
      <c r="FK111" s="70">
        <v>1</v>
      </c>
      <c r="FL111" s="70">
        <v>0</v>
      </c>
      <c r="FM111" s="70"/>
      <c r="FN111" s="70"/>
      <c r="FO111" s="70">
        <v>10</v>
      </c>
      <c r="FP111" s="42"/>
      <c r="FQ111" s="42"/>
      <c r="FR111" s="516"/>
      <c r="FS111" s="516"/>
      <c r="FT111" s="516"/>
      <c r="FU111" s="519" t="s">
        <v>15</v>
      </c>
      <c r="FV111" s="519">
        <v>0</v>
      </c>
      <c r="FW111" s="519">
        <v>0</v>
      </c>
      <c r="FX111" s="519">
        <v>0</v>
      </c>
      <c r="FY111" s="519">
        <v>0</v>
      </c>
      <c r="FZ111" s="519">
        <v>0</v>
      </c>
      <c r="GA111" s="519">
        <v>0</v>
      </c>
      <c r="GB111" s="519">
        <v>1</v>
      </c>
      <c r="GC111" s="519">
        <v>1</v>
      </c>
      <c r="GD111" s="519">
        <v>12</v>
      </c>
      <c r="GE111" s="519">
        <v>0</v>
      </c>
      <c r="GF111" s="519">
        <v>0</v>
      </c>
      <c r="GG111" s="579">
        <v>14</v>
      </c>
      <c r="GH111" s="629">
        <f>+GG109/GG111</f>
        <v>0.14285714285714285</v>
      </c>
      <c r="GI111" s="518">
        <f>+GG109</f>
        <v>2</v>
      </c>
    </row>
    <row r="112" spans="3:191">
      <c r="C112" s="32"/>
      <c r="D112" s="32" t="s">
        <v>1344</v>
      </c>
      <c r="E112" s="4607">
        <v>0</v>
      </c>
      <c r="F112" s="4607">
        <v>0</v>
      </c>
      <c r="G112" s="4607">
        <v>0</v>
      </c>
      <c r="H112" s="4607">
        <v>0</v>
      </c>
      <c r="I112" s="4607">
        <v>0</v>
      </c>
      <c r="J112" s="4607">
        <v>0</v>
      </c>
      <c r="K112" s="4607">
        <v>5</v>
      </c>
      <c r="L112" s="4607">
        <v>4</v>
      </c>
      <c r="M112" s="4607">
        <v>0</v>
      </c>
      <c r="N112" s="4583">
        <v>0</v>
      </c>
      <c r="O112" s="4583">
        <v>0</v>
      </c>
      <c r="P112" s="4583">
        <v>9</v>
      </c>
      <c r="Q112" s="4583"/>
      <c r="R112" s="4583"/>
      <c r="V112" s="37" t="s">
        <v>1344</v>
      </c>
      <c r="W112" s="4803"/>
      <c r="X112" s="4803"/>
      <c r="Y112" s="4803"/>
      <c r="Z112" s="4803"/>
      <c r="AA112" s="4803">
        <v>1</v>
      </c>
      <c r="AB112" s="4803">
        <v>0</v>
      </c>
      <c r="AC112" s="4803">
        <v>0</v>
      </c>
      <c r="AD112" s="4803">
        <v>0</v>
      </c>
      <c r="AE112" s="1788">
        <v>0</v>
      </c>
      <c r="AF112" s="1788">
        <v>1</v>
      </c>
      <c r="AI112" s="41"/>
      <c r="AJ112" s="41"/>
      <c r="AK112" s="41"/>
      <c r="AL112" s="41" t="s">
        <v>1235</v>
      </c>
      <c r="AM112" s="2001"/>
      <c r="AN112" s="2001"/>
      <c r="AO112" s="2001"/>
      <c r="AP112" s="2001"/>
      <c r="AQ112" s="2001"/>
      <c r="AR112" s="2001">
        <v>1</v>
      </c>
      <c r="AS112" s="2001">
        <v>2</v>
      </c>
      <c r="AT112" s="2001">
        <v>1</v>
      </c>
      <c r="AU112" s="105"/>
      <c r="AV112" s="105"/>
      <c r="AW112" s="105">
        <v>4</v>
      </c>
      <c r="AX112" s="41"/>
      <c r="AZ112" s="42"/>
      <c r="BA112" s="42"/>
      <c r="BB112" s="42"/>
      <c r="BC112" s="42" t="s">
        <v>1231</v>
      </c>
      <c r="BD112" s="1993"/>
      <c r="BE112" s="1993"/>
      <c r="BF112" s="1993"/>
      <c r="BG112" s="1993">
        <v>0</v>
      </c>
      <c r="BH112" s="1993">
        <v>1</v>
      </c>
      <c r="BI112" s="1993"/>
      <c r="BJ112" s="1993"/>
      <c r="BK112" s="1993">
        <v>0</v>
      </c>
      <c r="BL112" s="1993">
        <v>1</v>
      </c>
      <c r="BM112" s="70">
        <v>1</v>
      </c>
      <c r="BN112" s="70">
        <v>0</v>
      </c>
      <c r="BO112" s="70">
        <v>3</v>
      </c>
      <c r="BR112" s="105"/>
      <c r="BS112" s="105"/>
      <c r="BT112" s="41" t="s">
        <v>124</v>
      </c>
      <c r="BU112" s="41" t="s">
        <v>1231</v>
      </c>
      <c r="BV112" s="1659"/>
      <c r="BW112" s="1659"/>
      <c r="BX112" s="1659"/>
      <c r="BY112" s="1659"/>
      <c r="BZ112" s="1659"/>
      <c r="CA112" s="1659"/>
      <c r="CB112" s="1659">
        <v>0</v>
      </c>
      <c r="CC112" s="1659">
        <v>2</v>
      </c>
      <c r="CD112" s="1659">
        <v>0</v>
      </c>
      <c r="CE112" s="105"/>
      <c r="CF112" s="105">
        <v>0</v>
      </c>
      <c r="CG112" s="105">
        <v>2</v>
      </c>
      <c r="CH112" s="105"/>
      <c r="CJ112" s="1359"/>
      <c r="CK112" s="1359"/>
      <c r="CL112" s="1360"/>
      <c r="CM112" s="1361" t="s">
        <v>1235</v>
      </c>
      <c r="CN112" s="1363">
        <v>0</v>
      </c>
      <c r="CO112" s="1363">
        <v>0</v>
      </c>
      <c r="CP112" s="1362"/>
      <c r="CQ112" s="1362"/>
      <c r="CR112" s="1362"/>
      <c r="CS112" s="1363">
        <v>0</v>
      </c>
      <c r="CT112" s="1363">
        <v>2</v>
      </c>
      <c r="CU112" s="1363">
        <v>0</v>
      </c>
      <c r="CV112" s="687">
        <v>0</v>
      </c>
      <c r="CW112" s="687">
        <v>0</v>
      </c>
      <c r="CX112" s="687">
        <v>2</v>
      </c>
      <c r="CY112" s="41"/>
      <c r="DA112" s="602"/>
      <c r="DB112" s="602"/>
      <c r="DC112" s="603"/>
      <c r="DD112" s="604" t="s">
        <v>1239</v>
      </c>
      <c r="DE112" s="606">
        <v>0</v>
      </c>
      <c r="DF112" s="606">
        <v>0</v>
      </c>
      <c r="DG112" s="605"/>
      <c r="DH112" s="605"/>
      <c r="DI112" s="605"/>
      <c r="DJ112" s="606">
        <v>0</v>
      </c>
      <c r="DK112" s="606">
        <v>0</v>
      </c>
      <c r="DL112" s="606">
        <v>6</v>
      </c>
      <c r="DM112" s="607">
        <v>0</v>
      </c>
      <c r="DN112" s="607">
        <v>0</v>
      </c>
      <c r="DO112" s="607">
        <v>6</v>
      </c>
      <c r="DP112" s="105"/>
      <c r="DR112" s="608"/>
      <c r="DS112" s="608"/>
      <c r="DT112" s="608"/>
      <c r="DU112" s="609" t="s">
        <v>1236</v>
      </c>
      <c r="DV112" s="611">
        <v>0</v>
      </c>
      <c r="DW112" s="611">
        <v>0</v>
      </c>
      <c r="DX112" s="611">
        <v>0</v>
      </c>
      <c r="DY112" s="611">
        <v>1</v>
      </c>
      <c r="DZ112" s="610"/>
      <c r="EA112" s="611">
        <v>0</v>
      </c>
      <c r="EB112" s="611">
        <v>0</v>
      </c>
      <c r="EC112" s="611">
        <v>0</v>
      </c>
      <c r="ED112" s="611">
        <v>0</v>
      </c>
      <c r="EE112" s="613">
        <v>0</v>
      </c>
      <c r="EF112" s="613">
        <v>0</v>
      </c>
      <c r="EG112" s="613">
        <v>1</v>
      </c>
      <c r="EH112" s="614"/>
      <c r="EJ112" s="615" t="s">
        <v>48</v>
      </c>
      <c r="EK112" s="615" t="s">
        <v>16</v>
      </c>
      <c r="EL112" s="615" t="s">
        <v>132</v>
      </c>
      <c r="EM112" s="616" t="s">
        <v>1231</v>
      </c>
      <c r="EN112" s="617"/>
      <c r="EO112" s="618">
        <v>1</v>
      </c>
      <c r="EP112" s="617"/>
      <c r="EQ112" s="617"/>
      <c r="ER112" s="617"/>
      <c r="ES112" s="618">
        <v>9</v>
      </c>
      <c r="ET112" s="618">
        <v>4</v>
      </c>
      <c r="EU112" s="618">
        <v>0</v>
      </c>
      <c r="EV112" s="617"/>
      <c r="EW112" s="617"/>
      <c r="EX112" s="618">
        <v>14</v>
      </c>
      <c r="EY112" s="515"/>
      <c r="FA112" s="70"/>
      <c r="FB112" s="70"/>
      <c r="FC112" s="42"/>
      <c r="FD112" s="42" t="s">
        <v>1239</v>
      </c>
      <c r="FE112" s="70"/>
      <c r="FF112" s="70"/>
      <c r="FG112" s="70"/>
      <c r="FH112" s="70"/>
      <c r="FI112" s="70"/>
      <c r="FJ112" s="70">
        <v>0</v>
      </c>
      <c r="FK112" s="70">
        <v>0</v>
      </c>
      <c r="FL112" s="70">
        <v>2</v>
      </c>
      <c r="FM112" s="70"/>
      <c r="FN112" s="70"/>
      <c r="FO112" s="70">
        <v>2</v>
      </c>
      <c r="FP112" s="42"/>
      <c r="FQ112" s="42"/>
      <c r="FR112" s="516"/>
      <c r="FS112" s="516"/>
      <c r="FT112" s="516" t="s">
        <v>131</v>
      </c>
      <c r="FU112" s="516" t="s">
        <v>1235</v>
      </c>
      <c r="FV112" s="516">
        <v>0</v>
      </c>
      <c r="FW112" s="516">
        <v>0</v>
      </c>
      <c r="FX112" s="516">
        <v>0</v>
      </c>
      <c r="FY112" s="516">
        <v>0</v>
      </c>
      <c r="FZ112" s="516">
        <v>0</v>
      </c>
      <c r="GA112" s="516">
        <v>0</v>
      </c>
      <c r="GB112" s="516">
        <v>0</v>
      </c>
      <c r="GC112" s="516">
        <v>2</v>
      </c>
      <c r="GD112" s="516">
        <v>0</v>
      </c>
      <c r="GE112" s="516">
        <v>0</v>
      </c>
      <c r="GF112" s="516">
        <v>0</v>
      </c>
      <c r="GG112" s="517">
        <v>2</v>
      </c>
      <c r="GH112" s="619"/>
      <c r="GI112" s="518"/>
    </row>
    <row r="113" spans="1:191">
      <c r="C113" s="32"/>
      <c r="D113" s="32" t="s">
        <v>2531</v>
      </c>
      <c r="E113" s="4607">
        <v>0</v>
      </c>
      <c r="F113" s="4607">
        <v>0</v>
      </c>
      <c r="G113" s="4607">
        <v>1</v>
      </c>
      <c r="H113" s="4607">
        <v>0</v>
      </c>
      <c r="I113" s="4607">
        <v>0</v>
      </c>
      <c r="J113" s="4607">
        <v>0</v>
      </c>
      <c r="K113" s="4607">
        <v>0</v>
      </c>
      <c r="L113" s="4607">
        <v>0</v>
      </c>
      <c r="M113" s="4607">
        <v>0</v>
      </c>
      <c r="N113" s="4583">
        <v>0</v>
      </c>
      <c r="O113" s="4583">
        <v>0</v>
      </c>
      <c r="P113" s="4583">
        <v>1</v>
      </c>
      <c r="Q113" s="4583"/>
      <c r="R113" s="4583"/>
      <c r="V113" s="1793" t="s">
        <v>15</v>
      </c>
      <c r="W113" s="4804"/>
      <c r="X113" s="4804"/>
      <c r="Y113" s="4804"/>
      <c r="Z113" s="4804"/>
      <c r="AA113" s="4804">
        <v>2</v>
      </c>
      <c r="AB113" s="4804">
        <v>1</v>
      </c>
      <c r="AC113" s="4804">
        <v>15</v>
      </c>
      <c r="AD113" s="4804">
        <v>4</v>
      </c>
      <c r="AE113" s="4702">
        <v>1</v>
      </c>
      <c r="AF113" s="4702">
        <v>23</v>
      </c>
      <c r="AG113" s="4703">
        <f>+(AF110+AF112)/AF113</f>
        <v>0.13043478260869565</v>
      </c>
      <c r="AI113" s="41"/>
      <c r="AJ113" s="41"/>
      <c r="AK113" s="41"/>
      <c r="AL113" s="41" t="s">
        <v>1239</v>
      </c>
      <c r="AM113" s="2001"/>
      <c r="AN113" s="2001"/>
      <c r="AO113" s="2001"/>
      <c r="AP113" s="2001"/>
      <c r="AQ113" s="2001"/>
      <c r="AR113" s="2001">
        <v>0</v>
      </c>
      <c r="AS113" s="2001">
        <v>0</v>
      </c>
      <c r="AT113" s="2001">
        <v>2</v>
      </c>
      <c r="AU113" s="105"/>
      <c r="AV113" s="105"/>
      <c r="AW113" s="105">
        <v>2</v>
      </c>
      <c r="AX113" s="41"/>
      <c r="AZ113" s="42"/>
      <c r="BA113" s="42"/>
      <c r="BB113" s="42"/>
      <c r="BC113" s="42" t="s">
        <v>1235</v>
      </c>
      <c r="BD113" s="1993"/>
      <c r="BE113" s="1993"/>
      <c r="BF113" s="1993"/>
      <c r="BG113" s="1993">
        <v>0</v>
      </c>
      <c r="BH113" s="1993">
        <v>0</v>
      </c>
      <c r="BI113" s="1993"/>
      <c r="BJ113" s="1993"/>
      <c r="BK113" s="1993">
        <v>2</v>
      </c>
      <c r="BL113" s="1993">
        <v>1</v>
      </c>
      <c r="BM113" s="70">
        <v>2</v>
      </c>
      <c r="BN113" s="70">
        <v>0</v>
      </c>
      <c r="BO113" s="70">
        <v>5</v>
      </c>
      <c r="BR113" s="105"/>
      <c r="BS113" s="105"/>
      <c r="BT113" s="41"/>
      <c r="BU113" s="41" t="s">
        <v>1239</v>
      </c>
      <c r="BV113" s="1659"/>
      <c r="BW113" s="1659"/>
      <c r="BX113" s="1659"/>
      <c r="BY113" s="1659"/>
      <c r="BZ113" s="1659"/>
      <c r="CA113" s="1659"/>
      <c r="CB113" s="1659">
        <v>0</v>
      </c>
      <c r="CC113" s="1659">
        <v>0</v>
      </c>
      <c r="CD113" s="1659">
        <v>1</v>
      </c>
      <c r="CE113" s="105"/>
      <c r="CF113" s="105">
        <v>1</v>
      </c>
      <c r="CG113" s="105">
        <v>2</v>
      </c>
      <c r="CH113" s="105"/>
      <c r="CJ113" s="1359"/>
      <c r="CK113" s="1359"/>
      <c r="CL113" s="1360"/>
      <c r="CM113" s="1361" t="s">
        <v>1236</v>
      </c>
      <c r="CN113" s="1363">
        <v>0</v>
      </c>
      <c r="CO113" s="1363">
        <v>1</v>
      </c>
      <c r="CP113" s="1362"/>
      <c r="CQ113" s="1362"/>
      <c r="CR113" s="1362"/>
      <c r="CS113" s="1363">
        <v>0</v>
      </c>
      <c r="CT113" s="1363">
        <v>0</v>
      </c>
      <c r="CU113" s="1363">
        <v>0</v>
      </c>
      <c r="CV113" s="687">
        <v>0</v>
      </c>
      <c r="CW113" s="687">
        <v>0</v>
      </c>
      <c r="CX113" s="687">
        <v>1</v>
      </c>
      <c r="CY113" s="41"/>
      <c r="DA113" s="602"/>
      <c r="DB113" s="602"/>
      <c r="DC113" s="603"/>
      <c r="DD113" s="604" t="s">
        <v>1344</v>
      </c>
      <c r="DE113" s="606">
        <v>0</v>
      </c>
      <c r="DF113" s="606">
        <v>0</v>
      </c>
      <c r="DG113" s="605"/>
      <c r="DH113" s="605"/>
      <c r="DI113" s="605"/>
      <c r="DJ113" s="606">
        <v>1</v>
      </c>
      <c r="DK113" s="606">
        <v>0</v>
      </c>
      <c r="DL113" s="606">
        <v>0</v>
      </c>
      <c r="DM113" s="607">
        <v>0</v>
      </c>
      <c r="DN113" s="607">
        <v>0</v>
      </c>
      <c r="DO113" s="607">
        <v>1</v>
      </c>
      <c r="DP113" s="105"/>
      <c r="DR113" s="608"/>
      <c r="DS113" s="608"/>
      <c r="DT113" s="608"/>
      <c r="DU113" s="609" t="s">
        <v>1239</v>
      </c>
      <c r="DV113" s="611">
        <v>0</v>
      </c>
      <c r="DW113" s="611">
        <v>0</v>
      </c>
      <c r="DX113" s="611">
        <v>0</v>
      </c>
      <c r="DY113" s="611">
        <v>0</v>
      </c>
      <c r="DZ113" s="610"/>
      <c r="EA113" s="611">
        <v>0</v>
      </c>
      <c r="EB113" s="611">
        <v>0</v>
      </c>
      <c r="EC113" s="611">
        <v>0</v>
      </c>
      <c r="ED113" s="611">
        <v>26</v>
      </c>
      <c r="EE113" s="613">
        <v>7</v>
      </c>
      <c r="EF113" s="613">
        <v>3</v>
      </c>
      <c r="EG113" s="613">
        <v>36</v>
      </c>
      <c r="EH113" s="614"/>
      <c r="EJ113" s="615"/>
      <c r="EK113" s="615"/>
      <c r="EL113" s="615"/>
      <c r="EM113" s="616" t="s">
        <v>1239</v>
      </c>
      <c r="EN113" s="617"/>
      <c r="EO113" s="618">
        <v>0</v>
      </c>
      <c r="EP113" s="617"/>
      <c r="EQ113" s="617"/>
      <c r="ER113" s="617"/>
      <c r="ES113" s="618">
        <v>0</v>
      </c>
      <c r="ET113" s="618">
        <v>1</v>
      </c>
      <c r="EU113" s="618">
        <v>5</v>
      </c>
      <c r="EV113" s="617"/>
      <c r="EW113" s="617"/>
      <c r="EX113" s="618">
        <v>6</v>
      </c>
      <c r="EY113" s="515"/>
      <c r="FA113" s="70"/>
      <c r="FB113" s="70"/>
      <c r="FC113" s="42"/>
      <c r="FD113" s="484" t="s">
        <v>15</v>
      </c>
      <c r="FE113" s="454"/>
      <c r="FF113" s="454"/>
      <c r="FG113" s="454"/>
      <c r="FH113" s="454"/>
      <c r="FI113" s="454"/>
      <c r="FJ113" s="454">
        <v>9</v>
      </c>
      <c r="FK113" s="454">
        <v>1</v>
      </c>
      <c r="FL113" s="454">
        <v>2</v>
      </c>
      <c r="FM113" s="454"/>
      <c r="FN113" s="454"/>
      <c r="FO113" s="454">
        <v>12</v>
      </c>
      <c r="FP113" s="538">
        <v>0</v>
      </c>
      <c r="FQ113" s="42"/>
      <c r="FR113" s="516"/>
      <c r="FS113" s="516"/>
      <c r="FT113" s="516"/>
      <c r="FU113" s="516" t="s">
        <v>1239</v>
      </c>
      <c r="FV113" s="516">
        <v>0</v>
      </c>
      <c r="FW113" s="516">
        <v>0</v>
      </c>
      <c r="FX113" s="516">
        <v>0</v>
      </c>
      <c r="FY113" s="516">
        <v>0</v>
      </c>
      <c r="FZ113" s="516">
        <v>0</v>
      </c>
      <c r="GA113" s="516">
        <v>0</v>
      </c>
      <c r="GB113" s="516">
        <v>0</v>
      </c>
      <c r="GC113" s="516">
        <v>1</v>
      </c>
      <c r="GD113" s="516">
        <v>17</v>
      </c>
      <c r="GE113" s="516">
        <v>0</v>
      </c>
      <c r="GF113" s="516">
        <v>0</v>
      </c>
      <c r="GG113" s="517">
        <v>18</v>
      </c>
      <c r="GH113" s="619"/>
      <c r="GI113" s="518"/>
    </row>
    <row r="114" spans="1:191">
      <c r="C114" s="32"/>
      <c r="D114" s="32" t="s">
        <v>15</v>
      </c>
      <c r="E114" s="4607">
        <v>17</v>
      </c>
      <c r="F114" s="4607">
        <v>17</v>
      </c>
      <c r="G114" s="4607">
        <v>6</v>
      </c>
      <c r="H114" s="4607">
        <v>5</v>
      </c>
      <c r="I114" s="4607">
        <v>2</v>
      </c>
      <c r="J114" s="4607">
        <v>9</v>
      </c>
      <c r="K114" s="4607">
        <v>55</v>
      </c>
      <c r="L114" s="4607">
        <v>60</v>
      </c>
      <c r="M114" s="4607">
        <v>45</v>
      </c>
      <c r="N114" s="4583">
        <v>8</v>
      </c>
      <c r="O114" s="4583">
        <v>6</v>
      </c>
      <c r="P114" s="4583">
        <v>230</v>
      </c>
      <c r="Q114" s="1977">
        <f>+(P107+P110+P112)/(P114-P111)</f>
        <v>0.14553990610328638</v>
      </c>
      <c r="R114" s="1977"/>
      <c r="U114" s="37" t="s">
        <v>122</v>
      </c>
      <c r="V114" s="37" t="s">
        <v>1230</v>
      </c>
      <c r="W114" s="4803">
        <v>0</v>
      </c>
      <c r="X114" s="4803"/>
      <c r="Y114" s="4803"/>
      <c r="Z114" s="4803"/>
      <c r="AA114" s="4803">
        <v>0</v>
      </c>
      <c r="AB114" s="4803">
        <v>0</v>
      </c>
      <c r="AC114" s="4803">
        <v>1</v>
      </c>
      <c r="AD114" s="4803">
        <v>0</v>
      </c>
      <c r="AE114" s="1788">
        <v>1</v>
      </c>
      <c r="AF114" s="1788">
        <v>2</v>
      </c>
      <c r="AI114" s="41"/>
      <c r="AJ114" s="41"/>
      <c r="AK114" s="41"/>
      <c r="AL114" s="41" t="s">
        <v>1344</v>
      </c>
      <c r="AM114" s="2001"/>
      <c r="AN114" s="2001"/>
      <c r="AO114" s="2001"/>
      <c r="AP114" s="2001"/>
      <c r="AQ114" s="2001"/>
      <c r="AR114" s="2001">
        <v>9</v>
      </c>
      <c r="AS114" s="2001">
        <v>1</v>
      </c>
      <c r="AT114" s="2001">
        <v>1</v>
      </c>
      <c r="AU114" s="105"/>
      <c r="AV114" s="105"/>
      <c r="AW114" s="105">
        <v>11</v>
      </c>
      <c r="AX114" s="41"/>
      <c r="AZ114" s="42"/>
      <c r="BA114" s="42"/>
      <c r="BB114" s="42"/>
      <c r="BC114" s="42" t="s">
        <v>1236</v>
      </c>
      <c r="BD114" s="1993"/>
      <c r="BE114" s="1993"/>
      <c r="BF114" s="1993"/>
      <c r="BG114" s="1993">
        <v>1</v>
      </c>
      <c r="BH114" s="1993">
        <v>1</v>
      </c>
      <c r="BI114" s="1993"/>
      <c r="BJ114" s="1993"/>
      <c r="BK114" s="1993">
        <v>0</v>
      </c>
      <c r="BL114" s="1993">
        <v>0</v>
      </c>
      <c r="BM114" s="70">
        <v>0</v>
      </c>
      <c r="BN114" s="70">
        <v>0</v>
      </c>
      <c r="BO114" s="70">
        <v>2</v>
      </c>
      <c r="BR114" s="105"/>
      <c r="BS114" s="105"/>
      <c r="BT114" s="41"/>
      <c r="BU114" s="41" t="s">
        <v>1344</v>
      </c>
      <c r="BV114" s="1659"/>
      <c r="BW114" s="1659"/>
      <c r="BX114" s="1659"/>
      <c r="BY114" s="1659"/>
      <c r="BZ114" s="1659"/>
      <c r="CA114" s="1659"/>
      <c r="CB114" s="1659">
        <v>2</v>
      </c>
      <c r="CC114" s="1659">
        <v>0</v>
      </c>
      <c r="CD114" s="1659">
        <v>0</v>
      </c>
      <c r="CE114" s="105"/>
      <c r="CF114" s="105">
        <v>0</v>
      </c>
      <c r="CG114" s="105">
        <v>2</v>
      </c>
      <c r="CH114" s="105"/>
      <c r="CJ114" s="1359"/>
      <c r="CK114" s="1359"/>
      <c r="CL114" s="1360"/>
      <c r="CM114" s="1361" t="s">
        <v>1239</v>
      </c>
      <c r="CN114" s="1363">
        <v>0</v>
      </c>
      <c r="CO114" s="1363">
        <v>0</v>
      </c>
      <c r="CP114" s="1362"/>
      <c r="CQ114" s="1362"/>
      <c r="CR114" s="1362"/>
      <c r="CS114" s="1363">
        <v>0</v>
      </c>
      <c r="CT114" s="1363">
        <v>0</v>
      </c>
      <c r="CU114" s="1363">
        <v>0</v>
      </c>
      <c r="CV114" s="687">
        <v>0</v>
      </c>
      <c r="CW114" s="687">
        <v>3</v>
      </c>
      <c r="CX114" s="687">
        <v>3</v>
      </c>
      <c r="CY114" s="41"/>
      <c r="DA114" s="602"/>
      <c r="DB114" s="602"/>
      <c r="DC114" s="603"/>
      <c r="DD114" s="630" t="s">
        <v>15</v>
      </c>
      <c r="DE114" s="632">
        <v>1</v>
      </c>
      <c r="DF114" s="632">
        <v>1</v>
      </c>
      <c r="DG114" s="631"/>
      <c r="DH114" s="631"/>
      <c r="DI114" s="631"/>
      <c r="DJ114" s="632">
        <v>3</v>
      </c>
      <c r="DK114" s="632">
        <v>2</v>
      </c>
      <c r="DL114" s="632">
        <v>7</v>
      </c>
      <c r="DM114" s="634">
        <v>6</v>
      </c>
      <c r="DN114" s="634">
        <v>1</v>
      </c>
      <c r="DO114" s="634">
        <v>21</v>
      </c>
      <c r="DP114" s="635">
        <f>+(DO111+DO113)/DO114</f>
        <v>9.5238095238095233E-2</v>
      </c>
      <c r="DR114" s="608"/>
      <c r="DS114" s="608"/>
      <c r="DT114" s="608"/>
      <c r="DU114" s="609" t="s">
        <v>1344</v>
      </c>
      <c r="DV114" s="611">
        <v>0</v>
      </c>
      <c r="DW114" s="611">
        <v>0</v>
      </c>
      <c r="DX114" s="611">
        <v>0</v>
      </c>
      <c r="DY114" s="611">
        <v>0</v>
      </c>
      <c r="DZ114" s="610"/>
      <c r="EA114" s="611">
        <v>1</v>
      </c>
      <c r="EB114" s="611">
        <v>3</v>
      </c>
      <c r="EC114" s="611">
        <v>4</v>
      </c>
      <c r="ED114" s="611">
        <v>0</v>
      </c>
      <c r="EE114" s="613">
        <v>0</v>
      </c>
      <c r="EF114" s="613">
        <v>0</v>
      </c>
      <c r="EG114" s="613">
        <v>8</v>
      </c>
      <c r="EH114" s="614"/>
      <c r="EJ114" s="615"/>
      <c r="EK114" s="615"/>
      <c r="EL114" s="615"/>
      <c r="EM114" s="616" t="s">
        <v>1240</v>
      </c>
      <c r="EN114" s="617"/>
      <c r="EO114" s="618">
        <v>0</v>
      </c>
      <c r="EP114" s="617"/>
      <c r="EQ114" s="617"/>
      <c r="ER114" s="617"/>
      <c r="ES114" s="618">
        <v>1</v>
      </c>
      <c r="ET114" s="618">
        <v>1</v>
      </c>
      <c r="EU114" s="618">
        <v>0</v>
      </c>
      <c r="EV114" s="617"/>
      <c r="EW114" s="617"/>
      <c r="EX114" s="618">
        <v>2</v>
      </c>
      <c r="EY114" s="515"/>
      <c r="FA114" s="70"/>
      <c r="FB114" s="70"/>
      <c r="FC114" s="42" t="s">
        <v>139</v>
      </c>
      <c r="FD114" s="42" t="s">
        <v>1230</v>
      </c>
      <c r="FE114" s="70"/>
      <c r="FF114" s="70"/>
      <c r="FG114" s="70">
        <v>0</v>
      </c>
      <c r="FH114" s="70">
        <v>0</v>
      </c>
      <c r="FI114" s="70"/>
      <c r="FJ114" s="70">
        <v>0</v>
      </c>
      <c r="FK114" s="70"/>
      <c r="FL114" s="70">
        <v>1</v>
      </c>
      <c r="FM114" s="70"/>
      <c r="FN114" s="70"/>
      <c r="FO114" s="70">
        <v>1</v>
      </c>
      <c r="FP114" s="42"/>
      <c r="FQ114" s="42"/>
      <c r="FR114" s="516"/>
      <c r="FS114" s="516"/>
      <c r="FT114" s="516"/>
      <c r="FU114" s="516" t="s">
        <v>1344</v>
      </c>
      <c r="FV114" s="516">
        <v>0</v>
      </c>
      <c r="FW114" s="516">
        <v>0</v>
      </c>
      <c r="FX114" s="516">
        <v>0</v>
      </c>
      <c r="FY114" s="516">
        <v>0</v>
      </c>
      <c r="FZ114" s="516">
        <v>0</v>
      </c>
      <c r="GA114" s="516">
        <v>0</v>
      </c>
      <c r="GB114" s="516">
        <v>1</v>
      </c>
      <c r="GC114" s="516">
        <v>1</v>
      </c>
      <c r="GD114" s="516">
        <v>0</v>
      </c>
      <c r="GE114" s="516">
        <v>0</v>
      </c>
      <c r="GF114" s="516">
        <v>0</v>
      </c>
      <c r="GG114" s="517">
        <v>2</v>
      </c>
      <c r="GH114" s="619"/>
      <c r="GI114" s="518"/>
    </row>
    <row r="115" spans="1:191">
      <c r="A115" s="167" t="s">
        <v>25</v>
      </c>
      <c r="B115" s="167" t="s">
        <v>4</v>
      </c>
      <c r="C115" s="4800" t="s">
        <v>120</v>
      </c>
      <c r="D115" s="4800" t="s">
        <v>1231</v>
      </c>
      <c r="E115" s="4606">
        <v>0</v>
      </c>
      <c r="F115" s="4606"/>
      <c r="G115" s="4606"/>
      <c r="H115" s="4606"/>
      <c r="I115" s="4606"/>
      <c r="J115" s="4606">
        <v>1</v>
      </c>
      <c r="K115" s="4606"/>
      <c r="L115" s="4606">
        <v>4</v>
      </c>
      <c r="M115" s="4606">
        <v>0</v>
      </c>
      <c r="N115" s="2552">
        <v>0</v>
      </c>
      <c r="O115" s="2552"/>
      <c r="P115" s="2552">
        <v>5</v>
      </c>
      <c r="Q115" s="2552"/>
      <c r="R115" s="2552"/>
      <c r="V115" s="37" t="s">
        <v>1231</v>
      </c>
      <c r="W115" s="4803">
        <v>1</v>
      </c>
      <c r="X115" s="4803"/>
      <c r="Y115" s="4803"/>
      <c r="Z115" s="4803"/>
      <c r="AA115" s="4803">
        <v>0</v>
      </c>
      <c r="AB115" s="4803">
        <v>0</v>
      </c>
      <c r="AC115" s="4803">
        <v>0</v>
      </c>
      <c r="AD115" s="4803">
        <v>0</v>
      </c>
      <c r="AE115" s="1788">
        <v>0</v>
      </c>
      <c r="AF115" s="1788">
        <v>1</v>
      </c>
      <c r="AI115" s="41"/>
      <c r="AJ115" s="41"/>
      <c r="AK115" s="41"/>
      <c r="AL115" s="461" t="s">
        <v>15</v>
      </c>
      <c r="AM115" s="2002"/>
      <c r="AN115" s="2002"/>
      <c r="AO115" s="2002"/>
      <c r="AP115" s="2002"/>
      <c r="AQ115" s="2002"/>
      <c r="AR115" s="2002">
        <v>11</v>
      </c>
      <c r="AS115" s="2002">
        <v>3</v>
      </c>
      <c r="AT115" s="2002">
        <v>5</v>
      </c>
      <c r="AU115" s="2480"/>
      <c r="AV115" s="2480"/>
      <c r="AW115" s="2480">
        <v>19</v>
      </c>
      <c r="AX115" s="635">
        <f>+(AW114+AW112)/AW115</f>
        <v>0.78947368421052633</v>
      </c>
      <c r="AY115" s="1977"/>
      <c r="AZ115" s="42"/>
      <c r="BA115" s="42"/>
      <c r="BB115" s="42"/>
      <c r="BC115" s="42" t="s">
        <v>1239</v>
      </c>
      <c r="BD115" s="1993"/>
      <c r="BE115" s="1993"/>
      <c r="BF115" s="1993"/>
      <c r="BG115" s="1993">
        <v>0</v>
      </c>
      <c r="BH115" s="1993">
        <v>0</v>
      </c>
      <c r="BI115" s="1993"/>
      <c r="BJ115" s="1993"/>
      <c r="BK115" s="1993">
        <v>0</v>
      </c>
      <c r="BL115" s="1993">
        <v>2</v>
      </c>
      <c r="BM115" s="70">
        <v>1</v>
      </c>
      <c r="BN115" s="70">
        <v>1</v>
      </c>
      <c r="BO115" s="70">
        <v>4</v>
      </c>
      <c r="BR115" s="105"/>
      <c r="BS115" s="105"/>
      <c r="BT115" s="41"/>
      <c r="BU115" s="461" t="s">
        <v>15</v>
      </c>
      <c r="BV115" s="1660"/>
      <c r="BW115" s="1660"/>
      <c r="BX115" s="1660"/>
      <c r="BY115" s="1660"/>
      <c r="BZ115" s="1660"/>
      <c r="CA115" s="1660"/>
      <c r="CB115" s="1660">
        <v>2</v>
      </c>
      <c r="CC115" s="1660">
        <v>2</v>
      </c>
      <c r="CD115" s="1660">
        <v>1</v>
      </c>
      <c r="CE115" s="96"/>
      <c r="CF115" s="96">
        <v>1</v>
      </c>
      <c r="CG115" s="96">
        <v>6</v>
      </c>
      <c r="CH115" s="635">
        <f>+CG114/CG115</f>
        <v>0.33333333333333331</v>
      </c>
      <c r="CJ115" s="1359"/>
      <c r="CK115" s="1359"/>
      <c r="CL115" s="1360"/>
      <c r="CM115" s="1361" t="s">
        <v>1344</v>
      </c>
      <c r="CN115" s="1363">
        <v>0</v>
      </c>
      <c r="CO115" s="1363">
        <v>0</v>
      </c>
      <c r="CP115" s="1362"/>
      <c r="CQ115" s="1362"/>
      <c r="CR115" s="1362"/>
      <c r="CS115" s="1363">
        <v>1</v>
      </c>
      <c r="CT115" s="1363">
        <v>1</v>
      </c>
      <c r="CU115" s="1363">
        <v>0</v>
      </c>
      <c r="CV115" s="687">
        <v>0</v>
      </c>
      <c r="CW115" s="687">
        <v>0</v>
      </c>
      <c r="CX115" s="687">
        <v>2</v>
      </c>
      <c r="CY115" s="41"/>
      <c r="DA115" s="602"/>
      <c r="DB115" s="602"/>
      <c r="DC115" s="603" t="s">
        <v>544</v>
      </c>
      <c r="DD115" s="604" t="s">
        <v>1230</v>
      </c>
      <c r="DE115" s="606">
        <v>0</v>
      </c>
      <c r="DF115" s="606">
        <v>0</v>
      </c>
      <c r="DG115" s="606">
        <v>0</v>
      </c>
      <c r="DH115" s="606">
        <v>0</v>
      </c>
      <c r="DI115" s="606">
        <v>0</v>
      </c>
      <c r="DJ115" s="606">
        <v>0</v>
      </c>
      <c r="DK115" s="606">
        <v>2</v>
      </c>
      <c r="DL115" s="606">
        <v>20</v>
      </c>
      <c r="DM115" s="607">
        <v>3</v>
      </c>
      <c r="DN115" s="607">
        <v>7</v>
      </c>
      <c r="DO115" s="607">
        <v>32</v>
      </c>
      <c r="DP115" s="105"/>
      <c r="DR115" s="608"/>
      <c r="DS115" s="608"/>
      <c r="DT115" s="608"/>
      <c r="DU115" s="620" t="s">
        <v>544</v>
      </c>
      <c r="DV115" s="622">
        <v>1</v>
      </c>
      <c r="DW115" s="622">
        <v>3</v>
      </c>
      <c r="DX115" s="622">
        <v>3</v>
      </c>
      <c r="DY115" s="622">
        <v>3</v>
      </c>
      <c r="DZ115" s="621"/>
      <c r="EA115" s="622">
        <v>1</v>
      </c>
      <c r="EB115" s="622">
        <v>8</v>
      </c>
      <c r="EC115" s="622">
        <v>26</v>
      </c>
      <c r="ED115" s="622">
        <v>45</v>
      </c>
      <c r="EE115" s="624">
        <v>12</v>
      </c>
      <c r="EF115" s="624">
        <v>10</v>
      </c>
      <c r="EG115" s="624">
        <v>112</v>
      </c>
      <c r="EH115" s="614">
        <f>+(EG114+EG111-EE111)/EG115</f>
        <v>0.23214285714285715</v>
      </c>
      <c r="EJ115" s="615"/>
      <c r="EK115" s="615"/>
      <c r="EL115" s="615"/>
      <c r="EM115" s="625" t="s">
        <v>15</v>
      </c>
      <c r="EN115" s="626"/>
      <c r="EO115" s="627">
        <v>1</v>
      </c>
      <c r="EP115" s="626"/>
      <c r="EQ115" s="626"/>
      <c r="ER115" s="626"/>
      <c r="ES115" s="627">
        <v>10</v>
      </c>
      <c r="ET115" s="627">
        <v>6</v>
      </c>
      <c r="EU115" s="627">
        <v>5</v>
      </c>
      <c r="EV115" s="626"/>
      <c r="EW115" s="626"/>
      <c r="EX115" s="627">
        <v>22</v>
      </c>
      <c r="EY115" s="628">
        <f>+EX114/EX115</f>
        <v>9.0909090909090912E-2</v>
      </c>
      <c r="FA115" s="70"/>
      <c r="FB115" s="70"/>
      <c r="FC115" s="42"/>
      <c r="FD115" s="42" t="s">
        <v>1231</v>
      </c>
      <c r="FE115" s="70"/>
      <c r="FF115" s="70"/>
      <c r="FG115" s="70">
        <v>1</v>
      </c>
      <c r="FH115" s="70">
        <v>0</v>
      </c>
      <c r="FI115" s="70"/>
      <c r="FJ115" s="70">
        <v>8</v>
      </c>
      <c r="FK115" s="70"/>
      <c r="FL115" s="70">
        <v>0</v>
      </c>
      <c r="FM115" s="70"/>
      <c r="FN115" s="70"/>
      <c r="FO115" s="70">
        <v>9</v>
      </c>
      <c r="FP115" s="42"/>
      <c r="FQ115" s="42"/>
      <c r="FR115" s="516"/>
      <c r="FS115" s="516"/>
      <c r="FT115" s="516"/>
      <c r="FU115" s="519" t="s">
        <v>15</v>
      </c>
      <c r="FV115" s="519">
        <v>0</v>
      </c>
      <c r="FW115" s="519">
        <v>0</v>
      </c>
      <c r="FX115" s="519">
        <v>0</v>
      </c>
      <c r="FY115" s="519">
        <v>0</v>
      </c>
      <c r="FZ115" s="519">
        <v>0</v>
      </c>
      <c r="GA115" s="519">
        <v>0</v>
      </c>
      <c r="GB115" s="519">
        <v>1</v>
      </c>
      <c r="GC115" s="519">
        <v>4</v>
      </c>
      <c r="GD115" s="519">
        <v>17</v>
      </c>
      <c r="GE115" s="519">
        <v>0</v>
      </c>
      <c r="GF115" s="519">
        <v>0</v>
      </c>
      <c r="GG115" s="579">
        <v>22</v>
      </c>
      <c r="GH115" s="629">
        <f>+(GG114+GG112)/GG115</f>
        <v>0.18181818181818182</v>
      </c>
      <c r="GI115" s="518">
        <f>+GG112+GG114</f>
        <v>4</v>
      </c>
    </row>
    <row r="116" spans="1:191">
      <c r="D116" s="4800" t="s">
        <v>1239</v>
      </c>
      <c r="E116" s="4606">
        <v>0</v>
      </c>
      <c r="F116" s="4606"/>
      <c r="G116" s="4606"/>
      <c r="H116" s="4606"/>
      <c r="I116" s="4606"/>
      <c r="J116" s="4606">
        <v>0</v>
      </c>
      <c r="K116" s="4606"/>
      <c r="L116" s="4606">
        <v>4</v>
      </c>
      <c r="M116" s="4606">
        <v>6</v>
      </c>
      <c r="N116" s="2552">
        <v>5</v>
      </c>
      <c r="O116" s="2552"/>
      <c r="P116" s="2552">
        <v>15</v>
      </c>
      <c r="Q116" s="2552"/>
      <c r="R116" s="2552"/>
      <c r="V116" s="37" t="s">
        <v>1235</v>
      </c>
      <c r="W116" s="4803">
        <v>0</v>
      </c>
      <c r="X116" s="4803"/>
      <c r="Y116" s="4803"/>
      <c r="Z116" s="4803"/>
      <c r="AA116" s="4803">
        <v>0</v>
      </c>
      <c r="AB116" s="4803">
        <v>0</v>
      </c>
      <c r="AC116" s="4803">
        <v>0</v>
      </c>
      <c r="AD116" s="4803">
        <v>1</v>
      </c>
      <c r="AE116" s="1788">
        <v>0</v>
      </c>
      <c r="AF116" s="1788">
        <v>1</v>
      </c>
      <c r="AI116" s="41"/>
      <c r="AJ116" s="41"/>
      <c r="AK116" s="41" t="s">
        <v>123</v>
      </c>
      <c r="AL116" s="41" t="s">
        <v>1230</v>
      </c>
      <c r="AM116" s="2001"/>
      <c r="AN116" s="2001"/>
      <c r="AO116" s="2001"/>
      <c r="AP116" s="2001"/>
      <c r="AQ116" s="2001">
        <v>1</v>
      </c>
      <c r="AR116" s="2001">
        <v>0</v>
      </c>
      <c r="AS116" s="2001">
        <v>0</v>
      </c>
      <c r="AT116" s="2001">
        <v>1</v>
      </c>
      <c r="AU116" s="105"/>
      <c r="AV116" s="105">
        <v>0</v>
      </c>
      <c r="AW116" s="105">
        <v>2</v>
      </c>
      <c r="AX116" s="41"/>
      <c r="AZ116" s="42"/>
      <c r="BA116" s="42"/>
      <c r="BB116" s="42"/>
      <c r="BC116" s="42" t="s">
        <v>1344</v>
      </c>
      <c r="BD116" s="1993"/>
      <c r="BE116" s="1993"/>
      <c r="BF116" s="1993"/>
      <c r="BG116" s="1993">
        <v>0</v>
      </c>
      <c r="BH116" s="1993">
        <v>0</v>
      </c>
      <c r="BI116" s="1993"/>
      <c r="BJ116" s="1993"/>
      <c r="BK116" s="1993">
        <v>0</v>
      </c>
      <c r="BL116" s="1993">
        <v>2</v>
      </c>
      <c r="BM116" s="70">
        <v>0</v>
      </c>
      <c r="BN116" s="70">
        <v>0</v>
      </c>
      <c r="BO116" s="70">
        <v>2</v>
      </c>
      <c r="BR116" s="105"/>
      <c r="BS116" s="105"/>
      <c r="BT116" s="41" t="s">
        <v>417</v>
      </c>
      <c r="BU116" s="41" t="s">
        <v>1230</v>
      </c>
      <c r="BV116" s="1659"/>
      <c r="BW116" s="1659">
        <v>0</v>
      </c>
      <c r="BX116" s="1659">
        <v>0</v>
      </c>
      <c r="BY116" s="1659"/>
      <c r="BZ116" s="1659"/>
      <c r="CA116" s="1659">
        <v>0</v>
      </c>
      <c r="CB116" s="1659">
        <v>0</v>
      </c>
      <c r="CC116" s="1659">
        <v>0</v>
      </c>
      <c r="CD116" s="1659">
        <v>3</v>
      </c>
      <c r="CE116" s="105">
        <v>1</v>
      </c>
      <c r="CF116" s="105">
        <v>1</v>
      </c>
      <c r="CG116" s="105">
        <v>5</v>
      </c>
      <c r="CH116" s="105"/>
      <c r="CJ116" s="1359"/>
      <c r="CK116" s="1359"/>
      <c r="CL116" s="1360"/>
      <c r="CM116" s="483" t="s">
        <v>15</v>
      </c>
      <c r="CN116" s="1365">
        <v>1</v>
      </c>
      <c r="CO116" s="1365">
        <v>1</v>
      </c>
      <c r="CP116" s="1364"/>
      <c r="CQ116" s="1364"/>
      <c r="CR116" s="1364"/>
      <c r="CS116" s="1365">
        <v>1</v>
      </c>
      <c r="CT116" s="1365">
        <v>3</v>
      </c>
      <c r="CU116" s="1365">
        <v>1</v>
      </c>
      <c r="CV116" s="696">
        <v>1</v>
      </c>
      <c r="CW116" s="696">
        <v>11</v>
      </c>
      <c r="CX116" s="696">
        <v>19</v>
      </c>
      <c r="CY116" s="1325">
        <f>+(CX112+CX115)/CX116</f>
        <v>0.21052631578947367</v>
      </c>
      <c r="DA116" s="602"/>
      <c r="DB116" s="602"/>
      <c r="DC116" s="603"/>
      <c r="DD116" s="604" t="s">
        <v>1231</v>
      </c>
      <c r="DE116" s="606">
        <v>2</v>
      </c>
      <c r="DF116" s="606">
        <v>1</v>
      </c>
      <c r="DG116" s="606">
        <v>1</v>
      </c>
      <c r="DH116" s="606">
        <v>0</v>
      </c>
      <c r="DI116" s="606">
        <v>0</v>
      </c>
      <c r="DJ116" s="606">
        <v>2</v>
      </c>
      <c r="DK116" s="606">
        <v>3</v>
      </c>
      <c r="DL116" s="606">
        <v>1</v>
      </c>
      <c r="DM116" s="607">
        <v>5</v>
      </c>
      <c r="DN116" s="607">
        <v>0</v>
      </c>
      <c r="DO116" s="607">
        <v>15</v>
      </c>
      <c r="DP116" s="105"/>
      <c r="DR116" s="608"/>
      <c r="DS116" s="608" t="s">
        <v>16</v>
      </c>
      <c r="DT116" s="608" t="s">
        <v>125</v>
      </c>
      <c r="DU116" s="609" t="s">
        <v>1230</v>
      </c>
      <c r="DV116" s="610"/>
      <c r="DW116" s="610"/>
      <c r="DX116" s="610"/>
      <c r="DY116" s="610"/>
      <c r="DZ116" s="610"/>
      <c r="EA116" s="610"/>
      <c r="EB116" s="610"/>
      <c r="EC116" s="611">
        <v>0</v>
      </c>
      <c r="ED116" s="611">
        <v>2</v>
      </c>
      <c r="EE116" s="612"/>
      <c r="EF116" s="612"/>
      <c r="EG116" s="613">
        <v>2</v>
      </c>
      <c r="EH116" s="614"/>
      <c r="EJ116" s="615"/>
      <c r="EK116" s="615"/>
      <c r="EL116" s="615" t="s">
        <v>133</v>
      </c>
      <c r="EM116" s="616" t="s">
        <v>1231</v>
      </c>
      <c r="EN116" s="617"/>
      <c r="EO116" s="617"/>
      <c r="EP116" s="618">
        <v>1</v>
      </c>
      <c r="EQ116" s="618">
        <v>2</v>
      </c>
      <c r="ER116" s="617"/>
      <c r="ES116" s="618">
        <v>15</v>
      </c>
      <c r="ET116" s="617"/>
      <c r="EU116" s="617"/>
      <c r="EV116" s="617"/>
      <c r="EW116" s="617"/>
      <c r="EX116" s="618">
        <v>18</v>
      </c>
      <c r="EY116" s="515"/>
      <c r="FA116" s="70"/>
      <c r="FB116" s="70"/>
      <c r="FC116" s="42"/>
      <c r="FD116" s="42" t="s">
        <v>1233</v>
      </c>
      <c r="FE116" s="70"/>
      <c r="FF116" s="70"/>
      <c r="FG116" s="70">
        <v>1</v>
      </c>
      <c r="FH116" s="70">
        <v>0</v>
      </c>
      <c r="FI116" s="70"/>
      <c r="FJ116" s="70">
        <v>0</v>
      </c>
      <c r="FK116" s="70"/>
      <c r="FL116" s="70">
        <v>0</v>
      </c>
      <c r="FM116" s="70"/>
      <c r="FN116" s="70"/>
      <c r="FO116" s="70">
        <v>1</v>
      </c>
      <c r="FP116" s="42"/>
      <c r="FQ116" s="42"/>
      <c r="FR116" s="516" t="s">
        <v>48</v>
      </c>
      <c r="FS116" s="516" t="s">
        <v>16</v>
      </c>
      <c r="FT116" s="516" t="s">
        <v>132</v>
      </c>
      <c r="FU116" s="516" t="s">
        <v>1230</v>
      </c>
      <c r="FV116" s="516">
        <v>0</v>
      </c>
      <c r="FW116" s="516">
        <v>0</v>
      </c>
      <c r="FX116" s="516">
        <v>0</v>
      </c>
      <c r="FY116" s="516">
        <v>0</v>
      </c>
      <c r="FZ116" s="516">
        <v>0</v>
      </c>
      <c r="GA116" s="516">
        <v>0</v>
      </c>
      <c r="GB116" s="516">
        <v>2</v>
      </c>
      <c r="GC116" s="516">
        <v>0</v>
      </c>
      <c r="GD116" s="516">
        <v>0</v>
      </c>
      <c r="GE116" s="516">
        <v>0</v>
      </c>
      <c r="GF116" s="516">
        <v>0</v>
      </c>
      <c r="GG116" s="517">
        <v>2</v>
      </c>
      <c r="GH116" s="619"/>
      <c r="GI116" s="518"/>
    </row>
    <row r="117" spans="1:191">
      <c r="D117" s="4800" t="s">
        <v>2963</v>
      </c>
      <c r="E117" s="4606">
        <v>3</v>
      </c>
      <c r="F117" s="4606"/>
      <c r="G117" s="4606"/>
      <c r="H117" s="4606"/>
      <c r="I117" s="4606"/>
      <c r="J117" s="4606">
        <v>0</v>
      </c>
      <c r="K117" s="4606"/>
      <c r="L117" s="4606">
        <v>0</v>
      </c>
      <c r="M117" s="4606">
        <v>0</v>
      </c>
      <c r="N117" s="2552">
        <v>0</v>
      </c>
      <c r="O117" s="2552"/>
      <c r="P117" s="2552">
        <v>3</v>
      </c>
      <c r="Q117" s="2552"/>
      <c r="R117" s="2552"/>
      <c r="V117" s="37" t="s">
        <v>1239</v>
      </c>
      <c r="W117" s="4803">
        <v>0</v>
      </c>
      <c r="X117" s="4803"/>
      <c r="Y117" s="4803"/>
      <c r="Z117" s="4803"/>
      <c r="AA117" s="4803">
        <v>0</v>
      </c>
      <c r="AB117" s="4803">
        <v>0</v>
      </c>
      <c r="AC117" s="4803">
        <v>4</v>
      </c>
      <c r="AD117" s="4803">
        <v>0</v>
      </c>
      <c r="AE117" s="1788">
        <v>0</v>
      </c>
      <c r="AF117" s="1788">
        <v>4</v>
      </c>
      <c r="AI117" s="41"/>
      <c r="AJ117" s="41"/>
      <c r="AK117" s="41"/>
      <c r="AL117" s="41" t="s">
        <v>1231</v>
      </c>
      <c r="AM117" s="2001"/>
      <c r="AN117" s="2001"/>
      <c r="AO117" s="2001"/>
      <c r="AP117" s="2001"/>
      <c r="AQ117" s="2001">
        <v>0</v>
      </c>
      <c r="AR117" s="2001">
        <v>0</v>
      </c>
      <c r="AS117" s="2001">
        <v>1</v>
      </c>
      <c r="AT117" s="2001">
        <v>0</v>
      </c>
      <c r="AU117" s="105"/>
      <c r="AV117" s="105">
        <v>0</v>
      </c>
      <c r="AW117" s="105">
        <v>1</v>
      </c>
      <c r="AX117" s="41"/>
      <c r="AZ117" s="42"/>
      <c r="BA117" s="42"/>
      <c r="BB117" s="42"/>
      <c r="BC117" s="484" t="s">
        <v>15</v>
      </c>
      <c r="BD117" s="1994"/>
      <c r="BE117" s="1994"/>
      <c r="BF117" s="1994"/>
      <c r="BG117" s="1994">
        <v>1</v>
      </c>
      <c r="BH117" s="1994">
        <v>2</v>
      </c>
      <c r="BI117" s="1994"/>
      <c r="BJ117" s="1994"/>
      <c r="BK117" s="1994">
        <v>2</v>
      </c>
      <c r="BL117" s="1994">
        <v>7</v>
      </c>
      <c r="BM117" s="454">
        <v>5</v>
      </c>
      <c r="BN117" s="454">
        <v>2</v>
      </c>
      <c r="BO117" s="454">
        <v>19</v>
      </c>
      <c r="BP117" s="2485">
        <f>+(BO113-BM113+BO116)/BO117</f>
        <v>0.26315789473684209</v>
      </c>
      <c r="BR117" s="105"/>
      <c r="BS117" s="105"/>
      <c r="BT117" s="41"/>
      <c r="BU117" s="41" t="s">
        <v>1231</v>
      </c>
      <c r="BV117" s="1659"/>
      <c r="BW117" s="1659">
        <v>1</v>
      </c>
      <c r="BX117" s="1659">
        <v>1</v>
      </c>
      <c r="BY117" s="1659"/>
      <c r="BZ117" s="1659"/>
      <c r="CA117" s="1659">
        <v>0</v>
      </c>
      <c r="CB117" s="1659">
        <v>1</v>
      </c>
      <c r="CC117" s="1659">
        <v>1</v>
      </c>
      <c r="CD117" s="1659">
        <v>0</v>
      </c>
      <c r="CE117" s="105">
        <v>0</v>
      </c>
      <c r="CF117" s="105">
        <v>0</v>
      </c>
      <c r="CG117" s="105">
        <v>4</v>
      </c>
      <c r="CH117" s="105"/>
      <c r="CJ117" s="1359"/>
      <c r="CK117" s="1359"/>
      <c r="CL117" s="1360" t="s">
        <v>123</v>
      </c>
      <c r="CM117" s="1361" t="s">
        <v>1230</v>
      </c>
      <c r="CN117" s="1363">
        <v>0</v>
      </c>
      <c r="CO117" s="1362"/>
      <c r="CP117" s="1362"/>
      <c r="CQ117" s="1362"/>
      <c r="CR117" s="1362"/>
      <c r="CS117" s="1363">
        <v>0</v>
      </c>
      <c r="CT117" s="1363">
        <v>0</v>
      </c>
      <c r="CU117" s="1363">
        <v>1</v>
      </c>
      <c r="CV117" s="686"/>
      <c r="CW117" s="686"/>
      <c r="CX117" s="687">
        <v>1</v>
      </c>
      <c r="CY117" s="41"/>
      <c r="DA117" s="602"/>
      <c r="DB117" s="602"/>
      <c r="DC117" s="603"/>
      <c r="DD117" s="604" t="s">
        <v>1233</v>
      </c>
      <c r="DE117" s="606">
        <v>5</v>
      </c>
      <c r="DF117" s="606">
        <v>1</v>
      </c>
      <c r="DG117" s="606">
        <v>0</v>
      </c>
      <c r="DH117" s="606">
        <v>0</v>
      </c>
      <c r="DI117" s="606">
        <v>0</v>
      </c>
      <c r="DJ117" s="606">
        <v>0</v>
      </c>
      <c r="DK117" s="606">
        <v>0</v>
      </c>
      <c r="DL117" s="606">
        <v>0</v>
      </c>
      <c r="DM117" s="607">
        <v>0</v>
      </c>
      <c r="DN117" s="607">
        <v>0</v>
      </c>
      <c r="DO117" s="607">
        <v>6</v>
      </c>
      <c r="DP117" s="105"/>
      <c r="DR117" s="608"/>
      <c r="DS117" s="608"/>
      <c r="DT117" s="608"/>
      <c r="DU117" s="609" t="s">
        <v>1235</v>
      </c>
      <c r="DV117" s="610"/>
      <c r="DW117" s="610"/>
      <c r="DX117" s="610"/>
      <c r="DY117" s="610"/>
      <c r="DZ117" s="610"/>
      <c r="EA117" s="610"/>
      <c r="EB117" s="610"/>
      <c r="EC117" s="611">
        <v>1</v>
      </c>
      <c r="ED117" s="611">
        <v>2</v>
      </c>
      <c r="EE117" s="612"/>
      <c r="EF117" s="612"/>
      <c r="EG117" s="613">
        <v>3</v>
      </c>
      <c r="EH117" s="614"/>
      <c r="EJ117" s="615"/>
      <c r="EK117" s="615"/>
      <c r="EL117" s="615"/>
      <c r="EM117" s="616" t="s">
        <v>1235</v>
      </c>
      <c r="EN117" s="617"/>
      <c r="EO117" s="617"/>
      <c r="EP117" s="618">
        <v>0</v>
      </c>
      <c r="EQ117" s="618">
        <v>0</v>
      </c>
      <c r="ER117" s="617"/>
      <c r="ES117" s="618">
        <v>1</v>
      </c>
      <c r="ET117" s="617"/>
      <c r="EU117" s="617"/>
      <c r="EV117" s="617"/>
      <c r="EW117" s="617"/>
      <c r="EX117" s="618">
        <v>1</v>
      </c>
      <c r="EY117" s="515"/>
      <c r="FA117" s="70"/>
      <c r="FB117" s="70"/>
      <c r="FC117" s="42"/>
      <c r="FD117" s="42" t="s">
        <v>1235</v>
      </c>
      <c r="FE117" s="70"/>
      <c r="FF117" s="70"/>
      <c r="FG117" s="70">
        <v>0</v>
      </c>
      <c r="FH117" s="70">
        <v>0</v>
      </c>
      <c r="FI117" s="70"/>
      <c r="FJ117" s="70">
        <v>1</v>
      </c>
      <c r="FK117" s="70"/>
      <c r="FL117" s="70">
        <v>0</v>
      </c>
      <c r="FM117" s="70"/>
      <c r="FN117" s="70"/>
      <c r="FO117" s="70">
        <v>1</v>
      </c>
      <c r="FP117" s="42"/>
      <c r="FQ117" s="42"/>
      <c r="FR117" s="516"/>
      <c r="FS117" s="516"/>
      <c r="FT117" s="516"/>
      <c r="FU117" s="516" t="s">
        <v>1231</v>
      </c>
      <c r="FV117" s="516">
        <v>0</v>
      </c>
      <c r="FW117" s="516">
        <v>0</v>
      </c>
      <c r="FX117" s="516">
        <v>0</v>
      </c>
      <c r="FY117" s="516">
        <v>0</v>
      </c>
      <c r="FZ117" s="516">
        <v>0</v>
      </c>
      <c r="GA117" s="516">
        <v>1</v>
      </c>
      <c r="GB117" s="516">
        <v>7</v>
      </c>
      <c r="GC117" s="516">
        <v>0</v>
      </c>
      <c r="GD117" s="516">
        <v>0</v>
      </c>
      <c r="GE117" s="516">
        <v>0</v>
      </c>
      <c r="GF117" s="516">
        <v>0</v>
      </c>
      <c r="GG117" s="517">
        <v>8</v>
      </c>
      <c r="GH117" s="619"/>
      <c r="GI117" s="518"/>
    </row>
    <row r="118" spans="1:191">
      <c r="D118" s="4800" t="s">
        <v>1344</v>
      </c>
      <c r="E118" s="4606">
        <v>0</v>
      </c>
      <c r="F118" s="4606"/>
      <c r="G118" s="4606"/>
      <c r="H118" s="4606"/>
      <c r="I118" s="4606"/>
      <c r="J118" s="4606">
        <v>0</v>
      </c>
      <c r="K118" s="4606"/>
      <c r="L118" s="4606">
        <v>2</v>
      </c>
      <c r="M118" s="4606">
        <v>0</v>
      </c>
      <c r="N118" s="2552">
        <v>0</v>
      </c>
      <c r="O118" s="2552"/>
      <c r="P118" s="2552">
        <v>2</v>
      </c>
      <c r="Q118" s="2552"/>
      <c r="R118" s="2552"/>
      <c r="V118" s="37" t="s">
        <v>1344</v>
      </c>
      <c r="W118" s="4803">
        <v>0</v>
      </c>
      <c r="X118" s="4803"/>
      <c r="Y118" s="4803"/>
      <c r="Z118" s="4803"/>
      <c r="AA118" s="4803">
        <v>1</v>
      </c>
      <c r="AB118" s="4803">
        <v>4</v>
      </c>
      <c r="AC118" s="4803">
        <v>0</v>
      </c>
      <c r="AD118" s="4803">
        <v>1</v>
      </c>
      <c r="AE118" s="1788">
        <v>0</v>
      </c>
      <c r="AF118" s="1788">
        <v>6</v>
      </c>
      <c r="AI118" s="41"/>
      <c r="AJ118" s="41"/>
      <c r="AK118" s="41"/>
      <c r="AL118" s="41" t="s">
        <v>1235</v>
      </c>
      <c r="AM118" s="2001"/>
      <c r="AN118" s="2001"/>
      <c r="AO118" s="2001"/>
      <c r="AP118" s="2001"/>
      <c r="AQ118" s="2001">
        <v>0</v>
      </c>
      <c r="AR118" s="2001">
        <v>0</v>
      </c>
      <c r="AS118" s="2001">
        <v>3</v>
      </c>
      <c r="AT118" s="2001">
        <v>0</v>
      </c>
      <c r="AU118" s="105"/>
      <c r="AV118" s="105">
        <v>0</v>
      </c>
      <c r="AW118" s="105">
        <v>3</v>
      </c>
      <c r="AX118" s="41"/>
      <c r="AZ118" s="42"/>
      <c r="BA118" s="42"/>
      <c r="BB118" s="42" t="s">
        <v>121</v>
      </c>
      <c r="BC118" s="42" t="s">
        <v>1230</v>
      </c>
      <c r="BD118" s="1993"/>
      <c r="BE118" s="1993">
        <v>0</v>
      </c>
      <c r="BF118" s="1993">
        <v>0</v>
      </c>
      <c r="BG118" s="1993"/>
      <c r="BH118" s="1993">
        <v>0</v>
      </c>
      <c r="BI118" s="1993"/>
      <c r="BJ118" s="1993"/>
      <c r="BK118" s="1993">
        <v>1</v>
      </c>
      <c r="BL118" s="1993">
        <v>2</v>
      </c>
      <c r="BM118" s="70">
        <v>1</v>
      </c>
      <c r="BN118" s="70">
        <v>1</v>
      </c>
      <c r="BO118" s="70">
        <v>5</v>
      </c>
      <c r="BR118" s="105"/>
      <c r="BS118" s="105"/>
      <c r="BT118" s="41"/>
      <c r="BU118" s="41" t="s">
        <v>1235</v>
      </c>
      <c r="BV118" s="1659"/>
      <c r="BW118" s="1659">
        <v>0</v>
      </c>
      <c r="BX118" s="1659">
        <v>0</v>
      </c>
      <c r="BY118" s="1659"/>
      <c r="BZ118" s="1659"/>
      <c r="CA118" s="1659">
        <v>0</v>
      </c>
      <c r="CB118" s="1659">
        <v>0</v>
      </c>
      <c r="CC118" s="1659">
        <v>1</v>
      </c>
      <c r="CD118" s="1659">
        <v>0</v>
      </c>
      <c r="CE118" s="105">
        <v>0</v>
      </c>
      <c r="CF118" s="105">
        <v>0</v>
      </c>
      <c r="CG118" s="105">
        <v>1</v>
      </c>
      <c r="CH118" s="105"/>
      <c r="CJ118" s="1359"/>
      <c r="CK118" s="1359"/>
      <c r="CL118" s="1360"/>
      <c r="CM118" s="1361" t="s">
        <v>1231</v>
      </c>
      <c r="CN118" s="1363">
        <v>1</v>
      </c>
      <c r="CO118" s="1362"/>
      <c r="CP118" s="1362"/>
      <c r="CQ118" s="1362"/>
      <c r="CR118" s="1362"/>
      <c r="CS118" s="1363">
        <v>1</v>
      </c>
      <c r="CT118" s="1363">
        <v>0</v>
      </c>
      <c r="CU118" s="1363">
        <v>0</v>
      </c>
      <c r="CV118" s="686"/>
      <c r="CW118" s="686"/>
      <c r="CX118" s="687">
        <v>2</v>
      </c>
      <c r="CY118" s="41"/>
      <c r="DA118" s="602"/>
      <c r="DB118" s="602"/>
      <c r="DC118" s="603"/>
      <c r="DD118" s="604" t="s">
        <v>1235</v>
      </c>
      <c r="DE118" s="606">
        <v>0</v>
      </c>
      <c r="DF118" s="606">
        <v>0</v>
      </c>
      <c r="DG118" s="606">
        <v>0</v>
      </c>
      <c r="DH118" s="606">
        <v>0</v>
      </c>
      <c r="DI118" s="606">
        <v>0</v>
      </c>
      <c r="DJ118" s="606">
        <v>2</v>
      </c>
      <c r="DK118" s="606">
        <v>7</v>
      </c>
      <c r="DL118" s="606">
        <v>6</v>
      </c>
      <c r="DM118" s="607">
        <v>1</v>
      </c>
      <c r="DN118" s="607">
        <v>0</v>
      </c>
      <c r="DO118" s="607">
        <v>16</v>
      </c>
      <c r="DP118" s="105"/>
      <c r="DR118" s="608"/>
      <c r="DS118" s="608"/>
      <c r="DT118" s="608"/>
      <c r="DU118" s="609" t="s">
        <v>1239</v>
      </c>
      <c r="DV118" s="610"/>
      <c r="DW118" s="610"/>
      <c r="DX118" s="610"/>
      <c r="DY118" s="610"/>
      <c r="DZ118" s="610"/>
      <c r="EA118" s="610"/>
      <c r="EB118" s="610"/>
      <c r="EC118" s="611">
        <v>0</v>
      </c>
      <c r="ED118" s="611">
        <v>13</v>
      </c>
      <c r="EE118" s="612"/>
      <c r="EF118" s="612"/>
      <c r="EG118" s="613">
        <v>13</v>
      </c>
      <c r="EH118" s="614"/>
      <c r="EJ118" s="615"/>
      <c r="EK118" s="615"/>
      <c r="EL118" s="615"/>
      <c r="EM118" s="616" t="s">
        <v>1240</v>
      </c>
      <c r="EN118" s="617"/>
      <c r="EO118" s="617"/>
      <c r="EP118" s="618">
        <v>0</v>
      </c>
      <c r="EQ118" s="618">
        <v>0</v>
      </c>
      <c r="ER118" s="617"/>
      <c r="ES118" s="618">
        <v>1</v>
      </c>
      <c r="ET118" s="617"/>
      <c r="EU118" s="617"/>
      <c r="EV118" s="617"/>
      <c r="EW118" s="617"/>
      <c r="EX118" s="618">
        <v>1</v>
      </c>
      <c r="EY118" s="515"/>
      <c r="FA118" s="70"/>
      <c r="FB118" s="70"/>
      <c r="FC118" s="42"/>
      <c r="FD118" s="42" t="s">
        <v>1236</v>
      </c>
      <c r="FE118" s="70"/>
      <c r="FF118" s="70"/>
      <c r="FG118" s="70">
        <v>1</v>
      </c>
      <c r="FH118" s="70">
        <v>1</v>
      </c>
      <c r="FI118" s="70"/>
      <c r="FJ118" s="70">
        <v>0</v>
      </c>
      <c r="FK118" s="70"/>
      <c r="FL118" s="70">
        <v>0</v>
      </c>
      <c r="FM118" s="70"/>
      <c r="FN118" s="70"/>
      <c r="FO118" s="70">
        <v>2</v>
      </c>
      <c r="FP118" s="42"/>
      <c r="FQ118" s="42"/>
      <c r="FR118" s="516"/>
      <c r="FS118" s="516"/>
      <c r="FT118" s="516"/>
      <c r="FU118" s="516" t="s">
        <v>1235</v>
      </c>
      <c r="FV118" s="516">
        <v>0</v>
      </c>
      <c r="FW118" s="516">
        <v>0</v>
      </c>
      <c r="FX118" s="516">
        <v>0</v>
      </c>
      <c r="FY118" s="516">
        <v>0</v>
      </c>
      <c r="FZ118" s="516">
        <v>0</v>
      </c>
      <c r="GA118" s="516">
        <v>0</v>
      </c>
      <c r="GB118" s="516">
        <v>0</v>
      </c>
      <c r="GC118" s="516">
        <v>1</v>
      </c>
      <c r="GD118" s="516">
        <v>0</v>
      </c>
      <c r="GE118" s="516">
        <v>0</v>
      </c>
      <c r="GF118" s="516">
        <v>0</v>
      </c>
      <c r="GG118" s="517">
        <v>1</v>
      </c>
      <c r="GH118" s="619"/>
      <c r="GI118" s="518"/>
    </row>
    <row r="119" spans="1:191">
      <c r="D119" s="32" t="s">
        <v>15</v>
      </c>
      <c r="E119" s="4607">
        <v>3</v>
      </c>
      <c r="F119" s="4607"/>
      <c r="G119" s="4607"/>
      <c r="H119" s="4607"/>
      <c r="I119" s="4607"/>
      <c r="J119" s="4607">
        <v>1</v>
      </c>
      <c r="K119" s="4607"/>
      <c r="L119" s="4607">
        <v>10</v>
      </c>
      <c r="M119" s="4607">
        <v>6</v>
      </c>
      <c r="N119" s="4583">
        <v>5</v>
      </c>
      <c r="O119" s="4583"/>
      <c r="P119" s="4583">
        <v>25</v>
      </c>
      <c r="Q119" s="1977">
        <f>+P118/P119</f>
        <v>0.08</v>
      </c>
      <c r="R119" s="1977"/>
      <c r="V119" s="1793" t="s">
        <v>15</v>
      </c>
      <c r="W119" s="4804">
        <v>1</v>
      </c>
      <c r="X119" s="4804"/>
      <c r="Y119" s="4804"/>
      <c r="Z119" s="4804"/>
      <c r="AA119" s="4804">
        <v>1</v>
      </c>
      <c r="AB119" s="4804">
        <v>4</v>
      </c>
      <c r="AC119" s="4804">
        <v>5</v>
      </c>
      <c r="AD119" s="4804">
        <v>2</v>
      </c>
      <c r="AE119" s="4702">
        <v>1</v>
      </c>
      <c r="AF119" s="4702">
        <v>14</v>
      </c>
      <c r="AG119" s="4703">
        <f>+(AF116+AF118)/AF119</f>
        <v>0.5</v>
      </c>
      <c r="AI119" s="41"/>
      <c r="AJ119" s="41"/>
      <c r="AK119" s="41"/>
      <c r="AL119" s="41" t="s">
        <v>1239</v>
      </c>
      <c r="AM119" s="2001"/>
      <c r="AN119" s="2001"/>
      <c r="AO119" s="2001"/>
      <c r="AP119" s="2001"/>
      <c r="AQ119" s="2001">
        <v>0</v>
      </c>
      <c r="AR119" s="2001">
        <v>0</v>
      </c>
      <c r="AS119" s="2001">
        <v>0</v>
      </c>
      <c r="AT119" s="2001">
        <v>1</v>
      </c>
      <c r="AU119" s="105"/>
      <c r="AV119" s="105">
        <v>0</v>
      </c>
      <c r="AW119" s="105">
        <v>1</v>
      </c>
      <c r="AX119" s="41"/>
      <c r="AZ119" s="42"/>
      <c r="BA119" s="42"/>
      <c r="BB119" s="42"/>
      <c r="BC119" s="42" t="s">
        <v>1231</v>
      </c>
      <c r="BD119" s="1993"/>
      <c r="BE119" s="1993">
        <v>1</v>
      </c>
      <c r="BF119" s="1993">
        <v>0</v>
      </c>
      <c r="BG119" s="1993"/>
      <c r="BH119" s="1993">
        <v>0</v>
      </c>
      <c r="BI119" s="1993"/>
      <c r="BJ119" s="1993"/>
      <c r="BK119" s="1993">
        <v>4</v>
      </c>
      <c r="BL119" s="1993">
        <v>0</v>
      </c>
      <c r="BM119" s="70">
        <v>0</v>
      </c>
      <c r="BN119" s="70">
        <v>0</v>
      </c>
      <c r="BO119" s="70">
        <v>5</v>
      </c>
      <c r="BR119" s="105"/>
      <c r="BS119" s="105"/>
      <c r="BT119" s="41"/>
      <c r="BU119" s="41" t="s">
        <v>1236</v>
      </c>
      <c r="BV119" s="1659"/>
      <c r="BW119" s="1659">
        <v>0</v>
      </c>
      <c r="BX119" s="1659">
        <v>0</v>
      </c>
      <c r="BY119" s="1659"/>
      <c r="BZ119" s="1659"/>
      <c r="CA119" s="1659">
        <v>1</v>
      </c>
      <c r="CB119" s="1659">
        <v>0</v>
      </c>
      <c r="CC119" s="1659">
        <v>1</v>
      </c>
      <c r="CD119" s="1659">
        <v>0</v>
      </c>
      <c r="CE119" s="105">
        <v>0</v>
      </c>
      <c r="CF119" s="105">
        <v>0</v>
      </c>
      <c r="CG119" s="105">
        <v>2</v>
      </c>
      <c r="CH119" s="105"/>
      <c r="CJ119" s="1359"/>
      <c r="CK119" s="1359"/>
      <c r="CL119" s="1360"/>
      <c r="CM119" s="1361" t="s">
        <v>1233</v>
      </c>
      <c r="CN119" s="1363">
        <v>2</v>
      </c>
      <c r="CO119" s="1362"/>
      <c r="CP119" s="1362"/>
      <c r="CQ119" s="1362"/>
      <c r="CR119" s="1362"/>
      <c r="CS119" s="1363">
        <v>0</v>
      </c>
      <c r="CT119" s="1363">
        <v>0</v>
      </c>
      <c r="CU119" s="1363">
        <v>0</v>
      </c>
      <c r="CV119" s="686"/>
      <c r="CW119" s="686"/>
      <c r="CX119" s="687">
        <v>2</v>
      </c>
      <c r="CY119" s="41"/>
      <c r="DA119" s="602"/>
      <c r="DB119" s="602"/>
      <c r="DC119" s="603"/>
      <c r="DD119" s="604" t="s">
        <v>1236</v>
      </c>
      <c r="DE119" s="606">
        <v>0</v>
      </c>
      <c r="DF119" s="606">
        <v>0</v>
      </c>
      <c r="DG119" s="606">
        <v>0</v>
      </c>
      <c r="DH119" s="606">
        <v>1</v>
      </c>
      <c r="DI119" s="606">
        <v>1</v>
      </c>
      <c r="DJ119" s="606">
        <v>0</v>
      </c>
      <c r="DK119" s="606">
        <v>0</v>
      </c>
      <c r="DL119" s="606">
        <v>0</v>
      </c>
      <c r="DM119" s="607">
        <v>0</v>
      </c>
      <c r="DN119" s="607">
        <v>0</v>
      </c>
      <c r="DO119" s="607">
        <v>2</v>
      </c>
      <c r="DP119" s="105"/>
      <c r="DR119" s="608"/>
      <c r="DS119" s="608"/>
      <c r="DT119" s="608"/>
      <c r="DU119" s="620" t="s">
        <v>15</v>
      </c>
      <c r="DV119" s="621"/>
      <c r="DW119" s="621"/>
      <c r="DX119" s="621"/>
      <c r="DY119" s="621"/>
      <c r="DZ119" s="621"/>
      <c r="EA119" s="621"/>
      <c r="EB119" s="621"/>
      <c r="EC119" s="622">
        <v>1</v>
      </c>
      <c r="ED119" s="622">
        <v>17</v>
      </c>
      <c r="EE119" s="623"/>
      <c r="EF119" s="623"/>
      <c r="EG119" s="624">
        <v>18</v>
      </c>
      <c r="EH119" s="614">
        <f>+EG117/EG119</f>
        <v>0.16666666666666666</v>
      </c>
      <c r="EJ119" s="615"/>
      <c r="EK119" s="615"/>
      <c r="EL119" s="615"/>
      <c r="EM119" s="616" t="s">
        <v>1344</v>
      </c>
      <c r="EN119" s="617"/>
      <c r="EO119" s="617"/>
      <c r="EP119" s="618">
        <v>0</v>
      </c>
      <c r="EQ119" s="618">
        <v>0</v>
      </c>
      <c r="ER119" s="617"/>
      <c r="ES119" s="618">
        <v>6</v>
      </c>
      <c r="ET119" s="617"/>
      <c r="EU119" s="617"/>
      <c r="EV119" s="617"/>
      <c r="EW119" s="617"/>
      <c r="EX119" s="618">
        <v>6</v>
      </c>
      <c r="EY119" s="515"/>
      <c r="FA119" s="70"/>
      <c r="FB119" s="70"/>
      <c r="FC119" s="42"/>
      <c r="FD119" s="42" t="s">
        <v>1240</v>
      </c>
      <c r="FE119" s="70"/>
      <c r="FF119" s="70"/>
      <c r="FG119" s="70">
        <v>0</v>
      </c>
      <c r="FH119" s="70">
        <v>0</v>
      </c>
      <c r="FI119" s="70"/>
      <c r="FJ119" s="70">
        <v>1</v>
      </c>
      <c r="FK119" s="70"/>
      <c r="FL119" s="70">
        <v>0</v>
      </c>
      <c r="FM119" s="70"/>
      <c r="FN119" s="70"/>
      <c r="FO119" s="70">
        <v>1</v>
      </c>
      <c r="FP119" s="42"/>
      <c r="FQ119" s="42"/>
      <c r="FR119" s="516"/>
      <c r="FS119" s="516"/>
      <c r="FT119" s="516"/>
      <c r="FU119" s="516" t="s">
        <v>1239</v>
      </c>
      <c r="FV119" s="516">
        <v>0</v>
      </c>
      <c r="FW119" s="516">
        <v>0</v>
      </c>
      <c r="FX119" s="516">
        <v>0</v>
      </c>
      <c r="FY119" s="516">
        <v>0</v>
      </c>
      <c r="FZ119" s="516">
        <v>0</v>
      </c>
      <c r="GA119" s="516">
        <v>0</v>
      </c>
      <c r="GB119" s="516">
        <v>0</v>
      </c>
      <c r="GC119" s="516">
        <v>4</v>
      </c>
      <c r="GD119" s="516">
        <v>7</v>
      </c>
      <c r="GE119" s="516">
        <v>0</v>
      </c>
      <c r="GF119" s="516">
        <v>0</v>
      </c>
      <c r="GG119" s="517">
        <v>11</v>
      </c>
      <c r="GH119" s="619"/>
      <c r="GI119" s="518"/>
    </row>
    <row r="120" spans="1:191">
      <c r="C120" s="4800" t="s">
        <v>121</v>
      </c>
      <c r="D120" s="4800" t="s">
        <v>1231</v>
      </c>
      <c r="E120" s="4606">
        <v>0</v>
      </c>
      <c r="F120" s="4606"/>
      <c r="G120" s="4606"/>
      <c r="H120" s="4606"/>
      <c r="I120" s="4606"/>
      <c r="J120" s="4606">
        <v>1</v>
      </c>
      <c r="K120" s="4606">
        <v>1</v>
      </c>
      <c r="L120" s="4606">
        <v>0</v>
      </c>
      <c r="M120" s="4606">
        <v>4</v>
      </c>
      <c r="N120" s="2552">
        <v>1</v>
      </c>
      <c r="O120" s="2552"/>
      <c r="P120" s="2552">
        <v>7</v>
      </c>
      <c r="Q120" s="2552"/>
      <c r="R120" s="2552"/>
      <c r="U120" s="37" t="s">
        <v>123</v>
      </c>
      <c r="V120" s="37" t="s">
        <v>1231</v>
      </c>
      <c r="W120" s="4803"/>
      <c r="X120" s="4803">
        <v>1</v>
      </c>
      <c r="Y120" s="4803"/>
      <c r="Z120" s="4803">
        <v>0</v>
      </c>
      <c r="AA120" s="4803"/>
      <c r="AB120" s="4803"/>
      <c r="AC120" s="4803">
        <v>0</v>
      </c>
      <c r="AD120" s="4803"/>
      <c r="AE120" s="1788"/>
      <c r="AF120" s="1788">
        <v>1</v>
      </c>
      <c r="AI120" s="41"/>
      <c r="AJ120" s="41"/>
      <c r="AK120" s="41"/>
      <c r="AL120" s="41" t="s">
        <v>1344</v>
      </c>
      <c r="AM120" s="2001"/>
      <c r="AN120" s="2001"/>
      <c r="AO120" s="2001"/>
      <c r="AP120" s="2001"/>
      <c r="AQ120" s="2001">
        <v>0</v>
      </c>
      <c r="AR120" s="2001">
        <v>1</v>
      </c>
      <c r="AS120" s="2001">
        <v>0</v>
      </c>
      <c r="AT120" s="2001">
        <v>0</v>
      </c>
      <c r="AU120" s="105"/>
      <c r="AV120" s="105">
        <v>0</v>
      </c>
      <c r="AW120" s="105">
        <v>1</v>
      </c>
      <c r="AX120" s="41"/>
      <c r="AZ120" s="42"/>
      <c r="BA120" s="42"/>
      <c r="BB120" s="42"/>
      <c r="BC120" s="42" t="s">
        <v>1233</v>
      </c>
      <c r="BD120" s="1993"/>
      <c r="BE120" s="1993">
        <v>1</v>
      </c>
      <c r="BF120" s="1993">
        <v>1</v>
      </c>
      <c r="BG120" s="1993"/>
      <c r="BH120" s="1993">
        <v>0</v>
      </c>
      <c r="BI120" s="1993"/>
      <c r="BJ120" s="1993"/>
      <c r="BK120" s="1993">
        <v>0</v>
      </c>
      <c r="BL120" s="1993">
        <v>0</v>
      </c>
      <c r="BM120" s="70">
        <v>0</v>
      </c>
      <c r="BN120" s="70">
        <v>0</v>
      </c>
      <c r="BO120" s="70">
        <v>2</v>
      </c>
      <c r="BR120" s="105"/>
      <c r="BS120" s="105"/>
      <c r="BT120" s="41"/>
      <c r="BU120" s="41" t="s">
        <v>1239</v>
      </c>
      <c r="BV120" s="1659"/>
      <c r="BW120" s="1659">
        <v>0</v>
      </c>
      <c r="BX120" s="1659">
        <v>0</v>
      </c>
      <c r="BY120" s="1659"/>
      <c r="BZ120" s="1659"/>
      <c r="CA120" s="1659">
        <v>0</v>
      </c>
      <c r="CB120" s="1659">
        <v>0</v>
      </c>
      <c r="CC120" s="1659">
        <v>1</v>
      </c>
      <c r="CD120" s="1659">
        <v>4</v>
      </c>
      <c r="CE120" s="105">
        <v>0</v>
      </c>
      <c r="CF120" s="105">
        <v>0</v>
      </c>
      <c r="CG120" s="105">
        <v>5</v>
      </c>
      <c r="CH120" s="105"/>
      <c r="CJ120" s="1359"/>
      <c r="CK120" s="1359"/>
      <c r="CL120" s="1360"/>
      <c r="CM120" s="1361" t="s">
        <v>1235</v>
      </c>
      <c r="CN120" s="1363">
        <v>0</v>
      </c>
      <c r="CO120" s="1362"/>
      <c r="CP120" s="1362"/>
      <c r="CQ120" s="1362"/>
      <c r="CR120" s="1362"/>
      <c r="CS120" s="1363">
        <v>1</v>
      </c>
      <c r="CT120" s="1363">
        <v>2</v>
      </c>
      <c r="CU120" s="1363">
        <v>0</v>
      </c>
      <c r="CV120" s="686"/>
      <c r="CW120" s="686"/>
      <c r="CX120" s="687">
        <v>3</v>
      </c>
      <c r="CY120" s="41"/>
      <c r="DA120" s="602"/>
      <c r="DB120" s="602"/>
      <c r="DC120" s="603"/>
      <c r="DD120" s="604" t="s">
        <v>1239</v>
      </c>
      <c r="DE120" s="606">
        <v>0</v>
      </c>
      <c r="DF120" s="606">
        <v>0</v>
      </c>
      <c r="DG120" s="606">
        <v>0</v>
      </c>
      <c r="DH120" s="606">
        <v>0</v>
      </c>
      <c r="DI120" s="606">
        <v>0</v>
      </c>
      <c r="DJ120" s="606">
        <v>0</v>
      </c>
      <c r="DK120" s="606">
        <v>0</v>
      </c>
      <c r="DL120" s="606">
        <v>30</v>
      </c>
      <c r="DM120" s="607">
        <v>2</v>
      </c>
      <c r="DN120" s="607">
        <v>3</v>
      </c>
      <c r="DO120" s="607">
        <v>35</v>
      </c>
      <c r="DP120" s="105"/>
      <c r="DR120" s="608"/>
      <c r="DS120" s="608"/>
      <c r="DT120" s="608" t="s">
        <v>128</v>
      </c>
      <c r="DU120" s="609" t="s">
        <v>1230</v>
      </c>
      <c r="DV120" s="610"/>
      <c r="DW120" s="610"/>
      <c r="DX120" s="611">
        <v>0</v>
      </c>
      <c r="DY120" s="611">
        <v>0</v>
      </c>
      <c r="DZ120" s="610"/>
      <c r="EA120" s="610"/>
      <c r="EB120" s="610"/>
      <c r="EC120" s="611">
        <v>0</v>
      </c>
      <c r="ED120" s="611">
        <v>0</v>
      </c>
      <c r="EE120" s="613">
        <v>0</v>
      </c>
      <c r="EF120" s="613">
        <v>1</v>
      </c>
      <c r="EG120" s="613">
        <v>1</v>
      </c>
      <c r="EH120" s="614"/>
      <c r="EJ120" s="615"/>
      <c r="EK120" s="615"/>
      <c r="EL120" s="615"/>
      <c r="EM120" s="625" t="s">
        <v>15</v>
      </c>
      <c r="EN120" s="626"/>
      <c r="EO120" s="626"/>
      <c r="EP120" s="627">
        <v>1</v>
      </c>
      <c r="EQ120" s="627">
        <v>2</v>
      </c>
      <c r="ER120" s="626"/>
      <c r="ES120" s="627">
        <v>23</v>
      </c>
      <c r="ET120" s="626"/>
      <c r="EU120" s="626"/>
      <c r="EV120" s="626"/>
      <c r="EW120" s="626"/>
      <c r="EX120" s="627">
        <v>26</v>
      </c>
      <c r="EY120" s="628">
        <f>+(EX119+EX118+EX117)/EX120</f>
        <v>0.30769230769230771</v>
      </c>
      <c r="FA120" s="70"/>
      <c r="FB120" s="70"/>
      <c r="FC120" s="42"/>
      <c r="FD120" s="42" t="s">
        <v>1344</v>
      </c>
      <c r="FE120" s="70"/>
      <c r="FF120" s="70"/>
      <c r="FG120" s="70">
        <v>0</v>
      </c>
      <c r="FH120" s="70">
        <v>0</v>
      </c>
      <c r="FI120" s="70"/>
      <c r="FJ120" s="70">
        <v>1</v>
      </c>
      <c r="FK120" s="70"/>
      <c r="FL120" s="70">
        <v>0</v>
      </c>
      <c r="FM120" s="70"/>
      <c r="FN120" s="70"/>
      <c r="FO120" s="70">
        <v>1</v>
      </c>
      <c r="FP120" s="42"/>
      <c r="FQ120" s="42"/>
      <c r="FR120" s="516"/>
      <c r="FS120" s="516"/>
      <c r="FT120" s="516"/>
      <c r="FU120" s="516" t="s">
        <v>1240</v>
      </c>
      <c r="FV120" s="516">
        <v>0</v>
      </c>
      <c r="FW120" s="516">
        <v>0</v>
      </c>
      <c r="FX120" s="516">
        <v>0</v>
      </c>
      <c r="FY120" s="516">
        <v>0</v>
      </c>
      <c r="FZ120" s="516">
        <v>0</v>
      </c>
      <c r="GA120" s="516">
        <v>0</v>
      </c>
      <c r="GB120" s="516">
        <v>1</v>
      </c>
      <c r="GC120" s="516">
        <v>0</v>
      </c>
      <c r="GD120" s="516">
        <v>0</v>
      </c>
      <c r="GE120" s="516">
        <v>0</v>
      </c>
      <c r="GF120" s="516">
        <v>0</v>
      </c>
      <c r="GG120" s="517">
        <v>1</v>
      </c>
      <c r="GH120" s="619"/>
      <c r="GI120" s="518"/>
    </row>
    <row r="121" spans="1:191">
      <c r="D121" s="4800" t="s">
        <v>1235</v>
      </c>
      <c r="E121" s="4606">
        <v>0</v>
      </c>
      <c r="F121" s="4606"/>
      <c r="G121" s="4606"/>
      <c r="H121" s="4606"/>
      <c r="I121" s="4606"/>
      <c r="J121" s="4606">
        <v>0</v>
      </c>
      <c r="K121" s="4606">
        <v>0</v>
      </c>
      <c r="L121" s="4606">
        <v>1</v>
      </c>
      <c r="M121" s="4606">
        <v>0</v>
      </c>
      <c r="N121" s="2552">
        <v>0</v>
      </c>
      <c r="O121" s="2552"/>
      <c r="P121" s="2552">
        <v>1</v>
      </c>
      <c r="Q121" s="2552"/>
      <c r="R121" s="2552"/>
      <c r="V121" s="37" t="s">
        <v>1239</v>
      </c>
      <c r="W121" s="4803"/>
      <c r="X121" s="4803">
        <v>0</v>
      </c>
      <c r="Y121" s="4803"/>
      <c r="Z121" s="4803">
        <v>0</v>
      </c>
      <c r="AA121" s="4803"/>
      <c r="AB121" s="4803"/>
      <c r="AC121" s="4803">
        <v>8</v>
      </c>
      <c r="AD121" s="4803"/>
      <c r="AE121" s="1788"/>
      <c r="AF121" s="1788">
        <v>8</v>
      </c>
      <c r="AI121" s="41"/>
      <c r="AJ121" s="41"/>
      <c r="AK121" s="41"/>
      <c r="AL121" s="41" t="s">
        <v>2704</v>
      </c>
      <c r="AM121" s="2001"/>
      <c r="AN121" s="2001"/>
      <c r="AO121" s="2001"/>
      <c r="AP121" s="2001"/>
      <c r="AQ121" s="2001">
        <v>0</v>
      </c>
      <c r="AR121" s="2001">
        <v>0</v>
      </c>
      <c r="AS121" s="2001">
        <v>0</v>
      </c>
      <c r="AT121" s="2001">
        <v>0</v>
      </c>
      <c r="AU121" s="105"/>
      <c r="AV121" s="105">
        <v>1</v>
      </c>
      <c r="AW121" s="105">
        <v>1</v>
      </c>
      <c r="AX121" s="41"/>
      <c r="AZ121" s="42"/>
      <c r="BA121" s="42"/>
      <c r="BB121" s="42"/>
      <c r="BC121" s="42" t="s">
        <v>1235</v>
      </c>
      <c r="BD121" s="1993"/>
      <c r="BE121" s="1993">
        <v>0</v>
      </c>
      <c r="BF121" s="1993">
        <v>0</v>
      </c>
      <c r="BG121" s="1993"/>
      <c r="BH121" s="1993">
        <v>0</v>
      </c>
      <c r="BI121" s="1993"/>
      <c r="BJ121" s="1993"/>
      <c r="BK121" s="1993">
        <v>2</v>
      </c>
      <c r="BL121" s="1993">
        <v>0</v>
      </c>
      <c r="BM121" s="70">
        <v>0</v>
      </c>
      <c r="BN121" s="70">
        <v>0</v>
      </c>
      <c r="BO121" s="70">
        <v>2</v>
      </c>
      <c r="BR121" s="105"/>
      <c r="BS121" s="105"/>
      <c r="BT121" s="41"/>
      <c r="BU121" s="461" t="s">
        <v>15</v>
      </c>
      <c r="BV121" s="1660"/>
      <c r="BW121" s="1660">
        <v>1</v>
      </c>
      <c r="BX121" s="1660">
        <v>1</v>
      </c>
      <c r="BY121" s="1660"/>
      <c r="BZ121" s="1660"/>
      <c r="CA121" s="1660">
        <v>1</v>
      </c>
      <c r="CB121" s="1660">
        <v>1</v>
      </c>
      <c r="CC121" s="1660">
        <v>4</v>
      </c>
      <c r="CD121" s="1660">
        <v>7</v>
      </c>
      <c r="CE121" s="96">
        <v>1</v>
      </c>
      <c r="CF121" s="96">
        <v>1</v>
      </c>
      <c r="CG121" s="96">
        <v>17</v>
      </c>
      <c r="CH121" s="635">
        <f>+CG118/CG121</f>
        <v>5.8823529411764705E-2</v>
      </c>
      <c r="CJ121" s="1359"/>
      <c r="CK121" s="1359"/>
      <c r="CL121" s="1360"/>
      <c r="CM121" s="1361" t="s">
        <v>1239</v>
      </c>
      <c r="CN121" s="1363">
        <v>0</v>
      </c>
      <c r="CO121" s="1362"/>
      <c r="CP121" s="1362"/>
      <c r="CQ121" s="1362"/>
      <c r="CR121" s="1362"/>
      <c r="CS121" s="1363">
        <v>0</v>
      </c>
      <c r="CT121" s="1363">
        <v>1</v>
      </c>
      <c r="CU121" s="1363">
        <v>4</v>
      </c>
      <c r="CV121" s="686"/>
      <c r="CW121" s="686"/>
      <c r="CX121" s="687">
        <v>5</v>
      </c>
      <c r="CY121" s="41"/>
      <c r="DA121" s="602"/>
      <c r="DB121" s="602"/>
      <c r="DC121" s="603"/>
      <c r="DD121" s="604" t="s">
        <v>1344</v>
      </c>
      <c r="DE121" s="606">
        <v>0</v>
      </c>
      <c r="DF121" s="606">
        <v>0</v>
      </c>
      <c r="DG121" s="606">
        <v>0</v>
      </c>
      <c r="DH121" s="606">
        <v>0</v>
      </c>
      <c r="DI121" s="606">
        <v>0</v>
      </c>
      <c r="DJ121" s="606">
        <v>2</v>
      </c>
      <c r="DK121" s="606">
        <v>2</v>
      </c>
      <c r="DL121" s="606">
        <v>3</v>
      </c>
      <c r="DM121" s="607">
        <v>0</v>
      </c>
      <c r="DN121" s="607">
        <v>0</v>
      </c>
      <c r="DO121" s="607">
        <v>7</v>
      </c>
      <c r="DP121" s="105"/>
      <c r="DR121" s="608"/>
      <c r="DS121" s="608"/>
      <c r="DT121" s="608"/>
      <c r="DU121" s="609" t="s">
        <v>1231</v>
      </c>
      <c r="DV121" s="610"/>
      <c r="DW121" s="610"/>
      <c r="DX121" s="611">
        <v>1</v>
      </c>
      <c r="DY121" s="611">
        <v>0</v>
      </c>
      <c r="DZ121" s="610"/>
      <c r="EA121" s="610"/>
      <c r="EB121" s="610"/>
      <c r="EC121" s="611">
        <v>1</v>
      </c>
      <c r="ED121" s="611">
        <v>0</v>
      </c>
      <c r="EE121" s="613">
        <v>0</v>
      </c>
      <c r="EF121" s="613">
        <v>0</v>
      </c>
      <c r="EG121" s="613">
        <v>2</v>
      </c>
      <c r="EH121" s="614"/>
      <c r="EJ121" s="615"/>
      <c r="EK121" s="615"/>
      <c r="EL121" s="615" t="s">
        <v>135</v>
      </c>
      <c r="EM121" s="616" t="s">
        <v>1231</v>
      </c>
      <c r="EN121" s="617"/>
      <c r="EO121" s="617"/>
      <c r="EP121" s="617"/>
      <c r="EQ121" s="618">
        <v>0</v>
      </c>
      <c r="ER121" s="617"/>
      <c r="ES121" s="618">
        <v>4</v>
      </c>
      <c r="ET121" s="618">
        <v>2</v>
      </c>
      <c r="EU121" s="618">
        <v>0</v>
      </c>
      <c r="EV121" s="617"/>
      <c r="EW121" s="617"/>
      <c r="EX121" s="618">
        <v>6</v>
      </c>
      <c r="EY121" s="515"/>
      <c r="FA121" s="70"/>
      <c r="FB121" s="70"/>
      <c r="FC121" s="42"/>
      <c r="FD121" s="484" t="s">
        <v>15</v>
      </c>
      <c r="FE121" s="454"/>
      <c r="FF121" s="454"/>
      <c r="FG121" s="454">
        <v>3</v>
      </c>
      <c r="FH121" s="454">
        <v>1</v>
      </c>
      <c r="FI121" s="454"/>
      <c r="FJ121" s="454">
        <v>11</v>
      </c>
      <c r="FK121" s="454"/>
      <c r="FL121" s="454">
        <v>1</v>
      </c>
      <c r="FM121" s="454"/>
      <c r="FN121" s="454"/>
      <c r="FO121" s="454">
        <v>16</v>
      </c>
      <c r="FP121" s="536">
        <f>+(FO117+FO119+FO120)/FO121</f>
        <v>0.1875</v>
      </c>
      <c r="FQ121" s="42"/>
      <c r="FR121" s="516"/>
      <c r="FS121" s="516"/>
      <c r="FT121" s="516"/>
      <c r="FU121" s="516" t="s">
        <v>1344</v>
      </c>
      <c r="FV121" s="516">
        <v>0</v>
      </c>
      <c r="FW121" s="516">
        <v>0</v>
      </c>
      <c r="FX121" s="516">
        <v>0</v>
      </c>
      <c r="FY121" s="516">
        <v>0</v>
      </c>
      <c r="FZ121" s="516">
        <v>0</v>
      </c>
      <c r="GA121" s="516">
        <v>0</v>
      </c>
      <c r="GB121" s="516">
        <v>0</v>
      </c>
      <c r="GC121" s="516">
        <v>1</v>
      </c>
      <c r="GD121" s="516">
        <v>0</v>
      </c>
      <c r="GE121" s="516">
        <v>0</v>
      </c>
      <c r="GF121" s="516">
        <v>0</v>
      </c>
      <c r="GG121" s="517">
        <v>1</v>
      </c>
      <c r="GH121" s="619"/>
      <c r="GI121" s="518"/>
    </row>
    <row r="122" spans="1:191">
      <c r="D122" s="4800" t="s">
        <v>1239</v>
      </c>
      <c r="E122" s="4606">
        <v>0</v>
      </c>
      <c r="F122" s="4606"/>
      <c r="G122" s="4606"/>
      <c r="H122" s="4606"/>
      <c r="I122" s="4606"/>
      <c r="J122" s="4606">
        <v>0</v>
      </c>
      <c r="K122" s="4606">
        <v>0</v>
      </c>
      <c r="L122" s="4606">
        <v>11</v>
      </c>
      <c r="M122" s="4606">
        <v>1</v>
      </c>
      <c r="N122" s="2552">
        <v>0</v>
      </c>
      <c r="O122" s="2552"/>
      <c r="P122" s="2552">
        <v>12</v>
      </c>
      <c r="Q122" s="2552"/>
      <c r="R122" s="2552"/>
      <c r="V122" s="37">
        <v>22</v>
      </c>
      <c r="W122" s="4803"/>
      <c r="X122" s="4803">
        <v>0</v>
      </c>
      <c r="Y122" s="4803"/>
      <c r="Z122" s="4803">
        <v>1</v>
      </c>
      <c r="AA122" s="4803"/>
      <c r="AB122" s="4803"/>
      <c r="AC122" s="4803">
        <v>0</v>
      </c>
      <c r="AD122" s="4803"/>
      <c r="AE122" s="1788"/>
      <c r="AF122" s="1788">
        <v>1</v>
      </c>
      <c r="AI122" s="41"/>
      <c r="AJ122" s="41"/>
      <c r="AK122" s="41"/>
      <c r="AL122" s="461" t="s">
        <v>15</v>
      </c>
      <c r="AM122" s="2002"/>
      <c r="AN122" s="2002"/>
      <c r="AO122" s="2002"/>
      <c r="AP122" s="2002"/>
      <c r="AQ122" s="2002">
        <v>1</v>
      </c>
      <c r="AR122" s="2002">
        <v>1</v>
      </c>
      <c r="AS122" s="2002">
        <v>4</v>
      </c>
      <c r="AT122" s="2002">
        <v>2</v>
      </c>
      <c r="AU122" s="2480"/>
      <c r="AV122" s="2480">
        <v>1</v>
      </c>
      <c r="AW122" s="2480">
        <v>9</v>
      </c>
      <c r="AX122" s="635">
        <f>+(AW121+AW118-AV121)/AW122</f>
        <v>0.33333333333333331</v>
      </c>
      <c r="AY122" s="1977"/>
      <c r="AZ122" s="42"/>
      <c r="BA122" s="42"/>
      <c r="BB122" s="42"/>
      <c r="BC122" s="42" t="s">
        <v>1236</v>
      </c>
      <c r="BD122" s="1993"/>
      <c r="BE122" s="1993">
        <v>0</v>
      </c>
      <c r="BF122" s="1993">
        <v>0</v>
      </c>
      <c r="BG122" s="1993"/>
      <c r="BH122" s="1993">
        <v>1</v>
      </c>
      <c r="BI122" s="1993"/>
      <c r="BJ122" s="1993"/>
      <c r="BK122" s="1993">
        <v>0</v>
      </c>
      <c r="BL122" s="1993">
        <v>0</v>
      </c>
      <c r="BM122" s="70">
        <v>0</v>
      </c>
      <c r="BN122" s="70">
        <v>0</v>
      </c>
      <c r="BO122" s="70">
        <v>1</v>
      </c>
      <c r="BR122" s="105"/>
      <c r="BS122" s="105"/>
      <c r="BT122" s="41" t="s">
        <v>795</v>
      </c>
      <c r="BU122" s="41" t="s">
        <v>1230</v>
      </c>
      <c r="BV122" s="1659"/>
      <c r="BW122" s="1659">
        <v>0</v>
      </c>
      <c r="BX122" s="1659"/>
      <c r="BY122" s="1659"/>
      <c r="BZ122" s="1659"/>
      <c r="CA122" s="1659"/>
      <c r="CB122" s="1659"/>
      <c r="CC122" s="1659">
        <v>0</v>
      </c>
      <c r="CD122" s="1659">
        <v>1</v>
      </c>
      <c r="CE122" s="105">
        <v>0</v>
      </c>
      <c r="CF122" s="105">
        <v>0</v>
      </c>
      <c r="CG122" s="105">
        <v>1</v>
      </c>
      <c r="CH122" s="105"/>
      <c r="CJ122" s="1359"/>
      <c r="CK122" s="1359"/>
      <c r="CL122" s="1360"/>
      <c r="CM122" s="1361" t="s">
        <v>1344</v>
      </c>
      <c r="CN122" s="1363">
        <v>0</v>
      </c>
      <c r="CO122" s="1362"/>
      <c r="CP122" s="1362"/>
      <c r="CQ122" s="1362"/>
      <c r="CR122" s="1362"/>
      <c r="CS122" s="1363">
        <v>0</v>
      </c>
      <c r="CT122" s="1363">
        <v>1</v>
      </c>
      <c r="CU122" s="1363">
        <v>0</v>
      </c>
      <c r="CV122" s="686"/>
      <c r="CW122" s="686"/>
      <c r="CX122" s="687">
        <v>1</v>
      </c>
      <c r="CY122" s="41"/>
      <c r="DA122" s="602"/>
      <c r="DB122" s="602"/>
      <c r="DC122" s="603"/>
      <c r="DD122" s="630" t="s">
        <v>544</v>
      </c>
      <c r="DE122" s="632">
        <v>7</v>
      </c>
      <c r="DF122" s="632">
        <v>2</v>
      </c>
      <c r="DG122" s="632">
        <v>1</v>
      </c>
      <c r="DH122" s="632">
        <v>1</v>
      </c>
      <c r="DI122" s="632">
        <v>1</v>
      </c>
      <c r="DJ122" s="632">
        <v>6</v>
      </c>
      <c r="DK122" s="632">
        <v>14</v>
      </c>
      <c r="DL122" s="632">
        <v>60</v>
      </c>
      <c r="DM122" s="634">
        <v>11</v>
      </c>
      <c r="DN122" s="634">
        <v>10</v>
      </c>
      <c r="DO122" s="634">
        <v>113</v>
      </c>
      <c r="DP122" s="635">
        <f>+(DO118-DM118+DO121)/DO122</f>
        <v>0.19469026548672566</v>
      </c>
      <c r="DR122" s="608"/>
      <c r="DS122" s="608"/>
      <c r="DT122" s="608"/>
      <c r="DU122" s="609" t="s">
        <v>1235</v>
      </c>
      <c r="DV122" s="610"/>
      <c r="DW122" s="610"/>
      <c r="DX122" s="611">
        <v>0</v>
      </c>
      <c r="DY122" s="611">
        <v>0</v>
      </c>
      <c r="DZ122" s="610"/>
      <c r="EA122" s="610"/>
      <c r="EB122" s="610"/>
      <c r="EC122" s="611">
        <v>1</v>
      </c>
      <c r="ED122" s="611">
        <v>2</v>
      </c>
      <c r="EE122" s="613">
        <v>1</v>
      </c>
      <c r="EF122" s="613">
        <v>1</v>
      </c>
      <c r="EG122" s="613">
        <v>5</v>
      </c>
      <c r="EH122" s="614"/>
      <c r="EJ122" s="615"/>
      <c r="EK122" s="615"/>
      <c r="EL122" s="615"/>
      <c r="EM122" s="616" t="s">
        <v>1233</v>
      </c>
      <c r="EN122" s="617"/>
      <c r="EO122" s="617"/>
      <c r="EP122" s="617"/>
      <c r="EQ122" s="618">
        <v>1</v>
      </c>
      <c r="ER122" s="617"/>
      <c r="ES122" s="618">
        <v>0</v>
      </c>
      <c r="ET122" s="618">
        <v>0</v>
      </c>
      <c r="EU122" s="618">
        <v>0</v>
      </c>
      <c r="EV122" s="617"/>
      <c r="EW122" s="617"/>
      <c r="EX122" s="618">
        <v>1</v>
      </c>
      <c r="EY122" s="515"/>
      <c r="FA122" s="70"/>
      <c r="FB122" s="70"/>
      <c r="FC122" s="42" t="s">
        <v>141</v>
      </c>
      <c r="FD122" s="42" t="s">
        <v>1230</v>
      </c>
      <c r="FE122" s="70"/>
      <c r="FF122" s="70"/>
      <c r="FG122" s="70"/>
      <c r="FH122" s="70"/>
      <c r="FI122" s="70"/>
      <c r="FJ122" s="70">
        <v>0</v>
      </c>
      <c r="FK122" s="70">
        <v>0</v>
      </c>
      <c r="FL122" s="70">
        <v>1</v>
      </c>
      <c r="FM122" s="70"/>
      <c r="FN122" s="70">
        <v>0</v>
      </c>
      <c r="FO122" s="70">
        <v>1</v>
      </c>
      <c r="FP122" s="42"/>
      <c r="FQ122" s="42"/>
      <c r="FR122" s="516"/>
      <c r="FS122" s="516"/>
      <c r="FT122" s="516"/>
      <c r="FU122" s="519" t="s">
        <v>15</v>
      </c>
      <c r="FV122" s="519">
        <v>0</v>
      </c>
      <c r="FW122" s="519">
        <v>0</v>
      </c>
      <c r="FX122" s="519">
        <v>0</v>
      </c>
      <c r="FY122" s="519">
        <v>0</v>
      </c>
      <c r="FZ122" s="519">
        <v>0</v>
      </c>
      <c r="GA122" s="519">
        <v>1</v>
      </c>
      <c r="GB122" s="519">
        <v>10</v>
      </c>
      <c r="GC122" s="519">
        <v>6</v>
      </c>
      <c r="GD122" s="519">
        <v>7</v>
      </c>
      <c r="GE122" s="519">
        <v>0</v>
      </c>
      <c r="GF122" s="519">
        <v>0</v>
      </c>
      <c r="GG122" s="579">
        <v>24</v>
      </c>
      <c r="GH122" s="629">
        <f>+(GG121+GG120+GG118)/GG122</f>
        <v>0.125</v>
      </c>
      <c r="GI122" s="518">
        <f>+GG118+GG120+GG121</f>
        <v>3</v>
      </c>
    </row>
    <row r="123" spans="1:191">
      <c r="D123" s="4800" t="s">
        <v>2963</v>
      </c>
      <c r="E123" s="4606">
        <v>1</v>
      </c>
      <c r="F123" s="4606"/>
      <c r="G123" s="4606"/>
      <c r="H123" s="4606"/>
      <c r="I123" s="4606"/>
      <c r="J123" s="4606">
        <v>0</v>
      </c>
      <c r="K123" s="4606">
        <v>0</v>
      </c>
      <c r="L123" s="4606">
        <v>0</v>
      </c>
      <c r="M123" s="4606">
        <v>0</v>
      </c>
      <c r="N123" s="2552">
        <v>0</v>
      </c>
      <c r="O123" s="2552"/>
      <c r="P123" s="2552">
        <v>1</v>
      </c>
      <c r="Q123" s="2552"/>
      <c r="R123" s="2552"/>
      <c r="V123" s="1793" t="s">
        <v>15</v>
      </c>
      <c r="W123" s="4804"/>
      <c r="X123" s="4804">
        <v>1</v>
      </c>
      <c r="Y123" s="4804"/>
      <c r="Z123" s="4804">
        <v>1</v>
      </c>
      <c r="AA123" s="4804"/>
      <c r="AB123" s="4804"/>
      <c r="AC123" s="4804">
        <v>8</v>
      </c>
      <c r="AD123" s="4804"/>
      <c r="AE123" s="4702"/>
      <c r="AF123" s="4702">
        <v>10</v>
      </c>
      <c r="AG123" s="4703">
        <v>0</v>
      </c>
      <c r="AI123" s="41"/>
      <c r="AJ123" s="41"/>
      <c r="AK123" s="41" t="s">
        <v>124</v>
      </c>
      <c r="AL123" s="41" t="s">
        <v>1230</v>
      </c>
      <c r="AM123" s="2001"/>
      <c r="AN123" s="2001"/>
      <c r="AO123" s="2001"/>
      <c r="AP123" s="2001"/>
      <c r="AQ123" s="2001"/>
      <c r="AR123" s="2001">
        <v>0</v>
      </c>
      <c r="AS123" s="2001"/>
      <c r="AT123" s="2001">
        <v>1</v>
      </c>
      <c r="AU123" s="105">
        <v>0</v>
      </c>
      <c r="AV123" s="105">
        <v>0</v>
      </c>
      <c r="AW123" s="105">
        <v>1</v>
      </c>
      <c r="AX123" s="41"/>
      <c r="AZ123" s="42"/>
      <c r="BA123" s="42"/>
      <c r="BB123" s="42"/>
      <c r="BC123" s="42" t="s">
        <v>1239</v>
      </c>
      <c r="BD123" s="1993"/>
      <c r="BE123" s="1993">
        <v>0</v>
      </c>
      <c r="BF123" s="1993">
        <v>0</v>
      </c>
      <c r="BG123" s="1993"/>
      <c r="BH123" s="1993">
        <v>0</v>
      </c>
      <c r="BI123" s="1993"/>
      <c r="BJ123" s="1993"/>
      <c r="BK123" s="1993">
        <v>0</v>
      </c>
      <c r="BL123" s="1993">
        <v>8</v>
      </c>
      <c r="BM123" s="70">
        <v>2</v>
      </c>
      <c r="BN123" s="70">
        <v>0</v>
      </c>
      <c r="BO123" s="70">
        <v>10</v>
      </c>
      <c r="BR123" s="105"/>
      <c r="BS123" s="105"/>
      <c r="BT123" s="41"/>
      <c r="BU123" s="41" t="s">
        <v>1231</v>
      </c>
      <c r="BV123" s="1659"/>
      <c r="BW123" s="1659">
        <v>1</v>
      </c>
      <c r="BX123" s="1659"/>
      <c r="BY123" s="1659"/>
      <c r="BZ123" s="1659"/>
      <c r="CA123" s="1659"/>
      <c r="CB123" s="1659"/>
      <c r="CC123" s="1659">
        <v>1</v>
      </c>
      <c r="CD123" s="1659">
        <v>0</v>
      </c>
      <c r="CE123" s="105">
        <v>0</v>
      </c>
      <c r="CF123" s="105">
        <v>0</v>
      </c>
      <c r="CG123" s="105">
        <v>2</v>
      </c>
      <c r="CH123" s="105"/>
      <c r="CJ123" s="1359"/>
      <c r="CK123" s="1359"/>
      <c r="CL123" s="1360"/>
      <c r="CM123" s="483" t="s">
        <v>15</v>
      </c>
      <c r="CN123" s="1365">
        <v>3</v>
      </c>
      <c r="CO123" s="1364"/>
      <c r="CP123" s="1364"/>
      <c r="CQ123" s="1364"/>
      <c r="CR123" s="1364"/>
      <c r="CS123" s="1365">
        <v>2</v>
      </c>
      <c r="CT123" s="1365">
        <v>4</v>
      </c>
      <c r="CU123" s="1365">
        <v>5</v>
      </c>
      <c r="CV123" s="695"/>
      <c r="CW123" s="695"/>
      <c r="CX123" s="696">
        <v>14</v>
      </c>
      <c r="CY123" s="1325">
        <f>+(CX120+CX122)/CX123</f>
        <v>0.2857142857142857</v>
      </c>
      <c r="DA123" s="602"/>
      <c r="DB123" s="602" t="s">
        <v>16</v>
      </c>
      <c r="DC123" s="603" t="s">
        <v>126</v>
      </c>
      <c r="DD123" s="604" t="s">
        <v>1231</v>
      </c>
      <c r="DE123" s="605"/>
      <c r="DF123" s="606">
        <v>1</v>
      </c>
      <c r="DG123" s="606">
        <v>0</v>
      </c>
      <c r="DH123" s="605"/>
      <c r="DI123" s="605"/>
      <c r="DJ123" s="606">
        <v>1</v>
      </c>
      <c r="DK123" s="606">
        <v>4</v>
      </c>
      <c r="DL123" s="606">
        <v>0</v>
      </c>
      <c r="DM123" s="602"/>
      <c r="DN123" s="602"/>
      <c r="DO123" s="607">
        <v>6</v>
      </c>
      <c r="DP123" s="105"/>
      <c r="DR123" s="608"/>
      <c r="DS123" s="608"/>
      <c r="DT123" s="608"/>
      <c r="DU123" s="609" t="s">
        <v>1236</v>
      </c>
      <c r="DV123" s="610"/>
      <c r="DW123" s="610"/>
      <c r="DX123" s="611">
        <v>1</v>
      </c>
      <c r="DY123" s="611">
        <v>1</v>
      </c>
      <c r="DZ123" s="610"/>
      <c r="EA123" s="610"/>
      <c r="EB123" s="610"/>
      <c r="EC123" s="611">
        <v>0</v>
      </c>
      <c r="ED123" s="611">
        <v>0</v>
      </c>
      <c r="EE123" s="613">
        <v>0</v>
      </c>
      <c r="EF123" s="613">
        <v>0</v>
      </c>
      <c r="EG123" s="613">
        <v>2</v>
      </c>
      <c r="EH123" s="614"/>
      <c r="EJ123" s="615"/>
      <c r="EK123" s="615"/>
      <c r="EL123" s="615"/>
      <c r="EM123" s="616" t="s">
        <v>1239</v>
      </c>
      <c r="EN123" s="617"/>
      <c r="EO123" s="617"/>
      <c r="EP123" s="617"/>
      <c r="EQ123" s="618">
        <v>0</v>
      </c>
      <c r="ER123" s="617"/>
      <c r="ES123" s="618">
        <v>0</v>
      </c>
      <c r="ET123" s="618">
        <v>0</v>
      </c>
      <c r="EU123" s="618">
        <v>6</v>
      </c>
      <c r="EV123" s="617"/>
      <c r="EW123" s="617"/>
      <c r="EX123" s="618">
        <v>6</v>
      </c>
      <c r="EY123" s="515"/>
      <c r="FA123" s="70"/>
      <c r="FB123" s="70"/>
      <c r="FC123" s="42"/>
      <c r="FD123" s="42" t="s">
        <v>1231</v>
      </c>
      <c r="FE123" s="70"/>
      <c r="FF123" s="70"/>
      <c r="FG123" s="70"/>
      <c r="FH123" s="70"/>
      <c r="FI123" s="70"/>
      <c r="FJ123" s="70">
        <v>5</v>
      </c>
      <c r="FK123" s="70">
        <v>0</v>
      </c>
      <c r="FL123" s="70">
        <v>1</v>
      </c>
      <c r="FM123" s="70"/>
      <c r="FN123" s="70">
        <v>0</v>
      </c>
      <c r="FO123" s="70">
        <v>6</v>
      </c>
      <c r="FP123" s="42"/>
      <c r="FQ123" s="42"/>
      <c r="FR123" s="516"/>
      <c r="FS123" s="516"/>
      <c r="FT123" s="516" t="s">
        <v>133</v>
      </c>
      <c r="FU123" s="516" t="s">
        <v>1231</v>
      </c>
      <c r="FV123" s="516">
        <v>0</v>
      </c>
      <c r="FW123" s="516">
        <v>0</v>
      </c>
      <c r="FX123" s="516">
        <v>0</v>
      </c>
      <c r="FY123" s="516">
        <v>1</v>
      </c>
      <c r="FZ123" s="516">
        <v>0</v>
      </c>
      <c r="GA123" s="516">
        <v>0</v>
      </c>
      <c r="GB123" s="516">
        <v>7</v>
      </c>
      <c r="GC123" s="516">
        <v>0</v>
      </c>
      <c r="GD123" s="516">
        <v>0</v>
      </c>
      <c r="GE123" s="516">
        <v>0</v>
      </c>
      <c r="GF123" s="516">
        <v>0</v>
      </c>
      <c r="GG123" s="517">
        <v>8</v>
      </c>
      <c r="GH123" s="619"/>
      <c r="GI123" s="518"/>
    </row>
    <row r="124" spans="1:191">
      <c r="D124" s="4800" t="s">
        <v>1344</v>
      </c>
      <c r="E124" s="4606">
        <v>0</v>
      </c>
      <c r="F124" s="4606"/>
      <c r="G124" s="4606"/>
      <c r="H124" s="4606"/>
      <c r="I124" s="4606"/>
      <c r="J124" s="4606">
        <v>1</v>
      </c>
      <c r="K124" s="4606">
        <v>0</v>
      </c>
      <c r="L124" s="4606">
        <v>2</v>
      </c>
      <c r="M124" s="4606">
        <v>0</v>
      </c>
      <c r="N124" s="2552">
        <v>0</v>
      </c>
      <c r="O124" s="2552"/>
      <c r="P124" s="2552">
        <v>3</v>
      </c>
      <c r="Q124" s="2552"/>
      <c r="R124" s="2552"/>
      <c r="U124" s="37" t="s">
        <v>124</v>
      </c>
      <c r="V124" s="37" t="s">
        <v>1230</v>
      </c>
      <c r="W124" s="4803">
        <v>0</v>
      </c>
      <c r="X124" s="4803"/>
      <c r="Y124" s="4803"/>
      <c r="Z124" s="4803"/>
      <c r="AA124" s="4803">
        <v>0</v>
      </c>
      <c r="AB124" s="4803">
        <v>0</v>
      </c>
      <c r="AC124" s="4803">
        <v>1</v>
      </c>
      <c r="AD124" s="4803">
        <v>1</v>
      </c>
      <c r="AE124" s="1788">
        <v>1</v>
      </c>
      <c r="AF124" s="1788">
        <v>3</v>
      </c>
      <c r="AI124" s="41"/>
      <c r="AJ124" s="41"/>
      <c r="AK124" s="41"/>
      <c r="AL124" s="41" t="s">
        <v>1235</v>
      </c>
      <c r="AM124" s="2001"/>
      <c r="AN124" s="2001"/>
      <c r="AO124" s="2001"/>
      <c r="AP124" s="2001"/>
      <c r="AQ124" s="2001"/>
      <c r="AR124" s="2001">
        <v>0</v>
      </c>
      <c r="AS124" s="2001"/>
      <c r="AT124" s="2001">
        <v>1</v>
      </c>
      <c r="AU124" s="105">
        <v>0</v>
      </c>
      <c r="AV124" s="105">
        <v>0</v>
      </c>
      <c r="AW124" s="105">
        <v>1</v>
      </c>
      <c r="AX124" s="41"/>
      <c r="AZ124" s="42"/>
      <c r="BA124" s="42"/>
      <c r="BB124" s="42"/>
      <c r="BC124" s="484" t="s">
        <v>15</v>
      </c>
      <c r="BD124" s="1994"/>
      <c r="BE124" s="1994">
        <v>2</v>
      </c>
      <c r="BF124" s="1994">
        <v>1</v>
      </c>
      <c r="BG124" s="1994"/>
      <c r="BH124" s="1994">
        <v>1</v>
      </c>
      <c r="BI124" s="1994"/>
      <c r="BJ124" s="1994"/>
      <c r="BK124" s="1994">
        <v>7</v>
      </c>
      <c r="BL124" s="1994">
        <v>10</v>
      </c>
      <c r="BM124" s="454">
        <v>3</v>
      </c>
      <c r="BN124" s="454">
        <v>1</v>
      </c>
      <c r="BO124" s="454">
        <v>25</v>
      </c>
      <c r="BP124" s="2485">
        <f>+BO121/BO124</f>
        <v>0.08</v>
      </c>
      <c r="BR124" s="105"/>
      <c r="BS124" s="105"/>
      <c r="BT124" s="41"/>
      <c r="BU124" s="41" t="s">
        <v>1235</v>
      </c>
      <c r="BV124" s="1659"/>
      <c r="BW124" s="1659">
        <v>0</v>
      </c>
      <c r="BX124" s="1659"/>
      <c r="BY124" s="1659"/>
      <c r="BZ124" s="1659"/>
      <c r="CA124" s="1659"/>
      <c r="CB124" s="1659"/>
      <c r="CC124" s="1659">
        <v>0</v>
      </c>
      <c r="CD124" s="1659">
        <v>0</v>
      </c>
      <c r="CE124" s="105">
        <v>2</v>
      </c>
      <c r="CF124" s="105">
        <v>0</v>
      </c>
      <c r="CG124" s="105">
        <v>2</v>
      </c>
      <c r="CH124" s="105"/>
      <c r="CJ124" s="1359"/>
      <c r="CK124" s="1359"/>
      <c r="CL124" s="1360" t="s">
        <v>124</v>
      </c>
      <c r="CM124" s="1361" t="s">
        <v>1230</v>
      </c>
      <c r="CN124" s="1362"/>
      <c r="CO124" s="1362"/>
      <c r="CP124" s="1363">
        <v>0</v>
      </c>
      <c r="CQ124" s="1363">
        <v>0</v>
      </c>
      <c r="CR124" s="1362"/>
      <c r="CS124" s="1363">
        <v>0</v>
      </c>
      <c r="CT124" s="1363">
        <v>0</v>
      </c>
      <c r="CU124" s="1363">
        <v>1</v>
      </c>
      <c r="CV124" s="687">
        <v>0</v>
      </c>
      <c r="CW124" s="686"/>
      <c r="CX124" s="687">
        <v>1</v>
      </c>
      <c r="CY124" s="41"/>
      <c r="DA124" s="602"/>
      <c r="DB124" s="602"/>
      <c r="DC124" s="603"/>
      <c r="DD124" s="604" t="s">
        <v>1235</v>
      </c>
      <c r="DE124" s="605"/>
      <c r="DF124" s="606">
        <v>0</v>
      </c>
      <c r="DG124" s="606">
        <v>0</v>
      </c>
      <c r="DH124" s="605"/>
      <c r="DI124" s="605"/>
      <c r="DJ124" s="606">
        <v>0</v>
      </c>
      <c r="DK124" s="606">
        <v>30</v>
      </c>
      <c r="DL124" s="606">
        <v>0</v>
      </c>
      <c r="DM124" s="602"/>
      <c r="DN124" s="602"/>
      <c r="DO124" s="607">
        <v>30</v>
      </c>
      <c r="DP124" s="105"/>
      <c r="DR124" s="608"/>
      <c r="DS124" s="608"/>
      <c r="DT124" s="608"/>
      <c r="DU124" s="609" t="s">
        <v>1240</v>
      </c>
      <c r="DV124" s="610"/>
      <c r="DW124" s="610"/>
      <c r="DX124" s="611">
        <v>0</v>
      </c>
      <c r="DY124" s="611">
        <v>0</v>
      </c>
      <c r="DZ124" s="610"/>
      <c r="EA124" s="610"/>
      <c r="EB124" s="610"/>
      <c r="EC124" s="611">
        <v>0</v>
      </c>
      <c r="ED124" s="611">
        <v>2</v>
      </c>
      <c r="EE124" s="613">
        <v>1</v>
      </c>
      <c r="EF124" s="613">
        <v>1</v>
      </c>
      <c r="EG124" s="613">
        <v>4</v>
      </c>
      <c r="EH124" s="614"/>
      <c r="EJ124" s="615"/>
      <c r="EK124" s="615"/>
      <c r="EL124" s="615"/>
      <c r="EM124" s="616" t="s">
        <v>1344</v>
      </c>
      <c r="EN124" s="617"/>
      <c r="EO124" s="617"/>
      <c r="EP124" s="617"/>
      <c r="EQ124" s="618">
        <v>0</v>
      </c>
      <c r="ER124" s="617"/>
      <c r="ES124" s="618">
        <v>0</v>
      </c>
      <c r="ET124" s="618">
        <v>3</v>
      </c>
      <c r="EU124" s="618">
        <v>0</v>
      </c>
      <c r="EV124" s="617"/>
      <c r="EW124" s="617"/>
      <c r="EX124" s="618">
        <v>3</v>
      </c>
      <c r="EY124" s="515"/>
      <c r="FA124" s="70"/>
      <c r="FB124" s="70"/>
      <c r="FC124" s="42"/>
      <c r="FD124" s="42" t="s">
        <v>1235</v>
      </c>
      <c r="FE124" s="70"/>
      <c r="FF124" s="70"/>
      <c r="FG124" s="70"/>
      <c r="FH124" s="70"/>
      <c r="FI124" s="70"/>
      <c r="FJ124" s="70">
        <v>0</v>
      </c>
      <c r="FK124" s="70">
        <v>1</v>
      </c>
      <c r="FL124" s="70">
        <v>0</v>
      </c>
      <c r="FM124" s="70"/>
      <c r="FN124" s="70">
        <v>0</v>
      </c>
      <c r="FO124" s="70">
        <v>1</v>
      </c>
      <c r="FP124" s="42"/>
      <c r="FQ124" s="42"/>
      <c r="FR124" s="516"/>
      <c r="FS124" s="516"/>
      <c r="FT124" s="516"/>
      <c r="FU124" s="516" t="s">
        <v>1235</v>
      </c>
      <c r="FV124" s="516">
        <v>0</v>
      </c>
      <c r="FW124" s="516">
        <v>0</v>
      </c>
      <c r="FX124" s="516">
        <v>0</v>
      </c>
      <c r="FY124" s="516">
        <v>0</v>
      </c>
      <c r="FZ124" s="516">
        <v>0</v>
      </c>
      <c r="GA124" s="516">
        <v>0</v>
      </c>
      <c r="GB124" s="516">
        <v>1</v>
      </c>
      <c r="GC124" s="516">
        <v>0</v>
      </c>
      <c r="GD124" s="516">
        <v>0</v>
      </c>
      <c r="GE124" s="516">
        <v>0</v>
      </c>
      <c r="GF124" s="516">
        <v>0</v>
      </c>
      <c r="GG124" s="517">
        <v>1</v>
      </c>
      <c r="GH124" s="619"/>
      <c r="GI124" s="518"/>
    </row>
    <row r="125" spans="1:191">
      <c r="D125" s="32" t="s">
        <v>15</v>
      </c>
      <c r="E125" s="4607">
        <v>1</v>
      </c>
      <c r="F125" s="4607"/>
      <c r="G125" s="4607"/>
      <c r="H125" s="4607"/>
      <c r="I125" s="4607"/>
      <c r="J125" s="4607">
        <v>2</v>
      </c>
      <c r="K125" s="4607">
        <v>1</v>
      </c>
      <c r="L125" s="4607">
        <v>14</v>
      </c>
      <c r="M125" s="4607">
        <v>5</v>
      </c>
      <c r="N125" s="4583">
        <v>1</v>
      </c>
      <c r="O125" s="4583"/>
      <c r="P125" s="4583">
        <v>24</v>
      </c>
      <c r="Q125" s="1977">
        <f>+(P121+P124)/P125</f>
        <v>0.16666666666666666</v>
      </c>
      <c r="R125" s="1977"/>
      <c r="V125" s="37" t="s">
        <v>1231</v>
      </c>
      <c r="W125" s="4803">
        <v>1</v>
      </c>
      <c r="X125" s="4803"/>
      <c r="Y125" s="4803"/>
      <c r="Z125" s="4803"/>
      <c r="AA125" s="4803">
        <v>1</v>
      </c>
      <c r="AB125" s="4803">
        <v>1</v>
      </c>
      <c r="AC125" s="4803">
        <v>1</v>
      </c>
      <c r="AD125" s="4803">
        <v>0</v>
      </c>
      <c r="AE125" s="1788">
        <v>0</v>
      </c>
      <c r="AF125" s="1788">
        <v>4</v>
      </c>
      <c r="AI125" s="41"/>
      <c r="AJ125" s="41"/>
      <c r="AK125" s="41"/>
      <c r="AL125" s="41" t="s">
        <v>1239</v>
      </c>
      <c r="AM125" s="2001"/>
      <c r="AN125" s="2001"/>
      <c r="AO125" s="2001"/>
      <c r="AP125" s="2001"/>
      <c r="AQ125" s="2001"/>
      <c r="AR125" s="2001">
        <v>0</v>
      </c>
      <c r="AS125" s="2001"/>
      <c r="AT125" s="2001">
        <v>4</v>
      </c>
      <c r="AU125" s="105">
        <v>1</v>
      </c>
      <c r="AV125" s="105">
        <v>2</v>
      </c>
      <c r="AW125" s="105">
        <v>7</v>
      </c>
      <c r="AX125" s="41"/>
      <c r="AZ125" s="42"/>
      <c r="BA125" s="42"/>
      <c r="BB125" s="42" t="s">
        <v>122</v>
      </c>
      <c r="BC125" s="42" t="s">
        <v>1231</v>
      </c>
      <c r="BD125" s="1993"/>
      <c r="BE125" s="1993">
        <v>0</v>
      </c>
      <c r="BF125" s="1993"/>
      <c r="BG125" s="1993"/>
      <c r="BH125" s="1993"/>
      <c r="BI125" s="1993"/>
      <c r="BJ125" s="1993">
        <v>2</v>
      </c>
      <c r="BK125" s="1993">
        <v>0</v>
      </c>
      <c r="BL125" s="1993">
        <v>0</v>
      </c>
      <c r="BM125" s="70"/>
      <c r="BN125" s="70"/>
      <c r="BO125" s="70">
        <v>2</v>
      </c>
      <c r="BR125" s="105"/>
      <c r="BS125" s="105"/>
      <c r="BT125" s="41"/>
      <c r="BU125" s="41" t="s">
        <v>1239</v>
      </c>
      <c r="BV125" s="1659"/>
      <c r="BW125" s="1659">
        <v>0</v>
      </c>
      <c r="BX125" s="1659"/>
      <c r="BY125" s="1659"/>
      <c r="BZ125" s="1659"/>
      <c r="CA125" s="1659"/>
      <c r="CB125" s="1659"/>
      <c r="CC125" s="1659">
        <v>0</v>
      </c>
      <c r="CD125" s="1659">
        <v>0</v>
      </c>
      <c r="CE125" s="105">
        <v>0</v>
      </c>
      <c r="CF125" s="105">
        <v>6</v>
      </c>
      <c r="CG125" s="105">
        <v>6</v>
      </c>
      <c r="CH125" s="105"/>
      <c r="CJ125" s="1359"/>
      <c r="CK125" s="1359"/>
      <c r="CL125" s="1360"/>
      <c r="CM125" s="1361" t="s">
        <v>1231</v>
      </c>
      <c r="CN125" s="1362"/>
      <c r="CO125" s="1362"/>
      <c r="CP125" s="1363">
        <v>0</v>
      </c>
      <c r="CQ125" s="1363">
        <v>0</v>
      </c>
      <c r="CR125" s="1362"/>
      <c r="CS125" s="1363">
        <v>0</v>
      </c>
      <c r="CT125" s="1363">
        <v>0</v>
      </c>
      <c r="CU125" s="1363">
        <v>0</v>
      </c>
      <c r="CV125" s="687">
        <v>1</v>
      </c>
      <c r="CW125" s="686"/>
      <c r="CX125" s="687">
        <v>1</v>
      </c>
      <c r="CY125" s="41"/>
      <c r="DA125" s="602"/>
      <c r="DB125" s="602"/>
      <c r="DC125" s="603"/>
      <c r="DD125" s="604" t="s">
        <v>1236</v>
      </c>
      <c r="DE125" s="605"/>
      <c r="DF125" s="606">
        <v>0</v>
      </c>
      <c r="DG125" s="606">
        <v>1</v>
      </c>
      <c r="DH125" s="605"/>
      <c r="DI125" s="605"/>
      <c r="DJ125" s="606">
        <v>0</v>
      </c>
      <c r="DK125" s="606">
        <v>0</v>
      </c>
      <c r="DL125" s="606">
        <v>0</v>
      </c>
      <c r="DM125" s="602"/>
      <c r="DN125" s="602"/>
      <c r="DO125" s="607">
        <v>1</v>
      </c>
      <c r="DP125" s="105"/>
      <c r="DR125" s="608"/>
      <c r="DS125" s="608"/>
      <c r="DT125" s="608"/>
      <c r="DU125" s="620" t="s">
        <v>15</v>
      </c>
      <c r="DV125" s="621"/>
      <c r="DW125" s="621"/>
      <c r="DX125" s="622">
        <v>2</v>
      </c>
      <c r="DY125" s="622">
        <v>1</v>
      </c>
      <c r="DZ125" s="621"/>
      <c r="EA125" s="621"/>
      <c r="EB125" s="621"/>
      <c r="EC125" s="622">
        <v>2</v>
      </c>
      <c r="ED125" s="622">
        <v>4</v>
      </c>
      <c r="EE125" s="624">
        <v>2</v>
      </c>
      <c r="EF125" s="624">
        <v>3</v>
      </c>
      <c r="EG125" s="624">
        <v>14</v>
      </c>
      <c r="EH125" s="614">
        <f>+(EG124+EG122-EE124-EF124-EE122-EF122)/EG125</f>
        <v>0.35714285714285715</v>
      </c>
      <c r="EJ125" s="615"/>
      <c r="EK125" s="615"/>
      <c r="EL125" s="615"/>
      <c r="EM125" s="625" t="s">
        <v>15</v>
      </c>
      <c r="EN125" s="626"/>
      <c r="EO125" s="626"/>
      <c r="EP125" s="626"/>
      <c r="EQ125" s="627">
        <v>1</v>
      </c>
      <c r="ER125" s="626"/>
      <c r="ES125" s="627">
        <v>4</v>
      </c>
      <c r="ET125" s="627">
        <v>5</v>
      </c>
      <c r="EU125" s="627">
        <v>6</v>
      </c>
      <c r="EV125" s="626"/>
      <c r="EW125" s="626"/>
      <c r="EX125" s="627">
        <v>16</v>
      </c>
      <c r="EY125" s="628">
        <f>+EX124/EX125</f>
        <v>0.1875</v>
      </c>
      <c r="FA125" s="70"/>
      <c r="FB125" s="70"/>
      <c r="FC125" s="42"/>
      <c r="FD125" s="42" t="s">
        <v>1239</v>
      </c>
      <c r="FE125" s="70"/>
      <c r="FF125" s="70"/>
      <c r="FG125" s="70"/>
      <c r="FH125" s="70"/>
      <c r="FI125" s="70"/>
      <c r="FJ125" s="70">
        <v>0</v>
      </c>
      <c r="FK125" s="70">
        <v>0</v>
      </c>
      <c r="FL125" s="70">
        <v>1</v>
      </c>
      <c r="FM125" s="70"/>
      <c r="FN125" s="70">
        <v>2</v>
      </c>
      <c r="FO125" s="70">
        <v>3</v>
      </c>
      <c r="FP125" s="42"/>
      <c r="FQ125" s="42"/>
      <c r="FR125" s="516"/>
      <c r="FS125" s="516"/>
      <c r="FT125" s="516"/>
      <c r="FU125" s="516" t="s">
        <v>1239</v>
      </c>
      <c r="FV125" s="516">
        <v>0</v>
      </c>
      <c r="FW125" s="516">
        <v>0</v>
      </c>
      <c r="FX125" s="516">
        <v>0</v>
      </c>
      <c r="FY125" s="516">
        <v>0</v>
      </c>
      <c r="FZ125" s="516">
        <v>0</v>
      </c>
      <c r="GA125" s="516">
        <v>0</v>
      </c>
      <c r="GB125" s="516">
        <v>0</v>
      </c>
      <c r="GC125" s="516">
        <v>1</v>
      </c>
      <c r="GD125" s="516">
        <v>0</v>
      </c>
      <c r="GE125" s="516">
        <v>0</v>
      </c>
      <c r="GF125" s="516">
        <v>0</v>
      </c>
      <c r="GG125" s="517">
        <v>1</v>
      </c>
      <c r="GH125" s="619"/>
      <c r="GI125" s="518"/>
    </row>
    <row r="126" spans="1:191">
      <c r="C126" s="4800" t="s">
        <v>122</v>
      </c>
      <c r="D126" s="4800" t="s">
        <v>1231</v>
      </c>
      <c r="E126" s="4606">
        <v>0</v>
      </c>
      <c r="F126" s="4606">
        <v>1</v>
      </c>
      <c r="G126" s="4606"/>
      <c r="H126" s="4606"/>
      <c r="I126" s="4606"/>
      <c r="J126" s="4606">
        <v>0</v>
      </c>
      <c r="K126" s="4606">
        <v>0</v>
      </c>
      <c r="L126" s="4606">
        <v>1</v>
      </c>
      <c r="M126" s="4606">
        <v>0</v>
      </c>
      <c r="N126" s="2552">
        <v>1</v>
      </c>
      <c r="O126" s="2552"/>
      <c r="P126" s="2552">
        <v>3</v>
      </c>
      <c r="Q126" s="2552"/>
      <c r="R126" s="2552"/>
      <c r="V126" s="37" t="s">
        <v>1239</v>
      </c>
      <c r="W126" s="4803">
        <v>0</v>
      </c>
      <c r="X126" s="4803"/>
      <c r="Y126" s="4803"/>
      <c r="Z126" s="4803"/>
      <c r="AA126" s="4803">
        <v>0</v>
      </c>
      <c r="AB126" s="4803">
        <v>0</v>
      </c>
      <c r="AC126" s="4803">
        <v>3</v>
      </c>
      <c r="AD126" s="4803">
        <v>1</v>
      </c>
      <c r="AE126" s="1788">
        <v>0</v>
      </c>
      <c r="AF126" s="1788">
        <v>4</v>
      </c>
      <c r="AI126" s="41"/>
      <c r="AJ126" s="41"/>
      <c r="AK126" s="41"/>
      <c r="AL126" s="41" t="s">
        <v>1344</v>
      </c>
      <c r="AM126" s="2001"/>
      <c r="AN126" s="2001"/>
      <c r="AO126" s="2001"/>
      <c r="AP126" s="2001"/>
      <c r="AQ126" s="2001"/>
      <c r="AR126" s="2001">
        <v>2</v>
      </c>
      <c r="AS126" s="2001"/>
      <c r="AT126" s="2001">
        <v>0</v>
      </c>
      <c r="AU126" s="105">
        <v>0</v>
      </c>
      <c r="AV126" s="105">
        <v>0</v>
      </c>
      <c r="AW126" s="105">
        <v>2</v>
      </c>
      <c r="AX126" s="41"/>
      <c r="AZ126" s="42"/>
      <c r="BA126" s="42"/>
      <c r="BB126" s="42"/>
      <c r="BC126" s="42" t="s">
        <v>1233</v>
      </c>
      <c r="BD126" s="1993"/>
      <c r="BE126" s="1993">
        <v>1</v>
      </c>
      <c r="BF126" s="1993"/>
      <c r="BG126" s="1993"/>
      <c r="BH126" s="1993"/>
      <c r="BI126" s="1993"/>
      <c r="BJ126" s="1993">
        <v>0</v>
      </c>
      <c r="BK126" s="1993">
        <v>0</v>
      </c>
      <c r="BL126" s="1993">
        <v>0</v>
      </c>
      <c r="BM126" s="70"/>
      <c r="BN126" s="70"/>
      <c r="BO126" s="70">
        <v>1</v>
      </c>
      <c r="BR126" s="105"/>
      <c r="BS126" s="105"/>
      <c r="BT126" s="41"/>
      <c r="BU126" s="41" t="s">
        <v>1344</v>
      </c>
      <c r="BV126" s="1659"/>
      <c r="BW126" s="1659">
        <v>0</v>
      </c>
      <c r="BX126" s="1659"/>
      <c r="BY126" s="1659"/>
      <c r="BZ126" s="1659"/>
      <c r="CA126" s="1659"/>
      <c r="CB126" s="1659"/>
      <c r="CC126" s="1659">
        <v>1</v>
      </c>
      <c r="CD126" s="1659">
        <v>1</v>
      </c>
      <c r="CE126" s="105">
        <v>0</v>
      </c>
      <c r="CF126" s="105">
        <v>0</v>
      </c>
      <c r="CG126" s="105">
        <v>2</v>
      </c>
      <c r="CH126" s="105"/>
      <c r="CJ126" s="1359"/>
      <c r="CK126" s="1359"/>
      <c r="CL126" s="1360"/>
      <c r="CM126" s="1361" t="s">
        <v>1235</v>
      </c>
      <c r="CN126" s="1362"/>
      <c r="CO126" s="1362"/>
      <c r="CP126" s="1363">
        <v>0</v>
      </c>
      <c r="CQ126" s="1363">
        <v>0</v>
      </c>
      <c r="CR126" s="1362"/>
      <c r="CS126" s="1363">
        <v>0</v>
      </c>
      <c r="CT126" s="1363">
        <v>1</v>
      </c>
      <c r="CU126" s="1363">
        <v>0</v>
      </c>
      <c r="CV126" s="687">
        <v>0</v>
      </c>
      <c r="CW126" s="686"/>
      <c r="CX126" s="687">
        <v>1</v>
      </c>
      <c r="CY126" s="41"/>
      <c r="DA126" s="602"/>
      <c r="DB126" s="602"/>
      <c r="DC126" s="603"/>
      <c r="DD126" s="604" t="s">
        <v>1239</v>
      </c>
      <c r="DE126" s="605"/>
      <c r="DF126" s="606">
        <v>0</v>
      </c>
      <c r="DG126" s="606">
        <v>0</v>
      </c>
      <c r="DH126" s="605"/>
      <c r="DI126" s="605"/>
      <c r="DJ126" s="606">
        <v>0</v>
      </c>
      <c r="DK126" s="606">
        <v>1</v>
      </c>
      <c r="DL126" s="606">
        <v>21</v>
      </c>
      <c r="DM126" s="602"/>
      <c r="DN126" s="602"/>
      <c r="DO126" s="607">
        <v>22</v>
      </c>
      <c r="DP126" s="105"/>
      <c r="DR126" s="608"/>
      <c r="DS126" s="608"/>
      <c r="DT126" s="620" t="s">
        <v>545</v>
      </c>
      <c r="DU126" s="609" t="s">
        <v>1230</v>
      </c>
      <c r="DV126" s="610"/>
      <c r="DW126" s="610"/>
      <c r="DX126" s="611">
        <v>0</v>
      </c>
      <c r="DY126" s="611">
        <v>0</v>
      </c>
      <c r="DZ126" s="610"/>
      <c r="EA126" s="610"/>
      <c r="EB126" s="610"/>
      <c r="EC126" s="611">
        <v>0</v>
      </c>
      <c r="ED126" s="611">
        <v>2</v>
      </c>
      <c r="EE126" s="613">
        <v>0</v>
      </c>
      <c r="EF126" s="613">
        <v>1</v>
      </c>
      <c r="EG126" s="613">
        <v>3</v>
      </c>
      <c r="EH126" s="614"/>
      <c r="EJ126" s="615"/>
      <c r="EK126" s="615"/>
      <c r="EL126" s="615" t="s">
        <v>136</v>
      </c>
      <c r="EM126" s="616" t="s">
        <v>1231</v>
      </c>
      <c r="EN126" s="617"/>
      <c r="EO126" s="617"/>
      <c r="EP126" s="617"/>
      <c r="EQ126" s="617"/>
      <c r="ER126" s="617"/>
      <c r="ES126" s="618">
        <v>11</v>
      </c>
      <c r="ET126" s="618">
        <v>1</v>
      </c>
      <c r="EU126" s="618">
        <v>0</v>
      </c>
      <c r="EV126" s="617"/>
      <c r="EW126" s="617"/>
      <c r="EX126" s="618">
        <v>12</v>
      </c>
      <c r="EY126" s="515"/>
      <c r="FA126" s="70"/>
      <c r="FB126" s="70"/>
      <c r="FC126" s="42"/>
      <c r="FD126" s="42" t="s">
        <v>1240</v>
      </c>
      <c r="FE126" s="70"/>
      <c r="FF126" s="70"/>
      <c r="FG126" s="70"/>
      <c r="FH126" s="70"/>
      <c r="FI126" s="70"/>
      <c r="FJ126" s="70">
        <v>3</v>
      </c>
      <c r="FK126" s="70">
        <v>0</v>
      </c>
      <c r="FL126" s="70">
        <v>0</v>
      </c>
      <c r="FM126" s="70"/>
      <c r="FN126" s="70">
        <v>0</v>
      </c>
      <c r="FO126" s="70">
        <v>3</v>
      </c>
      <c r="FP126" s="42"/>
      <c r="FQ126" s="42"/>
      <c r="FR126" s="516"/>
      <c r="FS126" s="516"/>
      <c r="FT126" s="516"/>
      <c r="FU126" s="516" t="s">
        <v>1240</v>
      </c>
      <c r="FV126" s="516">
        <v>0</v>
      </c>
      <c r="FW126" s="516">
        <v>0</v>
      </c>
      <c r="FX126" s="516">
        <v>0</v>
      </c>
      <c r="FY126" s="516">
        <v>0</v>
      </c>
      <c r="FZ126" s="516">
        <v>0</v>
      </c>
      <c r="GA126" s="516">
        <v>0</v>
      </c>
      <c r="GB126" s="516">
        <v>6</v>
      </c>
      <c r="GC126" s="516">
        <v>3</v>
      </c>
      <c r="GD126" s="516">
        <v>0</v>
      </c>
      <c r="GE126" s="516">
        <v>0</v>
      </c>
      <c r="GF126" s="516">
        <v>0</v>
      </c>
      <c r="GG126" s="517">
        <v>9</v>
      </c>
      <c r="GH126" s="619"/>
      <c r="GI126" s="518"/>
    </row>
    <row r="127" spans="1:191">
      <c r="D127" s="4800" t="s">
        <v>1239</v>
      </c>
      <c r="E127" s="4606">
        <v>0</v>
      </c>
      <c r="F127" s="4606">
        <v>0</v>
      </c>
      <c r="G127" s="4606"/>
      <c r="H127" s="4606"/>
      <c r="I127" s="4606"/>
      <c r="J127" s="4606">
        <v>0</v>
      </c>
      <c r="K127" s="4606">
        <v>0</v>
      </c>
      <c r="L127" s="4606">
        <v>4</v>
      </c>
      <c r="M127" s="4606">
        <v>0</v>
      </c>
      <c r="N127" s="2552">
        <v>0</v>
      </c>
      <c r="O127" s="2552"/>
      <c r="P127" s="2552">
        <v>4</v>
      </c>
      <c r="Q127" s="2552"/>
      <c r="R127" s="2552"/>
      <c r="V127" s="37" t="s">
        <v>1344</v>
      </c>
      <c r="W127" s="4803">
        <v>0</v>
      </c>
      <c r="X127" s="4803"/>
      <c r="Y127" s="4803"/>
      <c r="Z127" s="4803"/>
      <c r="AA127" s="4803">
        <v>0</v>
      </c>
      <c r="AB127" s="4803">
        <v>1</v>
      </c>
      <c r="AC127" s="4803">
        <v>0</v>
      </c>
      <c r="AD127" s="4803">
        <v>0</v>
      </c>
      <c r="AE127" s="1788">
        <v>0</v>
      </c>
      <c r="AF127" s="1788">
        <v>1</v>
      </c>
      <c r="AI127" s="41"/>
      <c r="AJ127" s="41"/>
      <c r="AK127" s="41"/>
      <c r="AL127" s="461" t="s">
        <v>15</v>
      </c>
      <c r="AM127" s="2002"/>
      <c r="AN127" s="2002"/>
      <c r="AO127" s="2002"/>
      <c r="AP127" s="2002"/>
      <c r="AQ127" s="2002"/>
      <c r="AR127" s="2002">
        <v>2</v>
      </c>
      <c r="AS127" s="2002"/>
      <c r="AT127" s="2002">
        <v>6</v>
      </c>
      <c r="AU127" s="2480">
        <v>1</v>
      </c>
      <c r="AV127" s="2480">
        <v>2</v>
      </c>
      <c r="AW127" s="2480">
        <v>11</v>
      </c>
      <c r="AX127" s="635">
        <f>+(AW126+AW124)/AW127</f>
        <v>0.27272727272727271</v>
      </c>
      <c r="AY127" s="1977"/>
      <c r="AZ127" s="42"/>
      <c r="BA127" s="42"/>
      <c r="BB127" s="42"/>
      <c r="BC127" s="42" t="s">
        <v>1235</v>
      </c>
      <c r="BD127" s="1993"/>
      <c r="BE127" s="1993">
        <v>0</v>
      </c>
      <c r="BF127" s="1993"/>
      <c r="BG127" s="1993"/>
      <c r="BH127" s="1993"/>
      <c r="BI127" s="1993"/>
      <c r="BJ127" s="1993">
        <v>2</v>
      </c>
      <c r="BK127" s="1993">
        <v>0</v>
      </c>
      <c r="BL127" s="1993">
        <v>1</v>
      </c>
      <c r="BM127" s="70"/>
      <c r="BN127" s="70"/>
      <c r="BO127" s="70">
        <v>3</v>
      </c>
      <c r="BR127" s="105"/>
      <c r="BS127" s="105"/>
      <c r="BT127" s="41"/>
      <c r="BU127" s="461" t="s">
        <v>15</v>
      </c>
      <c r="BV127" s="1660"/>
      <c r="BW127" s="1660">
        <v>1</v>
      </c>
      <c r="BX127" s="1660"/>
      <c r="BY127" s="1660"/>
      <c r="BZ127" s="1660"/>
      <c r="CA127" s="1660"/>
      <c r="CB127" s="1660"/>
      <c r="CC127" s="1660">
        <v>2</v>
      </c>
      <c r="CD127" s="1660">
        <v>2</v>
      </c>
      <c r="CE127" s="96">
        <v>2</v>
      </c>
      <c r="CF127" s="96">
        <v>6</v>
      </c>
      <c r="CG127" s="96">
        <v>13</v>
      </c>
      <c r="CH127" s="635">
        <f>+(CG124+CG126-CE124)/CG127</f>
        <v>0.15384615384615385</v>
      </c>
      <c r="CJ127" s="1359"/>
      <c r="CK127" s="1359"/>
      <c r="CL127" s="1360"/>
      <c r="CM127" s="1361" t="s">
        <v>1236</v>
      </c>
      <c r="CN127" s="1362"/>
      <c r="CO127" s="1362"/>
      <c r="CP127" s="1363">
        <v>1</v>
      </c>
      <c r="CQ127" s="1363">
        <v>1</v>
      </c>
      <c r="CR127" s="1362"/>
      <c r="CS127" s="1363">
        <v>0</v>
      </c>
      <c r="CT127" s="1363">
        <v>0</v>
      </c>
      <c r="CU127" s="1363">
        <v>0</v>
      </c>
      <c r="CV127" s="687">
        <v>0</v>
      </c>
      <c r="CW127" s="686"/>
      <c r="CX127" s="687">
        <v>2</v>
      </c>
      <c r="CY127" s="41"/>
      <c r="DA127" s="602"/>
      <c r="DB127" s="602"/>
      <c r="DC127" s="603"/>
      <c r="DD127" s="604" t="s">
        <v>1344</v>
      </c>
      <c r="DE127" s="605"/>
      <c r="DF127" s="606">
        <v>0</v>
      </c>
      <c r="DG127" s="606">
        <v>0</v>
      </c>
      <c r="DH127" s="605"/>
      <c r="DI127" s="605"/>
      <c r="DJ127" s="606">
        <v>2</v>
      </c>
      <c r="DK127" s="606">
        <v>3</v>
      </c>
      <c r="DL127" s="606">
        <v>0</v>
      </c>
      <c r="DM127" s="602"/>
      <c r="DN127" s="602"/>
      <c r="DO127" s="607">
        <v>5</v>
      </c>
      <c r="DP127" s="105"/>
      <c r="DR127" s="608"/>
      <c r="DS127" s="608"/>
      <c r="DT127" s="608"/>
      <c r="DU127" s="609" t="s">
        <v>1231</v>
      </c>
      <c r="DV127" s="610"/>
      <c r="DW127" s="610"/>
      <c r="DX127" s="611">
        <v>1</v>
      </c>
      <c r="DY127" s="611">
        <v>0</v>
      </c>
      <c r="DZ127" s="610"/>
      <c r="EA127" s="610"/>
      <c r="EB127" s="610"/>
      <c r="EC127" s="611">
        <v>1</v>
      </c>
      <c r="ED127" s="611">
        <v>0</v>
      </c>
      <c r="EE127" s="613">
        <v>0</v>
      </c>
      <c r="EF127" s="613">
        <v>0</v>
      </c>
      <c r="EG127" s="613">
        <v>2</v>
      </c>
      <c r="EH127" s="614"/>
      <c r="EJ127" s="615"/>
      <c r="EK127" s="615"/>
      <c r="EL127" s="615"/>
      <c r="EM127" s="616" t="s">
        <v>1235</v>
      </c>
      <c r="EN127" s="617"/>
      <c r="EO127" s="617"/>
      <c r="EP127" s="617"/>
      <c r="EQ127" s="617"/>
      <c r="ER127" s="617"/>
      <c r="ES127" s="618">
        <v>3</v>
      </c>
      <c r="ET127" s="618">
        <v>0</v>
      </c>
      <c r="EU127" s="618">
        <v>0</v>
      </c>
      <c r="EV127" s="617"/>
      <c r="EW127" s="617"/>
      <c r="EX127" s="618">
        <v>3</v>
      </c>
      <c r="EY127" s="515"/>
      <c r="FA127" s="70"/>
      <c r="FB127" s="70"/>
      <c r="FC127" s="42"/>
      <c r="FD127" s="42" t="s">
        <v>1344</v>
      </c>
      <c r="FE127" s="70"/>
      <c r="FF127" s="70"/>
      <c r="FG127" s="70"/>
      <c r="FH127" s="70"/>
      <c r="FI127" s="70"/>
      <c r="FJ127" s="70">
        <v>4</v>
      </c>
      <c r="FK127" s="70">
        <v>0</v>
      </c>
      <c r="FL127" s="70">
        <v>0</v>
      </c>
      <c r="FM127" s="70"/>
      <c r="FN127" s="70">
        <v>0</v>
      </c>
      <c r="FO127" s="70">
        <v>4</v>
      </c>
      <c r="FP127" s="42"/>
      <c r="FQ127" s="42"/>
      <c r="FR127" s="516"/>
      <c r="FS127" s="516"/>
      <c r="FT127" s="516"/>
      <c r="FU127" s="516" t="s">
        <v>1344</v>
      </c>
      <c r="FV127" s="516">
        <v>0</v>
      </c>
      <c r="FW127" s="516">
        <v>0</v>
      </c>
      <c r="FX127" s="516">
        <v>0</v>
      </c>
      <c r="FY127" s="516">
        <v>0</v>
      </c>
      <c r="FZ127" s="516">
        <v>0</v>
      </c>
      <c r="GA127" s="516">
        <v>0</v>
      </c>
      <c r="GB127" s="516">
        <v>2</v>
      </c>
      <c r="GC127" s="516">
        <v>1</v>
      </c>
      <c r="GD127" s="516">
        <v>0</v>
      </c>
      <c r="GE127" s="516">
        <v>0</v>
      </c>
      <c r="GF127" s="516">
        <v>0</v>
      </c>
      <c r="GG127" s="517">
        <v>3</v>
      </c>
      <c r="GH127" s="619"/>
      <c r="GI127" s="518"/>
    </row>
    <row r="128" spans="1:191">
      <c r="D128" s="4800" t="s">
        <v>2963</v>
      </c>
      <c r="E128" s="4606">
        <v>3</v>
      </c>
      <c r="F128" s="4606">
        <v>0</v>
      </c>
      <c r="G128" s="4606"/>
      <c r="H128" s="4606"/>
      <c r="I128" s="4606"/>
      <c r="J128" s="4606">
        <v>0</v>
      </c>
      <c r="K128" s="4606">
        <v>0</v>
      </c>
      <c r="L128" s="4606">
        <v>0</v>
      </c>
      <c r="M128" s="4606">
        <v>0</v>
      </c>
      <c r="N128" s="2552">
        <v>0</v>
      </c>
      <c r="O128" s="2552"/>
      <c r="P128" s="2552">
        <v>3</v>
      </c>
      <c r="Q128" s="2552"/>
      <c r="R128" s="2552"/>
      <c r="V128" s="1793" t="s">
        <v>15</v>
      </c>
      <c r="W128" s="4804">
        <v>1</v>
      </c>
      <c r="X128" s="4804"/>
      <c r="Y128" s="4804"/>
      <c r="Z128" s="4804"/>
      <c r="AA128" s="4804">
        <v>1</v>
      </c>
      <c r="AB128" s="4804">
        <v>2</v>
      </c>
      <c r="AC128" s="4804">
        <v>5</v>
      </c>
      <c r="AD128" s="4804">
        <v>2</v>
      </c>
      <c r="AE128" s="4702">
        <v>1</v>
      </c>
      <c r="AF128" s="4702">
        <v>12</v>
      </c>
      <c r="AG128" s="4703">
        <f>+AF127/AF128</f>
        <v>8.3333333333333329E-2</v>
      </c>
      <c r="AI128" s="41"/>
      <c r="AJ128" s="41"/>
      <c r="AK128" s="41" t="s">
        <v>417</v>
      </c>
      <c r="AL128" s="41" t="s">
        <v>1231</v>
      </c>
      <c r="AM128" s="2001"/>
      <c r="AN128" s="2001"/>
      <c r="AO128" s="2001"/>
      <c r="AP128" s="2001"/>
      <c r="AQ128" s="2001"/>
      <c r="AR128" s="2001"/>
      <c r="AS128" s="2001">
        <v>1</v>
      </c>
      <c r="AT128" s="2001">
        <v>0</v>
      </c>
      <c r="AU128" s="105">
        <v>0</v>
      </c>
      <c r="AV128" s="105">
        <v>0</v>
      </c>
      <c r="AW128" s="105">
        <v>1</v>
      </c>
      <c r="AX128" s="41"/>
      <c r="AZ128" s="42"/>
      <c r="BA128" s="42"/>
      <c r="BB128" s="42"/>
      <c r="BC128" s="42" t="s">
        <v>1239</v>
      </c>
      <c r="BD128" s="1993"/>
      <c r="BE128" s="1993">
        <v>0</v>
      </c>
      <c r="BF128" s="1993"/>
      <c r="BG128" s="1993"/>
      <c r="BH128" s="1993"/>
      <c r="BI128" s="1993"/>
      <c r="BJ128" s="1993">
        <v>0</v>
      </c>
      <c r="BK128" s="1993">
        <v>0</v>
      </c>
      <c r="BL128" s="1993">
        <v>1</v>
      </c>
      <c r="BM128" s="70"/>
      <c r="BN128" s="70"/>
      <c r="BO128" s="70">
        <v>1</v>
      </c>
      <c r="BR128" s="105"/>
      <c r="BS128" s="105"/>
      <c r="BT128" s="41" t="s">
        <v>544</v>
      </c>
      <c r="BU128" s="41" t="s">
        <v>1230</v>
      </c>
      <c r="BV128" s="1659"/>
      <c r="BW128" s="1659">
        <v>0</v>
      </c>
      <c r="BX128" s="1659">
        <v>0</v>
      </c>
      <c r="BY128" s="1659">
        <v>0</v>
      </c>
      <c r="BZ128" s="1659">
        <v>0</v>
      </c>
      <c r="CA128" s="1659">
        <v>0</v>
      </c>
      <c r="CB128" s="1659">
        <v>0</v>
      </c>
      <c r="CC128" s="1659">
        <v>1</v>
      </c>
      <c r="CD128" s="1659">
        <v>10</v>
      </c>
      <c r="CE128" s="105">
        <v>4</v>
      </c>
      <c r="CF128" s="105">
        <v>2</v>
      </c>
      <c r="CG128" s="105">
        <v>17</v>
      </c>
      <c r="CH128" s="105"/>
      <c r="CJ128" s="1359"/>
      <c r="CK128" s="1359"/>
      <c r="CL128" s="1360"/>
      <c r="CM128" s="1361" t="s">
        <v>1239</v>
      </c>
      <c r="CN128" s="1362"/>
      <c r="CO128" s="1362"/>
      <c r="CP128" s="1363">
        <v>0</v>
      </c>
      <c r="CQ128" s="1363">
        <v>0</v>
      </c>
      <c r="CR128" s="1362"/>
      <c r="CS128" s="1363">
        <v>0</v>
      </c>
      <c r="CT128" s="1363">
        <v>0</v>
      </c>
      <c r="CU128" s="1363">
        <v>2</v>
      </c>
      <c r="CV128" s="687">
        <v>1</v>
      </c>
      <c r="CW128" s="686"/>
      <c r="CX128" s="687">
        <v>3</v>
      </c>
      <c r="CY128" s="41"/>
      <c r="DA128" s="602"/>
      <c r="DB128" s="602"/>
      <c r="DC128" s="603"/>
      <c r="DD128" s="630" t="s">
        <v>15</v>
      </c>
      <c r="DE128" s="631"/>
      <c r="DF128" s="632">
        <v>1</v>
      </c>
      <c r="DG128" s="632">
        <v>1</v>
      </c>
      <c r="DH128" s="631"/>
      <c r="DI128" s="631"/>
      <c r="DJ128" s="632">
        <v>3</v>
      </c>
      <c r="DK128" s="632">
        <v>38</v>
      </c>
      <c r="DL128" s="632">
        <v>21</v>
      </c>
      <c r="DM128" s="633"/>
      <c r="DN128" s="633"/>
      <c r="DO128" s="634">
        <v>64</v>
      </c>
      <c r="DP128" s="635">
        <f>+(DO124+DO127)/DO128</f>
        <v>0.546875</v>
      </c>
      <c r="DR128" s="608"/>
      <c r="DS128" s="608"/>
      <c r="DT128" s="608"/>
      <c r="DU128" s="609" t="s">
        <v>1235</v>
      </c>
      <c r="DV128" s="610"/>
      <c r="DW128" s="610"/>
      <c r="DX128" s="611">
        <v>0</v>
      </c>
      <c r="DY128" s="611">
        <v>0</v>
      </c>
      <c r="DZ128" s="610"/>
      <c r="EA128" s="610"/>
      <c r="EB128" s="610"/>
      <c r="EC128" s="611">
        <v>2</v>
      </c>
      <c r="ED128" s="611">
        <v>4</v>
      </c>
      <c r="EE128" s="613">
        <v>1</v>
      </c>
      <c r="EF128" s="613">
        <v>1</v>
      </c>
      <c r="EG128" s="613">
        <v>8</v>
      </c>
      <c r="EH128" s="614"/>
      <c r="EJ128" s="615"/>
      <c r="EK128" s="615"/>
      <c r="EL128" s="615"/>
      <c r="EM128" s="616" t="s">
        <v>1239</v>
      </c>
      <c r="EN128" s="617"/>
      <c r="EO128" s="617"/>
      <c r="EP128" s="617"/>
      <c r="EQ128" s="617"/>
      <c r="ER128" s="617"/>
      <c r="ES128" s="618">
        <v>0</v>
      </c>
      <c r="ET128" s="618">
        <v>0</v>
      </c>
      <c r="EU128" s="618">
        <v>2</v>
      </c>
      <c r="EV128" s="617"/>
      <c r="EW128" s="617"/>
      <c r="EX128" s="618">
        <v>2</v>
      </c>
      <c r="EY128" s="515"/>
      <c r="FA128" s="70"/>
      <c r="FB128" s="70"/>
      <c r="FC128" s="42"/>
      <c r="FD128" s="484" t="s">
        <v>15</v>
      </c>
      <c r="FE128" s="454"/>
      <c r="FF128" s="454"/>
      <c r="FG128" s="454"/>
      <c r="FH128" s="454"/>
      <c r="FI128" s="454"/>
      <c r="FJ128" s="454">
        <v>12</v>
      </c>
      <c r="FK128" s="454">
        <v>1</v>
      </c>
      <c r="FL128" s="454">
        <v>3</v>
      </c>
      <c r="FM128" s="454"/>
      <c r="FN128" s="454">
        <v>2</v>
      </c>
      <c r="FO128" s="454">
        <v>18</v>
      </c>
      <c r="FP128" s="536">
        <f>+(FO124+FO126+FO127)/FO128</f>
        <v>0.44444444444444442</v>
      </c>
      <c r="FQ128" s="42"/>
      <c r="FR128" s="516"/>
      <c r="FS128" s="516"/>
      <c r="FT128" s="516"/>
      <c r="FU128" s="519" t="s">
        <v>15</v>
      </c>
      <c r="FV128" s="519">
        <v>0</v>
      </c>
      <c r="FW128" s="519">
        <v>0</v>
      </c>
      <c r="FX128" s="519">
        <v>0</v>
      </c>
      <c r="FY128" s="519">
        <v>1</v>
      </c>
      <c r="FZ128" s="519">
        <v>0</v>
      </c>
      <c r="GA128" s="519">
        <v>0</v>
      </c>
      <c r="GB128" s="519">
        <v>16</v>
      </c>
      <c r="GC128" s="519">
        <v>5</v>
      </c>
      <c r="GD128" s="519">
        <v>0</v>
      </c>
      <c r="GE128" s="519">
        <v>0</v>
      </c>
      <c r="GF128" s="519">
        <v>0</v>
      </c>
      <c r="GG128" s="579">
        <v>22</v>
      </c>
      <c r="GH128" s="629">
        <f>+(GG127+GG126+GG124)/GG128</f>
        <v>0.59090909090909094</v>
      </c>
      <c r="GI128" s="518">
        <f>+GG124+GG126+GG127</f>
        <v>13</v>
      </c>
    </row>
    <row r="129" spans="3:191">
      <c r="D129" s="4800" t="s">
        <v>1344</v>
      </c>
      <c r="E129" s="4606">
        <v>0</v>
      </c>
      <c r="F129" s="4606">
        <v>0</v>
      </c>
      <c r="G129" s="4606"/>
      <c r="H129" s="4606"/>
      <c r="I129" s="4606"/>
      <c r="J129" s="4606">
        <v>1</v>
      </c>
      <c r="K129" s="4606">
        <v>4</v>
      </c>
      <c r="L129" s="4606">
        <v>0</v>
      </c>
      <c r="M129" s="4606">
        <v>2</v>
      </c>
      <c r="N129" s="2552">
        <v>0</v>
      </c>
      <c r="O129" s="2552"/>
      <c r="P129" s="2552">
        <v>7</v>
      </c>
      <c r="Q129" s="2552"/>
      <c r="R129" s="2552"/>
      <c r="U129" s="37" t="s">
        <v>417</v>
      </c>
      <c r="V129" s="37" t="s">
        <v>1230</v>
      </c>
      <c r="W129" s="4803">
        <v>0</v>
      </c>
      <c r="X129" s="4803"/>
      <c r="Y129" s="4803"/>
      <c r="Z129" s="4803">
        <v>1</v>
      </c>
      <c r="AA129" s="4803"/>
      <c r="AB129" s="4803">
        <v>0</v>
      </c>
      <c r="AC129" s="4803">
        <v>2</v>
      </c>
      <c r="AD129" s="4803"/>
      <c r="AE129" s="1788"/>
      <c r="AF129" s="1788">
        <v>3</v>
      </c>
      <c r="AI129" s="41"/>
      <c r="AJ129" s="41"/>
      <c r="AK129" s="41"/>
      <c r="AL129" s="41" t="s">
        <v>1235</v>
      </c>
      <c r="AM129" s="2001"/>
      <c r="AN129" s="2001"/>
      <c r="AO129" s="2001"/>
      <c r="AP129" s="2001"/>
      <c r="AQ129" s="2001"/>
      <c r="AR129" s="2001"/>
      <c r="AS129" s="2001">
        <v>2</v>
      </c>
      <c r="AT129" s="2001">
        <v>0</v>
      </c>
      <c r="AU129" s="105">
        <v>0</v>
      </c>
      <c r="AV129" s="105">
        <v>0</v>
      </c>
      <c r="AW129" s="105">
        <v>2</v>
      </c>
      <c r="AX129" s="41"/>
      <c r="AZ129" s="42"/>
      <c r="BA129" s="42"/>
      <c r="BB129" s="42"/>
      <c r="BC129" s="42" t="s">
        <v>1344</v>
      </c>
      <c r="BD129" s="1993"/>
      <c r="BE129" s="1993">
        <v>0</v>
      </c>
      <c r="BF129" s="1993"/>
      <c r="BG129" s="1993"/>
      <c r="BH129" s="1993"/>
      <c r="BI129" s="1993"/>
      <c r="BJ129" s="1993">
        <v>2</v>
      </c>
      <c r="BK129" s="1993">
        <v>1</v>
      </c>
      <c r="BL129" s="1993">
        <v>0</v>
      </c>
      <c r="BM129" s="70"/>
      <c r="BN129" s="70"/>
      <c r="BO129" s="70">
        <v>3</v>
      </c>
      <c r="BR129" s="105"/>
      <c r="BS129" s="105"/>
      <c r="BT129" s="41"/>
      <c r="BU129" s="41" t="s">
        <v>1231</v>
      </c>
      <c r="BV129" s="1659"/>
      <c r="BW129" s="1659">
        <v>4</v>
      </c>
      <c r="BX129" s="1659">
        <v>1</v>
      </c>
      <c r="BY129" s="1659">
        <v>1</v>
      </c>
      <c r="BZ129" s="1659">
        <v>0</v>
      </c>
      <c r="CA129" s="1659">
        <v>0</v>
      </c>
      <c r="CB129" s="1659">
        <v>3</v>
      </c>
      <c r="CC129" s="1659">
        <v>11</v>
      </c>
      <c r="CD129" s="1659">
        <v>1</v>
      </c>
      <c r="CE129" s="105">
        <v>0</v>
      </c>
      <c r="CF129" s="105">
        <v>0</v>
      </c>
      <c r="CG129" s="105">
        <v>21</v>
      </c>
      <c r="CH129" s="105"/>
      <c r="CJ129" s="1359"/>
      <c r="CK129" s="1359"/>
      <c r="CL129" s="1360"/>
      <c r="CM129" s="1361" t="s">
        <v>1344</v>
      </c>
      <c r="CN129" s="1362"/>
      <c r="CO129" s="1362"/>
      <c r="CP129" s="1363">
        <v>0</v>
      </c>
      <c r="CQ129" s="1363">
        <v>0</v>
      </c>
      <c r="CR129" s="1362"/>
      <c r="CS129" s="1363">
        <v>2</v>
      </c>
      <c r="CT129" s="1363">
        <v>0</v>
      </c>
      <c r="CU129" s="1363">
        <v>0</v>
      </c>
      <c r="CV129" s="687">
        <v>0</v>
      </c>
      <c r="CW129" s="686"/>
      <c r="CX129" s="687">
        <v>2</v>
      </c>
      <c r="CY129" s="41"/>
      <c r="DA129" s="602"/>
      <c r="DB129" s="602"/>
      <c r="DC129" s="603" t="s">
        <v>127</v>
      </c>
      <c r="DD129" s="604" t="s">
        <v>1231</v>
      </c>
      <c r="DE129" s="606">
        <v>0</v>
      </c>
      <c r="DF129" s="606">
        <v>1</v>
      </c>
      <c r="DG129" s="605"/>
      <c r="DH129" s="605"/>
      <c r="DI129" s="605"/>
      <c r="DJ129" s="606">
        <v>1</v>
      </c>
      <c r="DK129" s="606">
        <v>1</v>
      </c>
      <c r="DL129" s="606">
        <v>0</v>
      </c>
      <c r="DM129" s="602"/>
      <c r="DN129" s="602"/>
      <c r="DO129" s="607">
        <v>3</v>
      </c>
      <c r="DP129" s="105"/>
      <c r="DR129" s="608"/>
      <c r="DS129" s="608"/>
      <c r="DT129" s="608"/>
      <c r="DU129" s="609" t="s">
        <v>1236</v>
      </c>
      <c r="DV129" s="610"/>
      <c r="DW129" s="610"/>
      <c r="DX129" s="611">
        <v>1</v>
      </c>
      <c r="DY129" s="611">
        <v>1</v>
      </c>
      <c r="DZ129" s="610"/>
      <c r="EA129" s="610"/>
      <c r="EB129" s="610"/>
      <c r="EC129" s="611">
        <v>0</v>
      </c>
      <c r="ED129" s="611">
        <v>0</v>
      </c>
      <c r="EE129" s="613">
        <v>0</v>
      </c>
      <c r="EF129" s="613">
        <v>0</v>
      </c>
      <c r="EG129" s="613">
        <v>2</v>
      </c>
      <c r="EH129" s="614"/>
      <c r="EJ129" s="615"/>
      <c r="EK129" s="615"/>
      <c r="EL129" s="615"/>
      <c r="EM129" s="616" t="s">
        <v>1240</v>
      </c>
      <c r="EN129" s="617"/>
      <c r="EO129" s="617"/>
      <c r="EP129" s="617"/>
      <c r="EQ129" s="617"/>
      <c r="ER129" s="617"/>
      <c r="ES129" s="618">
        <v>1</v>
      </c>
      <c r="ET129" s="618">
        <v>0</v>
      </c>
      <c r="EU129" s="618">
        <v>0</v>
      </c>
      <c r="EV129" s="617"/>
      <c r="EW129" s="617"/>
      <c r="EX129" s="618">
        <v>1</v>
      </c>
      <c r="EY129" s="515"/>
      <c r="FA129" s="70"/>
      <c r="FB129" s="70"/>
      <c r="FC129" s="42" t="s">
        <v>142</v>
      </c>
      <c r="FD129" s="42" t="s">
        <v>1231</v>
      </c>
      <c r="FE129" s="70"/>
      <c r="FF129" s="70"/>
      <c r="FG129" s="70"/>
      <c r="FH129" s="70"/>
      <c r="FI129" s="70">
        <v>1</v>
      </c>
      <c r="FJ129" s="70">
        <v>7</v>
      </c>
      <c r="FK129" s="70">
        <v>2</v>
      </c>
      <c r="FL129" s="70">
        <v>0</v>
      </c>
      <c r="FM129" s="70"/>
      <c r="FN129" s="70"/>
      <c r="FO129" s="70">
        <v>10</v>
      </c>
      <c r="FP129" s="42"/>
      <c r="FQ129" s="42"/>
      <c r="FR129" s="516"/>
      <c r="FS129" s="516"/>
      <c r="FT129" s="516" t="s">
        <v>134</v>
      </c>
      <c r="FU129" s="516" t="s">
        <v>1235</v>
      </c>
      <c r="FV129" s="516">
        <v>0</v>
      </c>
      <c r="FW129" s="516">
        <v>0</v>
      </c>
      <c r="FX129" s="516">
        <v>0</v>
      </c>
      <c r="FY129" s="516">
        <v>2</v>
      </c>
      <c r="FZ129" s="516">
        <v>0</v>
      </c>
      <c r="GA129" s="516">
        <v>0</v>
      </c>
      <c r="GB129" s="516">
        <v>0</v>
      </c>
      <c r="GC129" s="516">
        <v>0</v>
      </c>
      <c r="GD129" s="516">
        <v>0</v>
      </c>
      <c r="GE129" s="516">
        <v>0</v>
      </c>
      <c r="GF129" s="516">
        <v>0</v>
      </c>
      <c r="GG129" s="517">
        <v>2</v>
      </c>
      <c r="GH129" s="619"/>
      <c r="GI129" s="518"/>
    </row>
    <row r="130" spans="3:191">
      <c r="D130" s="32" t="s">
        <v>15</v>
      </c>
      <c r="E130" s="4607">
        <v>3</v>
      </c>
      <c r="F130" s="4607">
        <v>1</v>
      </c>
      <c r="G130" s="4607"/>
      <c r="H130" s="4607"/>
      <c r="I130" s="4607"/>
      <c r="J130" s="4607">
        <v>1</v>
      </c>
      <c r="K130" s="4607">
        <v>4</v>
      </c>
      <c r="L130" s="4607">
        <v>5</v>
      </c>
      <c r="M130" s="4607">
        <v>2</v>
      </c>
      <c r="N130" s="4583">
        <v>1</v>
      </c>
      <c r="O130" s="4583"/>
      <c r="P130" s="4583">
        <v>17</v>
      </c>
      <c r="Q130" s="1977">
        <f>+P129/P130</f>
        <v>0.41176470588235292</v>
      </c>
      <c r="R130" s="1977"/>
      <c r="V130" s="37" t="s">
        <v>1231</v>
      </c>
      <c r="W130" s="4803">
        <v>1</v>
      </c>
      <c r="X130" s="4803"/>
      <c r="Y130" s="4803"/>
      <c r="Z130" s="4803">
        <v>0</v>
      </c>
      <c r="AA130" s="4803"/>
      <c r="AB130" s="4803">
        <v>0</v>
      </c>
      <c r="AC130" s="4803">
        <v>0</v>
      </c>
      <c r="AD130" s="4803"/>
      <c r="AE130" s="1788"/>
      <c r="AF130" s="1788">
        <v>1</v>
      </c>
      <c r="AI130" s="41"/>
      <c r="AJ130" s="41"/>
      <c r="AK130" s="41"/>
      <c r="AL130" s="41" t="s">
        <v>1239</v>
      </c>
      <c r="AM130" s="2001"/>
      <c r="AN130" s="2001"/>
      <c r="AO130" s="2001"/>
      <c r="AP130" s="2001"/>
      <c r="AQ130" s="2001"/>
      <c r="AR130" s="2001"/>
      <c r="AS130" s="2001">
        <v>0</v>
      </c>
      <c r="AT130" s="2001">
        <v>3</v>
      </c>
      <c r="AU130" s="105">
        <v>0</v>
      </c>
      <c r="AV130" s="105">
        <v>0</v>
      </c>
      <c r="AW130" s="105">
        <v>3</v>
      </c>
      <c r="AX130" s="41"/>
      <c r="AZ130" s="42"/>
      <c r="BA130" s="42"/>
      <c r="BB130" s="42"/>
      <c r="BC130" s="484" t="s">
        <v>15</v>
      </c>
      <c r="BD130" s="1994"/>
      <c r="BE130" s="1994">
        <v>1</v>
      </c>
      <c r="BF130" s="1994"/>
      <c r="BG130" s="1994"/>
      <c r="BH130" s="1994"/>
      <c r="BI130" s="1994"/>
      <c r="BJ130" s="1994">
        <v>6</v>
      </c>
      <c r="BK130" s="1994">
        <v>1</v>
      </c>
      <c r="BL130" s="1994">
        <v>2</v>
      </c>
      <c r="BM130" s="454"/>
      <c r="BN130" s="454"/>
      <c r="BO130" s="454">
        <v>10</v>
      </c>
      <c r="BP130" s="2485">
        <f>+(BO127+BO129)/BO130</f>
        <v>0.6</v>
      </c>
      <c r="BR130" s="105"/>
      <c r="BS130" s="105"/>
      <c r="BT130" s="41"/>
      <c r="BU130" s="41" t="s">
        <v>1233</v>
      </c>
      <c r="BV130" s="1659"/>
      <c r="BW130" s="1659">
        <v>0</v>
      </c>
      <c r="BX130" s="1659">
        <v>1</v>
      </c>
      <c r="BY130" s="1659">
        <v>0</v>
      </c>
      <c r="BZ130" s="1659">
        <v>0</v>
      </c>
      <c r="CA130" s="1659">
        <v>0</v>
      </c>
      <c r="CB130" s="1659">
        <v>0</v>
      </c>
      <c r="CC130" s="1659">
        <v>0</v>
      </c>
      <c r="CD130" s="1659">
        <v>0</v>
      </c>
      <c r="CE130" s="105">
        <v>0</v>
      </c>
      <c r="CF130" s="105">
        <v>0</v>
      </c>
      <c r="CG130" s="105">
        <v>1</v>
      </c>
      <c r="CH130" s="105"/>
      <c r="CJ130" s="1359"/>
      <c r="CK130" s="1359"/>
      <c r="CL130" s="1360"/>
      <c r="CM130" s="483" t="s">
        <v>15</v>
      </c>
      <c r="CN130" s="1364"/>
      <c r="CO130" s="1364"/>
      <c r="CP130" s="1365">
        <v>1</v>
      </c>
      <c r="CQ130" s="1365">
        <v>1</v>
      </c>
      <c r="CR130" s="1364"/>
      <c r="CS130" s="1365">
        <v>2</v>
      </c>
      <c r="CT130" s="1365">
        <v>1</v>
      </c>
      <c r="CU130" s="1365">
        <v>3</v>
      </c>
      <c r="CV130" s="696">
        <v>2</v>
      </c>
      <c r="CW130" s="695"/>
      <c r="CX130" s="696">
        <v>10</v>
      </c>
      <c r="CY130" s="1325">
        <f>+(CX126+CX129)/CX130</f>
        <v>0.3</v>
      </c>
      <c r="DA130" s="602"/>
      <c r="DB130" s="602"/>
      <c r="DC130" s="603"/>
      <c r="DD130" s="604" t="s">
        <v>1235</v>
      </c>
      <c r="DE130" s="606">
        <v>0</v>
      </c>
      <c r="DF130" s="606">
        <v>0</v>
      </c>
      <c r="DG130" s="605"/>
      <c r="DH130" s="605"/>
      <c r="DI130" s="605"/>
      <c r="DJ130" s="606">
        <v>4</v>
      </c>
      <c r="DK130" s="606">
        <v>3</v>
      </c>
      <c r="DL130" s="606">
        <v>0</v>
      </c>
      <c r="DM130" s="602"/>
      <c r="DN130" s="602"/>
      <c r="DO130" s="607">
        <v>7</v>
      </c>
      <c r="DP130" s="105"/>
      <c r="DR130" s="608"/>
      <c r="DS130" s="608"/>
      <c r="DT130" s="608"/>
      <c r="DU130" s="609" t="s">
        <v>1239</v>
      </c>
      <c r="DV130" s="610"/>
      <c r="DW130" s="610"/>
      <c r="DX130" s="611">
        <v>0</v>
      </c>
      <c r="DY130" s="611">
        <v>0</v>
      </c>
      <c r="DZ130" s="610"/>
      <c r="EA130" s="610"/>
      <c r="EB130" s="610"/>
      <c r="EC130" s="611">
        <v>0</v>
      </c>
      <c r="ED130" s="611">
        <v>13</v>
      </c>
      <c r="EE130" s="613">
        <v>0</v>
      </c>
      <c r="EF130" s="613">
        <v>0</v>
      </c>
      <c r="EG130" s="613">
        <v>13</v>
      </c>
      <c r="EH130" s="614"/>
      <c r="EJ130" s="615"/>
      <c r="EK130" s="615"/>
      <c r="EL130" s="615"/>
      <c r="EM130" s="616" t="s">
        <v>1344</v>
      </c>
      <c r="EN130" s="617"/>
      <c r="EO130" s="617"/>
      <c r="EP130" s="617"/>
      <c r="EQ130" s="617"/>
      <c r="ER130" s="617"/>
      <c r="ES130" s="618">
        <v>1</v>
      </c>
      <c r="ET130" s="618">
        <v>0</v>
      </c>
      <c r="EU130" s="618">
        <v>0</v>
      </c>
      <c r="EV130" s="617"/>
      <c r="EW130" s="617"/>
      <c r="EX130" s="618">
        <v>1</v>
      </c>
      <c r="EY130" s="515"/>
      <c r="FA130" s="70"/>
      <c r="FB130" s="70"/>
      <c r="FC130" s="42"/>
      <c r="FD130" s="42" t="s">
        <v>1235</v>
      </c>
      <c r="FE130" s="70"/>
      <c r="FF130" s="70"/>
      <c r="FG130" s="70"/>
      <c r="FH130" s="70"/>
      <c r="FI130" s="70">
        <v>0</v>
      </c>
      <c r="FJ130" s="70">
        <v>1</v>
      </c>
      <c r="FK130" s="70">
        <v>1</v>
      </c>
      <c r="FL130" s="70">
        <v>0</v>
      </c>
      <c r="FM130" s="70"/>
      <c r="FN130" s="70"/>
      <c r="FO130" s="70">
        <v>2</v>
      </c>
      <c r="FP130" s="42"/>
      <c r="FQ130" s="42"/>
      <c r="FR130" s="516"/>
      <c r="FS130" s="516"/>
      <c r="FT130" s="516"/>
      <c r="FU130" s="516" t="s">
        <v>1236</v>
      </c>
      <c r="FV130" s="516">
        <v>0</v>
      </c>
      <c r="FW130" s="516">
        <v>0</v>
      </c>
      <c r="FX130" s="516">
        <v>1</v>
      </c>
      <c r="FY130" s="516">
        <v>0</v>
      </c>
      <c r="FZ130" s="516">
        <v>0</v>
      </c>
      <c r="GA130" s="516">
        <v>0</v>
      </c>
      <c r="GB130" s="516">
        <v>1</v>
      </c>
      <c r="GC130" s="516">
        <v>0</v>
      </c>
      <c r="GD130" s="516">
        <v>0</v>
      </c>
      <c r="GE130" s="516">
        <v>0</v>
      </c>
      <c r="GF130" s="516">
        <v>0</v>
      </c>
      <c r="GG130" s="517">
        <v>2</v>
      </c>
      <c r="GH130" s="619"/>
      <c r="GI130" s="518"/>
    </row>
    <row r="131" spans="3:191">
      <c r="C131" s="4800" t="s">
        <v>123</v>
      </c>
      <c r="D131" s="4800" t="s">
        <v>1231</v>
      </c>
      <c r="E131" s="4606"/>
      <c r="F131" s="4606"/>
      <c r="G131" s="4606">
        <v>1</v>
      </c>
      <c r="H131" s="4606"/>
      <c r="I131" s="4606">
        <v>0</v>
      </c>
      <c r="J131" s="4606"/>
      <c r="K131" s="4606"/>
      <c r="L131" s="4606">
        <v>0</v>
      </c>
      <c r="M131" s="4606">
        <v>0</v>
      </c>
      <c r="N131" s="2552"/>
      <c r="O131" s="2552"/>
      <c r="P131" s="2552">
        <v>1</v>
      </c>
      <c r="Q131" s="2552"/>
      <c r="R131" s="2552"/>
      <c r="V131" s="37" t="s">
        <v>1235</v>
      </c>
      <c r="W131" s="4803">
        <v>0</v>
      </c>
      <c r="X131" s="4803"/>
      <c r="Y131" s="4803"/>
      <c r="Z131" s="4803">
        <v>0</v>
      </c>
      <c r="AA131" s="4803"/>
      <c r="AB131" s="4803">
        <v>4</v>
      </c>
      <c r="AC131" s="4803">
        <v>0</v>
      </c>
      <c r="AD131" s="4803"/>
      <c r="AE131" s="1788"/>
      <c r="AF131" s="1788">
        <v>4</v>
      </c>
      <c r="AI131" s="41"/>
      <c r="AJ131" s="41"/>
      <c r="AK131" s="41"/>
      <c r="AL131" s="41" t="s">
        <v>2704</v>
      </c>
      <c r="AM131" s="2001"/>
      <c r="AN131" s="2001"/>
      <c r="AO131" s="2001"/>
      <c r="AP131" s="2001"/>
      <c r="AQ131" s="2001"/>
      <c r="AR131" s="2001"/>
      <c r="AS131" s="2001">
        <v>0</v>
      </c>
      <c r="AT131" s="2001">
        <v>0</v>
      </c>
      <c r="AU131" s="105">
        <v>1</v>
      </c>
      <c r="AV131" s="105">
        <v>2</v>
      </c>
      <c r="AW131" s="105">
        <v>3</v>
      </c>
      <c r="AX131" s="41"/>
      <c r="AZ131" s="42"/>
      <c r="BA131" s="42"/>
      <c r="BB131" s="42" t="s">
        <v>123</v>
      </c>
      <c r="BC131" s="42" t="s">
        <v>1230</v>
      </c>
      <c r="BD131" s="1993"/>
      <c r="BE131" s="1993"/>
      <c r="BF131" s="1993"/>
      <c r="BG131" s="1993"/>
      <c r="BH131" s="1993"/>
      <c r="BI131" s="1993"/>
      <c r="BJ131" s="1993">
        <v>0</v>
      </c>
      <c r="BK131" s="1993">
        <v>0</v>
      </c>
      <c r="BL131" s="1993">
        <v>0</v>
      </c>
      <c r="BM131" s="70">
        <v>1</v>
      </c>
      <c r="BN131" s="70"/>
      <c r="BO131" s="70">
        <v>1</v>
      </c>
      <c r="BR131" s="105"/>
      <c r="BS131" s="105"/>
      <c r="BT131" s="41"/>
      <c r="BU131" s="41" t="s">
        <v>1235</v>
      </c>
      <c r="BV131" s="1659"/>
      <c r="BW131" s="1659">
        <v>0</v>
      </c>
      <c r="BX131" s="1659">
        <v>0</v>
      </c>
      <c r="BY131" s="1659">
        <v>0</v>
      </c>
      <c r="BZ131" s="1659">
        <v>0</v>
      </c>
      <c r="CA131" s="1659">
        <v>0</v>
      </c>
      <c r="CB131" s="1659">
        <v>1</v>
      </c>
      <c r="CC131" s="1659">
        <v>6</v>
      </c>
      <c r="CD131" s="1659">
        <v>1</v>
      </c>
      <c r="CE131" s="105">
        <v>2</v>
      </c>
      <c r="CF131" s="105">
        <v>0</v>
      </c>
      <c r="CG131" s="105">
        <v>10</v>
      </c>
      <c r="CH131" s="105"/>
      <c r="CJ131" s="1359"/>
      <c r="CK131" s="1359"/>
      <c r="CL131" s="1360" t="s">
        <v>417</v>
      </c>
      <c r="CM131" s="1361" t="s">
        <v>1230</v>
      </c>
      <c r="CN131" s="1362"/>
      <c r="CO131" s="1363">
        <v>0</v>
      </c>
      <c r="CP131" s="1362"/>
      <c r="CQ131" s="1362"/>
      <c r="CR131" s="1363">
        <v>0</v>
      </c>
      <c r="CS131" s="1363">
        <v>0</v>
      </c>
      <c r="CT131" s="1363">
        <v>0</v>
      </c>
      <c r="CU131" s="1363">
        <v>2</v>
      </c>
      <c r="CV131" s="687">
        <v>1</v>
      </c>
      <c r="CW131" s="686"/>
      <c r="CX131" s="687">
        <v>3</v>
      </c>
      <c r="CY131" s="41"/>
      <c r="DA131" s="602"/>
      <c r="DB131" s="602"/>
      <c r="DC131" s="603"/>
      <c r="DD131" s="604" t="s">
        <v>1236</v>
      </c>
      <c r="DE131" s="606">
        <v>1</v>
      </c>
      <c r="DF131" s="606">
        <v>1</v>
      </c>
      <c r="DG131" s="605"/>
      <c r="DH131" s="605"/>
      <c r="DI131" s="605"/>
      <c r="DJ131" s="606">
        <v>0</v>
      </c>
      <c r="DK131" s="606">
        <v>0</v>
      </c>
      <c r="DL131" s="606">
        <v>0</v>
      </c>
      <c r="DM131" s="602"/>
      <c r="DN131" s="602"/>
      <c r="DO131" s="607">
        <v>2</v>
      </c>
      <c r="DP131" s="105"/>
      <c r="DR131" s="608"/>
      <c r="DS131" s="608"/>
      <c r="DT131" s="608"/>
      <c r="DU131" s="609" t="s">
        <v>1240</v>
      </c>
      <c r="DV131" s="610"/>
      <c r="DW131" s="610"/>
      <c r="DX131" s="611">
        <v>0</v>
      </c>
      <c r="DY131" s="611">
        <v>0</v>
      </c>
      <c r="DZ131" s="610"/>
      <c r="EA131" s="610"/>
      <c r="EB131" s="610"/>
      <c r="EC131" s="611">
        <v>0</v>
      </c>
      <c r="ED131" s="611">
        <v>2</v>
      </c>
      <c r="EE131" s="613">
        <v>1</v>
      </c>
      <c r="EF131" s="613">
        <v>1</v>
      </c>
      <c r="EG131" s="613">
        <v>4</v>
      </c>
      <c r="EH131" s="614"/>
      <c r="EJ131" s="615"/>
      <c r="EK131" s="615"/>
      <c r="EL131" s="615"/>
      <c r="EM131" s="625" t="s">
        <v>15</v>
      </c>
      <c r="EN131" s="626"/>
      <c r="EO131" s="626"/>
      <c r="EP131" s="626"/>
      <c r="EQ131" s="626"/>
      <c r="ER131" s="626"/>
      <c r="ES131" s="627">
        <v>16</v>
      </c>
      <c r="ET131" s="627">
        <v>1</v>
      </c>
      <c r="EU131" s="627">
        <v>2</v>
      </c>
      <c r="EV131" s="626"/>
      <c r="EW131" s="626"/>
      <c r="EX131" s="627">
        <v>19</v>
      </c>
      <c r="EY131" s="628">
        <f>+(EX130+EX129+EX127)/EX131</f>
        <v>0.26315789473684209</v>
      </c>
      <c r="FA131" s="70"/>
      <c r="FB131" s="70"/>
      <c r="FC131" s="42"/>
      <c r="FD131" s="42" t="s">
        <v>1239</v>
      </c>
      <c r="FE131" s="70"/>
      <c r="FF131" s="70"/>
      <c r="FG131" s="70"/>
      <c r="FH131" s="70"/>
      <c r="FI131" s="70">
        <v>0</v>
      </c>
      <c r="FJ131" s="70">
        <v>0</v>
      </c>
      <c r="FK131" s="70">
        <v>0</v>
      </c>
      <c r="FL131" s="70">
        <v>1</v>
      </c>
      <c r="FM131" s="70"/>
      <c r="FN131" s="70"/>
      <c r="FO131" s="70">
        <v>1</v>
      </c>
      <c r="FP131" s="42"/>
      <c r="FQ131" s="42"/>
      <c r="FR131" s="516"/>
      <c r="FS131" s="516"/>
      <c r="FT131" s="516"/>
      <c r="FU131" s="516" t="s">
        <v>1240</v>
      </c>
      <c r="FV131" s="516">
        <v>0</v>
      </c>
      <c r="FW131" s="516">
        <v>0</v>
      </c>
      <c r="FX131" s="516">
        <v>0</v>
      </c>
      <c r="FY131" s="516">
        <v>3</v>
      </c>
      <c r="FZ131" s="516">
        <v>0</v>
      </c>
      <c r="GA131" s="516">
        <v>0</v>
      </c>
      <c r="GB131" s="516">
        <v>0</v>
      </c>
      <c r="GC131" s="516">
        <v>0</v>
      </c>
      <c r="GD131" s="516">
        <v>0</v>
      </c>
      <c r="GE131" s="516">
        <v>0</v>
      </c>
      <c r="GF131" s="516">
        <v>0</v>
      </c>
      <c r="GG131" s="517">
        <v>3</v>
      </c>
      <c r="GH131" s="619"/>
      <c r="GI131" s="518"/>
    </row>
    <row r="132" spans="3:191">
      <c r="D132" s="4800" t="s">
        <v>1235</v>
      </c>
      <c r="E132" s="4606"/>
      <c r="F132" s="4606"/>
      <c r="G132" s="4606">
        <v>0</v>
      </c>
      <c r="H132" s="4606"/>
      <c r="I132" s="4606">
        <v>1</v>
      </c>
      <c r="J132" s="4606"/>
      <c r="K132" s="4606"/>
      <c r="L132" s="4606">
        <v>2</v>
      </c>
      <c r="M132" s="4606">
        <v>0</v>
      </c>
      <c r="N132" s="2552"/>
      <c r="O132" s="2552"/>
      <c r="P132" s="2552">
        <v>3</v>
      </c>
      <c r="Q132" s="2552"/>
      <c r="R132" s="2552"/>
      <c r="V132" s="37" t="s">
        <v>1239</v>
      </c>
      <c r="W132" s="4803">
        <v>0</v>
      </c>
      <c r="X132" s="4803"/>
      <c r="Y132" s="4803"/>
      <c r="Z132" s="4803">
        <v>0</v>
      </c>
      <c r="AA132" s="4803"/>
      <c r="AB132" s="4803">
        <v>0</v>
      </c>
      <c r="AC132" s="4803">
        <v>3</v>
      </c>
      <c r="AD132" s="4803"/>
      <c r="AE132" s="1788"/>
      <c r="AF132" s="1788">
        <v>3</v>
      </c>
      <c r="AI132" s="41"/>
      <c r="AJ132" s="41"/>
      <c r="AK132" s="41"/>
      <c r="AL132" s="461" t="s">
        <v>15</v>
      </c>
      <c r="AM132" s="2002"/>
      <c r="AN132" s="2002"/>
      <c r="AO132" s="2002"/>
      <c r="AP132" s="2002"/>
      <c r="AQ132" s="2002"/>
      <c r="AR132" s="2002"/>
      <c r="AS132" s="2002">
        <v>3</v>
      </c>
      <c r="AT132" s="2002">
        <v>3</v>
      </c>
      <c r="AU132" s="2480">
        <v>1</v>
      </c>
      <c r="AV132" s="2480">
        <v>2</v>
      </c>
      <c r="AW132" s="2480">
        <v>9</v>
      </c>
      <c r="AX132" s="635">
        <f>+AW129/AW132</f>
        <v>0.22222222222222221</v>
      </c>
      <c r="AY132" s="1977"/>
      <c r="AZ132" s="42"/>
      <c r="BA132" s="42"/>
      <c r="BB132" s="42"/>
      <c r="BC132" s="42" t="s">
        <v>1235</v>
      </c>
      <c r="BD132" s="1993"/>
      <c r="BE132" s="1993"/>
      <c r="BF132" s="1993"/>
      <c r="BG132" s="1993"/>
      <c r="BH132" s="1993"/>
      <c r="BI132" s="1993"/>
      <c r="BJ132" s="1993">
        <v>1</v>
      </c>
      <c r="BK132" s="1993">
        <v>2</v>
      </c>
      <c r="BL132" s="1993">
        <v>0</v>
      </c>
      <c r="BM132" s="70">
        <v>0</v>
      </c>
      <c r="BN132" s="70"/>
      <c r="BO132" s="70">
        <v>3</v>
      </c>
      <c r="BR132" s="105"/>
      <c r="BS132" s="105"/>
      <c r="BT132" s="41"/>
      <c r="BU132" s="41" t="s">
        <v>1236</v>
      </c>
      <c r="BV132" s="1659"/>
      <c r="BW132" s="1659">
        <v>0</v>
      </c>
      <c r="BX132" s="1659">
        <v>0</v>
      </c>
      <c r="BY132" s="1659">
        <v>0</v>
      </c>
      <c r="BZ132" s="1659">
        <v>2</v>
      </c>
      <c r="CA132" s="1659">
        <v>1</v>
      </c>
      <c r="CB132" s="1659">
        <v>0</v>
      </c>
      <c r="CC132" s="1659">
        <v>1</v>
      </c>
      <c r="CD132" s="1659">
        <v>0</v>
      </c>
      <c r="CE132" s="105">
        <v>0</v>
      </c>
      <c r="CF132" s="105">
        <v>0</v>
      </c>
      <c r="CG132" s="105">
        <v>4</v>
      </c>
      <c r="CH132" s="105"/>
      <c r="CJ132" s="1359"/>
      <c r="CK132" s="1359"/>
      <c r="CL132" s="1360"/>
      <c r="CM132" s="1361" t="s">
        <v>1231</v>
      </c>
      <c r="CN132" s="1362"/>
      <c r="CO132" s="1363">
        <v>2</v>
      </c>
      <c r="CP132" s="1362"/>
      <c r="CQ132" s="1362"/>
      <c r="CR132" s="1363">
        <v>0</v>
      </c>
      <c r="CS132" s="1363">
        <v>0</v>
      </c>
      <c r="CT132" s="1363">
        <v>0</v>
      </c>
      <c r="CU132" s="1363">
        <v>0</v>
      </c>
      <c r="CV132" s="687">
        <v>0</v>
      </c>
      <c r="CW132" s="686"/>
      <c r="CX132" s="687">
        <v>2</v>
      </c>
      <c r="CY132" s="41"/>
      <c r="DA132" s="602"/>
      <c r="DB132" s="602"/>
      <c r="DC132" s="603"/>
      <c r="DD132" s="604" t="s">
        <v>1239</v>
      </c>
      <c r="DE132" s="606">
        <v>0</v>
      </c>
      <c r="DF132" s="606">
        <v>0</v>
      </c>
      <c r="DG132" s="605"/>
      <c r="DH132" s="605"/>
      <c r="DI132" s="605"/>
      <c r="DJ132" s="606">
        <v>0</v>
      </c>
      <c r="DK132" s="606">
        <v>0</v>
      </c>
      <c r="DL132" s="606">
        <v>1</v>
      </c>
      <c r="DM132" s="602"/>
      <c r="DN132" s="602"/>
      <c r="DO132" s="607">
        <v>1</v>
      </c>
      <c r="DP132" s="105"/>
      <c r="DR132" s="608"/>
      <c r="DS132" s="608"/>
      <c r="DT132" s="608"/>
      <c r="DU132" s="620" t="s">
        <v>545</v>
      </c>
      <c r="DV132" s="621"/>
      <c r="DW132" s="621"/>
      <c r="DX132" s="622">
        <v>2</v>
      </c>
      <c r="DY132" s="622">
        <v>1</v>
      </c>
      <c r="DZ132" s="621"/>
      <c r="EA132" s="621"/>
      <c r="EB132" s="621"/>
      <c r="EC132" s="622">
        <v>3</v>
      </c>
      <c r="ED132" s="622">
        <v>21</v>
      </c>
      <c r="EE132" s="624">
        <v>2</v>
      </c>
      <c r="EF132" s="624">
        <v>3</v>
      </c>
      <c r="EG132" s="624">
        <v>32</v>
      </c>
      <c r="EH132" s="614">
        <f>+(EG131+EG128+EE131-EF131-EE128-EF128)/EG132</f>
        <v>0.3125</v>
      </c>
      <c r="EJ132" s="615"/>
      <c r="EK132" s="615"/>
      <c r="EL132" s="615" t="s">
        <v>137</v>
      </c>
      <c r="EM132" s="616" t="s">
        <v>1231</v>
      </c>
      <c r="EN132" s="617"/>
      <c r="EO132" s="617"/>
      <c r="EP132" s="617"/>
      <c r="EQ132" s="618">
        <v>2</v>
      </c>
      <c r="ER132" s="617"/>
      <c r="ES132" s="617"/>
      <c r="ET132" s="618">
        <v>1</v>
      </c>
      <c r="EU132" s="618">
        <v>0</v>
      </c>
      <c r="EV132" s="617"/>
      <c r="EW132" s="617"/>
      <c r="EX132" s="618">
        <v>3</v>
      </c>
      <c r="EY132" s="515"/>
      <c r="FA132" s="70"/>
      <c r="FB132" s="70"/>
      <c r="FC132" s="42"/>
      <c r="FD132" s="42" t="s">
        <v>1240</v>
      </c>
      <c r="FE132" s="70"/>
      <c r="FF132" s="70"/>
      <c r="FG132" s="70"/>
      <c r="FH132" s="70"/>
      <c r="FI132" s="70">
        <v>0</v>
      </c>
      <c r="FJ132" s="70">
        <v>3</v>
      </c>
      <c r="FK132" s="70">
        <v>0</v>
      </c>
      <c r="FL132" s="70">
        <v>0</v>
      </c>
      <c r="FM132" s="70"/>
      <c r="FN132" s="70"/>
      <c r="FO132" s="70">
        <v>3</v>
      </c>
      <c r="FP132" s="42"/>
      <c r="FQ132" s="42"/>
      <c r="FR132" s="516"/>
      <c r="FS132" s="516"/>
      <c r="FT132" s="516"/>
      <c r="FU132" s="516" t="s">
        <v>1344</v>
      </c>
      <c r="FV132" s="516">
        <v>0</v>
      </c>
      <c r="FW132" s="516">
        <v>0</v>
      </c>
      <c r="FX132" s="516">
        <v>0</v>
      </c>
      <c r="FY132" s="516">
        <v>3</v>
      </c>
      <c r="FZ132" s="516">
        <v>0</v>
      </c>
      <c r="GA132" s="516">
        <v>0</v>
      </c>
      <c r="GB132" s="516">
        <v>1</v>
      </c>
      <c r="GC132" s="516">
        <v>0</v>
      </c>
      <c r="GD132" s="516">
        <v>0</v>
      </c>
      <c r="GE132" s="516">
        <v>0</v>
      </c>
      <c r="GF132" s="516">
        <v>0</v>
      </c>
      <c r="GG132" s="517">
        <v>4</v>
      </c>
      <c r="GH132" s="619"/>
      <c r="GI132" s="518"/>
    </row>
    <row r="133" spans="3:191">
      <c r="D133" s="4800" t="s">
        <v>1239</v>
      </c>
      <c r="E133" s="4606"/>
      <c r="F133" s="4606"/>
      <c r="G133" s="4606">
        <v>0</v>
      </c>
      <c r="H133" s="4606"/>
      <c r="I133" s="4606">
        <v>0</v>
      </c>
      <c r="J133" s="4606"/>
      <c r="K133" s="4606"/>
      <c r="L133" s="4606">
        <v>5</v>
      </c>
      <c r="M133" s="4606">
        <v>1</v>
      </c>
      <c r="N133" s="2552"/>
      <c r="O133" s="2552"/>
      <c r="P133" s="2552">
        <v>6</v>
      </c>
      <c r="Q133" s="2552"/>
      <c r="R133" s="2552"/>
      <c r="V133" s="37">
        <v>22</v>
      </c>
      <c r="W133" s="4803">
        <v>0</v>
      </c>
      <c r="X133" s="4803"/>
      <c r="Y133" s="4803"/>
      <c r="Z133" s="4803">
        <v>0</v>
      </c>
      <c r="AA133" s="4803"/>
      <c r="AB133" s="4803">
        <v>1</v>
      </c>
      <c r="AC133" s="4803">
        <v>0</v>
      </c>
      <c r="AD133" s="4803"/>
      <c r="AE133" s="1788"/>
      <c r="AF133" s="1788">
        <v>1</v>
      </c>
      <c r="AI133" s="41"/>
      <c r="AJ133" s="41"/>
      <c r="AK133" s="41" t="s">
        <v>795</v>
      </c>
      <c r="AL133" s="41" t="s">
        <v>1231</v>
      </c>
      <c r="AM133" s="2001"/>
      <c r="AN133" s="2001"/>
      <c r="AO133" s="2001"/>
      <c r="AP133" s="2001"/>
      <c r="AQ133" s="2001"/>
      <c r="AR133" s="2001"/>
      <c r="AS133" s="2001">
        <v>0</v>
      </c>
      <c r="AT133" s="2001">
        <v>1</v>
      </c>
      <c r="AU133" s="105"/>
      <c r="AV133" s="105">
        <v>0</v>
      </c>
      <c r="AW133" s="105">
        <v>1</v>
      </c>
      <c r="AX133" s="41"/>
      <c r="AZ133" s="42"/>
      <c r="BA133" s="42"/>
      <c r="BB133" s="42"/>
      <c r="BC133" s="42" t="s">
        <v>1239</v>
      </c>
      <c r="BD133" s="1993"/>
      <c r="BE133" s="1993"/>
      <c r="BF133" s="1993"/>
      <c r="BG133" s="1993"/>
      <c r="BH133" s="1993"/>
      <c r="BI133" s="1993"/>
      <c r="BJ133" s="1993">
        <v>0</v>
      </c>
      <c r="BK133" s="1993">
        <v>0</v>
      </c>
      <c r="BL133" s="1993">
        <v>9</v>
      </c>
      <c r="BM133" s="70">
        <v>0</v>
      </c>
      <c r="BN133" s="70"/>
      <c r="BO133" s="70">
        <v>9</v>
      </c>
      <c r="BR133" s="105"/>
      <c r="BS133" s="105"/>
      <c r="BT133" s="41"/>
      <c r="BU133" s="41" t="s">
        <v>1239</v>
      </c>
      <c r="BV133" s="1659"/>
      <c r="BW133" s="1659">
        <v>0</v>
      </c>
      <c r="BX133" s="1659">
        <v>0</v>
      </c>
      <c r="BY133" s="1659">
        <v>0</v>
      </c>
      <c r="BZ133" s="1659">
        <v>0</v>
      </c>
      <c r="CA133" s="1659">
        <v>0</v>
      </c>
      <c r="CB133" s="1659">
        <v>0</v>
      </c>
      <c r="CC133" s="1659">
        <v>1</v>
      </c>
      <c r="CD133" s="1659">
        <v>23</v>
      </c>
      <c r="CE133" s="105">
        <v>3</v>
      </c>
      <c r="CF133" s="105">
        <v>8</v>
      </c>
      <c r="CG133" s="105">
        <v>35</v>
      </c>
      <c r="CH133" s="105"/>
      <c r="CJ133" s="1359"/>
      <c r="CK133" s="1359"/>
      <c r="CL133" s="1360"/>
      <c r="CM133" s="1361" t="s">
        <v>1235</v>
      </c>
      <c r="CN133" s="1362"/>
      <c r="CO133" s="1363">
        <v>0</v>
      </c>
      <c r="CP133" s="1362"/>
      <c r="CQ133" s="1362"/>
      <c r="CR133" s="1363">
        <v>0</v>
      </c>
      <c r="CS133" s="1363">
        <v>0</v>
      </c>
      <c r="CT133" s="1363">
        <v>1</v>
      </c>
      <c r="CU133" s="1363">
        <v>0</v>
      </c>
      <c r="CV133" s="687">
        <v>0</v>
      </c>
      <c r="CW133" s="686"/>
      <c r="CX133" s="687">
        <v>1</v>
      </c>
      <c r="CY133" s="41"/>
      <c r="DA133" s="602"/>
      <c r="DB133" s="602"/>
      <c r="DC133" s="603"/>
      <c r="DD133" s="604" t="s">
        <v>1344</v>
      </c>
      <c r="DE133" s="606">
        <v>0</v>
      </c>
      <c r="DF133" s="606">
        <v>0</v>
      </c>
      <c r="DG133" s="605"/>
      <c r="DH133" s="605"/>
      <c r="DI133" s="605"/>
      <c r="DJ133" s="606">
        <v>14</v>
      </c>
      <c r="DK133" s="606">
        <v>1</v>
      </c>
      <c r="DL133" s="606">
        <v>0</v>
      </c>
      <c r="DM133" s="602"/>
      <c r="DN133" s="602"/>
      <c r="DO133" s="607">
        <v>15</v>
      </c>
      <c r="DP133" s="105"/>
      <c r="DR133" s="608"/>
      <c r="DS133" s="608" t="s">
        <v>41</v>
      </c>
      <c r="DT133" s="608" t="s">
        <v>129</v>
      </c>
      <c r="DU133" s="609" t="s">
        <v>1230</v>
      </c>
      <c r="DV133" s="610"/>
      <c r="DW133" s="610"/>
      <c r="DX133" s="610"/>
      <c r="DY133" s="611">
        <v>0</v>
      </c>
      <c r="DZ133" s="610"/>
      <c r="EA133" s="610"/>
      <c r="EB133" s="611">
        <v>0</v>
      </c>
      <c r="EC133" s="611">
        <v>0</v>
      </c>
      <c r="ED133" s="611">
        <v>1</v>
      </c>
      <c r="EE133" s="612"/>
      <c r="EF133" s="612"/>
      <c r="EG133" s="613">
        <v>1</v>
      </c>
      <c r="EH133" s="614"/>
      <c r="EJ133" s="615"/>
      <c r="EK133" s="615"/>
      <c r="EL133" s="615"/>
      <c r="EM133" s="616" t="s">
        <v>1235</v>
      </c>
      <c r="EN133" s="617"/>
      <c r="EO133" s="617"/>
      <c r="EP133" s="617"/>
      <c r="EQ133" s="618">
        <v>0</v>
      </c>
      <c r="ER133" s="617"/>
      <c r="ES133" s="617"/>
      <c r="ET133" s="618">
        <v>1</v>
      </c>
      <c r="EU133" s="618">
        <v>0</v>
      </c>
      <c r="EV133" s="617"/>
      <c r="EW133" s="617"/>
      <c r="EX133" s="618">
        <v>1</v>
      </c>
      <c r="EY133" s="515"/>
      <c r="FA133" s="70"/>
      <c r="FB133" s="70"/>
      <c r="FC133" s="42"/>
      <c r="FD133" s="42" t="s">
        <v>1344</v>
      </c>
      <c r="FE133" s="70"/>
      <c r="FF133" s="70"/>
      <c r="FG133" s="70"/>
      <c r="FH133" s="70"/>
      <c r="FI133" s="70">
        <v>0</v>
      </c>
      <c r="FJ133" s="70">
        <v>1</v>
      </c>
      <c r="FK133" s="70">
        <v>0</v>
      </c>
      <c r="FL133" s="70">
        <v>0</v>
      </c>
      <c r="FM133" s="70"/>
      <c r="FN133" s="70"/>
      <c r="FO133" s="70">
        <v>1</v>
      </c>
      <c r="FP133" s="42"/>
      <c r="FQ133" s="42"/>
      <c r="FR133" s="516"/>
      <c r="FS133" s="516"/>
      <c r="FT133" s="516"/>
      <c r="FU133" s="519" t="s">
        <v>15</v>
      </c>
      <c r="FV133" s="519">
        <v>0</v>
      </c>
      <c r="FW133" s="519">
        <v>0</v>
      </c>
      <c r="FX133" s="519">
        <v>1</v>
      </c>
      <c r="FY133" s="519">
        <v>8</v>
      </c>
      <c r="FZ133" s="519">
        <v>0</v>
      </c>
      <c r="GA133" s="519">
        <v>0</v>
      </c>
      <c r="GB133" s="519">
        <v>2</v>
      </c>
      <c r="GC133" s="519">
        <v>0</v>
      </c>
      <c r="GD133" s="519">
        <v>0</v>
      </c>
      <c r="GE133" s="519">
        <v>0</v>
      </c>
      <c r="GF133" s="519">
        <v>0</v>
      </c>
      <c r="GG133" s="579">
        <v>11</v>
      </c>
      <c r="GH133" s="629">
        <f>+(GG132+GG131+GG129)/GG133</f>
        <v>0.81818181818181823</v>
      </c>
      <c r="GI133" s="518">
        <f>+GG129+GG131+GG132</f>
        <v>9</v>
      </c>
    </row>
    <row r="134" spans="3:191">
      <c r="D134" s="32" t="s">
        <v>15</v>
      </c>
      <c r="E134" s="4607"/>
      <c r="F134" s="4607"/>
      <c r="G134" s="4607">
        <v>1</v>
      </c>
      <c r="H134" s="4607"/>
      <c r="I134" s="4607">
        <v>1</v>
      </c>
      <c r="J134" s="4607"/>
      <c r="K134" s="4607"/>
      <c r="L134" s="4607">
        <v>7</v>
      </c>
      <c r="M134" s="4607">
        <v>1</v>
      </c>
      <c r="N134" s="4583"/>
      <c r="O134" s="4583"/>
      <c r="P134" s="4583">
        <v>10</v>
      </c>
      <c r="Q134" s="1977">
        <f>+P132/P134</f>
        <v>0.3</v>
      </c>
      <c r="R134" s="1977"/>
      <c r="V134" s="1793" t="s">
        <v>15</v>
      </c>
      <c r="W134" s="4804">
        <v>1</v>
      </c>
      <c r="X134" s="4804"/>
      <c r="Y134" s="4804"/>
      <c r="Z134" s="4804">
        <v>1</v>
      </c>
      <c r="AA134" s="4804"/>
      <c r="AB134" s="4804">
        <v>5</v>
      </c>
      <c r="AC134" s="4804">
        <v>5</v>
      </c>
      <c r="AD134" s="4804"/>
      <c r="AE134" s="4702"/>
      <c r="AF134" s="4702">
        <v>12</v>
      </c>
      <c r="AG134" s="4703">
        <f>+AF131/AF134</f>
        <v>0.33333333333333331</v>
      </c>
      <c r="AI134" s="41"/>
      <c r="AJ134" s="41"/>
      <c r="AK134" s="41"/>
      <c r="AL134" s="41" t="s">
        <v>1235</v>
      </c>
      <c r="AM134" s="2001"/>
      <c r="AN134" s="2001"/>
      <c r="AO134" s="2001"/>
      <c r="AP134" s="2001"/>
      <c r="AQ134" s="2001"/>
      <c r="AR134" s="2001"/>
      <c r="AS134" s="2001">
        <v>0</v>
      </c>
      <c r="AT134" s="2001">
        <v>2</v>
      </c>
      <c r="AU134" s="105"/>
      <c r="AV134" s="105">
        <v>0</v>
      </c>
      <c r="AW134" s="105">
        <v>2</v>
      </c>
      <c r="AX134" s="41"/>
      <c r="AZ134" s="42"/>
      <c r="BA134" s="42"/>
      <c r="BB134" s="42"/>
      <c r="BC134" s="42" t="s">
        <v>1344</v>
      </c>
      <c r="BD134" s="1993"/>
      <c r="BE134" s="1993"/>
      <c r="BF134" s="1993"/>
      <c r="BG134" s="1993"/>
      <c r="BH134" s="1993"/>
      <c r="BI134" s="1993"/>
      <c r="BJ134" s="1993">
        <v>1</v>
      </c>
      <c r="BK134" s="1993">
        <v>1</v>
      </c>
      <c r="BL134" s="1993">
        <v>0</v>
      </c>
      <c r="BM134" s="70">
        <v>0</v>
      </c>
      <c r="BN134" s="70"/>
      <c r="BO134" s="70">
        <v>2</v>
      </c>
      <c r="BR134" s="105"/>
      <c r="BS134" s="105"/>
      <c r="BT134" s="41"/>
      <c r="BU134" s="41" t="s">
        <v>1344</v>
      </c>
      <c r="BV134" s="1659"/>
      <c r="BW134" s="1659">
        <v>0</v>
      </c>
      <c r="BX134" s="1659">
        <v>0</v>
      </c>
      <c r="BY134" s="1659">
        <v>0</v>
      </c>
      <c r="BZ134" s="1659">
        <v>0</v>
      </c>
      <c r="CA134" s="1659">
        <v>0</v>
      </c>
      <c r="CB134" s="1659">
        <v>2</v>
      </c>
      <c r="CC134" s="1659">
        <v>4</v>
      </c>
      <c r="CD134" s="1659">
        <v>3</v>
      </c>
      <c r="CE134" s="105">
        <v>0</v>
      </c>
      <c r="CF134" s="105">
        <v>0</v>
      </c>
      <c r="CG134" s="105">
        <v>9</v>
      </c>
      <c r="CH134" s="105"/>
      <c r="CJ134" s="1359"/>
      <c r="CK134" s="1359"/>
      <c r="CL134" s="1360"/>
      <c r="CM134" s="1361" t="s">
        <v>1236</v>
      </c>
      <c r="CN134" s="1362"/>
      <c r="CO134" s="1363">
        <v>0</v>
      </c>
      <c r="CP134" s="1362"/>
      <c r="CQ134" s="1362"/>
      <c r="CR134" s="1363">
        <v>1</v>
      </c>
      <c r="CS134" s="1363">
        <v>0</v>
      </c>
      <c r="CT134" s="1363">
        <v>0</v>
      </c>
      <c r="CU134" s="1363">
        <v>0</v>
      </c>
      <c r="CV134" s="687">
        <v>0</v>
      </c>
      <c r="CW134" s="686"/>
      <c r="CX134" s="687">
        <v>1</v>
      </c>
      <c r="CY134" s="41"/>
      <c r="DA134" s="602"/>
      <c r="DB134" s="602"/>
      <c r="DC134" s="603"/>
      <c r="DD134" s="630" t="s">
        <v>15</v>
      </c>
      <c r="DE134" s="632">
        <v>1</v>
      </c>
      <c r="DF134" s="632">
        <v>2</v>
      </c>
      <c r="DG134" s="631"/>
      <c r="DH134" s="631"/>
      <c r="DI134" s="631"/>
      <c r="DJ134" s="632">
        <v>19</v>
      </c>
      <c r="DK134" s="632">
        <v>5</v>
      </c>
      <c r="DL134" s="632">
        <v>1</v>
      </c>
      <c r="DM134" s="633"/>
      <c r="DN134" s="633"/>
      <c r="DO134" s="634">
        <v>28</v>
      </c>
      <c r="DP134" s="635">
        <f>+(DO130+DO133)/DO134</f>
        <v>0.7857142857142857</v>
      </c>
      <c r="DR134" s="608"/>
      <c r="DS134" s="608"/>
      <c r="DT134" s="608"/>
      <c r="DU134" s="609" t="s">
        <v>1231</v>
      </c>
      <c r="DV134" s="610"/>
      <c r="DW134" s="610"/>
      <c r="DX134" s="610"/>
      <c r="DY134" s="611">
        <v>1</v>
      </c>
      <c r="DZ134" s="610"/>
      <c r="EA134" s="610"/>
      <c r="EB134" s="611">
        <v>0</v>
      </c>
      <c r="EC134" s="611">
        <v>1</v>
      </c>
      <c r="ED134" s="611">
        <v>0</v>
      </c>
      <c r="EE134" s="612"/>
      <c r="EF134" s="612"/>
      <c r="EG134" s="613">
        <v>2</v>
      </c>
      <c r="EH134" s="614"/>
      <c r="EJ134" s="615"/>
      <c r="EK134" s="615"/>
      <c r="EL134" s="615"/>
      <c r="EM134" s="616" t="s">
        <v>1239</v>
      </c>
      <c r="EN134" s="617"/>
      <c r="EO134" s="617"/>
      <c r="EP134" s="617"/>
      <c r="EQ134" s="618">
        <v>0</v>
      </c>
      <c r="ER134" s="617"/>
      <c r="ES134" s="617"/>
      <c r="ET134" s="618">
        <v>0</v>
      </c>
      <c r="EU134" s="618">
        <v>6</v>
      </c>
      <c r="EV134" s="617"/>
      <c r="EW134" s="617"/>
      <c r="EX134" s="618">
        <v>6</v>
      </c>
      <c r="EY134" s="515"/>
      <c r="FA134" s="70"/>
      <c r="FB134" s="70"/>
      <c r="FC134" s="42"/>
      <c r="FD134" s="484" t="s">
        <v>15</v>
      </c>
      <c r="FE134" s="454"/>
      <c r="FF134" s="454"/>
      <c r="FG134" s="454"/>
      <c r="FH134" s="454"/>
      <c r="FI134" s="454">
        <v>1</v>
      </c>
      <c r="FJ134" s="454">
        <v>12</v>
      </c>
      <c r="FK134" s="454">
        <v>3</v>
      </c>
      <c r="FL134" s="454">
        <v>1</v>
      </c>
      <c r="FM134" s="454"/>
      <c r="FN134" s="454"/>
      <c r="FO134" s="454">
        <v>17</v>
      </c>
      <c r="FP134" s="536">
        <f>+(FO130+FO132+FO133)/FO134</f>
        <v>0.35294117647058826</v>
      </c>
      <c r="FQ134" s="42"/>
      <c r="FR134" s="516"/>
      <c r="FS134" s="516"/>
      <c r="FT134" s="516" t="s">
        <v>135</v>
      </c>
      <c r="FU134" s="516" t="s">
        <v>1231</v>
      </c>
      <c r="FV134" s="516">
        <v>0</v>
      </c>
      <c r="FW134" s="516">
        <v>0</v>
      </c>
      <c r="FX134" s="516">
        <v>2</v>
      </c>
      <c r="FY134" s="516">
        <v>0</v>
      </c>
      <c r="FZ134" s="516">
        <v>2</v>
      </c>
      <c r="GA134" s="516">
        <v>0</v>
      </c>
      <c r="GB134" s="516">
        <v>18</v>
      </c>
      <c r="GC134" s="516">
        <v>0</v>
      </c>
      <c r="GD134" s="516">
        <v>0</v>
      </c>
      <c r="GE134" s="516">
        <v>0</v>
      </c>
      <c r="GF134" s="516">
        <v>0</v>
      </c>
      <c r="GG134" s="517">
        <v>22</v>
      </c>
      <c r="GH134" s="619"/>
      <c r="GI134" s="518"/>
    </row>
    <row r="135" spans="3:191">
      <c r="C135" s="4800" t="s">
        <v>124</v>
      </c>
      <c r="D135" s="4800" t="s">
        <v>1231</v>
      </c>
      <c r="E135" s="4606">
        <v>0</v>
      </c>
      <c r="F135" s="4606">
        <v>1</v>
      </c>
      <c r="G135" s="4606"/>
      <c r="H135" s="4606"/>
      <c r="I135" s="4606"/>
      <c r="J135" s="4606">
        <v>1</v>
      </c>
      <c r="K135" s="4606">
        <v>1</v>
      </c>
      <c r="L135" s="4606">
        <v>1</v>
      </c>
      <c r="M135" s="4606">
        <v>0</v>
      </c>
      <c r="N135" s="2552">
        <v>1</v>
      </c>
      <c r="O135" s="2552"/>
      <c r="P135" s="2552">
        <v>5</v>
      </c>
      <c r="Q135" s="2552"/>
      <c r="R135" s="2552"/>
      <c r="U135" s="37" t="s">
        <v>795</v>
      </c>
      <c r="V135" s="37" t="s">
        <v>1231</v>
      </c>
      <c r="W135" s="4803"/>
      <c r="X135" s="4803"/>
      <c r="Y135" s="4803"/>
      <c r="Z135" s="4803"/>
      <c r="AA135" s="4803"/>
      <c r="AB135" s="4803">
        <v>1</v>
      </c>
      <c r="AC135" s="4803">
        <v>0</v>
      </c>
      <c r="AD135" s="4803"/>
      <c r="AE135" s="1788">
        <v>0</v>
      </c>
      <c r="AF135" s="1788">
        <v>1</v>
      </c>
      <c r="AI135" s="41"/>
      <c r="AJ135" s="41"/>
      <c r="AK135" s="41"/>
      <c r="AL135" s="41" t="s">
        <v>1239</v>
      </c>
      <c r="AM135" s="2001"/>
      <c r="AN135" s="2001"/>
      <c r="AO135" s="2001"/>
      <c r="AP135" s="2001"/>
      <c r="AQ135" s="2001"/>
      <c r="AR135" s="2001"/>
      <c r="AS135" s="2001">
        <v>0</v>
      </c>
      <c r="AT135" s="2001">
        <v>1</v>
      </c>
      <c r="AU135" s="105"/>
      <c r="AV135" s="105">
        <v>3</v>
      </c>
      <c r="AW135" s="105">
        <v>4</v>
      </c>
      <c r="AX135" s="41"/>
      <c r="AZ135" s="42"/>
      <c r="BA135" s="42"/>
      <c r="BB135" s="42"/>
      <c r="BC135" s="484" t="s">
        <v>15</v>
      </c>
      <c r="BD135" s="1994"/>
      <c r="BE135" s="1994"/>
      <c r="BF135" s="1994"/>
      <c r="BG135" s="1994"/>
      <c r="BH135" s="1994"/>
      <c r="BI135" s="1994"/>
      <c r="BJ135" s="1994">
        <v>2</v>
      </c>
      <c r="BK135" s="1994">
        <v>3</v>
      </c>
      <c r="BL135" s="1994">
        <v>9</v>
      </c>
      <c r="BM135" s="454">
        <v>1</v>
      </c>
      <c r="BN135" s="454"/>
      <c r="BO135" s="454">
        <v>15</v>
      </c>
      <c r="BP135" s="2485">
        <f>+(BO132+BO134)/BO135</f>
        <v>0.33333333333333331</v>
      </c>
      <c r="BR135" s="105"/>
      <c r="BS135" s="105"/>
      <c r="BT135" s="41"/>
      <c r="BU135" s="461" t="s">
        <v>544</v>
      </c>
      <c r="BV135" s="1660"/>
      <c r="BW135" s="1660">
        <v>4</v>
      </c>
      <c r="BX135" s="1660">
        <v>2</v>
      </c>
      <c r="BY135" s="1660">
        <v>1</v>
      </c>
      <c r="BZ135" s="1660">
        <v>2</v>
      </c>
      <c r="CA135" s="1660">
        <v>1</v>
      </c>
      <c r="CB135" s="1660">
        <v>6</v>
      </c>
      <c r="CC135" s="1660">
        <v>24</v>
      </c>
      <c r="CD135" s="1660">
        <v>38</v>
      </c>
      <c r="CE135" s="96">
        <v>9</v>
      </c>
      <c r="CF135" s="96">
        <v>10</v>
      </c>
      <c r="CG135" s="96">
        <v>97</v>
      </c>
      <c r="CH135" s="635">
        <f>+(CG131+CG134-CE131)/CG135</f>
        <v>0.17525773195876287</v>
      </c>
      <c r="CJ135" s="1359"/>
      <c r="CK135" s="1359"/>
      <c r="CL135" s="1360"/>
      <c r="CM135" s="1361" t="s">
        <v>1239</v>
      </c>
      <c r="CN135" s="1362"/>
      <c r="CO135" s="1363">
        <v>0</v>
      </c>
      <c r="CP135" s="1362"/>
      <c r="CQ135" s="1362"/>
      <c r="CR135" s="1363">
        <v>0</v>
      </c>
      <c r="CS135" s="1363">
        <v>0</v>
      </c>
      <c r="CT135" s="1363">
        <v>0</v>
      </c>
      <c r="CU135" s="1363">
        <v>6</v>
      </c>
      <c r="CV135" s="687">
        <v>0</v>
      </c>
      <c r="CW135" s="686"/>
      <c r="CX135" s="687">
        <v>6</v>
      </c>
      <c r="CY135" s="41"/>
      <c r="DA135" s="602"/>
      <c r="DB135" s="602"/>
      <c r="DC135" s="603" t="s">
        <v>128</v>
      </c>
      <c r="DD135" s="604" t="s">
        <v>1231</v>
      </c>
      <c r="DE135" s="606">
        <v>1</v>
      </c>
      <c r="DF135" s="606">
        <v>1</v>
      </c>
      <c r="DG135" s="605"/>
      <c r="DH135" s="605"/>
      <c r="DI135" s="605"/>
      <c r="DJ135" s="605"/>
      <c r="DK135" s="606">
        <v>0</v>
      </c>
      <c r="DL135" s="605"/>
      <c r="DM135" s="602"/>
      <c r="DN135" s="602"/>
      <c r="DO135" s="607">
        <v>2</v>
      </c>
      <c r="DP135" s="105"/>
      <c r="DR135" s="608"/>
      <c r="DS135" s="608"/>
      <c r="DT135" s="608"/>
      <c r="DU135" s="609" t="s">
        <v>1233</v>
      </c>
      <c r="DV135" s="610"/>
      <c r="DW135" s="610"/>
      <c r="DX135" s="610"/>
      <c r="DY135" s="611">
        <v>1</v>
      </c>
      <c r="DZ135" s="610"/>
      <c r="EA135" s="610"/>
      <c r="EB135" s="611">
        <v>0</v>
      </c>
      <c r="EC135" s="611">
        <v>0</v>
      </c>
      <c r="ED135" s="611">
        <v>0</v>
      </c>
      <c r="EE135" s="612"/>
      <c r="EF135" s="612"/>
      <c r="EG135" s="613">
        <v>1</v>
      </c>
      <c r="EH135" s="614"/>
      <c r="EJ135" s="615"/>
      <c r="EK135" s="615"/>
      <c r="EL135" s="615"/>
      <c r="EM135" s="616" t="s">
        <v>1240</v>
      </c>
      <c r="EN135" s="617"/>
      <c r="EO135" s="617"/>
      <c r="EP135" s="617"/>
      <c r="EQ135" s="618">
        <v>0</v>
      </c>
      <c r="ER135" s="617"/>
      <c r="ES135" s="617"/>
      <c r="ET135" s="618">
        <v>1</v>
      </c>
      <c r="EU135" s="618">
        <v>0</v>
      </c>
      <c r="EV135" s="617"/>
      <c r="EW135" s="617"/>
      <c r="EX135" s="618">
        <v>1</v>
      </c>
      <c r="EY135" s="515"/>
      <c r="FA135" s="70"/>
      <c r="FB135" s="70" t="s">
        <v>104</v>
      </c>
      <c r="FC135" s="42" t="s">
        <v>143</v>
      </c>
      <c r="FD135" s="42" t="s">
        <v>1231</v>
      </c>
      <c r="FE135" s="70"/>
      <c r="FF135" s="70">
        <v>1</v>
      </c>
      <c r="FG135" s="70"/>
      <c r="FH135" s="70"/>
      <c r="FI135" s="70">
        <v>2</v>
      </c>
      <c r="FJ135" s="70">
        <v>1</v>
      </c>
      <c r="FK135" s="70">
        <v>0</v>
      </c>
      <c r="FL135" s="70"/>
      <c r="FM135" s="70"/>
      <c r="FN135" s="70"/>
      <c r="FO135" s="70">
        <v>4</v>
      </c>
      <c r="FP135" s="42"/>
      <c r="FQ135" s="42"/>
      <c r="FR135" s="516"/>
      <c r="FS135" s="516"/>
      <c r="FT135" s="516"/>
      <c r="FU135" s="516" t="s">
        <v>1239</v>
      </c>
      <c r="FV135" s="516">
        <v>0</v>
      </c>
      <c r="FW135" s="516">
        <v>0</v>
      </c>
      <c r="FX135" s="516">
        <v>0</v>
      </c>
      <c r="FY135" s="516">
        <v>0</v>
      </c>
      <c r="FZ135" s="516">
        <v>0</v>
      </c>
      <c r="GA135" s="516">
        <v>0</v>
      </c>
      <c r="GB135" s="516">
        <v>0</v>
      </c>
      <c r="GC135" s="516">
        <v>1</v>
      </c>
      <c r="GD135" s="516">
        <v>2</v>
      </c>
      <c r="GE135" s="516">
        <v>0</v>
      </c>
      <c r="GF135" s="516">
        <v>0</v>
      </c>
      <c r="GG135" s="517">
        <v>3</v>
      </c>
      <c r="GH135" s="619"/>
      <c r="GI135" s="518"/>
    </row>
    <row r="136" spans="3:191">
      <c r="D136" s="4800" t="s">
        <v>1239</v>
      </c>
      <c r="E136" s="4606">
        <v>0</v>
      </c>
      <c r="F136" s="4606">
        <v>0</v>
      </c>
      <c r="G136" s="4606"/>
      <c r="H136" s="4606"/>
      <c r="I136" s="4606"/>
      <c r="J136" s="4606">
        <v>0</v>
      </c>
      <c r="K136" s="4606">
        <v>0</v>
      </c>
      <c r="L136" s="4606">
        <v>3</v>
      </c>
      <c r="M136" s="4606">
        <v>2</v>
      </c>
      <c r="N136" s="2552">
        <v>1</v>
      </c>
      <c r="O136" s="2552"/>
      <c r="P136" s="2552">
        <v>6</v>
      </c>
      <c r="Q136" s="2552"/>
      <c r="R136" s="2552"/>
      <c r="V136" s="37" t="s">
        <v>1235</v>
      </c>
      <c r="W136" s="4803"/>
      <c r="X136" s="4803"/>
      <c r="Y136" s="4803"/>
      <c r="Z136" s="4803"/>
      <c r="AA136" s="4803"/>
      <c r="AB136" s="4803">
        <v>0</v>
      </c>
      <c r="AC136" s="4803">
        <v>1</v>
      </c>
      <c r="AD136" s="4803"/>
      <c r="AE136" s="1788">
        <v>0</v>
      </c>
      <c r="AF136" s="1788">
        <v>1</v>
      </c>
      <c r="AI136" s="41"/>
      <c r="AJ136" s="41"/>
      <c r="AK136" s="41"/>
      <c r="AL136" s="41" t="s">
        <v>1344</v>
      </c>
      <c r="AM136" s="2001"/>
      <c r="AN136" s="2001"/>
      <c r="AO136" s="2001"/>
      <c r="AP136" s="2001"/>
      <c r="AQ136" s="2001"/>
      <c r="AR136" s="2001"/>
      <c r="AS136" s="2001">
        <v>7</v>
      </c>
      <c r="AT136" s="2001">
        <v>14</v>
      </c>
      <c r="AU136" s="105"/>
      <c r="AV136" s="105">
        <v>0</v>
      </c>
      <c r="AW136" s="105">
        <v>21</v>
      </c>
      <c r="AX136" s="41"/>
      <c r="AZ136" s="42"/>
      <c r="BA136" s="42"/>
      <c r="BB136" s="42" t="s">
        <v>124</v>
      </c>
      <c r="BC136" s="42" t="s">
        <v>1230</v>
      </c>
      <c r="BD136" s="1993"/>
      <c r="BE136" s="1993"/>
      <c r="BF136" s="1993"/>
      <c r="BG136" s="1993"/>
      <c r="BH136" s="1993"/>
      <c r="BI136" s="1993">
        <v>0</v>
      </c>
      <c r="BJ136" s="1993">
        <v>0</v>
      </c>
      <c r="BK136" s="1993">
        <v>1</v>
      </c>
      <c r="BL136" s="1993">
        <v>1</v>
      </c>
      <c r="BM136" s="70">
        <v>0</v>
      </c>
      <c r="BN136" s="70">
        <v>1</v>
      </c>
      <c r="BO136" s="70">
        <v>3</v>
      </c>
      <c r="BR136" s="105"/>
      <c r="BS136" s="105" t="s">
        <v>16</v>
      </c>
      <c r="BT136" s="41" t="s">
        <v>125</v>
      </c>
      <c r="BU136" s="41" t="s">
        <v>1231</v>
      </c>
      <c r="BV136" s="1659"/>
      <c r="BW136" s="1659">
        <v>0</v>
      </c>
      <c r="BX136" s="1659">
        <v>0</v>
      </c>
      <c r="BY136" s="1659"/>
      <c r="BZ136" s="1659"/>
      <c r="CA136" s="1659"/>
      <c r="CB136" s="1659">
        <v>5</v>
      </c>
      <c r="CC136" s="1659"/>
      <c r="CD136" s="1659"/>
      <c r="CE136" s="105"/>
      <c r="CF136" s="105"/>
      <c r="CG136" s="105">
        <v>5</v>
      </c>
      <c r="CH136" s="105"/>
      <c r="CJ136" s="1359"/>
      <c r="CK136" s="1359"/>
      <c r="CL136" s="1360"/>
      <c r="CM136" s="1361" t="s">
        <v>1344</v>
      </c>
      <c r="CN136" s="1362"/>
      <c r="CO136" s="1363">
        <v>0</v>
      </c>
      <c r="CP136" s="1362"/>
      <c r="CQ136" s="1362"/>
      <c r="CR136" s="1363">
        <v>0</v>
      </c>
      <c r="CS136" s="1363">
        <v>2</v>
      </c>
      <c r="CT136" s="1363">
        <v>0</v>
      </c>
      <c r="CU136" s="1363">
        <v>0</v>
      </c>
      <c r="CV136" s="687">
        <v>0</v>
      </c>
      <c r="CW136" s="686"/>
      <c r="CX136" s="687">
        <v>2</v>
      </c>
      <c r="CY136" s="41"/>
      <c r="DA136" s="602"/>
      <c r="DB136" s="602"/>
      <c r="DC136" s="603"/>
      <c r="DD136" s="604" t="s">
        <v>1235</v>
      </c>
      <c r="DE136" s="606">
        <v>0</v>
      </c>
      <c r="DF136" s="606">
        <v>0</v>
      </c>
      <c r="DG136" s="605"/>
      <c r="DH136" s="605"/>
      <c r="DI136" s="605"/>
      <c r="DJ136" s="605"/>
      <c r="DK136" s="606">
        <v>5</v>
      </c>
      <c r="DL136" s="605"/>
      <c r="DM136" s="602"/>
      <c r="DN136" s="602"/>
      <c r="DO136" s="607">
        <v>5</v>
      </c>
      <c r="DP136" s="105"/>
      <c r="DR136" s="608"/>
      <c r="DS136" s="608"/>
      <c r="DT136" s="608"/>
      <c r="DU136" s="609" t="s">
        <v>1235</v>
      </c>
      <c r="DV136" s="610"/>
      <c r="DW136" s="610"/>
      <c r="DX136" s="610"/>
      <c r="DY136" s="611">
        <v>0</v>
      </c>
      <c r="DZ136" s="610"/>
      <c r="EA136" s="610"/>
      <c r="EB136" s="611">
        <v>6</v>
      </c>
      <c r="EC136" s="611">
        <v>3</v>
      </c>
      <c r="ED136" s="611">
        <v>0</v>
      </c>
      <c r="EE136" s="612"/>
      <c r="EF136" s="612"/>
      <c r="EG136" s="613">
        <v>9</v>
      </c>
      <c r="EH136" s="614"/>
      <c r="EJ136" s="615"/>
      <c r="EK136" s="615"/>
      <c r="EL136" s="615"/>
      <c r="EM136" s="616" t="s">
        <v>1344</v>
      </c>
      <c r="EN136" s="617"/>
      <c r="EO136" s="617"/>
      <c r="EP136" s="617"/>
      <c r="EQ136" s="618">
        <v>0</v>
      </c>
      <c r="ER136" s="617"/>
      <c r="ES136" s="617"/>
      <c r="ET136" s="618">
        <v>3</v>
      </c>
      <c r="EU136" s="618">
        <v>0</v>
      </c>
      <c r="EV136" s="617"/>
      <c r="EW136" s="617"/>
      <c r="EX136" s="618">
        <v>3</v>
      </c>
      <c r="EY136" s="515"/>
      <c r="FA136" s="70"/>
      <c r="FB136" s="70"/>
      <c r="FC136" s="42"/>
      <c r="FD136" s="42" t="s">
        <v>1235</v>
      </c>
      <c r="FE136" s="70"/>
      <c r="FF136" s="70">
        <v>0</v>
      </c>
      <c r="FG136" s="70"/>
      <c r="FH136" s="70"/>
      <c r="FI136" s="70">
        <v>0</v>
      </c>
      <c r="FJ136" s="70">
        <v>4</v>
      </c>
      <c r="FK136" s="70">
        <v>1</v>
      </c>
      <c r="FL136" s="70"/>
      <c r="FM136" s="70"/>
      <c r="FN136" s="70"/>
      <c r="FO136" s="70">
        <v>5</v>
      </c>
      <c r="FP136" s="42"/>
      <c r="FQ136" s="42"/>
      <c r="FR136" s="516"/>
      <c r="FS136" s="516"/>
      <c r="FT136" s="516"/>
      <c r="FU136" s="516" t="s">
        <v>1344</v>
      </c>
      <c r="FV136" s="516">
        <v>0</v>
      </c>
      <c r="FW136" s="516">
        <v>0</v>
      </c>
      <c r="FX136" s="516">
        <v>0</v>
      </c>
      <c r="FY136" s="516">
        <v>0</v>
      </c>
      <c r="FZ136" s="516">
        <v>0</v>
      </c>
      <c r="GA136" s="516">
        <v>0</v>
      </c>
      <c r="GB136" s="516">
        <v>1</v>
      </c>
      <c r="GC136" s="516">
        <v>0</v>
      </c>
      <c r="GD136" s="516">
        <v>0</v>
      </c>
      <c r="GE136" s="516">
        <v>0</v>
      </c>
      <c r="GF136" s="516">
        <v>0</v>
      </c>
      <c r="GG136" s="517">
        <v>1</v>
      </c>
      <c r="GH136" s="619"/>
      <c r="GI136" s="518"/>
    </row>
    <row r="137" spans="3:191">
      <c r="D137" s="4800" t="s">
        <v>2963</v>
      </c>
      <c r="E137" s="4606">
        <v>1</v>
      </c>
      <c r="F137" s="4606">
        <v>0</v>
      </c>
      <c r="G137" s="4606"/>
      <c r="H137" s="4606"/>
      <c r="I137" s="4606"/>
      <c r="J137" s="4606">
        <v>0</v>
      </c>
      <c r="K137" s="4606">
        <v>0</v>
      </c>
      <c r="L137" s="4606">
        <v>0</v>
      </c>
      <c r="M137" s="4606">
        <v>0</v>
      </c>
      <c r="N137" s="2552">
        <v>0</v>
      </c>
      <c r="O137" s="2552"/>
      <c r="P137" s="2552">
        <v>1</v>
      </c>
      <c r="Q137" s="2552"/>
      <c r="R137" s="2552"/>
      <c r="V137" s="37" t="s">
        <v>1239</v>
      </c>
      <c r="W137" s="4803"/>
      <c r="X137" s="4803"/>
      <c r="Y137" s="4803"/>
      <c r="Z137" s="4803"/>
      <c r="AA137" s="4803"/>
      <c r="AB137" s="4803">
        <v>0</v>
      </c>
      <c r="AC137" s="4803">
        <v>0</v>
      </c>
      <c r="AD137" s="4803"/>
      <c r="AE137" s="1788">
        <v>10</v>
      </c>
      <c r="AF137" s="1788">
        <v>10</v>
      </c>
      <c r="AI137" s="41"/>
      <c r="AJ137" s="41"/>
      <c r="AK137" s="41"/>
      <c r="AL137" s="461" t="s">
        <v>15</v>
      </c>
      <c r="AM137" s="2002"/>
      <c r="AN137" s="2002"/>
      <c r="AO137" s="2002"/>
      <c r="AP137" s="2002"/>
      <c r="AQ137" s="2002"/>
      <c r="AR137" s="2002"/>
      <c r="AS137" s="2002">
        <v>7</v>
      </c>
      <c r="AT137" s="2002">
        <v>18</v>
      </c>
      <c r="AU137" s="2480"/>
      <c r="AV137" s="2480">
        <v>3</v>
      </c>
      <c r="AW137" s="2480">
        <v>28</v>
      </c>
      <c r="AX137" s="635">
        <f>+(AW136+AW134)/AW137</f>
        <v>0.8214285714285714</v>
      </c>
      <c r="AY137" s="1977"/>
      <c r="AZ137" s="42"/>
      <c r="BA137" s="42"/>
      <c r="BB137" s="42"/>
      <c r="BC137" s="42" t="s">
        <v>1231</v>
      </c>
      <c r="BD137" s="1993"/>
      <c r="BE137" s="1993"/>
      <c r="BF137" s="1993"/>
      <c r="BG137" s="1993"/>
      <c r="BH137" s="1993"/>
      <c r="BI137" s="1993">
        <v>1</v>
      </c>
      <c r="BJ137" s="1993">
        <v>2</v>
      </c>
      <c r="BK137" s="1993">
        <v>1</v>
      </c>
      <c r="BL137" s="1993">
        <v>0</v>
      </c>
      <c r="BM137" s="70">
        <v>0</v>
      </c>
      <c r="BN137" s="70">
        <v>0</v>
      </c>
      <c r="BO137" s="70">
        <v>4</v>
      </c>
      <c r="BR137" s="105"/>
      <c r="BS137" s="105"/>
      <c r="BT137" s="41"/>
      <c r="BU137" s="41" t="s">
        <v>1235</v>
      </c>
      <c r="BV137" s="1659"/>
      <c r="BW137" s="1659">
        <v>0</v>
      </c>
      <c r="BX137" s="1659">
        <v>0</v>
      </c>
      <c r="BY137" s="1659"/>
      <c r="BZ137" s="1659"/>
      <c r="CA137" s="1659"/>
      <c r="CB137" s="1659">
        <v>3</v>
      </c>
      <c r="CC137" s="1659"/>
      <c r="CD137" s="1659"/>
      <c r="CE137" s="105"/>
      <c r="CF137" s="105"/>
      <c r="CG137" s="105">
        <v>3</v>
      </c>
      <c r="CH137" s="105"/>
      <c r="CJ137" s="1359"/>
      <c r="CK137" s="1359"/>
      <c r="CL137" s="1360"/>
      <c r="CM137" s="483" t="s">
        <v>15</v>
      </c>
      <c r="CN137" s="1364"/>
      <c r="CO137" s="1365">
        <v>2</v>
      </c>
      <c r="CP137" s="1364"/>
      <c r="CQ137" s="1364"/>
      <c r="CR137" s="1365">
        <v>1</v>
      </c>
      <c r="CS137" s="1365">
        <v>2</v>
      </c>
      <c r="CT137" s="1365">
        <v>1</v>
      </c>
      <c r="CU137" s="1365">
        <v>8</v>
      </c>
      <c r="CV137" s="696">
        <v>1</v>
      </c>
      <c r="CW137" s="695"/>
      <c r="CX137" s="696">
        <v>15</v>
      </c>
      <c r="CY137" s="1325">
        <f>+(CX133+CX136)/CX137</f>
        <v>0.2</v>
      </c>
      <c r="DA137" s="602"/>
      <c r="DB137" s="602"/>
      <c r="DC137" s="603"/>
      <c r="DD137" s="604" t="s">
        <v>1344</v>
      </c>
      <c r="DE137" s="606">
        <v>0</v>
      </c>
      <c r="DF137" s="606">
        <v>0</v>
      </c>
      <c r="DG137" s="605"/>
      <c r="DH137" s="605"/>
      <c r="DI137" s="605"/>
      <c r="DJ137" s="605"/>
      <c r="DK137" s="606">
        <v>7</v>
      </c>
      <c r="DL137" s="605"/>
      <c r="DM137" s="602"/>
      <c r="DN137" s="602"/>
      <c r="DO137" s="607">
        <v>7</v>
      </c>
      <c r="DP137" s="105"/>
      <c r="DR137" s="608"/>
      <c r="DS137" s="608"/>
      <c r="DT137" s="608"/>
      <c r="DU137" s="609" t="s">
        <v>1239</v>
      </c>
      <c r="DV137" s="610"/>
      <c r="DW137" s="610"/>
      <c r="DX137" s="610"/>
      <c r="DY137" s="611">
        <v>0</v>
      </c>
      <c r="DZ137" s="610"/>
      <c r="EA137" s="610"/>
      <c r="EB137" s="611">
        <v>0</v>
      </c>
      <c r="EC137" s="611">
        <v>0</v>
      </c>
      <c r="ED137" s="611">
        <v>5</v>
      </c>
      <c r="EE137" s="612"/>
      <c r="EF137" s="612"/>
      <c r="EG137" s="613">
        <v>5</v>
      </c>
      <c r="EH137" s="614"/>
      <c r="EJ137" s="615"/>
      <c r="EK137" s="615"/>
      <c r="EL137" s="615"/>
      <c r="EM137" s="625" t="s">
        <v>15</v>
      </c>
      <c r="EN137" s="626"/>
      <c r="EO137" s="626"/>
      <c r="EP137" s="626"/>
      <c r="EQ137" s="627">
        <v>2</v>
      </c>
      <c r="ER137" s="626"/>
      <c r="ES137" s="626"/>
      <c r="ET137" s="627">
        <v>6</v>
      </c>
      <c r="EU137" s="627">
        <v>6</v>
      </c>
      <c r="EV137" s="626"/>
      <c r="EW137" s="626"/>
      <c r="EX137" s="627">
        <v>14</v>
      </c>
      <c r="EY137" s="628">
        <f>+(EX136+EX135+EX133)/EX137</f>
        <v>0.35714285714285715</v>
      </c>
      <c r="FA137" s="70"/>
      <c r="FB137" s="70"/>
      <c r="FC137" s="42"/>
      <c r="FD137" s="42" t="s">
        <v>1240</v>
      </c>
      <c r="FE137" s="70"/>
      <c r="FF137" s="70">
        <v>0</v>
      </c>
      <c r="FG137" s="70"/>
      <c r="FH137" s="70"/>
      <c r="FI137" s="70">
        <v>0</v>
      </c>
      <c r="FJ137" s="70">
        <v>5</v>
      </c>
      <c r="FK137" s="70">
        <v>0</v>
      </c>
      <c r="FL137" s="70"/>
      <c r="FM137" s="70"/>
      <c r="FN137" s="70"/>
      <c r="FO137" s="70">
        <v>5</v>
      </c>
      <c r="FP137" s="42"/>
      <c r="FQ137" s="42"/>
      <c r="FR137" s="516"/>
      <c r="FS137" s="516"/>
      <c r="FT137" s="516"/>
      <c r="FU137" s="519" t="s">
        <v>15</v>
      </c>
      <c r="FV137" s="519">
        <v>0</v>
      </c>
      <c r="FW137" s="519">
        <v>0</v>
      </c>
      <c r="FX137" s="519">
        <v>2</v>
      </c>
      <c r="FY137" s="519">
        <v>0</v>
      </c>
      <c r="FZ137" s="519">
        <v>2</v>
      </c>
      <c r="GA137" s="519">
        <v>0</v>
      </c>
      <c r="GB137" s="519">
        <v>19</v>
      </c>
      <c r="GC137" s="519">
        <v>1</v>
      </c>
      <c r="GD137" s="519">
        <v>2</v>
      </c>
      <c r="GE137" s="519">
        <v>0</v>
      </c>
      <c r="GF137" s="519">
        <v>0</v>
      </c>
      <c r="GG137" s="579">
        <v>26</v>
      </c>
      <c r="GH137" s="629">
        <f>+GG136/GG137</f>
        <v>3.8461538461538464E-2</v>
      </c>
      <c r="GI137" s="518">
        <f>+GG136</f>
        <v>1</v>
      </c>
    </row>
    <row r="138" spans="3:191">
      <c r="D138" s="4800" t="s">
        <v>1344</v>
      </c>
      <c r="E138" s="4606">
        <v>0</v>
      </c>
      <c r="F138" s="4606">
        <v>0</v>
      </c>
      <c r="G138" s="4606"/>
      <c r="H138" s="4606"/>
      <c r="I138" s="4606"/>
      <c r="J138" s="4606">
        <v>0</v>
      </c>
      <c r="K138" s="4606">
        <v>1</v>
      </c>
      <c r="L138" s="4606">
        <v>0</v>
      </c>
      <c r="M138" s="4606">
        <v>0</v>
      </c>
      <c r="N138" s="2552">
        <v>0</v>
      </c>
      <c r="O138" s="2552"/>
      <c r="P138" s="2552">
        <v>1</v>
      </c>
      <c r="Q138" s="2552"/>
      <c r="R138" s="2552"/>
      <c r="V138" s="37" t="s">
        <v>1344</v>
      </c>
      <c r="W138" s="4803"/>
      <c r="X138" s="4803"/>
      <c r="Y138" s="4803"/>
      <c r="Z138" s="4803"/>
      <c r="AA138" s="4803"/>
      <c r="AB138" s="4803">
        <v>0</v>
      </c>
      <c r="AC138" s="4803">
        <v>2</v>
      </c>
      <c r="AD138" s="4803"/>
      <c r="AE138" s="1788">
        <v>0</v>
      </c>
      <c r="AF138" s="1788">
        <v>2</v>
      </c>
      <c r="AI138" s="41"/>
      <c r="AJ138" s="41"/>
      <c r="AK138" s="461" t="s">
        <v>544</v>
      </c>
      <c r="AL138" s="461" t="s">
        <v>1230</v>
      </c>
      <c r="AM138" s="2002">
        <v>0</v>
      </c>
      <c r="AN138" s="2002">
        <v>0</v>
      </c>
      <c r="AO138" s="2002">
        <v>0</v>
      </c>
      <c r="AP138" s="2002">
        <v>0</v>
      </c>
      <c r="AQ138" s="2002">
        <v>1</v>
      </c>
      <c r="AR138" s="2002">
        <v>0</v>
      </c>
      <c r="AS138" s="2002">
        <v>0</v>
      </c>
      <c r="AT138" s="2002">
        <v>3</v>
      </c>
      <c r="AU138" s="2480">
        <v>0</v>
      </c>
      <c r="AV138" s="2480">
        <v>0</v>
      </c>
      <c r="AW138" s="2480">
        <v>4</v>
      </c>
      <c r="AX138" s="41"/>
      <c r="AZ138" s="42"/>
      <c r="BA138" s="42"/>
      <c r="BB138" s="42"/>
      <c r="BC138" s="42" t="s">
        <v>1239</v>
      </c>
      <c r="BD138" s="1993"/>
      <c r="BE138" s="1993"/>
      <c r="BF138" s="1993"/>
      <c r="BG138" s="1993"/>
      <c r="BH138" s="1993"/>
      <c r="BI138" s="1993">
        <v>0</v>
      </c>
      <c r="BJ138" s="1993">
        <v>0</v>
      </c>
      <c r="BK138" s="1993">
        <v>0</v>
      </c>
      <c r="BL138" s="1993">
        <v>0</v>
      </c>
      <c r="BM138" s="70">
        <v>3</v>
      </c>
      <c r="BN138" s="70">
        <v>1</v>
      </c>
      <c r="BO138" s="70">
        <v>4</v>
      </c>
      <c r="BR138" s="105"/>
      <c r="BS138" s="105"/>
      <c r="BT138" s="41"/>
      <c r="BU138" s="41" t="s">
        <v>1236</v>
      </c>
      <c r="BV138" s="1659"/>
      <c r="BW138" s="1659">
        <v>1</v>
      </c>
      <c r="BX138" s="1659">
        <v>1</v>
      </c>
      <c r="BY138" s="1659"/>
      <c r="BZ138" s="1659"/>
      <c r="CA138" s="1659"/>
      <c r="CB138" s="1659">
        <v>0</v>
      </c>
      <c r="CC138" s="1659"/>
      <c r="CD138" s="1659"/>
      <c r="CE138" s="105"/>
      <c r="CF138" s="105"/>
      <c r="CG138" s="105">
        <v>2</v>
      </c>
      <c r="CH138" s="105"/>
      <c r="CJ138" s="1359"/>
      <c r="CK138" s="1359"/>
      <c r="CL138" s="1360" t="s">
        <v>795</v>
      </c>
      <c r="CM138" s="1361" t="s">
        <v>1230</v>
      </c>
      <c r="CN138" s="1363">
        <v>0</v>
      </c>
      <c r="CO138" s="1363">
        <v>0</v>
      </c>
      <c r="CP138" s="1362"/>
      <c r="CQ138" s="1362"/>
      <c r="CR138" s="1363">
        <v>0</v>
      </c>
      <c r="CS138" s="1362"/>
      <c r="CT138" s="1363">
        <v>0</v>
      </c>
      <c r="CU138" s="1363">
        <v>1</v>
      </c>
      <c r="CV138" s="687">
        <v>0</v>
      </c>
      <c r="CW138" s="687">
        <v>1</v>
      </c>
      <c r="CX138" s="687">
        <v>2</v>
      </c>
      <c r="CY138" s="41"/>
      <c r="DA138" s="602"/>
      <c r="DB138" s="602"/>
      <c r="DC138" s="603"/>
      <c r="DD138" s="630" t="s">
        <v>15</v>
      </c>
      <c r="DE138" s="632">
        <v>1</v>
      </c>
      <c r="DF138" s="632">
        <v>1</v>
      </c>
      <c r="DG138" s="631"/>
      <c r="DH138" s="631"/>
      <c r="DI138" s="631"/>
      <c r="DJ138" s="631"/>
      <c r="DK138" s="632">
        <v>12</v>
      </c>
      <c r="DL138" s="631"/>
      <c r="DM138" s="633"/>
      <c r="DN138" s="633"/>
      <c r="DO138" s="634">
        <v>14</v>
      </c>
      <c r="DP138" s="635">
        <f>+(DO136+DO137)/DO138</f>
        <v>0.8571428571428571</v>
      </c>
      <c r="DR138" s="608"/>
      <c r="DS138" s="608"/>
      <c r="DT138" s="608"/>
      <c r="DU138" s="609" t="s">
        <v>1344</v>
      </c>
      <c r="DV138" s="610"/>
      <c r="DW138" s="610"/>
      <c r="DX138" s="610"/>
      <c r="DY138" s="611">
        <v>0</v>
      </c>
      <c r="DZ138" s="610"/>
      <c r="EA138" s="610"/>
      <c r="EB138" s="611">
        <v>6</v>
      </c>
      <c r="EC138" s="611">
        <v>0</v>
      </c>
      <c r="ED138" s="611">
        <v>0</v>
      </c>
      <c r="EE138" s="612"/>
      <c r="EF138" s="612"/>
      <c r="EG138" s="613">
        <v>6</v>
      </c>
      <c r="EH138" s="614"/>
      <c r="EJ138" s="615"/>
      <c r="EK138" s="615"/>
      <c r="EL138" s="615" t="s">
        <v>111</v>
      </c>
      <c r="EM138" s="616" t="s">
        <v>1231</v>
      </c>
      <c r="EN138" s="617"/>
      <c r="EO138" s="617"/>
      <c r="EP138" s="618">
        <v>18</v>
      </c>
      <c r="EQ138" s="618">
        <v>0</v>
      </c>
      <c r="ER138" s="617"/>
      <c r="ES138" s="617"/>
      <c r="ET138" s="617"/>
      <c r="EU138" s="617"/>
      <c r="EV138" s="617"/>
      <c r="EW138" s="617"/>
      <c r="EX138" s="618">
        <v>18</v>
      </c>
      <c r="EY138" s="515"/>
      <c r="FA138" s="70"/>
      <c r="FB138" s="70"/>
      <c r="FC138" s="42"/>
      <c r="FD138" s="42" t="s">
        <v>1344</v>
      </c>
      <c r="FE138" s="70"/>
      <c r="FF138" s="70">
        <v>0</v>
      </c>
      <c r="FG138" s="70"/>
      <c r="FH138" s="70"/>
      <c r="FI138" s="70">
        <v>0</v>
      </c>
      <c r="FJ138" s="70">
        <v>7</v>
      </c>
      <c r="FK138" s="70">
        <v>0</v>
      </c>
      <c r="FL138" s="70"/>
      <c r="FM138" s="70"/>
      <c r="FN138" s="70"/>
      <c r="FO138" s="70">
        <v>7</v>
      </c>
      <c r="FP138" s="42"/>
      <c r="FQ138" s="42"/>
      <c r="FR138" s="516"/>
      <c r="FS138" s="516"/>
      <c r="FT138" s="516" t="s">
        <v>136</v>
      </c>
      <c r="FU138" s="516" t="s">
        <v>1231</v>
      </c>
      <c r="FV138" s="516">
        <v>0</v>
      </c>
      <c r="FW138" s="516">
        <v>0</v>
      </c>
      <c r="FX138" s="516">
        <v>0</v>
      </c>
      <c r="FY138" s="516">
        <v>0</v>
      </c>
      <c r="FZ138" s="516">
        <v>1</v>
      </c>
      <c r="GA138" s="516">
        <v>0</v>
      </c>
      <c r="GB138" s="516">
        <v>8</v>
      </c>
      <c r="GC138" s="516">
        <v>0</v>
      </c>
      <c r="GD138" s="516">
        <v>0</v>
      </c>
      <c r="GE138" s="516">
        <v>0</v>
      </c>
      <c r="GF138" s="516">
        <v>0</v>
      </c>
      <c r="GG138" s="517">
        <v>9</v>
      </c>
      <c r="GH138" s="619"/>
      <c r="GI138" s="518"/>
    </row>
    <row r="139" spans="3:191">
      <c r="D139" s="32" t="s">
        <v>15</v>
      </c>
      <c r="E139" s="4607">
        <v>1</v>
      </c>
      <c r="F139" s="4607">
        <v>1</v>
      </c>
      <c r="G139" s="4607"/>
      <c r="H139" s="4607"/>
      <c r="I139" s="4607"/>
      <c r="J139" s="4607">
        <v>1</v>
      </c>
      <c r="K139" s="4607">
        <v>2</v>
      </c>
      <c r="L139" s="4607">
        <v>4</v>
      </c>
      <c r="M139" s="4607">
        <v>2</v>
      </c>
      <c r="N139" s="4583">
        <v>2</v>
      </c>
      <c r="O139" s="4583"/>
      <c r="P139" s="4583">
        <v>13</v>
      </c>
      <c r="Q139" s="1977">
        <f>+P138/P139</f>
        <v>7.6923076923076927E-2</v>
      </c>
      <c r="R139" s="1977"/>
      <c r="V139" s="1793" t="s">
        <v>15</v>
      </c>
      <c r="W139" s="4804"/>
      <c r="X139" s="4804"/>
      <c r="Y139" s="4804"/>
      <c r="Z139" s="4804"/>
      <c r="AA139" s="4804"/>
      <c r="AB139" s="4804">
        <v>1</v>
      </c>
      <c r="AC139" s="4804">
        <v>3</v>
      </c>
      <c r="AD139" s="4804"/>
      <c r="AE139" s="4702">
        <v>10</v>
      </c>
      <c r="AF139" s="4702">
        <v>14</v>
      </c>
      <c r="AG139" s="4703">
        <f>+(AF136+AF138)/AF139</f>
        <v>0.21428571428571427</v>
      </c>
      <c r="AI139" s="41"/>
      <c r="AJ139" s="41"/>
      <c r="AK139" s="461"/>
      <c r="AL139" s="461" t="s">
        <v>1231</v>
      </c>
      <c r="AM139" s="2002">
        <v>1</v>
      </c>
      <c r="AN139" s="2002">
        <v>1</v>
      </c>
      <c r="AO139" s="2002">
        <v>0</v>
      </c>
      <c r="AP139" s="2002">
        <v>1</v>
      </c>
      <c r="AQ139" s="2002">
        <v>0</v>
      </c>
      <c r="AR139" s="2002">
        <v>1</v>
      </c>
      <c r="AS139" s="2002">
        <v>3</v>
      </c>
      <c r="AT139" s="2002">
        <v>1</v>
      </c>
      <c r="AU139" s="2480">
        <v>0</v>
      </c>
      <c r="AV139" s="2480">
        <v>0</v>
      </c>
      <c r="AW139" s="2480">
        <v>8</v>
      </c>
      <c r="AX139" s="41"/>
      <c r="AZ139" s="42"/>
      <c r="BA139" s="42"/>
      <c r="BB139" s="42"/>
      <c r="BC139" s="484" t="s">
        <v>15</v>
      </c>
      <c r="BD139" s="1994"/>
      <c r="BE139" s="1994"/>
      <c r="BF139" s="1994"/>
      <c r="BG139" s="1994"/>
      <c r="BH139" s="1994"/>
      <c r="BI139" s="1994">
        <v>1</v>
      </c>
      <c r="BJ139" s="1994">
        <v>2</v>
      </c>
      <c r="BK139" s="1994">
        <v>2</v>
      </c>
      <c r="BL139" s="1994">
        <v>1</v>
      </c>
      <c r="BM139" s="454">
        <v>3</v>
      </c>
      <c r="BN139" s="454">
        <v>2</v>
      </c>
      <c r="BO139" s="454">
        <v>11</v>
      </c>
      <c r="BP139" s="2485">
        <v>0</v>
      </c>
      <c r="BR139" s="105"/>
      <c r="BS139" s="105"/>
      <c r="BT139" s="41"/>
      <c r="BU139" s="41" t="s">
        <v>1344</v>
      </c>
      <c r="BV139" s="1659"/>
      <c r="BW139" s="1659">
        <v>0</v>
      </c>
      <c r="BX139" s="1659">
        <v>0</v>
      </c>
      <c r="BY139" s="1659"/>
      <c r="BZ139" s="1659"/>
      <c r="CA139" s="1659"/>
      <c r="CB139" s="1659">
        <v>5</v>
      </c>
      <c r="CC139" s="1659"/>
      <c r="CD139" s="1659"/>
      <c r="CE139" s="105"/>
      <c r="CF139" s="105"/>
      <c r="CG139" s="105">
        <v>5</v>
      </c>
      <c r="CH139" s="105"/>
      <c r="CJ139" s="1359"/>
      <c r="CK139" s="1359"/>
      <c r="CL139" s="1360"/>
      <c r="CM139" s="1361" t="s">
        <v>1231</v>
      </c>
      <c r="CN139" s="1363">
        <v>0</v>
      </c>
      <c r="CO139" s="1363">
        <v>0</v>
      </c>
      <c r="CP139" s="1362"/>
      <c r="CQ139" s="1362"/>
      <c r="CR139" s="1363">
        <v>0</v>
      </c>
      <c r="CS139" s="1362"/>
      <c r="CT139" s="1363">
        <v>1</v>
      </c>
      <c r="CU139" s="1363">
        <v>0</v>
      </c>
      <c r="CV139" s="687">
        <v>2</v>
      </c>
      <c r="CW139" s="687">
        <v>0</v>
      </c>
      <c r="CX139" s="687">
        <v>3</v>
      </c>
      <c r="CY139" s="41"/>
      <c r="DA139" s="602"/>
      <c r="DB139" s="602"/>
      <c r="DC139" s="603" t="s">
        <v>545</v>
      </c>
      <c r="DD139" s="604" t="s">
        <v>1231</v>
      </c>
      <c r="DE139" s="606">
        <v>1</v>
      </c>
      <c r="DF139" s="606">
        <v>3</v>
      </c>
      <c r="DG139" s="606">
        <v>0</v>
      </c>
      <c r="DH139" s="605"/>
      <c r="DI139" s="605"/>
      <c r="DJ139" s="606">
        <v>2</v>
      </c>
      <c r="DK139" s="606">
        <v>5</v>
      </c>
      <c r="DL139" s="606">
        <v>0</v>
      </c>
      <c r="DM139" s="602"/>
      <c r="DN139" s="602"/>
      <c r="DO139" s="607">
        <v>11</v>
      </c>
      <c r="DP139" s="105"/>
      <c r="DR139" s="608"/>
      <c r="DS139" s="608"/>
      <c r="DT139" s="608"/>
      <c r="DU139" s="620" t="s">
        <v>15</v>
      </c>
      <c r="DV139" s="621"/>
      <c r="DW139" s="621"/>
      <c r="DX139" s="621"/>
      <c r="DY139" s="622">
        <v>2</v>
      </c>
      <c r="DZ139" s="621"/>
      <c r="EA139" s="621"/>
      <c r="EB139" s="622">
        <v>12</v>
      </c>
      <c r="EC139" s="622">
        <v>4</v>
      </c>
      <c r="ED139" s="622">
        <v>6</v>
      </c>
      <c r="EE139" s="623"/>
      <c r="EF139" s="623"/>
      <c r="EG139" s="624">
        <v>24</v>
      </c>
      <c r="EH139" s="614">
        <f>+(EG138+EG136)/EG139</f>
        <v>0.625</v>
      </c>
      <c r="EJ139" s="615"/>
      <c r="EK139" s="615"/>
      <c r="EL139" s="615"/>
      <c r="EM139" s="616" t="s">
        <v>1235</v>
      </c>
      <c r="EN139" s="617"/>
      <c r="EO139" s="617"/>
      <c r="EP139" s="618">
        <v>3</v>
      </c>
      <c r="EQ139" s="618">
        <v>1</v>
      </c>
      <c r="ER139" s="617"/>
      <c r="ES139" s="617"/>
      <c r="ET139" s="617"/>
      <c r="EU139" s="617"/>
      <c r="EV139" s="617"/>
      <c r="EW139" s="617"/>
      <c r="EX139" s="618">
        <v>4</v>
      </c>
      <c r="EY139" s="515"/>
      <c r="FA139" s="70"/>
      <c r="FB139" s="70"/>
      <c r="FC139" s="42"/>
      <c r="FD139" s="484" t="s">
        <v>15</v>
      </c>
      <c r="FE139" s="454"/>
      <c r="FF139" s="454">
        <v>1</v>
      </c>
      <c r="FG139" s="454"/>
      <c r="FH139" s="454"/>
      <c r="FI139" s="454">
        <v>2</v>
      </c>
      <c r="FJ139" s="454">
        <v>17</v>
      </c>
      <c r="FK139" s="454">
        <v>1</v>
      </c>
      <c r="FL139" s="454"/>
      <c r="FM139" s="454"/>
      <c r="FN139" s="454"/>
      <c r="FO139" s="454">
        <v>21</v>
      </c>
      <c r="FP139" s="536">
        <f>+(FO136+FO137+FO138)/FO139</f>
        <v>0.80952380952380953</v>
      </c>
      <c r="FQ139" s="42"/>
      <c r="FR139" s="516"/>
      <c r="FS139" s="516"/>
      <c r="FT139" s="516"/>
      <c r="FU139" s="516" t="s">
        <v>1235</v>
      </c>
      <c r="FV139" s="516">
        <v>0</v>
      </c>
      <c r="FW139" s="516">
        <v>0</v>
      </c>
      <c r="FX139" s="516">
        <v>0</v>
      </c>
      <c r="FY139" s="516">
        <v>0</v>
      </c>
      <c r="FZ139" s="516">
        <v>0</v>
      </c>
      <c r="GA139" s="516">
        <v>0</v>
      </c>
      <c r="GB139" s="516">
        <v>3</v>
      </c>
      <c r="GC139" s="516">
        <v>0</v>
      </c>
      <c r="GD139" s="516">
        <v>0</v>
      </c>
      <c r="GE139" s="516">
        <v>0</v>
      </c>
      <c r="GF139" s="516">
        <v>0</v>
      </c>
      <c r="GG139" s="517">
        <v>3</v>
      </c>
      <c r="GH139" s="619"/>
      <c r="GI139" s="518"/>
    </row>
    <row r="140" spans="3:191">
      <c r="C140" s="4800" t="s">
        <v>417</v>
      </c>
      <c r="D140" s="4800" t="s">
        <v>1231</v>
      </c>
      <c r="E140" s="4606"/>
      <c r="F140" s="4606">
        <v>1</v>
      </c>
      <c r="G140" s="4606"/>
      <c r="H140" s="4606"/>
      <c r="I140" s="4606">
        <v>0</v>
      </c>
      <c r="J140" s="4606"/>
      <c r="K140" s="4606">
        <v>0</v>
      </c>
      <c r="L140" s="4606">
        <v>1</v>
      </c>
      <c r="M140" s="4606">
        <v>0</v>
      </c>
      <c r="N140" s="2552"/>
      <c r="O140" s="2552"/>
      <c r="P140" s="2552">
        <v>2</v>
      </c>
      <c r="Q140" s="2552"/>
      <c r="R140" s="2552"/>
      <c r="U140" s="1793" t="s">
        <v>544</v>
      </c>
      <c r="V140" s="1793" t="s">
        <v>1230</v>
      </c>
      <c r="W140" s="4804">
        <v>0</v>
      </c>
      <c r="X140" s="4804">
        <v>0</v>
      </c>
      <c r="Y140" s="4804"/>
      <c r="Z140" s="4804">
        <v>1</v>
      </c>
      <c r="AA140" s="4804">
        <v>0</v>
      </c>
      <c r="AB140" s="4804">
        <v>1</v>
      </c>
      <c r="AC140" s="4804">
        <v>7</v>
      </c>
      <c r="AD140" s="4804">
        <v>5</v>
      </c>
      <c r="AE140" s="4702">
        <v>3</v>
      </c>
      <c r="AF140" s="4702">
        <v>17</v>
      </c>
      <c r="AG140" s="1793"/>
      <c r="AI140" s="41"/>
      <c r="AJ140" s="41"/>
      <c r="AK140" s="461"/>
      <c r="AL140" s="461" t="s">
        <v>1235</v>
      </c>
      <c r="AM140" s="2002">
        <v>0</v>
      </c>
      <c r="AN140" s="2002">
        <v>0</v>
      </c>
      <c r="AO140" s="2002">
        <v>0</v>
      </c>
      <c r="AP140" s="2002">
        <v>0</v>
      </c>
      <c r="AQ140" s="2002">
        <v>0</v>
      </c>
      <c r="AR140" s="2002">
        <v>1</v>
      </c>
      <c r="AS140" s="2002">
        <v>8</v>
      </c>
      <c r="AT140" s="2002">
        <v>5</v>
      </c>
      <c r="AU140" s="2480">
        <v>2</v>
      </c>
      <c r="AV140" s="2480">
        <v>0</v>
      </c>
      <c r="AW140" s="2480">
        <v>16</v>
      </c>
      <c r="AX140" s="41"/>
      <c r="AZ140" s="42"/>
      <c r="BA140" s="42"/>
      <c r="BB140" s="42" t="s">
        <v>417</v>
      </c>
      <c r="BC140" s="42" t="s">
        <v>1230</v>
      </c>
      <c r="BD140" s="1993"/>
      <c r="BE140" s="1993">
        <v>0</v>
      </c>
      <c r="BF140" s="1993"/>
      <c r="BG140" s="1993"/>
      <c r="BH140" s="1993"/>
      <c r="BI140" s="1993">
        <v>0</v>
      </c>
      <c r="BJ140" s="1993">
        <v>0</v>
      </c>
      <c r="BK140" s="1993">
        <v>0</v>
      </c>
      <c r="BL140" s="1993">
        <v>0</v>
      </c>
      <c r="BM140" s="70">
        <v>1</v>
      </c>
      <c r="BN140" s="70"/>
      <c r="BO140" s="70">
        <v>1</v>
      </c>
      <c r="BR140" s="105"/>
      <c r="BS140" s="105"/>
      <c r="BT140" s="41"/>
      <c r="BU140" s="461" t="s">
        <v>15</v>
      </c>
      <c r="BV140" s="1660"/>
      <c r="BW140" s="1660">
        <v>1</v>
      </c>
      <c r="BX140" s="1660">
        <v>1</v>
      </c>
      <c r="BY140" s="1660"/>
      <c r="BZ140" s="1660"/>
      <c r="CA140" s="1660"/>
      <c r="CB140" s="1660">
        <v>13</v>
      </c>
      <c r="CC140" s="1660"/>
      <c r="CD140" s="1660"/>
      <c r="CE140" s="96"/>
      <c r="CF140" s="96"/>
      <c r="CG140" s="96">
        <v>15</v>
      </c>
      <c r="CH140" s="635">
        <f>+(CG137+CG139)/CG140</f>
        <v>0.53333333333333333</v>
      </c>
      <c r="CJ140" s="1359"/>
      <c r="CK140" s="1359"/>
      <c r="CL140" s="1360"/>
      <c r="CM140" s="1361" t="s">
        <v>1233</v>
      </c>
      <c r="CN140" s="1363">
        <v>3</v>
      </c>
      <c r="CO140" s="1363">
        <v>1</v>
      </c>
      <c r="CP140" s="1362"/>
      <c r="CQ140" s="1362"/>
      <c r="CR140" s="1363">
        <v>1</v>
      </c>
      <c r="CS140" s="1362"/>
      <c r="CT140" s="1363">
        <v>0</v>
      </c>
      <c r="CU140" s="1363">
        <v>0</v>
      </c>
      <c r="CV140" s="687">
        <v>0</v>
      </c>
      <c r="CW140" s="687">
        <v>0</v>
      </c>
      <c r="CX140" s="687">
        <v>5</v>
      </c>
      <c r="CY140" s="41"/>
      <c r="DA140" s="602"/>
      <c r="DB140" s="602"/>
      <c r="DC140" s="603"/>
      <c r="DD140" s="604" t="s">
        <v>1235</v>
      </c>
      <c r="DE140" s="606">
        <v>0</v>
      </c>
      <c r="DF140" s="606">
        <v>0</v>
      </c>
      <c r="DG140" s="606">
        <v>0</v>
      </c>
      <c r="DH140" s="605"/>
      <c r="DI140" s="605"/>
      <c r="DJ140" s="606">
        <v>4</v>
      </c>
      <c r="DK140" s="606">
        <v>38</v>
      </c>
      <c r="DL140" s="606">
        <v>0</v>
      </c>
      <c r="DM140" s="602"/>
      <c r="DN140" s="602"/>
      <c r="DO140" s="607">
        <v>42</v>
      </c>
      <c r="DP140" s="105"/>
      <c r="DR140" s="608"/>
      <c r="DS140" s="608"/>
      <c r="DT140" s="608" t="s">
        <v>130</v>
      </c>
      <c r="DU140" s="609" t="s">
        <v>1231</v>
      </c>
      <c r="DV140" s="610"/>
      <c r="DW140" s="610"/>
      <c r="DX140" s="610"/>
      <c r="DY140" s="610"/>
      <c r="DZ140" s="610"/>
      <c r="EA140" s="610"/>
      <c r="EB140" s="610"/>
      <c r="EC140" s="611">
        <v>2</v>
      </c>
      <c r="ED140" s="611">
        <v>0</v>
      </c>
      <c r="EE140" s="612"/>
      <c r="EF140" s="612"/>
      <c r="EG140" s="613">
        <v>2</v>
      </c>
      <c r="EH140" s="614"/>
      <c r="EJ140" s="615"/>
      <c r="EK140" s="615"/>
      <c r="EL140" s="615"/>
      <c r="EM140" s="616" t="s">
        <v>1240</v>
      </c>
      <c r="EN140" s="617"/>
      <c r="EO140" s="617"/>
      <c r="EP140" s="618">
        <v>5</v>
      </c>
      <c r="EQ140" s="618">
        <v>4</v>
      </c>
      <c r="ER140" s="617"/>
      <c r="ES140" s="617"/>
      <c r="ET140" s="617"/>
      <c r="EU140" s="617"/>
      <c r="EV140" s="617"/>
      <c r="EW140" s="617"/>
      <c r="EX140" s="618">
        <v>9</v>
      </c>
      <c r="EY140" s="515"/>
      <c r="FA140" s="70"/>
      <c r="FB140" s="70"/>
      <c r="FC140" s="42" t="s">
        <v>418</v>
      </c>
      <c r="FD140" s="42" t="s">
        <v>1231</v>
      </c>
      <c r="FE140" s="70"/>
      <c r="FF140" s="70"/>
      <c r="FG140" s="70"/>
      <c r="FH140" s="70"/>
      <c r="FI140" s="70"/>
      <c r="FJ140" s="70">
        <v>3</v>
      </c>
      <c r="FK140" s="70">
        <v>1</v>
      </c>
      <c r="FL140" s="70"/>
      <c r="FM140" s="70"/>
      <c r="FN140" s="70"/>
      <c r="FO140" s="70">
        <v>4</v>
      </c>
      <c r="FP140" s="42"/>
      <c r="FQ140" s="42"/>
      <c r="FR140" s="516"/>
      <c r="FS140" s="516"/>
      <c r="FT140" s="516"/>
      <c r="FU140" s="516" t="s">
        <v>1240</v>
      </c>
      <c r="FV140" s="516">
        <v>0</v>
      </c>
      <c r="FW140" s="516">
        <v>0</v>
      </c>
      <c r="FX140" s="516">
        <v>0</v>
      </c>
      <c r="FY140" s="516">
        <v>0</v>
      </c>
      <c r="FZ140" s="516">
        <v>0</v>
      </c>
      <c r="GA140" s="516">
        <v>0</v>
      </c>
      <c r="GB140" s="516">
        <v>1</v>
      </c>
      <c r="GC140" s="516">
        <v>0</v>
      </c>
      <c r="GD140" s="516">
        <v>0</v>
      </c>
      <c r="GE140" s="516">
        <v>0</v>
      </c>
      <c r="GF140" s="516">
        <v>0</v>
      </c>
      <c r="GG140" s="517">
        <v>1</v>
      </c>
      <c r="GH140" s="619"/>
      <c r="GI140" s="518"/>
    </row>
    <row r="141" spans="3:191">
      <c r="D141" s="4800" t="s">
        <v>1235</v>
      </c>
      <c r="E141" s="4606"/>
      <c r="F141" s="4606">
        <v>0</v>
      </c>
      <c r="G141" s="4606"/>
      <c r="H141" s="4606"/>
      <c r="I141" s="4606">
        <v>0</v>
      </c>
      <c r="J141" s="4606"/>
      <c r="K141" s="4606">
        <v>2</v>
      </c>
      <c r="L141" s="4606">
        <v>1</v>
      </c>
      <c r="M141" s="4606">
        <v>0</v>
      </c>
      <c r="N141" s="2552"/>
      <c r="O141" s="2552"/>
      <c r="P141" s="2552">
        <v>3</v>
      </c>
      <c r="Q141" s="2552"/>
      <c r="R141" s="2552"/>
      <c r="U141" s="1793"/>
      <c r="V141" s="1793" t="s">
        <v>1231</v>
      </c>
      <c r="W141" s="4804">
        <v>3</v>
      </c>
      <c r="X141" s="4804">
        <v>1</v>
      </c>
      <c r="Y141" s="4804"/>
      <c r="Z141" s="4804">
        <v>0</v>
      </c>
      <c r="AA141" s="4804">
        <v>3</v>
      </c>
      <c r="AB141" s="4804">
        <v>2</v>
      </c>
      <c r="AC141" s="4804">
        <v>2</v>
      </c>
      <c r="AD141" s="4804">
        <v>0</v>
      </c>
      <c r="AE141" s="4702">
        <v>0</v>
      </c>
      <c r="AF141" s="4702">
        <v>11</v>
      </c>
      <c r="AG141" s="1793"/>
      <c r="AI141" s="41"/>
      <c r="AJ141" s="41"/>
      <c r="AK141" s="461"/>
      <c r="AL141" s="461" t="s">
        <v>1236</v>
      </c>
      <c r="AM141" s="2002">
        <v>0</v>
      </c>
      <c r="AN141" s="2002">
        <v>0</v>
      </c>
      <c r="AO141" s="2002">
        <v>1</v>
      </c>
      <c r="AP141" s="2002">
        <v>1</v>
      </c>
      <c r="AQ141" s="2002">
        <v>0</v>
      </c>
      <c r="AR141" s="2002">
        <v>1</v>
      </c>
      <c r="AS141" s="2002">
        <v>0</v>
      </c>
      <c r="AT141" s="2002">
        <v>0</v>
      </c>
      <c r="AU141" s="2480">
        <v>0</v>
      </c>
      <c r="AV141" s="2480">
        <v>0</v>
      </c>
      <c r="AW141" s="2480">
        <v>3</v>
      </c>
      <c r="AX141" s="41"/>
      <c r="AZ141" s="42"/>
      <c r="BA141" s="42"/>
      <c r="BB141" s="42"/>
      <c r="BC141" s="42" t="s">
        <v>1231</v>
      </c>
      <c r="BD141" s="1993"/>
      <c r="BE141" s="1993">
        <v>1</v>
      </c>
      <c r="BF141" s="1993"/>
      <c r="BG141" s="1993"/>
      <c r="BH141" s="1993"/>
      <c r="BI141" s="1993">
        <v>0</v>
      </c>
      <c r="BJ141" s="1993">
        <v>0</v>
      </c>
      <c r="BK141" s="1993">
        <v>2</v>
      </c>
      <c r="BL141" s="1993">
        <v>0</v>
      </c>
      <c r="BM141" s="70">
        <v>0</v>
      </c>
      <c r="BN141" s="70"/>
      <c r="BO141" s="70">
        <v>3</v>
      </c>
      <c r="BR141" s="105"/>
      <c r="BS141" s="105"/>
      <c r="BT141" s="41" t="s">
        <v>126</v>
      </c>
      <c r="BU141" s="41" t="s">
        <v>1231</v>
      </c>
      <c r="BV141" s="1659"/>
      <c r="BW141" s="1659"/>
      <c r="BX141" s="1659"/>
      <c r="BY141" s="1659"/>
      <c r="BZ141" s="1659"/>
      <c r="CA141" s="1659">
        <v>0</v>
      </c>
      <c r="CB141" s="1659">
        <v>9</v>
      </c>
      <c r="CC141" s="1659">
        <v>7</v>
      </c>
      <c r="CD141" s="1659">
        <v>0</v>
      </c>
      <c r="CE141" s="105"/>
      <c r="CF141" s="105"/>
      <c r="CG141" s="105">
        <v>16</v>
      </c>
      <c r="CH141" s="105"/>
      <c r="CJ141" s="1359"/>
      <c r="CK141" s="1359"/>
      <c r="CL141" s="1360"/>
      <c r="CM141" s="1361" t="s">
        <v>1235</v>
      </c>
      <c r="CN141" s="1363">
        <v>0</v>
      </c>
      <c r="CO141" s="1363">
        <v>0</v>
      </c>
      <c r="CP141" s="1362"/>
      <c r="CQ141" s="1362"/>
      <c r="CR141" s="1363">
        <v>0</v>
      </c>
      <c r="CS141" s="1362"/>
      <c r="CT141" s="1363">
        <v>0</v>
      </c>
      <c r="CU141" s="1363">
        <v>1</v>
      </c>
      <c r="CV141" s="687">
        <v>0</v>
      </c>
      <c r="CW141" s="687">
        <v>0</v>
      </c>
      <c r="CX141" s="687">
        <v>1</v>
      </c>
      <c r="CY141" s="41"/>
      <c r="DA141" s="602"/>
      <c r="DB141" s="602"/>
      <c r="DC141" s="603"/>
      <c r="DD141" s="604" t="s">
        <v>1236</v>
      </c>
      <c r="DE141" s="606">
        <v>1</v>
      </c>
      <c r="DF141" s="606">
        <v>1</v>
      </c>
      <c r="DG141" s="606">
        <v>1</v>
      </c>
      <c r="DH141" s="605"/>
      <c r="DI141" s="605"/>
      <c r="DJ141" s="606">
        <v>0</v>
      </c>
      <c r="DK141" s="606">
        <v>0</v>
      </c>
      <c r="DL141" s="606">
        <v>0</v>
      </c>
      <c r="DM141" s="602"/>
      <c r="DN141" s="602"/>
      <c r="DO141" s="607">
        <v>3</v>
      </c>
      <c r="DP141" s="105"/>
      <c r="DR141" s="608"/>
      <c r="DS141" s="608"/>
      <c r="DT141" s="608"/>
      <c r="DU141" s="609" t="s">
        <v>1235</v>
      </c>
      <c r="DV141" s="610"/>
      <c r="DW141" s="610"/>
      <c r="DX141" s="610"/>
      <c r="DY141" s="610"/>
      <c r="DZ141" s="610"/>
      <c r="EA141" s="610"/>
      <c r="EB141" s="610"/>
      <c r="EC141" s="611">
        <v>10</v>
      </c>
      <c r="ED141" s="611">
        <v>0</v>
      </c>
      <c r="EE141" s="612"/>
      <c r="EF141" s="612"/>
      <c r="EG141" s="613">
        <v>10</v>
      </c>
      <c r="EH141" s="614"/>
      <c r="EJ141" s="615"/>
      <c r="EK141" s="615"/>
      <c r="EL141" s="615"/>
      <c r="EM141" s="616" t="s">
        <v>1344</v>
      </c>
      <c r="EN141" s="617"/>
      <c r="EO141" s="617"/>
      <c r="EP141" s="618">
        <v>8</v>
      </c>
      <c r="EQ141" s="618">
        <v>0</v>
      </c>
      <c r="ER141" s="617"/>
      <c r="ES141" s="617"/>
      <c r="ET141" s="617"/>
      <c r="EU141" s="617"/>
      <c r="EV141" s="617"/>
      <c r="EW141" s="617"/>
      <c r="EX141" s="618">
        <v>8</v>
      </c>
      <c r="EY141" s="515"/>
      <c r="FA141" s="70"/>
      <c r="FB141" s="70"/>
      <c r="FC141" s="42"/>
      <c r="FD141" s="42" t="s">
        <v>1235</v>
      </c>
      <c r="FE141" s="70"/>
      <c r="FF141" s="70"/>
      <c r="FG141" s="70"/>
      <c r="FH141" s="70"/>
      <c r="FI141" s="70"/>
      <c r="FJ141" s="70">
        <v>2</v>
      </c>
      <c r="FK141" s="70">
        <v>1</v>
      </c>
      <c r="FL141" s="70"/>
      <c r="FM141" s="70"/>
      <c r="FN141" s="70"/>
      <c r="FO141" s="70">
        <v>3</v>
      </c>
      <c r="FP141" s="42"/>
      <c r="FQ141" s="42"/>
      <c r="FR141" s="516"/>
      <c r="FS141" s="516"/>
      <c r="FT141" s="516"/>
      <c r="FU141" s="516" t="s">
        <v>1344</v>
      </c>
      <c r="FV141" s="516">
        <v>0</v>
      </c>
      <c r="FW141" s="516">
        <v>0</v>
      </c>
      <c r="FX141" s="516">
        <v>0</v>
      </c>
      <c r="FY141" s="516">
        <v>0</v>
      </c>
      <c r="FZ141" s="516">
        <v>0</v>
      </c>
      <c r="GA141" s="516">
        <v>0</v>
      </c>
      <c r="GB141" s="516">
        <v>5</v>
      </c>
      <c r="GC141" s="516">
        <v>0</v>
      </c>
      <c r="GD141" s="516">
        <v>0</v>
      </c>
      <c r="GE141" s="516">
        <v>0</v>
      </c>
      <c r="GF141" s="516">
        <v>0</v>
      </c>
      <c r="GG141" s="517">
        <v>5</v>
      </c>
      <c r="GH141" s="619"/>
      <c r="GI141" s="518"/>
    </row>
    <row r="142" spans="3:191">
      <c r="D142" s="4800" t="s">
        <v>1236</v>
      </c>
      <c r="E142" s="4606"/>
      <c r="F142" s="4606">
        <v>0</v>
      </c>
      <c r="G142" s="4606"/>
      <c r="H142" s="4606"/>
      <c r="I142" s="4606">
        <v>1</v>
      </c>
      <c r="J142" s="4606"/>
      <c r="K142" s="4606">
        <v>0</v>
      </c>
      <c r="L142" s="4606">
        <v>0</v>
      </c>
      <c r="M142" s="4606">
        <v>0</v>
      </c>
      <c r="N142" s="2552"/>
      <c r="O142" s="2552"/>
      <c r="P142" s="2552">
        <v>1</v>
      </c>
      <c r="Q142" s="2552"/>
      <c r="R142" s="2552"/>
      <c r="U142" s="1793"/>
      <c r="V142" s="1793" t="s">
        <v>1235</v>
      </c>
      <c r="W142" s="4804">
        <v>0</v>
      </c>
      <c r="X142" s="4804">
        <v>0</v>
      </c>
      <c r="Y142" s="4804"/>
      <c r="Z142" s="4804">
        <v>0</v>
      </c>
      <c r="AA142" s="4804">
        <v>0</v>
      </c>
      <c r="AB142" s="4804">
        <v>4</v>
      </c>
      <c r="AC142" s="4804">
        <v>4</v>
      </c>
      <c r="AD142" s="4804">
        <v>1</v>
      </c>
      <c r="AE142" s="4702">
        <v>0</v>
      </c>
      <c r="AF142" s="4702">
        <v>9</v>
      </c>
      <c r="AG142" s="1793"/>
      <c r="AI142" s="41"/>
      <c r="AJ142" s="41"/>
      <c r="AK142" s="461"/>
      <c r="AL142" s="461" t="s">
        <v>1239</v>
      </c>
      <c r="AM142" s="2002">
        <v>0</v>
      </c>
      <c r="AN142" s="2002">
        <v>0</v>
      </c>
      <c r="AO142" s="2002">
        <v>0</v>
      </c>
      <c r="AP142" s="2002">
        <v>0</v>
      </c>
      <c r="AQ142" s="2002">
        <v>0</v>
      </c>
      <c r="AR142" s="2002">
        <v>0</v>
      </c>
      <c r="AS142" s="2002">
        <v>0</v>
      </c>
      <c r="AT142" s="2002">
        <v>27</v>
      </c>
      <c r="AU142" s="2480">
        <v>7</v>
      </c>
      <c r="AV142" s="2480">
        <v>5</v>
      </c>
      <c r="AW142" s="2480">
        <v>39</v>
      </c>
      <c r="AX142" s="41"/>
      <c r="AZ142" s="42"/>
      <c r="BA142" s="42"/>
      <c r="BB142" s="42"/>
      <c r="BC142" s="42" t="s">
        <v>1235</v>
      </c>
      <c r="BD142" s="1993"/>
      <c r="BE142" s="1993">
        <v>0</v>
      </c>
      <c r="BF142" s="1993"/>
      <c r="BG142" s="1993"/>
      <c r="BH142" s="1993"/>
      <c r="BI142" s="1993">
        <v>0</v>
      </c>
      <c r="BJ142" s="1993">
        <v>1</v>
      </c>
      <c r="BK142" s="1993">
        <v>3</v>
      </c>
      <c r="BL142" s="1993">
        <v>0</v>
      </c>
      <c r="BM142" s="70">
        <v>0</v>
      </c>
      <c r="BN142" s="70"/>
      <c r="BO142" s="70">
        <v>4</v>
      </c>
      <c r="BR142" s="105"/>
      <c r="BS142" s="105"/>
      <c r="BT142" s="41"/>
      <c r="BU142" s="41" t="s">
        <v>1235</v>
      </c>
      <c r="BV142" s="1659"/>
      <c r="BW142" s="1659"/>
      <c r="BX142" s="1659"/>
      <c r="BY142" s="1659"/>
      <c r="BZ142" s="1659"/>
      <c r="CA142" s="1659">
        <v>0</v>
      </c>
      <c r="CB142" s="1659">
        <v>7</v>
      </c>
      <c r="CC142" s="1659">
        <v>16</v>
      </c>
      <c r="CD142" s="1659">
        <v>0</v>
      </c>
      <c r="CE142" s="105"/>
      <c r="CF142" s="105"/>
      <c r="CG142" s="105">
        <v>23</v>
      </c>
      <c r="CH142" s="105"/>
      <c r="CJ142" s="1359"/>
      <c r="CK142" s="1359"/>
      <c r="CL142" s="1360"/>
      <c r="CM142" s="1361" t="s">
        <v>1239</v>
      </c>
      <c r="CN142" s="1363">
        <v>0</v>
      </c>
      <c r="CO142" s="1363">
        <v>0</v>
      </c>
      <c r="CP142" s="1362"/>
      <c r="CQ142" s="1362"/>
      <c r="CR142" s="1363">
        <v>0</v>
      </c>
      <c r="CS142" s="1362"/>
      <c r="CT142" s="1363">
        <v>0</v>
      </c>
      <c r="CU142" s="1363">
        <v>0</v>
      </c>
      <c r="CV142" s="687">
        <v>0</v>
      </c>
      <c r="CW142" s="687">
        <v>9</v>
      </c>
      <c r="CX142" s="687">
        <v>9</v>
      </c>
      <c r="CY142" s="41"/>
      <c r="DA142" s="602"/>
      <c r="DB142" s="602"/>
      <c r="DC142" s="603"/>
      <c r="DD142" s="604" t="s">
        <v>1239</v>
      </c>
      <c r="DE142" s="606">
        <v>0</v>
      </c>
      <c r="DF142" s="606">
        <v>0</v>
      </c>
      <c r="DG142" s="606">
        <v>0</v>
      </c>
      <c r="DH142" s="605"/>
      <c r="DI142" s="605"/>
      <c r="DJ142" s="606">
        <v>0</v>
      </c>
      <c r="DK142" s="606">
        <v>1</v>
      </c>
      <c r="DL142" s="606">
        <v>22</v>
      </c>
      <c r="DM142" s="602"/>
      <c r="DN142" s="602"/>
      <c r="DO142" s="607">
        <v>23</v>
      </c>
      <c r="DP142" s="105"/>
      <c r="DR142" s="608"/>
      <c r="DS142" s="608"/>
      <c r="DT142" s="608"/>
      <c r="DU142" s="609" t="s">
        <v>1239</v>
      </c>
      <c r="DV142" s="610"/>
      <c r="DW142" s="610"/>
      <c r="DX142" s="610"/>
      <c r="DY142" s="610"/>
      <c r="DZ142" s="610"/>
      <c r="EA142" s="610"/>
      <c r="EB142" s="610"/>
      <c r="EC142" s="611">
        <v>0</v>
      </c>
      <c r="ED142" s="611">
        <v>6</v>
      </c>
      <c r="EE142" s="612"/>
      <c r="EF142" s="612"/>
      <c r="EG142" s="613">
        <v>6</v>
      </c>
      <c r="EH142" s="614"/>
      <c r="EJ142" s="615"/>
      <c r="EK142" s="615"/>
      <c r="EL142" s="615"/>
      <c r="EM142" s="625" t="s">
        <v>15</v>
      </c>
      <c r="EN142" s="626"/>
      <c r="EO142" s="626"/>
      <c r="EP142" s="627">
        <v>34</v>
      </c>
      <c r="EQ142" s="627">
        <v>5</v>
      </c>
      <c r="ER142" s="626"/>
      <c r="ES142" s="626"/>
      <c r="ET142" s="626"/>
      <c r="EU142" s="626"/>
      <c r="EV142" s="626"/>
      <c r="EW142" s="626"/>
      <c r="EX142" s="627">
        <v>39</v>
      </c>
      <c r="EY142" s="628">
        <f>+(EX141+EX140+EX139)/EX142</f>
        <v>0.53846153846153844</v>
      </c>
      <c r="FA142" s="70"/>
      <c r="FB142" s="70"/>
      <c r="FC142" s="42"/>
      <c r="FD142" s="42" t="s">
        <v>1240</v>
      </c>
      <c r="FE142" s="70"/>
      <c r="FF142" s="70"/>
      <c r="FG142" s="70"/>
      <c r="FH142" s="70"/>
      <c r="FI142" s="70"/>
      <c r="FJ142" s="70">
        <v>2</v>
      </c>
      <c r="FK142" s="70">
        <v>2</v>
      </c>
      <c r="FL142" s="70"/>
      <c r="FM142" s="70"/>
      <c r="FN142" s="70"/>
      <c r="FO142" s="70">
        <v>4</v>
      </c>
      <c r="FP142" s="42"/>
      <c r="FQ142" s="42"/>
      <c r="FR142" s="516"/>
      <c r="FS142" s="516"/>
      <c r="FT142" s="516"/>
      <c r="FU142" s="519" t="s">
        <v>15</v>
      </c>
      <c r="FV142" s="519">
        <v>0</v>
      </c>
      <c r="FW142" s="519">
        <v>0</v>
      </c>
      <c r="FX142" s="519">
        <v>0</v>
      </c>
      <c r="FY142" s="519">
        <v>0</v>
      </c>
      <c r="FZ142" s="519">
        <v>1</v>
      </c>
      <c r="GA142" s="519">
        <v>0</v>
      </c>
      <c r="GB142" s="519">
        <v>17</v>
      </c>
      <c r="GC142" s="519">
        <v>0</v>
      </c>
      <c r="GD142" s="519">
        <v>0</v>
      </c>
      <c r="GE142" s="519">
        <v>0</v>
      </c>
      <c r="GF142" s="519">
        <v>0</v>
      </c>
      <c r="GG142" s="579">
        <v>18</v>
      </c>
      <c r="GH142" s="629">
        <f>+(GG141+GG140+GG139)/GG142</f>
        <v>0.5</v>
      </c>
      <c r="GI142" s="518">
        <f>+GG139+GG140+GG141</f>
        <v>9</v>
      </c>
    </row>
    <row r="143" spans="3:191">
      <c r="D143" s="4800" t="s">
        <v>1239</v>
      </c>
      <c r="E143" s="4606"/>
      <c r="F143" s="4606">
        <v>0</v>
      </c>
      <c r="G143" s="4606"/>
      <c r="H143" s="4606"/>
      <c r="I143" s="4606">
        <v>0</v>
      </c>
      <c r="J143" s="4606"/>
      <c r="K143" s="4606">
        <v>0</v>
      </c>
      <c r="L143" s="4606">
        <v>1</v>
      </c>
      <c r="M143" s="4606">
        <v>2</v>
      </c>
      <c r="N143" s="2552"/>
      <c r="O143" s="2552"/>
      <c r="P143" s="2552">
        <v>3</v>
      </c>
      <c r="Q143" s="2552"/>
      <c r="R143" s="2552"/>
      <c r="U143" s="1793"/>
      <c r="V143" s="1793" t="s">
        <v>1239</v>
      </c>
      <c r="W143" s="4804">
        <v>0</v>
      </c>
      <c r="X143" s="4804">
        <v>0</v>
      </c>
      <c r="Y143" s="4804"/>
      <c r="Z143" s="4804">
        <v>0</v>
      </c>
      <c r="AA143" s="4804">
        <v>0</v>
      </c>
      <c r="AB143" s="4804">
        <v>0</v>
      </c>
      <c r="AC143" s="4804">
        <v>35</v>
      </c>
      <c r="AD143" s="4804">
        <v>9</v>
      </c>
      <c r="AE143" s="4702">
        <v>13</v>
      </c>
      <c r="AF143" s="4702">
        <v>57</v>
      </c>
      <c r="AG143" s="1793"/>
      <c r="AI143" s="41"/>
      <c r="AJ143" s="41"/>
      <c r="AK143" s="461"/>
      <c r="AL143" s="461" t="s">
        <v>1344</v>
      </c>
      <c r="AM143" s="2002">
        <v>0</v>
      </c>
      <c r="AN143" s="2002">
        <v>0</v>
      </c>
      <c r="AO143" s="2002">
        <v>0</v>
      </c>
      <c r="AP143" s="2002">
        <v>0</v>
      </c>
      <c r="AQ143" s="2002">
        <v>0</v>
      </c>
      <c r="AR143" s="2002">
        <v>12</v>
      </c>
      <c r="AS143" s="2002">
        <v>9</v>
      </c>
      <c r="AT143" s="2002">
        <v>16</v>
      </c>
      <c r="AU143" s="2480">
        <v>0</v>
      </c>
      <c r="AV143" s="2480">
        <v>0</v>
      </c>
      <c r="AW143" s="2480">
        <v>37</v>
      </c>
      <c r="AX143" s="41"/>
      <c r="AZ143" s="42"/>
      <c r="BA143" s="42"/>
      <c r="BB143" s="42"/>
      <c r="BC143" s="42" t="s">
        <v>1239</v>
      </c>
      <c r="BD143" s="1993"/>
      <c r="BE143" s="1993">
        <v>0</v>
      </c>
      <c r="BF143" s="1993"/>
      <c r="BG143" s="1993"/>
      <c r="BH143" s="1993"/>
      <c r="BI143" s="1993">
        <v>1</v>
      </c>
      <c r="BJ143" s="1993">
        <v>0</v>
      </c>
      <c r="BK143" s="1993">
        <v>0</v>
      </c>
      <c r="BL143" s="1993">
        <v>6</v>
      </c>
      <c r="BM143" s="70">
        <v>0</v>
      </c>
      <c r="BN143" s="70"/>
      <c r="BO143" s="70">
        <v>7</v>
      </c>
      <c r="BR143" s="105"/>
      <c r="BS143" s="105"/>
      <c r="BT143" s="41"/>
      <c r="BU143" s="41" t="s">
        <v>1236</v>
      </c>
      <c r="BV143" s="1659"/>
      <c r="BW143" s="1659"/>
      <c r="BX143" s="1659"/>
      <c r="BY143" s="1659"/>
      <c r="BZ143" s="1659"/>
      <c r="CA143" s="1659">
        <v>2</v>
      </c>
      <c r="CB143" s="1659">
        <v>0</v>
      </c>
      <c r="CC143" s="1659">
        <v>0</v>
      </c>
      <c r="CD143" s="1659">
        <v>0</v>
      </c>
      <c r="CE143" s="105"/>
      <c r="CF143" s="105"/>
      <c r="CG143" s="105">
        <v>2</v>
      </c>
      <c r="CH143" s="105"/>
      <c r="CJ143" s="1359"/>
      <c r="CK143" s="1359"/>
      <c r="CL143" s="1360"/>
      <c r="CM143" s="1361" t="s">
        <v>1344</v>
      </c>
      <c r="CN143" s="1363">
        <v>0</v>
      </c>
      <c r="CO143" s="1363">
        <v>0</v>
      </c>
      <c r="CP143" s="1362"/>
      <c r="CQ143" s="1362"/>
      <c r="CR143" s="1363">
        <v>0</v>
      </c>
      <c r="CS143" s="1362"/>
      <c r="CT143" s="1363">
        <v>0</v>
      </c>
      <c r="CU143" s="1363">
        <v>6</v>
      </c>
      <c r="CV143" s="687">
        <v>0</v>
      </c>
      <c r="CW143" s="687">
        <v>0</v>
      </c>
      <c r="CX143" s="687">
        <v>6</v>
      </c>
      <c r="CY143" s="41"/>
      <c r="DA143" s="602"/>
      <c r="DB143" s="602"/>
      <c r="DC143" s="603"/>
      <c r="DD143" s="604" t="s">
        <v>1344</v>
      </c>
      <c r="DE143" s="606">
        <v>0</v>
      </c>
      <c r="DF143" s="606">
        <v>0</v>
      </c>
      <c r="DG143" s="606">
        <v>0</v>
      </c>
      <c r="DH143" s="605"/>
      <c r="DI143" s="605"/>
      <c r="DJ143" s="606">
        <v>16</v>
      </c>
      <c r="DK143" s="606">
        <v>11</v>
      </c>
      <c r="DL143" s="606">
        <v>0</v>
      </c>
      <c r="DM143" s="602"/>
      <c r="DN143" s="602"/>
      <c r="DO143" s="607">
        <v>27</v>
      </c>
      <c r="DP143" s="105"/>
      <c r="DR143" s="608"/>
      <c r="DS143" s="608"/>
      <c r="DT143" s="608"/>
      <c r="DU143" s="620" t="s">
        <v>15</v>
      </c>
      <c r="DV143" s="621"/>
      <c r="DW143" s="621"/>
      <c r="DX143" s="621"/>
      <c r="DY143" s="621"/>
      <c r="DZ143" s="621"/>
      <c r="EA143" s="621"/>
      <c r="EB143" s="621"/>
      <c r="EC143" s="622">
        <v>12</v>
      </c>
      <c r="ED143" s="622">
        <v>6</v>
      </c>
      <c r="EE143" s="623"/>
      <c r="EF143" s="623"/>
      <c r="EG143" s="624">
        <v>18</v>
      </c>
      <c r="EH143" s="614">
        <f>+EG141/EG143</f>
        <v>0.55555555555555558</v>
      </c>
      <c r="EJ143" s="615"/>
      <c r="EK143" s="615" t="s">
        <v>41</v>
      </c>
      <c r="EL143" s="615" t="s">
        <v>138</v>
      </c>
      <c r="EM143" s="616" t="s">
        <v>1231</v>
      </c>
      <c r="EN143" s="617"/>
      <c r="EO143" s="617"/>
      <c r="EP143" s="618">
        <v>1</v>
      </c>
      <c r="EQ143" s="617"/>
      <c r="ER143" s="617"/>
      <c r="ES143" s="617"/>
      <c r="ET143" s="617"/>
      <c r="EU143" s="617"/>
      <c r="EV143" s="617"/>
      <c r="EW143" s="617"/>
      <c r="EX143" s="618">
        <v>1</v>
      </c>
      <c r="EY143" s="515"/>
      <c r="FA143" s="70"/>
      <c r="FB143" s="70"/>
      <c r="FC143" s="42"/>
      <c r="FD143" s="42" t="s">
        <v>1344</v>
      </c>
      <c r="FE143" s="70"/>
      <c r="FF143" s="70"/>
      <c r="FG143" s="70"/>
      <c r="FH143" s="70"/>
      <c r="FI143" s="70"/>
      <c r="FJ143" s="70">
        <v>2</v>
      </c>
      <c r="FK143" s="70">
        <v>4</v>
      </c>
      <c r="FL143" s="70"/>
      <c r="FM143" s="70"/>
      <c r="FN143" s="70"/>
      <c r="FO143" s="70">
        <v>6</v>
      </c>
      <c r="FP143" s="42"/>
      <c r="FQ143" s="42"/>
      <c r="FR143" s="516"/>
      <c r="FS143" s="516"/>
      <c r="FT143" s="516" t="s">
        <v>137</v>
      </c>
      <c r="FU143" s="516" t="s">
        <v>1231</v>
      </c>
      <c r="FV143" s="516">
        <v>0</v>
      </c>
      <c r="FW143" s="516">
        <v>1</v>
      </c>
      <c r="FX143" s="516">
        <v>1</v>
      </c>
      <c r="FY143" s="516">
        <v>1</v>
      </c>
      <c r="FZ143" s="516">
        <v>0</v>
      </c>
      <c r="GA143" s="516">
        <v>0</v>
      </c>
      <c r="GB143" s="516">
        <v>9</v>
      </c>
      <c r="GC143" s="516">
        <v>0</v>
      </c>
      <c r="GD143" s="516">
        <v>0</v>
      </c>
      <c r="GE143" s="516">
        <v>0</v>
      </c>
      <c r="GF143" s="516">
        <v>0</v>
      </c>
      <c r="GG143" s="517">
        <v>12</v>
      </c>
      <c r="GH143" s="619"/>
      <c r="GI143" s="518"/>
    </row>
    <row r="144" spans="3:191">
      <c r="D144" s="4800" t="s">
        <v>1344</v>
      </c>
      <c r="E144" s="4606"/>
      <c r="F144" s="4606">
        <v>0</v>
      </c>
      <c r="G144" s="4606"/>
      <c r="H144" s="4606"/>
      <c r="I144" s="4606">
        <v>0</v>
      </c>
      <c r="J144" s="4606"/>
      <c r="K144" s="4606">
        <v>3</v>
      </c>
      <c r="L144" s="4606">
        <v>0</v>
      </c>
      <c r="M144" s="4606">
        <v>0</v>
      </c>
      <c r="N144" s="2552"/>
      <c r="O144" s="2552"/>
      <c r="P144" s="2552">
        <v>3</v>
      </c>
      <c r="Q144" s="2552"/>
      <c r="R144" s="2552"/>
      <c r="U144" s="1793"/>
      <c r="V144" s="1793" t="s">
        <v>1344</v>
      </c>
      <c r="W144" s="4804">
        <v>0</v>
      </c>
      <c r="X144" s="4804">
        <v>0</v>
      </c>
      <c r="Y144" s="4804"/>
      <c r="Z144" s="4804">
        <v>0</v>
      </c>
      <c r="AA144" s="4804">
        <v>2</v>
      </c>
      <c r="AB144" s="4804">
        <v>5</v>
      </c>
      <c r="AC144" s="4804">
        <v>3</v>
      </c>
      <c r="AD144" s="4804">
        <v>1</v>
      </c>
      <c r="AE144" s="4702">
        <v>0</v>
      </c>
      <c r="AF144" s="4702">
        <v>11</v>
      </c>
      <c r="AG144" s="1793"/>
      <c r="AI144" s="41"/>
      <c r="AJ144" s="41"/>
      <c r="AK144" s="461"/>
      <c r="AL144" s="461" t="s">
        <v>2704</v>
      </c>
      <c r="AM144" s="2002">
        <v>0</v>
      </c>
      <c r="AN144" s="2002">
        <v>0</v>
      </c>
      <c r="AO144" s="2002">
        <v>0</v>
      </c>
      <c r="AP144" s="2002">
        <v>0</v>
      </c>
      <c r="AQ144" s="2002">
        <v>0</v>
      </c>
      <c r="AR144" s="2002">
        <v>0</v>
      </c>
      <c r="AS144" s="2002">
        <v>0</v>
      </c>
      <c r="AT144" s="2002">
        <v>0</v>
      </c>
      <c r="AU144" s="2480">
        <v>3</v>
      </c>
      <c r="AV144" s="2480">
        <v>4</v>
      </c>
      <c r="AW144" s="2480">
        <v>7</v>
      </c>
      <c r="AX144" s="41"/>
      <c r="AZ144" s="42"/>
      <c r="BA144" s="42"/>
      <c r="BB144" s="42"/>
      <c r="BC144" s="484" t="s">
        <v>15</v>
      </c>
      <c r="BD144" s="1994"/>
      <c r="BE144" s="1994">
        <v>1</v>
      </c>
      <c r="BF144" s="1994"/>
      <c r="BG144" s="1994"/>
      <c r="BH144" s="1994"/>
      <c r="BI144" s="1994">
        <v>1</v>
      </c>
      <c r="BJ144" s="1994">
        <v>1</v>
      </c>
      <c r="BK144" s="1994">
        <v>5</v>
      </c>
      <c r="BL144" s="1994">
        <v>6</v>
      </c>
      <c r="BM144" s="454">
        <v>1</v>
      </c>
      <c r="BN144" s="454"/>
      <c r="BO144" s="454">
        <v>15</v>
      </c>
      <c r="BP144" s="2485">
        <f>+BO142/BO144</f>
        <v>0.26666666666666666</v>
      </c>
      <c r="BR144" s="105"/>
      <c r="BS144" s="105"/>
      <c r="BT144" s="41"/>
      <c r="BU144" s="41" t="s">
        <v>1239</v>
      </c>
      <c r="BV144" s="1659"/>
      <c r="BW144" s="1659"/>
      <c r="BX144" s="1659"/>
      <c r="BY144" s="1659"/>
      <c r="BZ144" s="1659"/>
      <c r="CA144" s="1659">
        <v>0</v>
      </c>
      <c r="CB144" s="1659">
        <v>0</v>
      </c>
      <c r="CC144" s="1659">
        <v>0</v>
      </c>
      <c r="CD144" s="1659">
        <v>6</v>
      </c>
      <c r="CE144" s="105"/>
      <c r="CF144" s="105"/>
      <c r="CG144" s="105">
        <v>6</v>
      </c>
      <c r="CH144" s="105"/>
      <c r="CJ144" s="1359"/>
      <c r="CK144" s="1359"/>
      <c r="CL144" s="1360"/>
      <c r="CM144" s="483" t="s">
        <v>15</v>
      </c>
      <c r="CN144" s="1365">
        <v>3</v>
      </c>
      <c r="CO144" s="1365">
        <v>1</v>
      </c>
      <c r="CP144" s="1364"/>
      <c r="CQ144" s="1364"/>
      <c r="CR144" s="1365">
        <v>1</v>
      </c>
      <c r="CS144" s="1364"/>
      <c r="CT144" s="1365">
        <v>1</v>
      </c>
      <c r="CU144" s="1365">
        <v>8</v>
      </c>
      <c r="CV144" s="696">
        <v>2</v>
      </c>
      <c r="CW144" s="696">
        <v>10</v>
      </c>
      <c r="CX144" s="696">
        <v>26</v>
      </c>
      <c r="CY144" s="1325">
        <f>+(CX141+CX143)/CX144</f>
        <v>0.26923076923076922</v>
      </c>
      <c r="DA144" s="602"/>
      <c r="DB144" s="602"/>
      <c r="DC144" s="603"/>
      <c r="DD144" s="630" t="s">
        <v>545</v>
      </c>
      <c r="DE144" s="632">
        <v>2</v>
      </c>
      <c r="DF144" s="632">
        <v>4</v>
      </c>
      <c r="DG144" s="632">
        <v>1</v>
      </c>
      <c r="DH144" s="631"/>
      <c r="DI144" s="631"/>
      <c r="DJ144" s="632">
        <v>22</v>
      </c>
      <c r="DK144" s="632">
        <v>55</v>
      </c>
      <c r="DL144" s="632">
        <v>22</v>
      </c>
      <c r="DM144" s="633"/>
      <c r="DN144" s="633"/>
      <c r="DO144" s="634">
        <v>106</v>
      </c>
      <c r="DP144" s="635">
        <f>+(DO140+DO143)/DO144</f>
        <v>0.65094339622641506</v>
      </c>
      <c r="DR144" s="608"/>
      <c r="DS144" s="608"/>
      <c r="DT144" s="608" t="s">
        <v>131</v>
      </c>
      <c r="DU144" s="609" t="s">
        <v>1231</v>
      </c>
      <c r="DV144" s="610"/>
      <c r="DW144" s="610"/>
      <c r="DX144" s="610"/>
      <c r="DY144" s="610"/>
      <c r="DZ144" s="610"/>
      <c r="EA144" s="610"/>
      <c r="EB144" s="611">
        <v>0</v>
      </c>
      <c r="EC144" s="611">
        <v>3</v>
      </c>
      <c r="ED144" s="611">
        <v>0</v>
      </c>
      <c r="EE144" s="612"/>
      <c r="EF144" s="612"/>
      <c r="EG144" s="613">
        <v>3</v>
      </c>
      <c r="EH144" s="614"/>
      <c r="EJ144" s="615"/>
      <c r="EK144" s="615"/>
      <c r="EL144" s="615"/>
      <c r="EM144" s="625" t="s">
        <v>15</v>
      </c>
      <c r="EN144" s="626"/>
      <c r="EO144" s="626"/>
      <c r="EP144" s="627">
        <v>1</v>
      </c>
      <c r="EQ144" s="626"/>
      <c r="ER144" s="626"/>
      <c r="ES144" s="626"/>
      <c r="ET144" s="626"/>
      <c r="EU144" s="626"/>
      <c r="EV144" s="626"/>
      <c r="EW144" s="626"/>
      <c r="EX144" s="627">
        <v>1</v>
      </c>
      <c r="EY144" s="628">
        <v>0</v>
      </c>
      <c r="FA144" s="70"/>
      <c r="FB144" s="70"/>
      <c r="FC144" s="42"/>
      <c r="FD144" s="484" t="s">
        <v>15</v>
      </c>
      <c r="FE144" s="454"/>
      <c r="FF144" s="454"/>
      <c r="FG144" s="454"/>
      <c r="FH144" s="454"/>
      <c r="FI144" s="454"/>
      <c r="FJ144" s="454">
        <v>9</v>
      </c>
      <c r="FK144" s="454">
        <v>8</v>
      </c>
      <c r="FL144" s="454"/>
      <c r="FM144" s="454"/>
      <c r="FN144" s="454"/>
      <c r="FO144" s="454">
        <v>17</v>
      </c>
      <c r="FP144" s="536">
        <f>+(FO141+FO142+FO143)/FO144</f>
        <v>0.76470588235294112</v>
      </c>
      <c r="FQ144" s="42"/>
      <c r="FR144" s="516"/>
      <c r="FS144" s="516"/>
      <c r="FT144" s="516"/>
      <c r="FU144" s="516" t="s">
        <v>1239</v>
      </c>
      <c r="FV144" s="516">
        <v>0</v>
      </c>
      <c r="FW144" s="516">
        <v>0</v>
      </c>
      <c r="FX144" s="516">
        <v>0</v>
      </c>
      <c r="FY144" s="516">
        <v>0</v>
      </c>
      <c r="FZ144" s="516">
        <v>0</v>
      </c>
      <c r="GA144" s="516">
        <v>0</v>
      </c>
      <c r="GB144" s="516">
        <v>0</v>
      </c>
      <c r="GC144" s="516">
        <v>1</v>
      </c>
      <c r="GD144" s="516">
        <v>1</v>
      </c>
      <c r="GE144" s="516">
        <v>0</v>
      </c>
      <c r="GF144" s="516">
        <v>0</v>
      </c>
      <c r="GG144" s="517">
        <v>2</v>
      </c>
      <c r="GH144" s="619"/>
      <c r="GI144" s="518"/>
    </row>
    <row r="145" spans="2:191">
      <c r="D145" s="32" t="s">
        <v>15</v>
      </c>
      <c r="E145" s="4607"/>
      <c r="F145" s="4607">
        <v>1</v>
      </c>
      <c r="G145" s="4607"/>
      <c r="H145" s="4607"/>
      <c r="I145" s="4607">
        <v>1</v>
      </c>
      <c r="J145" s="4607"/>
      <c r="K145" s="4607">
        <v>5</v>
      </c>
      <c r="L145" s="4607">
        <v>3</v>
      </c>
      <c r="M145" s="4607">
        <v>2</v>
      </c>
      <c r="N145" s="4583"/>
      <c r="O145" s="4583"/>
      <c r="P145" s="4583">
        <v>12</v>
      </c>
      <c r="Q145" s="1977">
        <f>+(P141+P144)/P145</f>
        <v>0.5</v>
      </c>
      <c r="R145" s="1977"/>
      <c r="U145" s="1793"/>
      <c r="V145" s="1793">
        <v>22</v>
      </c>
      <c r="W145" s="4804">
        <v>0</v>
      </c>
      <c r="X145" s="4804">
        <v>0</v>
      </c>
      <c r="Y145" s="4804"/>
      <c r="Z145" s="4804">
        <v>1</v>
      </c>
      <c r="AA145" s="4804">
        <v>0</v>
      </c>
      <c r="AB145" s="4804">
        <v>1</v>
      </c>
      <c r="AC145" s="4804">
        <v>0</v>
      </c>
      <c r="AD145" s="4804">
        <v>0</v>
      </c>
      <c r="AE145" s="4702">
        <v>0</v>
      </c>
      <c r="AF145" s="4702">
        <v>2</v>
      </c>
      <c r="AG145" s="1793"/>
      <c r="AI145" s="41"/>
      <c r="AJ145" s="41"/>
      <c r="AK145" s="461"/>
      <c r="AL145" s="461" t="s">
        <v>544</v>
      </c>
      <c r="AM145" s="2002">
        <v>1</v>
      </c>
      <c r="AN145" s="2002">
        <v>1</v>
      </c>
      <c r="AO145" s="2002">
        <v>1</v>
      </c>
      <c r="AP145" s="2002">
        <v>2</v>
      </c>
      <c r="AQ145" s="2002">
        <v>1</v>
      </c>
      <c r="AR145" s="2002">
        <v>15</v>
      </c>
      <c r="AS145" s="2002">
        <v>20</v>
      </c>
      <c r="AT145" s="2002">
        <v>52</v>
      </c>
      <c r="AU145" s="2480">
        <v>12</v>
      </c>
      <c r="AV145" s="2480">
        <v>9</v>
      </c>
      <c r="AW145" s="2480">
        <v>114</v>
      </c>
      <c r="AX145" s="635">
        <f>+(AW143+AW140-AU140)/AW145</f>
        <v>0.44736842105263158</v>
      </c>
      <c r="AY145" s="1977"/>
      <c r="AZ145" s="42"/>
      <c r="BA145" s="42"/>
      <c r="BB145" s="42" t="s">
        <v>795</v>
      </c>
      <c r="BC145" s="42" t="s">
        <v>1231</v>
      </c>
      <c r="BD145" s="1993"/>
      <c r="BE145" s="1993">
        <v>0</v>
      </c>
      <c r="BF145" s="1993"/>
      <c r="BG145" s="1993"/>
      <c r="BH145" s="1993"/>
      <c r="BI145" s="1993"/>
      <c r="BJ145" s="1993"/>
      <c r="BK145" s="1993">
        <v>1</v>
      </c>
      <c r="BL145" s="1993">
        <v>2</v>
      </c>
      <c r="BM145" s="70"/>
      <c r="BN145" s="70">
        <v>0</v>
      </c>
      <c r="BO145" s="70">
        <v>3</v>
      </c>
      <c r="BR145" s="105"/>
      <c r="BS145" s="105"/>
      <c r="BT145" s="41"/>
      <c r="BU145" s="41" t="s">
        <v>1344</v>
      </c>
      <c r="BV145" s="1659"/>
      <c r="BW145" s="1659"/>
      <c r="BX145" s="1659"/>
      <c r="BY145" s="1659"/>
      <c r="BZ145" s="1659"/>
      <c r="CA145" s="1659">
        <v>0</v>
      </c>
      <c r="CB145" s="1659">
        <v>7</v>
      </c>
      <c r="CC145" s="1659">
        <v>4</v>
      </c>
      <c r="CD145" s="1659">
        <v>0</v>
      </c>
      <c r="CE145" s="105"/>
      <c r="CF145" s="105"/>
      <c r="CG145" s="105">
        <v>11</v>
      </c>
      <c r="CH145" s="105"/>
      <c r="CJ145" s="1359"/>
      <c r="CK145" s="1359"/>
      <c r="CL145" s="1360" t="s">
        <v>544</v>
      </c>
      <c r="CM145" s="1361" t="s">
        <v>1230</v>
      </c>
      <c r="CN145" s="1363">
        <v>0</v>
      </c>
      <c r="CO145" s="1363">
        <v>0</v>
      </c>
      <c r="CP145" s="1363">
        <v>0</v>
      </c>
      <c r="CQ145" s="1363">
        <v>0</v>
      </c>
      <c r="CR145" s="1363">
        <v>0</v>
      </c>
      <c r="CS145" s="1363">
        <v>0</v>
      </c>
      <c r="CT145" s="1363">
        <v>0</v>
      </c>
      <c r="CU145" s="1363">
        <v>6</v>
      </c>
      <c r="CV145" s="687">
        <v>2</v>
      </c>
      <c r="CW145" s="687">
        <v>11</v>
      </c>
      <c r="CX145" s="687">
        <v>19</v>
      </c>
      <c r="CY145" s="41"/>
      <c r="DA145" s="602"/>
      <c r="DB145" s="602" t="s">
        <v>41</v>
      </c>
      <c r="DC145" s="603" t="s">
        <v>443</v>
      </c>
      <c r="DD145" s="604" t="s">
        <v>1231</v>
      </c>
      <c r="DE145" s="605"/>
      <c r="DF145" s="605"/>
      <c r="DG145" s="605"/>
      <c r="DH145" s="605"/>
      <c r="DI145" s="605"/>
      <c r="DJ145" s="605"/>
      <c r="DK145" s="606">
        <v>0</v>
      </c>
      <c r="DL145" s="606">
        <v>0</v>
      </c>
      <c r="DM145" s="607">
        <v>1</v>
      </c>
      <c r="DN145" s="602"/>
      <c r="DO145" s="607">
        <v>1</v>
      </c>
      <c r="DP145" s="105"/>
      <c r="DR145" s="608"/>
      <c r="DS145" s="608"/>
      <c r="DT145" s="608"/>
      <c r="DU145" s="609" t="s">
        <v>1235</v>
      </c>
      <c r="DV145" s="610"/>
      <c r="DW145" s="610"/>
      <c r="DX145" s="610"/>
      <c r="DY145" s="610"/>
      <c r="DZ145" s="610"/>
      <c r="EA145" s="610"/>
      <c r="EB145" s="611">
        <v>0</v>
      </c>
      <c r="EC145" s="611">
        <v>3</v>
      </c>
      <c r="ED145" s="611">
        <v>0</v>
      </c>
      <c r="EE145" s="612"/>
      <c r="EF145" s="612"/>
      <c r="EG145" s="613">
        <v>3</v>
      </c>
      <c r="EH145" s="614"/>
      <c r="EJ145" s="615"/>
      <c r="EK145" s="615"/>
      <c r="EL145" s="615" t="s">
        <v>139</v>
      </c>
      <c r="EM145" s="616" t="s">
        <v>1231</v>
      </c>
      <c r="EN145" s="617"/>
      <c r="EO145" s="618">
        <v>0</v>
      </c>
      <c r="EP145" s="618">
        <v>1</v>
      </c>
      <c r="EQ145" s="617"/>
      <c r="ER145" s="617"/>
      <c r="ES145" s="618">
        <v>1</v>
      </c>
      <c r="ET145" s="618">
        <v>2</v>
      </c>
      <c r="EU145" s="618">
        <v>0</v>
      </c>
      <c r="EV145" s="617"/>
      <c r="EW145" s="617"/>
      <c r="EX145" s="618">
        <v>4</v>
      </c>
      <c r="EY145" s="515"/>
      <c r="FA145" s="70"/>
      <c r="FB145" s="70"/>
      <c r="FC145" s="42" t="s">
        <v>419</v>
      </c>
      <c r="FD145" s="42" t="s">
        <v>1230</v>
      </c>
      <c r="FE145" s="70"/>
      <c r="FF145" s="70"/>
      <c r="FG145" s="70"/>
      <c r="FH145" s="70"/>
      <c r="FI145" s="70"/>
      <c r="FJ145" s="70">
        <v>0</v>
      </c>
      <c r="FK145" s="70">
        <v>1</v>
      </c>
      <c r="FL145" s="70"/>
      <c r="FM145" s="70"/>
      <c r="FN145" s="70"/>
      <c r="FO145" s="70">
        <v>1</v>
      </c>
      <c r="FP145" s="42"/>
      <c r="FQ145" s="42"/>
      <c r="FR145" s="516"/>
      <c r="FS145" s="516"/>
      <c r="FT145" s="516"/>
      <c r="FU145" s="516" t="s">
        <v>1344</v>
      </c>
      <c r="FV145" s="516">
        <v>0</v>
      </c>
      <c r="FW145" s="516">
        <v>0</v>
      </c>
      <c r="FX145" s="516">
        <v>0</v>
      </c>
      <c r="FY145" s="516">
        <v>0</v>
      </c>
      <c r="FZ145" s="516">
        <v>0</v>
      </c>
      <c r="GA145" s="516">
        <v>0</v>
      </c>
      <c r="GB145" s="516">
        <v>2</v>
      </c>
      <c r="GC145" s="516">
        <v>1</v>
      </c>
      <c r="GD145" s="516">
        <v>0</v>
      </c>
      <c r="GE145" s="516">
        <v>0</v>
      </c>
      <c r="GF145" s="516">
        <v>0</v>
      </c>
      <c r="GG145" s="517">
        <v>3</v>
      </c>
      <c r="GH145" s="619"/>
      <c r="GI145" s="518"/>
    </row>
    <row r="146" spans="2:191">
      <c r="C146" s="4800" t="s">
        <v>795</v>
      </c>
      <c r="D146" s="4800" t="s">
        <v>1231</v>
      </c>
      <c r="E146" s="4606">
        <v>0</v>
      </c>
      <c r="F146" s="4606"/>
      <c r="G146" s="4606"/>
      <c r="H146" s="4606"/>
      <c r="I146" s="4606"/>
      <c r="J146" s="4606"/>
      <c r="K146" s="4606">
        <v>1</v>
      </c>
      <c r="L146" s="4606">
        <v>0</v>
      </c>
      <c r="M146" s="4606"/>
      <c r="N146" s="2552">
        <v>0</v>
      </c>
      <c r="O146" s="2552">
        <v>0</v>
      </c>
      <c r="P146" s="2552">
        <v>1</v>
      </c>
      <c r="Q146" s="2552"/>
      <c r="R146" s="2552"/>
      <c r="U146" s="1793"/>
      <c r="V146" s="1793" t="s">
        <v>544</v>
      </c>
      <c r="W146" s="4804">
        <v>3</v>
      </c>
      <c r="X146" s="4804">
        <v>1</v>
      </c>
      <c r="Y146" s="4804"/>
      <c r="Z146" s="4804">
        <v>2</v>
      </c>
      <c r="AA146" s="4804">
        <v>5</v>
      </c>
      <c r="AB146" s="4804">
        <v>13</v>
      </c>
      <c r="AC146" s="4804">
        <v>51</v>
      </c>
      <c r="AD146" s="4804">
        <v>16</v>
      </c>
      <c r="AE146" s="4702">
        <v>16</v>
      </c>
      <c r="AF146" s="4702">
        <v>107</v>
      </c>
      <c r="AG146" s="4703">
        <f>+(AF142+AF145)/AF146</f>
        <v>0.10280373831775701</v>
      </c>
      <c r="AI146" s="41"/>
      <c r="AJ146" s="41" t="s">
        <v>16</v>
      </c>
      <c r="AK146" s="41" t="s">
        <v>126</v>
      </c>
      <c r="AL146" s="41" t="s">
        <v>1230</v>
      </c>
      <c r="AM146" s="2001">
        <v>0</v>
      </c>
      <c r="AN146" s="2001"/>
      <c r="AO146" s="2001"/>
      <c r="AP146" s="2001">
        <v>0</v>
      </c>
      <c r="AQ146" s="2001">
        <v>0</v>
      </c>
      <c r="AR146" s="2001">
        <v>0</v>
      </c>
      <c r="AS146" s="2001">
        <v>0</v>
      </c>
      <c r="AT146" s="2001">
        <v>6</v>
      </c>
      <c r="AU146" s="105"/>
      <c r="AV146" s="105"/>
      <c r="AW146" s="105">
        <v>6</v>
      </c>
      <c r="AX146" s="41"/>
      <c r="AZ146" s="42"/>
      <c r="BA146" s="42"/>
      <c r="BB146" s="42"/>
      <c r="BC146" s="42" t="s">
        <v>1233</v>
      </c>
      <c r="BD146" s="1993"/>
      <c r="BE146" s="1993">
        <v>1</v>
      </c>
      <c r="BF146" s="1993"/>
      <c r="BG146" s="1993"/>
      <c r="BH146" s="1993"/>
      <c r="BI146" s="1993"/>
      <c r="BJ146" s="1993"/>
      <c r="BK146" s="1993">
        <v>0</v>
      </c>
      <c r="BL146" s="1993">
        <v>0</v>
      </c>
      <c r="BM146" s="70"/>
      <c r="BN146" s="70">
        <v>0</v>
      </c>
      <c r="BO146" s="70">
        <v>1</v>
      </c>
      <c r="BR146" s="105"/>
      <c r="BS146" s="105"/>
      <c r="BT146" s="41"/>
      <c r="BU146" s="461" t="s">
        <v>15</v>
      </c>
      <c r="BV146" s="1660"/>
      <c r="BW146" s="1660"/>
      <c r="BX146" s="1660"/>
      <c r="BY146" s="1660"/>
      <c r="BZ146" s="1660"/>
      <c r="CA146" s="1660">
        <v>2</v>
      </c>
      <c r="CB146" s="1660">
        <v>23</v>
      </c>
      <c r="CC146" s="1660">
        <v>27</v>
      </c>
      <c r="CD146" s="1660">
        <v>6</v>
      </c>
      <c r="CE146" s="96"/>
      <c r="CF146" s="96"/>
      <c r="CG146" s="96">
        <v>58</v>
      </c>
      <c r="CH146" s="635">
        <f>+(CG142+CG145)/CG146</f>
        <v>0.58620689655172409</v>
      </c>
      <c r="CJ146" s="1359"/>
      <c r="CK146" s="1359"/>
      <c r="CL146" s="1360"/>
      <c r="CM146" s="1361" t="s">
        <v>1231</v>
      </c>
      <c r="CN146" s="1363">
        <v>2</v>
      </c>
      <c r="CO146" s="1363">
        <v>2</v>
      </c>
      <c r="CP146" s="1363">
        <v>2</v>
      </c>
      <c r="CQ146" s="1363">
        <v>0</v>
      </c>
      <c r="CR146" s="1363">
        <v>0</v>
      </c>
      <c r="CS146" s="1363">
        <v>2</v>
      </c>
      <c r="CT146" s="1363">
        <v>4</v>
      </c>
      <c r="CU146" s="1363">
        <v>1</v>
      </c>
      <c r="CV146" s="687">
        <v>3</v>
      </c>
      <c r="CW146" s="687">
        <v>0</v>
      </c>
      <c r="CX146" s="687">
        <v>16</v>
      </c>
      <c r="CY146" s="41"/>
      <c r="DA146" s="602"/>
      <c r="DB146" s="602"/>
      <c r="DC146" s="603"/>
      <c r="DD146" s="604" t="s">
        <v>1235</v>
      </c>
      <c r="DE146" s="605"/>
      <c r="DF146" s="605"/>
      <c r="DG146" s="605"/>
      <c r="DH146" s="605"/>
      <c r="DI146" s="605"/>
      <c r="DJ146" s="605"/>
      <c r="DK146" s="606">
        <v>4</v>
      </c>
      <c r="DL146" s="606">
        <v>3</v>
      </c>
      <c r="DM146" s="607">
        <v>1</v>
      </c>
      <c r="DN146" s="602"/>
      <c r="DO146" s="607">
        <v>8</v>
      </c>
      <c r="DP146" s="105"/>
      <c r="DR146" s="608"/>
      <c r="DS146" s="608"/>
      <c r="DT146" s="608"/>
      <c r="DU146" s="609" t="s">
        <v>1239</v>
      </c>
      <c r="DV146" s="610"/>
      <c r="DW146" s="610"/>
      <c r="DX146" s="610"/>
      <c r="DY146" s="610"/>
      <c r="DZ146" s="610"/>
      <c r="EA146" s="610"/>
      <c r="EB146" s="611">
        <v>0</v>
      </c>
      <c r="EC146" s="611">
        <v>0</v>
      </c>
      <c r="ED146" s="611">
        <v>20</v>
      </c>
      <c r="EE146" s="612"/>
      <c r="EF146" s="612"/>
      <c r="EG146" s="613">
        <v>20</v>
      </c>
      <c r="EH146" s="614"/>
      <c r="EJ146" s="615"/>
      <c r="EK146" s="615"/>
      <c r="EL146" s="615"/>
      <c r="EM146" s="616" t="s">
        <v>1233</v>
      </c>
      <c r="EN146" s="617"/>
      <c r="EO146" s="618">
        <v>1</v>
      </c>
      <c r="EP146" s="618">
        <v>0</v>
      </c>
      <c r="EQ146" s="617"/>
      <c r="ER146" s="617"/>
      <c r="ES146" s="618">
        <v>0</v>
      </c>
      <c r="ET146" s="618">
        <v>0</v>
      </c>
      <c r="EU146" s="618">
        <v>0</v>
      </c>
      <c r="EV146" s="617"/>
      <c r="EW146" s="617"/>
      <c r="EX146" s="618">
        <v>1</v>
      </c>
      <c r="EY146" s="515"/>
      <c r="FA146" s="70"/>
      <c r="FB146" s="70"/>
      <c r="FC146" s="42"/>
      <c r="FD146" s="42" t="s">
        <v>1231</v>
      </c>
      <c r="FE146" s="70"/>
      <c r="FF146" s="70"/>
      <c r="FG146" s="70"/>
      <c r="FH146" s="70"/>
      <c r="FI146" s="70"/>
      <c r="FJ146" s="70">
        <v>31</v>
      </c>
      <c r="FK146" s="70">
        <v>0</v>
      </c>
      <c r="FL146" s="70"/>
      <c r="FM146" s="70"/>
      <c r="FN146" s="70"/>
      <c r="FO146" s="70">
        <v>31</v>
      </c>
      <c r="FP146" s="42"/>
      <c r="FQ146" s="42"/>
      <c r="FR146" s="516"/>
      <c r="FS146" s="516"/>
      <c r="FT146" s="516"/>
      <c r="FU146" s="519" t="s">
        <v>15</v>
      </c>
      <c r="FV146" s="519">
        <v>0</v>
      </c>
      <c r="FW146" s="519">
        <v>1</v>
      </c>
      <c r="FX146" s="519">
        <v>1</v>
      </c>
      <c r="FY146" s="519">
        <v>1</v>
      </c>
      <c r="FZ146" s="519">
        <v>0</v>
      </c>
      <c r="GA146" s="519">
        <v>0</v>
      </c>
      <c r="GB146" s="519">
        <v>11</v>
      </c>
      <c r="GC146" s="519">
        <v>2</v>
      </c>
      <c r="GD146" s="519">
        <v>1</v>
      </c>
      <c r="GE146" s="519">
        <v>0</v>
      </c>
      <c r="GF146" s="519">
        <v>0</v>
      </c>
      <c r="GG146" s="579">
        <v>17</v>
      </c>
      <c r="GH146" s="629">
        <f>+GG145/GG146</f>
        <v>0.17647058823529413</v>
      </c>
      <c r="GI146" s="518">
        <f>+GG145</f>
        <v>3</v>
      </c>
    </row>
    <row r="147" spans="2:191">
      <c r="D147" s="4800" t="s">
        <v>1239</v>
      </c>
      <c r="E147" s="4606">
        <v>0</v>
      </c>
      <c r="F147" s="4606"/>
      <c r="G147" s="4606"/>
      <c r="H147" s="4606"/>
      <c r="I147" s="4606"/>
      <c r="J147" s="4606"/>
      <c r="K147" s="4606">
        <v>0</v>
      </c>
      <c r="L147" s="4606">
        <v>0</v>
      </c>
      <c r="M147" s="4606"/>
      <c r="N147" s="2552">
        <v>8</v>
      </c>
      <c r="O147" s="2552">
        <v>2</v>
      </c>
      <c r="P147" s="2552">
        <v>10</v>
      </c>
      <c r="Q147" s="2552"/>
      <c r="R147" s="2552"/>
      <c r="T147" s="37" t="s">
        <v>16</v>
      </c>
      <c r="U147" s="37" t="s">
        <v>107</v>
      </c>
      <c r="V147" s="37" t="s">
        <v>1231</v>
      </c>
      <c r="W147" s="4803"/>
      <c r="X147" s="4803"/>
      <c r="Y147" s="4803">
        <v>2</v>
      </c>
      <c r="Z147" s="4803"/>
      <c r="AA147" s="4803"/>
      <c r="AB147" s="4803"/>
      <c r="AC147" s="4803"/>
      <c r="AD147" s="4803"/>
      <c r="AE147" s="1788"/>
      <c r="AF147" s="1788">
        <v>2</v>
      </c>
      <c r="AI147" s="41"/>
      <c r="AJ147" s="41"/>
      <c r="AK147" s="41"/>
      <c r="AL147" s="41" t="s">
        <v>1231</v>
      </c>
      <c r="AM147" s="2001">
        <v>1</v>
      </c>
      <c r="AN147" s="2001"/>
      <c r="AO147" s="2001"/>
      <c r="AP147" s="2001">
        <v>0</v>
      </c>
      <c r="AQ147" s="2001">
        <v>0</v>
      </c>
      <c r="AR147" s="2001">
        <v>1</v>
      </c>
      <c r="AS147" s="2001">
        <v>11</v>
      </c>
      <c r="AT147" s="2001">
        <v>0</v>
      </c>
      <c r="AU147" s="105"/>
      <c r="AV147" s="105"/>
      <c r="AW147" s="105">
        <v>13</v>
      </c>
      <c r="AX147" s="41"/>
      <c r="AZ147" s="42"/>
      <c r="BA147" s="42"/>
      <c r="BB147" s="42"/>
      <c r="BC147" s="42" t="s">
        <v>1235</v>
      </c>
      <c r="BD147" s="1993"/>
      <c r="BE147" s="1993">
        <v>0</v>
      </c>
      <c r="BF147" s="1993"/>
      <c r="BG147" s="1993"/>
      <c r="BH147" s="1993"/>
      <c r="BI147" s="1993"/>
      <c r="BJ147" s="1993"/>
      <c r="BK147" s="1993">
        <v>1</v>
      </c>
      <c r="BL147" s="1993">
        <v>5</v>
      </c>
      <c r="BM147" s="70"/>
      <c r="BN147" s="70">
        <v>0</v>
      </c>
      <c r="BO147" s="70">
        <v>6</v>
      </c>
      <c r="BR147" s="105"/>
      <c r="BS147" s="105"/>
      <c r="BT147" s="41" t="s">
        <v>127</v>
      </c>
      <c r="BU147" s="41" t="s">
        <v>1231</v>
      </c>
      <c r="BV147" s="1659"/>
      <c r="BW147" s="1659">
        <v>0</v>
      </c>
      <c r="BX147" s="1659"/>
      <c r="BY147" s="1659">
        <v>0</v>
      </c>
      <c r="BZ147" s="1659"/>
      <c r="CA147" s="1659"/>
      <c r="CB147" s="1659">
        <v>3</v>
      </c>
      <c r="CC147" s="1659">
        <v>3</v>
      </c>
      <c r="CD147" s="1659"/>
      <c r="CE147" s="105"/>
      <c r="CF147" s="105"/>
      <c r="CG147" s="105">
        <v>6</v>
      </c>
      <c r="CH147" s="105"/>
      <c r="CJ147" s="1359"/>
      <c r="CK147" s="1359"/>
      <c r="CL147" s="1360"/>
      <c r="CM147" s="1361" t="s">
        <v>1233</v>
      </c>
      <c r="CN147" s="1363">
        <v>7</v>
      </c>
      <c r="CO147" s="1363">
        <v>1</v>
      </c>
      <c r="CP147" s="1363">
        <v>1</v>
      </c>
      <c r="CQ147" s="1363">
        <v>0</v>
      </c>
      <c r="CR147" s="1363">
        <v>1</v>
      </c>
      <c r="CS147" s="1363">
        <v>0</v>
      </c>
      <c r="CT147" s="1363">
        <v>0</v>
      </c>
      <c r="CU147" s="1363">
        <v>0</v>
      </c>
      <c r="CV147" s="687">
        <v>0</v>
      </c>
      <c r="CW147" s="687">
        <v>0</v>
      </c>
      <c r="CX147" s="687">
        <v>10</v>
      </c>
      <c r="CY147" s="41"/>
      <c r="DA147" s="602"/>
      <c r="DB147" s="602"/>
      <c r="DC147" s="603"/>
      <c r="DD147" s="604" t="s">
        <v>1239</v>
      </c>
      <c r="DE147" s="605"/>
      <c r="DF147" s="605"/>
      <c r="DG147" s="605"/>
      <c r="DH147" s="605"/>
      <c r="DI147" s="605"/>
      <c r="DJ147" s="605"/>
      <c r="DK147" s="606">
        <v>0</v>
      </c>
      <c r="DL147" s="606">
        <v>3</v>
      </c>
      <c r="DM147" s="607">
        <v>0</v>
      </c>
      <c r="DN147" s="602"/>
      <c r="DO147" s="607">
        <v>3</v>
      </c>
      <c r="DP147" s="105"/>
      <c r="DR147" s="608"/>
      <c r="DS147" s="608"/>
      <c r="DT147" s="608"/>
      <c r="DU147" s="609" t="s">
        <v>1344</v>
      </c>
      <c r="DV147" s="610"/>
      <c r="DW147" s="610"/>
      <c r="DX147" s="610"/>
      <c r="DY147" s="610"/>
      <c r="DZ147" s="610"/>
      <c r="EA147" s="610"/>
      <c r="EB147" s="611">
        <v>1</v>
      </c>
      <c r="EC147" s="611">
        <v>0</v>
      </c>
      <c r="ED147" s="611">
        <v>0</v>
      </c>
      <c r="EE147" s="612"/>
      <c r="EF147" s="612"/>
      <c r="EG147" s="613">
        <v>1</v>
      </c>
      <c r="EH147" s="614"/>
      <c r="EJ147" s="615"/>
      <c r="EK147" s="615"/>
      <c r="EL147" s="615"/>
      <c r="EM147" s="616" t="s">
        <v>1235</v>
      </c>
      <c r="EN147" s="617"/>
      <c r="EO147" s="618">
        <v>0</v>
      </c>
      <c r="EP147" s="618">
        <v>0</v>
      </c>
      <c r="EQ147" s="617"/>
      <c r="ER147" s="617"/>
      <c r="ES147" s="618">
        <v>2</v>
      </c>
      <c r="ET147" s="618">
        <v>0</v>
      </c>
      <c r="EU147" s="618">
        <v>0</v>
      </c>
      <c r="EV147" s="617"/>
      <c r="EW147" s="617"/>
      <c r="EX147" s="618">
        <v>2</v>
      </c>
      <c r="EY147" s="515"/>
      <c r="FA147" s="70"/>
      <c r="FB147" s="70"/>
      <c r="FC147" s="42"/>
      <c r="FD147" s="42" t="s">
        <v>1239</v>
      </c>
      <c r="FE147" s="70"/>
      <c r="FF147" s="70"/>
      <c r="FG147" s="70"/>
      <c r="FH147" s="70"/>
      <c r="FI147" s="70"/>
      <c r="FJ147" s="70">
        <v>0</v>
      </c>
      <c r="FK147" s="70">
        <v>1</v>
      </c>
      <c r="FL147" s="70"/>
      <c r="FM147" s="70"/>
      <c r="FN147" s="70"/>
      <c r="FO147" s="70">
        <v>1</v>
      </c>
      <c r="FP147" s="42"/>
      <c r="FQ147" s="42"/>
      <c r="FR147" s="516"/>
      <c r="FS147" s="516"/>
      <c r="FT147" s="516" t="s">
        <v>111</v>
      </c>
      <c r="FU147" s="516" t="s">
        <v>1230</v>
      </c>
      <c r="FV147" s="516">
        <v>0</v>
      </c>
      <c r="FW147" s="516">
        <v>0</v>
      </c>
      <c r="FX147" s="516">
        <v>0</v>
      </c>
      <c r="FY147" s="516">
        <v>1</v>
      </c>
      <c r="FZ147" s="516">
        <v>0</v>
      </c>
      <c r="GA147" s="516">
        <v>0</v>
      </c>
      <c r="GB147" s="516">
        <v>0</v>
      </c>
      <c r="GC147" s="516">
        <v>0</v>
      </c>
      <c r="GD147" s="516">
        <v>0</v>
      </c>
      <c r="GE147" s="516">
        <v>0</v>
      </c>
      <c r="GF147" s="516">
        <v>0</v>
      </c>
      <c r="GG147" s="517">
        <v>1</v>
      </c>
      <c r="GH147" s="619"/>
      <c r="GI147" s="518"/>
    </row>
    <row r="148" spans="2:191" ht="15" thickBot="1">
      <c r="D148" s="4800" t="s">
        <v>2963</v>
      </c>
      <c r="E148" s="4606">
        <v>1</v>
      </c>
      <c r="F148" s="4606"/>
      <c r="G148" s="4606"/>
      <c r="H148" s="4606"/>
      <c r="I148" s="4606"/>
      <c r="J148" s="4606"/>
      <c r="K148" s="4606">
        <v>0</v>
      </c>
      <c r="L148" s="4606">
        <v>0</v>
      </c>
      <c r="M148" s="4606"/>
      <c r="N148" s="2552">
        <v>0</v>
      </c>
      <c r="O148" s="2552">
        <v>0</v>
      </c>
      <c r="P148" s="2552">
        <v>1</v>
      </c>
      <c r="Q148" s="2552"/>
      <c r="R148" s="2552"/>
      <c r="V148" s="37" t="s">
        <v>1344</v>
      </c>
      <c r="W148" s="4803"/>
      <c r="X148" s="4803"/>
      <c r="Y148" s="4803">
        <v>10</v>
      </c>
      <c r="Z148" s="4803"/>
      <c r="AA148" s="4803"/>
      <c r="AB148" s="4803"/>
      <c r="AC148" s="4803"/>
      <c r="AD148" s="4803"/>
      <c r="AE148" s="1788"/>
      <c r="AF148" s="1788">
        <v>10</v>
      </c>
      <c r="AI148" s="41"/>
      <c r="AJ148" s="41"/>
      <c r="AK148" s="41"/>
      <c r="AL148" s="41" t="s">
        <v>1235</v>
      </c>
      <c r="AM148" s="2001">
        <v>0</v>
      </c>
      <c r="AN148" s="2001"/>
      <c r="AO148" s="2001"/>
      <c r="AP148" s="2001">
        <v>0</v>
      </c>
      <c r="AQ148" s="2001">
        <v>0</v>
      </c>
      <c r="AR148" s="2001">
        <v>1</v>
      </c>
      <c r="AS148" s="2001">
        <v>7</v>
      </c>
      <c r="AT148" s="2001">
        <v>0</v>
      </c>
      <c r="AU148" s="105"/>
      <c r="AV148" s="105"/>
      <c r="AW148" s="105">
        <v>8</v>
      </c>
      <c r="AX148" s="41"/>
      <c r="AZ148" s="42"/>
      <c r="BA148" s="42"/>
      <c r="BB148" s="42"/>
      <c r="BC148" s="42" t="s">
        <v>1239</v>
      </c>
      <c r="BD148" s="1993"/>
      <c r="BE148" s="1993">
        <v>0</v>
      </c>
      <c r="BF148" s="1993"/>
      <c r="BG148" s="1993"/>
      <c r="BH148" s="1993"/>
      <c r="BI148" s="1993"/>
      <c r="BJ148" s="1993"/>
      <c r="BK148" s="1993">
        <v>0</v>
      </c>
      <c r="BL148" s="1993">
        <v>0</v>
      </c>
      <c r="BM148" s="70"/>
      <c r="BN148" s="70">
        <v>3</v>
      </c>
      <c r="BO148" s="70">
        <v>3</v>
      </c>
      <c r="BR148" s="105"/>
      <c r="BS148" s="105"/>
      <c r="BT148" s="41"/>
      <c r="BU148" s="41" t="s">
        <v>1233</v>
      </c>
      <c r="BV148" s="1659"/>
      <c r="BW148" s="1659">
        <v>2</v>
      </c>
      <c r="BX148" s="1659"/>
      <c r="BY148" s="1659">
        <v>0</v>
      </c>
      <c r="BZ148" s="1659"/>
      <c r="CA148" s="1659"/>
      <c r="CB148" s="1659">
        <v>0</v>
      </c>
      <c r="CC148" s="1659">
        <v>0</v>
      </c>
      <c r="CD148" s="1659"/>
      <c r="CE148" s="105"/>
      <c r="CF148" s="105"/>
      <c r="CG148" s="105">
        <v>2</v>
      </c>
      <c r="CH148" s="105"/>
      <c r="CJ148" s="1359"/>
      <c r="CK148" s="1359"/>
      <c r="CL148" s="1360"/>
      <c r="CM148" s="1361" t="s">
        <v>1235</v>
      </c>
      <c r="CN148" s="1363">
        <v>0</v>
      </c>
      <c r="CO148" s="1363">
        <v>0</v>
      </c>
      <c r="CP148" s="1363">
        <v>0</v>
      </c>
      <c r="CQ148" s="1363">
        <v>0</v>
      </c>
      <c r="CR148" s="1363">
        <v>0</v>
      </c>
      <c r="CS148" s="1363">
        <v>1</v>
      </c>
      <c r="CT148" s="1363">
        <v>8</v>
      </c>
      <c r="CU148" s="1363">
        <v>1</v>
      </c>
      <c r="CV148" s="687">
        <v>0</v>
      </c>
      <c r="CW148" s="687">
        <v>0</v>
      </c>
      <c r="CX148" s="687">
        <v>10</v>
      </c>
      <c r="CY148" s="41"/>
      <c r="DA148" s="602"/>
      <c r="DB148" s="602"/>
      <c r="DC148" s="603"/>
      <c r="DD148" s="604" t="s">
        <v>1344</v>
      </c>
      <c r="DE148" s="605"/>
      <c r="DF148" s="605"/>
      <c r="DG148" s="605"/>
      <c r="DH148" s="605"/>
      <c r="DI148" s="605"/>
      <c r="DJ148" s="605"/>
      <c r="DK148" s="606">
        <v>3</v>
      </c>
      <c r="DL148" s="606">
        <v>1</v>
      </c>
      <c r="DM148" s="607">
        <v>0</v>
      </c>
      <c r="DN148" s="602"/>
      <c r="DO148" s="607">
        <v>4</v>
      </c>
      <c r="DP148" s="105"/>
      <c r="DR148" s="608"/>
      <c r="DS148" s="608"/>
      <c r="DT148" s="608"/>
      <c r="DU148" s="620" t="s">
        <v>15</v>
      </c>
      <c r="DV148" s="621"/>
      <c r="DW148" s="621"/>
      <c r="DX148" s="621"/>
      <c r="DY148" s="621"/>
      <c r="DZ148" s="621"/>
      <c r="EA148" s="621"/>
      <c r="EB148" s="622">
        <v>1</v>
      </c>
      <c r="EC148" s="622">
        <v>6</v>
      </c>
      <c r="ED148" s="622">
        <v>20</v>
      </c>
      <c r="EE148" s="623"/>
      <c r="EF148" s="623"/>
      <c r="EG148" s="624">
        <v>27</v>
      </c>
      <c r="EH148" s="614">
        <f>+(EG147+EG145)/EG148</f>
        <v>0.14814814814814814</v>
      </c>
      <c r="EJ148" s="615"/>
      <c r="EK148" s="615"/>
      <c r="EL148" s="615"/>
      <c r="EM148" s="616" t="s">
        <v>1239</v>
      </c>
      <c r="EN148" s="617"/>
      <c r="EO148" s="618">
        <v>0</v>
      </c>
      <c r="EP148" s="618">
        <v>0</v>
      </c>
      <c r="EQ148" s="617"/>
      <c r="ER148" s="617"/>
      <c r="ES148" s="618">
        <v>0</v>
      </c>
      <c r="ET148" s="618">
        <v>1</v>
      </c>
      <c r="EU148" s="618">
        <v>5</v>
      </c>
      <c r="EV148" s="617"/>
      <c r="EW148" s="617"/>
      <c r="EX148" s="618">
        <v>6</v>
      </c>
      <c r="EY148" s="515"/>
      <c r="FA148" s="542"/>
      <c r="FB148" s="542"/>
      <c r="FC148" s="543"/>
      <c r="FD148" s="544" t="s">
        <v>15</v>
      </c>
      <c r="FE148" s="491"/>
      <c r="FF148" s="491"/>
      <c r="FG148" s="491"/>
      <c r="FH148" s="491"/>
      <c r="FI148" s="491"/>
      <c r="FJ148" s="491">
        <v>31</v>
      </c>
      <c r="FK148" s="491">
        <v>2</v>
      </c>
      <c r="FL148" s="491"/>
      <c r="FM148" s="491"/>
      <c r="FN148" s="491"/>
      <c r="FO148" s="491">
        <v>33</v>
      </c>
      <c r="FP148" s="545">
        <v>0</v>
      </c>
      <c r="FQ148" s="42"/>
      <c r="FR148" s="516"/>
      <c r="FS148" s="516"/>
      <c r="FT148" s="516"/>
      <c r="FU148" s="516" t="s">
        <v>1231</v>
      </c>
      <c r="FV148" s="516">
        <v>0</v>
      </c>
      <c r="FW148" s="516">
        <v>0</v>
      </c>
      <c r="FX148" s="516">
        <v>0</v>
      </c>
      <c r="FY148" s="516">
        <v>0</v>
      </c>
      <c r="FZ148" s="516">
        <v>1</v>
      </c>
      <c r="GA148" s="516">
        <v>0</v>
      </c>
      <c r="GB148" s="516">
        <v>0</v>
      </c>
      <c r="GC148" s="516">
        <v>0</v>
      </c>
      <c r="GD148" s="516">
        <v>0</v>
      </c>
      <c r="GE148" s="516">
        <v>0</v>
      </c>
      <c r="GF148" s="516">
        <v>0</v>
      </c>
      <c r="GG148" s="517">
        <v>1</v>
      </c>
      <c r="GH148" s="619"/>
      <c r="GI148" s="518"/>
    </row>
    <row r="149" spans="2:191">
      <c r="D149" s="4800" t="s">
        <v>1344</v>
      </c>
      <c r="E149" s="4606">
        <v>0</v>
      </c>
      <c r="F149" s="4606"/>
      <c r="G149" s="4606"/>
      <c r="H149" s="4606"/>
      <c r="I149" s="4606"/>
      <c r="J149" s="4606"/>
      <c r="K149" s="4606">
        <v>0</v>
      </c>
      <c r="L149" s="4606">
        <v>3</v>
      </c>
      <c r="M149" s="4606"/>
      <c r="N149" s="2552">
        <v>0</v>
      </c>
      <c r="O149" s="2552">
        <v>0</v>
      </c>
      <c r="P149" s="2552">
        <v>3</v>
      </c>
      <c r="Q149" s="2552"/>
      <c r="R149" s="2552"/>
      <c r="V149" s="1793" t="s">
        <v>15</v>
      </c>
      <c r="W149" s="4804"/>
      <c r="X149" s="4804"/>
      <c r="Y149" s="4804">
        <v>12</v>
      </c>
      <c r="Z149" s="4804"/>
      <c r="AA149" s="4804"/>
      <c r="AB149" s="4804"/>
      <c r="AC149" s="4804"/>
      <c r="AD149" s="4804"/>
      <c r="AE149" s="4702"/>
      <c r="AF149" s="4702">
        <v>12</v>
      </c>
      <c r="AG149" s="4703">
        <f>+AF148/AF149</f>
        <v>0.83333333333333337</v>
      </c>
      <c r="AI149" s="41"/>
      <c r="AJ149" s="41"/>
      <c r="AK149" s="41"/>
      <c r="AL149" s="41" t="s">
        <v>1236</v>
      </c>
      <c r="AM149" s="2001">
        <v>0</v>
      </c>
      <c r="AN149" s="2001"/>
      <c r="AO149" s="2001"/>
      <c r="AP149" s="2001">
        <v>2</v>
      </c>
      <c r="AQ149" s="2001">
        <v>1</v>
      </c>
      <c r="AR149" s="2001">
        <v>0</v>
      </c>
      <c r="AS149" s="2001">
        <v>0</v>
      </c>
      <c r="AT149" s="2001">
        <v>0</v>
      </c>
      <c r="AU149" s="105"/>
      <c r="AV149" s="105"/>
      <c r="AW149" s="105">
        <v>3</v>
      </c>
      <c r="AX149" s="41"/>
      <c r="AZ149" s="42"/>
      <c r="BA149" s="42"/>
      <c r="BB149" s="42"/>
      <c r="BC149" s="42" t="s">
        <v>1344</v>
      </c>
      <c r="BD149" s="1993"/>
      <c r="BE149" s="1993">
        <v>0</v>
      </c>
      <c r="BF149" s="1993"/>
      <c r="BG149" s="1993"/>
      <c r="BH149" s="1993"/>
      <c r="BI149" s="1993"/>
      <c r="BJ149" s="1993"/>
      <c r="BK149" s="1993">
        <v>1</v>
      </c>
      <c r="BL149" s="1993">
        <v>1</v>
      </c>
      <c r="BM149" s="70"/>
      <c r="BN149" s="70">
        <v>0</v>
      </c>
      <c r="BO149" s="70">
        <v>2</v>
      </c>
      <c r="BR149" s="105"/>
      <c r="BS149" s="105"/>
      <c r="BT149" s="41"/>
      <c r="BU149" s="41" t="s">
        <v>1235</v>
      </c>
      <c r="BV149" s="1659"/>
      <c r="BW149" s="1659">
        <v>0</v>
      </c>
      <c r="BX149" s="1659"/>
      <c r="BY149" s="1659">
        <v>0</v>
      </c>
      <c r="BZ149" s="1659"/>
      <c r="CA149" s="1659"/>
      <c r="CB149" s="1659">
        <v>1</v>
      </c>
      <c r="CC149" s="1659">
        <v>3</v>
      </c>
      <c r="CD149" s="1659"/>
      <c r="CE149" s="105"/>
      <c r="CF149" s="105"/>
      <c r="CG149" s="105">
        <v>4</v>
      </c>
      <c r="CH149" s="105"/>
      <c r="CJ149" s="1359"/>
      <c r="CK149" s="1359"/>
      <c r="CL149" s="1360"/>
      <c r="CM149" s="1361" t="s">
        <v>1236</v>
      </c>
      <c r="CN149" s="1363">
        <v>0</v>
      </c>
      <c r="CO149" s="1363">
        <v>1</v>
      </c>
      <c r="CP149" s="1363">
        <v>2</v>
      </c>
      <c r="CQ149" s="1363">
        <v>1</v>
      </c>
      <c r="CR149" s="1363">
        <v>1</v>
      </c>
      <c r="CS149" s="1363">
        <v>0</v>
      </c>
      <c r="CT149" s="1363">
        <v>0</v>
      </c>
      <c r="CU149" s="1363">
        <v>0</v>
      </c>
      <c r="CV149" s="687">
        <v>0</v>
      </c>
      <c r="CW149" s="687">
        <v>0</v>
      </c>
      <c r="CX149" s="687">
        <v>5</v>
      </c>
      <c r="CY149" s="41"/>
      <c r="DA149" s="602"/>
      <c r="DB149" s="602"/>
      <c r="DC149" s="603"/>
      <c r="DD149" s="630" t="s">
        <v>15</v>
      </c>
      <c r="DE149" s="631"/>
      <c r="DF149" s="631"/>
      <c r="DG149" s="631"/>
      <c r="DH149" s="631"/>
      <c r="DI149" s="631"/>
      <c r="DJ149" s="631"/>
      <c r="DK149" s="632">
        <v>7</v>
      </c>
      <c r="DL149" s="632">
        <v>7</v>
      </c>
      <c r="DM149" s="634">
        <v>2</v>
      </c>
      <c r="DN149" s="633"/>
      <c r="DO149" s="634">
        <v>16</v>
      </c>
      <c r="DP149" s="635">
        <f>+(DO146-DM146+DO148)/DO149</f>
        <v>0.6875</v>
      </c>
      <c r="DR149" s="608"/>
      <c r="DS149" s="608"/>
      <c r="DT149" s="620" t="s">
        <v>547</v>
      </c>
      <c r="DU149" s="609" t="s">
        <v>1230</v>
      </c>
      <c r="DV149" s="610"/>
      <c r="DW149" s="610"/>
      <c r="DX149" s="610"/>
      <c r="DY149" s="611">
        <v>0</v>
      </c>
      <c r="DZ149" s="610"/>
      <c r="EA149" s="610"/>
      <c r="EB149" s="611">
        <v>0</v>
      </c>
      <c r="EC149" s="611">
        <v>0</v>
      </c>
      <c r="ED149" s="611">
        <v>1</v>
      </c>
      <c r="EE149" s="612"/>
      <c r="EF149" s="612"/>
      <c r="EG149" s="613">
        <v>1</v>
      </c>
      <c r="EH149" s="614"/>
      <c r="EJ149" s="615"/>
      <c r="EK149" s="615"/>
      <c r="EL149" s="615"/>
      <c r="EM149" s="616" t="s">
        <v>1240</v>
      </c>
      <c r="EN149" s="617"/>
      <c r="EO149" s="618">
        <v>0</v>
      </c>
      <c r="EP149" s="618">
        <v>0</v>
      </c>
      <c r="EQ149" s="617"/>
      <c r="ER149" s="617"/>
      <c r="ES149" s="618">
        <v>0</v>
      </c>
      <c r="ET149" s="618">
        <v>1</v>
      </c>
      <c r="EU149" s="618">
        <v>0</v>
      </c>
      <c r="EV149" s="617"/>
      <c r="EW149" s="617"/>
      <c r="EX149" s="618">
        <v>1</v>
      </c>
      <c r="EY149" s="515"/>
      <c r="FA149" s="70"/>
      <c r="FB149" s="70"/>
      <c r="FC149" s="42"/>
      <c r="FD149" s="42"/>
      <c r="FE149" s="42"/>
      <c r="FF149" s="42"/>
      <c r="FG149" s="42"/>
      <c r="FH149" s="42"/>
      <c r="FI149" s="42"/>
      <c r="FJ149" s="42"/>
      <c r="FK149" s="42"/>
      <c r="FL149" s="42"/>
      <c r="FM149" s="42"/>
      <c r="FN149" s="42"/>
      <c r="FO149" s="42"/>
      <c r="FP149" s="42"/>
      <c r="FQ149" s="42"/>
      <c r="FR149" s="516"/>
      <c r="FS149" s="516"/>
      <c r="FT149" s="516"/>
      <c r="FU149" s="519" t="s">
        <v>15</v>
      </c>
      <c r="FV149" s="519">
        <v>0</v>
      </c>
      <c r="FW149" s="519">
        <v>0</v>
      </c>
      <c r="FX149" s="519">
        <v>0</v>
      </c>
      <c r="FY149" s="519">
        <v>1</v>
      </c>
      <c r="FZ149" s="519">
        <v>1</v>
      </c>
      <c r="GA149" s="519">
        <v>0</v>
      </c>
      <c r="GB149" s="519">
        <v>0</v>
      </c>
      <c r="GC149" s="519">
        <v>0</v>
      </c>
      <c r="GD149" s="519">
        <v>0</v>
      </c>
      <c r="GE149" s="519">
        <v>0</v>
      </c>
      <c r="GF149" s="519">
        <v>0</v>
      </c>
      <c r="GG149" s="579">
        <v>2</v>
      </c>
      <c r="GH149" s="629">
        <f>0/GG149</f>
        <v>0</v>
      </c>
      <c r="GI149" s="518">
        <v>0</v>
      </c>
    </row>
    <row r="150" spans="2:191">
      <c r="D150" s="32" t="s">
        <v>15</v>
      </c>
      <c r="E150" s="4607">
        <v>1</v>
      </c>
      <c r="F150" s="4607"/>
      <c r="G150" s="4607"/>
      <c r="H150" s="4607"/>
      <c r="I150" s="4607"/>
      <c r="J150" s="4607"/>
      <c r="K150" s="4607">
        <v>1</v>
      </c>
      <c r="L150" s="4607">
        <v>3</v>
      </c>
      <c r="M150" s="4607"/>
      <c r="N150" s="4583">
        <v>8</v>
      </c>
      <c r="O150" s="4583">
        <v>2</v>
      </c>
      <c r="P150" s="4583">
        <v>15</v>
      </c>
      <c r="Q150" s="1977">
        <f>+P149/P150</f>
        <v>0.2</v>
      </c>
      <c r="R150" s="1977"/>
      <c r="U150" s="37" t="s">
        <v>125</v>
      </c>
      <c r="V150" s="37" t="s">
        <v>1230</v>
      </c>
      <c r="W150" s="4803"/>
      <c r="X150" s="4803"/>
      <c r="Y150" s="4803"/>
      <c r="Z150" s="4803"/>
      <c r="AA150" s="4803"/>
      <c r="AB150" s="4803">
        <v>0</v>
      </c>
      <c r="AC150" s="4803">
        <v>1</v>
      </c>
      <c r="AD150" s="4803"/>
      <c r="AE150" s="1788"/>
      <c r="AF150" s="1788">
        <v>1</v>
      </c>
      <c r="AI150" s="41"/>
      <c r="AJ150" s="41"/>
      <c r="AK150" s="41"/>
      <c r="AL150" s="41" t="s">
        <v>1239</v>
      </c>
      <c r="AM150" s="2001">
        <v>0</v>
      </c>
      <c r="AN150" s="2001"/>
      <c r="AO150" s="2001"/>
      <c r="AP150" s="2001">
        <v>0</v>
      </c>
      <c r="AQ150" s="2001">
        <v>0</v>
      </c>
      <c r="AR150" s="2001">
        <v>0</v>
      </c>
      <c r="AS150" s="2001">
        <v>0</v>
      </c>
      <c r="AT150" s="2001">
        <v>18</v>
      </c>
      <c r="AU150" s="105"/>
      <c r="AV150" s="105"/>
      <c r="AW150" s="105">
        <v>18</v>
      </c>
      <c r="AX150" s="41"/>
      <c r="AZ150" s="42"/>
      <c r="BA150" s="42"/>
      <c r="BB150" s="42"/>
      <c r="BC150" s="484" t="s">
        <v>15</v>
      </c>
      <c r="BD150" s="1994"/>
      <c r="BE150" s="1994">
        <v>1</v>
      </c>
      <c r="BF150" s="1994"/>
      <c r="BG150" s="1994"/>
      <c r="BH150" s="1994"/>
      <c r="BI150" s="1994"/>
      <c r="BJ150" s="1994"/>
      <c r="BK150" s="1994">
        <v>3</v>
      </c>
      <c r="BL150" s="1994">
        <v>8</v>
      </c>
      <c r="BM150" s="454"/>
      <c r="BN150" s="454">
        <v>3</v>
      </c>
      <c r="BO150" s="454">
        <v>15</v>
      </c>
      <c r="BP150" s="2485">
        <f>+(BO147+BO149)/BO150</f>
        <v>0.53333333333333333</v>
      </c>
      <c r="BR150" s="105"/>
      <c r="BS150" s="105"/>
      <c r="BT150" s="41"/>
      <c r="BU150" s="41" t="s">
        <v>1236</v>
      </c>
      <c r="BV150" s="1659"/>
      <c r="BW150" s="1659">
        <v>2</v>
      </c>
      <c r="BX150" s="1659"/>
      <c r="BY150" s="1659">
        <v>2</v>
      </c>
      <c r="BZ150" s="1659"/>
      <c r="CA150" s="1659"/>
      <c r="CB150" s="1659">
        <v>0</v>
      </c>
      <c r="CC150" s="1659">
        <v>0</v>
      </c>
      <c r="CD150" s="1659"/>
      <c r="CE150" s="105"/>
      <c r="CF150" s="105"/>
      <c r="CG150" s="105">
        <v>4</v>
      </c>
      <c r="CH150" s="105"/>
      <c r="CJ150" s="1359"/>
      <c r="CK150" s="1359"/>
      <c r="CL150" s="1360"/>
      <c r="CM150" s="1361" t="s">
        <v>1239</v>
      </c>
      <c r="CN150" s="1363">
        <v>0</v>
      </c>
      <c r="CO150" s="1363">
        <v>0</v>
      </c>
      <c r="CP150" s="1363">
        <v>0</v>
      </c>
      <c r="CQ150" s="1363">
        <v>0</v>
      </c>
      <c r="CR150" s="1363">
        <v>0</v>
      </c>
      <c r="CS150" s="1363">
        <v>0</v>
      </c>
      <c r="CT150" s="1363">
        <v>1</v>
      </c>
      <c r="CU150" s="1363">
        <v>27</v>
      </c>
      <c r="CV150" s="687">
        <v>3</v>
      </c>
      <c r="CW150" s="687">
        <v>13</v>
      </c>
      <c r="CX150" s="687">
        <v>44</v>
      </c>
      <c r="CY150" s="41"/>
      <c r="DA150" s="602"/>
      <c r="DB150" s="602"/>
      <c r="DC150" s="603" t="s">
        <v>129</v>
      </c>
      <c r="DD150" s="604" t="s">
        <v>1231</v>
      </c>
      <c r="DE150" s="605"/>
      <c r="DF150" s="605"/>
      <c r="DG150" s="605"/>
      <c r="DH150" s="605"/>
      <c r="DI150" s="605"/>
      <c r="DJ150" s="606">
        <v>1</v>
      </c>
      <c r="DK150" s="606">
        <v>1</v>
      </c>
      <c r="DL150" s="606">
        <v>0</v>
      </c>
      <c r="DM150" s="602"/>
      <c r="DN150" s="602"/>
      <c r="DO150" s="607">
        <v>2</v>
      </c>
      <c r="DP150" s="105"/>
      <c r="DR150" s="608"/>
      <c r="DS150" s="608"/>
      <c r="DT150" s="608"/>
      <c r="DU150" s="609" t="s">
        <v>1231</v>
      </c>
      <c r="DV150" s="610"/>
      <c r="DW150" s="610"/>
      <c r="DX150" s="610"/>
      <c r="DY150" s="611">
        <v>1</v>
      </c>
      <c r="DZ150" s="610"/>
      <c r="EA150" s="610"/>
      <c r="EB150" s="611">
        <v>0</v>
      </c>
      <c r="EC150" s="611">
        <v>6</v>
      </c>
      <c r="ED150" s="611">
        <v>0</v>
      </c>
      <c r="EE150" s="612"/>
      <c r="EF150" s="612"/>
      <c r="EG150" s="613">
        <v>7</v>
      </c>
      <c r="EH150" s="614"/>
      <c r="EJ150" s="615"/>
      <c r="EK150" s="615"/>
      <c r="EL150" s="615"/>
      <c r="EM150" s="616" t="s">
        <v>1344</v>
      </c>
      <c r="EN150" s="617"/>
      <c r="EO150" s="618">
        <v>0</v>
      </c>
      <c r="EP150" s="618">
        <v>0</v>
      </c>
      <c r="EQ150" s="617"/>
      <c r="ER150" s="617"/>
      <c r="ES150" s="618">
        <v>0</v>
      </c>
      <c r="ET150" s="618">
        <v>1</v>
      </c>
      <c r="EU150" s="618">
        <v>0</v>
      </c>
      <c r="EV150" s="617"/>
      <c r="EW150" s="617"/>
      <c r="EX150" s="618">
        <v>1</v>
      </c>
      <c r="EY150" s="515"/>
      <c r="FA150" s="70"/>
      <c r="FB150" s="70"/>
      <c r="FC150" s="42"/>
      <c r="FD150" s="42"/>
      <c r="FE150" s="42"/>
      <c r="FF150" s="42"/>
      <c r="FG150" s="42"/>
      <c r="FH150" s="42"/>
      <c r="FI150" s="42"/>
      <c r="FJ150" s="42"/>
      <c r="FK150" s="42"/>
      <c r="FL150" s="42"/>
      <c r="FM150" s="42"/>
      <c r="FN150" s="42"/>
      <c r="FO150" s="42"/>
      <c r="FP150" s="42"/>
      <c r="FQ150" s="42"/>
      <c r="FR150" s="516"/>
      <c r="FS150" s="516" t="s">
        <v>41</v>
      </c>
      <c r="FT150" s="516" t="s">
        <v>139</v>
      </c>
      <c r="FU150" s="516" t="s">
        <v>1230</v>
      </c>
      <c r="FV150" s="516">
        <v>0</v>
      </c>
      <c r="FW150" s="516">
        <v>0</v>
      </c>
      <c r="FX150" s="516">
        <v>0</v>
      </c>
      <c r="FY150" s="516">
        <v>0</v>
      </c>
      <c r="FZ150" s="516">
        <v>0</v>
      </c>
      <c r="GA150" s="516">
        <v>0</v>
      </c>
      <c r="GB150" s="516">
        <v>0</v>
      </c>
      <c r="GC150" s="516">
        <v>0</v>
      </c>
      <c r="GD150" s="516">
        <v>1</v>
      </c>
      <c r="GE150" s="516">
        <v>0</v>
      </c>
      <c r="GF150" s="516">
        <v>0</v>
      </c>
      <c r="GG150" s="517">
        <v>1</v>
      </c>
      <c r="GH150" s="619"/>
      <c r="GI150" s="518"/>
    </row>
    <row r="151" spans="2:191">
      <c r="C151" s="32" t="s">
        <v>544</v>
      </c>
      <c r="D151" s="32" t="s">
        <v>1231</v>
      </c>
      <c r="E151" s="4607">
        <v>0</v>
      </c>
      <c r="F151" s="4607">
        <v>3</v>
      </c>
      <c r="G151" s="4607">
        <v>1</v>
      </c>
      <c r="H151" s="4607"/>
      <c r="I151" s="4607">
        <v>0</v>
      </c>
      <c r="J151" s="4607">
        <v>3</v>
      </c>
      <c r="K151" s="4607">
        <v>3</v>
      </c>
      <c r="L151" s="4607">
        <v>7</v>
      </c>
      <c r="M151" s="4607">
        <v>4</v>
      </c>
      <c r="N151" s="4583">
        <v>3</v>
      </c>
      <c r="O151" s="4583">
        <v>0</v>
      </c>
      <c r="P151" s="4583">
        <v>24</v>
      </c>
      <c r="Q151" s="4583"/>
      <c r="R151" s="4583"/>
      <c r="V151" s="37" t="s">
        <v>1231</v>
      </c>
      <c r="W151" s="4803"/>
      <c r="X151" s="4803"/>
      <c r="Y151" s="4803"/>
      <c r="Z151" s="4803"/>
      <c r="AA151" s="4803"/>
      <c r="AB151" s="4803">
        <v>1</v>
      </c>
      <c r="AC151" s="4803">
        <v>0</v>
      </c>
      <c r="AD151" s="4803"/>
      <c r="AE151" s="1788"/>
      <c r="AF151" s="1788">
        <v>1</v>
      </c>
      <c r="AI151" s="41"/>
      <c r="AJ151" s="41"/>
      <c r="AK151" s="41"/>
      <c r="AL151" s="41" t="s">
        <v>1344</v>
      </c>
      <c r="AM151" s="2001">
        <v>0</v>
      </c>
      <c r="AN151" s="2001"/>
      <c r="AO151" s="2001"/>
      <c r="AP151" s="2001">
        <v>0</v>
      </c>
      <c r="AQ151" s="2001">
        <v>0</v>
      </c>
      <c r="AR151" s="2001">
        <v>3</v>
      </c>
      <c r="AS151" s="2001">
        <v>0</v>
      </c>
      <c r="AT151" s="2001">
        <v>0</v>
      </c>
      <c r="AU151" s="105"/>
      <c r="AV151" s="105"/>
      <c r="AW151" s="105">
        <v>3</v>
      </c>
      <c r="AX151" s="41"/>
      <c r="AZ151" s="42"/>
      <c r="BA151" s="42"/>
      <c r="BB151" s="42" t="s">
        <v>544</v>
      </c>
      <c r="BC151" s="42" t="s">
        <v>1230</v>
      </c>
      <c r="BD151" s="1993"/>
      <c r="BE151" s="1993">
        <v>0</v>
      </c>
      <c r="BF151" s="1993">
        <v>0</v>
      </c>
      <c r="BG151" s="1993">
        <v>0</v>
      </c>
      <c r="BH151" s="1993">
        <v>0</v>
      </c>
      <c r="BI151" s="1993">
        <v>0</v>
      </c>
      <c r="BJ151" s="1993">
        <v>0</v>
      </c>
      <c r="BK151" s="1993">
        <v>2</v>
      </c>
      <c r="BL151" s="1993">
        <v>4</v>
      </c>
      <c r="BM151" s="70">
        <v>4</v>
      </c>
      <c r="BN151" s="70">
        <v>3</v>
      </c>
      <c r="BO151" s="70">
        <v>13</v>
      </c>
      <c r="BR151" s="105"/>
      <c r="BS151" s="105"/>
      <c r="BT151" s="41"/>
      <c r="BU151" s="41" t="s">
        <v>1344</v>
      </c>
      <c r="BV151" s="1659"/>
      <c r="BW151" s="1659">
        <v>0</v>
      </c>
      <c r="BX151" s="1659"/>
      <c r="BY151" s="1659">
        <v>0</v>
      </c>
      <c r="BZ151" s="1659"/>
      <c r="CA151" s="1659"/>
      <c r="CB151" s="1659">
        <v>12</v>
      </c>
      <c r="CC151" s="1659">
        <v>0</v>
      </c>
      <c r="CD151" s="1659"/>
      <c r="CE151" s="105"/>
      <c r="CF151" s="105"/>
      <c r="CG151" s="105">
        <v>12</v>
      </c>
      <c r="CH151" s="105"/>
      <c r="CJ151" s="1359"/>
      <c r="CK151" s="1359"/>
      <c r="CL151" s="1360"/>
      <c r="CM151" s="1361" t="s">
        <v>1344</v>
      </c>
      <c r="CN151" s="1363">
        <v>0</v>
      </c>
      <c r="CO151" s="1363">
        <v>0</v>
      </c>
      <c r="CP151" s="1363">
        <v>0</v>
      </c>
      <c r="CQ151" s="1363">
        <v>0</v>
      </c>
      <c r="CR151" s="1363">
        <v>0</v>
      </c>
      <c r="CS151" s="1363">
        <v>5</v>
      </c>
      <c r="CT151" s="1363">
        <v>2</v>
      </c>
      <c r="CU151" s="1363">
        <v>6</v>
      </c>
      <c r="CV151" s="687">
        <v>0</v>
      </c>
      <c r="CW151" s="687">
        <v>0</v>
      </c>
      <c r="CX151" s="687">
        <v>13</v>
      </c>
      <c r="CY151" s="41"/>
      <c r="DA151" s="602"/>
      <c r="DB151" s="602"/>
      <c r="DC151" s="603"/>
      <c r="DD151" s="604" t="s">
        <v>1235</v>
      </c>
      <c r="DE151" s="605"/>
      <c r="DF151" s="605"/>
      <c r="DG151" s="605"/>
      <c r="DH151" s="605"/>
      <c r="DI151" s="605"/>
      <c r="DJ151" s="606">
        <v>2</v>
      </c>
      <c r="DK151" s="606">
        <v>2</v>
      </c>
      <c r="DL151" s="606">
        <v>0</v>
      </c>
      <c r="DM151" s="602"/>
      <c r="DN151" s="602"/>
      <c r="DO151" s="607">
        <v>4</v>
      </c>
      <c r="DP151" s="105"/>
      <c r="DR151" s="608"/>
      <c r="DS151" s="608"/>
      <c r="DT151" s="608"/>
      <c r="DU151" s="609" t="s">
        <v>1233</v>
      </c>
      <c r="DV151" s="610"/>
      <c r="DW151" s="610"/>
      <c r="DX151" s="610"/>
      <c r="DY151" s="611">
        <v>1</v>
      </c>
      <c r="DZ151" s="610"/>
      <c r="EA151" s="610"/>
      <c r="EB151" s="611">
        <v>0</v>
      </c>
      <c r="EC151" s="611">
        <v>0</v>
      </c>
      <c r="ED151" s="611">
        <v>0</v>
      </c>
      <c r="EE151" s="612"/>
      <c r="EF151" s="612"/>
      <c r="EG151" s="613">
        <v>1</v>
      </c>
      <c r="EH151" s="614"/>
      <c r="EJ151" s="615"/>
      <c r="EK151" s="615"/>
      <c r="EL151" s="615"/>
      <c r="EM151" s="625" t="s">
        <v>15</v>
      </c>
      <c r="EN151" s="626"/>
      <c r="EO151" s="627">
        <v>1</v>
      </c>
      <c r="EP151" s="627">
        <v>1</v>
      </c>
      <c r="EQ151" s="626"/>
      <c r="ER151" s="626"/>
      <c r="ES151" s="627">
        <v>3</v>
      </c>
      <c r="ET151" s="627">
        <v>5</v>
      </c>
      <c r="EU151" s="627">
        <v>5</v>
      </c>
      <c r="EV151" s="626"/>
      <c r="EW151" s="626"/>
      <c r="EX151" s="627">
        <v>15</v>
      </c>
      <c r="EY151" s="628">
        <f>+(EX150+EX149+EX147)/EX151</f>
        <v>0.26666666666666666</v>
      </c>
      <c r="FA151" s="70"/>
      <c r="FB151" s="70"/>
      <c r="FC151" s="42"/>
      <c r="FD151" s="42"/>
      <c r="FE151" s="42"/>
      <c r="FF151" s="42"/>
      <c r="FG151" s="42"/>
      <c r="FH151" s="42"/>
      <c r="FI151" s="42"/>
      <c r="FJ151" s="42"/>
      <c r="FK151" s="42"/>
      <c r="FL151" s="42"/>
      <c r="FM151" s="42"/>
      <c r="FN151" s="42"/>
      <c r="FO151" s="42"/>
      <c r="FP151" s="42"/>
      <c r="FQ151" s="42"/>
      <c r="FR151" s="516"/>
      <c r="FS151" s="516"/>
      <c r="FT151" s="516"/>
      <c r="FU151" s="516" t="s">
        <v>1231</v>
      </c>
      <c r="FV151" s="516">
        <v>0</v>
      </c>
      <c r="FW151" s="516">
        <v>0</v>
      </c>
      <c r="FX151" s="516">
        <v>0</v>
      </c>
      <c r="FY151" s="516">
        <v>0</v>
      </c>
      <c r="FZ151" s="516">
        <v>0</v>
      </c>
      <c r="GA151" s="516">
        <v>0</v>
      </c>
      <c r="GB151" s="516">
        <v>6</v>
      </c>
      <c r="GC151" s="516">
        <v>1</v>
      </c>
      <c r="GD151" s="516">
        <v>0</v>
      </c>
      <c r="GE151" s="516">
        <v>0</v>
      </c>
      <c r="GF151" s="516">
        <v>0</v>
      </c>
      <c r="GG151" s="517">
        <v>7</v>
      </c>
      <c r="GH151" s="619"/>
      <c r="GI151" s="518"/>
    </row>
    <row r="152" spans="2:191">
      <c r="C152" s="32"/>
      <c r="D152" s="32" t="s">
        <v>1235</v>
      </c>
      <c r="E152" s="4607">
        <v>0</v>
      </c>
      <c r="F152" s="4607">
        <v>0</v>
      </c>
      <c r="G152" s="4607">
        <v>0</v>
      </c>
      <c r="H152" s="4607"/>
      <c r="I152" s="4607">
        <v>1</v>
      </c>
      <c r="J152" s="4607">
        <v>0</v>
      </c>
      <c r="K152" s="4607">
        <v>2</v>
      </c>
      <c r="L152" s="4607">
        <v>4</v>
      </c>
      <c r="M152" s="4607">
        <v>0</v>
      </c>
      <c r="N152" s="4583">
        <v>0</v>
      </c>
      <c r="O152" s="4583">
        <v>0</v>
      </c>
      <c r="P152" s="4583">
        <v>7</v>
      </c>
      <c r="Q152" s="4583"/>
      <c r="R152" s="4583"/>
      <c r="V152" s="37" t="s">
        <v>1235</v>
      </c>
      <c r="W152" s="4803"/>
      <c r="X152" s="4803"/>
      <c r="Y152" s="4803"/>
      <c r="Z152" s="4803"/>
      <c r="AA152" s="4803"/>
      <c r="AB152" s="4803">
        <v>17</v>
      </c>
      <c r="AC152" s="4803">
        <v>1</v>
      </c>
      <c r="AD152" s="4803"/>
      <c r="AE152" s="1788"/>
      <c r="AF152" s="1788">
        <v>18</v>
      </c>
      <c r="AI152" s="41"/>
      <c r="AJ152" s="41"/>
      <c r="AK152" s="41"/>
      <c r="AL152" s="461" t="s">
        <v>15</v>
      </c>
      <c r="AM152" s="2002">
        <v>1</v>
      </c>
      <c r="AN152" s="2002"/>
      <c r="AO152" s="2002"/>
      <c r="AP152" s="2002">
        <v>2</v>
      </c>
      <c r="AQ152" s="2002">
        <v>1</v>
      </c>
      <c r="AR152" s="2002">
        <v>5</v>
      </c>
      <c r="AS152" s="2002">
        <v>18</v>
      </c>
      <c r="AT152" s="2002">
        <v>24</v>
      </c>
      <c r="AU152" s="2480"/>
      <c r="AV152" s="2480"/>
      <c r="AW152" s="2480">
        <v>51</v>
      </c>
      <c r="AX152" s="635">
        <f>+(AW151+AW148)/AW152</f>
        <v>0.21568627450980393</v>
      </c>
      <c r="AY152" s="1977"/>
      <c r="AZ152" s="42"/>
      <c r="BA152" s="42"/>
      <c r="BB152" s="42"/>
      <c r="BC152" s="42" t="s">
        <v>1231</v>
      </c>
      <c r="BD152" s="1993"/>
      <c r="BE152" s="1993">
        <v>2</v>
      </c>
      <c r="BF152" s="1993">
        <v>0</v>
      </c>
      <c r="BG152" s="1993">
        <v>0</v>
      </c>
      <c r="BH152" s="1993">
        <v>1</v>
      </c>
      <c r="BI152" s="1993">
        <v>1</v>
      </c>
      <c r="BJ152" s="1993">
        <v>4</v>
      </c>
      <c r="BK152" s="1993">
        <v>8</v>
      </c>
      <c r="BL152" s="1993">
        <v>3</v>
      </c>
      <c r="BM152" s="70">
        <v>1</v>
      </c>
      <c r="BN152" s="70">
        <v>0</v>
      </c>
      <c r="BO152" s="70">
        <v>20</v>
      </c>
      <c r="BR152" s="105"/>
      <c r="BS152" s="105"/>
      <c r="BT152" s="41"/>
      <c r="BU152" s="461" t="s">
        <v>15</v>
      </c>
      <c r="BV152" s="1660"/>
      <c r="BW152" s="1660">
        <v>4</v>
      </c>
      <c r="BX152" s="1660"/>
      <c r="BY152" s="1660">
        <v>2</v>
      </c>
      <c r="BZ152" s="1660"/>
      <c r="CA152" s="1660"/>
      <c r="CB152" s="1660">
        <v>16</v>
      </c>
      <c r="CC152" s="1660">
        <v>6</v>
      </c>
      <c r="CD152" s="1660"/>
      <c r="CE152" s="96"/>
      <c r="CF152" s="96"/>
      <c r="CG152" s="96">
        <v>28</v>
      </c>
      <c r="CH152" s="635">
        <f>+(CG149+CG151)/CG152</f>
        <v>0.5714285714285714</v>
      </c>
      <c r="CJ152" s="1359"/>
      <c r="CK152" s="1359"/>
      <c r="CL152" s="1360"/>
      <c r="CM152" s="483" t="s">
        <v>544</v>
      </c>
      <c r="CN152" s="1365">
        <v>9</v>
      </c>
      <c r="CO152" s="1365">
        <v>4</v>
      </c>
      <c r="CP152" s="1365">
        <v>5</v>
      </c>
      <c r="CQ152" s="1365">
        <v>1</v>
      </c>
      <c r="CR152" s="1365">
        <v>2</v>
      </c>
      <c r="CS152" s="1365">
        <v>8</v>
      </c>
      <c r="CT152" s="1365">
        <v>15</v>
      </c>
      <c r="CU152" s="1365">
        <v>41</v>
      </c>
      <c r="CV152" s="696">
        <v>8</v>
      </c>
      <c r="CW152" s="696">
        <v>24</v>
      </c>
      <c r="CX152" s="696">
        <v>117</v>
      </c>
      <c r="CY152" s="1325">
        <f>+(CX148+CX151)/CX152</f>
        <v>0.19658119658119658</v>
      </c>
      <c r="DA152" s="602"/>
      <c r="DB152" s="602"/>
      <c r="DC152" s="603"/>
      <c r="DD152" s="604" t="s">
        <v>1239</v>
      </c>
      <c r="DE152" s="605"/>
      <c r="DF152" s="605"/>
      <c r="DG152" s="605"/>
      <c r="DH152" s="605"/>
      <c r="DI152" s="605"/>
      <c r="DJ152" s="606">
        <v>0</v>
      </c>
      <c r="DK152" s="606">
        <v>0</v>
      </c>
      <c r="DL152" s="606">
        <v>4</v>
      </c>
      <c r="DM152" s="602"/>
      <c r="DN152" s="602"/>
      <c r="DO152" s="607">
        <v>4</v>
      </c>
      <c r="DP152" s="105"/>
      <c r="DR152" s="608"/>
      <c r="DS152" s="608"/>
      <c r="DT152" s="608"/>
      <c r="DU152" s="609" t="s">
        <v>1235</v>
      </c>
      <c r="DV152" s="610"/>
      <c r="DW152" s="610"/>
      <c r="DX152" s="610"/>
      <c r="DY152" s="611">
        <v>0</v>
      </c>
      <c r="DZ152" s="610"/>
      <c r="EA152" s="610"/>
      <c r="EB152" s="611">
        <v>6</v>
      </c>
      <c r="EC152" s="611">
        <v>16</v>
      </c>
      <c r="ED152" s="611">
        <v>0</v>
      </c>
      <c r="EE152" s="612"/>
      <c r="EF152" s="612"/>
      <c r="EG152" s="613">
        <v>22</v>
      </c>
      <c r="EH152" s="614"/>
      <c r="EJ152" s="615"/>
      <c r="EK152" s="615"/>
      <c r="EL152" s="615" t="s">
        <v>140</v>
      </c>
      <c r="EM152" s="616" t="s">
        <v>1231</v>
      </c>
      <c r="EN152" s="617"/>
      <c r="EO152" s="617"/>
      <c r="EP152" s="617"/>
      <c r="EQ152" s="618">
        <v>1</v>
      </c>
      <c r="ER152" s="618">
        <v>0</v>
      </c>
      <c r="ES152" s="618">
        <v>1</v>
      </c>
      <c r="ET152" s="617"/>
      <c r="EU152" s="617"/>
      <c r="EV152" s="617"/>
      <c r="EW152" s="617"/>
      <c r="EX152" s="618">
        <v>2</v>
      </c>
      <c r="EY152" s="515"/>
      <c r="FA152" s="70"/>
      <c r="FB152" s="70"/>
      <c r="FC152" s="42"/>
      <c r="FD152" s="42"/>
      <c r="FE152" s="42"/>
      <c r="FF152" s="42"/>
      <c r="FG152" s="42"/>
      <c r="FH152" s="42"/>
      <c r="FI152" s="42"/>
      <c r="FJ152" s="42"/>
      <c r="FK152" s="42"/>
      <c r="FL152" s="42"/>
      <c r="FM152" s="42"/>
      <c r="FN152" s="42"/>
      <c r="FO152" s="42"/>
      <c r="FP152" s="42"/>
      <c r="FQ152" s="42"/>
      <c r="FR152" s="516"/>
      <c r="FS152" s="516"/>
      <c r="FT152" s="516"/>
      <c r="FU152" s="516" t="s">
        <v>1235</v>
      </c>
      <c r="FV152" s="516">
        <v>0</v>
      </c>
      <c r="FW152" s="516">
        <v>0</v>
      </c>
      <c r="FX152" s="516">
        <v>0</v>
      </c>
      <c r="FY152" s="516">
        <v>0</v>
      </c>
      <c r="FZ152" s="516">
        <v>0</v>
      </c>
      <c r="GA152" s="516">
        <v>0</v>
      </c>
      <c r="GB152" s="516">
        <v>1</v>
      </c>
      <c r="GC152" s="516">
        <v>0</v>
      </c>
      <c r="GD152" s="516">
        <v>0</v>
      </c>
      <c r="GE152" s="516">
        <v>0</v>
      </c>
      <c r="GF152" s="516">
        <v>0</v>
      </c>
      <c r="GG152" s="517">
        <v>1</v>
      </c>
      <c r="GH152" s="619"/>
      <c r="GI152" s="518"/>
    </row>
    <row r="153" spans="2:191">
      <c r="C153" s="32"/>
      <c r="D153" s="32" t="s">
        <v>1236</v>
      </c>
      <c r="E153" s="4607">
        <v>0</v>
      </c>
      <c r="F153" s="4607">
        <v>0</v>
      </c>
      <c r="G153" s="4607">
        <v>0</v>
      </c>
      <c r="H153" s="4607"/>
      <c r="I153" s="4607">
        <v>1</v>
      </c>
      <c r="J153" s="4607">
        <v>0</v>
      </c>
      <c r="K153" s="4607">
        <v>0</v>
      </c>
      <c r="L153" s="4607">
        <v>0</v>
      </c>
      <c r="M153" s="4607">
        <v>0</v>
      </c>
      <c r="N153" s="4583">
        <v>0</v>
      </c>
      <c r="O153" s="4583">
        <v>0</v>
      </c>
      <c r="P153" s="4583">
        <v>1</v>
      </c>
      <c r="Q153" s="4583"/>
      <c r="R153" s="4583"/>
      <c r="V153" s="37" t="s">
        <v>1239</v>
      </c>
      <c r="W153" s="4803"/>
      <c r="X153" s="4803"/>
      <c r="Y153" s="4803"/>
      <c r="Z153" s="4803"/>
      <c r="AA153" s="4803"/>
      <c r="AB153" s="4803">
        <v>0</v>
      </c>
      <c r="AC153" s="4803">
        <v>5</v>
      </c>
      <c r="AD153" s="4803"/>
      <c r="AE153" s="1788"/>
      <c r="AF153" s="1788">
        <v>5</v>
      </c>
      <c r="AI153" s="41"/>
      <c r="AJ153" s="41"/>
      <c r="AK153" s="41" t="s">
        <v>127</v>
      </c>
      <c r="AL153" s="41" t="s">
        <v>1231</v>
      </c>
      <c r="AM153" s="2001">
        <v>0</v>
      </c>
      <c r="AN153" s="2001"/>
      <c r="AO153" s="2001"/>
      <c r="AP153" s="2001"/>
      <c r="AQ153" s="2001"/>
      <c r="AR153" s="2001">
        <v>2</v>
      </c>
      <c r="AS153" s="2001">
        <v>0</v>
      </c>
      <c r="AT153" s="2001">
        <v>0</v>
      </c>
      <c r="AU153" s="105"/>
      <c r="AV153" s="105"/>
      <c r="AW153" s="105">
        <v>2</v>
      </c>
      <c r="AX153" s="41"/>
      <c r="AZ153" s="42"/>
      <c r="BA153" s="42"/>
      <c r="BB153" s="42"/>
      <c r="BC153" s="42" t="s">
        <v>1233</v>
      </c>
      <c r="BD153" s="1993"/>
      <c r="BE153" s="1993">
        <v>3</v>
      </c>
      <c r="BF153" s="1993">
        <v>1</v>
      </c>
      <c r="BG153" s="1993">
        <v>0</v>
      </c>
      <c r="BH153" s="1993">
        <v>0</v>
      </c>
      <c r="BI153" s="1993">
        <v>0</v>
      </c>
      <c r="BJ153" s="1993">
        <v>0</v>
      </c>
      <c r="BK153" s="1993">
        <v>0</v>
      </c>
      <c r="BL153" s="1993">
        <v>0</v>
      </c>
      <c r="BM153" s="70">
        <v>0</v>
      </c>
      <c r="BN153" s="70">
        <v>0</v>
      </c>
      <c r="BO153" s="70">
        <v>4</v>
      </c>
      <c r="BR153" s="105"/>
      <c r="BS153" s="105"/>
      <c r="BT153" s="41" t="s">
        <v>128</v>
      </c>
      <c r="BU153" s="41" t="s">
        <v>1231</v>
      </c>
      <c r="BV153" s="1659"/>
      <c r="BW153" s="1659"/>
      <c r="BX153" s="1659"/>
      <c r="BY153" s="1659">
        <v>0</v>
      </c>
      <c r="BZ153" s="1659"/>
      <c r="CA153" s="1659"/>
      <c r="CB153" s="1659">
        <v>1</v>
      </c>
      <c r="CC153" s="1659">
        <v>0</v>
      </c>
      <c r="CD153" s="1659">
        <v>0</v>
      </c>
      <c r="CE153" s="105"/>
      <c r="CF153" s="105"/>
      <c r="CG153" s="105">
        <v>1</v>
      </c>
      <c r="CH153" s="105"/>
      <c r="CJ153" s="1359"/>
      <c r="CK153" s="1359" t="s">
        <v>16</v>
      </c>
      <c r="CL153" s="1360" t="s">
        <v>107</v>
      </c>
      <c r="CM153" s="1361" t="s">
        <v>1235</v>
      </c>
      <c r="CN153" s="1362"/>
      <c r="CO153" s="1362"/>
      <c r="CP153" s="1363">
        <v>8</v>
      </c>
      <c r="CQ153" s="1363">
        <v>0</v>
      </c>
      <c r="CR153" s="1362"/>
      <c r="CS153" s="1362"/>
      <c r="CT153" s="1362"/>
      <c r="CU153" s="1362"/>
      <c r="CV153" s="686"/>
      <c r="CW153" s="686"/>
      <c r="CX153" s="687">
        <v>8</v>
      </c>
      <c r="CY153" s="41"/>
      <c r="DA153" s="602"/>
      <c r="DB153" s="602"/>
      <c r="DC153" s="603"/>
      <c r="DD153" s="604" t="s">
        <v>1344</v>
      </c>
      <c r="DE153" s="605"/>
      <c r="DF153" s="605"/>
      <c r="DG153" s="605"/>
      <c r="DH153" s="605"/>
      <c r="DI153" s="605"/>
      <c r="DJ153" s="606">
        <v>4</v>
      </c>
      <c r="DK153" s="606">
        <v>2</v>
      </c>
      <c r="DL153" s="606">
        <v>0</v>
      </c>
      <c r="DM153" s="602"/>
      <c r="DN153" s="602"/>
      <c r="DO153" s="607">
        <v>6</v>
      </c>
      <c r="DP153" s="105"/>
      <c r="DR153" s="608"/>
      <c r="DS153" s="608"/>
      <c r="DT153" s="608"/>
      <c r="DU153" s="609" t="s">
        <v>1239</v>
      </c>
      <c r="DV153" s="610"/>
      <c r="DW153" s="610"/>
      <c r="DX153" s="610"/>
      <c r="DY153" s="611">
        <v>0</v>
      </c>
      <c r="DZ153" s="610"/>
      <c r="EA153" s="610"/>
      <c r="EB153" s="611">
        <v>0</v>
      </c>
      <c r="EC153" s="611">
        <v>0</v>
      </c>
      <c r="ED153" s="611">
        <v>31</v>
      </c>
      <c r="EE153" s="612"/>
      <c r="EF153" s="612"/>
      <c r="EG153" s="613">
        <v>31</v>
      </c>
      <c r="EH153" s="614"/>
      <c r="EJ153" s="615"/>
      <c r="EK153" s="615"/>
      <c r="EL153" s="615"/>
      <c r="EM153" s="616" t="s">
        <v>1235</v>
      </c>
      <c r="EN153" s="617"/>
      <c r="EO153" s="617"/>
      <c r="EP153" s="617"/>
      <c r="EQ153" s="618">
        <v>0</v>
      </c>
      <c r="ER153" s="618">
        <v>0</v>
      </c>
      <c r="ES153" s="618">
        <v>1</v>
      </c>
      <c r="ET153" s="617"/>
      <c r="EU153" s="617"/>
      <c r="EV153" s="617"/>
      <c r="EW153" s="617"/>
      <c r="EX153" s="618">
        <v>1</v>
      </c>
      <c r="EY153" s="515"/>
      <c r="FA153" s="70"/>
      <c r="FB153" s="70"/>
      <c r="FC153" s="42" t="s">
        <v>327</v>
      </c>
      <c r="FD153" s="42" t="s">
        <v>327</v>
      </c>
      <c r="FO153" s="484"/>
      <c r="FP153" s="484"/>
      <c r="FQ153" s="42"/>
      <c r="FR153" s="516"/>
      <c r="FS153" s="516"/>
      <c r="FT153" s="516"/>
      <c r="FU153" s="516" t="s">
        <v>1239</v>
      </c>
      <c r="FV153" s="516">
        <v>0</v>
      </c>
      <c r="FW153" s="516">
        <v>0</v>
      </c>
      <c r="FX153" s="516">
        <v>0</v>
      </c>
      <c r="FY153" s="516">
        <v>0</v>
      </c>
      <c r="FZ153" s="516">
        <v>0</v>
      </c>
      <c r="GA153" s="516">
        <v>0</v>
      </c>
      <c r="GB153" s="516">
        <v>1</v>
      </c>
      <c r="GC153" s="516">
        <v>0</v>
      </c>
      <c r="GD153" s="516">
        <v>0</v>
      </c>
      <c r="GE153" s="516">
        <v>0</v>
      </c>
      <c r="GF153" s="516">
        <v>0</v>
      </c>
      <c r="GG153" s="517">
        <v>1</v>
      </c>
      <c r="GH153" s="619"/>
      <c r="GI153" s="518"/>
    </row>
    <row r="154" spans="2:191">
      <c r="C154" s="32"/>
      <c r="D154" s="32" t="s">
        <v>1239</v>
      </c>
      <c r="E154" s="4607">
        <v>0</v>
      </c>
      <c r="F154" s="4607">
        <v>0</v>
      </c>
      <c r="G154" s="4607">
        <v>0</v>
      </c>
      <c r="H154" s="4607"/>
      <c r="I154" s="4607">
        <v>0</v>
      </c>
      <c r="J154" s="4607">
        <v>0</v>
      </c>
      <c r="K154" s="4607">
        <v>0</v>
      </c>
      <c r="L154" s="4607">
        <v>28</v>
      </c>
      <c r="M154" s="4607">
        <v>12</v>
      </c>
      <c r="N154" s="4583">
        <v>14</v>
      </c>
      <c r="O154" s="4583">
        <v>2</v>
      </c>
      <c r="P154" s="4583">
        <v>56</v>
      </c>
      <c r="Q154" s="4583"/>
      <c r="R154" s="4583"/>
      <c r="V154" s="1793" t="s">
        <v>15</v>
      </c>
      <c r="W154" s="4804"/>
      <c r="X154" s="4804"/>
      <c r="Y154" s="4804"/>
      <c r="Z154" s="4804"/>
      <c r="AA154" s="4804"/>
      <c r="AB154" s="4804">
        <v>18</v>
      </c>
      <c r="AC154" s="4804">
        <v>7</v>
      </c>
      <c r="AD154" s="4804"/>
      <c r="AE154" s="4702"/>
      <c r="AF154" s="4702">
        <v>25</v>
      </c>
      <c r="AG154" s="4703">
        <f>+AF152/AF154</f>
        <v>0.72</v>
      </c>
      <c r="AI154" s="41"/>
      <c r="AJ154" s="41"/>
      <c r="AK154" s="41"/>
      <c r="AL154" s="41" t="s">
        <v>1233</v>
      </c>
      <c r="AM154" s="2001">
        <v>1</v>
      </c>
      <c r="AN154" s="2001"/>
      <c r="AO154" s="2001"/>
      <c r="AP154" s="2001"/>
      <c r="AQ154" s="2001"/>
      <c r="AR154" s="2001">
        <v>0</v>
      </c>
      <c r="AS154" s="2001">
        <v>0</v>
      </c>
      <c r="AT154" s="2001">
        <v>0</v>
      </c>
      <c r="AU154" s="105"/>
      <c r="AV154" s="105"/>
      <c r="AW154" s="105">
        <v>1</v>
      </c>
      <c r="AX154" s="41"/>
      <c r="AZ154" s="42"/>
      <c r="BA154" s="42"/>
      <c r="BB154" s="42"/>
      <c r="BC154" s="42" t="s">
        <v>1235</v>
      </c>
      <c r="BD154" s="1993"/>
      <c r="BE154" s="1993">
        <v>0</v>
      </c>
      <c r="BF154" s="1993">
        <v>0</v>
      </c>
      <c r="BG154" s="1993">
        <v>0</v>
      </c>
      <c r="BH154" s="1993">
        <v>0</v>
      </c>
      <c r="BI154" s="1993">
        <v>0</v>
      </c>
      <c r="BJ154" s="1993">
        <v>4</v>
      </c>
      <c r="BK154" s="1993">
        <v>10</v>
      </c>
      <c r="BL154" s="1993">
        <v>7</v>
      </c>
      <c r="BM154" s="70">
        <v>2</v>
      </c>
      <c r="BN154" s="70">
        <v>0</v>
      </c>
      <c r="BO154" s="70">
        <v>23</v>
      </c>
      <c r="BR154" s="105"/>
      <c r="BS154" s="105"/>
      <c r="BT154" s="41"/>
      <c r="BU154" s="41" t="s">
        <v>1233</v>
      </c>
      <c r="BV154" s="1659"/>
      <c r="BW154" s="1659"/>
      <c r="BX154" s="1659"/>
      <c r="BY154" s="1659">
        <v>1</v>
      </c>
      <c r="BZ154" s="1659"/>
      <c r="CA154" s="1659"/>
      <c r="CB154" s="1659">
        <v>0</v>
      </c>
      <c r="CC154" s="1659">
        <v>0</v>
      </c>
      <c r="CD154" s="1659">
        <v>0</v>
      </c>
      <c r="CE154" s="105"/>
      <c r="CF154" s="105"/>
      <c r="CG154" s="105">
        <v>1</v>
      </c>
      <c r="CH154" s="105"/>
      <c r="CJ154" s="1359"/>
      <c r="CK154" s="1359"/>
      <c r="CL154" s="1360"/>
      <c r="CM154" s="1361" t="s">
        <v>1236</v>
      </c>
      <c r="CN154" s="1362"/>
      <c r="CO154" s="1362"/>
      <c r="CP154" s="1363">
        <v>0</v>
      </c>
      <c r="CQ154" s="1363">
        <v>1</v>
      </c>
      <c r="CR154" s="1362"/>
      <c r="CS154" s="1362"/>
      <c r="CT154" s="1362"/>
      <c r="CU154" s="1362"/>
      <c r="CV154" s="686"/>
      <c r="CW154" s="686"/>
      <c r="CX154" s="687">
        <v>1</v>
      </c>
      <c r="CY154" s="41"/>
      <c r="DA154" s="602"/>
      <c r="DB154" s="602"/>
      <c r="DC154" s="603"/>
      <c r="DD154" s="630" t="s">
        <v>15</v>
      </c>
      <c r="DE154" s="631"/>
      <c r="DF154" s="631"/>
      <c r="DG154" s="631"/>
      <c r="DH154" s="631"/>
      <c r="DI154" s="631"/>
      <c r="DJ154" s="632">
        <v>7</v>
      </c>
      <c r="DK154" s="632">
        <v>5</v>
      </c>
      <c r="DL154" s="632">
        <v>4</v>
      </c>
      <c r="DM154" s="633"/>
      <c r="DN154" s="633"/>
      <c r="DO154" s="634">
        <v>16</v>
      </c>
      <c r="DP154" s="635">
        <f>+(DO151+DO153)/DO154</f>
        <v>0.625</v>
      </c>
      <c r="DR154" s="608"/>
      <c r="DS154" s="608"/>
      <c r="DT154" s="608"/>
      <c r="DU154" s="609" t="s">
        <v>1344</v>
      </c>
      <c r="DV154" s="610"/>
      <c r="DW154" s="610"/>
      <c r="DX154" s="610"/>
      <c r="DY154" s="611">
        <v>0</v>
      </c>
      <c r="DZ154" s="610"/>
      <c r="EA154" s="610"/>
      <c r="EB154" s="611">
        <v>7</v>
      </c>
      <c r="EC154" s="611">
        <v>0</v>
      </c>
      <c r="ED154" s="611">
        <v>0</v>
      </c>
      <c r="EE154" s="612"/>
      <c r="EF154" s="612"/>
      <c r="EG154" s="613">
        <v>7</v>
      </c>
      <c r="EH154" s="614"/>
      <c r="EJ154" s="615"/>
      <c r="EK154" s="615"/>
      <c r="EL154" s="615"/>
      <c r="EM154" s="616" t="s">
        <v>1236</v>
      </c>
      <c r="EN154" s="617"/>
      <c r="EO154" s="617"/>
      <c r="EP154" s="617"/>
      <c r="EQ154" s="618">
        <v>0</v>
      </c>
      <c r="ER154" s="618">
        <v>0</v>
      </c>
      <c r="ES154" s="618">
        <v>1</v>
      </c>
      <c r="ET154" s="617"/>
      <c r="EU154" s="617"/>
      <c r="EV154" s="617"/>
      <c r="EW154" s="617"/>
      <c r="EX154" s="618">
        <v>1</v>
      </c>
      <c r="EY154" s="515"/>
      <c r="FA154" s="70"/>
      <c r="FQ154" s="42"/>
      <c r="FR154" s="516"/>
      <c r="FS154" s="516"/>
      <c r="FT154" s="516"/>
      <c r="FU154" s="516" t="s">
        <v>1240</v>
      </c>
      <c r="FV154" s="516">
        <v>0</v>
      </c>
      <c r="FW154" s="516">
        <v>0</v>
      </c>
      <c r="FX154" s="516">
        <v>0</v>
      </c>
      <c r="FY154" s="516">
        <v>0</v>
      </c>
      <c r="FZ154" s="516">
        <v>0</v>
      </c>
      <c r="GA154" s="516">
        <v>0</v>
      </c>
      <c r="GB154" s="516">
        <v>4</v>
      </c>
      <c r="GC154" s="516">
        <v>0</v>
      </c>
      <c r="GD154" s="516">
        <v>0</v>
      </c>
      <c r="GE154" s="516">
        <v>0</v>
      </c>
      <c r="GF154" s="516">
        <v>0</v>
      </c>
      <c r="GG154" s="517">
        <v>4</v>
      </c>
      <c r="GH154" s="619"/>
      <c r="GI154" s="518"/>
    </row>
    <row r="155" spans="2:191">
      <c r="C155" s="32"/>
      <c r="D155" s="32" t="s">
        <v>2963</v>
      </c>
      <c r="E155" s="4607">
        <v>9</v>
      </c>
      <c r="F155" s="4607">
        <v>0</v>
      </c>
      <c r="G155" s="4607">
        <v>0</v>
      </c>
      <c r="H155" s="4607"/>
      <c r="I155" s="4607">
        <v>0</v>
      </c>
      <c r="J155" s="4607">
        <v>0</v>
      </c>
      <c r="K155" s="4607">
        <v>0</v>
      </c>
      <c r="L155" s="4607">
        <v>0</v>
      </c>
      <c r="M155" s="4607">
        <v>0</v>
      </c>
      <c r="N155" s="4583">
        <v>0</v>
      </c>
      <c r="O155" s="4583">
        <v>0</v>
      </c>
      <c r="P155" s="4583">
        <v>9</v>
      </c>
      <c r="Q155" s="4583"/>
      <c r="R155" s="4583"/>
      <c r="U155" s="37" t="s">
        <v>128</v>
      </c>
      <c r="V155" s="37" t="s">
        <v>1235</v>
      </c>
      <c r="W155" s="4803"/>
      <c r="X155" s="4803"/>
      <c r="Y155" s="4803">
        <v>0</v>
      </c>
      <c r="Z155" s="4803"/>
      <c r="AA155" s="4803"/>
      <c r="AB155" s="4803">
        <v>1</v>
      </c>
      <c r="AC155" s="4803"/>
      <c r="AD155" s="4803"/>
      <c r="AE155" s="1788"/>
      <c r="AF155" s="1788">
        <v>1</v>
      </c>
      <c r="AI155" s="41"/>
      <c r="AJ155" s="41"/>
      <c r="AK155" s="41"/>
      <c r="AL155" s="41" t="s">
        <v>1235</v>
      </c>
      <c r="AM155" s="2001">
        <v>0</v>
      </c>
      <c r="AN155" s="2001"/>
      <c r="AO155" s="2001"/>
      <c r="AP155" s="2001"/>
      <c r="AQ155" s="2001"/>
      <c r="AR155" s="2001">
        <v>0</v>
      </c>
      <c r="AS155" s="2001">
        <v>2</v>
      </c>
      <c r="AT155" s="2001">
        <v>0</v>
      </c>
      <c r="AU155" s="105"/>
      <c r="AV155" s="105"/>
      <c r="AW155" s="105">
        <v>2</v>
      </c>
      <c r="AX155" s="41"/>
      <c r="AZ155" s="42"/>
      <c r="BA155" s="42"/>
      <c r="BB155" s="42"/>
      <c r="BC155" s="42" t="s">
        <v>1236</v>
      </c>
      <c r="BD155" s="1993"/>
      <c r="BE155" s="1993">
        <v>0</v>
      </c>
      <c r="BF155" s="1993">
        <v>0</v>
      </c>
      <c r="BG155" s="1993">
        <v>1</v>
      </c>
      <c r="BH155" s="1993">
        <v>2</v>
      </c>
      <c r="BI155" s="1993">
        <v>0</v>
      </c>
      <c r="BJ155" s="1993">
        <v>0</v>
      </c>
      <c r="BK155" s="1993">
        <v>0</v>
      </c>
      <c r="BL155" s="1993">
        <v>0</v>
      </c>
      <c r="BM155" s="70">
        <v>0</v>
      </c>
      <c r="BN155" s="70">
        <v>0</v>
      </c>
      <c r="BO155" s="70">
        <v>3</v>
      </c>
      <c r="BR155" s="105"/>
      <c r="BS155" s="105"/>
      <c r="BT155" s="41"/>
      <c r="BU155" s="41" t="s">
        <v>1344</v>
      </c>
      <c r="BV155" s="1659"/>
      <c r="BW155" s="1659"/>
      <c r="BX155" s="1659"/>
      <c r="BY155" s="1659">
        <v>0</v>
      </c>
      <c r="BZ155" s="1659"/>
      <c r="CA155" s="1659"/>
      <c r="CB155" s="1659">
        <v>5</v>
      </c>
      <c r="CC155" s="1659">
        <v>4</v>
      </c>
      <c r="CD155" s="1659">
        <v>1</v>
      </c>
      <c r="CE155" s="105"/>
      <c r="CF155" s="105"/>
      <c r="CG155" s="105">
        <v>10</v>
      </c>
      <c r="CH155" s="105"/>
      <c r="CJ155" s="1359"/>
      <c r="CK155" s="1359"/>
      <c r="CL155" s="1360"/>
      <c r="CM155" s="1361" t="s">
        <v>1344</v>
      </c>
      <c r="CN155" s="1362"/>
      <c r="CO155" s="1362"/>
      <c r="CP155" s="1363">
        <v>6</v>
      </c>
      <c r="CQ155" s="1363">
        <v>0</v>
      </c>
      <c r="CR155" s="1362"/>
      <c r="CS155" s="1362"/>
      <c r="CT155" s="1362"/>
      <c r="CU155" s="1362"/>
      <c r="CV155" s="686"/>
      <c r="CW155" s="686"/>
      <c r="CX155" s="687">
        <v>6</v>
      </c>
      <c r="CY155" s="41"/>
      <c r="DA155" s="602"/>
      <c r="DB155" s="602"/>
      <c r="DC155" s="603" t="s">
        <v>130</v>
      </c>
      <c r="DD155" s="604" t="s">
        <v>1231</v>
      </c>
      <c r="DE155" s="606">
        <v>1</v>
      </c>
      <c r="DF155" s="605"/>
      <c r="DG155" s="605"/>
      <c r="DH155" s="605"/>
      <c r="DI155" s="605"/>
      <c r="DJ155" s="606">
        <v>0</v>
      </c>
      <c r="DK155" s="606">
        <v>4</v>
      </c>
      <c r="DL155" s="606">
        <v>0</v>
      </c>
      <c r="DM155" s="602"/>
      <c r="DN155" s="602"/>
      <c r="DO155" s="607">
        <v>5</v>
      </c>
      <c r="DP155" s="105"/>
      <c r="DR155" s="608"/>
      <c r="DS155" s="608"/>
      <c r="DT155" s="608"/>
      <c r="DU155" s="620" t="s">
        <v>547</v>
      </c>
      <c r="DV155" s="621"/>
      <c r="DW155" s="621"/>
      <c r="DX155" s="621"/>
      <c r="DY155" s="622">
        <v>2</v>
      </c>
      <c r="DZ155" s="621"/>
      <c r="EA155" s="621"/>
      <c r="EB155" s="622">
        <v>13</v>
      </c>
      <c r="EC155" s="622">
        <v>22</v>
      </c>
      <c r="ED155" s="622">
        <v>32</v>
      </c>
      <c r="EE155" s="623"/>
      <c r="EF155" s="623"/>
      <c r="EG155" s="624">
        <v>69</v>
      </c>
      <c r="EH155" s="614">
        <f>+(EG154+EG152)/EG155</f>
        <v>0.42028985507246375</v>
      </c>
      <c r="EJ155" s="615"/>
      <c r="EK155" s="615"/>
      <c r="EL155" s="615"/>
      <c r="EM155" s="616" t="s">
        <v>1240</v>
      </c>
      <c r="EN155" s="617"/>
      <c r="EO155" s="617"/>
      <c r="EP155" s="617"/>
      <c r="EQ155" s="618">
        <v>0</v>
      </c>
      <c r="ER155" s="618">
        <v>2</v>
      </c>
      <c r="ES155" s="618">
        <v>2</v>
      </c>
      <c r="ET155" s="617"/>
      <c r="EU155" s="617"/>
      <c r="EV155" s="617"/>
      <c r="EW155" s="617"/>
      <c r="EX155" s="618">
        <v>4</v>
      </c>
      <c r="EY155" s="515"/>
      <c r="FA155" s="70"/>
      <c r="FQ155" s="42"/>
      <c r="FR155" s="516"/>
      <c r="FS155" s="516"/>
      <c r="FT155" s="516"/>
      <c r="FU155" s="519" t="s">
        <v>15</v>
      </c>
      <c r="FV155" s="519">
        <v>0</v>
      </c>
      <c r="FW155" s="519">
        <v>0</v>
      </c>
      <c r="FX155" s="519">
        <v>0</v>
      </c>
      <c r="FY155" s="519">
        <v>0</v>
      </c>
      <c r="FZ155" s="519">
        <v>0</v>
      </c>
      <c r="GA155" s="519">
        <v>0</v>
      </c>
      <c r="GB155" s="519">
        <v>12</v>
      </c>
      <c r="GC155" s="519">
        <v>1</v>
      </c>
      <c r="GD155" s="519">
        <v>1</v>
      </c>
      <c r="GE155" s="519">
        <v>0</v>
      </c>
      <c r="GF155" s="519">
        <v>0</v>
      </c>
      <c r="GG155" s="579">
        <v>14</v>
      </c>
      <c r="GH155" s="629">
        <f>+(GG154+GG152)/GG155</f>
        <v>0.35714285714285715</v>
      </c>
      <c r="GI155" s="518">
        <f>+GG152+GG154</f>
        <v>5</v>
      </c>
    </row>
    <row r="156" spans="2:191">
      <c r="C156" s="32"/>
      <c r="D156" s="32" t="s">
        <v>1344</v>
      </c>
      <c r="E156" s="4607">
        <v>0</v>
      </c>
      <c r="F156" s="4607">
        <v>0</v>
      </c>
      <c r="G156" s="4607">
        <v>0</v>
      </c>
      <c r="H156" s="4607"/>
      <c r="I156" s="4607">
        <v>0</v>
      </c>
      <c r="J156" s="4607">
        <v>2</v>
      </c>
      <c r="K156" s="4607">
        <v>8</v>
      </c>
      <c r="L156" s="4607">
        <v>7</v>
      </c>
      <c r="M156" s="4607">
        <v>2</v>
      </c>
      <c r="N156" s="4583">
        <v>0</v>
      </c>
      <c r="O156" s="4583">
        <v>0</v>
      </c>
      <c r="P156" s="4583">
        <v>19</v>
      </c>
      <c r="Q156" s="4583"/>
      <c r="R156" s="4583"/>
      <c r="V156" s="37" t="s">
        <v>1236</v>
      </c>
      <c r="W156" s="4803"/>
      <c r="X156" s="4803"/>
      <c r="Y156" s="4803">
        <v>1</v>
      </c>
      <c r="Z156" s="4803"/>
      <c r="AA156" s="4803"/>
      <c r="AB156" s="4803">
        <v>0</v>
      </c>
      <c r="AC156" s="4803"/>
      <c r="AD156" s="4803"/>
      <c r="AE156" s="1788"/>
      <c r="AF156" s="1788">
        <v>1</v>
      </c>
      <c r="AI156" s="41"/>
      <c r="AJ156" s="41"/>
      <c r="AK156" s="41"/>
      <c r="AL156" s="41" t="s">
        <v>1239</v>
      </c>
      <c r="AM156" s="2001">
        <v>0</v>
      </c>
      <c r="AN156" s="2001"/>
      <c r="AO156" s="2001"/>
      <c r="AP156" s="2001"/>
      <c r="AQ156" s="2001"/>
      <c r="AR156" s="2001">
        <v>0</v>
      </c>
      <c r="AS156" s="2001">
        <v>0</v>
      </c>
      <c r="AT156" s="2001">
        <v>1</v>
      </c>
      <c r="AU156" s="105"/>
      <c r="AV156" s="105"/>
      <c r="AW156" s="105">
        <v>1</v>
      </c>
      <c r="AX156" s="41"/>
      <c r="AZ156" s="42"/>
      <c r="BA156" s="42"/>
      <c r="BB156" s="42"/>
      <c r="BC156" s="42" t="s">
        <v>1239</v>
      </c>
      <c r="BD156" s="1993"/>
      <c r="BE156" s="1993">
        <v>0</v>
      </c>
      <c r="BF156" s="1993">
        <v>0</v>
      </c>
      <c r="BG156" s="1993">
        <v>0</v>
      </c>
      <c r="BH156" s="1993">
        <v>0</v>
      </c>
      <c r="BI156" s="1993">
        <v>1</v>
      </c>
      <c r="BJ156" s="1993">
        <v>0</v>
      </c>
      <c r="BK156" s="1993">
        <v>0</v>
      </c>
      <c r="BL156" s="1993">
        <v>26</v>
      </c>
      <c r="BM156" s="70">
        <v>6</v>
      </c>
      <c r="BN156" s="70">
        <v>5</v>
      </c>
      <c r="BO156" s="70">
        <v>38</v>
      </c>
      <c r="BR156" s="105"/>
      <c r="BS156" s="105"/>
      <c r="BT156" s="41"/>
      <c r="BU156" s="461" t="s">
        <v>15</v>
      </c>
      <c r="BV156" s="1660"/>
      <c r="BW156" s="1660"/>
      <c r="BX156" s="1660"/>
      <c r="BY156" s="1660">
        <v>1</v>
      </c>
      <c r="BZ156" s="1660"/>
      <c r="CA156" s="1660"/>
      <c r="CB156" s="1660">
        <v>6</v>
      </c>
      <c r="CC156" s="1660">
        <v>4</v>
      </c>
      <c r="CD156" s="1660">
        <v>1</v>
      </c>
      <c r="CE156" s="96"/>
      <c r="CF156" s="96"/>
      <c r="CG156" s="96">
        <v>12</v>
      </c>
      <c r="CH156" s="635">
        <f>+CG155/CG156</f>
        <v>0.83333333333333337</v>
      </c>
      <c r="CJ156" s="1359"/>
      <c r="CK156" s="1359"/>
      <c r="CL156" s="1360"/>
      <c r="CM156" s="483" t="s">
        <v>15</v>
      </c>
      <c r="CN156" s="1364"/>
      <c r="CO156" s="1364"/>
      <c r="CP156" s="1365">
        <v>14</v>
      </c>
      <c r="CQ156" s="1365">
        <v>1</v>
      </c>
      <c r="CR156" s="1364"/>
      <c r="CS156" s="1364"/>
      <c r="CT156" s="1364"/>
      <c r="CU156" s="1364"/>
      <c r="CV156" s="695"/>
      <c r="CW156" s="695"/>
      <c r="CX156" s="696">
        <v>15</v>
      </c>
      <c r="CY156" s="1325">
        <f>+(CX153+CX155)/CX156</f>
        <v>0.93333333333333335</v>
      </c>
      <c r="DA156" s="602"/>
      <c r="DB156" s="602"/>
      <c r="DC156" s="603"/>
      <c r="DD156" s="604" t="s">
        <v>1235</v>
      </c>
      <c r="DE156" s="606">
        <v>0</v>
      </c>
      <c r="DF156" s="605"/>
      <c r="DG156" s="605"/>
      <c r="DH156" s="605"/>
      <c r="DI156" s="605"/>
      <c r="DJ156" s="606">
        <v>1</v>
      </c>
      <c r="DK156" s="606">
        <v>6</v>
      </c>
      <c r="DL156" s="606">
        <v>0</v>
      </c>
      <c r="DM156" s="602"/>
      <c r="DN156" s="602"/>
      <c r="DO156" s="607">
        <v>7</v>
      </c>
      <c r="DP156" s="105"/>
      <c r="DR156" s="608"/>
      <c r="DS156" s="608"/>
      <c r="DT156" s="620" t="s">
        <v>110</v>
      </c>
      <c r="DU156" s="609" t="s">
        <v>1230</v>
      </c>
      <c r="DV156" s="611">
        <v>0</v>
      </c>
      <c r="DW156" s="611">
        <v>0</v>
      </c>
      <c r="DX156" s="611">
        <v>0</v>
      </c>
      <c r="DY156" s="611">
        <v>0</v>
      </c>
      <c r="DZ156" s="610"/>
      <c r="EA156" s="611">
        <v>0</v>
      </c>
      <c r="EB156" s="611">
        <v>0</v>
      </c>
      <c r="EC156" s="611">
        <v>1</v>
      </c>
      <c r="ED156" s="611">
        <v>17</v>
      </c>
      <c r="EE156" s="613">
        <v>1</v>
      </c>
      <c r="EF156" s="613">
        <v>8</v>
      </c>
      <c r="EG156" s="613">
        <v>27</v>
      </c>
      <c r="EH156" s="614"/>
      <c r="EJ156" s="615"/>
      <c r="EK156" s="615"/>
      <c r="EL156" s="615"/>
      <c r="EM156" s="616" t="s">
        <v>1344</v>
      </c>
      <c r="EN156" s="617"/>
      <c r="EO156" s="617"/>
      <c r="EP156" s="617"/>
      <c r="EQ156" s="618">
        <v>0</v>
      </c>
      <c r="ER156" s="618">
        <v>2</v>
      </c>
      <c r="ES156" s="618">
        <v>0</v>
      </c>
      <c r="ET156" s="617"/>
      <c r="EU156" s="617"/>
      <c r="EV156" s="617"/>
      <c r="EW156" s="617"/>
      <c r="EX156" s="618">
        <v>2</v>
      </c>
      <c r="EY156" s="515"/>
      <c r="FA156" s="70"/>
      <c r="FQ156" s="42"/>
      <c r="FR156" s="516"/>
      <c r="FS156" s="516"/>
      <c r="FT156" s="516" t="s">
        <v>140</v>
      </c>
      <c r="FU156" s="516" t="s">
        <v>1230</v>
      </c>
      <c r="FV156" s="516">
        <v>0</v>
      </c>
      <c r="FW156" s="516">
        <v>0</v>
      </c>
      <c r="FX156" s="516">
        <v>0</v>
      </c>
      <c r="FY156" s="516">
        <v>0</v>
      </c>
      <c r="FZ156" s="516">
        <v>0</v>
      </c>
      <c r="GA156" s="516">
        <v>0</v>
      </c>
      <c r="GB156" s="516">
        <v>1</v>
      </c>
      <c r="GC156" s="516">
        <v>0</v>
      </c>
      <c r="GD156" s="516">
        <v>0</v>
      </c>
      <c r="GE156" s="516">
        <v>0</v>
      </c>
      <c r="GF156" s="516">
        <v>0</v>
      </c>
      <c r="GG156" s="517">
        <v>1</v>
      </c>
      <c r="GH156" s="619"/>
      <c r="GI156" s="518"/>
    </row>
    <row r="157" spans="2:191">
      <c r="C157" s="32"/>
      <c r="D157" s="32" t="s">
        <v>15</v>
      </c>
      <c r="E157" s="4607">
        <v>9</v>
      </c>
      <c r="F157" s="4607">
        <v>3</v>
      </c>
      <c r="G157" s="4607">
        <v>1</v>
      </c>
      <c r="H157" s="4607"/>
      <c r="I157" s="4607">
        <v>2</v>
      </c>
      <c r="J157" s="4607">
        <v>5</v>
      </c>
      <c r="K157" s="4607">
        <v>13</v>
      </c>
      <c r="L157" s="4607">
        <v>46</v>
      </c>
      <c r="M157" s="4607">
        <v>18</v>
      </c>
      <c r="N157" s="4583">
        <v>17</v>
      </c>
      <c r="O157" s="4583">
        <v>2</v>
      </c>
      <c r="P157" s="4583">
        <v>116</v>
      </c>
      <c r="Q157" s="1977">
        <f>+(P152+P156)/(P157-P155)</f>
        <v>0.24299065420560748</v>
      </c>
      <c r="R157" s="1977"/>
      <c r="V157" s="1793" t="s">
        <v>15</v>
      </c>
      <c r="W157" s="4804"/>
      <c r="X157" s="4804"/>
      <c r="Y157" s="4804">
        <v>1</v>
      </c>
      <c r="Z157" s="4804"/>
      <c r="AA157" s="4804"/>
      <c r="AB157" s="4804">
        <v>1</v>
      </c>
      <c r="AC157" s="4804"/>
      <c r="AD157" s="4804"/>
      <c r="AE157" s="4702"/>
      <c r="AF157" s="4702">
        <v>2</v>
      </c>
      <c r="AG157" s="4703">
        <f>+AF155/AF157</f>
        <v>0.5</v>
      </c>
      <c r="AI157" s="41"/>
      <c r="AJ157" s="41"/>
      <c r="AK157" s="41"/>
      <c r="AL157" s="41" t="s">
        <v>1344</v>
      </c>
      <c r="AM157" s="2001">
        <v>0</v>
      </c>
      <c r="AN157" s="2001"/>
      <c r="AO157" s="2001"/>
      <c r="AP157" s="2001"/>
      <c r="AQ157" s="2001"/>
      <c r="AR157" s="2001">
        <v>13</v>
      </c>
      <c r="AS157" s="2001">
        <v>1</v>
      </c>
      <c r="AT157" s="2001">
        <v>0</v>
      </c>
      <c r="AU157" s="105"/>
      <c r="AV157" s="105"/>
      <c r="AW157" s="105">
        <v>14</v>
      </c>
      <c r="AX157" s="41"/>
      <c r="AZ157" s="42"/>
      <c r="BA157" s="42"/>
      <c r="BB157" s="42"/>
      <c r="BC157" s="42" t="s">
        <v>1344</v>
      </c>
      <c r="BD157" s="1993"/>
      <c r="BE157" s="1993">
        <v>0</v>
      </c>
      <c r="BF157" s="1993">
        <v>0</v>
      </c>
      <c r="BG157" s="1993">
        <v>0</v>
      </c>
      <c r="BH157" s="1993">
        <v>0</v>
      </c>
      <c r="BI157" s="1993">
        <v>0</v>
      </c>
      <c r="BJ157" s="1993">
        <v>3</v>
      </c>
      <c r="BK157" s="1993">
        <v>3</v>
      </c>
      <c r="BL157" s="1993">
        <v>3</v>
      </c>
      <c r="BM157" s="70">
        <v>0</v>
      </c>
      <c r="BN157" s="70">
        <v>0</v>
      </c>
      <c r="BO157" s="70">
        <v>9</v>
      </c>
      <c r="BR157" s="105"/>
      <c r="BS157" s="105"/>
      <c r="BT157" s="41" t="s">
        <v>545</v>
      </c>
      <c r="BU157" s="41" t="s">
        <v>1231</v>
      </c>
      <c r="BV157" s="1659"/>
      <c r="BW157" s="1659">
        <v>0</v>
      </c>
      <c r="BX157" s="1659">
        <v>0</v>
      </c>
      <c r="BY157" s="1659">
        <v>0</v>
      </c>
      <c r="BZ157" s="1659"/>
      <c r="CA157" s="1659">
        <v>0</v>
      </c>
      <c r="CB157" s="1659">
        <v>18</v>
      </c>
      <c r="CC157" s="1659">
        <v>10</v>
      </c>
      <c r="CD157" s="1659">
        <v>0</v>
      </c>
      <c r="CE157" s="105"/>
      <c r="CF157" s="105"/>
      <c r="CG157" s="105">
        <v>28</v>
      </c>
      <c r="CH157" s="105"/>
      <c r="CJ157" s="1359"/>
      <c r="CK157" s="1359"/>
      <c r="CL157" s="1360" t="s">
        <v>128</v>
      </c>
      <c r="CM157" s="1361" t="s">
        <v>1231</v>
      </c>
      <c r="CN157" s="1363">
        <v>0</v>
      </c>
      <c r="CO157" s="1363">
        <v>1</v>
      </c>
      <c r="CP157" s="1363">
        <v>0</v>
      </c>
      <c r="CQ157" s="1363">
        <v>0</v>
      </c>
      <c r="CR157" s="1362"/>
      <c r="CS157" s="1363">
        <v>0</v>
      </c>
      <c r="CT157" s="1363">
        <v>0</v>
      </c>
      <c r="CU157" s="1362"/>
      <c r="CV157" s="686"/>
      <c r="CW157" s="687">
        <v>0</v>
      </c>
      <c r="CX157" s="687">
        <v>1</v>
      </c>
      <c r="CY157" s="41"/>
      <c r="DA157" s="602"/>
      <c r="DB157" s="602"/>
      <c r="DC157" s="603"/>
      <c r="DD157" s="604" t="s">
        <v>1239</v>
      </c>
      <c r="DE157" s="606">
        <v>0</v>
      </c>
      <c r="DF157" s="605"/>
      <c r="DG157" s="605"/>
      <c r="DH157" s="605"/>
      <c r="DI157" s="605"/>
      <c r="DJ157" s="606">
        <v>0</v>
      </c>
      <c r="DK157" s="606">
        <v>0</v>
      </c>
      <c r="DL157" s="606">
        <v>3</v>
      </c>
      <c r="DM157" s="602"/>
      <c r="DN157" s="602"/>
      <c r="DO157" s="607">
        <v>3</v>
      </c>
      <c r="DP157" s="105"/>
      <c r="DR157" s="608"/>
      <c r="DS157" s="608"/>
      <c r="DT157" s="608"/>
      <c r="DU157" s="609" t="s">
        <v>1231</v>
      </c>
      <c r="DV157" s="611">
        <v>1</v>
      </c>
      <c r="DW157" s="611">
        <v>3</v>
      </c>
      <c r="DX157" s="611">
        <v>3</v>
      </c>
      <c r="DY157" s="611">
        <v>2</v>
      </c>
      <c r="DZ157" s="610"/>
      <c r="EA157" s="611">
        <v>0</v>
      </c>
      <c r="EB157" s="611">
        <v>4</v>
      </c>
      <c r="EC157" s="611">
        <v>13</v>
      </c>
      <c r="ED157" s="611">
        <v>3</v>
      </c>
      <c r="EE157" s="613">
        <v>2</v>
      </c>
      <c r="EF157" s="613">
        <v>0</v>
      </c>
      <c r="EG157" s="613">
        <v>31</v>
      </c>
      <c r="EH157" s="614"/>
      <c r="EJ157" s="615"/>
      <c r="EK157" s="615"/>
      <c r="EL157" s="615"/>
      <c r="EM157" s="625" t="s">
        <v>15</v>
      </c>
      <c r="EN157" s="626"/>
      <c r="EO157" s="626"/>
      <c r="EP157" s="626"/>
      <c r="EQ157" s="627">
        <v>1</v>
      </c>
      <c r="ER157" s="627">
        <v>4</v>
      </c>
      <c r="ES157" s="627">
        <v>5</v>
      </c>
      <c r="ET157" s="626"/>
      <c r="EU157" s="626"/>
      <c r="EV157" s="626"/>
      <c r="EW157" s="626"/>
      <c r="EX157" s="627">
        <v>10</v>
      </c>
      <c r="EY157" s="628">
        <f>+(EX156+EX155+EX153)/EX157</f>
        <v>0.7</v>
      </c>
      <c r="FA157" s="70"/>
      <c r="FQ157" s="42"/>
      <c r="FR157" s="516"/>
      <c r="FS157" s="516"/>
      <c r="FT157" s="516"/>
      <c r="FU157" s="516" t="s">
        <v>1231</v>
      </c>
      <c r="FV157" s="516">
        <v>0</v>
      </c>
      <c r="FW157" s="516">
        <v>0</v>
      </c>
      <c r="FX157" s="516">
        <v>0</v>
      </c>
      <c r="FY157" s="516">
        <v>0</v>
      </c>
      <c r="FZ157" s="516">
        <v>0</v>
      </c>
      <c r="GA157" s="516">
        <v>0</v>
      </c>
      <c r="GB157" s="516">
        <v>2</v>
      </c>
      <c r="GC157" s="516">
        <v>0</v>
      </c>
      <c r="GD157" s="516">
        <v>0</v>
      </c>
      <c r="GE157" s="516">
        <v>0</v>
      </c>
      <c r="GF157" s="516">
        <v>0</v>
      </c>
      <c r="GG157" s="517">
        <v>2</v>
      </c>
      <c r="GH157" s="619"/>
      <c r="GI157" s="518"/>
    </row>
    <row r="158" spans="2:191">
      <c r="B158" s="167" t="s">
        <v>16</v>
      </c>
      <c r="C158" s="4800" t="s">
        <v>107</v>
      </c>
      <c r="D158" s="4800" t="s">
        <v>1236</v>
      </c>
      <c r="E158" s="4606"/>
      <c r="F158" s="4606"/>
      <c r="G158" s="4606"/>
      <c r="H158" s="4606">
        <v>2</v>
      </c>
      <c r="I158" s="4606"/>
      <c r="J158" s="4606"/>
      <c r="K158" s="4606"/>
      <c r="L158" s="4606"/>
      <c r="M158" s="4606"/>
      <c r="N158" s="2552"/>
      <c r="O158" s="2552"/>
      <c r="P158" s="2552">
        <v>2</v>
      </c>
      <c r="Q158" s="2552"/>
      <c r="R158" s="2552"/>
      <c r="U158" s="37" t="s">
        <v>2278</v>
      </c>
      <c r="V158" s="37" t="s">
        <v>1230</v>
      </c>
      <c r="W158" s="4803"/>
      <c r="X158" s="4803"/>
      <c r="Y158" s="4803"/>
      <c r="Z158" s="4803"/>
      <c r="AA158" s="4803"/>
      <c r="AB158" s="4803">
        <v>0</v>
      </c>
      <c r="AC158" s="4803">
        <v>0</v>
      </c>
      <c r="AD158" s="4803">
        <v>0</v>
      </c>
      <c r="AE158" s="1788">
        <v>6</v>
      </c>
      <c r="AF158" s="1788">
        <v>6</v>
      </c>
      <c r="AI158" s="41"/>
      <c r="AJ158" s="41"/>
      <c r="AK158" s="41"/>
      <c r="AL158" s="461" t="s">
        <v>15</v>
      </c>
      <c r="AM158" s="2002">
        <v>1</v>
      </c>
      <c r="AN158" s="2002"/>
      <c r="AO158" s="2002"/>
      <c r="AP158" s="2002"/>
      <c r="AQ158" s="2002"/>
      <c r="AR158" s="2002">
        <v>15</v>
      </c>
      <c r="AS158" s="2002">
        <v>3</v>
      </c>
      <c r="AT158" s="2002">
        <v>1</v>
      </c>
      <c r="AU158" s="2480"/>
      <c r="AV158" s="2480"/>
      <c r="AW158" s="2480">
        <v>20</v>
      </c>
      <c r="AX158" s="635">
        <f>+(AW157+AW155)/AW158</f>
        <v>0.8</v>
      </c>
      <c r="AY158" s="1977"/>
      <c r="AZ158" s="42"/>
      <c r="BA158" s="42"/>
      <c r="BB158" s="42"/>
      <c r="BC158" s="484" t="s">
        <v>544</v>
      </c>
      <c r="BD158" s="1994"/>
      <c r="BE158" s="1994">
        <v>5</v>
      </c>
      <c r="BF158" s="1994">
        <v>1</v>
      </c>
      <c r="BG158" s="1994">
        <v>1</v>
      </c>
      <c r="BH158" s="1994">
        <v>3</v>
      </c>
      <c r="BI158" s="1994">
        <v>2</v>
      </c>
      <c r="BJ158" s="1994">
        <v>11</v>
      </c>
      <c r="BK158" s="1994">
        <v>23</v>
      </c>
      <c r="BL158" s="1994">
        <v>43</v>
      </c>
      <c r="BM158" s="454">
        <v>13</v>
      </c>
      <c r="BN158" s="454">
        <v>8</v>
      </c>
      <c r="BO158" s="454">
        <v>110</v>
      </c>
      <c r="BP158" s="2485">
        <f>+(BO154-BM154+BO157)/BO158</f>
        <v>0.27272727272727271</v>
      </c>
      <c r="BR158" s="105"/>
      <c r="BS158" s="105"/>
      <c r="BT158" s="41"/>
      <c r="BU158" s="41" t="s">
        <v>1233</v>
      </c>
      <c r="BV158" s="1659"/>
      <c r="BW158" s="1659">
        <v>2</v>
      </c>
      <c r="BX158" s="1659">
        <v>0</v>
      </c>
      <c r="BY158" s="1659">
        <v>1</v>
      </c>
      <c r="BZ158" s="1659"/>
      <c r="CA158" s="1659">
        <v>0</v>
      </c>
      <c r="CB158" s="1659">
        <v>0</v>
      </c>
      <c r="CC158" s="1659">
        <v>0</v>
      </c>
      <c r="CD158" s="1659">
        <v>0</v>
      </c>
      <c r="CE158" s="105"/>
      <c r="CF158" s="105"/>
      <c r="CG158" s="105">
        <v>3</v>
      </c>
      <c r="CH158" s="105"/>
      <c r="CJ158" s="1359"/>
      <c r="CK158" s="1359"/>
      <c r="CL158" s="1360"/>
      <c r="CM158" s="1361" t="s">
        <v>1233</v>
      </c>
      <c r="CN158" s="1363">
        <v>1</v>
      </c>
      <c r="CO158" s="1363">
        <v>4</v>
      </c>
      <c r="CP158" s="1363">
        <v>0</v>
      </c>
      <c r="CQ158" s="1363">
        <v>1</v>
      </c>
      <c r="CR158" s="1362"/>
      <c r="CS158" s="1363">
        <v>0</v>
      </c>
      <c r="CT158" s="1363">
        <v>0</v>
      </c>
      <c r="CU158" s="1362"/>
      <c r="CV158" s="686"/>
      <c r="CW158" s="687">
        <v>0</v>
      </c>
      <c r="CX158" s="687">
        <v>6</v>
      </c>
      <c r="CY158" s="41"/>
      <c r="DA158" s="602"/>
      <c r="DB158" s="602"/>
      <c r="DC158" s="603"/>
      <c r="DD158" s="604" t="s">
        <v>1344</v>
      </c>
      <c r="DE158" s="606">
        <v>0</v>
      </c>
      <c r="DF158" s="605"/>
      <c r="DG158" s="605"/>
      <c r="DH158" s="605"/>
      <c r="DI158" s="605"/>
      <c r="DJ158" s="606">
        <v>2</v>
      </c>
      <c r="DK158" s="606">
        <v>2</v>
      </c>
      <c r="DL158" s="606">
        <v>0</v>
      </c>
      <c r="DM158" s="602"/>
      <c r="DN158" s="602"/>
      <c r="DO158" s="607">
        <v>4</v>
      </c>
      <c r="DP158" s="105"/>
      <c r="DR158" s="608"/>
      <c r="DS158" s="608"/>
      <c r="DT158" s="608"/>
      <c r="DU158" s="609" t="s">
        <v>1233</v>
      </c>
      <c r="DV158" s="611">
        <v>0</v>
      </c>
      <c r="DW158" s="611">
        <v>0</v>
      </c>
      <c r="DX158" s="611">
        <v>1</v>
      </c>
      <c r="DY158" s="611">
        <v>2</v>
      </c>
      <c r="DZ158" s="610"/>
      <c r="EA158" s="611">
        <v>0</v>
      </c>
      <c r="EB158" s="611">
        <v>0</v>
      </c>
      <c r="EC158" s="611">
        <v>0</v>
      </c>
      <c r="ED158" s="611">
        <v>0</v>
      </c>
      <c r="EE158" s="613">
        <v>0</v>
      </c>
      <c r="EF158" s="613">
        <v>0</v>
      </c>
      <c r="EG158" s="613">
        <v>3</v>
      </c>
      <c r="EH158" s="614"/>
      <c r="EJ158" s="615"/>
      <c r="EK158" s="615"/>
      <c r="EL158" s="615" t="s">
        <v>444</v>
      </c>
      <c r="EM158" s="616" t="s">
        <v>1231</v>
      </c>
      <c r="EN158" s="617"/>
      <c r="EO158" s="617"/>
      <c r="EP158" s="618">
        <v>1</v>
      </c>
      <c r="EQ158" s="617"/>
      <c r="ER158" s="617"/>
      <c r="ES158" s="618">
        <v>5</v>
      </c>
      <c r="ET158" s="617"/>
      <c r="EU158" s="617"/>
      <c r="EV158" s="617"/>
      <c r="EW158" s="617"/>
      <c r="EX158" s="618">
        <v>6</v>
      </c>
      <c r="EY158" s="515"/>
      <c r="FA158" s="70"/>
      <c r="FQ158" s="42"/>
      <c r="FR158" s="516"/>
      <c r="FS158" s="516"/>
      <c r="FT158" s="516"/>
      <c r="FU158" s="516" t="s">
        <v>1240</v>
      </c>
      <c r="FV158" s="516">
        <v>0</v>
      </c>
      <c r="FW158" s="516">
        <v>0</v>
      </c>
      <c r="FX158" s="516">
        <v>0</v>
      </c>
      <c r="FY158" s="516">
        <v>0</v>
      </c>
      <c r="FZ158" s="516">
        <v>0</v>
      </c>
      <c r="GA158" s="516">
        <v>1</v>
      </c>
      <c r="GB158" s="516">
        <v>3</v>
      </c>
      <c r="GC158" s="516">
        <v>0</v>
      </c>
      <c r="GD158" s="516">
        <v>0</v>
      </c>
      <c r="GE158" s="516">
        <v>0</v>
      </c>
      <c r="GF158" s="516">
        <v>0</v>
      </c>
      <c r="GG158" s="517">
        <v>4</v>
      </c>
      <c r="GH158" s="619"/>
      <c r="GI158" s="518"/>
    </row>
    <row r="159" spans="2:191">
      <c r="D159" s="4800" t="s">
        <v>1344</v>
      </c>
      <c r="E159" s="4606"/>
      <c r="F159" s="4606"/>
      <c r="G159" s="4606"/>
      <c r="H159" s="4606">
        <v>10</v>
      </c>
      <c r="I159" s="4606"/>
      <c r="J159" s="4606"/>
      <c r="K159" s="4606"/>
      <c r="L159" s="4606"/>
      <c r="M159" s="4606"/>
      <c r="N159" s="2552"/>
      <c r="O159" s="2552"/>
      <c r="P159" s="2552">
        <v>10</v>
      </c>
      <c r="Q159" s="2552"/>
      <c r="R159" s="2552"/>
      <c r="V159" s="37" t="s">
        <v>1231</v>
      </c>
      <c r="W159" s="4803"/>
      <c r="X159" s="4803"/>
      <c r="Y159" s="4803"/>
      <c r="Z159" s="4803"/>
      <c r="AA159" s="4803"/>
      <c r="AB159" s="4803">
        <v>3</v>
      </c>
      <c r="AC159" s="4803">
        <v>3</v>
      </c>
      <c r="AD159" s="4803">
        <v>0</v>
      </c>
      <c r="AE159" s="1788">
        <v>0</v>
      </c>
      <c r="AF159" s="1788">
        <v>6</v>
      </c>
      <c r="AI159" s="41"/>
      <c r="AJ159" s="41"/>
      <c r="AK159" s="41" t="s">
        <v>128</v>
      </c>
      <c r="AL159" s="41" t="s">
        <v>1231</v>
      </c>
      <c r="AM159" s="2001">
        <v>0</v>
      </c>
      <c r="AN159" s="2001"/>
      <c r="AO159" s="2001">
        <v>0</v>
      </c>
      <c r="AP159" s="2001"/>
      <c r="AQ159" s="2001"/>
      <c r="AR159" s="2001">
        <v>1</v>
      </c>
      <c r="AS159" s="2001"/>
      <c r="AT159" s="2001"/>
      <c r="AU159" s="105"/>
      <c r="AV159" s="105"/>
      <c r="AW159" s="105">
        <v>1</v>
      </c>
      <c r="AX159" s="41"/>
      <c r="AZ159" s="42"/>
      <c r="BA159" s="42" t="s">
        <v>16</v>
      </c>
      <c r="BB159" s="42" t="s">
        <v>107</v>
      </c>
      <c r="BC159" s="42" t="s">
        <v>1235</v>
      </c>
      <c r="BD159" s="1993"/>
      <c r="BE159" s="1993"/>
      <c r="BF159" s="1993"/>
      <c r="BG159" s="1993">
        <v>0</v>
      </c>
      <c r="BH159" s="1993">
        <v>2</v>
      </c>
      <c r="BI159" s="1993"/>
      <c r="BJ159" s="1993"/>
      <c r="BK159" s="1993"/>
      <c r="BL159" s="1993"/>
      <c r="BM159" s="70"/>
      <c r="BN159" s="70"/>
      <c r="BO159" s="70">
        <v>2</v>
      </c>
      <c r="BR159" s="105"/>
      <c r="BS159" s="105"/>
      <c r="BT159" s="41"/>
      <c r="BU159" s="41" t="s">
        <v>1235</v>
      </c>
      <c r="BV159" s="1659"/>
      <c r="BW159" s="1659">
        <v>0</v>
      </c>
      <c r="BX159" s="1659">
        <v>0</v>
      </c>
      <c r="BY159" s="1659">
        <v>0</v>
      </c>
      <c r="BZ159" s="1659"/>
      <c r="CA159" s="1659">
        <v>0</v>
      </c>
      <c r="CB159" s="1659">
        <v>11</v>
      </c>
      <c r="CC159" s="1659">
        <v>19</v>
      </c>
      <c r="CD159" s="1659">
        <v>0</v>
      </c>
      <c r="CE159" s="105"/>
      <c r="CF159" s="105"/>
      <c r="CG159" s="105">
        <v>30</v>
      </c>
      <c r="CH159" s="105"/>
      <c r="CJ159" s="1359"/>
      <c r="CK159" s="1359"/>
      <c r="CL159" s="1360"/>
      <c r="CM159" s="1361" t="s">
        <v>1235</v>
      </c>
      <c r="CN159" s="1363">
        <v>0</v>
      </c>
      <c r="CO159" s="1363">
        <v>0</v>
      </c>
      <c r="CP159" s="1363">
        <v>0</v>
      </c>
      <c r="CQ159" s="1363">
        <v>0</v>
      </c>
      <c r="CR159" s="1362"/>
      <c r="CS159" s="1363">
        <v>3</v>
      </c>
      <c r="CT159" s="1363">
        <v>0</v>
      </c>
      <c r="CU159" s="1362"/>
      <c r="CV159" s="686"/>
      <c r="CW159" s="687">
        <v>0</v>
      </c>
      <c r="CX159" s="687">
        <v>3</v>
      </c>
      <c r="CY159" s="41"/>
      <c r="DA159" s="602"/>
      <c r="DB159" s="602"/>
      <c r="DC159" s="603"/>
      <c r="DD159" s="630" t="s">
        <v>15</v>
      </c>
      <c r="DE159" s="632">
        <v>1</v>
      </c>
      <c r="DF159" s="631"/>
      <c r="DG159" s="631"/>
      <c r="DH159" s="631"/>
      <c r="DI159" s="631"/>
      <c r="DJ159" s="632">
        <v>3</v>
      </c>
      <c r="DK159" s="632">
        <v>12</v>
      </c>
      <c r="DL159" s="632">
        <v>3</v>
      </c>
      <c r="DM159" s="633"/>
      <c r="DN159" s="633"/>
      <c r="DO159" s="634">
        <v>19</v>
      </c>
      <c r="DP159" s="635">
        <f>+(DO156+DO158)/DO159</f>
        <v>0.57894736842105265</v>
      </c>
      <c r="DR159" s="608"/>
      <c r="DS159" s="608"/>
      <c r="DT159" s="608"/>
      <c r="DU159" s="609" t="s">
        <v>1235</v>
      </c>
      <c r="DV159" s="611">
        <v>0</v>
      </c>
      <c r="DW159" s="611">
        <v>0</v>
      </c>
      <c r="DX159" s="611">
        <v>0</v>
      </c>
      <c r="DY159" s="611">
        <v>0</v>
      </c>
      <c r="DZ159" s="610"/>
      <c r="EA159" s="611">
        <v>0</v>
      </c>
      <c r="EB159" s="611">
        <v>7</v>
      </c>
      <c r="EC159" s="611">
        <v>33</v>
      </c>
      <c r="ED159" s="611">
        <v>6</v>
      </c>
      <c r="EE159" s="613">
        <v>3</v>
      </c>
      <c r="EF159" s="613">
        <v>1</v>
      </c>
      <c r="EG159" s="613">
        <v>50</v>
      </c>
      <c r="EH159" s="614"/>
      <c r="EJ159" s="615"/>
      <c r="EK159" s="615"/>
      <c r="EL159" s="615"/>
      <c r="EM159" s="625" t="s">
        <v>15</v>
      </c>
      <c r="EN159" s="626"/>
      <c r="EO159" s="626"/>
      <c r="EP159" s="627">
        <v>1</v>
      </c>
      <c r="EQ159" s="626"/>
      <c r="ER159" s="626"/>
      <c r="ES159" s="627">
        <v>5</v>
      </c>
      <c r="ET159" s="626"/>
      <c r="EU159" s="626"/>
      <c r="EV159" s="626"/>
      <c r="EW159" s="626"/>
      <c r="EX159" s="627">
        <v>6</v>
      </c>
      <c r="EY159" s="628">
        <v>0</v>
      </c>
      <c r="FA159" s="70"/>
      <c r="FQ159" s="42"/>
      <c r="FR159" s="516"/>
      <c r="FS159" s="516"/>
      <c r="FT159" s="516"/>
      <c r="FU159" s="516" t="s">
        <v>1344</v>
      </c>
      <c r="FV159" s="516">
        <v>0</v>
      </c>
      <c r="FW159" s="516">
        <v>0</v>
      </c>
      <c r="FX159" s="516">
        <v>0</v>
      </c>
      <c r="FY159" s="516">
        <v>0</v>
      </c>
      <c r="FZ159" s="516">
        <v>0</v>
      </c>
      <c r="GA159" s="516">
        <v>3</v>
      </c>
      <c r="GB159" s="516">
        <v>0</v>
      </c>
      <c r="GC159" s="516">
        <v>0</v>
      </c>
      <c r="GD159" s="516">
        <v>0</v>
      </c>
      <c r="GE159" s="516">
        <v>0</v>
      </c>
      <c r="GF159" s="516">
        <v>0</v>
      </c>
      <c r="GG159" s="517">
        <v>3</v>
      </c>
      <c r="GH159" s="619"/>
      <c r="GI159" s="518"/>
    </row>
    <row r="160" spans="2:191">
      <c r="D160" s="32" t="s">
        <v>15</v>
      </c>
      <c r="E160" s="4607"/>
      <c r="F160" s="4607"/>
      <c r="G160" s="4607"/>
      <c r="H160" s="4607">
        <v>12</v>
      </c>
      <c r="I160" s="4607"/>
      <c r="J160" s="4607"/>
      <c r="K160" s="4607"/>
      <c r="L160" s="4607"/>
      <c r="M160" s="4607"/>
      <c r="N160" s="4583"/>
      <c r="O160" s="4583"/>
      <c r="P160" s="4583">
        <v>12</v>
      </c>
      <c r="Q160" s="1977">
        <f>+P159/P160</f>
        <v>0.83333333333333337</v>
      </c>
      <c r="R160" s="1977"/>
      <c r="V160" s="37" t="s">
        <v>1235</v>
      </c>
      <c r="W160" s="4803"/>
      <c r="X160" s="4803"/>
      <c r="Y160" s="4803"/>
      <c r="Z160" s="4803"/>
      <c r="AA160" s="4803"/>
      <c r="AB160" s="4803">
        <v>0</v>
      </c>
      <c r="AC160" s="4803">
        <v>1</v>
      </c>
      <c r="AD160" s="4803">
        <v>1</v>
      </c>
      <c r="AE160" s="1788">
        <v>0</v>
      </c>
      <c r="AF160" s="1788">
        <v>2</v>
      </c>
      <c r="AI160" s="41"/>
      <c r="AJ160" s="41"/>
      <c r="AK160" s="41"/>
      <c r="AL160" s="41" t="s">
        <v>1236</v>
      </c>
      <c r="AM160" s="2001">
        <v>1</v>
      </c>
      <c r="AN160" s="2001"/>
      <c r="AO160" s="2001">
        <v>1</v>
      </c>
      <c r="AP160" s="2001"/>
      <c r="AQ160" s="2001"/>
      <c r="AR160" s="2001">
        <v>0</v>
      </c>
      <c r="AS160" s="2001"/>
      <c r="AT160" s="2001"/>
      <c r="AU160" s="105"/>
      <c r="AV160" s="105"/>
      <c r="AW160" s="105">
        <v>2</v>
      </c>
      <c r="AX160" s="41"/>
      <c r="AZ160" s="42"/>
      <c r="BA160" s="42"/>
      <c r="BB160" s="42"/>
      <c r="BC160" s="42" t="s">
        <v>1236</v>
      </c>
      <c r="BD160" s="1993"/>
      <c r="BE160" s="1993"/>
      <c r="BF160" s="1993"/>
      <c r="BG160" s="1993">
        <v>0</v>
      </c>
      <c r="BH160" s="1993">
        <v>1</v>
      </c>
      <c r="BI160" s="1993"/>
      <c r="BJ160" s="1993"/>
      <c r="BK160" s="1993"/>
      <c r="BL160" s="1993"/>
      <c r="BM160" s="70"/>
      <c r="BN160" s="70"/>
      <c r="BO160" s="70">
        <v>1</v>
      </c>
      <c r="BR160" s="105"/>
      <c r="BS160" s="105"/>
      <c r="BT160" s="41"/>
      <c r="BU160" s="41" t="s">
        <v>1236</v>
      </c>
      <c r="BV160" s="1659"/>
      <c r="BW160" s="1659">
        <v>3</v>
      </c>
      <c r="BX160" s="1659">
        <v>1</v>
      </c>
      <c r="BY160" s="1659">
        <v>2</v>
      </c>
      <c r="BZ160" s="1659"/>
      <c r="CA160" s="1659">
        <v>2</v>
      </c>
      <c r="CB160" s="1659">
        <v>0</v>
      </c>
      <c r="CC160" s="1659">
        <v>0</v>
      </c>
      <c r="CD160" s="1659">
        <v>0</v>
      </c>
      <c r="CE160" s="105"/>
      <c r="CF160" s="105"/>
      <c r="CG160" s="105">
        <v>8</v>
      </c>
      <c r="CH160" s="105"/>
      <c r="CJ160" s="1359"/>
      <c r="CK160" s="1359"/>
      <c r="CL160" s="1360"/>
      <c r="CM160" s="1361" t="s">
        <v>1236</v>
      </c>
      <c r="CN160" s="1363">
        <v>0</v>
      </c>
      <c r="CO160" s="1363">
        <v>0</v>
      </c>
      <c r="CP160" s="1363">
        <v>1</v>
      </c>
      <c r="CQ160" s="1363">
        <v>0</v>
      </c>
      <c r="CR160" s="1362"/>
      <c r="CS160" s="1363">
        <v>0</v>
      </c>
      <c r="CT160" s="1363">
        <v>1</v>
      </c>
      <c r="CU160" s="1362"/>
      <c r="CV160" s="686"/>
      <c r="CW160" s="687">
        <v>0</v>
      </c>
      <c r="CX160" s="687">
        <v>2</v>
      </c>
      <c r="CY160" s="41"/>
      <c r="DA160" s="602"/>
      <c r="DB160" s="602"/>
      <c r="DC160" s="603" t="s">
        <v>131</v>
      </c>
      <c r="DD160" s="604" t="s">
        <v>1231</v>
      </c>
      <c r="DE160" s="605"/>
      <c r="DF160" s="605"/>
      <c r="DG160" s="605"/>
      <c r="DH160" s="605"/>
      <c r="DI160" s="605"/>
      <c r="DJ160" s="606">
        <v>3</v>
      </c>
      <c r="DK160" s="606">
        <v>1</v>
      </c>
      <c r="DL160" s="606">
        <v>0</v>
      </c>
      <c r="DM160" s="602"/>
      <c r="DN160" s="602"/>
      <c r="DO160" s="607">
        <v>4</v>
      </c>
      <c r="DP160" s="105"/>
      <c r="DR160" s="608"/>
      <c r="DS160" s="608"/>
      <c r="DT160" s="608"/>
      <c r="DU160" s="609" t="s">
        <v>1236</v>
      </c>
      <c r="DV160" s="611">
        <v>0</v>
      </c>
      <c r="DW160" s="611">
        <v>0</v>
      </c>
      <c r="DX160" s="611">
        <v>1</v>
      </c>
      <c r="DY160" s="611">
        <v>2</v>
      </c>
      <c r="DZ160" s="610"/>
      <c r="EA160" s="611">
        <v>0</v>
      </c>
      <c r="EB160" s="611">
        <v>0</v>
      </c>
      <c r="EC160" s="611">
        <v>0</v>
      </c>
      <c r="ED160" s="611">
        <v>0</v>
      </c>
      <c r="EE160" s="613">
        <v>0</v>
      </c>
      <c r="EF160" s="613">
        <v>0</v>
      </c>
      <c r="EG160" s="613">
        <v>3</v>
      </c>
      <c r="EH160" s="614"/>
      <c r="EJ160" s="615"/>
      <c r="EK160" s="615"/>
      <c r="EL160" s="615" t="s">
        <v>141</v>
      </c>
      <c r="EM160" s="616" t="s">
        <v>1231</v>
      </c>
      <c r="EN160" s="617"/>
      <c r="EO160" s="617"/>
      <c r="EP160" s="617"/>
      <c r="EQ160" s="617"/>
      <c r="ER160" s="617"/>
      <c r="ES160" s="618">
        <v>3</v>
      </c>
      <c r="ET160" s="618">
        <v>0</v>
      </c>
      <c r="EU160" s="618">
        <v>1</v>
      </c>
      <c r="EV160" s="617"/>
      <c r="EW160" s="618">
        <v>0</v>
      </c>
      <c r="EX160" s="618">
        <v>4</v>
      </c>
      <c r="EY160" s="515"/>
      <c r="FA160" s="70"/>
      <c r="FQ160" s="42"/>
      <c r="FR160" s="516"/>
      <c r="FS160" s="516"/>
      <c r="FT160" s="516"/>
      <c r="FU160" s="519" t="s">
        <v>15</v>
      </c>
      <c r="FV160" s="519">
        <v>0</v>
      </c>
      <c r="FW160" s="519">
        <v>0</v>
      </c>
      <c r="FX160" s="519">
        <v>0</v>
      </c>
      <c r="FY160" s="519">
        <v>0</v>
      </c>
      <c r="FZ160" s="519">
        <v>0</v>
      </c>
      <c r="GA160" s="519">
        <v>4</v>
      </c>
      <c r="GB160" s="519">
        <v>6</v>
      </c>
      <c r="GC160" s="519">
        <v>0</v>
      </c>
      <c r="GD160" s="519">
        <v>0</v>
      </c>
      <c r="GE160" s="519">
        <v>0</v>
      </c>
      <c r="GF160" s="519">
        <v>0</v>
      </c>
      <c r="GG160" s="579">
        <v>10</v>
      </c>
      <c r="GH160" s="629">
        <f>+(GG159+GG158)/GG160</f>
        <v>0.7</v>
      </c>
      <c r="GI160" s="518">
        <f>+GG158+GG159</f>
        <v>7</v>
      </c>
    </row>
    <row r="161" spans="3:191">
      <c r="C161" s="4800" t="s">
        <v>125</v>
      </c>
      <c r="D161" s="4800" t="s">
        <v>1231</v>
      </c>
      <c r="E161" s="4606">
        <v>0</v>
      </c>
      <c r="F161" s="4606"/>
      <c r="G161" s="4606"/>
      <c r="H161" s="4606"/>
      <c r="I161" s="4606"/>
      <c r="J161" s="4606"/>
      <c r="K161" s="4606">
        <v>0</v>
      </c>
      <c r="L161" s="4606">
        <v>1</v>
      </c>
      <c r="M161" s="4606"/>
      <c r="N161" s="2552"/>
      <c r="O161" s="2552"/>
      <c r="P161" s="2552">
        <v>1</v>
      </c>
      <c r="Q161" s="2552"/>
      <c r="R161" s="2552"/>
      <c r="V161" s="37" t="s">
        <v>1239</v>
      </c>
      <c r="W161" s="4803"/>
      <c r="X161" s="4803"/>
      <c r="Y161" s="4803"/>
      <c r="Z161" s="4803"/>
      <c r="AA161" s="4803"/>
      <c r="AB161" s="4803">
        <v>0</v>
      </c>
      <c r="AC161" s="4803">
        <v>0</v>
      </c>
      <c r="AD161" s="4803">
        <v>0</v>
      </c>
      <c r="AE161" s="1788">
        <v>2</v>
      </c>
      <c r="AF161" s="1788">
        <v>2</v>
      </c>
      <c r="AI161" s="41"/>
      <c r="AJ161" s="41"/>
      <c r="AK161" s="41"/>
      <c r="AL161" s="41" t="s">
        <v>1344</v>
      </c>
      <c r="AM161" s="2001">
        <v>0</v>
      </c>
      <c r="AN161" s="2001"/>
      <c r="AO161" s="2001">
        <v>0</v>
      </c>
      <c r="AP161" s="2001"/>
      <c r="AQ161" s="2001"/>
      <c r="AR161" s="2001">
        <v>1</v>
      </c>
      <c r="AS161" s="2001"/>
      <c r="AT161" s="2001"/>
      <c r="AU161" s="105"/>
      <c r="AV161" s="105"/>
      <c r="AW161" s="105">
        <v>1</v>
      </c>
      <c r="AX161" s="41"/>
      <c r="AZ161" s="42"/>
      <c r="BA161" s="42"/>
      <c r="BB161" s="42"/>
      <c r="BC161" s="42" t="s">
        <v>1344</v>
      </c>
      <c r="BD161" s="1993"/>
      <c r="BE161" s="1993"/>
      <c r="BF161" s="1993"/>
      <c r="BG161" s="1993">
        <v>10</v>
      </c>
      <c r="BH161" s="1993">
        <v>2</v>
      </c>
      <c r="BI161" s="1993"/>
      <c r="BJ161" s="1993"/>
      <c r="BK161" s="1993"/>
      <c r="BL161" s="1993"/>
      <c r="BM161" s="70"/>
      <c r="BN161" s="70"/>
      <c r="BO161" s="70">
        <v>12</v>
      </c>
      <c r="BR161" s="105"/>
      <c r="BS161" s="105"/>
      <c r="BT161" s="41"/>
      <c r="BU161" s="41" t="s">
        <v>1239</v>
      </c>
      <c r="BV161" s="1659"/>
      <c r="BW161" s="1659">
        <v>0</v>
      </c>
      <c r="BX161" s="1659">
        <v>0</v>
      </c>
      <c r="BY161" s="1659">
        <v>0</v>
      </c>
      <c r="BZ161" s="1659"/>
      <c r="CA161" s="1659">
        <v>0</v>
      </c>
      <c r="CB161" s="1659">
        <v>0</v>
      </c>
      <c r="CC161" s="1659">
        <v>0</v>
      </c>
      <c r="CD161" s="1659">
        <v>6</v>
      </c>
      <c r="CE161" s="105"/>
      <c r="CF161" s="105"/>
      <c r="CG161" s="105">
        <v>6</v>
      </c>
      <c r="CH161" s="105"/>
      <c r="CJ161" s="1359"/>
      <c r="CK161" s="1359"/>
      <c r="CL161" s="1360"/>
      <c r="CM161" s="1361" t="s">
        <v>1240</v>
      </c>
      <c r="CN161" s="1363">
        <v>0</v>
      </c>
      <c r="CO161" s="1363">
        <v>0</v>
      </c>
      <c r="CP161" s="1363">
        <v>0</v>
      </c>
      <c r="CQ161" s="1363">
        <v>0</v>
      </c>
      <c r="CR161" s="1362"/>
      <c r="CS161" s="1363">
        <v>11</v>
      </c>
      <c r="CT161" s="1363">
        <v>0</v>
      </c>
      <c r="CU161" s="1362"/>
      <c r="CV161" s="686"/>
      <c r="CW161" s="687">
        <v>1</v>
      </c>
      <c r="CX161" s="687">
        <v>12</v>
      </c>
      <c r="CY161" s="41"/>
      <c r="DA161" s="602"/>
      <c r="DB161" s="602"/>
      <c r="DC161" s="603"/>
      <c r="DD161" s="604" t="s">
        <v>1239</v>
      </c>
      <c r="DE161" s="605"/>
      <c r="DF161" s="605"/>
      <c r="DG161" s="605"/>
      <c r="DH161" s="605"/>
      <c r="DI161" s="605"/>
      <c r="DJ161" s="606">
        <v>0</v>
      </c>
      <c r="DK161" s="606">
        <v>0</v>
      </c>
      <c r="DL161" s="606">
        <v>7</v>
      </c>
      <c r="DM161" s="602"/>
      <c r="DN161" s="602"/>
      <c r="DO161" s="607">
        <v>7</v>
      </c>
      <c r="DP161" s="105"/>
      <c r="DR161" s="608"/>
      <c r="DS161" s="608"/>
      <c r="DT161" s="608"/>
      <c r="DU161" s="609" t="s">
        <v>1239</v>
      </c>
      <c r="DV161" s="611">
        <v>0</v>
      </c>
      <c r="DW161" s="611">
        <v>0</v>
      </c>
      <c r="DX161" s="611">
        <v>0</v>
      </c>
      <c r="DY161" s="611">
        <v>0</v>
      </c>
      <c r="DZ161" s="610"/>
      <c r="EA161" s="611">
        <v>0</v>
      </c>
      <c r="EB161" s="611">
        <v>0</v>
      </c>
      <c r="EC161" s="611">
        <v>0</v>
      </c>
      <c r="ED161" s="611">
        <v>70</v>
      </c>
      <c r="EE161" s="613">
        <v>7</v>
      </c>
      <c r="EF161" s="613">
        <v>3</v>
      </c>
      <c r="EG161" s="613">
        <v>80</v>
      </c>
      <c r="EH161" s="614"/>
      <c r="EJ161" s="615"/>
      <c r="EK161" s="615"/>
      <c r="EL161" s="615"/>
      <c r="EM161" s="616" t="s">
        <v>1235</v>
      </c>
      <c r="EN161" s="617"/>
      <c r="EO161" s="617"/>
      <c r="EP161" s="617"/>
      <c r="EQ161" s="617"/>
      <c r="ER161" s="617"/>
      <c r="ES161" s="618">
        <v>0</v>
      </c>
      <c r="ET161" s="618">
        <v>0</v>
      </c>
      <c r="EU161" s="618">
        <v>1</v>
      </c>
      <c r="EV161" s="617"/>
      <c r="EW161" s="618">
        <v>0</v>
      </c>
      <c r="EX161" s="618">
        <v>1</v>
      </c>
      <c r="EY161" s="515"/>
      <c r="FA161" s="70"/>
      <c r="FQ161" s="42"/>
      <c r="FR161" s="516"/>
      <c r="FS161" s="516"/>
      <c r="FT161" s="516" t="s">
        <v>141</v>
      </c>
      <c r="FU161" s="516" t="s">
        <v>1230</v>
      </c>
      <c r="FV161" s="516">
        <v>0</v>
      </c>
      <c r="FW161" s="516">
        <v>0</v>
      </c>
      <c r="FX161" s="516">
        <v>0</v>
      </c>
      <c r="FY161" s="516">
        <v>0</v>
      </c>
      <c r="FZ161" s="516">
        <v>0</v>
      </c>
      <c r="GA161" s="516">
        <v>0</v>
      </c>
      <c r="GB161" s="516">
        <v>0</v>
      </c>
      <c r="GC161" s="516">
        <v>1</v>
      </c>
      <c r="GD161" s="516">
        <v>0</v>
      </c>
      <c r="GE161" s="516">
        <v>0</v>
      </c>
      <c r="GF161" s="516">
        <v>0</v>
      </c>
      <c r="GG161" s="517">
        <v>1</v>
      </c>
      <c r="GH161" s="619"/>
      <c r="GI161" s="518"/>
    </row>
    <row r="162" spans="3:191">
      <c r="D162" s="4800" t="s">
        <v>1235</v>
      </c>
      <c r="E162" s="4606">
        <v>0</v>
      </c>
      <c r="F162" s="4606"/>
      <c r="G162" s="4606"/>
      <c r="H162" s="4606"/>
      <c r="I162" s="4606"/>
      <c r="J162" s="4606"/>
      <c r="K162" s="4606">
        <v>8</v>
      </c>
      <c r="L162" s="4606">
        <v>4</v>
      </c>
      <c r="M162" s="4606"/>
      <c r="N162" s="2552"/>
      <c r="O162" s="2552"/>
      <c r="P162" s="2552">
        <v>12</v>
      </c>
      <c r="Q162" s="2552"/>
      <c r="R162" s="2552"/>
      <c r="V162" s="37" t="s">
        <v>1344</v>
      </c>
      <c r="W162" s="4803"/>
      <c r="X162" s="4803"/>
      <c r="Y162" s="4803"/>
      <c r="Z162" s="4803"/>
      <c r="AA162" s="4803"/>
      <c r="AB162" s="4803">
        <v>0</v>
      </c>
      <c r="AC162" s="4803">
        <v>1</v>
      </c>
      <c r="AD162" s="4803">
        <v>0</v>
      </c>
      <c r="AE162" s="1788">
        <v>0</v>
      </c>
      <c r="AF162" s="1788">
        <v>1</v>
      </c>
      <c r="AI162" s="41"/>
      <c r="AJ162" s="41"/>
      <c r="AK162" s="41"/>
      <c r="AL162" s="461" t="s">
        <v>15</v>
      </c>
      <c r="AM162" s="2002">
        <v>1</v>
      </c>
      <c r="AN162" s="2002"/>
      <c r="AO162" s="2002">
        <v>1</v>
      </c>
      <c r="AP162" s="2002"/>
      <c r="AQ162" s="2002"/>
      <c r="AR162" s="2002">
        <v>2</v>
      </c>
      <c r="AS162" s="2002"/>
      <c r="AT162" s="2002"/>
      <c r="AU162" s="2480"/>
      <c r="AV162" s="2480"/>
      <c r="AW162" s="2480">
        <v>4</v>
      </c>
      <c r="AX162" s="635">
        <f>+AW161/AW162</f>
        <v>0.25</v>
      </c>
      <c r="AY162" s="1977"/>
      <c r="AZ162" s="42"/>
      <c r="BA162" s="42"/>
      <c r="BB162" s="42"/>
      <c r="BC162" s="484" t="s">
        <v>15</v>
      </c>
      <c r="BD162" s="1994"/>
      <c r="BE162" s="1994"/>
      <c r="BF162" s="1994"/>
      <c r="BG162" s="1994">
        <v>10</v>
      </c>
      <c r="BH162" s="1994">
        <v>5</v>
      </c>
      <c r="BI162" s="1994"/>
      <c r="BJ162" s="1994"/>
      <c r="BK162" s="1994"/>
      <c r="BL162" s="1994"/>
      <c r="BM162" s="454"/>
      <c r="BN162" s="454"/>
      <c r="BO162" s="454">
        <v>15</v>
      </c>
      <c r="BP162" s="2485">
        <f>+(BO159+BO161)/BO162</f>
        <v>0.93333333333333335</v>
      </c>
      <c r="BR162" s="105"/>
      <c r="BS162" s="105"/>
      <c r="BT162" s="41"/>
      <c r="BU162" s="41" t="s">
        <v>1344</v>
      </c>
      <c r="BV162" s="1659"/>
      <c r="BW162" s="1659">
        <v>0</v>
      </c>
      <c r="BX162" s="1659">
        <v>0</v>
      </c>
      <c r="BY162" s="1659">
        <v>0</v>
      </c>
      <c r="BZ162" s="1659"/>
      <c r="CA162" s="1659">
        <v>0</v>
      </c>
      <c r="CB162" s="1659">
        <v>29</v>
      </c>
      <c r="CC162" s="1659">
        <v>8</v>
      </c>
      <c r="CD162" s="1659">
        <v>1</v>
      </c>
      <c r="CE162" s="105"/>
      <c r="CF162" s="105"/>
      <c r="CG162" s="105">
        <v>38</v>
      </c>
      <c r="CH162" s="105"/>
      <c r="CJ162" s="1359"/>
      <c r="CK162" s="1359"/>
      <c r="CL162" s="1360"/>
      <c r="CM162" s="1361" t="s">
        <v>1344</v>
      </c>
      <c r="CN162" s="1363">
        <v>0</v>
      </c>
      <c r="CO162" s="1363">
        <v>0</v>
      </c>
      <c r="CP162" s="1363">
        <v>0</v>
      </c>
      <c r="CQ162" s="1363">
        <v>0</v>
      </c>
      <c r="CR162" s="1362"/>
      <c r="CS162" s="1363">
        <v>2</v>
      </c>
      <c r="CT162" s="1363">
        <v>0</v>
      </c>
      <c r="CU162" s="1362"/>
      <c r="CV162" s="686"/>
      <c r="CW162" s="687">
        <v>0</v>
      </c>
      <c r="CX162" s="687">
        <v>2</v>
      </c>
      <c r="CY162" s="41"/>
      <c r="DA162" s="602"/>
      <c r="DB162" s="602"/>
      <c r="DC162" s="603"/>
      <c r="DD162" s="630" t="s">
        <v>15</v>
      </c>
      <c r="DE162" s="631"/>
      <c r="DF162" s="631"/>
      <c r="DG162" s="631"/>
      <c r="DH162" s="631"/>
      <c r="DI162" s="631"/>
      <c r="DJ162" s="632">
        <v>3</v>
      </c>
      <c r="DK162" s="632">
        <v>1</v>
      </c>
      <c r="DL162" s="632">
        <v>7</v>
      </c>
      <c r="DM162" s="633"/>
      <c r="DN162" s="633"/>
      <c r="DO162" s="634">
        <v>11</v>
      </c>
      <c r="DP162" s="635">
        <v>0</v>
      </c>
      <c r="DR162" s="608"/>
      <c r="DS162" s="608"/>
      <c r="DT162" s="608"/>
      <c r="DU162" s="609" t="s">
        <v>1240</v>
      </c>
      <c r="DV162" s="611">
        <v>0</v>
      </c>
      <c r="DW162" s="611">
        <v>0</v>
      </c>
      <c r="DX162" s="611">
        <v>0</v>
      </c>
      <c r="DY162" s="611">
        <v>0</v>
      </c>
      <c r="DZ162" s="610"/>
      <c r="EA162" s="611">
        <v>0</v>
      </c>
      <c r="EB162" s="611">
        <v>0</v>
      </c>
      <c r="EC162" s="611">
        <v>0</v>
      </c>
      <c r="ED162" s="611">
        <v>2</v>
      </c>
      <c r="EE162" s="613">
        <v>1</v>
      </c>
      <c r="EF162" s="613">
        <v>1</v>
      </c>
      <c r="EG162" s="613">
        <v>4</v>
      </c>
      <c r="EH162" s="614"/>
      <c r="EJ162" s="615"/>
      <c r="EK162" s="615"/>
      <c r="EL162" s="615"/>
      <c r="EM162" s="616" t="s">
        <v>1239</v>
      </c>
      <c r="EN162" s="617"/>
      <c r="EO162" s="617"/>
      <c r="EP162" s="617"/>
      <c r="EQ162" s="617"/>
      <c r="ER162" s="617"/>
      <c r="ES162" s="618">
        <v>0</v>
      </c>
      <c r="ET162" s="618">
        <v>0</v>
      </c>
      <c r="EU162" s="618">
        <v>1</v>
      </c>
      <c r="EV162" s="617"/>
      <c r="EW162" s="618">
        <v>1</v>
      </c>
      <c r="EX162" s="618">
        <v>2</v>
      </c>
      <c r="EY162" s="515"/>
      <c r="FA162" s="70"/>
      <c r="FQ162" s="42"/>
      <c r="FR162" s="516"/>
      <c r="FS162" s="516"/>
      <c r="FT162" s="516"/>
      <c r="FU162" s="516" t="s">
        <v>1231</v>
      </c>
      <c r="FV162" s="516">
        <v>0</v>
      </c>
      <c r="FW162" s="516">
        <v>0</v>
      </c>
      <c r="FX162" s="516">
        <v>0</v>
      </c>
      <c r="FY162" s="516">
        <v>0</v>
      </c>
      <c r="FZ162" s="516">
        <v>0</v>
      </c>
      <c r="GA162" s="516">
        <v>0</v>
      </c>
      <c r="GB162" s="516">
        <v>4</v>
      </c>
      <c r="GC162" s="516">
        <v>3</v>
      </c>
      <c r="GD162" s="516">
        <v>0</v>
      </c>
      <c r="GE162" s="516">
        <v>0</v>
      </c>
      <c r="GF162" s="516">
        <v>0</v>
      </c>
      <c r="GG162" s="517">
        <v>7</v>
      </c>
      <c r="GH162" s="619"/>
      <c r="GI162" s="518"/>
    </row>
    <row r="163" spans="3:191">
      <c r="D163" s="4800" t="s">
        <v>1239</v>
      </c>
      <c r="E163" s="4606">
        <v>0</v>
      </c>
      <c r="F163" s="4606"/>
      <c r="G163" s="4606"/>
      <c r="H163" s="4606"/>
      <c r="I163" s="4606"/>
      <c r="J163" s="4606"/>
      <c r="K163" s="4606">
        <v>0</v>
      </c>
      <c r="L163" s="4606">
        <v>3</v>
      </c>
      <c r="M163" s="4606"/>
      <c r="N163" s="2552"/>
      <c r="O163" s="2552"/>
      <c r="P163" s="2552">
        <v>3</v>
      </c>
      <c r="Q163" s="2552"/>
      <c r="R163" s="2552"/>
      <c r="V163" s="1793" t="s">
        <v>15</v>
      </c>
      <c r="W163" s="4804"/>
      <c r="X163" s="4804"/>
      <c r="Y163" s="4804"/>
      <c r="Z163" s="4804"/>
      <c r="AA163" s="4804"/>
      <c r="AB163" s="4804">
        <v>3</v>
      </c>
      <c r="AC163" s="4804">
        <v>5</v>
      </c>
      <c r="AD163" s="4804">
        <v>1</v>
      </c>
      <c r="AE163" s="4702">
        <v>8</v>
      </c>
      <c r="AF163" s="4702">
        <v>17</v>
      </c>
      <c r="AG163" s="4703">
        <f>+(AF160+AF162)/AF163</f>
        <v>0.17647058823529413</v>
      </c>
      <c r="AI163" s="41"/>
      <c r="AJ163" s="41"/>
      <c r="AK163" s="461" t="s">
        <v>545</v>
      </c>
      <c r="AL163" s="461" t="s">
        <v>1230</v>
      </c>
      <c r="AM163" s="2002">
        <v>0</v>
      </c>
      <c r="AN163" s="2002"/>
      <c r="AO163" s="2002">
        <v>0</v>
      </c>
      <c r="AP163" s="2002">
        <v>0</v>
      </c>
      <c r="AQ163" s="2002">
        <v>0</v>
      </c>
      <c r="AR163" s="2002">
        <v>0</v>
      </c>
      <c r="AS163" s="2002">
        <v>0</v>
      </c>
      <c r="AT163" s="2002">
        <v>6</v>
      </c>
      <c r="AU163" s="2480"/>
      <c r="AV163" s="2480"/>
      <c r="AW163" s="2480">
        <v>6</v>
      </c>
      <c r="AX163" s="41"/>
      <c r="AZ163" s="42"/>
      <c r="BA163" s="42"/>
      <c r="BB163" s="42" t="s">
        <v>125</v>
      </c>
      <c r="BC163" s="42" t="s">
        <v>1231</v>
      </c>
      <c r="BD163" s="1993"/>
      <c r="BE163" s="1993">
        <v>0</v>
      </c>
      <c r="BF163" s="1993">
        <v>0</v>
      </c>
      <c r="BG163" s="1993"/>
      <c r="BH163" s="1993"/>
      <c r="BI163" s="1993"/>
      <c r="BJ163" s="1993">
        <v>1</v>
      </c>
      <c r="BK163" s="1993">
        <v>1</v>
      </c>
      <c r="BL163" s="1993">
        <v>0</v>
      </c>
      <c r="BM163" s="70"/>
      <c r="BN163" s="70"/>
      <c r="BO163" s="70">
        <v>2</v>
      </c>
      <c r="BR163" s="105"/>
      <c r="BS163" s="105"/>
      <c r="BT163" s="41"/>
      <c r="BU163" s="461" t="s">
        <v>545</v>
      </c>
      <c r="BV163" s="1660"/>
      <c r="BW163" s="1660">
        <v>5</v>
      </c>
      <c r="BX163" s="1660">
        <v>1</v>
      </c>
      <c r="BY163" s="1660">
        <v>3</v>
      </c>
      <c r="BZ163" s="1660"/>
      <c r="CA163" s="1660">
        <v>2</v>
      </c>
      <c r="CB163" s="1660">
        <v>58</v>
      </c>
      <c r="CC163" s="1660">
        <v>37</v>
      </c>
      <c r="CD163" s="1660">
        <v>7</v>
      </c>
      <c r="CE163" s="96"/>
      <c r="CF163" s="96"/>
      <c r="CG163" s="96">
        <v>113</v>
      </c>
      <c r="CH163" s="635">
        <f>+(CG159+CG162)/CG163</f>
        <v>0.60176991150442483</v>
      </c>
      <c r="CJ163" s="1359"/>
      <c r="CK163" s="1359"/>
      <c r="CL163" s="1360"/>
      <c r="CM163" s="483" t="s">
        <v>15</v>
      </c>
      <c r="CN163" s="1365">
        <v>1</v>
      </c>
      <c r="CO163" s="1365">
        <v>5</v>
      </c>
      <c r="CP163" s="1365">
        <v>1</v>
      </c>
      <c r="CQ163" s="1365">
        <v>1</v>
      </c>
      <c r="CR163" s="1364"/>
      <c r="CS163" s="1365">
        <v>16</v>
      </c>
      <c r="CT163" s="1365">
        <v>1</v>
      </c>
      <c r="CU163" s="1364"/>
      <c r="CV163" s="695"/>
      <c r="CW163" s="696">
        <v>1</v>
      </c>
      <c r="CX163" s="696">
        <v>26</v>
      </c>
      <c r="CY163" s="1325">
        <f>+(CX159+CX161-CW161+CX162)/CX163</f>
        <v>0.61538461538461542</v>
      </c>
      <c r="DA163" s="602"/>
      <c r="DB163" s="602"/>
      <c r="DC163" s="603" t="s">
        <v>547</v>
      </c>
      <c r="DD163" s="604" t="s">
        <v>1231</v>
      </c>
      <c r="DE163" s="606">
        <v>1</v>
      </c>
      <c r="DF163" s="605"/>
      <c r="DG163" s="605"/>
      <c r="DH163" s="605"/>
      <c r="DI163" s="605"/>
      <c r="DJ163" s="606">
        <v>4</v>
      </c>
      <c r="DK163" s="606">
        <v>6</v>
      </c>
      <c r="DL163" s="606">
        <v>0</v>
      </c>
      <c r="DM163" s="607">
        <v>1</v>
      </c>
      <c r="DN163" s="602"/>
      <c r="DO163" s="607">
        <v>12</v>
      </c>
      <c r="DP163" s="105"/>
      <c r="DR163" s="608"/>
      <c r="DS163" s="608"/>
      <c r="DT163" s="608"/>
      <c r="DU163" s="609" t="s">
        <v>1344</v>
      </c>
      <c r="DV163" s="611">
        <v>0</v>
      </c>
      <c r="DW163" s="611">
        <v>0</v>
      </c>
      <c r="DX163" s="611">
        <v>0</v>
      </c>
      <c r="DY163" s="611">
        <v>0</v>
      </c>
      <c r="DZ163" s="610"/>
      <c r="EA163" s="611">
        <v>1</v>
      </c>
      <c r="EB163" s="611">
        <v>10</v>
      </c>
      <c r="EC163" s="611">
        <v>4</v>
      </c>
      <c r="ED163" s="611">
        <v>0</v>
      </c>
      <c r="EE163" s="613">
        <v>0</v>
      </c>
      <c r="EF163" s="613">
        <v>0</v>
      </c>
      <c r="EG163" s="613">
        <v>15</v>
      </c>
      <c r="EH163" s="614"/>
      <c r="EJ163" s="615"/>
      <c r="EK163" s="615"/>
      <c r="EL163" s="615"/>
      <c r="EM163" s="616" t="s">
        <v>1344</v>
      </c>
      <c r="EN163" s="617"/>
      <c r="EO163" s="617"/>
      <c r="EP163" s="617"/>
      <c r="EQ163" s="617"/>
      <c r="ER163" s="617"/>
      <c r="ES163" s="618">
        <v>0</v>
      </c>
      <c r="ET163" s="618">
        <v>2</v>
      </c>
      <c r="EU163" s="618">
        <v>0</v>
      </c>
      <c r="EV163" s="617"/>
      <c r="EW163" s="618">
        <v>0</v>
      </c>
      <c r="EX163" s="618">
        <v>2</v>
      </c>
      <c r="EY163" s="515"/>
      <c r="FA163" s="70"/>
      <c r="FQ163" s="42"/>
      <c r="FR163" s="516"/>
      <c r="FS163" s="516"/>
      <c r="FT163" s="516"/>
      <c r="FU163" s="516" t="s">
        <v>1235</v>
      </c>
      <c r="FV163" s="516">
        <v>0</v>
      </c>
      <c r="FW163" s="516">
        <v>0</v>
      </c>
      <c r="FX163" s="516">
        <v>0</v>
      </c>
      <c r="FY163" s="516">
        <v>0</v>
      </c>
      <c r="FZ163" s="516">
        <v>0</v>
      </c>
      <c r="GA163" s="516">
        <v>0</v>
      </c>
      <c r="GB163" s="516">
        <v>0</v>
      </c>
      <c r="GC163" s="516">
        <v>1</v>
      </c>
      <c r="GD163" s="516">
        <v>1</v>
      </c>
      <c r="GE163" s="516">
        <v>0</v>
      </c>
      <c r="GF163" s="516">
        <v>0</v>
      </c>
      <c r="GG163" s="517">
        <v>2</v>
      </c>
      <c r="GH163" s="619"/>
      <c r="GI163" s="518"/>
    </row>
    <row r="164" spans="3:191">
      <c r="D164" s="4800" t="s">
        <v>2963</v>
      </c>
      <c r="E164" s="4606">
        <v>1</v>
      </c>
      <c r="F164" s="4606"/>
      <c r="G164" s="4606"/>
      <c r="H164" s="4606"/>
      <c r="I164" s="4606"/>
      <c r="J164" s="4606"/>
      <c r="K164" s="4606">
        <v>0</v>
      </c>
      <c r="L164" s="4606">
        <v>0</v>
      </c>
      <c r="M164" s="4606"/>
      <c r="N164" s="2552"/>
      <c r="O164" s="2552"/>
      <c r="P164" s="2552">
        <v>1</v>
      </c>
      <c r="Q164" s="2552"/>
      <c r="R164" s="2552"/>
      <c r="U164" s="37" t="s">
        <v>2939</v>
      </c>
      <c r="V164" s="37" t="s">
        <v>1235</v>
      </c>
      <c r="W164" s="4803"/>
      <c r="X164" s="4803"/>
      <c r="Y164" s="4803"/>
      <c r="Z164" s="4803"/>
      <c r="AA164" s="4803"/>
      <c r="AB164" s="4803">
        <v>8</v>
      </c>
      <c r="AC164" s="4803">
        <v>0</v>
      </c>
      <c r="AD164" s="4803"/>
      <c r="AE164" s="1788"/>
      <c r="AF164" s="1788">
        <v>8</v>
      </c>
      <c r="AI164" s="41"/>
      <c r="AJ164" s="41"/>
      <c r="AK164" s="461"/>
      <c r="AL164" s="461" t="s">
        <v>1231</v>
      </c>
      <c r="AM164" s="2002">
        <v>1</v>
      </c>
      <c r="AN164" s="2002"/>
      <c r="AO164" s="2002">
        <v>0</v>
      </c>
      <c r="AP164" s="2002">
        <v>0</v>
      </c>
      <c r="AQ164" s="2002">
        <v>0</v>
      </c>
      <c r="AR164" s="2002">
        <v>4</v>
      </c>
      <c r="AS164" s="2002">
        <v>11</v>
      </c>
      <c r="AT164" s="2002">
        <v>0</v>
      </c>
      <c r="AU164" s="2480"/>
      <c r="AV164" s="2480"/>
      <c r="AW164" s="2480">
        <v>16</v>
      </c>
      <c r="AX164" s="41"/>
      <c r="AZ164" s="42"/>
      <c r="BA164" s="42"/>
      <c r="BB164" s="42"/>
      <c r="BC164" s="42" t="s">
        <v>1235</v>
      </c>
      <c r="BD164" s="1993"/>
      <c r="BE164" s="1993">
        <v>0</v>
      </c>
      <c r="BF164" s="1993">
        <v>0</v>
      </c>
      <c r="BG164" s="1993"/>
      <c r="BH164" s="1993"/>
      <c r="BI164" s="1993"/>
      <c r="BJ164" s="1993">
        <v>18</v>
      </c>
      <c r="BK164" s="1993">
        <v>5</v>
      </c>
      <c r="BL164" s="1993">
        <v>0</v>
      </c>
      <c r="BM164" s="70"/>
      <c r="BN164" s="70"/>
      <c r="BO164" s="70">
        <v>23</v>
      </c>
      <c r="BR164" s="105"/>
      <c r="BS164" s="105" t="s">
        <v>41</v>
      </c>
      <c r="BT164" s="41" t="s">
        <v>443</v>
      </c>
      <c r="BU164" s="41" t="s">
        <v>1230</v>
      </c>
      <c r="BV164" s="1659"/>
      <c r="BW164" s="1659">
        <v>0</v>
      </c>
      <c r="BX164" s="1659"/>
      <c r="BY164" s="1659"/>
      <c r="BZ164" s="1659"/>
      <c r="CA164" s="1659"/>
      <c r="CB164" s="1659">
        <v>0</v>
      </c>
      <c r="CC164" s="1659">
        <v>0</v>
      </c>
      <c r="CD164" s="1659">
        <v>1</v>
      </c>
      <c r="CE164" s="105"/>
      <c r="CF164" s="105"/>
      <c r="CG164" s="105">
        <v>1</v>
      </c>
      <c r="CH164" s="105"/>
      <c r="CJ164" s="1359"/>
      <c r="CK164" s="1359"/>
      <c r="CL164" s="1360" t="s">
        <v>545</v>
      </c>
      <c r="CM164" s="1361" t="s">
        <v>1231</v>
      </c>
      <c r="CN164" s="1363">
        <v>0</v>
      </c>
      <c r="CO164" s="1363">
        <v>1</v>
      </c>
      <c r="CP164" s="1363">
        <v>0</v>
      </c>
      <c r="CQ164" s="1363">
        <v>0</v>
      </c>
      <c r="CR164" s="1362"/>
      <c r="CS164" s="1363">
        <v>0</v>
      </c>
      <c r="CT164" s="1363">
        <v>0</v>
      </c>
      <c r="CU164" s="1362"/>
      <c r="CV164" s="686"/>
      <c r="CW164" s="687">
        <v>0</v>
      </c>
      <c r="CX164" s="687">
        <v>1</v>
      </c>
      <c r="CY164" s="41"/>
      <c r="DA164" s="602"/>
      <c r="DB164" s="602"/>
      <c r="DC164" s="603"/>
      <c r="DD164" s="604" t="s">
        <v>1235</v>
      </c>
      <c r="DE164" s="606">
        <v>0</v>
      </c>
      <c r="DF164" s="605"/>
      <c r="DG164" s="605"/>
      <c r="DH164" s="605"/>
      <c r="DI164" s="605"/>
      <c r="DJ164" s="606">
        <v>3</v>
      </c>
      <c r="DK164" s="606">
        <v>12</v>
      </c>
      <c r="DL164" s="606">
        <v>3</v>
      </c>
      <c r="DM164" s="607">
        <v>1</v>
      </c>
      <c r="DN164" s="602"/>
      <c r="DO164" s="607">
        <v>19</v>
      </c>
      <c r="DP164" s="105"/>
      <c r="DR164" s="608"/>
      <c r="DS164" s="608"/>
      <c r="DT164" s="608"/>
      <c r="DU164" s="620" t="s">
        <v>110</v>
      </c>
      <c r="DV164" s="622">
        <v>1</v>
      </c>
      <c r="DW164" s="622">
        <v>3</v>
      </c>
      <c r="DX164" s="622">
        <v>5</v>
      </c>
      <c r="DY164" s="622">
        <v>6</v>
      </c>
      <c r="DZ164" s="621"/>
      <c r="EA164" s="622">
        <v>1</v>
      </c>
      <c r="EB164" s="622">
        <v>21</v>
      </c>
      <c r="EC164" s="622">
        <v>51</v>
      </c>
      <c r="ED164" s="622">
        <v>98</v>
      </c>
      <c r="EE164" s="624">
        <v>14</v>
      </c>
      <c r="EF164" s="624">
        <v>13</v>
      </c>
      <c r="EG164" s="624">
        <v>213</v>
      </c>
      <c r="EH164" s="614">
        <f>+(EG163+EG162+EG159-EE162-EF162-EE159-EF159)/EG164</f>
        <v>0.29577464788732394</v>
      </c>
      <c r="EJ164" s="615"/>
      <c r="EK164" s="615"/>
      <c r="EL164" s="615"/>
      <c r="EM164" s="625" t="s">
        <v>15</v>
      </c>
      <c r="EN164" s="626"/>
      <c r="EO164" s="626"/>
      <c r="EP164" s="626"/>
      <c r="EQ164" s="626"/>
      <c r="ER164" s="626"/>
      <c r="ES164" s="627">
        <v>3</v>
      </c>
      <c r="ET164" s="627">
        <v>2</v>
      </c>
      <c r="EU164" s="627">
        <v>3</v>
      </c>
      <c r="EV164" s="626"/>
      <c r="EW164" s="627">
        <v>1</v>
      </c>
      <c r="EX164" s="627">
        <v>9</v>
      </c>
      <c r="EY164" s="628">
        <f>+(EX163+EX161)/EX164</f>
        <v>0.33333333333333331</v>
      </c>
      <c r="FA164" s="70"/>
      <c r="FQ164" s="42"/>
      <c r="FR164" s="516"/>
      <c r="FS164" s="516"/>
      <c r="FT164" s="516"/>
      <c r="FU164" s="516" t="s">
        <v>1239</v>
      </c>
      <c r="FV164" s="516">
        <v>0</v>
      </c>
      <c r="FW164" s="516">
        <v>0</v>
      </c>
      <c r="FX164" s="516">
        <v>0</v>
      </c>
      <c r="FY164" s="516">
        <v>0</v>
      </c>
      <c r="FZ164" s="516">
        <v>0</v>
      </c>
      <c r="GA164" s="516">
        <v>0</v>
      </c>
      <c r="GB164" s="516">
        <v>0</v>
      </c>
      <c r="GC164" s="516">
        <v>1</v>
      </c>
      <c r="GD164" s="516">
        <v>4</v>
      </c>
      <c r="GE164" s="516">
        <v>1</v>
      </c>
      <c r="GF164" s="516">
        <v>1</v>
      </c>
      <c r="GG164" s="517">
        <v>7</v>
      </c>
      <c r="GH164" s="619"/>
      <c r="GI164" s="518"/>
    </row>
    <row r="165" spans="3:191">
      <c r="D165" s="4800" t="s">
        <v>1344</v>
      </c>
      <c r="E165" s="4606">
        <v>0</v>
      </c>
      <c r="F165" s="4606"/>
      <c r="G165" s="4606"/>
      <c r="H165" s="4606"/>
      <c r="I165" s="4606"/>
      <c r="J165" s="4606"/>
      <c r="K165" s="4606">
        <v>9</v>
      </c>
      <c r="L165" s="4606">
        <v>0</v>
      </c>
      <c r="M165" s="4606"/>
      <c r="N165" s="2552"/>
      <c r="O165" s="2552"/>
      <c r="P165" s="2552">
        <v>9</v>
      </c>
      <c r="Q165" s="2552"/>
      <c r="R165" s="2552"/>
      <c r="V165" s="37" t="s">
        <v>1239</v>
      </c>
      <c r="W165" s="4803"/>
      <c r="X165" s="4803"/>
      <c r="Y165" s="4803"/>
      <c r="Z165" s="4803"/>
      <c r="AA165" s="4803"/>
      <c r="AB165" s="4803">
        <v>0</v>
      </c>
      <c r="AC165" s="4803">
        <v>1</v>
      </c>
      <c r="AD165" s="4803"/>
      <c r="AE165" s="1788"/>
      <c r="AF165" s="1788">
        <v>1</v>
      </c>
      <c r="AI165" s="41"/>
      <c r="AJ165" s="41"/>
      <c r="AK165" s="461"/>
      <c r="AL165" s="461" t="s">
        <v>1233</v>
      </c>
      <c r="AM165" s="2002">
        <v>1</v>
      </c>
      <c r="AN165" s="2002"/>
      <c r="AO165" s="2002">
        <v>0</v>
      </c>
      <c r="AP165" s="2002">
        <v>0</v>
      </c>
      <c r="AQ165" s="2002">
        <v>0</v>
      </c>
      <c r="AR165" s="2002">
        <v>0</v>
      </c>
      <c r="AS165" s="2002">
        <v>0</v>
      </c>
      <c r="AT165" s="2002">
        <v>0</v>
      </c>
      <c r="AU165" s="2480"/>
      <c r="AV165" s="2480"/>
      <c r="AW165" s="2480">
        <v>1</v>
      </c>
      <c r="AX165" s="41"/>
      <c r="AZ165" s="42"/>
      <c r="BA165" s="42"/>
      <c r="BB165" s="42"/>
      <c r="BC165" s="42" t="s">
        <v>1236</v>
      </c>
      <c r="BD165" s="1993"/>
      <c r="BE165" s="1993">
        <v>1</v>
      </c>
      <c r="BF165" s="1993">
        <v>2</v>
      </c>
      <c r="BG165" s="1993"/>
      <c r="BH165" s="1993"/>
      <c r="BI165" s="1993"/>
      <c r="BJ165" s="1993">
        <v>0</v>
      </c>
      <c r="BK165" s="1993">
        <v>0</v>
      </c>
      <c r="BL165" s="1993">
        <v>0</v>
      </c>
      <c r="BM165" s="70"/>
      <c r="BN165" s="70"/>
      <c r="BO165" s="70">
        <v>3</v>
      </c>
      <c r="BR165" s="105"/>
      <c r="BS165" s="105"/>
      <c r="BT165" s="41"/>
      <c r="BU165" s="41" t="s">
        <v>1231</v>
      </c>
      <c r="BV165" s="1659"/>
      <c r="BW165" s="1659">
        <v>0</v>
      </c>
      <c r="BX165" s="1659"/>
      <c r="BY165" s="1659"/>
      <c r="BZ165" s="1659"/>
      <c r="CA165" s="1659"/>
      <c r="CB165" s="1659">
        <v>0</v>
      </c>
      <c r="CC165" s="1659">
        <v>1</v>
      </c>
      <c r="CD165" s="1659">
        <v>0</v>
      </c>
      <c r="CE165" s="105"/>
      <c r="CF165" s="105"/>
      <c r="CG165" s="105">
        <v>1</v>
      </c>
      <c r="CH165" s="105"/>
      <c r="CJ165" s="1359"/>
      <c r="CK165" s="1359"/>
      <c r="CL165" s="1360"/>
      <c r="CM165" s="1361" t="s">
        <v>1233</v>
      </c>
      <c r="CN165" s="1363">
        <v>1</v>
      </c>
      <c r="CO165" s="1363">
        <v>4</v>
      </c>
      <c r="CP165" s="1363">
        <v>0</v>
      </c>
      <c r="CQ165" s="1363">
        <v>1</v>
      </c>
      <c r="CR165" s="1362"/>
      <c r="CS165" s="1363">
        <v>0</v>
      </c>
      <c r="CT165" s="1363">
        <v>0</v>
      </c>
      <c r="CU165" s="1362"/>
      <c r="CV165" s="686"/>
      <c r="CW165" s="687">
        <v>0</v>
      </c>
      <c r="CX165" s="687">
        <v>6</v>
      </c>
      <c r="CY165" s="41"/>
      <c r="DA165" s="602"/>
      <c r="DB165" s="602"/>
      <c r="DC165" s="603"/>
      <c r="DD165" s="604" t="s">
        <v>1239</v>
      </c>
      <c r="DE165" s="606">
        <v>0</v>
      </c>
      <c r="DF165" s="605"/>
      <c r="DG165" s="605"/>
      <c r="DH165" s="605"/>
      <c r="DI165" s="605"/>
      <c r="DJ165" s="606">
        <v>0</v>
      </c>
      <c r="DK165" s="606">
        <v>0</v>
      </c>
      <c r="DL165" s="606">
        <v>17</v>
      </c>
      <c r="DM165" s="607">
        <v>0</v>
      </c>
      <c r="DN165" s="602"/>
      <c r="DO165" s="607">
        <v>17</v>
      </c>
      <c r="DP165" s="105"/>
      <c r="DR165" s="608" t="s">
        <v>48</v>
      </c>
      <c r="DS165" s="608" t="s">
        <v>16</v>
      </c>
      <c r="DT165" s="608" t="s">
        <v>1346</v>
      </c>
      <c r="DU165" s="609" t="s">
        <v>1344</v>
      </c>
      <c r="DV165" s="611">
        <v>1</v>
      </c>
      <c r="DW165" s="610"/>
      <c r="DX165" s="610"/>
      <c r="DY165" s="610"/>
      <c r="DZ165" s="610"/>
      <c r="EA165" s="610"/>
      <c r="EB165" s="610"/>
      <c r="EC165" s="610"/>
      <c r="ED165" s="610"/>
      <c r="EE165" s="612"/>
      <c r="EF165" s="612"/>
      <c r="EG165" s="613">
        <v>1</v>
      </c>
      <c r="EH165" s="614"/>
      <c r="EJ165" s="615"/>
      <c r="EK165" s="615"/>
      <c r="EL165" s="615" t="s">
        <v>142</v>
      </c>
      <c r="EM165" s="616" t="s">
        <v>1231</v>
      </c>
      <c r="EN165" s="617"/>
      <c r="EO165" s="617"/>
      <c r="EP165" s="618">
        <v>0</v>
      </c>
      <c r="EQ165" s="617"/>
      <c r="ER165" s="617"/>
      <c r="ES165" s="618">
        <v>7</v>
      </c>
      <c r="ET165" s="618">
        <v>3</v>
      </c>
      <c r="EU165" s="618">
        <v>0</v>
      </c>
      <c r="EV165" s="617"/>
      <c r="EW165" s="617"/>
      <c r="EX165" s="618">
        <v>10</v>
      </c>
      <c r="EY165" s="515"/>
      <c r="FA165" s="70"/>
      <c r="FQ165" s="42"/>
      <c r="FR165" s="516"/>
      <c r="FS165" s="516"/>
      <c r="FT165" s="516"/>
      <c r="FU165" s="516" t="s">
        <v>1344</v>
      </c>
      <c r="FV165" s="516">
        <v>0</v>
      </c>
      <c r="FW165" s="516">
        <v>0</v>
      </c>
      <c r="FX165" s="516">
        <v>0</v>
      </c>
      <c r="FY165" s="516">
        <v>0</v>
      </c>
      <c r="FZ165" s="516">
        <v>0</v>
      </c>
      <c r="GA165" s="516">
        <v>0</v>
      </c>
      <c r="GB165" s="516">
        <v>1</v>
      </c>
      <c r="GC165" s="516">
        <v>0</v>
      </c>
      <c r="GD165" s="516">
        <v>1</v>
      </c>
      <c r="GE165" s="516">
        <v>0</v>
      </c>
      <c r="GF165" s="516">
        <v>0</v>
      </c>
      <c r="GG165" s="517">
        <v>2</v>
      </c>
      <c r="GH165" s="619"/>
      <c r="GI165" s="518"/>
    </row>
    <row r="166" spans="3:191">
      <c r="D166" s="32" t="s">
        <v>15</v>
      </c>
      <c r="E166" s="4607">
        <v>1</v>
      </c>
      <c r="F166" s="4607"/>
      <c r="G166" s="4607"/>
      <c r="H166" s="4607"/>
      <c r="I166" s="4607"/>
      <c r="J166" s="4607"/>
      <c r="K166" s="4607">
        <v>17</v>
      </c>
      <c r="L166" s="4607">
        <v>8</v>
      </c>
      <c r="M166" s="4607"/>
      <c r="N166" s="4583"/>
      <c r="O166" s="4583"/>
      <c r="P166" s="4583">
        <v>26</v>
      </c>
      <c r="Q166" s="1977">
        <f>+(P162+P165)/(P166-P164)</f>
        <v>0.84</v>
      </c>
      <c r="R166" s="1977"/>
      <c r="V166" s="1793" t="s">
        <v>15</v>
      </c>
      <c r="W166" s="4804"/>
      <c r="X166" s="4804"/>
      <c r="Y166" s="4804"/>
      <c r="Z166" s="4804"/>
      <c r="AA166" s="4804"/>
      <c r="AB166" s="4804">
        <v>8</v>
      </c>
      <c r="AC166" s="4804">
        <v>1</v>
      </c>
      <c r="AD166" s="4804"/>
      <c r="AE166" s="4702"/>
      <c r="AF166" s="4702">
        <v>9</v>
      </c>
      <c r="AG166" s="4703">
        <f>+AF164/AF166</f>
        <v>0.88888888888888884</v>
      </c>
      <c r="AI166" s="41"/>
      <c r="AJ166" s="41"/>
      <c r="AK166" s="461"/>
      <c r="AL166" s="461" t="s">
        <v>1235</v>
      </c>
      <c r="AM166" s="2002">
        <v>0</v>
      </c>
      <c r="AN166" s="2002"/>
      <c r="AO166" s="2002">
        <v>0</v>
      </c>
      <c r="AP166" s="2002">
        <v>0</v>
      </c>
      <c r="AQ166" s="2002">
        <v>0</v>
      </c>
      <c r="AR166" s="2002">
        <v>1</v>
      </c>
      <c r="AS166" s="2002">
        <v>9</v>
      </c>
      <c r="AT166" s="2002">
        <v>0</v>
      </c>
      <c r="AU166" s="2480"/>
      <c r="AV166" s="2480"/>
      <c r="AW166" s="2480">
        <v>10</v>
      </c>
      <c r="AX166" s="41"/>
      <c r="AZ166" s="42"/>
      <c r="BA166" s="42"/>
      <c r="BB166" s="42"/>
      <c r="BC166" s="42" t="s">
        <v>1239</v>
      </c>
      <c r="BD166" s="1993"/>
      <c r="BE166" s="1993">
        <v>0</v>
      </c>
      <c r="BF166" s="1993">
        <v>0</v>
      </c>
      <c r="BG166" s="1993"/>
      <c r="BH166" s="1993"/>
      <c r="BI166" s="1993"/>
      <c r="BJ166" s="1993">
        <v>0</v>
      </c>
      <c r="BK166" s="1993">
        <v>0</v>
      </c>
      <c r="BL166" s="1993">
        <v>2</v>
      </c>
      <c r="BM166" s="70"/>
      <c r="BN166" s="70"/>
      <c r="BO166" s="70">
        <v>2</v>
      </c>
      <c r="BR166" s="105"/>
      <c r="BS166" s="105"/>
      <c r="BT166" s="41"/>
      <c r="BU166" s="41" t="s">
        <v>1233</v>
      </c>
      <c r="BV166" s="1659"/>
      <c r="BW166" s="1659">
        <v>1</v>
      </c>
      <c r="BX166" s="1659"/>
      <c r="BY166" s="1659"/>
      <c r="BZ166" s="1659"/>
      <c r="CA166" s="1659"/>
      <c r="CB166" s="1659">
        <v>0</v>
      </c>
      <c r="CC166" s="1659">
        <v>0</v>
      </c>
      <c r="CD166" s="1659">
        <v>0</v>
      </c>
      <c r="CE166" s="105"/>
      <c r="CF166" s="105"/>
      <c r="CG166" s="105">
        <v>1</v>
      </c>
      <c r="CH166" s="105"/>
      <c r="CJ166" s="1359"/>
      <c r="CK166" s="1359"/>
      <c r="CL166" s="1360"/>
      <c r="CM166" s="1361" t="s">
        <v>1235</v>
      </c>
      <c r="CN166" s="1363">
        <v>0</v>
      </c>
      <c r="CO166" s="1363">
        <v>0</v>
      </c>
      <c r="CP166" s="1363">
        <v>8</v>
      </c>
      <c r="CQ166" s="1363">
        <v>0</v>
      </c>
      <c r="CR166" s="1362"/>
      <c r="CS166" s="1363">
        <v>3</v>
      </c>
      <c r="CT166" s="1363">
        <v>0</v>
      </c>
      <c r="CU166" s="1362"/>
      <c r="CV166" s="686"/>
      <c r="CW166" s="687">
        <v>0</v>
      </c>
      <c r="CX166" s="687">
        <v>11</v>
      </c>
      <c r="CY166" s="41"/>
      <c r="DA166" s="602"/>
      <c r="DB166" s="602"/>
      <c r="DC166" s="603"/>
      <c r="DD166" s="604" t="s">
        <v>1344</v>
      </c>
      <c r="DE166" s="606">
        <v>0</v>
      </c>
      <c r="DF166" s="605"/>
      <c r="DG166" s="605"/>
      <c r="DH166" s="605"/>
      <c r="DI166" s="605"/>
      <c r="DJ166" s="606">
        <v>6</v>
      </c>
      <c r="DK166" s="606">
        <v>7</v>
      </c>
      <c r="DL166" s="606">
        <v>1</v>
      </c>
      <c r="DM166" s="607">
        <v>0</v>
      </c>
      <c r="DN166" s="602"/>
      <c r="DO166" s="607">
        <v>14</v>
      </c>
      <c r="DP166" s="105"/>
      <c r="DR166" s="608"/>
      <c r="DS166" s="608"/>
      <c r="DT166" s="608"/>
      <c r="DU166" s="620" t="s">
        <v>15</v>
      </c>
      <c r="DV166" s="622">
        <v>1</v>
      </c>
      <c r="DW166" s="621"/>
      <c r="DX166" s="621"/>
      <c r="DY166" s="621"/>
      <c r="DZ166" s="621"/>
      <c r="EA166" s="621"/>
      <c r="EB166" s="621"/>
      <c r="EC166" s="621"/>
      <c r="ED166" s="621"/>
      <c r="EE166" s="623"/>
      <c r="EF166" s="623"/>
      <c r="EG166" s="624">
        <v>1</v>
      </c>
      <c r="EH166" s="614">
        <f>+EG165/EG166</f>
        <v>1</v>
      </c>
      <c r="EJ166" s="615"/>
      <c r="EK166" s="615"/>
      <c r="EL166" s="615"/>
      <c r="EM166" s="616" t="s">
        <v>1236</v>
      </c>
      <c r="EN166" s="617"/>
      <c r="EO166" s="617"/>
      <c r="EP166" s="618">
        <v>1</v>
      </c>
      <c r="EQ166" s="617"/>
      <c r="ER166" s="617"/>
      <c r="ES166" s="618">
        <v>0</v>
      </c>
      <c r="ET166" s="618">
        <v>0</v>
      </c>
      <c r="EU166" s="618">
        <v>0</v>
      </c>
      <c r="EV166" s="617"/>
      <c r="EW166" s="617"/>
      <c r="EX166" s="618">
        <v>1</v>
      </c>
      <c r="EY166" s="515"/>
      <c r="FA166" s="70"/>
      <c r="FQ166" s="42"/>
      <c r="FR166" s="516"/>
      <c r="FS166" s="516"/>
      <c r="FT166" s="516"/>
      <c r="FU166" s="519" t="s">
        <v>15</v>
      </c>
      <c r="FV166" s="519">
        <v>0</v>
      </c>
      <c r="FW166" s="519">
        <v>0</v>
      </c>
      <c r="FX166" s="519">
        <v>0</v>
      </c>
      <c r="FY166" s="519">
        <v>0</v>
      </c>
      <c r="FZ166" s="519">
        <v>0</v>
      </c>
      <c r="GA166" s="519">
        <v>0</v>
      </c>
      <c r="GB166" s="519">
        <v>5</v>
      </c>
      <c r="GC166" s="519">
        <v>6</v>
      </c>
      <c r="GD166" s="519">
        <v>6</v>
      </c>
      <c r="GE166" s="519">
        <v>1</v>
      </c>
      <c r="GF166" s="519">
        <v>1</v>
      </c>
      <c r="GG166" s="579">
        <v>19</v>
      </c>
      <c r="GH166" s="629">
        <f>+(GG165+GG163)/GG166</f>
        <v>0.21052631578947367</v>
      </c>
      <c r="GI166" s="518">
        <f>+GG163+GG165</f>
        <v>4</v>
      </c>
    </row>
    <row r="167" spans="3:191">
      <c r="C167" s="4800" t="s">
        <v>128</v>
      </c>
      <c r="D167" s="4800" t="s">
        <v>1236</v>
      </c>
      <c r="E167" s="4606"/>
      <c r="F167" s="4606"/>
      <c r="G167" s="4606"/>
      <c r="H167" s="4606">
        <v>1</v>
      </c>
      <c r="I167" s="4606"/>
      <c r="J167" s="4606"/>
      <c r="K167" s="4606">
        <v>0</v>
      </c>
      <c r="L167" s="4606"/>
      <c r="M167" s="4606"/>
      <c r="N167" s="2552"/>
      <c r="O167" s="2552"/>
      <c r="P167" s="2552">
        <v>1</v>
      </c>
      <c r="Q167" s="2552"/>
      <c r="R167" s="2552"/>
      <c r="U167" s="1793" t="s">
        <v>545</v>
      </c>
      <c r="V167" s="1793" t="s">
        <v>1230</v>
      </c>
      <c r="W167" s="4804"/>
      <c r="X167" s="4804"/>
      <c r="Y167" s="4804">
        <v>0</v>
      </c>
      <c r="Z167" s="4804"/>
      <c r="AA167" s="4804"/>
      <c r="AB167" s="4804">
        <v>0</v>
      </c>
      <c r="AC167" s="4804">
        <v>1</v>
      </c>
      <c r="AD167" s="4804">
        <v>0</v>
      </c>
      <c r="AE167" s="4702">
        <v>6</v>
      </c>
      <c r="AF167" s="4702">
        <v>7</v>
      </c>
      <c r="AG167" s="1793"/>
      <c r="AI167" s="41"/>
      <c r="AJ167" s="41"/>
      <c r="AK167" s="461"/>
      <c r="AL167" s="461" t="s">
        <v>1236</v>
      </c>
      <c r="AM167" s="2002">
        <v>1</v>
      </c>
      <c r="AN167" s="2002"/>
      <c r="AO167" s="2002">
        <v>1</v>
      </c>
      <c r="AP167" s="2002">
        <v>2</v>
      </c>
      <c r="AQ167" s="2002">
        <v>1</v>
      </c>
      <c r="AR167" s="2002">
        <v>0</v>
      </c>
      <c r="AS167" s="2002">
        <v>0</v>
      </c>
      <c r="AT167" s="2002">
        <v>0</v>
      </c>
      <c r="AU167" s="2480"/>
      <c r="AV167" s="2480"/>
      <c r="AW167" s="2480">
        <v>5</v>
      </c>
      <c r="AX167" s="41"/>
      <c r="AZ167" s="42"/>
      <c r="BA167" s="42"/>
      <c r="BB167" s="42"/>
      <c r="BC167" s="42" t="s">
        <v>1344</v>
      </c>
      <c r="BD167" s="1993"/>
      <c r="BE167" s="1993">
        <v>0</v>
      </c>
      <c r="BF167" s="1993">
        <v>0</v>
      </c>
      <c r="BG167" s="1993"/>
      <c r="BH167" s="1993"/>
      <c r="BI167" s="1993"/>
      <c r="BJ167" s="1993">
        <v>1</v>
      </c>
      <c r="BK167" s="1993">
        <v>0</v>
      </c>
      <c r="BL167" s="1993">
        <v>0</v>
      </c>
      <c r="BM167" s="70"/>
      <c r="BN167" s="70"/>
      <c r="BO167" s="70">
        <v>1</v>
      </c>
      <c r="BR167" s="105"/>
      <c r="BS167" s="105"/>
      <c r="BT167" s="41"/>
      <c r="BU167" s="41" t="s">
        <v>1235</v>
      </c>
      <c r="BV167" s="1659"/>
      <c r="BW167" s="1659">
        <v>0</v>
      </c>
      <c r="BX167" s="1659"/>
      <c r="BY167" s="1659"/>
      <c r="BZ167" s="1659"/>
      <c r="CA167" s="1659"/>
      <c r="CB167" s="1659">
        <v>1</v>
      </c>
      <c r="CC167" s="1659">
        <v>4</v>
      </c>
      <c r="CD167" s="1659">
        <v>0</v>
      </c>
      <c r="CE167" s="105"/>
      <c r="CF167" s="105"/>
      <c r="CG167" s="105">
        <v>5</v>
      </c>
      <c r="CH167" s="105"/>
      <c r="CJ167" s="1359"/>
      <c r="CK167" s="1359"/>
      <c r="CL167" s="1360"/>
      <c r="CM167" s="1361" t="s">
        <v>1236</v>
      </c>
      <c r="CN167" s="1363">
        <v>0</v>
      </c>
      <c r="CO167" s="1363">
        <v>0</v>
      </c>
      <c r="CP167" s="1363">
        <v>1</v>
      </c>
      <c r="CQ167" s="1363">
        <v>1</v>
      </c>
      <c r="CR167" s="1362"/>
      <c r="CS167" s="1363">
        <v>0</v>
      </c>
      <c r="CT167" s="1363">
        <v>1</v>
      </c>
      <c r="CU167" s="1362"/>
      <c r="CV167" s="686"/>
      <c r="CW167" s="687">
        <v>0</v>
      </c>
      <c r="CX167" s="687">
        <v>3</v>
      </c>
      <c r="CY167" s="41"/>
      <c r="DA167" s="602"/>
      <c r="DB167" s="602"/>
      <c r="DC167" s="603"/>
      <c r="DD167" s="630" t="s">
        <v>547</v>
      </c>
      <c r="DE167" s="632">
        <v>1</v>
      </c>
      <c r="DF167" s="631"/>
      <c r="DG167" s="631"/>
      <c r="DH167" s="631"/>
      <c r="DI167" s="631"/>
      <c r="DJ167" s="632">
        <v>13</v>
      </c>
      <c r="DK167" s="632">
        <v>25</v>
      </c>
      <c r="DL167" s="632">
        <v>21</v>
      </c>
      <c r="DM167" s="634">
        <v>2</v>
      </c>
      <c r="DN167" s="633"/>
      <c r="DO167" s="634">
        <v>62</v>
      </c>
      <c r="DP167" s="635">
        <f>+(DO164+DO166)/DO167</f>
        <v>0.532258064516129</v>
      </c>
      <c r="DR167" s="608"/>
      <c r="DS167" s="608"/>
      <c r="DT167" s="608" t="s">
        <v>134</v>
      </c>
      <c r="DU167" s="609" t="s">
        <v>1235</v>
      </c>
      <c r="DV167" s="610"/>
      <c r="DW167" s="610"/>
      <c r="DX167" s="610"/>
      <c r="DY167" s="611">
        <v>3</v>
      </c>
      <c r="DZ167" s="610"/>
      <c r="EA167" s="610"/>
      <c r="EB167" s="610"/>
      <c r="EC167" s="610"/>
      <c r="ED167" s="610"/>
      <c r="EE167" s="612"/>
      <c r="EF167" s="612"/>
      <c r="EG167" s="613">
        <v>3</v>
      </c>
      <c r="EH167" s="614"/>
      <c r="EJ167" s="615"/>
      <c r="EK167" s="615"/>
      <c r="EL167" s="615"/>
      <c r="EM167" s="616" t="s">
        <v>1239</v>
      </c>
      <c r="EN167" s="617"/>
      <c r="EO167" s="617"/>
      <c r="EP167" s="618">
        <v>0</v>
      </c>
      <c r="EQ167" s="617"/>
      <c r="ER167" s="617"/>
      <c r="ES167" s="618">
        <v>0</v>
      </c>
      <c r="ET167" s="618">
        <v>0</v>
      </c>
      <c r="EU167" s="618">
        <v>8</v>
      </c>
      <c r="EV167" s="617"/>
      <c r="EW167" s="617"/>
      <c r="EX167" s="618">
        <v>8</v>
      </c>
      <c r="EY167" s="515"/>
      <c r="FA167" s="70"/>
      <c r="FQ167" s="42"/>
      <c r="FR167" s="516"/>
      <c r="FS167" s="516"/>
      <c r="FT167" s="516" t="s">
        <v>142</v>
      </c>
      <c r="FU167" s="516" t="s">
        <v>1231</v>
      </c>
      <c r="FV167" s="516">
        <v>0</v>
      </c>
      <c r="FW167" s="516">
        <v>0</v>
      </c>
      <c r="FX167" s="516">
        <v>1</v>
      </c>
      <c r="FY167" s="516">
        <v>0</v>
      </c>
      <c r="FZ167" s="516">
        <v>0</v>
      </c>
      <c r="GA167" s="516">
        <v>0</v>
      </c>
      <c r="GB167" s="516">
        <v>11</v>
      </c>
      <c r="GC167" s="516">
        <v>0</v>
      </c>
      <c r="GD167" s="516">
        <v>0</v>
      </c>
      <c r="GE167" s="516">
        <v>0</v>
      </c>
      <c r="GF167" s="516">
        <v>0</v>
      </c>
      <c r="GG167" s="517">
        <v>12</v>
      </c>
      <c r="GH167" s="619"/>
      <c r="GI167" s="518"/>
    </row>
    <row r="168" spans="3:191">
      <c r="D168" s="4800" t="s">
        <v>1344</v>
      </c>
      <c r="E168" s="4606"/>
      <c r="F168" s="4606"/>
      <c r="G168" s="4606"/>
      <c r="H168" s="4606">
        <v>0</v>
      </c>
      <c r="I168" s="4606"/>
      <c r="J168" s="4606"/>
      <c r="K168" s="4606">
        <v>1</v>
      </c>
      <c r="L168" s="4606"/>
      <c r="M168" s="4606"/>
      <c r="N168" s="2552"/>
      <c r="O168" s="2552"/>
      <c r="P168" s="2552">
        <v>1</v>
      </c>
      <c r="Q168" s="2552"/>
      <c r="R168" s="2552"/>
      <c r="U168" s="1793"/>
      <c r="V168" s="1793" t="s">
        <v>1231</v>
      </c>
      <c r="W168" s="4804"/>
      <c r="X168" s="4804"/>
      <c r="Y168" s="4804">
        <v>2</v>
      </c>
      <c r="Z168" s="4804"/>
      <c r="AA168" s="4804"/>
      <c r="AB168" s="4804">
        <v>4</v>
      </c>
      <c r="AC168" s="4804">
        <v>3</v>
      </c>
      <c r="AD168" s="4804">
        <v>0</v>
      </c>
      <c r="AE168" s="4702">
        <v>0</v>
      </c>
      <c r="AF168" s="4702">
        <v>9</v>
      </c>
      <c r="AG168" s="1793"/>
      <c r="AI168" s="41"/>
      <c r="AJ168" s="41"/>
      <c r="AK168" s="461"/>
      <c r="AL168" s="461" t="s">
        <v>1239</v>
      </c>
      <c r="AM168" s="2002">
        <v>0</v>
      </c>
      <c r="AN168" s="2002"/>
      <c r="AO168" s="2002">
        <v>0</v>
      </c>
      <c r="AP168" s="2002">
        <v>0</v>
      </c>
      <c r="AQ168" s="2002">
        <v>0</v>
      </c>
      <c r="AR168" s="2002">
        <v>0</v>
      </c>
      <c r="AS168" s="2002">
        <v>0</v>
      </c>
      <c r="AT168" s="2002">
        <v>19</v>
      </c>
      <c r="AU168" s="2480"/>
      <c r="AV168" s="2480"/>
      <c r="AW168" s="2480">
        <v>19</v>
      </c>
      <c r="AX168" s="41"/>
      <c r="AZ168" s="42"/>
      <c r="BA168" s="42"/>
      <c r="BB168" s="42"/>
      <c r="BC168" s="484" t="s">
        <v>15</v>
      </c>
      <c r="BD168" s="1994"/>
      <c r="BE168" s="1994">
        <v>1</v>
      </c>
      <c r="BF168" s="1994">
        <v>2</v>
      </c>
      <c r="BG168" s="1994"/>
      <c r="BH168" s="1994"/>
      <c r="BI168" s="1994"/>
      <c r="BJ168" s="1994">
        <v>20</v>
      </c>
      <c r="BK168" s="1994">
        <v>6</v>
      </c>
      <c r="BL168" s="1994">
        <v>2</v>
      </c>
      <c r="BM168" s="454"/>
      <c r="BN168" s="454"/>
      <c r="BO168" s="454">
        <v>31</v>
      </c>
      <c r="BP168" s="2485">
        <f>+(BO164+BO167)/BO168</f>
        <v>0.77419354838709675</v>
      </c>
      <c r="BR168" s="105"/>
      <c r="BS168" s="105"/>
      <c r="BT168" s="41"/>
      <c r="BU168" s="41" t="s">
        <v>1239</v>
      </c>
      <c r="BV168" s="1659"/>
      <c r="BW168" s="1659">
        <v>0</v>
      </c>
      <c r="BX168" s="1659"/>
      <c r="BY168" s="1659"/>
      <c r="BZ168" s="1659"/>
      <c r="CA168" s="1659"/>
      <c r="CB168" s="1659">
        <v>0</v>
      </c>
      <c r="CC168" s="1659">
        <v>0</v>
      </c>
      <c r="CD168" s="1659">
        <v>5</v>
      </c>
      <c r="CE168" s="105"/>
      <c r="CF168" s="105"/>
      <c r="CG168" s="105">
        <v>5</v>
      </c>
      <c r="CH168" s="105"/>
      <c r="CJ168" s="1359"/>
      <c r="CK168" s="1359"/>
      <c r="CL168" s="1360"/>
      <c r="CM168" s="1361" t="s">
        <v>1240</v>
      </c>
      <c r="CN168" s="1363">
        <v>0</v>
      </c>
      <c r="CO168" s="1363">
        <v>0</v>
      </c>
      <c r="CP168" s="1363">
        <v>0</v>
      </c>
      <c r="CQ168" s="1363">
        <v>0</v>
      </c>
      <c r="CR168" s="1362"/>
      <c r="CS168" s="1363">
        <v>11</v>
      </c>
      <c r="CT168" s="1363">
        <v>0</v>
      </c>
      <c r="CU168" s="1362"/>
      <c r="CV168" s="686"/>
      <c r="CW168" s="687">
        <v>1</v>
      </c>
      <c r="CX168" s="687">
        <v>12</v>
      </c>
      <c r="CY168" s="41"/>
      <c r="DA168" s="602"/>
      <c r="DB168" s="602"/>
      <c r="DC168" s="630" t="s">
        <v>110</v>
      </c>
      <c r="DD168" s="604" t="s">
        <v>1230</v>
      </c>
      <c r="DE168" s="606">
        <v>0</v>
      </c>
      <c r="DF168" s="606">
        <v>0</v>
      </c>
      <c r="DG168" s="606">
        <v>0</v>
      </c>
      <c r="DH168" s="606">
        <v>0</v>
      </c>
      <c r="DI168" s="606">
        <v>0</v>
      </c>
      <c r="DJ168" s="606">
        <v>0</v>
      </c>
      <c r="DK168" s="606">
        <v>2</v>
      </c>
      <c r="DL168" s="606">
        <v>20</v>
      </c>
      <c r="DM168" s="607">
        <v>3</v>
      </c>
      <c r="DN168" s="607">
        <v>7</v>
      </c>
      <c r="DO168" s="607">
        <v>32</v>
      </c>
      <c r="DP168" s="105"/>
      <c r="DR168" s="608"/>
      <c r="DS168" s="608"/>
      <c r="DT168" s="608"/>
      <c r="DU168" s="620" t="s">
        <v>15</v>
      </c>
      <c r="DV168" s="621"/>
      <c r="DW168" s="621"/>
      <c r="DX168" s="621"/>
      <c r="DY168" s="622">
        <v>3</v>
      </c>
      <c r="DZ168" s="621"/>
      <c r="EA168" s="621"/>
      <c r="EB168" s="621"/>
      <c r="EC168" s="621"/>
      <c r="ED168" s="621"/>
      <c r="EE168" s="623"/>
      <c r="EF168" s="623"/>
      <c r="EG168" s="624">
        <v>3</v>
      </c>
      <c r="EH168" s="614">
        <f>+EG167/EG168</f>
        <v>1</v>
      </c>
      <c r="EJ168" s="615"/>
      <c r="EK168" s="615"/>
      <c r="EL168" s="615"/>
      <c r="EM168" s="616" t="s">
        <v>1344</v>
      </c>
      <c r="EN168" s="617"/>
      <c r="EO168" s="617"/>
      <c r="EP168" s="618">
        <v>0</v>
      </c>
      <c r="EQ168" s="617"/>
      <c r="ER168" s="617"/>
      <c r="ES168" s="618">
        <v>1</v>
      </c>
      <c r="ET168" s="618">
        <v>0</v>
      </c>
      <c r="EU168" s="618">
        <v>0</v>
      </c>
      <c r="EV168" s="617"/>
      <c r="EW168" s="617"/>
      <c r="EX168" s="618">
        <v>1</v>
      </c>
      <c r="EY168" s="515"/>
      <c r="FA168" s="70"/>
      <c r="FQ168" s="42"/>
      <c r="FR168" s="516"/>
      <c r="FS168" s="516"/>
      <c r="FT168" s="516"/>
      <c r="FU168" s="516" t="s">
        <v>1235</v>
      </c>
      <c r="FV168" s="516">
        <v>0</v>
      </c>
      <c r="FW168" s="516">
        <v>0</v>
      </c>
      <c r="FX168" s="516">
        <v>0</v>
      </c>
      <c r="FY168" s="516">
        <v>0</v>
      </c>
      <c r="FZ168" s="516">
        <v>0</v>
      </c>
      <c r="GA168" s="516">
        <v>0</v>
      </c>
      <c r="GB168" s="516">
        <v>3</v>
      </c>
      <c r="GC168" s="516">
        <v>0</v>
      </c>
      <c r="GD168" s="516">
        <v>0</v>
      </c>
      <c r="GE168" s="516">
        <v>0</v>
      </c>
      <c r="GF168" s="516">
        <v>0</v>
      </c>
      <c r="GG168" s="517">
        <v>3</v>
      </c>
      <c r="GH168" s="619"/>
      <c r="GI168" s="518"/>
    </row>
    <row r="169" spans="3:191">
      <c r="D169" s="32" t="s">
        <v>15</v>
      </c>
      <c r="E169" s="4607"/>
      <c r="F169" s="4607"/>
      <c r="G169" s="4607"/>
      <c r="H169" s="4607">
        <v>1</v>
      </c>
      <c r="I169" s="4607"/>
      <c r="J169" s="4607"/>
      <c r="K169" s="4607">
        <v>1</v>
      </c>
      <c r="L169" s="4607"/>
      <c r="M169" s="4607"/>
      <c r="N169" s="4583"/>
      <c r="O169" s="4583"/>
      <c r="P169" s="4583">
        <v>2</v>
      </c>
      <c r="Q169" s="1977">
        <f>+P168/P169</f>
        <v>0.5</v>
      </c>
      <c r="R169" s="1977"/>
      <c r="U169" s="1793"/>
      <c r="V169" s="1793" t="s">
        <v>1235</v>
      </c>
      <c r="W169" s="4804"/>
      <c r="X169" s="4804"/>
      <c r="Y169" s="4804">
        <v>0</v>
      </c>
      <c r="Z169" s="4804"/>
      <c r="AA169" s="4804"/>
      <c r="AB169" s="4804">
        <v>26</v>
      </c>
      <c r="AC169" s="4804">
        <v>2</v>
      </c>
      <c r="AD169" s="4804">
        <v>1</v>
      </c>
      <c r="AE169" s="4702">
        <v>0</v>
      </c>
      <c r="AF169" s="4702">
        <v>29</v>
      </c>
      <c r="AG169" s="1793"/>
      <c r="AI169" s="41"/>
      <c r="AJ169" s="41"/>
      <c r="AK169" s="461"/>
      <c r="AL169" s="461" t="s">
        <v>1344</v>
      </c>
      <c r="AM169" s="2002">
        <v>0</v>
      </c>
      <c r="AN169" s="2002"/>
      <c r="AO169" s="2002">
        <v>0</v>
      </c>
      <c r="AP169" s="2002">
        <v>0</v>
      </c>
      <c r="AQ169" s="2002">
        <v>0</v>
      </c>
      <c r="AR169" s="2002">
        <v>17</v>
      </c>
      <c r="AS169" s="2002">
        <v>1</v>
      </c>
      <c r="AT169" s="2002">
        <v>0</v>
      </c>
      <c r="AU169" s="2480"/>
      <c r="AV169" s="2480"/>
      <c r="AW169" s="2480">
        <v>18</v>
      </c>
      <c r="AX169" s="41"/>
      <c r="AZ169" s="42"/>
      <c r="BA169" s="42"/>
      <c r="BB169" s="42" t="s">
        <v>128</v>
      </c>
      <c r="BC169" s="42" t="s">
        <v>1231</v>
      </c>
      <c r="BD169" s="1993"/>
      <c r="BE169" s="1993"/>
      <c r="BF169" s="1993">
        <v>0</v>
      </c>
      <c r="BG169" s="1993"/>
      <c r="BH169" s="1993"/>
      <c r="BI169" s="1993">
        <v>0</v>
      </c>
      <c r="BJ169" s="1993">
        <v>0</v>
      </c>
      <c r="BK169" s="1993">
        <v>1</v>
      </c>
      <c r="BL169" s="1993"/>
      <c r="BM169" s="70"/>
      <c r="BN169" s="70"/>
      <c r="BO169" s="70">
        <v>1</v>
      </c>
      <c r="BR169" s="105"/>
      <c r="BS169" s="105"/>
      <c r="BT169" s="41"/>
      <c r="BU169" s="41" t="s">
        <v>1344</v>
      </c>
      <c r="BV169" s="1659"/>
      <c r="BW169" s="1659">
        <v>0</v>
      </c>
      <c r="BX169" s="1659"/>
      <c r="BY169" s="1659"/>
      <c r="BZ169" s="1659"/>
      <c r="CA169" s="1659"/>
      <c r="CB169" s="1659">
        <v>1</v>
      </c>
      <c r="CC169" s="1659">
        <v>1</v>
      </c>
      <c r="CD169" s="1659">
        <v>0</v>
      </c>
      <c r="CE169" s="105"/>
      <c r="CF169" s="105"/>
      <c r="CG169" s="105">
        <v>2</v>
      </c>
      <c r="CH169" s="105"/>
      <c r="CJ169" s="1359"/>
      <c r="CK169" s="1359"/>
      <c r="CL169" s="1360"/>
      <c r="CM169" s="1361" t="s">
        <v>1344</v>
      </c>
      <c r="CN169" s="1363">
        <v>0</v>
      </c>
      <c r="CO169" s="1363">
        <v>0</v>
      </c>
      <c r="CP169" s="1363">
        <v>6</v>
      </c>
      <c r="CQ169" s="1363">
        <v>0</v>
      </c>
      <c r="CR169" s="1362"/>
      <c r="CS169" s="1363">
        <v>2</v>
      </c>
      <c r="CT169" s="1363">
        <v>0</v>
      </c>
      <c r="CU169" s="1362"/>
      <c r="CV169" s="686"/>
      <c r="CW169" s="687">
        <v>0</v>
      </c>
      <c r="CX169" s="687">
        <v>8</v>
      </c>
      <c r="CY169" s="41"/>
      <c r="DA169" s="602"/>
      <c r="DB169" s="602"/>
      <c r="DC169" s="603"/>
      <c r="DD169" s="604" t="s">
        <v>1231</v>
      </c>
      <c r="DE169" s="606">
        <v>4</v>
      </c>
      <c r="DF169" s="606">
        <v>4</v>
      </c>
      <c r="DG169" s="606">
        <v>1</v>
      </c>
      <c r="DH169" s="606">
        <v>0</v>
      </c>
      <c r="DI169" s="606">
        <v>0</v>
      </c>
      <c r="DJ169" s="606">
        <v>8</v>
      </c>
      <c r="DK169" s="606">
        <v>14</v>
      </c>
      <c r="DL169" s="606">
        <v>1</v>
      </c>
      <c r="DM169" s="607">
        <v>6</v>
      </c>
      <c r="DN169" s="607">
        <v>0</v>
      </c>
      <c r="DO169" s="607">
        <v>38</v>
      </c>
      <c r="DP169" s="105"/>
      <c r="DR169" s="608"/>
      <c r="DS169" s="608"/>
      <c r="DT169" s="608" t="s">
        <v>591</v>
      </c>
      <c r="DU169" s="609" t="s">
        <v>1231</v>
      </c>
      <c r="DV169" s="611">
        <v>1</v>
      </c>
      <c r="DW169" s="611">
        <v>1</v>
      </c>
      <c r="DX169" s="610"/>
      <c r="DY169" s="611">
        <v>4</v>
      </c>
      <c r="DZ169" s="610"/>
      <c r="EA169" s="610"/>
      <c r="EB169" s="610"/>
      <c r="EC169" s="610"/>
      <c r="ED169" s="610"/>
      <c r="EE169" s="612"/>
      <c r="EF169" s="612"/>
      <c r="EG169" s="613">
        <v>6</v>
      </c>
      <c r="EH169" s="614"/>
      <c r="EJ169" s="615"/>
      <c r="EK169" s="615"/>
      <c r="EL169" s="615"/>
      <c r="EM169" s="625" t="s">
        <v>15</v>
      </c>
      <c r="EN169" s="626"/>
      <c r="EO169" s="626"/>
      <c r="EP169" s="627">
        <v>1</v>
      </c>
      <c r="EQ169" s="626"/>
      <c r="ER169" s="626"/>
      <c r="ES169" s="627">
        <v>8</v>
      </c>
      <c r="ET169" s="627">
        <v>3</v>
      </c>
      <c r="EU169" s="627">
        <v>8</v>
      </c>
      <c r="EV169" s="626"/>
      <c r="EW169" s="626"/>
      <c r="EX169" s="627">
        <v>20</v>
      </c>
      <c r="EY169" s="628">
        <f>+EX168/EX169</f>
        <v>0.05</v>
      </c>
      <c r="FA169" s="70"/>
      <c r="FQ169" s="42"/>
      <c r="FR169" s="516"/>
      <c r="FS169" s="516"/>
      <c r="FT169" s="516"/>
      <c r="FU169" s="516" t="s">
        <v>1239</v>
      </c>
      <c r="FV169" s="516">
        <v>0</v>
      </c>
      <c r="FW169" s="516">
        <v>0</v>
      </c>
      <c r="FX169" s="516">
        <v>0</v>
      </c>
      <c r="FY169" s="516">
        <v>0</v>
      </c>
      <c r="FZ169" s="516">
        <v>0</v>
      </c>
      <c r="GA169" s="516">
        <v>0</v>
      </c>
      <c r="GB169" s="516">
        <v>0</v>
      </c>
      <c r="GC169" s="516">
        <v>1</v>
      </c>
      <c r="GD169" s="516">
        <v>1</v>
      </c>
      <c r="GE169" s="516">
        <v>0</v>
      </c>
      <c r="GF169" s="516">
        <v>0</v>
      </c>
      <c r="GG169" s="517">
        <v>2</v>
      </c>
      <c r="GH169" s="619"/>
      <c r="GI169" s="518"/>
    </row>
    <row r="170" spans="3:191">
      <c r="C170" s="4800" t="s">
        <v>2278</v>
      </c>
      <c r="D170" s="4800" t="s">
        <v>1230</v>
      </c>
      <c r="E170" s="4606"/>
      <c r="F170" s="4606"/>
      <c r="G170" s="4606"/>
      <c r="H170" s="4606"/>
      <c r="I170" s="4606"/>
      <c r="J170" s="4606"/>
      <c r="K170" s="4606">
        <v>0</v>
      </c>
      <c r="L170" s="4606">
        <v>1</v>
      </c>
      <c r="M170" s="4606">
        <v>0</v>
      </c>
      <c r="N170" s="2552">
        <v>0</v>
      </c>
      <c r="O170" s="2552">
        <v>0</v>
      </c>
      <c r="P170" s="2552">
        <v>1</v>
      </c>
      <c r="Q170" s="2552"/>
      <c r="R170" s="2552"/>
      <c r="U170" s="1793"/>
      <c r="V170" s="1793" t="s">
        <v>1236</v>
      </c>
      <c r="W170" s="4804"/>
      <c r="X170" s="4804"/>
      <c r="Y170" s="4804">
        <v>1</v>
      </c>
      <c r="Z170" s="4804"/>
      <c r="AA170" s="4804"/>
      <c r="AB170" s="4804">
        <v>0</v>
      </c>
      <c r="AC170" s="4804">
        <v>0</v>
      </c>
      <c r="AD170" s="4804">
        <v>0</v>
      </c>
      <c r="AE170" s="4702">
        <v>0</v>
      </c>
      <c r="AF170" s="4702">
        <v>1</v>
      </c>
      <c r="AG170" s="1793"/>
      <c r="AI170" s="41"/>
      <c r="AJ170" s="41"/>
      <c r="AK170" s="461"/>
      <c r="AL170" s="461" t="s">
        <v>545</v>
      </c>
      <c r="AM170" s="2002">
        <v>3</v>
      </c>
      <c r="AN170" s="2002"/>
      <c r="AO170" s="2002">
        <v>1</v>
      </c>
      <c r="AP170" s="2002">
        <v>2</v>
      </c>
      <c r="AQ170" s="2002">
        <v>1</v>
      </c>
      <c r="AR170" s="2002">
        <v>22</v>
      </c>
      <c r="AS170" s="2002">
        <v>21</v>
      </c>
      <c r="AT170" s="2002">
        <v>25</v>
      </c>
      <c r="AU170" s="2480"/>
      <c r="AV170" s="2480"/>
      <c r="AW170" s="2480">
        <v>75</v>
      </c>
      <c r="AX170" s="635">
        <f>+(AW169+AW166)/AW170</f>
        <v>0.37333333333333335</v>
      </c>
      <c r="AY170" s="1977"/>
      <c r="AZ170" s="42"/>
      <c r="BA170" s="42"/>
      <c r="BB170" s="42"/>
      <c r="BC170" s="42" t="s">
        <v>1236</v>
      </c>
      <c r="BD170" s="1993"/>
      <c r="BE170" s="1993"/>
      <c r="BF170" s="1993">
        <v>1</v>
      </c>
      <c r="BG170" s="1993"/>
      <c r="BH170" s="1993"/>
      <c r="BI170" s="1993">
        <v>1</v>
      </c>
      <c r="BJ170" s="1993">
        <v>0</v>
      </c>
      <c r="BK170" s="1993">
        <v>0</v>
      </c>
      <c r="BL170" s="1993"/>
      <c r="BM170" s="70"/>
      <c r="BN170" s="70"/>
      <c r="BO170" s="70">
        <v>2</v>
      </c>
      <c r="BR170" s="105"/>
      <c r="BS170" s="105"/>
      <c r="BT170" s="41"/>
      <c r="BU170" s="461" t="s">
        <v>15</v>
      </c>
      <c r="BV170" s="1660"/>
      <c r="BW170" s="1660">
        <v>1</v>
      </c>
      <c r="BX170" s="1660"/>
      <c r="BY170" s="1660"/>
      <c r="BZ170" s="1660"/>
      <c r="CA170" s="1660"/>
      <c r="CB170" s="1660">
        <v>2</v>
      </c>
      <c r="CC170" s="1660">
        <v>6</v>
      </c>
      <c r="CD170" s="1660">
        <v>6</v>
      </c>
      <c r="CE170" s="96"/>
      <c r="CF170" s="96"/>
      <c r="CG170" s="96">
        <v>15</v>
      </c>
      <c r="CH170" s="635">
        <f>+(CG167+CG169)/CG170</f>
        <v>0.46666666666666667</v>
      </c>
      <c r="CJ170" s="1359"/>
      <c r="CK170" s="1359"/>
      <c r="CL170" s="1360"/>
      <c r="CM170" s="483" t="s">
        <v>545</v>
      </c>
      <c r="CN170" s="1365">
        <v>1</v>
      </c>
      <c r="CO170" s="1365">
        <v>5</v>
      </c>
      <c r="CP170" s="1365">
        <v>15</v>
      </c>
      <c r="CQ170" s="1365">
        <v>2</v>
      </c>
      <c r="CR170" s="1364"/>
      <c r="CS170" s="1365">
        <v>16</v>
      </c>
      <c r="CT170" s="1365">
        <v>1</v>
      </c>
      <c r="CU170" s="1364"/>
      <c r="CV170" s="695"/>
      <c r="CW170" s="696">
        <v>1</v>
      </c>
      <c r="CX170" s="696">
        <v>41</v>
      </c>
      <c r="CY170" s="1325">
        <f>+(CX166+CX168-CW168+CX169)/CX170</f>
        <v>0.73170731707317072</v>
      </c>
      <c r="DA170" s="602"/>
      <c r="DB170" s="602"/>
      <c r="DC170" s="603"/>
      <c r="DD170" s="604" t="s">
        <v>1233</v>
      </c>
      <c r="DE170" s="606">
        <v>5</v>
      </c>
      <c r="DF170" s="606">
        <v>1</v>
      </c>
      <c r="DG170" s="606">
        <v>0</v>
      </c>
      <c r="DH170" s="606">
        <v>0</v>
      </c>
      <c r="DI170" s="606">
        <v>0</v>
      </c>
      <c r="DJ170" s="606">
        <v>0</v>
      </c>
      <c r="DK170" s="606">
        <v>0</v>
      </c>
      <c r="DL170" s="606">
        <v>0</v>
      </c>
      <c r="DM170" s="607">
        <v>0</v>
      </c>
      <c r="DN170" s="607">
        <v>0</v>
      </c>
      <c r="DO170" s="607">
        <v>6</v>
      </c>
      <c r="DP170" s="105"/>
      <c r="DR170" s="608"/>
      <c r="DS170" s="608"/>
      <c r="DT170" s="608"/>
      <c r="DU170" s="609" t="s">
        <v>1235</v>
      </c>
      <c r="DV170" s="611">
        <v>0</v>
      </c>
      <c r="DW170" s="611">
        <v>0</v>
      </c>
      <c r="DX170" s="610"/>
      <c r="DY170" s="611">
        <v>1</v>
      </c>
      <c r="DZ170" s="610"/>
      <c r="EA170" s="610"/>
      <c r="EB170" s="610"/>
      <c r="EC170" s="610"/>
      <c r="ED170" s="610"/>
      <c r="EE170" s="612"/>
      <c r="EF170" s="612"/>
      <c r="EG170" s="613">
        <v>1</v>
      </c>
      <c r="EH170" s="614"/>
      <c r="EJ170" s="615"/>
      <c r="EK170" s="615"/>
      <c r="EL170" s="615" t="s">
        <v>112</v>
      </c>
      <c r="EM170" s="616" t="s">
        <v>1231</v>
      </c>
      <c r="EN170" s="617"/>
      <c r="EO170" s="617"/>
      <c r="EP170" s="618">
        <v>1</v>
      </c>
      <c r="EQ170" s="617"/>
      <c r="ER170" s="618">
        <v>0</v>
      </c>
      <c r="ES170" s="617"/>
      <c r="ET170" s="617"/>
      <c r="EU170" s="617"/>
      <c r="EV170" s="617"/>
      <c r="EW170" s="617"/>
      <c r="EX170" s="618">
        <v>1</v>
      </c>
      <c r="EY170" s="515"/>
      <c r="FA170" s="70"/>
      <c r="FQ170" s="42"/>
      <c r="FR170" s="516"/>
      <c r="FS170" s="516"/>
      <c r="FT170" s="516"/>
      <c r="FU170" s="516" t="s">
        <v>1344</v>
      </c>
      <c r="FV170" s="516">
        <v>0</v>
      </c>
      <c r="FW170" s="516">
        <v>0</v>
      </c>
      <c r="FX170" s="516">
        <v>0</v>
      </c>
      <c r="FY170" s="516">
        <v>0</v>
      </c>
      <c r="FZ170" s="516">
        <v>0</v>
      </c>
      <c r="GA170" s="516">
        <v>0</v>
      </c>
      <c r="GB170" s="516">
        <v>1</v>
      </c>
      <c r="GC170" s="516">
        <v>0</v>
      </c>
      <c r="GD170" s="516">
        <v>0</v>
      </c>
      <c r="GE170" s="516">
        <v>0</v>
      </c>
      <c r="GF170" s="516">
        <v>0</v>
      </c>
      <c r="GG170" s="517">
        <v>1</v>
      </c>
      <c r="GH170" s="619"/>
      <c r="GI170" s="518"/>
    </row>
    <row r="171" spans="3:191">
      <c r="D171" s="4800" t="s">
        <v>1231</v>
      </c>
      <c r="E171" s="4606"/>
      <c r="F171" s="4606"/>
      <c r="G171" s="4606"/>
      <c r="H171" s="4606"/>
      <c r="I171" s="4606"/>
      <c r="J171" s="4606"/>
      <c r="K171" s="4606">
        <v>2</v>
      </c>
      <c r="L171" s="4606">
        <v>3</v>
      </c>
      <c r="M171" s="4606">
        <v>0</v>
      </c>
      <c r="N171" s="2552">
        <v>6</v>
      </c>
      <c r="O171" s="2552">
        <v>0</v>
      </c>
      <c r="P171" s="2552">
        <v>11</v>
      </c>
      <c r="Q171" s="2552"/>
      <c r="R171" s="2552"/>
      <c r="U171" s="1793"/>
      <c r="V171" s="1793" t="s">
        <v>1239</v>
      </c>
      <c r="W171" s="4804"/>
      <c r="X171" s="4804"/>
      <c r="Y171" s="4804">
        <v>0</v>
      </c>
      <c r="Z171" s="4804"/>
      <c r="AA171" s="4804"/>
      <c r="AB171" s="4804">
        <v>0</v>
      </c>
      <c r="AC171" s="4804">
        <v>6</v>
      </c>
      <c r="AD171" s="4804">
        <v>0</v>
      </c>
      <c r="AE171" s="4702">
        <v>2</v>
      </c>
      <c r="AF171" s="4702">
        <v>8</v>
      </c>
      <c r="AG171" s="1793"/>
      <c r="AI171" s="41"/>
      <c r="AJ171" s="41" t="s">
        <v>41</v>
      </c>
      <c r="AK171" s="41" t="s">
        <v>443</v>
      </c>
      <c r="AL171" s="41" t="s">
        <v>1231</v>
      </c>
      <c r="AM171" s="2001"/>
      <c r="AN171" s="2001">
        <v>1</v>
      </c>
      <c r="AO171" s="2001"/>
      <c r="AP171" s="2001"/>
      <c r="AQ171" s="2001"/>
      <c r="AR171" s="2001"/>
      <c r="AS171" s="2001">
        <v>0</v>
      </c>
      <c r="AT171" s="2001">
        <v>0</v>
      </c>
      <c r="AU171" s="105"/>
      <c r="AV171" s="105"/>
      <c r="AW171" s="105">
        <v>1</v>
      </c>
      <c r="AX171" s="41"/>
      <c r="AZ171" s="42"/>
      <c r="BA171" s="42"/>
      <c r="BB171" s="42"/>
      <c r="BC171" s="42" t="s">
        <v>1344</v>
      </c>
      <c r="BD171" s="1993"/>
      <c r="BE171" s="1993"/>
      <c r="BF171" s="1993">
        <v>0</v>
      </c>
      <c r="BG171" s="1993"/>
      <c r="BH171" s="1993"/>
      <c r="BI171" s="1993">
        <v>0</v>
      </c>
      <c r="BJ171" s="1993">
        <v>4</v>
      </c>
      <c r="BK171" s="1993">
        <v>0</v>
      </c>
      <c r="BL171" s="1993"/>
      <c r="BM171" s="70"/>
      <c r="BN171" s="70"/>
      <c r="BO171" s="70">
        <v>4</v>
      </c>
      <c r="BR171" s="105"/>
      <c r="BS171" s="105"/>
      <c r="BT171" s="41" t="s">
        <v>129</v>
      </c>
      <c r="BU171" s="41" t="s">
        <v>1231</v>
      </c>
      <c r="BV171" s="1659"/>
      <c r="BW171" s="1659">
        <v>0</v>
      </c>
      <c r="BX171" s="1659"/>
      <c r="BY171" s="1659"/>
      <c r="BZ171" s="1659"/>
      <c r="CA171" s="1659"/>
      <c r="CB171" s="1659">
        <v>1</v>
      </c>
      <c r="CC171" s="1659">
        <v>1</v>
      </c>
      <c r="CD171" s="1659">
        <v>0</v>
      </c>
      <c r="CE171" s="105"/>
      <c r="CF171" s="105"/>
      <c r="CG171" s="105">
        <v>2</v>
      </c>
      <c r="CH171" s="105"/>
      <c r="CJ171" s="1359"/>
      <c r="CK171" s="1359" t="s">
        <v>41</v>
      </c>
      <c r="CL171" s="1360" t="s">
        <v>443</v>
      </c>
      <c r="CM171" s="1361" t="s">
        <v>1231</v>
      </c>
      <c r="CN171" s="1362"/>
      <c r="CO171" s="1362"/>
      <c r="CP171" s="1362"/>
      <c r="CQ171" s="1362"/>
      <c r="CR171" s="1362"/>
      <c r="CS171" s="1362"/>
      <c r="CT171" s="1363">
        <v>2</v>
      </c>
      <c r="CU171" s="1363">
        <v>0</v>
      </c>
      <c r="CV171" s="686"/>
      <c r="CW171" s="686"/>
      <c r="CX171" s="687">
        <v>2</v>
      </c>
      <c r="CY171" s="41"/>
      <c r="DA171" s="602"/>
      <c r="DB171" s="602"/>
      <c r="DC171" s="603"/>
      <c r="DD171" s="604" t="s">
        <v>1235</v>
      </c>
      <c r="DE171" s="606">
        <v>0</v>
      </c>
      <c r="DF171" s="606">
        <v>0</v>
      </c>
      <c r="DG171" s="606">
        <v>0</v>
      </c>
      <c r="DH171" s="606">
        <v>0</v>
      </c>
      <c r="DI171" s="606">
        <v>0</v>
      </c>
      <c r="DJ171" s="606">
        <v>9</v>
      </c>
      <c r="DK171" s="606">
        <v>57</v>
      </c>
      <c r="DL171" s="606">
        <v>9</v>
      </c>
      <c r="DM171" s="607">
        <v>2</v>
      </c>
      <c r="DN171" s="607">
        <v>0</v>
      </c>
      <c r="DO171" s="607">
        <v>77</v>
      </c>
      <c r="DP171" s="105"/>
      <c r="DR171" s="608"/>
      <c r="DS171" s="608"/>
      <c r="DT171" s="608"/>
      <c r="DU171" s="609" t="s">
        <v>1240</v>
      </c>
      <c r="DV171" s="611">
        <v>0</v>
      </c>
      <c r="DW171" s="611">
        <v>0</v>
      </c>
      <c r="DX171" s="610"/>
      <c r="DY171" s="611">
        <v>5</v>
      </c>
      <c r="DZ171" s="610"/>
      <c r="EA171" s="610"/>
      <c r="EB171" s="610"/>
      <c r="EC171" s="610"/>
      <c r="ED171" s="610"/>
      <c r="EE171" s="612"/>
      <c r="EF171" s="612"/>
      <c r="EG171" s="613">
        <v>5</v>
      </c>
      <c r="EH171" s="614"/>
      <c r="EJ171" s="615"/>
      <c r="EK171" s="615"/>
      <c r="EL171" s="615"/>
      <c r="EM171" s="616" t="s">
        <v>1236</v>
      </c>
      <c r="EN171" s="617"/>
      <c r="EO171" s="617"/>
      <c r="EP171" s="618">
        <v>1</v>
      </c>
      <c r="EQ171" s="617"/>
      <c r="ER171" s="618">
        <v>0</v>
      </c>
      <c r="ES171" s="617"/>
      <c r="ET171" s="617"/>
      <c r="EU171" s="617"/>
      <c r="EV171" s="617"/>
      <c r="EW171" s="617"/>
      <c r="EX171" s="618">
        <v>1</v>
      </c>
      <c r="EY171" s="515"/>
      <c r="FA171" s="70"/>
      <c r="FQ171" s="42"/>
      <c r="FR171" s="516"/>
      <c r="FS171" s="516"/>
      <c r="FT171" s="516"/>
      <c r="FU171" s="519" t="s">
        <v>15</v>
      </c>
      <c r="FV171" s="519">
        <v>0</v>
      </c>
      <c r="FW171" s="519">
        <v>0</v>
      </c>
      <c r="FX171" s="519">
        <v>1</v>
      </c>
      <c r="FY171" s="519">
        <v>0</v>
      </c>
      <c r="FZ171" s="519">
        <v>0</v>
      </c>
      <c r="GA171" s="519">
        <v>0</v>
      </c>
      <c r="GB171" s="519">
        <v>15</v>
      </c>
      <c r="GC171" s="519">
        <v>1</v>
      </c>
      <c r="GD171" s="519">
        <v>1</v>
      </c>
      <c r="GE171" s="519">
        <v>0</v>
      </c>
      <c r="GF171" s="519">
        <v>0</v>
      </c>
      <c r="GG171" s="579">
        <v>18</v>
      </c>
      <c r="GH171" s="629">
        <f>+(GG170+GG168)/GG171</f>
        <v>0.22222222222222221</v>
      </c>
      <c r="GI171" s="518">
        <f>+GG168+GG170</f>
        <v>4</v>
      </c>
    </row>
    <row r="172" spans="3:191">
      <c r="D172" s="4800" t="s">
        <v>1235</v>
      </c>
      <c r="E172" s="4606"/>
      <c r="F172" s="4606"/>
      <c r="G172" s="4606"/>
      <c r="H172" s="4606"/>
      <c r="I172" s="4606"/>
      <c r="J172" s="4606"/>
      <c r="K172" s="4606">
        <v>0</v>
      </c>
      <c r="L172" s="4606">
        <v>1</v>
      </c>
      <c r="M172" s="4606">
        <v>0</v>
      </c>
      <c r="N172" s="2552">
        <v>0</v>
      </c>
      <c r="O172" s="2552">
        <v>0</v>
      </c>
      <c r="P172" s="2552">
        <v>1</v>
      </c>
      <c r="Q172" s="2552"/>
      <c r="R172" s="2552"/>
      <c r="U172" s="1793"/>
      <c r="V172" s="1793" t="s">
        <v>1344</v>
      </c>
      <c r="W172" s="4804"/>
      <c r="X172" s="4804"/>
      <c r="Y172" s="4804">
        <v>10</v>
      </c>
      <c r="Z172" s="4804"/>
      <c r="AA172" s="4804"/>
      <c r="AB172" s="4804">
        <v>0</v>
      </c>
      <c r="AC172" s="4804">
        <v>1</v>
      </c>
      <c r="AD172" s="4804">
        <v>0</v>
      </c>
      <c r="AE172" s="4702">
        <v>0</v>
      </c>
      <c r="AF172" s="4702">
        <v>11</v>
      </c>
      <c r="AG172" s="1793"/>
      <c r="AI172" s="41"/>
      <c r="AJ172" s="41"/>
      <c r="AK172" s="41"/>
      <c r="AL172" s="41" t="s">
        <v>1235</v>
      </c>
      <c r="AM172" s="2001"/>
      <c r="AN172" s="2001">
        <v>0</v>
      </c>
      <c r="AO172" s="2001"/>
      <c r="AP172" s="2001"/>
      <c r="AQ172" s="2001"/>
      <c r="AR172" s="2001"/>
      <c r="AS172" s="2001">
        <v>5</v>
      </c>
      <c r="AT172" s="2001">
        <v>0</v>
      </c>
      <c r="AU172" s="105"/>
      <c r="AV172" s="105"/>
      <c r="AW172" s="105">
        <v>5</v>
      </c>
      <c r="AX172" s="41"/>
      <c r="AZ172" s="42"/>
      <c r="BA172" s="42"/>
      <c r="BB172" s="42"/>
      <c r="BC172" s="484" t="s">
        <v>15</v>
      </c>
      <c r="BD172" s="1994"/>
      <c r="BE172" s="1994"/>
      <c r="BF172" s="1994">
        <v>1</v>
      </c>
      <c r="BG172" s="1994"/>
      <c r="BH172" s="1994"/>
      <c r="BI172" s="1994">
        <v>1</v>
      </c>
      <c r="BJ172" s="1994">
        <v>4</v>
      </c>
      <c r="BK172" s="1994">
        <v>1</v>
      </c>
      <c r="BL172" s="1994"/>
      <c r="BM172" s="454"/>
      <c r="BN172" s="454"/>
      <c r="BO172" s="454">
        <v>7</v>
      </c>
      <c r="BP172" s="2485">
        <f>+BO171/BO172</f>
        <v>0.5714285714285714</v>
      </c>
      <c r="BR172" s="105"/>
      <c r="BS172" s="105"/>
      <c r="BT172" s="41"/>
      <c r="BU172" s="41" t="s">
        <v>1233</v>
      </c>
      <c r="BV172" s="1659"/>
      <c r="BW172" s="1659">
        <v>1</v>
      </c>
      <c r="BX172" s="1659"/>
      <c r="BY172" s="1659"/>
      <c r="BZ172" s="1659"/>
      <c r="CA172" s="1659"/>
      <c r="CB172" s="1659">
        <v>0</v>
      </c>
      <c r="CC172" s="1659">
        <v>0</v>
      </c>
      <c r="CD172" s="1659">
        <v>0</v>
      </c>
      <c r="CE172" s="105"/>
      <c r="CF172" s="105"/>
      <c r="CG172" s="105">
        <v>1</v>
      </c>
      <c r="CH172" s="105"/>
      <c r="CJ172" s="1359"/>
      <c r="CK172" s="1359"/>
      <c r="CL172" s="1360"/>
      <c r="CM172" s="1361" t="s">
        <v>1235</v>
      </c>
      <c r="CN172" s="1362"/>
      <c r="CO172" s="1362"/>
      <c r="CP172" s="1362"/>
      <c r="CQ172" s="1362"/>
      <c r="CR172" s="1362"/>
      <c r="CS172" s="1362"/>
      <c r="CT172" s="1363">
        <v>2</v>
      </c>
      <c r="CU172" s="1363">
        <v>0</v>
      </c>
      <c r="CV172" s="686"/>
      <c r="CW172" s="686"/>
      <c r="CX172" s="687">
        <v>2</v>
      </c>
      <c r="CY172" s="41"/>
      <c r="DA172" s="602"/>
      <c r="DB172" s="602"/>
      <c r="DC172" s="603"/>
      <c r="DD172" s="604" t="s">
        <v>1236</v>
      </c>
      <c r="DE172" s="606">
        <v>1</v>
      </c>
      <c r="DF172" s="606">
        <v>1</v>
      </c>
      <c r="DG172" s="606">
        <v>1</v>
      </c>
      <c r="DH172" s="606">
        <v>1</v>
      </c>
      <c r="DI172" s="606">
        <v>1</v>
      </c>
      <c r="DJ172" s="606">
        <v>0</v>
      </c>
      <c r="DK172" s="606">
        <v>0</v>
      </c>
      <c r="DL172" s="606">
        <v>0</v>
      </c>
      <c r="DM172" s="607">
        <v>0</v>
      </c>
      <c r="DN172" s="607">
        <v>0</v>
      </c>
      <c r="DO172" s="607">
        <v>5</v>
      </c>
      <c r="DP172" s="105"/>
      <c r="DR172" s="608"/>
      <c r="DS172" s="608"/>
      <c r="DT172" s="608"/>
      <c r="DU172" s="609" t="s">
        <v>1344</v>
      </c>
      <c r="DV172" s="611">
        <v>0</v>
      </c>
      <c r="DW172" s="611">
        <v>0</v>
      </c>
      <c r="DX172" s="610"/>
      <c r="DY172" s="611">
        <v>4</v>
      </c>
      <c r="DZ172" s="610"/>
      <c r="EA172" s="610"/>
      <c r="EB172" s="610"/>
      <c r="EC172" s="610"/>
      <c r="ED172" s="610"/>
      <c r="EE172" s="612"/>
      <c r="EF172" s="612"/>
      <c r="EG172" s="613">
        <v>4</v>
      </c>
      <c r="EH172" s="614"/>
      <c r="EJ172" s="615"/>
      <c r="EK172" s="615"/>
      <c r="EL172" s="615"/>
      <c r="EM172" s="616" t="s">
        <v>1344</v>
      </c>
      <c r="EN172" s="617"/>
      <c r="EO172" s="617"/>
      <c r="EP172" s="618">
        <v>3</v>
      </c>
      <c r="EQ172" s="617"/>
      <c r="ER172" s="618">
        <v>1</v>
      </c>
      <c r="ES172" s="617"/>
      <c r="ET172" s="617"/>
      <c r="EU172" s="617"/>
      <c r="EV172" s="617"/>
      <c r="EW172" s="617"/>
      <c r="EX172" s="618">
        <v>4</v>
      </c>
      <c r="EY172" s="515"/>
      <c r="FA172" s="70"/>
      <c r="FQ172" s="42"/>
      <c r="FR172" s="516"/>
      <c r="FS172" s="516" t="s">
        <v>104</v>
      </c>
      <c r="FT172" s="516" t="s">
        <v>143</v>
      </c>
      <c r="FU172" s="516" t="s">
        <v>1231</v>
      </c>
      <c r="FV172" s="516">
        <v>0</v>
      </c>
      <c r="FW172" s="516">
        <v>0</v>
      </c>
      <c r="FX172" s="516">
        <v>0</v>
      </c>
      <c r="FY172" s="516">
        <v>0</v>
      </c>
      <c r="FZ172" s="516">
        <v>0</v>
      </c>
      <c r="GA172" s="516">
        <v>0</v>
      </c>
      <c r="GB172" s="516">
        <v>3</v>
      </c>
      <c r="GC172" s="516">
        <v>0</v>
      </c>
      <c r="GD172" s="516">
        <v>0</v>
      </c>
      <c r="GE172" s="516">
        <v>0</v>
      </c>
      <c r="GF172" s="516">
        <v>0</v>
      </c>
      <c r="GG172" s="517">
        <v>3</v>
      </c>
      <c r="GH172" s="619"/>
      <c r="GI172" s="518"/>
    </row>
    <row r="173" spans="3:191">
      <c r="D173" s="4800" t="s">
        <v>1239</v>
      </c>
      <c r="E173" s="4606"/>
      <c r="F173" s="4606"/>
      <c r="G173" s="4606"/>
      <c r="H173" s="4606"/>
      <c r="I173" s="4606"/>
      <c r="J173" s="4606"/>
      <c r="K173" s="4606">
        <v>0</v>
      </c>
      <c r="L173" s="4606">
        <v>0</v>
      </c>
      <c r="M173" s="4606">
        <v>0</v>
      </c>
      <c r="N173" s="2552">
        <v>1</v>
      </c>
      <c r="O173" s="2552">
        <v>1</v>
      </c>
      <c r="P173" s="2552">
        <v>2</v>
      </c>
      <c r="Q173" s="2552"/>
      <c r="R173" s="2552"/>
      <c r="U173" s="1793"/>
      <c r="V173" s="1793" t="s">
        <v>545</v>
      </c>
      <c r="W173" s="4804"/>
      <c r="X173" s="4804"/>
      <c r="Y173" s="4804">
        <v>13</v>
      </c>
      <c r="Z173" s="4804"/>
      <c r="AA173" s="4804"/>
      <c r="AB173" s="4804">
        <v>30</v>
      </c>
      <c r="AC173" s="4804">
        <v>13</v>
      </c>
      <c r="AD173" s="4804">
        <v>1</v>
      </c>
      <c r="AE173" s="4702">
        <v>8</v>
      </c>
      <c r="AF173" s="4702">
        <v>65</v>
      </c>
      <c r="AG173" s="4703">
        <f>+(AF169+AF172)/AF173</f>
        <v>0.61538461538461542</v>
      </c>
      <c r="AI173" s="41"/>
      <c r="AJ173" s="41"/>
      <c r="AK173" s="41"/>
      <c r="AL173" s="41" t="s">
        <v>1239</v>
      </c>
      <c r="AM173" s="2001"/>
      <c r="AN173" s="2001">
        <v>0</v>
      </c>
      <c r="AO173" s="2001"/>
      <c r="AP173" s="2001"/>
      <c r="AQ173" s="2001"/>
      <c r="AR173" s="2001"/>
      <c r="AS173" s="2001">
        <v>0</v>
      </c>
      <c r="AT173" s="2001">
        <v>7</v>
      </c>
      <c r="AU173" s="105"/>
      <c r="AV173" s="105"/>
      <c r="AW173" s="105">
        <v>7</v>
      </c>
      <c r="AX173" s="41"/>
      <c r="AZ173" s="42"/>
      <c r="BA173" s="42"/>
      <c r="BB173" s="42" t="s">
        <v>545</v>
      </c>
      <c r="BC173" s="42" t="s">
        <v>1231</v>
      </c>
      <c r="BD173" s="1993"/>
      <c r="BE173" s="1993">
        <v>0</v>
      </c>
      <c r="BF173" s="1993">
        <v>0</v>
      </c>
      <c r="BG173" s="1993">
        <v>0</v>
      </c>
      <c r="BH173" s="1993">
        <v>0</v>
      </c>
      <c r="BI173" s="1993">
        <v>0</v>
      </c>
      <c r="BJ173" s="1993">
        <v>1</v>
      </c>
      <c r="BK173" s="1993">
        <v>2</v>
      </c>
      <c r="BL173" s="1993">
        <v>0</v>
      </c>
      <c r="BM173" s="70"/>
      <c r="BN173" s="70"/>
      <c r="BO173" s="70">
        <v>3</v>
      </c>
      <c r="BR173" s="105"/>
      <c r="BS173" s="105"/>
      <c r="BT173" s="41"/>
      <c r="BU173" s="41" t="s">
        <v>1235</v>
      </c>
      <c r="BV173" s="1659"/>
      <c r="BW173" s="1659">
        <v>0</v>
      </c>
      <c r="BX173" s="1659"/>
      <c r="BY173" s="1659"/>
      <c r="BZ173" s="1659"/>
      <c r="CA173" s="1659"/>
      <c r="CB173" s="1659">
        <v>0</v>
      </c>
      <c r="CC173" s="1659">
        <v>1</v>
      </c>
      <c r="CD173" s="1659">
        <v>0</v>
      </c>
      <c r="CE173" s="105"/>
      <c r="CF173" s="105"/>
      <c r="CG173" s="105">
        <v>1</v>
      </c>
      <c r="CH173" s="105"/>
      <c r="CJ173" s="1359"/>
      <c r="CK173" s="1359"/>
      <c r="CL173" s="1360"/>
      <c r="CM173" s="1361" t="s">
        <v>1239</v>
      </c>
      <c r="CN173" s="1362"/>
      <c r="CO173" s="1362"/>
      <c r="CP173" s="1362"/>
      <c r="CQ173" s="1362"/>
      <c r="CR173" s="1362"/>
      <c r="CS173" s="1362"/>
      <c r="CT173" s="1363">
        <v>0</v>
      </c>
      <c r="CU173" s="1363">
        <v>6</v>
      </c>
      <c r="CV173" s="686"/>
      <c r="CW173" s="686"/>
      <c r="CX173" s="687">
        <v>6</v>
      </c>
      <c r="CY173" s="41"/>
      <c r="DA173" s="602"/>
      <c r="DB173" s="602"/>
      <c r="DC173" s="603"/>
      <c r="DD173" s="604" t="s">
        <v>1239</v>
      </c>
      <c r="DE173" s="606">
        <v>0</v>
      </c>
      <c r="DF173" s="606">
        <v>0</v>
      </c>
      <c r="DG173" s="606">
        <v>0</v>
      </c>
      <c r="DH173" s="606">
        <v>0</v>
      </c>
      <c r="DI173" s="606">
        <v>0</v>
      </c>
      <c r="DJ173" s="606">
        <v>0</v>
      </c>
      <c r="DK173" s="606">
        <v>1</v>
      </c>
      <c r="DL173" s="606">
        <v>69</v>
      </c>
      <c r="DM173" s="607">
        <v>2</v>
      </c>
      <c r="DN173" s="607">
        <v>3</v>
      </c>
      <c r="DO173" s="607">
        <v>75</v>
      </c>
      <c r="DP173" s="105"/>
      <c r="DR173" s="608"/>
      <c r="DS173" s="608"/>
      <c r="DT173" s="608"/>
      <c r="DU173" s="620" t="s">
        <v>15</v>
      </c>
      <c r="DV173" s="622">
        <v>1</v>
      </c>
      <c r="DW173" s="622">
        <v>1</v>
      </c>
      <c r="DX173" s="621"/>
      <c r="DY173" s="622">
        <v>14</v>
      </c>
      <c r="DZ173" s="621"/>
      <c r="EA173" s="621"/>
      <c r="EB173" s="621"/>
      <c r="EC173" s="621"/>
      <c r="ED173" s="621"/>
      <c r="EE173" s="623"/>
      <c r="EF173" s="623"/>
      <c r="EG173" s="624">
        <v>16</v>
      </c>
      <c r="EH173" s="614">
        <f>+(EG172+EG171+EG170)/EG173</f>
        <v>0.625</v>
      </c>
      <c r="EJ173" s="615"/>
      <c r="EK173" s="615"/>
      <c r="EL173" s="615"/>
      <c r="EM173" s="625" t="s">
        <v>15</v>
      </c>
      <c r="EN173" s="626"/>
      <c r="EO173" s="626"/>
      <c r="EP173" s="627">
        <v>5</v>
      </c>
      <c r="EQ173" s="626"/>
      <c r="ER173" s="627">
        <v>1</v>
      </c>
      <c r="ES173" s="626"/>
      <c r="ET173" s="626"/>
      <c r="EU173" s="626"/>
      <c r="EV173" s="626"/>
      <c r="EW173" s="626"/>
      <c r="EX173" s="627">
        <v>6</v>
      </c>
      <c r="EY173" s="628">
        <f>+EX172/EX173</f>
        <v>0.66666666666666663</v>
      </c>
      <c r="FA173" s="70"/>
      <c r="FQ173" s="42"/>
      <c r="FR173" s="516"/>
      <c r="FS173" s="516"/>
      <c r="FT173" s="516"/>
      <c r="FU173" s="516" t="s">
        <v>1235</v>
      </c>
      <c r="FV173" s="516">
        <v>0</v>
      </c>
      <c r="FW173" s="516">
        <v>0</v>
      </c>
      <c r="FX173" s="516">
        <v>0</v>
      </c>
      <c r="FY173" s="516">
        <v>0</v>
      </c>
      <c r="FZ173" s="516">
        <v>0</v>
      </c>
      <c r="GA173" s="516">
        <v>0</v>
      </c>
      <c r="GB173" s="516">
        <v>4</v>
      </c>
      <c r="GC173" s="516">
        <v>0</v>
      </c>
      <c r="GD173" s="516">
        <v>0</v>
      </c>
      <c r="GE173" s="516">
        <v>0</v>
      </c>
      <c r="GF173" s="516">
        <v>0</v>
      </c>
      <c r="GG173" s="517">
        <v>4</v>
      </c>
      <c r="GH173" s="619"/>
      <c r="GI173" s="518"/>
    </row>
    <row r="174" spans="3:191">
      <c r="D174" s="4800" t="s">
        <v>1344</v>
      </c>
      <c r="E174" s="4606"/>
      <c r="F174" s="4606"/>
      <c r="G174" s="4606"/>
      <c r="H174" s="4606"/>
      <c r="I174" s="4606"/>
      <c r="J174" s="4606"/>
      <c r="K174" s="4606">
        <v>0</v>
      </c>
      <c r="L174" s="4606">
        <v>1</v>
      </c>
      <c r="M174" s="4606">
        <v>1</v>
      </c>
      <c r="N174" s="2552">
        <v>0</v>
      </c>
      <c r="O174" s="2552">
        <v>0</v>
      </c>
      <c r="P174" s="2552">
        <v>2</v>
      </c>
      <c r="Q174" s="2552"/>
      <c r="R174" s="2552"/>
      <c r="T174" s="37" t="s">
        <v>41</v>
      </c>
      <c r="U174" s="37" t="s">
        <v>443</v>
      </c>
      <c r="V174" s="37" t="s">
        <v>1235</v>
      </c>
      <c r="W174" s="4803"/>
      <c r="X174" s="4803"/>
      <c r="Y174" s="4803"/>
      <c r="Z174" s="4803"/>
      <c r="AA174" s="4803"/>
      <c r="AB174" s="4803">
        <v>1</v>
      </c>
      <c r="AC174" s="4803">
        <v>1</v>
      </c>
      <c r="AD174" s="4803"/>
      <c r="AE174" s="1788"/>
      <c r="AF174" s="1788">
        <v>2</v>
      </c>
      <c r="AI174" s="41"/>
      <c r="AJ174" s="41"/>
      <c r="AK174" s="41"/>
      <c r="AL174" s="41" t="s">
        <v>1344</v>
      </c>
      <c r="AM174" s="2001"/>
      <c r="AN174" s="2001">
        <v>0</v>
      </c>
      <c r="AO174" s="2001"/>
      <c r="AP174" s="2001"/>
      <c r="AQ174" s="2001"/>
      <c r="AR174" s="2001"/>
      <c r="AS174" s="2001">
        <v>2</v>
      </c>
      <c r="AT174" s="2001">
        <v>0</v>
      </c>
      <c r="AU174" s="105"/>
      <c r="AV174" s="105"/>
      <c r="AW174" s="105">
        <v>2</v>
      </c>
      <c r="AX174" s="41"/>
      <c r="AZ174" s="42"/>
      <c r="BA174" s="42"/>
      <c r="BB174" s="42"/>
      <c r="BC174" s="42" t="s">
        <v>1235</v>
      </c>
      <c r="BD174" s="1993"/>
      <c r="BE174" s="1993">
        <v>0</v>
      </c>
      <c r="BF174" s="1993">
        <v>0</v>
      </c>
      <c r="BG174" s="1993">
        <v>0</v>
      </c>
      <c r="BH174" s="1993">
        <v>2</v>
      </c>
      <c r="BI174" s="1993">
        <v>0</v>
      </c>
      <c r="BJ174" s="1993">
        <v>18</v>
      </c>
      <c r="BK174" s="1993">
        <v>5</v>
      </c>
      <c r="BL174" s="1993">
        <v>0</v>
      </c>
      <c r="BM174" s="70"/>
      <c r="BN174" s="70"/>
      <c r="BO174" s="70">
        <v>25</v>
      </c>
      <c r="BR174" s="105"/>
      <c r="BS174" s="105"/>
      <c r="BT174" s="41"/>
      <c r="BU174" s="41" t="s">
        <v>1239</v>
      </c>
      <c r="BV174" s="1659"/>
      <c r="BW174" s="1659">
        <v>0</v>
      </c>
      <c r="BX174" s="1659"/>
      <c r="BY174" s="1659"/>
      <c r="BZ174" s="1659"/>
      <c r="CA174" s="1659"/>
      <c r="CB174" s="1659">
        <v>0</v>
      </c>
      <c r="CC174" s="1659">
        <v>0</v>
      </c>
      <c r="CD174" s="1659">
        <v>5</v>
      </c>
      <c r="CE174" s="105"/>
      <c r="CF174" s="105"/>
      <c r="CG174" s="105">
        <v>5</v>
      </c>
      <c r="CH174" s="105"/>
      <c r="CJ174" s="1359"/>
      <c r="CK174" s="1359"/>
      <c r="CL174" s="1360"/>
      <c r="CM174" s="483" t="s">
        <v>15</v>
      </c>
      <c r="CN174" s="1364"/>
      <c r="CO174" s="1364"/>
      <c r="CP174" s="1364"/>
      <c r="CQ174" s="1364"/>
      <c r="CR174" s="1364"/>
      <c r="CS174" s="1364"/>
      <c r="CT174" s="1365">
        <v>4</v>
      </c>
      <c r="CU174" s="1365">
        <v>6</v>
      </c>
      <c r="CV174" s="695"/>
      <c r="CW174" s="695"/>
      <c r="CX174" s="696">
        <v>10</v>
      </c>
      <c r="CY174" s="1325">
        <f>+CX172/CX174</f>
        <v>0.2</v>
      </c>
      <c r="DA174" s="602"/>
      <c r="DB174" s="602"/>
      <c r="DC174" s="603"/>
      <c r="DD174" s="604" t="s">
        <v>1344</v>
      </c>
      <c r="DE174" s="606">
        <v>0</v>
      </c>
      <c r="DF174" s="606">
        <v>0</v>
      </c>
      <c r="DG174" s="606">
        <v>0</v>
      </c>
      <c r="DH174" s="606">
        <v>0</v>
      </c>
      <c r="DI174" s="606">
        <v>0</v>
      </c>
      <c r="DJ174" s="606">
        <v>24</v>
      </c>
      <c r="DK174" s="606">
        <v>20</v>
      </c>
      <c r="DL174" s="606">
        <v>4</v>
      </c>
      <c r="DM174" s="607">
        <v>0</v>
      </c>
      <c r="DN174" s="607">
        <v>0</v>
      </c>
      <c r="DO174" s="607">
        <v>48</v>
      </c>
      <c r="DP174" s="105"/>
      <c r="DR174" s="608"/>
      <c r="DS174" s="608"/>
      <c r="DT174" s="620" t="s">
        <v>545</v>
      </c>
      <c r="DU174" s="609" t="s">
        <v>1231</v>
      </c>
      <c r="DV174" s="611">
        <v>1</v>
      </c>
      <c r="DW174" s="611">
        <v>1</v>
      </c>
      <c r="DX174" s="610"/>
      <c r="DY174" s="611">
        <v>4</v>
      </c>
      <c r="DZ174" s="610"/>
      <c r="EA174" s="610"/>
      <c r="EB174" s="610"/>
      <c r="EC174" s="610"/>
      <c r="ED174" s="610"/>
      <c r="EE174" s="612"/>
      <c r="EF174" s="612"/>
      <c r="EG174" s="613">
        <v>6</v>
      </c>
      <c r="EH174" s="614"/>
      <c r="EJ174" s="615"/>
      <c r="EK174" s="615" t="s">
        <v>104</v>
      </c>
      <c r="EL174" s="615" t="s">
        <v>143</v>
      </c>
      <c r="EM174" s="616" t="s">
        <v>1231</v>
      </c>
      <c r="EN174" s="617"/>
      <c r="EO174" s="617"/>
      <c r="EP174" s="617"/>
      <c r="EQ174" s="617"/>
      <c r="ER174" s="618">
        <v>2</v>
      </c>
      <c r="ES174" s="618">
        <v>1</v>
      </c>
      <c r="ET174" s="617"/>
      <c r="EU174" s="617"/>
      <c r="EV174" s="617"/>
      <c r="EW174" s="617"/>
      <c r="EX174" s="618">
        <v>3</v>
      </c>
      <c r="EY174" s="515"/>
      <c r="FA174" s="70"/>
      <c r="FQ174" s="42"/>
      <c r="FR174" s="516"/>
      <c r="FS174" s="516"/>
      <c r="FT174" s="516"/>
      <c r="FU174" s="516" t="s">
        <v>1239</v>
      </c>
      <c r="FV174" s="516">
        <v>0</v>
      </c>
      <c r="FW174" s="516">
        <v>0</v>
      </c>
      <c r="FX174" s="516">
        <v>0</v>
      </c>
      <c r="FY174" s="516">
        <v>0</v>
      </c>
      <c r="FZ174" s="516">
        <v>0</v>
      </c>
      <c r="GA174" s="516">
        <v>1</v>
      </c>
      <c r="GB174" s="516">
        <v>0</v>
      </c>
      <c r="GC174" s="516">
        <v>0</v>
      </c>
      <c r="GD174" s="516">
        <v>0</v>
      </c>
      <c r="GE174" s="516">
        <v>0</v>
      </c>
      <c r="GF174" s="516">
        <v>0</v>
      </c>
      <c r="GG174" s="517">
        <v>1</v>
      </c>
      <c r="GH174" s="619"/>
      <c r="GI174" s="518"/>
    </row>
    <row r="175" spans="3:191">
      <c r="D175" s="32" t="s">
        <v>15</v>
      </c>
      <c r="E175" s="4607"/>
      <c r="F175" s="4607"/>
      <c r="G175" s="4607"/>
      <c r="H175" s="4607"/>
      <c r="I175" s="4607"/>
      <c r="J175" s="4607"/>
      <c r="K175" s="4607">
        <v>2</v>
      </c>
      <c r="L175" s="4607">
        <v>6</v>
      </c>
      <c r="M175" s="4607">
        <v>1</v>
      </c>
      <c r="N175" s="4583">
        <v>7</v>
      </c>
      <c r="O175" s="4583">
        <v>1</v>
      </c>
      <c r="P175" s="4583">
        <v>17</v>
      </c>
      <c r="Q175" s="1977">
        <f>+(P172+P174)/P175</f>
        <v>0.17647058823529413</v>
      </c>
      <c r="R175" s="1977"/>
      <c r="V175" s="37" t="s">
        <v>1239</v>
      </c>
      <c r="W175" s="4803"/>
      <c r="X175" s="4803"/>
      <c r="Y175" s="4803"/>
      <c r="Z175" s="4803"/>
      <c r="AA175" s="4803"/>
      <c r="AB175" s="4803">
        <v>0</v>
      </c>
      <c r="AC175" s="4803">
        <v>13</v>
      </c>
      <c r="AD175" s="4803"/>
      <c r="AE175" s="1788"/>
      <c r="AF175" s="1788">
        <v>13</v>
      </c>
      <c r="AI175" s="41"/>
      <c r="AJ175" s="41"/>
      <c r="AK175" s="41"/>
      <c r="AL175" s="461" t="s">
        <v>15</v>
      </c>
      <c r="AM175" s="2002"/>
      <c r="AN175" s="2002">
        <v>1</v>
      </c>
      <c r="AO175" s="2002"/>
      <c r="AP175" s="2002"/>
      <c r="AQ175" s="2002"/>
      <c r="AR175" s="2002"/>
      <c r="AS175" s="2002">
        <v>7</v>
      </c>
      <c r="AT175" s="2002">
        <v>7</v>
      </c>
      <c r="AU175" s="2480"/>
      <c r="AV175" s="2480"/>
      <c r="AW175" s="2480">
        <v>15</v>
      </c>
      <c r="AX175" s="635">
        <f>+(AW174+AW172)/AW175</f>
        <v>0.46666666666666667</v>
      </c>
      <c r="AY175" s="1977"/>
      <c r="AZ175" s="42"/>
      <c r="BA175" s="42"/>
      <c r="BB175" s="42"/>
      <c r="BC175" s="42" t="s">
        <v>1236</v>
      </c>
      <c r="BD175" s="1993"/>
      <c r="BE175" s="1993">
        <v>1</v>
      </c>
      <c r="BF175" s="1993">
        <v>3</v>
      </c>
      <c r="BG175" s="1993">
        <v>0</v>
      </c>
      <c r="BH175" s="1993">
        <v>1</v>
      </c>
      <c r="BI175" s="1993">
        <v>1</v>
      </c>
      <c r="BJ175" s="1993">
        <v>0</v>
      </c>
      <c r="BK175" s="1993">
        <v>0</v>
      </c>
      <c r="BL175" s="1993">
        <v>0</v>
      </c>
      <c r="BM175" s="70"/>
      <c r="BN175" s="70"/>
      <c r="BO175" s="70">
        <v>6</v>
      </c>
      <c r="BR175" s="105"/>
      <c r="BS175" s="105"/>
      <c r="BT175" s="41"/>
      <c r="BU175" s="41" t="s">
        <v>1344</v>
      </c>
      <c r="BV175" s="1659"/>
      <c r="BW175" s="1659">
        <v>0</v>
      </c>
      <c r="BX175" s="1659"/>
      <c r="BY175" s="1659"/>
      <c r="BZ175" s="1659"/>
      <c r="CA175" s="1659"/>
      <c r="CB175" s="1659">
        <v>8</v>
      </c>
      <c r="CC175" s="1659">
        <v>2</v>
      </c>
      <c r="CD175" s="1659">
        <v>0</v>
      </c>
      <c r="CE175" s="105"/>
      <c r="CF175" s="105"/>
      <c r="CG175" s="105">
        <v>10</v>
      </c>
      <c r="CH175" s="105"/>
      <c r="CJ175" s="1359"/>
      <c r="CK175" s="1359"/>
      <c r="CL175" s="1360" t="s">
        <v>129</v>
      </c>
      <c r="CM175" s="1361" t="s">
        <v>1230</v>
      </c>
      <c r="CN175" s="1363">
        <v>0</v>
      </c>
      <c r="CO175" s="1362"/>
      <c r="CP175" s="1362"/>
      <c r="CQ175" s="1362"/>
      <c r="CR175" s="1362"/>
      <c r="CS175" s="1363">
        <v>0</v>
      </c>
      <c r="CT175" s="1363">
        <v>1</v>
      </c>
      <c r="CU175" s="1363">
        <v>1</v>
      </c>
      <c r="CV175" s="686"/>
      <c r="CW175" s="686"/>
      <c r="CX175" s="687">
        <v>2</v>
      </c>
      <c r="CY175" s="41"/>
      <c r="DA175" s="602"/>
      <c r="DB175" s="602"/>
      <c r="DC175" s="603"/>
      <c r="DD175" s="630" t="s">
        <v>110</v>
      </c>
      <c r="DE175" s="632">
        <v>10</v>
      </c>
      <c r="DF175" s="632">
        <v>6</v>
      </c>
      <c r="DG175" s="632">
        <v>2</v>
      </c>
      <c r="DH175" s="632">
        <v>1</v>
      </c>
      <c r="DI175" s="632">
        <v>1</v>
      </c>
      <c r="DJ175" s="632">
        <v>41</v>
      </c>
      <c r="DK175" s="632">
        <v>94</v>
      </c>
      <c r="DL175" s="632">
        <v>103</v>
      </c>
      <c r="DM175" s="634">
        <v>13</v>
      </c>
      <c r="DN175" s="634">
        <v>10</v>
      </c>
      <c r="DO175" s="634">
        <v>281</v>
      </c>
      <c r="DP175" s="635">
        <f>+(DO171+DO174)/DO175</f>
        <v>0.44483985765124556</v>
      </c>
      <c r="DR175" s="608"/>
      <c r="DS175" s="608"/>
      <c r="DT175" s="608"/>
      <c r="DU175" s="609" t="s">
        <v>1235</v>
      </c>
      <c r="DV175" s="611">
        <v>0</v>
      </c>
      <c r="DW175" s="611">
        <v>0</v>
      </c>
      <c r="DX175" s="610"/>
      <c r="DY175" s="611">
        <v>4</v>
      </c>
      <c r="DZ175" s="610"/>
      <c r="EA175" s="610"/>
      <c r="EB175" s="610"/>
      <c r="EC175" s="610"/>
      <c r="ED175" s="610"/>
      <c r="EE175" s="612"/>
      <c r="EF175" s="612"/>
      <c r="EG175" s="613">
        <v>4</v>
      </c>
      <c r="EH175" s="614"/>
      <c r="EJ175" s="615"/>
      <c r="EK175" s="615"/>
      <c r="EL175" s="615"/>
      <c r="EM175" s="616" t="s">
        <v>1235</v>
      </c>
      <c r="EN175" s="617"/>
      <c r="EO175" s="617"/>
      <c r="EP175" s="617"/>
      <c r="EQ175" s="617"/>
      <c r="ER175" s="618">
        <v>0</v>
      </c>
      <c r="ES175" s="618">
        <v>6</v>
      </c>
      <c r="ET175" s="617"/>
      <c r="EU175" s="617"/>
      <c r="EV175" s="617"/>
      <c r="EW175" s="617"/>
      <c r="EX175" s="618">
        <v>6</v>
      </c>
      <c r="EY175" s="515"/>
      <c r="FA175" s="70"/>
      <c r="FQ175" s="42"/>
      <c r="FR175" s="516"/>
      <c r="FS175" s="516"/>
      <c r="FT175" s="516"/>
      <c r="FU175" s="516" t="s">
        <v>1240</v>
      </c>
      <c r="FV175" s="516">
        <v>0</v>
      </c>
      <c r="FW175" s="516">
        <v>0</v>
      </c>
      <c r="FX175" s="516">
        <v>0</v>
      </c>
      <c r="FY175" s="516">
        <v>0</v>
      </c>
      <c r="FZ175" s="516">
        <v>0</v>
      </c>
      <c r="GA175" s="516">
        <v>0</v>
      </c>
      <c r="GB175" s="516">
        <v>5</v>
      </c>
      <c r="GC175" s="516">
        <v>0</v>
      </c>
      <c r="GD175" s="516">
        <v>0</v>
      </c>
      <c r="GE175" s="516">
        <v>0</v>
      </c>
      <c r="GF175" s="516">
        <v>0</v>
      </c>
      <c r="GG175" s="517">
        <v>5</v>
      </c>
      <c r="GH175" s="619"/>
      <c r="GI175" s="518"/>
    </row>
    <row r="176" spans="3:191">
      <c r="C176" s="4800" t="s">
        <v>2939</v>
      </c>
      <c r="D176" s="4800" t="s">
        <v>1235</v>
      </c>
      <c r="E176" s="4606"/>
      <c r="F176" s="4606"/>
      <c r="G176" s="4606"/>
      <c r="H176" s="4606"/>
      <c r="I176" s="4606"/>
      <c r="J176" s="4606"/>
      <c r="K176" s="4606">
        <v>0</v>
      </c>
      <c r="L176" s="4606">
        <v>1</v>
      </c>
      <c r="M176" s="4606"/>
      <c r="N176" s="2552"/>
      <c r="O176" s="2552"/>
      <c r="P176" s="2552">
        <v>1</v>
      </c>
      <c r="Q176" s="2552"/>
      <c r="R176" s="2552"/>
      <c r="V176" s="1793" t="s">
        <v>15</v>
      </c>
      <c r="W176" s="4804"/>
      <c r="X176" s="4804"/>
      <c r="Y176" s="4804"/>
      <c r="Z176" s="4804"/>
      <c r="AA176" s="4804"/>
      <c r="AB176" s="4804">
        <v>1</v>
      </c>
      <c r="AC176" s="4804">
        <v>14</v>
      </c>
      <c r="AD176" s="4804"/>
      <c r="AE176" s="4702"/>
      <c r="AF176" s="4702">
        <v>15</v>
      </c>
      <c r="AG176" s="4703">
        <f>+AF174/AF176</f>
        <v>0.13333333333333333</v>
      </c>
      <c r="AI176" s="41"/>
      <c r="AJ176" s="41"/>
      <c r="AK176" s="41" t="s">
        <v>129</v>
      </c>
      <c r="AL176" s="41" t="s">
        <v>1230</v>
      </c>
      <c r="AM176" s="2001">
        <v>0</v>
      </c>
      <c r="AN176" s="2001"/>
      <c r="AO176" s="2001">
        <v>0</v>
      </c>
      <c r="AP176" s="2001"/>
      <c r="AQ176" s="2001"/>
      <c r="AR176" s="2001">
        <v>0</v>
      </c>
      <c r="AS176" s="2001">
        <v>1</v>
      </c>
      <c r="AT176" s="2001">
        <v>0</v>
      </c>
      <c r="AU176" s="105"/>
      <c r="AV176" s="105"/>
      <c r="AW176" s="105">
        <v>1</v>
      </c>
      <c r="AX176" s="41"/>
      <c r="AZ176" s="42"/>
      <c r="BA176" s="42"/>
      <c r="BB176" s="42"/>
      <c r="BC176" s="42" t="s">
        <v>1239</v>
      </c>
      <c r="BD176" s="1993"/>
      <c r="BE176" s="1993">
        <v>0</v>
      </c>
      <c r="BF176" s="1993">
        <v>0</v>
      </c>
      <c r="BG176" s="1993">
        <v>0</v>
      </c>
      <c r="BH176" s="1993">
        <v>0</v>
      </c>
      <c r="BI176" s="1993">
        <v>0</v>
      </c>
      <c r="BJ176" s="1993">
        <v>0</v>
      </c>
      <c r="BK176" s="1993">
        <v>0</v>
      </c>
      <c r="BL176" s="1993">
        <v>2</v>
      </c>
      <c r="BM176" s="70"/>
      <c r="BN176" s="70"/>
      <c r="BO176" s="70">
        <v>2</v>
      </c>
      <c r="BR176" s="105"/>
      <c r="BS176" s="105"/>
      <c r="BT176" s="41"/>
      <c r="BU176" s="461" t="s">
        <v>15</v>
      </c>
      <c r="BV176" s="1660"/>
      <c r="BW176" s="1660">
        <v>1</v>
      </c>
      <c r="BX176" s="1660"/>
      <c r="BY176" s="1660"/>
      <c r="BZ176" s="1660"/>
      <c r="CA176" s="1660"/>
      <c r="CB176" s="1660">
        <v>9</v>
      </c>
      <c r="CC176" s="1660">
        <v>4</v>
      </c>
      <c r="CD176" s="1660">
        <v>5</v>
      </c>
      <c r="CE176" s="96"/>
      <c r="CF176" s="96"/>
      <c r="CG176" s="96">
        <v>19</v>
      </c>
      <c r="CH176" s="635">
        <f>+(CG173+CG175)/CG176</f>
        <v>0.57894736842105265</v>
      </c>
      <c r="CJ176" s="1359"/>
      <c r="CK176" s="1359"/>
      <c r="CL176" s="1360"/>
      <c r="CM176" s="1361" t="s">
        <v>1231</v>
      </c>
      <c r="CN176" s="1363">
        <v>1</v>
      </c>
      <c r="CO176" s="1362"/>
      <c r="CP176" s="1362"/>
      <c r="CQ176" s="1362"/>
      <c r="CR176" s="1362"/>
      <c r="CS176" s="1363">
        <v>0</v>
      </c>
      <c r="CT176" s="1363">
        <v>2</v>
      </c>
      <c r="CU176" s="1363">
        <v>0</v>
      </c>
      <c r="CV176" s="686"/>
      <c r="CW176" s="686"/>
      <c r="CX176" s="687">
        <v>3</v>
      </c>
      <c r="CY176" s="41"/>
      <c r="DA176" s="602" t="s">
        <v>48</v>
      </c>
      <c r="DB176" s="602" t="s">
        <v>16</v>
      </c>
      <c r="DC176" s="603" t="s">
        <v>132</v>
      </c>
      <c r="DD176" s="604" t="s">
        <v>1230</v>
      </c>
      <c r="DE176" s="606">
        <v>0</v>
      </c>
      <c r="DF176" s="606">
        <v>0</v>
      </c>
      <c r="DG176" s="606">
        <v>1</v>
      </c>
      <c r="DH176" s="606">
        <v>0</v>
      </c>
      <c r="DI176" s="606">
        <v>0</v>
      </c>
      <c r="DJ176" s="606">
        <v>0</v>
      </c>
      <c r="DK176" s="606">
        <v>0</v>
      </c>
      <c r="DL176" s="606">
        <v>0</v>
      </c>
      <c r="DM176" s="602"/>
      <c r="DN176" s="602"/>
      <c r="DO176" s="607">
        <v>1</v>
      </c>
      <c r="DP176" s="105"/>
      <c r="DR176" s="608"/>
      <c r="DS176" s="608"/>
      <c r="DT176" s="608"/>
      <c r="DU176" s="609" t="s">
        <v>1240</v>
      </c>
      <c r="DV176" s="611">
        <v>0</v>
      </c>
      <c r="DW176" s="611">
        <v>0</v>
      </c>
      <c r="DX176" s="610"/>
      <c r="DY176" s="611">
        <v>5</v>
      </c>
      <c r="DZ176" s="610"/>
      <c r="EA176" s="610"/>
      <c r="EB176" s="610"/>
      <c r="EC176" s="610"/>
      <c r="ED176" s="610"/>
      <c r="EE176" s="612"/>
      <c r="EF176" s="612"/>
      <c r="EG176" s="613">
        <v>5</v>
      </c>
      <c r="EH176" s="614"/>
      <c r="EJ176" s="615"/>
      <c r="EK176" s="615"/>
      <c r="EL176" s="615"/>
      <c r="EM176" s="616" t="s">
        <v>1240</v>
      </c>
      <c r="EN176" s="617"/>
      <c r="EO176" s="617"/>
      <c r="EP176" s="617"/>
      <c r="EQ176" s="617"/>
      <c r="ER176" s="618">
        <v>0</v>
      </c>
      <c r="ES176" s="618">
        <v>1</v>
      </c>
      <c r="ET176" s="617"/>
      <c r="EU176" s="617"/>
      <c r="EV176" s="617"/>
      <c r="EW176" s="617"/>
      <c r="EX176" s="618">
        <v>1</v>
      </c>
      <c r="EY176" s="515"/>
      <c r="FA176" s="70"/>
      <c r="FQ176" s="42"/>
      <c r="FR176" s="516"/>
      <c r="FS176" s="516"/>
      <c r="FT176" s="516"/>
      <c r="FU176" s="516" t="s">
        <v>1344</v>
      </c>
      <c r="FV176" s="516">
        <v>0</v>
      </c>
      <c r="FW176" s="516">
        <v>0</v>
      </c>
      <c r="FX176" s="516">
        <v>0</v>
      </c>
      <c r="FY176" s="516">
        <v>0</v>
      </c>
      <c r="FZ176" s="516">
        <v>0</v>
      </c>
      <c r="GA176" s="516">
        <v>0</v>
      </c>
      <c r="GB176" s="516">
        <v>5</v>
      </c>
      <c r="GC176" s="516">
        <v>0</v>
      </c>
      <c r="GD176" s="516">
        <v>0</v>
      </c>
      <c r="GE176" s="516">
        <v>0</v>
      </c>
      <c r="GF176" s="516">
        <v>0</v>
      </c>
      <c r="GG176" s="517">
        <v>5</v>
      </c>
      <c r="GH176" s="619"/>
      <c r="GI176" s="518"/>
    </row>
    <row r="177" spans="2:191" ht="15" thickBot="1">
      <c r="D177" s="4800" t="s">
        <v>1344</v>
      </c>
      <c r="E177" s="4606"/>
      <c r="F177" s="4606"/>
      <c r="G177" s="4606"/>
      <c r="H177" s="4606"/>
      <c r="I177" s="4606"/>
      <c r="J177" s="4606"/>
      <c r="K177" s="4606">
        <v>8</v>
      </c>
      <c r="L177" s="4606">
        <v>0</v>
      </c>
      <c r="M177" s="4606"/>
      <c r="N177" s="2552"/>
      <c r="O177" s="2552"/>
      <c r="P177" s="2552">
        <v>8</v>
      </c>
      <c r="Q177" s="2552"/>
      <c r="R177" s="2552"/>
      <c r="U177" s="37" t="s">
        <v>129</v>
      </c>
      <c r="V177" s="37" t="s">
        <v>1230</v>
      </c>
      <c r="W177" s="4803"/>
      <c r="X177" s="4803"/>
      <c r="Y177" s="4803"/>
      <c r="Z177" s="4803"/>
      <c r="AA177" s="4803"/>
      <c r="AB177" s="4803">
        <v>0</v>
      </c>
      <c r="AC177" s="4803">
        <v>1</v>
      </c>
      <c r="AD177" s="4803"/>
      <c r="AE177" s="1788"/>
      <c r="AF177" s="1788">
        <v>1</v>
      </c>
      <c r="AI177" s="41"/>
      <c r="AJ177" s="41"/>
      <c r="AK177" s="41"/>
      <c r="AL177" s="41" t="s">
        <v>1231</v>
      </c>
      <c r="AM177" s="2001">
        <v>0</v>
      </c>
      <c r="AN177" s="2001"/>
      <c r="AO177" s="2001">
        <v>1</v>
      </c>
      <c r="AP177" s="2001"/>
      <c r="AQ177" s="2001"/>
      <c r="AR177" s="2001">
        <v>0</v>
      </c>
      <c r="AS177" s="2001">
        <v>0</v>
      </c>
      <c r="AT177" s="2001">
        <v>0</v>
      </c>
      <c r="AU177" s="105"/>
      <c r="AV177" s="105"/>
      <c r="AW177" s="105">
        <v>1</v>
      </c>
      <c r="AX177" s="41"/>
      <c r="AZ177" s="42"/>
      <c r="BA177" s="42"/>
      <c r="BB177" s="42"/>
      <c r="BC177" s="42" t="s">
        <v>1344</v>
      </c>
      <c r="BD177" s="1993"/>
      <c r="BE177" s="1993">
        <v>0</v>
      </c>
      <c r="BF177" s="1993">
        <v>0</v>
      </c>
      <c r="BG177" s="1993">
        <v>10</v>
      </c>
      <c r="BH177" s="1993">
        <v>2</v>
      </c>
      <c r="BI177" s="1993">
        <v>0</v>
      </c>
      <c r="BJ177" s="1993">
        <v>5</v>
      </c>
      <c r="BK177" s="1993">
        <v>0</v>
      </c>
      <c r="BL177" s="1993">
        <v>0</v>
      </c>
      <c r="BM177" s="70"/>
      <c r="BN177" s="70"/>
      <c r="BO177" s="70">
        <v>17</v>
      </c>
      <c r="BR177" s="105"/>
      <c r="BS177" s="105"/>
      <c r="BT177" s="41" t="s">
        <v>130</v>
      </c>
      <c r="BU177" s="41" t="s">
        <v>1231</v>
      </c>
      <c r="BV177" s="1659"/>
      <c r="BW177" s="1659"/>
      <c r="BX177" s="1659">
        <v>1</v>
      </c>
      <c r="BY177" s="1659"/>
      <c r="BZ177" s="1659"/>
      <c r="CA177" s="1659">
        <v>1</v>
      </c>
      <c r="CB177" s="1659">
        <v>0</v>
      </c>
      <c r="CC177" s="1659">
        <v>1</v>
      </c>
      <c r="CD177" s="1659">
        <v>0</v>
      </c>
      <c r="CE177" s="105"/>
      <c r="CF177" s="105"/>
      <c r="CG177" s="105">
        <v>3</v>
      </c>
      <c r="CH177" s="105"/>
      <c r="CJ177" s="1359"/>
      <c r="CK177" s="1359"/>
      <c r="CL177" s="1360"/>
      <c r="CM177" s="1361" t="s">
        <v>1235</v>
      </c>
      <c r="CN177" s="1363">
        <v>0</v>
      </c>
      <c r="CO177" s="1362"/>
      <c r="CP177" s="1362"/>
      <c r="CQ177" s="1362"/>
      <c r="CR177" s="1362"/>
      <c r="CS177" s="1363">
        <v>1</v>
      </c>
      <c r="CT177" s="1363">
        <v>1</v>
      </c>
      <c r="CU177" s="1363">
        <v>0</v>
      </c>
      <c r="CV177" s="686"/>
      <c r="CW177" s="686"/>
      <c r="CX177" s="687">
        <v>2</v>
      </c>
      <c r="CY177" s="41"/>
      <c r="DA177" s="602"/>
      <c r="DB177" s="602"/>
      <c r="DC177" s="603"/>
      <c r="DD177" s="604" t="s">
        <v>1231</v>
      </c>
      <c r="DE177" s="606">
        <v>1</v>
      </c>
      <c r="DF177" s="606">
        <v>1</v>
      </c>
      <c r="DG177" s="606">
        <v>0</v>
      </c>
      <c r="DH177" s="606">
        <v>1</v>
      </c>
      <c r="DI177" s="606">
        <v>2</v>
      </c>
      <c r="DJ177" s="606">
        <v>26</v>
      </c>
      <c r="DK177" s="606">
        <v>4</v>
      </c>
      <c r="DL177" s="606">
        <v>0</v>
      </c>
      <c r="DM177" s="602"/>
      <c r="DN177" s="602"/>
      <c r="DO177" s="607">
        <v>35</v>
      </c>
      <c r="DP177" s="105"/>
      <c r="DR177" s="608"/>
      <c r="DS177" s="608"/>
      <c r="DT177" s="608"/>
      <c r="DU177" s="609" t="s">
        <v>1344</v>
      </c>
      <c r="DV177" s="611">
        <v>1</v>
      </c>
      <c r="DW177" s="611">
        <v>0</v>
      </c>
      <c r="DX177" s="610"/>
      <c r="DY177" s="611">
        <v>4</v>
      </c>
      <c r="DZ177" s="610"/>
      <c r="EA177" s="610"/>
      <c r="EB177" s="610"/>
      <c r="EC177" s="610"/>
      <c r="ED177" s="610"/>
      <c r="EE177" s="612"/>
      <c r="EF177" s="612"/>
      <c r="EG177" s="613">
        <v>5</v>
      </c>
      <c r="EH177" s="614"/>
      <c r="EJ177" s="615"/>
      <c r="EK177" s="615"/>
      <c r="EL177" s="615"/>
      <c r="EM177" s="616" t="s">
        <v>1344</v>
      </c>
      <c r="EN177" s="617"/>
      <c r="EO177" s="617"/>
      <c r="EP177" s="617"/>
      <c r="EQ177" s="617"/>
      <c r="ER177" s="618">
        <v>0</v>
      </c>
      <c r="ES177" s="618">
        <v>5</v>
      </c>
      <c r="ET177" s="617"/>
      <c r="EU177" s="617"/>
      <c r="EV177" s="617"/>
      <c r="EW177" s="617"/>
      <c r="EX177" s="618">
        <v>5</v>
      </c>
      <c r="EY177" s="515"/>
      <c r="FA177" s="70"/>
      <c r="FQ177" s="42"/>
      <c r="FR177" s="636"/>
      <c r="FS177" s="636"/>
      <c r="FT177" s="636"/>
      <c r="FU177" s="539" t="s">
        <v>15</v>
      </c>
      <c r="FV177" s="539">
        <v>0</v>
      </c>
      <c r="FW177" s="539">
        <v>0</v>
      </c>
      <c r="FX177" s="539">
        <v>0</v>
      </c>
      <c r="FY177" s="539">
        <v>0</v>
      </c>
      <c r="FZ177" s="539">
        <v>0</v>
      </c>
      <c r="GA177" s="539">
        <v>1</v>
      </c>
      <c r="GB177" s="539">
        <v>17</v>
      </c>
      <c r="GC177" s="539">
        <v>0</v>
      </c>
      <c r="GD177" s="539">
        <v>0</v>
      </c>
      <c r="GE177" s="539">
        <v>0</v>
      </c>
      <c r="GF177" s="539">
        <v>0</v>
      </c>
      <c r="GG177" s="540">
        <v>18</v>
      </c>
      <c r="GH177" s="637">
        <f>+(GG176+GG175+GG173)/GG177</f>
        <v>0.77777777777777779</v>
      </c>
      <c r="GI177" s="493">
        <f>+GG173+GG175+GG176</f>
        <v>14</v>
      </c>
    </row>
    <row r="178" spans="2:191" ht="15" thickBot="1">
      <c r="D178" s="32" t="s">
        <v>15</v>
      </c>
      <c r="E178" s="4607"/>
      <c r="F178" s="4607"/>
      <c r="G178" s="4607"/>
      <c r="H178" s="4607"/>
      <c r="I178" s="4607"/>
      <c r="J178" s="4607"/>
      <c r="K178" s="4607">
        <v>8</v>
      </c>
      <c r="L178" s="4607">
        <v>1</v>
      </c>
      <c r="M178" s="4607"/>
      <c r="N178" s="4583"/>
      <c r="O178" s="4583"/>
      <c r="P178" s="4583">
        <v>9</v>
      </c>
      <c r="Q178" s="1977">
        <f>+(P176+P177)/P178</f>
        <v>1</v>
      </c>
      <c r="R178" s="1977"/>
      <c r="V178" s="37" t="s">
        <v>1231</v>
      </c>
      <c r="W178" s="4803"/>
      <c r="X178" s="4803"/>
      <c r="Y178" s="4803"/>
      <c r="Z178" s="4803"/>
      <c r="AA178" s="4803"/>
      <c r="AB178" s="4803">
        <v>2</v>
      </c>
      <c r="AC178" s="4803">
        <v>0</v>
      </c>
      <c r="AD178" s="4803"/>
      <c r="AE178" s="1788"/>
      <c r="AF178" s="1788">
        <v>2</v>
      </c>
      <c r="AI178" s="41"/>
      <c r="AJ178" s="41"/>
      <c r="AK178" s="41"/>
      <c r="AL178" s="41" t="s">
        <v>1233</v>
      </c>
      <c r="AM178" s="2001">
        <v>1</v>
      </c>
      <c r="AN178" s="2001"/>
      <c r="AO178" s="2001">
        <v>0</v>
      </c>
      <c r="AP178" s="2001"/>
      <c r="AQ178" s="2001"/>
      <c r="AR178" s="2001">
        <v>0</v>
      </c>
      <c r="AS178" s="2001">
        <v>0</v>
      </c>
      <c r="AT178" s="2001">
        <v>0</v>
      </c>
      <c r="AU178" s="105"/>
      <c r="AV178" s="105"/>
      <c r="AW178" s="105">
        <v>1</v>
      </c>
      <c r="AX178" s="41"/>
      <c r="AZ178" s="42"/>
      <c r="BA178" s="42"/>
      <c r="BB178" s="42"/>
      <c r="BC178" s="484" t="s">
        <v>545</v>
      </c>
      <c r="BD178" s="1994"/>
      <c r="BE178" s="1994">
        <v>1</v>
      </c>
      <c r="BF178" s="1994">
        <v>3</v>
      </c>
      <c r="BG178" s="1994">
        <v>10</v>
      </c>
      <c r="BH178" s="1994">
        <v>5</v>
      </c>
      <c r="BI178" s="1994">
        <v>1</v>
      </c>
      <c r="BJ178" s="1994">
        <v>24</v>
      </c>
      <c r="BK178" s="1994">
        <v>7</v>
      </c>
      <c r="BL178" s="1994">
        <v>2</v>
      </c>
      <c r="BM178" s="454"/>
      <c r="BN178" s="454"/>
      <c r="BO178" s="454">
        <v>53</v>
      </c>
      <c r="BP178" s="2485">
        <f>+(BO174+BO177)/BO178</f>
        <v>0.79245283018867929</v>
      </c>
      <c r="BR178" s="105"/>
      <c r="BS178" s="105"/>
      <c r="BT178" s="41"/>
      <c r="BU178" s="41" t="s">
        <v>1235</v>
      </c>
      <c r="BV178" s="1659"/>
      <c r="BW178" s="1659"/>
      <c r="BX178" s="1659">
        <v>0</v>
      </c>
      <c r="BY178" s="1659"/>
      <c r="BZ178" s="1659"/>
      <c r="CA178" s="1659">
        <v>0</v>
      </c>
      <c r="CB178" s="1659">
        <v>0</v>
      </c>
      <c r="CC178" s="1659">
        <v>3</v>
      </c>
      <c r="CD178" s="1659">
        <v>0</v>
      </c>
      <c r="CE178" s="105"/>
      <c r="CF178" s="105"/>
      <c r="CG178" s="105">
        <v>3</v>
      </c>
      <c r="CH178" s="105"/>
      <c r="CJ178" s="1359"/>
      <c r="CK178" s="1359"/>
      <c r="CL178" s="1360"/>
      <c r="CM178" s="1361" t="s">
        <v>1239</v>
      </c>
      <c r="CN178" s="1363">
        <v>0</v>
      </c>
      <c r="CO178" s="1362"/>
      <c r="CP178" s="1362"/>
      <c r="CQ178" s="1362"/>
      <c r="CR178" s="1362"/>
      <c r="CS178" s="1363">
        <v>0</v>
      </c>
      <c r="CT178" s="1363">
        <v>0</v>
      </c>
      <c r="CU178" s="1363">
        <v>6</v>
      </c>
      <c r="CV178" s="686"/>
      <c r="CW178" s="686"/>
      <c r="CX178" s="687">
        <v>6</v>
      </c>
      <c r="CY178" s="41"/>
      <c r="DA178" s="602"/>
      <c r="DB178" s="602"/>
      <c r="DC178" s="603"/>
      <c r="DD178" s="604" t="s">
        <v>1239</v>
      </c>
      <c r="DE178" s="606">
        <v>0</v>
      </c>
      <c r="DF178" s="606">
        <v>0</v>
      </c>
      <c r="DG178" s="606">
        <v>0</v>
      </c>
      <c r="DH178" s="606">
        <v>0</v>
      </c>
      <c r="DI178" s="606">
        <v>0</v>
      </c>
      <c r="DJ178" s="606">
        <v>0</v>
      </c>
      <c r="DK178" s="606">
        <v>1</v>
      </c>
      <c r="DL178" s="606">
        <v>1</v>
      </c>
      <c r="DM178" s="602"/>
      <c r="DN178" s="602"/>
      <c r="DO178" s="607">
        <v>2</v>
      </c>
      <c r="DP178" s="105"/>
      <c r="DR178" s="608"/>
      <c r="DS178" s="608"/>
      <c r="DT178" s="608"/>
      <c r="DU178" s="620" t="s">
        <v>545</v>
      </c>
      <c r="DV178" s="622">
        <v>2</v>
      </c>
      <c r="DW178" s="622">
        <v>1</v>
      </c>
      <c r="DX178" s="621"/>
      <c r="DY178" s="622">
        <v>17</v>
      </c>
      <c r="DZ178" s="621"/>
      <c r="EA178" s="621"/>
      <c r="EB178" s="621"/>
      <c r="EC178" s="621"/>
      <c r="ED178" s="621"/>
      <c r="EE178" s="623"/>
      <c r="EF178" s="623"/>
      <c r="EG178" s="624">
        <v>20</v>
      </c>
      <c r="EH178" s="614">
        <f>+(EG177+EG176+EG175)/EG178</f>
        <v>0.7</v>
      </c>
      <c r="EJ178" s="638"/>
      <c r="EK178" s="638"/>
      <c r="EL178" s="638"/>
      <c r="EM178" s="639" t="s">
        <v>15</v>
      </c>
      <c r="EN178" s="640"/>
      <c r="EO178" s="640"/>
      <c r="EP178" s="640"/>
      <c r="EQ178" s="640"/>
      <c r="ER178" s="641">
        <v>2</v>
      </c>
      <c r="ES178" s="641">
        <v>13</v>
      </c>
      <c r="ET178" s="640"/>
      <c r="EU178" s="640"/>
      <c r="EV178" s="640"/>
      <c r="EW178" s="640"/>
      <c r="EX178" s="641">
        <v>15</v>
      </c>
      <c r="EY178" s="642">
        <f>+(EX177+EX176+EX175)/EX178</f>
        <v>0.8</v>
      </c>
      <c r="FA178" s="70"/>
      <c r="FQ178" s="42"/>
      <c r="FR178" s="516"/>
      <c r="FS178" s="516"/>
      <c r="FT178" s="516"/>
      <c r="FU178" s="516"/>
      <c r="FV178" s="516"/>
      <c r="FW178" s="516"/>
      <c r="FX178" s="516"/>
      <c r="FY178" s="516"/>
      <c r="FZ178" s="516"/>
      <c r="GA178" s="516"/>
      <c r="GB178" s="516"/>
      <c r="GC178" s="516"/>
      <c r="GD178" s="516"/>
      <c r="GE178" s="516"/>
      <c r="GF178" s="516"/>
      <c r="GG178" s="517"/>
      <c r="GH178" s="516"/>
      <c r="GI178" s="518"/>
    </row>
    <row r="179" spans="2:191">
      <c r="C179" s="4800" t="s">
        <v>545</v>
      </c>
      <c r="D179" s="4800" t="s">
        <v>1230</v>
      </c>
      <c r="E179" s="4606">
        <v>0</v>
      </c>
      <c r="F179" s="4606"/>
      <c r="G179" s="4606"/>
      <c r="H179" s="4606">
        <v>0</v>
      </c>
      <c r="I179" s="4606"/>
      <c r="J179" s="4606"/>
      <c r="K179" s="4606">
        <v>0</v>
      </c>
      <c r="L179" s="4606">
        <v>1</v>
      </c>
      <c r="M179" s="4606">
        <v>0</v>
      </c>
      <c r="N179" s="2552">
        <v>0</v>
      </c>
      <c r="O179" s="2552">
        <v>0</v>
      </c>
      <c r="P179" s="2552">
        <v>1</v>
      </c>
      <c r="Q179" s="2552"/>
      <c r="R179" s="2552"/>
      <c r="V179" s="37" t="s">
        <v>1235</v>
      </c>
      <c r="W179" s="4803"/>
      <c r="X179" s="4803"/>
      <c r="Y179" s="4803"/>
      <c r="Z179" s="4803"/>
      <c r="AA179" s="4803"/>
      <c r="AB179" s="4803">
        <v>10</v>
      </c>
      <c r="AC179" s="4803">
        <v>1</v>
      </c>
      <c r="AD179" s="4803"/>
      <c r="AE179" s="1788"/>
      <c r="AF179" s="1788">
        <v>11</v>
      </c>
      <c r="AI179" s="41"/>
      <c r="AJ179" s="41"/>
      <c r="AK179" s="41"/>
      <c r="AL179" s="41" t="s">
        <v>1239</v>
      </c>
      <c r="AM179" s="2001">
        <v>0</v>
      </c>
      <c r="AN179" s="2001"/>
      <c r="AO179" s="2001">
        <v>0</v>
      </c>
      <c r="AP179" s="2001"/>
      <c r="AQ179" s="2001"/>
      <c r="AR179" s="2001">
        <v>0</v>
      </c>
      <c r="AS179" s="2001">
        <v>0</v>
      </c>
      <c r="AT179" s="2001">
        <v>5</v>
      </c>
      <c r="AU179" s="105"/>
      <c r="AV179" s="105"/>
      <c r="AW179" s="105">
        <v>5</v>
      </c>
      <c r="AX179" s="41"/>
      <c r="AZ179" s="42"/>
      <c r="BA179" s="42" t="s">
        <v>41</v>
      </c>
      <c r="BB179" s="42" t="s">
        <v>443</v>
      </c>
      <c r="BC179" s="42" t="s">
        <v>1235</v>
      </c>
      <c r="BD179" s="1993"/>
      <c r="BE179" s="1993"/>
      <c r="BF179" s="1993"/>
      <c r="BG179" s="1993"/>
      <c r="BH179" s="1993"/>
      <c r="BI179" s="1993"/>
      <c r="BJ179" s="1993">
        <v>1</v>
      </c>
      <c r="BK179" s="1993">
        <v>4</v>
      </c>
      <c r="BL179" s="1993">
        <v>0</v>
      </c>
      <c r="BM179" s="70"/>
      <c r="BN179" s="70"/>
      <c r="BO179" s="70">
        <v>5</v>
      </c>
      <c r="BR179" s="105"/>
      <c r="BS179" s="105"/>
      <c r="BT179" s="41"/>
      <c r="BU179" s="41" t="s">
        <v>1239</v>
      </c>
      <c r="BV179" s="1659"/>
      <c r="BW179" s="1659"/>
      <c r="BX179" s="1659">
        <v>0</v>
      </c>
      <c r="BY179" s="1659"/>
      <c r="BZ179" s="1659"/>
      <c r="CA179" s="1659">
        <v>0</v>
      </c>
      <c r="CB179" s="1659">
        <v>0</v>
      </c>
      <c r="CC179" s="1659">
        <v>0</v>
      </c>
      <c r="CD179" s="1659">
        <v>2</v>
      </c>
      <c r="CE179" s="105"/>
      <c r="CF179" s="105"/>
      <c r="CG179" s="105">
        <v>2</v>
      </c>
      <c r="CH179" s="105"/>
      <c r="CJ179" s="1359"/>
      <c r="CK179" s="1359"/>
      <c r="CL179" s="1360"/>
      <c r="CM179" s="1361" t="s">
        <v>1344</v>
      </c>
      <c r="CN179" s="1363">
        <v>0</v>
      </c>
      <c r="CO179" s="1362"/>
      <c r="CP179" s="1362"/>
      <c r="CQ179" s="1362"/>
      <c r="CR179" s="1362"/>
      <c r="CS179" s="1363">
        <v>14</v>
      </c>
      <c r="CT179" s="1363">
        <v>1</v>
      </c>
      <c r="CU179" s="1363">
        <v>0</v>
      </c>
      <c r="CV179" s="686"/>
      <c r="CW179" s="686"/>
      <c r="CX179" s="687">
        <v>15</v>
      </c>
      <c r="CY179" s="41"/>
      <c r="DA179" s="602"/>
      <c r="DB179" s="602"/>
      <c r="DC179" s="603"/>
      <c r="DD179" s="604" t="s">
        <v>1240</v>
      </c>
      <c r="DE179" s="606">
        <v>0</v>
      </c>
      <c r="DF179" s="606">
        <v>0</v>
      </c>
      <c r="DG179" s="606">
        <v>0</v>
      </c>
      <c r="DH179" s="606">
        <v>0</v>
      </c>
      <c r="DI179" s="606">
        <v>0</v>
      </c>
      <c r="DJ179" s="606">
        <v>1</v>
      </c>
      <c r="DK179" s="606">
        <v>0</v>
      </c>
      <c r="DL179" s="606">
        <v>0</v>
      </c>
      <c r="DM179" s="602"/>
      <c r="DN179" s="602"/>
      <c r="DO179" s="607">
        <v>1</v>
      </c>
      <c r="DP179" s="105"/>
      <c r="DR179" s="608"/>
      <c r="DS179" s="608" t="s">
        <v>41</v>
      </c>
      <c r="DT179" s="608" t="s">
        <v>139</v>
      </c>
      <c r="DU179" s="609" t="s">
        <v>1231</v>
      </c>
      <c r="DV179" s="610"/>
      <c r="DW179" s="611">
        <v>1</v>
      </c>
      <c r="DX179" s="610"/>
      <c r="DY179" s="610"/>
      <c r="DZ179" s="610"/>
      <c r="EA179" s="610"/>
      <c r="EB179" s="611">
        <v>0</v>
      </c>
      <c r="EC179" s="611">
        <v>2</v>
      </c>
      <c r="ED179" s="610"/>
      <c r="EE179" s="612"/>
      <c r="EF179" s="612"/>
      <c r="EG179" s="613">
        <v>3</v>
      </c>
      <c r="EH179" s="614"/>
      <c r="FA179" s="70"/>
      <c r="FQ179" s="42"/>
      <c r="FR179" s="516"/>
      <c r="FS179" s="516"/>
      <c r="FT179" s="516"/>
      <c r="FU179" s="516"/>
      <c r="FV179" s="519">
        <f>+FV177+FV171+FV166+FV160+FV155+FV149+FV146+FV142+FV137+FV133+FV128+FV122+FV115+FV111+FV107+FV102+FV97+FV90+FV83+FV78+FV73+FV69+FV66+FV61+FV57+FV51+FV43+FV39+FV33+FV30+FV26+FV21+FV18+FV11</f>
        <v>1</v>
      </c>
      <c r="FW179" s="519">
        <f>+FW177+FW171+FW166+FW160+FW155+FW149+FW146+FW142+FW137+FW133+FW128+FW122+FW115+FW111+FW107+FW102+FW97+FW90+FW83+FW78+FW73+FW69+FW66+FW61+FW57+FW51+FW43+FW39+FW33+FW30+FW26+FW21+FW18+FW11</f>
        <v>3</v>
      </c>
      <c r="FX179" s="519">
        <f>+FX177+FX171+FX166+FX160+FX155+FX149+FX146+FX142+FX137+FX133+FX128+FX122+FX115+FX111+FX107+FX102+FX97+FX90+FX83+FX78+FX73+FX69+FX66+FX61+FX57+FX51+FX43+FX39+FX33+FX30+FX26+FX21+FX18+FX11</f>
        <v>13</v>
      </c>
      <c r="FY179" s="519">
        <f>+FY177+FY171+FY166+FY160+FY155+FY149+FY146+FY142+FY137+FY133+FY128+FY122+FY115+FY111+FY107+FY102+FY97+FY90+FY83+FY78+FY73+FY69+FY66+FY61+FY57+FY51+FY43+FY39+FY33+FY30+FY26+FY21+FY18+FY11</f>
        <v>35</v>
      </c>
      <c r="FZ179" s="519">
        <f>+FZ177+FZ171+FZ166+FZ160+FZ155+FZ149+FZ146+FZ142+FZ137+FZ133+FZ128+FZ122+FZ115+FZ111+FZ107+FZ102+FZ97+FZ90+FZ83+FZ78+FZ73+FZ69+FZ66+FZ61+FZ57+FZ51+FZ43+FZ39+FZ33+FZ30+FZ26+FZ21+FZ18+FZ11</f>
        <v>29</v>
      </c>
      <c r="GA179" s="519"/>
      <c r="GB179" s="519"/>
      <c r="GC179" s="519"/>
      <c r="GD179" s="519"/>
      <c r="GE179" s="519"/>
      <c r="GF179" s="519"/>
      <c r="GG179" s="579"/>
      <c r="GH179" s="516"/>
      <c r="GI179" s="518"/>
    </row>
    <row r="180" spans="2:191">
      <c r="D180" s="4800" t="s">
        <v>1231</v>
      </c>
      <c r="E180" s="4606">
        <v>0</v>
      </c>
      <c r="F180" s="4606"/>
      <c r="G180" s="4606"/>
      <c r="H180" s="4606">
        <v>0</v>
      </c>
      <c r="I180" s="4606"/>
      <c r="J180" s="4606"/>
      <c r="K180" s="4606">
        <v>2</v>
      </c>
      <c r="L180" s="4606">
        <v>4</v>
      </c>
      <c r="M180" s="4606">
        <v>0</v>
      </c>
      <c r="N180" s="2552">
        <v>6</v>
      </c>
      <c r="O180" s="2552">
        <v>0</v>
      </c>
      <c r="P180" s="2552">
        <v>12</v>
      </c>
      <c r="Q180" s="2552"/>
      <c r="R180" s="2552"/>
      <c r="V180" s="37" t="s">
        <v>1239</v>
      </c>
      <c r="W180" s="4803"/>
      <c r="X180" s="4803"/>
      <c r="Y180" s="4803"/>
      <c r="Z180" s="4803"/>
      <c r="AA180" s="4803"/>
      <c r="AB180" s="4803">
        <v>0</v>
      </c>
      <c r="AC180" s="4803">
        <v>2</v>
      </c>
      <c r="AD180" s="4803"/>
      <c r="AE180" s="1788"/>
      <c r="AF180" s="1788">
        <v>2</v>
      </c>
      <c r="AI180" s="41"/>
      <c r="AJ180" s="41"/>
      <c r="AK180" s="41"/>
      <c r="AL180" s="41" t="s">
        <v>1344</v>
      </c>
      <c r="AM180" s="2001">
        <v>0</v>
      </c>
      <c r="AN180" s="2001"/>
      <c r="AO180" s="2001">
        <v>0</v>
      </c>
      <c r="AP180" s="2001"/>
      <c r="AQ180" s="2001"/>
      <c r="AR180" s="2001">
        <v>7</v>
      </c>
      <c r="AS180" s="2001">
        <v>0</v>
      </c>
      <c r="AT180" s="2001">
        <v>0</v>
      </c>
      <c r="AU180" s="105"/>
      <c r="AV180" s="105"/>
      <c r="AW180" s="105">
        <v>7</v>
      </c>
      <c r="AX180" s="41"/>
      <c r="AZ180" s="42"/>
      <c r="BA180" s="42"/>
      <c r="BB180" s="42"/>
      <c r="BC180" s="42" t="s">
        <v>1239</v>
      </c>
      <c r="BD180" s="1993"/>
      <c r="BE180" s="1993"/>
      <c r="BF180" s="1993"/>
      <c r="BG180" s="1993"/>
      <c r="BH180" s="1993"/>
      <c r="BI180" s="1993"/>
      <c r="BJ180" s="1993">
        <v>0</v>
      </c>
      <c r="BK180" s="1993">
        <v>0</v>
      </c>
      <c r="BL180" s="1993">
        <v>9</v>
      </c>
      <c r="BM180" s="70"/>
      <c r="BN180" s="70"/>
      <c r="BO180" s="70">
        <v>9</v>
      </c>
      <c r="BR180" s="105"/>
      <c r="BS180" s="105"/>
      <c r="BT180" s="41"/>
      <c r="BU180" s="41" t="s">
        <v>1344</v>
      </c>
      <c r="BV180" s="1659"/>
      <c r="BW180" s="1659"/>
      <c r="BX180" s="1659">
        <v>0</v>
      </c>
      <c r="BY180" s="1659"/>
      <c r="BZ180" s="1659"/>
      <c r="CA180" s="1659">
        <v>0</v>
      </c>
      <c r="CB180" s="1659">
        <v>3</v>
      </c>
      <c r="CC180" s="1659">
        <v>6</v>
      </c>
      <c r="CD180" s="1659">
        <v>0</v>
      </c>
      <c r="CE180" s="105"/>
      <c r="CF180" s="105"/>
      <c r="CG180" s="105">
        <v>9</v>
      </c>
      <c r="CH180" s="105"/>
      <c r="CJ180" s="1359"/>
      <c r="CK180" s="1359"/>
      <c r="CL180" s="1360"/>
      <c r="CM180" s="483" t="s">
        <v>15</v>
      </c>
      <c r="CN180" s="1365">
        <v>1</v>
      </c>
      <c r="CO180" s="1364"/>
      <c r="CP180" s="1364"/>
      <c r="CQ180" s="1364"/>
      <c r="CR180" s="1364"/>
      <c r="CS180" s="1365">
        <v>15</v>
      </c>
      <c r="CT180" s="1365">
        <v>5</v>
      </c>
      <c r="CU180" s="1365">
        <v>7</v>
      </c>
      <c r="CV180" s="695"/>
      <c r="CW180" s="695"/>
      <c r="CX180" s="696">
        <v>28</v>
      </c>
      <c r="CY180" s="1325">
        <f>+(CX177+CX179)/CX180</f>
        <v>0.6071428571428571</v>
      </c>
      <c r="DA180" s="602"/>
      <c r="DB180" s="602"/>
      <c r="DC180" s="603"/>
      <c r="DD180" s="630" t="s">
        <v>15</v>
      </c>
      <c r="DE180" s="632">
        <v>1</v>
      </c>
      <c r="DF180" s="632">
        <v>1</v>
      </c>
      <c r="DG180" s="632">
        <v>1</v>
      </c>
      <c r="DH180" s="632">
        <v>1</v>
      </c>
      <c r="DI180" s="632">
        <v>2</v>
      </c>
      <c r="DJ180" s="632">
        <v>27</v>
      </c>
      <c r="DK180" s="632">
        <v>5</v>
      </c>
      <c r="DL180" s="632">
        <v>1</v>
      </c>
      <c r="DM180" s="633"/>
      <c r="DN180" s="633"/>
      <c r="DO180" s="634">
        <v>39</v>
      </c>
      <c r="DP180" s="635">
        <f>+DO179/DO180</f>
        <v>2.564102564102564E-2</v>
      </c>
      <c r="DR180" s="608"/>
      <c r="DS180" s="608"/>
      <c r="DT180" s="608"/>
      <c r="DU180" s="609" t="s">
        <v>1235</v>
      </c>
      <c r="DV180" s="610"/>
      <c r="DW180" s="611">
        <v>0</v>
      </c>
      <c r="DX180" s="610"/>
      <c r="DY180" s="610"/>
      <c r="DZ180" s="610"/>
      <c r="EA180" s="610"/>
      <c r="EB180" s="611">
        <v>0</v>
      </c>
      <c r="EC180" s="611">
        <v>1</v>
      </c>
      <c r="ED180" s="610"/>
      <c r="EE180" s="612"/>
      <c r="EF180" s="612"/>
      <c r="EG180" s="613">
        <v>1</v>
      </c>
      <c r="EH180" s="614"/>
      <c r="FA180" s="70"/>
      <c r="FQ180" s="42"/>
      <c r="FR180" s="518"/>
      <c r="FS180" s="518"/>
      <c r="FT180" s="518"/>
      <c r="FU180" s="518"/>
      <c r="FV180" s="518"/>
      <c r="FW180" s="518"/>
      <c r="FX180" s="518"/>
      <c r="FY180" s="518"/>
      <c r="FZ180" s="518"/>
      <c r="GA180" s="518"/>
      <c r="GB180" s="518"/>
      <c r="GC180" s="518"/>
      <c r="GD180" s="518"/>
      <c r="GE180" s="518"/>
      <c r="GF180" s="518"/>
      <c r="GG180" s="579"/>
      <c r="GH180" s="516"/>
      <c r="GI180" s="516"/>
    </row>
    <row r="181" spans="2:191">
      <c r="D181" s="4800" t="s">
        <v>1235</v>
      </c>
      <c r="E181" s="4606">
        <v>0</v>
      </c>
      <c r="F181" s="4606"/>
      <c r="G181" s="4606"/>
      <c r="H181" s="4606">
        <v>0</v>
      </c>
      <c r="I181" s="4606"/>
      <c r="J181" s="4606"/>
      <c r="K181" s="4606">
        <v>8</v>
      </c>
      <c r="L181" s="4606">
        <v>6</v>
      </c>
      <c r="M181" s="4606">
        <v>0</v>
      </c>
      <c r="N181" s="2552">
        <v>0</v>
      </c>
      <c r="O181" s="2552">
        <v>0</v>
      </c>
      <c r="P181" s="2552">
        <v>14</v>
      </c>
      <c r="Q181" s="2552"/>
      <c r="R181" s="2552"/>
      <c r="V181" s="1793" t="s">
        <v>15</v>
      </c>
      <c r="W181" s="4804"/>
      <c r="X181" s="4804"/>
      <c r="Y181" s="4804"/>
      <c r="Z181" s="4804"/>
      <c r="AA181" s="4804"/>
      <c r="AB181" s="4804">
        <v>12</v>
      </c>
      <c r="AC181" s="4804">
        <v>4</v>
      </c>
      <c r="AD181" s="4804"/>
      <c r="AE181" s="4702"/>
      <c r="AF181" s="4702">
        <v>16</v>
      </c>
      <c r="AG181" s="4703">
        <f>+AF179/AF181</f>
        <v>0.6875</v>
      </c>
      <c r="AI181" s="41"/>
      <c r="AJ181" s="41"/>
      <c r="AK181" s="41"/>
      <c r="AL181" s="461" t="s">
        <v>15</v>
      </c>
      <c r="AM181" s="2002">
        <v>1</v>
      </c>
      <c r="AN181" s="2002"/>
      <c r="AO181" s="2002">
        <v>1</v>
      </c>
      <c r="AP181" s="2002"/>
      <c r="AQ181" s="2002"/>
      <c r="AR181" s="2002">
        <v>7</v>
      </c>
      <c r="AS181" s="2002">
        <v>1</v>
      </c>
      <c r="AT181" s="2002">
        <v>5</v>
      </c>
      <c r="AU181" s="2480"/>
      <c r="AV181" s="2480"/>
      <c r="AW181" s="2480">
        <v>15</v>
      </c>
      <c r="AX181" s="635">
        <f>+AW180/AW181</f>
        <v>0.46666666666666667</v>
      </c>
      <c r="AY181" s="1977"/>
      <c r="AZ181" s="42"/>
      <c r="BA181" s="42"/>
      <c r="BB181" s="42"/>
      <c r="BC181" s="484" t="s">
        <v>15</v>
      </c>
      <c r="BD181" s="1994"/>
      <c r="BE181" s="1994"/>
      <c r="BF181" s="1994"/>
      <c r="BG181" s="1994"/>
      <c r="BH181" s="1994"/>
      <c r="BI181" s="1994"/>
      <c r="BJ181" s="1994">
        <v>1</v>
      </c>
      <c r="BK181" s="1994">
        <v>4</v>
      </c>
      <c r="BL181" s="1994">
        <v>9</v>
      </c>
      <c r="BM181" s="454"/>
      <c r="BN181" s="454"/>
      <c r="BO181" s="454">
        <v>14</v>
      </c>
      <c r="BP181" s="2485">
        <f>+BO179/BO181</f>
        <v>0.35714285714285715</v>
      </c>
      <c r="BR181" s="105"/>
      <c r="BS181" s="105"/>
      <c r="BT181" s="41"/>
      <c r="BU181" s="461" t="s">
        <v>15</v>
      </c>
      <c r="BV181" s="1660"/>
      <c r="BW181" s="1660"/>
      <c r="BX181" s="1660">
        <v>1</v>
      </c>
      <c r="BY181" s="1660"/>
      <c r="BZ181" s="1660"/>
      <c r="CA181" s="1660">
        <v>1</v>
      </c>
      <c r="CB181" s="1660">
        <v>3</v>
      </c>
      <c r="CC181" s="1660">
        <v>10</v>
      </c>
      <c r="CD181" s="1660">
        <v>2</v>
      </c>
      <c r="CE181" s="96"/>
      <c r="CF181" s="96"/>
      <c r="CG181" s="96">
        <v>17</v>
      </c>
      <c r="CH181" s="635">
        <f>+(CG178+CG180)/CG181</f>
        <v>0.70588235294117652</v>
      </c>
      <c r="CJ181" s="1359"/>
      <c r="CK181" s="1359"/>
      <c r="CL181" s="1360" t="s">
        <v>130</v>
      </c>
      <c r="CM181" s="1361" t="s">
        <v>1231</v>
      </c>
      <c r="CN181" s="1362"/>
      <c r="CO181" s="1362"/>
      <c r="CP181" s="1362"/>
      <c r="CQ181" s="1362"/>
      <c r="CR181" s="1362"/>
      <c r="CS181" s="1363">
        <v>1</v>
      </c>
      <c r="CT181" s="1363">
        <v>4</v>
      </c>
      <c r="CU181" s="1363">
        <v>0</v>
      </c>
      <c r="CV181" s="686"/>
      <c r="CW181" s="686"/>
      <c r="CX181" s="687">
        <v>5</v>
      </c>
      <c r="CY181" s="41"/>
      <c r="DA181" s="602"/>
      <c r="DB181" s="602"/>
      <c r="DC181" s="603" t="s">
        <v>133</v>
      </c>
      <c r="DD181" s="604" t="s">
        <v>1231</v>
      </c>
      <c r="DE181" s="606">
        <v>2</v>
      </c>
      <c r="DF181" s="606">
        <v>1</v>
      </c>
      <c r="DG181" s="606">
        <v>1</v>
      </c>
      <c r="DH181" s="606">
        <v>1</v>
      </c>
      <c r="DI181" s="605"/>
      <c r="DJ181" s="606">
        <v>11</v>
      </c>
      <c r="DK181" s="606">
        <v>4</v>
      </c>
      <c r="DL181" s="606">
        <v>0</v>
      </c>
      <c r="DM181" s="602"/>
      <c r="DN181" s="602"/>
      <c r="DO181" s="607">
        <v>20</v>
      </c>
      <c r="DP181" s="105"/>
      <c r="DR181" s="608"/>
      <c r="DS181" s="608"/>
      <c r="DT181" s="608"/>
      <c r="DU181" s="609" t="s">
        <v>1240</v>
      </c>
      <c r="DV181" s="610"/>
      <c r="DW181" s="611">
        <v>0</v>
      </c>
      <c r="DX181" s="610"/>
      <c r="DY181" s="610"/>
      <c r="DZ181" s="610"/>
      <c r="EA181" s="610"/>
      <c r="EB181" s="611">
        <v>3</v>
      </c>
      <c r="EC181" s="611">
        <v>2</v>
      </c>
      <c r="ED181" s="610"/>
      <c r="EE181" s="612"/>
      <c r="EF181" s="612"/>
      <c r="EG181" s="613">
        <v>5</v>
      </c>
      <c r="EH181" s="614"/>
      <c r="EK181" s="129"/>
      <c r="EN181" s="5642" t="s">
        <v>1319</v>
      </c>
      <c r="EO181" s="5642"/>
      <c r="EP181" s="5642"/>
      <c r="EQ181" s="5642"/>
      <c r="ER181" s="5642"/>
      <c r="ES181" s="5642"/>
      <c r="ET181" s="5642"/>
      <c r="EU181" s="5642"/>
      <c r="EV181" s="5642"/>
      <c r="EW181" s="5642"/>
      <c r="FA181" s="70"/>
      <c r="FE181" s="5642" t="s">
        <v>1319</v>
      </c>
      <c r="FF181" s="5642"/>
      <c r="FG181" s="5642"/>
      <c r="FH181" s="5642"/>
      <c r="FI181" s="5642"/>
      <c r="FJ181" s="5642"/>
      <c r="FK181" s="5642"/>
      <c r="FL181" s="5642"/>
      <c r="FM181" s="5642"/>
      <c r="FN181" s="5642"/>
      <c r="FQ181" s="42"/>
      <c r="FR181" s="516"/>
      <c r="FS181" s="516"/>
      <c r="FT181" s="516"/>
      <c r="FU181" s="516"/>
      <c r="FV181" s="5665" t="s">
        <v>1319</v>
      </c>
      <c r="FW181" s="5665"/>
      <c r="FX181" s="5665"/>
      <c r="FY181" s="5665"/>
      <c r="FZ181" s="5665"/>
      <c r="GA181" s="5665"/>
      <c r="GB181" s="5665"/>
      <c r="GC181" s="5665"/>
      <c r="GD181" s="5665"/>
      <c r="GE181" s="5665"/>
      <c r="GF181" s="5665"/>
      <c r="GG181" s="517"/>
      <c r="GH181" s="516"/>
      <c r="GI181" s="516"/>
    </row>
    <row r="182" spans="2:191" ht="28.2" thickBot="1">
      <c r="D182" s="4800" t="s">
        <v>1236</v>
      </c>
      <c r="E182" s="4606">
        <v>0</v>
      </c>
      <c r="F182" s="4606"/>
      <c r="G182" s="4606"/>
      <c r="H182" s="4606">
        <v>3</v>
      </c>
      <c r="I182" s="4606"/>
      <c r="J182" s="4606"/>
      <c r="K182" s="4606">
        <v>0</v>
      </c>
      <c r="L182" s="4606">
        <v>0</v>
      </c>
      <c r="M182" s="4606">
        <v>0</v>
      </c>
      <c r="N182" s="2552">
        <v>0</v>
      </c>
      <c r="O182" s="2552">
        <v>0</v>
      </c>
      <c r="P182" s="2552">
        <v>3</v>
      </c>
      <c r="Q182" s="2552"/>
      <c r="R182" s="2552"/>
      <c r="U182" s="37" t="s">
        <v>130</v>
      </c>
      <c r="V182" s="37" t="s">
        <v>1235</v>
      </c>
      <c r="W182" s="4803"/>
      <c r="X182" s="4803"/>
      <c r="Y182" s="4803"/>
      <c r="Z182" s="4803"/>
      <c r="AA182" s="4803"/>
      <c r="AB182" s="4803">
        <v>1</v>
      </c>
      <c r="AC182" s="4803">
        <v>5</v>
      </c>
      <c r="AD182" s="4803"/>
      <c r="AE182" s="1788"/>
      <c r="AF182" s="1788">
        <v>6</v>
      </c>
      <c r="AI182" s="41"/>
      <c r="AJ182" s="41"/>
      <c r="AK182" s="41" t="s">
        <v>130</v>
      </c>
      <c r="AL182" s="41" t="s">
        <v>1231</v>
      </c>
      <c r="AM182" s="2001"/>
      <c r="AN182" s="2001"/>
      <c r="AO182" s="2001"/>
      <c r="AP182" s="2001"/>
      <c r="AQ182" s="2001"/>
      <c r="AR182" s="2001">
        <v>2</v>
      </c>
      <c r="AS182" s="2001">
        <v>0</v>
      </c>
      <c r="AT182" s="2001">
        <v>0</v>
      </c>
      <c r="AU182" s="105"/>
      <c r="AV182" s="105"/>
      <c r="AW182" s="105">
        <v>2</v>
      </c>
      <c r="AX182" s="41"/>
      <c r="AZ182" s="42"/>
      <c r="BA182" s="42"/>
      <c r="BB182" s="42" t="s">
        <v>129</v>
      </c>
      <c r="BC182" s="42" t="s">
        <v>1231</v>
      </c>
      <c r="BD182" s="1993"/>
      <c r="BE182" s="1993"/>
      <c r="BF182" s="1993">
        <v>1</v>
      </c>
      <c r="BG182" s="1993"/>
      <c r="BH182" s="1993"/>
      <c r="BI182" s="1993"/>
      <c r="BJ182" s="1993">
        <v>0</v>
      </c>
      <c r="BK182" s="1993">
        <v>1</v>
      </c>
      <c r="BL182" s="1993">
        <v>0</v>
      </c>
      <c r="BM182" s="70"/>
      <c r="BN182" s="70"/>
      <c r="BO182" s="70">
        <v>2</v>
      </c>
      <c r="BR182" s="105"/>
      <c r="BS182" s="105"/>
      <c r="BT182" s="41" t="s">
        <v>131</v>
      </c>
      <c r="BU182" s="41" t="s">
        <v>1231</v>
      </c>
      <c r="BV182" s="1659"/>
      <c r="BW182" s="1659"/>
      <c r="BX182" s="1659"/>
      <c r="BY182" s="1659"/>
      <c r="BZ182" s="1659"/>
      <c r="CA182" s="1659"/>
      <c r="CB182" s="1659">
        <v>2</v>
      </c>
      <c r="CC182" s="1659">
        <v>2</v>
      </c>
      <c r="CD182" s="1659">
        <v>0</v>
      </c>
      <c r="CE182" s="105"/>
      <c r="CF182" s="105"/>
      <c r="CG182" s="105">
        <v>4</v>
      </c>
      <c r="CH182" s="105"/>
      <c r="CJ182" s="1359"/>
      <c r="CK182" s="1359"/>
      <c r="CL182" s="1360"/>
      <c r="CM182" s="1361" t="s">
        <v>1235</v>
      </c>
      <c r="CN182" s="1362"/>
      <c r="CO182" s="1362"/>
      <c r="CP182" s="1362"/>
      <c r="CQ182" s="1362"/>
      <c r="CR182" s="1362"/>
      <c r="CS182" s="1363">
        <v>1</v>
      </c>
      <c r="CT182" s="1363">
        <v>2</v>
      </c>
      <c r="CU182" s="1363">
        <v>0</v>
      </c>
      <c r="CV182" s="686"/>
      <c r="CW182" s="686"/>
      <c r="CX182" s="687">
        <v>3</v>
      </c>
      <c r="CY182" s="41"/>
      <c r="DA182" s="602"/>
      <c r="DB182" s="602"/>
      <c r="DC182" s="603"/>
      <c r="DD182" s="604" t="s">
        <v>1233</v>
      </c>
      <c r="DE182" s="606">
        <v>1</v>
      </c>
      <c r="DF182" s="606">
        <v>0</v>
      </c>
      <c r="DG182" s="606">
        <v>0</v>
      </c>
      <c r="DH182" s="606">
        <v>0</v>
      </c>
      <c r="DI182" s="605"/>
      <c r="DJ182" s="606">
        <v>0</v>
      </c>
      <c r="DK182" s="606">
        <v>0</v>
      </c>
      <c r="DL182" s="606">
        <v>0</v>
      </c>
      <c r="DM182" s="602"/>
      <c r="DN182" s="602"/>
      <c r="DO182" s="607">
        <v>1</v>
      </c>
      <c r="DP182" s="105"/>
      <c r="DR182" s="608"/>
      <c r="DS182" s="608"/>
      <c r="DT182" s="608"/>
      <c r="DU182" s="609" t="s">
        <v>1344</v>
      </c>
      <c r="DV182" s="610"/>
      <c r="DW182" s="611">
        <v>0</v>
      </c>
      <c r="DX182" s="610"/>
      <c r="DY182" s="610"/>
      <c r="DZ182" s="610"/>
      <c r="EA182" s="610"/>
      <c r="EB182" s="611">
        <v>4</v>
      </c>
      <c r="EC182" s="611">
        <v>1</v>
      </c>
      <c r="ED182" s="610"/>
      <c r="EE182" s="612"/>
      <c r="EF182" s="612"/>
      <c r="EG182" s="613">
        <v>5</v>
      </c>
      <c r="EH182" s="614"/>
      <c r="EJ182" s="54" t="s">
        <v>0</v>
      </c>
      <c r="EL182" s="54" t="s">
        <v>1</v>
      </c>
      <c r="EM182" s="54" t="s">
        <v>1229</v>
      </c>
      <c r="EN182" s="54">
        <v>1</v>
      </c>
      <c r="EO182" s="54">
        <v>2</v>
      </c>
      <c r="EP182" s="54">
        <v>3</v>
      </c>
      <c r="EQ182" s="54">
        <v>4</v>
      </c>
      <c r="ER182" s="54">
        <v>5</v>
      </c>
      <c r="ES182" s="54">
        <v>6</v>
      </c>
      <c r="ET182" s="54">
        <v>7</v>
      </c>
      <c r="EU182" s="54">
        <v>8</v>
      </c>
      <c r="EV182" s="54">
        <v>9</v>
      </c>
      <c r="EW182" s="54">
        <v>10</v>
      </c>
      <c r="EX182" s="54" t="s">
        <v>15</v>
      </c>
      <c r="EY182" s="54" t="s">
        <v>66</v>
      </c>
      <c r="FA182" s="70"/>
      <c r="FB182" s="54" t="s">
        <v>0</v>
      </c>
      <c r="FC182" s="54" t="s">
        <v>1</v>
      </c>
      <c r="FD182" s="54" t="s">
        <v>1229</v>
      </c>
      <c r="FE182" s="54">
        <v>1</v>
      </c>
      <c r="FF182" s="54">
        <v>2</v>
      </c>
      <c r="FG182" s="54">
        <v>3</v>
      </c>
      <c r="FH182" s="54">
        <v>4</v>
      </c>
      <c r="FI182" s="54">
        <v>5</v>
      </c>
      <c r="FJ182" s="54">
        <v>6</v>
      </c>
      <c r="FK182" s="54">
        <v>7</v>
      </c>
      <c r="FL182" s="54">
        <v>8</v>
      </c>
      <c r="FM182" s="54">
        <v>9</v>
      </c>
      <c r="FN182" s="54">
        <v>10</v>
      </c>
      <c r="FO182" s="54" t="s">
        <v>15</v>
      </c>
      <c r="FP182" s="54" t="s">
        <v>66</v>
      </c>
      <c r="FQ182" s="42"/>
      <c r="FR182" s="516"/>
      <c r="FS182" s="540" t="s">
        <v>0</v>
      </c>
      <c r="FT182" s="540" t="s">
        <v>1</v>
      </c>
      <c r="FU182" s="540" t="s">
        <v>1321</v>
      </c>
      <c r="FV182" s="540">
        <v>0</v>
      </c>
      <c r="FW182" s="540">
        <v>1</v>
      </c>
      <c r="FX182" s="540">
        <v>2</v>
      </c>
      <c r="FY182" s="540">
        <v>3</v>
      </c>
      <c r="FZ182" s="540">
        <v>4</v>
      </c>
      <c r="GA182" s="540">
        <v>5</v>
      </c>
      <c r="GB182" s="540">
        <v>6</v>
      </c>
      <c r="GC182" s="540">
        <v>7</v>
      </c>
      <c r="GD182" s="540">
        <v>8</v>
      </c>
      <c r="GE182" s="540">
        <v>9</v>
      </c>
      <c r="GF182" s="540">
        <v>10</v>
      </c>
      <c r="GG182" s="540" t="s">
        <v>15</v>
      </c>
      <c r="GH182" s="570" t="s">
        <v>66</v>
      </c>
      <c r="GI182" s="569" t="s">
        <v>1322</v>
      </c>
    </row>
    <row r="183" spans="2:191">
      <c r="D183" s="4800" t="s">
        <v>1239</v>
      </c>
      <c r="E183" s="4606">
        <v>0</v>
      </c>
      <c r="F183" s="4606"/>
      <c r="G183" s="4606"/>
      <c r="H183" s="4606">
        <v>0</v>
      </c>
      <c r="I183" s="4606"/>
      <c r="J183" s="4606"/>
      <c r="K183" s="4606">
        <v>0</v>
      </c>
      <c r="L183" s="4606">
        <v>3</v>
      </c>
      <c r="M183" s="4606">
        <v>0</v>
      </c>
      <c r="N183" s="2552">
        <v>1</v>
      </c>
      <c r="O183" s="2552">
        <v>1</v>
      </c>
      <c r="P183" s="2552">
        <v>5</v>
      </c>
      <c r="Q183" s="2552"/>
      <c r="R183" s="2552"/>
      <c r="V183" s="37" t="s">
        <v>1239</v>
      </c>
      <c r="W183" s="4803"/>
      <c r="X183" s="4803"/>
      <c r="Y183" s="4803"/>
      <c r="Z183" s="4803"/>
      <c r="AA183" s="4803"/>
      <c r="AB183" s="4803">
        <v>0</v>
      </c>
      <c r="AC183" s="4803">
        <v>3</v>
      </c>
      <c r="AD183" s="4803"/>
      <c r="AE183" s="1788"/>
      <c r="AF183" s="1788">
        <v>3</v>
      </c>
      <c r="AI183" s="41"/>
      <c r="AJ183" s="41"/>
      <c r="AK183" s="41"/>
      <c r="AL183" s="41" t="s">
        <v>1235</v>
      </c>
      <c r="AM183" s="2001"/>
      <c r="AN183" s="2001"/>
      <c r="AO183" s="2001"/>
      <c r="AP183" s="2001"/>
      <c r="AQ183" s="2001"/>
      <c r="AR183" s="2001">
        <v>2</v>
      </c>
      <c r="AS183" s="2001">
        <v>8</v>
      </c>
      <c r="AT183" s="2001">
        <v>0</v>
      </c>
      <c r="AU183" s="105"/>
      <c r="AV183" s="105"/>
      <c r="AW183" s="105">
        <v>10</v>
      </c>
      <c r="AX183" s="41"/>
      <c r="AZ183" s="42"/>
      <c r="BA183" s="42"/>
      <c r="BB183" s="42"/>
      <c r="BC183" s="42" t="s">
        <v>1239</v>
      </c>
      <c r="BD183" s="1993"/>
      <c r="BE183" s="1993"/>
      <c r="BF183" s="1993">
        <v>0</v>
      </c>
      <c r="BG183" s="1993"/>
      <c r="BH183" s="1993"/>
      <c r="BI183" s="1993"/>
      <c r="BJ183" s="1993">
        <v>0</v>
      </c>
      <c r="BK183" s="1993">
        <v>1</v>
      </c>
      <c r="BL183" s="1993">
        <v>2</v>
      </c>
      <c r="BM183" s="70"/>
      <c r="BN183" s="70"/>
      <c r="BO183" s="70">
        <v>3</v>
      </c>
      <c r="BR183" s="105"/>
      <c r="BS183" s="105"/>
      <c r="BT183" s="41"/>
      <c r="BU183" s="41" t="s">
        <v>1235</v>
      </c>
      <c r="BV183" s="1659"/>
      <c r="BW183" s="1659"/>
      <c r="BX183" s="1659"/>
      <c r="BY183" s="1659"/>
      <c r="BZ183" s="1659"/>
      <c r="CA183" s="1659"/>
      <c r="CB183" s="1659">
        <v>0</v>
      </c>
      <c r="CC183" s="1659">
        <v>5</v>
      </c>
      <c r="CD183" s="1659">
        <v>0</v>
      </c>
      <c r="CE183" s="105"/>
      <c r="CF183" s="105"/>
      <c r="CG183" s="105">
        <v>5</v>
      </c>
      <c r="CH183" s="105"/>
      <c r="CJ183" s="1359"/>
      <c r="CK183" s="1359"/>
      <c r="CL183" s="1360"/>
      <c r="CM183" s="1361" t="s">
        <v>1239</v>
      </c>
      <c r="CN183" s="1362"/>
      <c r="CO183" s="1362"/>
      <c r="CP183" s="1362"/>
      <c r="CQ183" s="1362"/>
      <c r="CR183" s="1362"/>
      <c r="CS183" s="1363">
        <v>0</v>
      </c>
      <c r="CT183" s="1363">
        <v>0</v>
      </c>
      <c r="CU183" s="1363">
        <v>4</v>
      </c>
      <c r="CV183" s="686"/>
      <c r="CW183" s="686"/>
      <c r="CX183" s="687">
        <v>4</v>
      </c>
      <c r="CY183" s="41"/>
      <c r="DA183" s="602"/>
      <c r="DB183" s="602"/>
      <c r="DC183" s="603"/>
      <c r="DD183" s="604" t="s">
        <v>1235</v>
      </c>
      <c r="DE183" s="606">
        <v>0</v>
      </c>
      <c r="DF183" s="606">
        <v>0</v>
      </c>
      <c r="DG183" s="606">
        <v>0</v>
      </c>
      <c r="DH183" s="606">
        <v>0</v>
      </c>
      <c r="DI183" s="605"/>
      <c r="DJ183" s="606">
        <v>1</v>
      </c>
      <c r="DK183" s="606">
        <v>0</v>
      </c>
      <c r="DL183" s="606">
        <v>0</v>
      </c>
      <c r="DM183" s="602"/>
      <c r="DN183" s="602"/>
      <c r="DO183" s="607">
        <v>1</v>
      </c>
      <c r="DP183" s="105"/>
      <c r="DR183" s="608"/>
      <c r="DS183" s="608"/>
      <c r="DT183" s="608"/>
      <c r="DU183" s="620" t="s">
        <v>15</v>
      </c>
      <c r="DV183" s="621"/>
      <c r="DW183" s="622">
        <v>1</v>
      </c>
      <c r="DX183" s="621"/>
      <c r="DY183" s="621"/>
      <c r="DZ183" s="621"/>
      <c r="EA183" s="621"/>
      <c r="EB183" s="622">
        <v>7</v>
      </c>
      <c r="EC183" s="622">
        <v>6</v>
      </c>
      <c r="ED183" s="621"/>
      <c r="EE183" s="623"/>
      <c r="EF183" s="623"/>
      <c r="EG183" s="624">
        <v>14</v>
      </c>
      <c r="EH183" s="614">
        <f>+(EG182+EG181+EG180)/EG183</f>
        <v>0.7857142857142857</v>
      </c>
      <c r="EJ183" s="615" t="s">
        <v>3</v>
      </c>
      <c r="EL183" s="615" t="s">
        <v>544</v>
      </c>
      <c r="EM183" s="616" t="s">
        <v>1230</v>
      </c>
      <c r="EN183" s="617"/>
      <c r="EO183" s="617"/>
      <c r="EP183" s="618">
        <v>0</v>
      </c>
      <c r="EQ183" s="618">
        <v>0</v>
      </c>
      <c r="ER183" s="618">
        <v>0</v>
      </c>
      <c r="ES183" s="618">
        <v>0</v>
      </c>
      <c r="ET183" s="618">
        <v>1</v>
      </c>
      <c r="EU183" s="618">
        <v>1</v>
      </c>
      <c r="EV183" s="618">
        <v>0</v>
      </c>
      <c r="EW183" s="618">
        <v>2</v>
      </c>
      <c r="EX183" s="618">
        <v>4</v>
      </c>
      <c r="EY183" s="515"/>
      <c r="FA183" s="70"/>
      <c r="FB183" s="70" t="s">
        <v>3</v>
      </c>
      <c r="FC183" s="70" t="s">
        <v>4</v>
      </c>
      <c r="FD183" s="42" t="s">
        <v>1230</v>
      </c>
      <c r="FE183" s="70"/>
      <c r="FF183" s="70">
        <v>0</v>
      </c>
      <c r="FG183" s="70">
        <v>0</v>
      </c>
      <c r="FH183" s="70">
        <v>0</v>
      </c>
      <c r="FI183" s="70">
        <v>0</v>
      </c>
      <c r="FJ183" s="70">
        <v>1</v>
      </c>
      <c r="FK183" s="70">
        <v>0</v>
      </c>
      <c r="FL183" s="70">
        <v>2</v>
      </c>
      <c r="FM183" s="70"/>
      <c r="FN183" s="70">
        <v>0</v>
      </c>
      <c r="FO183" s="70">
        <v>3</v>
      </c>
      <c r="FP183" s="42"/>
      <c r="FQ183" s="42"/>
      <c r="FR183" s="516"/>
      <c r="FS183" s="516" t="s">
        <v>1325</v>
      </c>
      <c r="FT183" s="516" t="s">
        <v>4</v>
      </c>
      <c r="FU183" s="516" t="s">
        <v>1230</v>
      </c>
      <c r="FV183" s="516">
        <v>0</v>
      </c>
      <c r="FW183" s="516">
        <v>0</v>
      </c>
      <c r="FX183" s="516">
        <v>0</v>
      </c>
      <c r="FY183" s="516">
        <v>0</v>
      </c>
      <c r="FZ183" s="516">
        <v>1</v>
      </c>
      <c r="GA183" s="516">
        <v>0</v>
      </c>
      <c r="GB183" s="516">
        <v>0</v>
      </c>
      <c r="GC183" s="516">
        <v>0</v>
      </c>
      <c r="GD183" s="516">
        <v>2</v>
      </c>
      <c r="GE183" s="516">
        <v>0</v>
      </c>
      <c r="GF183" s="516">
        <v>0</v>
      </c>
      <c r="GG183" s="517">
        <v>3</v>
      </c>
      <c r="GH183" s="516"/>
      <c r="GI183" s="518"/>
    </row>
    <row r="184" spans="2:191">
      <c r="D184" s="4800" t="s">
        <v>2963</v>
      </c>
      <c r="E184" s="4606">
        <v>1</v>
      </c>
      <c r="F184" s="4606"/>
      <c r="G184" s="4606"/>
      <c r="H184" s="4606">
        <v>0</v>
      </c>
      <c r="I184" s="4606"/>
      <c r="J184" s="4606"/>
      <c r="K184" s="4606">
        <v>0</v>
      </c>
      <c r="L184" s="4606">
        <v>0</v>
      </c>
      <c r="M184" s="4606">
        <v>0</v>
      </c>
      <c r="N184" s="2552">
        <v>0</v>
      </c>
      <c r="O184" s="2552">
        <v>0</v>
      </c>
      <c r="P184" s="2552">
        <v>1</v>
      </c>
      <c r="Q184" s="2552"/>
      <c r="R184" s="2552"/>
      <c r="V184" s="1793" t="s">
        <v>15</v>
      </c>
      <c r="W184" s="4804"/>
      <c r="X184" s="4804"/>
      <c r="Y184" s="4804"/>
      <c r="Z184" s="4804"/>
      <c r="AA184" s="4804"/>
      <c r="AB184" s="4804">
        <v>1</v>
      </c>
      <c r="AC184" s="4804">
        <v>8</v>
      </c>
      <c r="AD184" s="4804"/>
      <c r="AE184" s="4702"/>
      <c r="AF184" s="4702">
        <v>9</v>
      </c>
      <c r="AG184" s="4703">
        <f>+AF182/AF184</f>
        <v>0.66666666666666663</v>
      </c>
      <c r="AI184" s="41"/>
      <c r="AJ184" s="41"/>
      <c r="AK184" s="41"/>
      <c r="AL184" s="41" t="s">
        <v>1239</v>
      </c>
      <c r="AM184" s="2001"/>
      <c r="AN184" s="2001"/>
      <c r="AO184" s="2001"/>
      <c r="AP184" s="2001"/>
      <c r="AQ184" s="2001"/>
      <c r="AR184" s="2001">
        <v>0</v>
      </c>
      <c r="AS184" s="2001">
        <v>0</v>
      </c>
      <c r="AT184" s="2001">
        <v>2</v>
      </c>
      <c r="AU184" s="105"/>
      <c r="AV184" s="105"/>
      <c r="AW184" s="105">
        <v>2</v>
      </c>
      <c r="AX184" s="41"/>
      <c r="AZ184" s="42"/>
      <c r="BA184" s="42"/>
      <c r="BB184" s="42"/>
      <c r="BC184" s="42" t="s">
        <v>1344</v>
      </c>
      <c r="BD184" s="1993"/>
      <c r="BE184" s="1993"/>
      <c r="BF184" s="1993">
        <v>0</v>
      </c>
      <c r="BG184" s="1993"/>
      <c r="BH184" s="1993"/>
      <c r="BI184" s="1993"/>
      <c r="BJ184" s="1993">
        <v>10</v>
      </c>
      <c r="BK184" s="1993">
        <v>0</v>
      </c>
      <c r="BL184" s="1993">
        <v>0</v>
      </c>
      <c r="BM184" s="70"/>
      <c r="BN184" s="70"/>
      <c r="BO184" s="70">
        <v>10</v>
      </c>
      <c r="BR184" s="105"/>
      <c r="BS184" s="105"/>
      <c r="BT184" s="41"/>
      <c r="BU184" s="41" t="s">
        <v>1239</v>
      </c>
      <c r="BV184" s="1659"/>
      <c r="BW184" s="1659"/>
      <c r="BX184" s="1659"/>
      <c r="BY184" s="1659"/>
      <c r="BZ184" s="1659"/>
      <c r="CA184" s="1659"/>
      <c r="CB184" s="1659">
        <v>0</v>
      </c>
      <c r="CC184" s="1659">
        <v>0</v>
      </c>
      <c r="CD184" s="1659">
        <v>7</v>
      </c>
      <c r="CE184" s="105"/>
      <c r="CF184" s="105"/>
      <c r="CG184" s="105">
        <v>7</v>
      </c>
      <c r="CH184" s="105"/>
      <c r="CJ184" s="1359"/>
      <c r="CK184" s="1359"/>
      <c r="CL184" s="1360"/>
      <c r="CM184" s="1361" t="s">
        <v>1344</v>
      </c>
      <c r="CN184" s="1362"/>
      <c r="CO184" s="1362"/>
      <c r="CP184" s="1362"/>
      <c r="CQ184" s="1362"/>
      <c r="CR184" s="1362"/>
      <c r="CS184" s="1363">
        <v>3</v>
      </c>
      <c r="CT184" s="1363">
        <v>2</v>
      </c>
      <c r="CU184" s="1363">
        <v>0</v>
      </c>
      <c r="CV184" s="686"/>
      <c r="CW184" s="686"/>
      <c r="CX184" s="687">
        <v>5</v>
      </c>
      <c r="CY184" s="41"/>
      <c r="DA184" s="602"/>
      <c r="DB184" s="602"/>
      <c r="DC184" s="603"/>
      <c r="DD184" s="604" t="s">
        <v>1236</v>
      </c>
      <c r="DE184" s="606">
        <v>0</v>
      </c>
      <c r="DF184" s="606">
        <v>1</v>
      </c>
      <c r="DG184" s="606">
        <v>0</v>
      </c>
      <c r="DH184" s="606">
        <v>0</v>
      </c>
      <c r="DI184" s="605"/>
      <c r="DJ184" s="606">
        <v>0</v>
      </c>
      <c r="DK184" s="606">
        <v>0</v>
      </c>
      <c r="DL184" s="606">
        <v>0</v>
      </c>
      <c r="DM184" s="602"/>
      <c r="DN184" s="602"/>
      <c r="DO184" s="607">
        <v>1</v>
      </c>
      <c r="DP184" s="105"/>
      <c r="DR184" s="608"/>
      <c r="DS184" s="608"/>
      <c r="DT184" s="608" t="s">
        <v>140</v>
      </c>
      <c r="DU184" s="609" t="s">
        <v>1231</v>
      </c>
      <c r="DV184" s="610"/>
      <c r="DW184" s="610"/>
      <c r="DX184" s="610"/>
      <c r="DY184" s="611">
        <v>1</v>
      </c>
      <c r="DZ184" s="610"/>
      <c r="EA184" s="611">
        <v>1</v>
      </c>
      <c r="EB184" s="611">
        <v>4</v>
      </c>
      <c r="EC184" s="610"/>
      <c r="ED184" s="610"/>
      <c r="EE184" s="612"/>
      <c r="EF184" s="612"/>
      <c r="EG184" s="613">
        <v>6</v>
      </c>
      <c r="EH184" s="614"/>
      <c r="EL184" s="615"/>
      <c r="EM184" s="616" t="s">
        <v>1231</v>
      </c>
      <c r="EN184" s="617"/>
      <c r="EO184" s="617"/>
      <c r="EP184" s="618">
        <v>0</v>
      </c>
      <c r="EQ184" s="618">
        <v>1</v>
      </c>
      <c r="ER184" s="618">
        <v>0</v>
      </c>
      <c r="ES184" s="618">
        <v>6</v>
      </c>
      <c r="ET184" s="618">
        <v>2</v>
      </c>
      <c r="EU184" s="618">
        <v>1</v>
      </c>
      <c r="EV184" s="618">
        <v>1</v>
      </c>
      <c r="EW184" s="618">
        <v>0</v>
      </c>
      <c r="EX184" s="618">
        <v>11</v>
      </c>
      <c r="EY184" s="515"/>
      <c r="FA184" s="70"/>
      <c r="FB184" s="70"/>
      <c r="FC184" s="70"/>
      <c r="FD184" s="42" t="s">
        <v>1231</v>
      </c>
      <c r="FE184" s="70"/>
      <c r="FF184" s="70">
        <v>3</v>
      </c>
      <c r="FG184" s="70">
        <v>1</v>
      </c>
      <c r="FH184" s="70">
        <v>1</v>
      </c>
      <c r="FI184" s="70">
        <v>1</v>
      </c>
      <c r="FJ184" s="70">
        <v>4</v>
      </c>
      <c r="FK184" s="70">
        <v>7</v>
      </c>
      <c r="FL184" s="70">
        <v>1</v>
      </c>
      <c r="FM184" s="70"/>
      <c r="FN184" s="70">
        <v>0</v>
      </c>
      <c r="FO184" s="70">
        <v>18</v>
      </c>
      <c r="FP184" s="42"/>
      <c r="FQ184" s="42"/>
      <c r="FR184" s="516"/>
      <c r="FS184" s="516"/>
      <c r="FT184" s="516"/>
      <c r="FU184" s="516" t="s">
        <v>1231</v>
      </c>
      <c r="FV184" s="516">
        <v>0</v>
      </c>
      <c r="FW184" s="516">
        <v>0</v>
      </c>
      <c r="FX184" s="516">
        <v>0</v>
      </c>
      <c r="FY184" s="516">
        <v>0</v>
      </c>
      <c r="FZ184" s="516">
        <v>1</v>
      </c>
      <c r="GA184" s="516">
        <v>0</v>
      </c>
      <c r="GB184" s="516">
        <v>1</v>
      </c>
      <c r="GC184" s="516">
        <v>2</v>
      </c>
      <c r="GD184" s="516">
        <v>0</v>
      </c>
      <c r="GE184" s="516">
        <v>0</v>
      </c>
      <c r="GF184" s="516">
        <v>0</v>
      </c>
      <c r="GG184" s="517">
        <v>4</v>
      </c>
      <c r="GH184" s="516"/>
      <c r="GI184" s="518"/>
    </row>
    <row r="185" spans="2:191">
      <c r="D185" s="4800" t="s">
        <v>1344</v>
      </c>
      <c r="E185" s="4606">
        <v>0</v>
      </c>
      <c r="F185" s="4606"/>
      <c r="G185" s="4606"/>
      <c r="H185" s="4606">
        <v>10</v>
      </c>
      <c r="I185" s="4606"/>
      <c r="J185" s="4606"/>
      <c r="K185" s="4606">
        <v>18</v>
      </c>
      <c r="L185" s="4606">
        <v>1</v>
      </c>
      <c r="M185" s="4606">
        <v>1</v>
      </c>
      <c r="N185" s="2552">
        <v>0</v>
      </c>
      <c r="O185" s="2552">
        <v>0</v>
      </c>
      <c r="P185" s="2552">
        <v>30</v>
      </c>
      <c r="Q185" s="2552"/>
      <c r="R185" s="2552"/>
      <c r="U185" s="37" t="s">
        <v>131</v>
      </c>
      <c r="V185" s="37" t="s">
        <v>1235</v>
      </c>
      <c r="W185" s="4803"/>
      <c r="X185" s="4803"/>
      <c r="Y185" s="4803"/>
      <c r="Z185" s="4803"/>
      <c r="AA185" s="4803"/>
      <c r="AB185" s="4803">
        <v>3</v>
      </c>
      <c r="AC185" s="4803">
        <v>1</v>
      </c>
      <c r="AD185" s="4803"/>
      <c r="AE185" s="1788"/>
      <c r="AF185" s="1788">
        <v>4</v>
      </c>
      <c r="AI185" s="41"/>
      <c r="AJ185" s="41"/>
      <c r="AK185" s="41"/>
      <c r="AL185" s="461" t="s">
        <v>15</v>
      </c>
      <c r="AM185" s="2002"/>
      <c r="AN185" s="2002"/>
      <c r="AO185" s="2002"/>
      <c r="AP185" s="2002"/>
      <c r="AQ185" s="2002"/>
      <c r="AR185" s="2002">
        <v>4</v>
      </c>
      <c r="AS185" s="2002">
        <v>8</v>
      </c>
      <c r="AT185" s="2002">
        <v>2</v>
      </c>
      <c r="AU185" s="2480"/>
      <c r="AV185" s="2480"/>
      <c r="AW185" s="2480">
        <v>14</v>
      </c>
      <c r="AX185" s="635">
        <f>+AW183/AW185</f>
        <v>0.7142857142857143</v>
      </c>
      <c r="AY185" s="1977"/>
      <c r="AZ185" s="42"/>
      <c r="BA185" s="42"/>
      <c r="BB185" s="42"/>
      <c r="BC185" s="484" t="s">
        <v>15</v>
      </c>
      <c r="BD185" s="1994"/>
      <c r="BE185" s="1994"/>
      <c r="BF185" s="1994">
        <v>1</v>
      </c>
      <c r="BG185" s="1994"/>
      <c r="BH185" s="1994"/>
      <c r="BI185" s="1994"/>
      <c r="BJ185" s="1994">
        <v>10</v>
      </c>
      <c r="BK185" s="1994">
        <v>2</v>
      </c>
      <c r="BL185" s="1994">
        <v>2</v>
      </c>
      <c r="BM185" s="454"/>
      <c r="BN185" s="454"/>
      <c r="BO185" s="454">
        <v>15</v>
      </c>
      <c r="BP185" s="2485">
        <f>+BO184/BO185</f>
        <v>0.66666666666666663</v>
      </c>
      <c r="BR185" s="105"/>
      <c r="BS185" s="105"/>
      <c r="BT185" s="41"/>
      <c r="BU185" s="41" t="s">
        <v>1344</v>
      </c>
      <c r="BV185" s="1659"/>
      <c r="BW185" s="1659"/>
      <c r="BX185" s="1659"/>
      <c r="BY185" s="1659"/>
      <c r="BZ185" s="1659"/>
      <c r="CA185" s="1659"/>
      <c r="CB185" s="1659">
        <v>0</v>
      </c>
      <c r="CC185" s="1659">
        <v>2</v>
      </c>
      <c r="CD185" s="1659">
        <v>0</v>
      </c>
      <c r="CE185" s="105"/>
      <c r="CF185" s="105"/>
      <c r="CG185" s="105">
        <v>2</v>
      </c>
      <c r="CH185" s="105"/>
      <c r="CJ185" s="1359"/>
      <c r="CK185" s="1359"/>
      <c r="CL185" s="1360"/>
      <c r="CM185" s="483" t="s">
        <v>15</v>
      </c>
      <c r="CN185" s="1364"/>
      <c r="CO185" s="1364"/>
      <c r="CP185" s="1364"/>
      <c r="CQ185" s="1364"/>
      <c r="CR185" s="1364"/>
      <c r="CS185" s="1365">
        <v>5</v>
      </c>
      <c r="CT185" s="1365">
        <v>8</v>
      </c>
      <c r="CU185" s="1365">
        <v>4</v>
      </c>
      <c r="CV185" s="695"/>
      <c r="CW185" s="695"/>
      <c r="CX185" s="696">
        <v>17</v>
      </c>
      <c r="CY185" s="1325">
        <f>+(CX182+CX184)/CX185</f>
        <v>0.47058823529411764</v>
      </c>
      <c r="DA185" s="602"/>
      <c r="DB185" s="602"/>
      <c r="DC185" s="603"/>
      <c r="DD185" s="604" t="s">
        <v>1239</v>
      </c>
      <c r="DE185" s="606">
        <v>0</v>
      </c>
      <c r="DF185" s="606">
        <v>0</v>
      </c>
      <c r="DG185" s="606">
        <v>0</v>
      </c>
      <c r="DH185" s="606">
        <v>0</v>
      </c>
      <c r="DI185" s="605"/>
      <c r="DJ185" s="606">
        <v>0</v>
      </c>
      <c r="DK185" s="606">
        <v>0</v>
      </c>
      <c r="DL185" s="606">
        <v>1</v>
      </c>
      <c r="DM185" s="602"/>
      <c r="DN185" s="602"/>
      <c r="DO185" s="607">
        <v>1</v>
      </c>
      <c r="DP185" s="105"/>
      <c r="DR185" s="608"/>
      <c r="DS185" s="608"/>
      <c r="DT185" s="608"/>
      <c r="DU185" s="609" t="s">
        <v>1235</v>
      </c>
      <c r="DV185" s="610"/>
      <c r="DW185" s="610"/>
      <c r="DX185" s="610"/>
      <c r="DY185" s="611">
        <v>0</v>
      </c>
      <c r="DZ185" s="610"/>
      <c r="EA185" s="611">
        <v>1</v>
      </c>
      <c r="EB185" s="611">
        <v>0</v>
      </c>
      <c r="EC185" s="610"/>
      <c r="ED185" s="610"/>
      <c r="EE185" s="612"/>
      <c r="EF185" s="612"/>
      <c r="EG185" s="613">
        <v>1</v>
      </c>
      <c r="EH185" s="614"/>
      <c r="EL185" s="615"/>
      <c r="EM185" s="616" t="s">
        <v>1235</v>
      </c>
      <c r="EN185" s="617"/>
      <c r="EO185" s="617"/>
      <c r="EP185" s="618">
        <v>0</v>
      </c>
      <c r="EQ185" s="618">
        <v>0</v>
      </c>
      <c r="ER185" s="618">
        <v>1</v>
      </c>
      <c r="ES185" s="618">
        <v>1</v>
      </c>
      <c r="ET185" s="618">
        <v>0</v>
      </c>
      <c r="EU185" s="618">
        <v>1</v>
      </c>
      <c r="EV185" s="618">
        <v>0</v>
      </c>
      <c r="EW185" s="618">
        <v>0</v>
      </c>
      <c r="EX185" s="618">
        <v>3</v>
      </c>
      <c r="EY185" s="515"/>
      <c r="FA185" s="70"/>
      <c r="FB185" s="70"/>
      <c r="FC185" s="70"/>
      <c r="FD185" s="42" t="s">
        <v>1235</v>
      </c>
      <c r="FE185" s="70"/>
      <c r="FF185" s="70">
        <v>0</v>
      </c>
      <c r="FG185" s="70">
        <v>0</v>
      </c>
      <c r="FH185" s="70">
        <v>0</v>
      </c>
      <c r="FI185" s="70">
        <v>0</v>
      </c>
      <c r="FJ185" s="70">
        <v>1</v>
      </c>
      <c r="FK185" s="70">
        <v>0</v>
      </c>
      <c r="FL185" s="70">
        <v>0</v>
      </c>
      <c r="FM185" s="70"/>
      <c r="FN185" s="70">
        <v>0</v>
      </c>
      <c r="FO185" s="70">
        <v>1</v>
      </c>
      <c r="FP185" s="42"/>
      <c r="FQ185" s="42"/>
      <c r="FR185" s="516"/>
      <c r="FS185" s="516"/>
      <c r="FT185" s="516"/>
      <c r="FU185" s="516" t="s">
        <v>1235</v>
      </c>
      <c r="FV185" s="516">
        <v>0</v>
      </c>
      <c r="FW185" s="516">
        <v>0</v>
      </c>
      <c r="FX185" s="516">
        <v>0</v>
      </c>
      <c r="FY185" s="516">
        <v>0</v>
      </c>
      <c r="FZ185" s="516">
        <v>0</v>
      </c>
      <c r="GA185" s="516">
        <v>0</v>
      </c>
      <c r="GB185" s="516">
        <v>1</v>
      </c>
      <c r="GC185" s="516">
        <v>2</v>
      </c>
      <c r="GD185" s="516">
        <v>1</v>
      </c>
      <c r="GE185" s="516">
        <v>0</v>
      </c>
      <c r="GF185" s="516">
        <v>0</v>
      </c>
      <c r="GG185" s="517">
        <v>4</v>
      </c>
      <c r="GH185" s="516"/>
      <c r="GI185" s="518"/>
    </row>
    <row r="186" spans="2:191">
      <c r="D186" s="32" t="s">
        <v>15</v>
      </c>
      <c r="E186" s="4607">
        <v>1</v>
      </c>
      <c r="F186" s="4607"/>
      <c r="G186" s="4607"/>
      <c r="H186" s="4607">
        <v>13</v>
      </c>
      <c r="I186" s="4607"/>
      <c r="J186" s="4607"/>
      <c r="K186" s="4607">
        <v>28</v>
      </c>
      <c r="L186" s="4607">
        <v>15</v>
      </c>
      <c r="M186" s="4607">
        <v>1</v>
      </c>
      <c r="N186" s="4583">
        <v>7</v>
      </c>
      <c r="O186" s="4583">
        <v>1</v>
      </c>
      <c r="P186" s="4583">
        <v>66</v>
      </c>
      <c r="Q186" s="1977">
        <f>+(P181+P185)/(P186-P184)</f>
        <v>0.67692307692307696</v>
      </c>
      <c r="R186" s="1977"/>
      <c r="V186" s="37" t="s">
        <v>1239</v>
      </c>
      <c r="W186" s="4803"/>
      <c r="X186" s="4803"/>
      <c r="Y186" s="4803"/>
      <c r="Z186" s="4803"/>
      <c r="AA186" s="4803"/>
      <c r="AB186" s="4803">
        <v>0</v>
      </c>
      <c r="AC186" s="4803">
        <v>8</v>
      </c>
      <c r="AD186" s="4803"/>
      <c r="AE186" s="1788"/>
      <c r="AF186" s="1788">
        <v>8</v>
      </c>
      <c r="AI186" s="41"/>
      <c r="AJ186" s="41"/>
      <c r="AK186" s="41" t="s">
        <v>131</v>
      </c>
      <c r="AL186" s="41" t="s">
        <v>1231</v>
      </c>
      <c r="AM186" s="2001"/>
      <c r="AN186" s="2001"/>
      <c r="AO186" s="2001"/>
      <c r="AP186" s="2001"/>
      <c r="AQ186" s="2001">
        <v>1</v>
      </c>
      <c r="AR186" s="2001"/>
      <c r="AS186" s="2001">
        <v>1</v>
      </c>
      <c r="AT186" s="2001">
        <v>0</v>
      </c>
      <c r="AU186" s="105"/>
      <c r="AV186" s="105"/>
      <c r="AW186" s="105">
        <v>2</v>
      </c>
      <c r="AX186" s="41"/>
      <c r="AZ186" s="42"/>
      <c r="BA186" s="42"/>
      <c r="BB186" s="42" t="s">
        <v>130</v>
      </c>
      <c r="BC186" s="42" t="s">
        <v>1235</v>
      </c>
      <c r="BD186" s="1993"/>
      <c r="BE186" s="1993"/>
      <c r="BF186" s="1993"/>
      <c r="BG186" s="1993"/>
      <c r="BH186" s="1993"/>
      <c r="BI186" s="1993"/>
      <c r="BJ186" s="1993">
        <v>0</v>
      </c>
      <c r="BK186" s="1993">
        <v>5</v>
      </c>
      <c r="BL186" s="1993">
        <v>0</v>
      </c>
      <c r="BM186" s="70"/>
      <c r="BN186" s="70"/>
      <c r="BO186" s="70">
        <v>5</v>
      </c>
      <c r="BR186" s="105"/>
      <c r="BS186" s="105"/>
      <c r="BT186" s="41"/>
      <c r="BU186" s="461" t="s">
        <v>15</v>
      </c>
      <c r="BV186" s="1660"/>
      <c r="BW186" s="1660"/>
      <c r="BX186" s="1660"/>
      <c r="BY186" s="1660"/>
      <c r="BZ186" s="1660"/>
      <c r="CA186" s="1660"/>
      <c r="CB186" s="1660">
        <v>2</v>
      </c>
      <c r="CC186" s="1660">
        <v>9</v>
      </c>
      <c r="CD186" s="1660">
        <v>7</v>
      </c>
      <c r="CE186" s="96"/>
      <c r="CF186" s="96"/>
      <c r="CG186" s="96">
        <v>18</v>
      </c>
      <c r="CH186" s="635">
        <f>+(CG183+CG185)/CG186</f>
        <v>0.3888888888888889</v>
      </c>
      <c r="CJ186" s="1359"/>
      <c r="CK186" s="1359"/>
      <c r="CL186" s="1360" t="s">
        <v>131</v>
      </c>
      <c r="CM186" s="1361" t="s">
        <v>1231</v>
      </c>
      <c r="CN186" s="1362"/>
      <c r="CO186" s="1362"/>
      <c r="CP186" s="1362"/>
      <c r="CQ186" s="1362"/>
      <c r="CR186" s="1362"/>
      <c r="CS186" s="1363">
        <v>1</v>
      </c>
      <c r="CT186" s="1363">
        <v>0</v>
      </c>
      <c r="CU186" s="1363">
        <v>0</v>
      </c>
      <c r="CV186" s="686"/>
      <c r="CW186" s="686"/>
      <c r="CX186" s="687">
        <v>1</v>
      </c>
      <c r="CY186" s="41"/>
      <c r="DA186" s="602"/>
      <c r="DB186" s="602"/>
      <c r="DC186" s="603"/>
      <c r="DD186" s="604" t="s">
        <v>1344</v>
      </c>
      <c r="DE186" s="606">
        <v>0</v>
      </c>
      <c r="DF186" s="606">
        <v>0</v>
      </c>
      <c r="DG186" s="606">
        <v>0</v>
      </c>
      <c r="DH186" s="606">
        <v>0</v>
      </c>
      <c r="DI186" s="605"/>
      <c r="DJ186" s="606">
        <v>4</v>
      </c>
      <c r="DK186" s="606">
        <v>0</v>
      </c>
      <c r="DL186" s="606">
        <v>0</v>
      </c>
      <c r="DM186" s="602"/>
      <c r="DN186" s="602"/>
      <c r="DO186" s="607">
        <v>4</v>
      </c>
      <c r="DP186" s="105"/>
      <c r="DR186" s="608"/>
      <c r="DS186" s="608"/>
      <c r="DT186" s="608"/>
      <c r="DU186" s="609" t="s">
        <v>1240</v>
      </c>
      <c r="DV186" s="610"/>
      <c r="DW186" s="610"/>
      <c r="DX186" s="610"/>
      <c r="DY186" s="611">
        <v>0</v>
      </c>
      <c r="DZ186" s="610"/>
      <c r="EA186" s="611">
        <v>3</v>
      </c>
      <c r="EB186" s="611">
        <v>2</v>
      </c>
      <c r="EC186" s="610"/>
      <c r="ED186" s="610"/>
      <c r="EE186" s="612"/>
      <c r="EF186" s="612"/>
      <c r="EG186" s="613">
        <v>5</v>
      </c>
      <c r="EH186" s="614"/>
      <c r="EL186" s="615"/>
      <c r="EM186" s="616" t="s">
        <v>1236</v>
      </c>
      <c r="EN186" s="617"/>
      <c r="EO186" s="617"/>
      <c r="EP186" s="618">
        <v>2</v>
      </c>
      <c r="EQ186" s="618">
        <v>0</v>
      </c>
      <c r="ER186" s="618">
        <v>0</v>
      </c>
      <c r="ES186" s="618">
        <v>0</v>
      </c>
      <c r="ET186" s="618">
        <v>0</v>
      </c>
      <c r="EU186" s="618">
        <v>0</v>
      </c>
      <c r="EV186" s="618">
        <v>0</v>
      </c>
      <c r="EW186" s="618">
        <v>0</v>
      </c>
      <c r="EX186" s="618">
        <v>2</v>
      </c>
      <c r="EY186" s="515"/>
      <c r="FA186" s="70"/>
      <c r="FB186" s="70"/>
      <c r="FC186" s="70"/>
      <c r="FD186" s="42" t="s">
        <v>1236</v>
      </c>
      <c r="FE186" s="70"/>
      <c r="FF186" s="70">
        <v>0</v>
      </c>
      <c r="FG186" s="70">
        <v>1</v>
      </c>
      <c r="FH186" s="70">
        <v>0</v>
      </c>
      <c r="FI186" s="70">
        <v>0</v>
      </c>
      <c r="FJ186" s="70">
        <v>0</v>
      </c>
      <c r="FK186" s="70">
        <v>0</v>
      </c>
      <c r="FL186" s="70">
        <v>0</v>
      </c>
      <c r="FM186" s="70"/>
      <c r="FN186" s="70">
        <v>0</v>
      </c>
      <c r="FO186" s="70">
        <v>1</v>
      </c>
      <c r="FP186" s="42"/>
      <c r="FQ186" s="42"/>
      <c r="FR186" s="516"/>
      <c r="FS186" s="516"/>
      <c r="FT186" s="516"/>
      <c r="FU186" s="516" t="s">
        <v>1236</v>
      </c>
      <c r="FV186" s="516">
        <v>0</v>
      </c>
      <c r="FW186" s="516">
        <v>0</v>
      </c>
      <c r="FX186" s="516">
        <v>2</v>
      </c>
      <c r="FY186" s="516">
        <v>0</v>
      </c>
      <c r="FZ186" s="516">
        <v>2</v>
      </c>
      <c r="GA186" s="516">
        <v>0</v>
      </c>
      <c r="GB186" s="516">
        <v>0</v>
      </c>
      <c r="GC186" s="516">
        <v>0</v>
      </c>
      <c r="GD186" s="516">
        <v>0</v>
      </c>
      <c r="GE186" s="516">
        <v>0</v>
      </c>
      <c r="GF186" s="516">
        <v>0</v>
      </c>
      <c r="GG186" s="517">
        <v>4</v>
      </c>
      <c r="GH186" s="516"/>
      <c r="GI186" s="518"/>
    </row>
    <row r="187" spans="2:191">
      <c r="B187" s="167" t="s">
        <v>41</v>
      </c>
      <c r="C187" s="4800" t="s">
        <v>443</v>
      </c>
      <c r="D187" s="4800" t="s">
        <v>1235</v>
      </c>
      <c r="E187" s="4606"/>
      <c r="F187" s="4606"/>
      <c r="G187" s="4606"/>
      <c r="H187" s="4606"/>
      <c r="I187" s="4606"/>
      <c r="J187" s="4606"/>
      <c r="K187" s="4606">
        <v>1</v>
      </c>
      <c r="L187" s="4606">
        <v>8</v>
      </c>
      <c r="M187" s="4606"/>
      <c r="N187" s="2552"/>
      <c r="O187" s="2552"/>
      <c r="P187" s="2552">
        <v>9</v>
      </c>
      <c r="Q187" s="2552"/>
      <c r="R187" s="2552"/>
      <c r="V187" s="1793" t="s">
        <v>15</v>
      </c>
      <c r="W187" s="4804"/>
      <c r="X187" s="4804"/>
      <c r="Y187" s="4804"/>
      <c r="Z187" s="4804"/>
      <c r="AA187" s="4804"/>
      <c r="AB187" s="4804">
        <v>3</v>
      </c>
      <c r="AC187" s="4804">
        <v>9</v>
      </c>
      <c r="AD187" s="4804"/>
      <c r="AE187" s="4702"/>
      <c r="AF187" s="4702">
        <v>12</v>
      </c>
      <c r="AG187" s="4703">
        <f>+AF185/AF187</f>
        <v>0.33333333333333331</v>
      </c>
      <c r="AI187" s="41"/>
      <c r="AJ187" s="41"/>
      <c r="AK187" s="41"/>
      <c r="AL187" s="41" t="s">
        <v>1235</v>
      </c>
      <c r="AM187" s="2001"/>
      <c r="AN187" s="2001"/>
      <c r="AO187" s="2001"/>
      <c r="AP187" s="2001"/>
      <c r="AQ187" s="2001">
        <v>0</v>
      </c>
      <c r="AR187" s="2001"/>
      <c r="AS187" s="2001">
        <v>3</v>
      </c>
      <c r="AT187" s="2001">
        <v>0</v>
      </c>
      <c r="AU187" s="105"/>
      <c r="AV187" s="105"/>
      <c r="AW187" s="105">
        <v>3</v>
      </c>
      <c r="AX187" s="41"/>
      <c r="AZ187" s="42"/>
      <c r="BA187" s="42"/>
      <c r="BB187" s="42"/>
      <c r="BC187" s="42" t="s">
        <v>1239</v>
      </c>
      <c r="BD187" s="1993"/>
      <c r="BE187" s="1993"/>
      <c r="BF187" s="1993"/>
      <c r="BG187" s="1993"/>
      <c r="BH187" s="1993"/>
      <c r="BI187" s="1993"/>
      <c r="BJ187" s="1993">
        <v>0</v>
      </c>
      <c r="BK187" s="1993">
        <v>0</v>
      </c>
      <c r="BL187" s="1993">
        <v>7</v>
      </c>
      <c r="BM187" s="70"/>
      <c r="BN187" s="70"/>
      <c r="BO187" s="70">
        <v>7</v>
      </c>
      <c r="BR187" s="105"/>
      <c r="BS187" s="105"/>
      <c r="BT187" s="41" t="s">
        <v>547</v>
      </c>
      <c r="BU187" s="41" t="s">
        <v>1230</v>
      </c>
      <c r="BV187" s="1659"/>
      <c r="BW187" s="1659">
        <v>0</v>
      </c>
      <c r="BX187" s="1659">
        <v>0</v>
      </c>
      <c r="BY187" s="1659"/>
      <c r="BZ187" s="1659"/>
      <c r="CA187" s="1659">
        <v>0</v>
      </c>
      <c r="CB187" s="1659">
        <v>0</v>
      </c>
      <c r="CC187" s="1659">
        <v>0</v>
      </c>
      <c r="CD187" s="1659">
        <v>1</v>
      </c>
      <c r="CE187" s="105"/>
      <c r="CF187" s="105"/>
      <c r="CG187" s="105">
        <v>1</v>
      </c>
      <c r="CH187" s="105"/>
      <c r="CJ187" s="1359"/>
      <c r="CK187" s="1359"/>
      <c r="CL187" s="1360"/>
      <c r="CM187" s="1361" t="s">
        <v>1235</v>
      </c>
      <c r="CN187" s="1362"/>
      <c r="CO187" s="1362"/>
      <c r="CP187" s="1362"/>
      <c r="CQ187" s="1362"/>
      <c r="CR187" s="1362"/>
      <c r="CS187" s="1363">
        <v>1</v>
      </c>
      <c r="CT187" s="1363">
        <v>0</v>
      </c>
      <c r="CU187" s="1363">
        <v>0</v>
      </c>
      <c r="CV187" s="686"/>
      <c r="CW187" s="686"/>
      <c r="CX187" s="687">
        <v>1</v>
      </c>
      <c r="CY187" s="41"/>
      <c r="DA187" s="602"/>
      <c r="DB187" s="602"/>
      <c r="DC187" s="603"/>
      <c r="DD187" s="630" t="s">
        <v>15</v>
      </c>
      <c r="DE187" s="632">
        <v>3</v>
      </c>
      <c r="DF187" s="632">
        <v>2</v>
      </c>
      <c r="DG187" s="632">
        <v>1</v>
      </c>
      <c r="DH187" s="632">
        <v>1</v>
      </c>
      <c r="DI187" s="631"/>
      <c r="DJ187" s="632">
        <v>16</v>
      </c>
      <c r="DK187" s="632">
        <v>4</v>
      </c>
      <c r="DL187" s="632">
        <v>1</v>
      </c>
      <c r="DM187" s="633"/>
      <c r="DN187" s="633"/>
      <c r="DO187" s="634">
        <v>28</v>
      </c>
      <c r="DP187" s="635">
        <f>+(DO183+DO186)/DO187</f>
        <v>0.17857142857142858</v>
      </c>
      <c r="DR187" s="608"/>
      <c r="DS187" s="608"/>
      <c r="DT187" s="608"/>
      <c r="DU187" s="609" t="s">
        <v>1344</v>
      </c>
      <c r="DV187" s="610"/>
      <c r="DW187" s="610"/>
      <c r="DX187" s="610"/>
      <c r="DY187" s="611">
        <v>0</v>
      </c>
      <c r="DZ187" s="610"/>
      <c r="EA187" s="611">
        <v>1</v>
      </c>
      <c r="EB187" s="611">
        <v>0</v>
      </c>
      <c r="EC187" s="610"/>
      <c r="ED187" s="610"/>
      <c r="EE187" s="612"/>
      <c r="EF187" s="612"/>
      <c r="EG187" s="613">
        <v>1</v>
      </c>
      <c r="EH187" s="614"/>
      <c r="EL187" s="615"/>
      <c r="EM187" s="616" t="s">
        <v>1239</v>
      </c>
      <c r="EN187" s="617"/>
      <c r="EO187" s="617"/>
      <c r="EP187" s="618">
        <v>0</v>
      </c>
      <c r="EQ187" s="618">
        <v>0</v>
      </c>
      <c r="ER187" s="618">
        <v>0</v>
      </c>
      <c r="ES187" s="618">
        <v>0</v>
      </c>
      <c r="ET187" s="618">
        <v>1</v>
      </c>
      <c r="EU187" s="618">
        <v>5</v>
      </c>
      <c r="EV187" s="618">
        <v>0</v>
      </c>
      <c r="EW187" s="618">
        <v>2</v>
      </c>
      <c r="EX187" s="618">
        <v>8</v>
      </c>
      <c r="EY187" s="515"/>
      <c r="FA187" s="70"/>
      <c r="FB187" s="70"/>
      <c r="FC187" s="70"/>
      <c r="FD187" s="42" t="s">
        <v>1239</v>
      </c>
      <c r="FE187" s="70"/>
      <c r="FF187" s="70">
        <v>0</v>
      </c>
      <c r="FG187" s="70">
        <v>0</v>
      </c>
      <c r="FH187" s="70">
        <v>0</v>
      </c>
      <c r="FI187" s="70">
        <v>0</v>
      </c>
      <c r="FJ187" s="70">
        <v>0</v>
      </c>
      <c r="FK187" s="70">
        <v>0</v>
      </c>
      <c r="FL187" s="70">
        <v>5</v>
      </c>
      <c r="FM187" s="70"/>
      <c r="FN187" s="70">
        <v>3</v>
      </c>
      <c r="FO187" s="70">
        <v>8</v>
      </c>
      <c r="FP187" s="42"/>
      <c r="FQ187" s="42"/>
      <c r="FR187" s="516"/>
      <c r="FS187" s="516"/>
      <c r="FT187" s="516"/>
      <c r="FU187" s="516" t="s">
        <v>1239</v>
      </c>
      <c r="FV187" s="516">
        <v>0</v>
      </c>
      <c r="FW187" s="516">
        <v>0</v>
      </c>
      <c r="FX187" s="516">
        <v>0</v>
      </c>
      <c r="FY187" s="516">
        <v>0</v>
      </c>
      <c r="FZ187" s="516">
        <v>0</v>
      </c>
      <c r="GA187" s="516">
        <v>0</v>
      </c>
      <c r="GB187" s="516">
        <v>2</v>
      </c>
      <c r="GC187" s="516">
        <v>2</v>
      </c>
      <c r="GD187" s="516">
        <v>10</v>
      </c>
      <c r="GE187" s="516">
        <v>0</v>
      </c>
      <c r="GF187" s="516">
        <v>0</v>
      </c>
      <c r="GG187" s="517">
        <v>14</v>
      </c>
      <c r="GH187" s="516"/>
      <c r="GI187" s="518"/>
    </row>
    <row r="188" spans="2:191">
      <c r="D188" s="4800" t="s">
        <v>1239</v>
      </c>
      <c r="E188" s="4606"/>
      <c r="F188" s="4606"/>
      <c r="G188" s="4606"/>
      <c r="H188" s="4606"/>
      <c r="I188" s="4606"/>
      <c r="J188" s="4606"/>
      <c r="K188" s="4606">
        <v>0</v>
      </c>
      <c r="L188" s="4606">
        <v>4</v>
      </c>
      <c r="M188" s="4606"/>
      <c r="N188" s="2552"/>
      <c r="O188" s="2552"/>
      <c r="P188" s="2552">
        <v>4</v>
      </c>
      <c r="Q188" s="2552"/>
      <c r="R188" s="2552"/>
      <c r="U188" s="1793" t="s">
        <v>547</v>
      </c>
      <c r="V188" s="1793" t="s">
        <v>1230</v>
      </c>
      <c r="W188" s="4804"/>
      <c r="X188" s="4804"/>
      <c r="Y188" s="4804"/>
      <c r="Z188" s="4804"/>
      <c r="AA188" s="4804"/>
      <c r="AB188" s="4804">
        <v>0</v>
      </c>
      <c r="AC188" s="4804">
        <v>1</v>
      </c>
      <c r="AD188" s="4804"/>
      <c r="AE188" s="4702"/>
      <c r="AF188" s="4702">
        <v>1</v>
      </c>
      <c r="AG188" s="1793"/>
      <c r="AI188" s="41"/>
      <c r="AJ188" s="41"/>
      <c r="AK188" s="41"/>
      <c r="AL188" s="41" t="s">
        <v>1239</v>
      </c>
      <c r="AM188" s="2001"/>
      <c r="AN188" s="2001"/>
      <c r="AO188" s="2001"/>
      <c r="AP188" s="2001"/>
      <c r="AQ188" s="2001">
        <v>0</v>
      </c>
      <c r="AR188" s="2001"/>
      <c r="AS188" s="2001">
        <v>0</v>
      </c>
      <c r="AT188" s="2001">
        <v>9</v>
      </c>
      <c r="AU188" s="105"/>
      <c r="AV188" s="105"/>
      <c r="AW188" s="105">
        <v>9</v>
      </c>
      <c r="AX188" s="41"/>
      <c r="AZ188" s="42"/>
      <c r="BA188" s="42"/>
      <c r="BB188" s="42"/>
      <c r="BC188" s="42" t="s">
        <v>1344</v>
      </c>
      <c r="BD188" s="1993"/>
      <c r="BE188" s="1993"/>
      <c r="BF188" s="1993"/>
      <c r="BG188" s="1993"/>
      <c r="BH188" s="1993"/>
      <c r="BI188" s="1993"/>
      <c r="BJ188" s="1993">
        <v>2</v>
      </c>
      <c r="BK188" s="1993">
        <v>0</v>
      </c>
      <c r="BL188" s="1993">
        <v>0</v>
      </c>
      <c r="BM188" s="70"/>
      <c r="BN188" s="70"/>
      <c r="BO188" s="70">
        <v>2</v>
      </c>
      <c r="BR188" s="105"/>
      <c r="BS188" s="105"/>
      <c r="BT188" s="41"/>
      <c r="BU188" s="41" t="s">
        <v>1231</v>
      </c>
      <c r="BV188" s="1659"/>
      <c r="BW188" s="1659">
        <v>0</v>
      </c>
      <c r="BX188" s="1659">
        <v>1</v>
      </c>
      <c r="BY188" s="1659"/>
      <c r="BZ188" s="1659"/>
      <c r="CA188" s="1659">
        <v>1</v>
      </c>
      <c r="CB188" s="1659">
        <v>3</v>
      </c>
      <c r="CC188" s="1659">
        <v>5</v>
      </c>
      <c r="CD188" s="1659">
        <v>0</v>
      </c>
      <c r="CE188" s="105"/>
      <c r="CF188" s="105"/>
      <c r="CG188" s="105">
        <v>10</v>
      </c>
      <c r="CH188" s="105"/>
      <c r="CJ188" s="1359"/>
      <c r="CK188" s="1359"/>
      <c r="CL188" s="1360"/>
      <c r="CM188" s="1361" t="s">
        <v>1239</v>
      </c>
      <c r="CN188" s="1362"/>
      <c r="CO188" s="1362"/>
      <c r="CP188" s="1362"/>
      <c r="CQ188" s="1362"/>
      <c r="CR188" s="1362"/>
      <c r="CS188" s="1363">
        <v>0</v>
      </c>
      <c r="CT188" s="1363">
        <v>1</v>
      </c>
      <c r="CU188" s="1363">
        <v>16</v>
      </c>
      <c r="CV188" s="686"/>
      <c r="CW188" s="686"/>
      <c r="CX188" s="687">
        <v>17</v>
      </c>
      <c r="CY188" s="41"/>
      <c r="DA188" s="602"/>
      <c r="DB188" s="602"/>
      <c r="DC188" s="603" t="s">
        <v>135</v>
      </c>
      <c r="DD188" s="604" t="s">
        <v>1231</v>
      </c>
      <c r="DE188" s="605"/>
      <c r="DF188" s="605"/>
      <c r="DG188" s="605"/>
      <c r="DH188" s="605"/>
      <c r="DI188" s="605"/>
      <c r="DJ188" s="606">
        <v>14</v>
      </c>
      <c r="DK188" s="606">
        <v>1</v>
      </c>
      <c r="DL188" s="606">
        <v>0</v>
      </c>
      <c r="DM188" s="602"/>
      <c r="DN188" s="602"/>
      <c r="DO188" s="607">
        <v>15</v>
      </c>
      <c r="DP188" s="105"/>
      <c r="DR188" s="608"/>
      <c r="DS188" s="608"/>
      <c r="DT188" s="608"/>
      <c r="DU188" s="620" t="s">
        <v>15</v>
      </c>
      <c r="DV188" s="621"/>
      <c r="DW188" s="621"/>
      <c r="DX188" s="621"/>
      <c r="DY188" s="622">
        <v>1</v>
      </c>
      <c r="DZ188" s="621"/>
      <c r="EA188" s="622">
        <v>6</v>
      </c>
      <c r="EB188" s="622">
        <v>6</v>
      </c>
      <c r="EC188" s="621"/>
      <c r="ED188" s="621"/>
      <c r="EE188" s="623"/>
      <c r="EF188" s="623"/>
      <c r="EG188" s="624">
        <v>13</v>
      </c>
      <c r="EH188" s="614">
        <f>+(EG187+EG186+EG185)/EG188</f>
        <v>0.53846153846153844</v>
      </c>
      <c r="EL188" s="615"/>
      <c r="EM188" s="616" t="s">
        <v>1240</v>
      </c>
      <c r="EN188" s="617"/>
      <c r="EO188" s="617"/>
      <c r="EP188" s="618">
        <v>0</v>
      </c>
      <c r="EQ188" s="618">
        <v>0</v>
      </c>
      <c r="ER188" s="618">
        <v>1</v>
      </c>
      <c r="ES188" s="618">
        <v>6</v>
      </c>
      <c r="ET188" s="618">
        <v>1</v>
      </c>
      <c r="EU188" s="618">
        <v>1</v>
      </c>
      <c r="EV188" s="618">
        <v>0</v>
      </c>
      <c r="EW188" s="618">
        <v>0</v>
      </c>
      <c r="EX188" s="618">
        <v>9</v>
      </c>
      <c r="EY188" s="515"/>
      <c r="FA188" s="70"/>
      <c r="FB188" s="70"/>
      <c r="FC188" s="70"/>
      <c r="FD188" s="42" t="s">
        <v>1240</v>
      </c>
      <c r="FE188" s="70"/>
      <c r="FF188" s="70">
        <v>0</v>
      </c>
      <c r="FG188" s="70">
        <v>0</v>
      </c>
      <c r="FH188" s="70">
        <v>0</v>
      </c>
      <c r="FI188" s="70">
        <v>0</v>
      </c>
      <c r="FJ188" s="70">
        <v>1</v>
      </c>
      <c r="FK188" s="70">
        <v>3</v>
      </c>
      <c r="FL188" s="70">
        <v>0</v>
      </c>
      <c r="FM188" s="70"/>
      <c r="FN188" s="70">
        <v>0</v>
      </c>
      <c r="FO188" s="70">
        <v>4</v>
      </c>
      <c r="FP188" s="42"/>
      <c r="FQ188" s="42"/>
      <c r="FR188" s="516"/>
      <c r="FS188" s="516"/>
      <c r="FT188" s="516"/>
      <c r="FU188" s="516" t="s">
        <v>1240</v>
      </c>
      <c r="FV188" s="516">
        <v>0</v>
      </c>
      <c r="FW188" s="516">
        <v>0</v>
      </c>
      <c r="FX188" s="516">
        <v>0</v>
      </c>
      <c r="FY188" s="516">
        <v>0</v>
      </c>
      <c r="FZ188" s="516">
        <v>0</v>
      </c>
      <c r="GA188" s="516">
        <v>0</v>
      </c>
      <c r="GB188" s="516">
        <v>0</v>
      </c>
      <c r="GC188" s="516">
        <v>2</v>
      </c>
      <c r="GD188" s="516">
        <v>0</v>
      </c>
      <c r="GE188" s="516">
        <v>0</v>
      </c>
      <c r="GF188" s="516">
        <v>0</v>
      </c>
      <c r="GG188" s="517">
        <v>2</v>
      </c>
      <c r="GH188" s="516"/>
      <c r="GI188" s="518"/>
    </row>
    <row r="189" spans="2:191">
      <c r="D189" s="4800" t="s">
        <v>1344</v>
      </c>
      <c r="E189" s="4606"/>
      <c r="F189" s="4606"/>
      <c r="G189" s="4606"/>
      <c r="H189" s="4606"/>
      <c r="I189" s="4606"/>
      <c r="J189" s="4606"/>
      <c r="K189" s="4606">
        <v>0</v>
      </c>
      <c r="L189" s="4606">
        <v>2</v>
      </c>
      <c r="M189" s="4606"/>
      <c r="N189" s="2552"/>
      <c r="O189" s="2552"/>
      <c r="P189" s="2552">
        <v>2</v>
      </c>
      <c r="Q189" s="2552"/>
      <c r="R189" s="2552"/>
      <c r="U189" s="1793"/>
      <c r="V189" s="1793" t="s">
        <v>1231</v>
      </c>
      <c r="W189" s="4804"/>
      <c r="X189" s="4804"/>
      <c r="Y189" s="4804"/>
      <c r="Z189" s="4804"/>
      <c r="AA189" s="4804"/>
      <c r="AB189" s="4804">
        <v>2</v>
      </c>
      <c r="AC189" s="4804">
        <v>0</v>
      </c>
      <c r="AD189" s="4804"/>
      <c r="AE189" s="4702"/>
      <c r="AF189" s="4702">
        <v>2</v>
      </c>
      <c r="AG189" s="1793"/>
      <c r="AI189" s="41"/>
      <c r="AJ189" s="41"/>
      <c r="AK189" s="41"/>
      <c r="AL189" s="461" t="s">
        <v>15</v>
      </c>
      <c r="AM189" s="2002"/>
      <c r="AN189" s="2002"/>
      <c r="AO189" s="2002"/>
      <c r="AP189" s="2002"/>
      <c r="AQ189" s="2002">
        <v>1</v>
      </c>
      <c r="AR189" s="2002"/>
      <c r="AS189" s="2002">
        <v>4</v>
      </c>
      <c r="AT189" s="2002">
        <v>9</v>
      </c>
      <c r="AU189" s="2480"/>
      <c r="AV189" s="2480"/>
      <c r="AW189" s="2480">
        <v>14</v>
      </c>
      <c r="AX189" s="635">
        <f>+AW187/AW189</f>
        <v>0.21428571428571427</v>
      </c>
      <c r="AY189" s="1977"/>
      <c r="AZ189" s="42"/>
      <c r="BA189" s="42"/>
      <c r="BB189" s="42"/>
      <c r="BC189" s="484" t="s">
        <v>15</v>
      </c>
      <c r="BD189" s="1994"/>
      <c r="BE189" s="1994"/>
      <c r="BF189" s="1994"/>
      <c r="BG189" s="1994"/>
      <c r="BH189" s="1994"/>
      <c r="BI189" s="1994"/>
      <c r="BJ189" s="1994">
        <v>2</v>
      </c>
      <c r="BK189" s="1994">
        <v>5</v>
      </c>
      <c r="BL189" s="1994">
        <v>7</v>
      </c>
      <c r="BM189" s="454"/>
      <c r="BN189" s="454"/>
      <c r="BO189" s="454">
        <v>14</v>
      </c>
      <c r="BP189" s="2485">
        <f>+(BO186+BO188)/BO189</f>
        <v>0.5</v>
      </c>
      <c r="BR189" s="105"/>
      <c r="BS189" s="105"/>
      <c r="BT189" s="41"/>
      <c r="BU189" s="41" t="s">
        <v>1233</v>
      </c>
      <c r="BV189" s="1659"/>
      <c r="BW189" s="1659">
        <v>2</v>
      </c>
      <c r="BX189" s="1659">
        <v>0</v>
      </c>
      <c r="BY189" s="1659"/>
      <c r="BZ189" s="1659"/>
      <c r="CA189" s="1659">
        <v>0</v>
      </c>
      <c r="CB189" s="1659">
        <v>0</v>
      </c>
      <c r="CC189" s="1659">
        <v>0</v>
      </c>
      <c r="CD189" s="1659">
        <v>0</v>
      </c>
      <c r="CE189" s="105"/>
      <c r="CF189" s="105"/>
      <c r="CG189" s="105">
        <v>2</v>
      </c>
      <c r="CH189" s="105"/>
      <c r="CJ189" s="1359"/>
      <c r="CK189" s="1359"/>
      <c r="CL189" s="1360"/>
      <c r="CM189" s="1361" t="s">
        <v>1344</v>
      </c>
      <c r="CN189" s="1362"/>
      <c r="CO189" s="1362"/>
      <c r="CP189" s="1362"/>
      <c r="CQ189" s="1362"/>
      <c r="CR189" s="1362"/>
      <c r="CS189" s="1363">
        <v>3</v>
      </c>
      <c r="CT189" s="1363">
        <v>2</v>
      </c>
      <c r="CU189" s="1363">
        <v>0</v>
      </c>
      <c r="CV189" s="686"/>
      <c r="CW189" s="686"/>
      <c r="CX189" s="687">
        <v>5</v>
      </c>
      <c r="CY189" s="41"/>
      <c r="DA189" s="602"/>
      <c r="DB189" s="602"/>
      <c r="DC189" s="603"/>
      <c r="DD189" s="604" t="s">
        <v>1235</v>
      </c>
      <c r="DE189" s="605"/>
      <c r="DF189" s="605"/>
      <c r="DG189" s="605"/>
      <c r="DH189" s="605"/>
      <c r="DI189" s="605"/>
      <c r="DJ189" s="606">
        <v>1</v>
      </c>
      <c r="DK189" s="606">
        <v>0</v>
      </c>
      <c r="DL189" s="606">
        <v>0</v>
      </c>
      <c r="DM189" s="602"/>
      <c r="DN189" s="602"/>
      <c r="DO189" s="607">
        <v>1</v>
      </c>
      <c r="DP189" s="105"/>
      <c r="DR189" s="608"/>
      <c r="DS189" s="608"/>
      <c r="DT189" s="608" t="s">
        <v>141</v>
      </c>
      <c r="DU189" s="609" t="s">
        <v>1231</v>
      </c>
      <c r="DV189" s="610"/>
      <c r="DW189" s="610"/>
      <c r="DX189" s="610"/>
      <c r="DY189" s="611">
        <v>1</v>
      </c>
      <c r="DZ189" s="610"/>
      <c r="EA189" s="610"/>
      <c r="EB189" s="611">
        <v>1</v>
      </c>
      <c r="EC189" s="611">
        <v>4</v>
      </c>
      <c r="ED189" s="610"/>
      <c r="EE189" s="612"/>
      <c r="EF189" s="612"/>
      <c r="EG189" s="613">
        <v>6</v>
      </c>
      <c r="EH189" s="614"/>
      <c r="EL189" s="615"/>
      <c r="EM189" s="616" t="s">
        <v>1344</v>
      </c>
      <c r="EN189" s="617"/>
      <c r="EO189" s="617"/>
      <c r="EP189" s="618">
        <v>0</v>
      </c>
      <c r="EQ189" s="618">
        <v>0</v>
      </c>
      <c r="ER189" s="618">
        <v>0</v>
      </c>
      <c r="ES189" s="618">
        <v>2</v>
      </c>
      <c r="ET189" s="618">
        <v>2</v>
      </c>
      <c r="EU189" s="618">
        <v>0</v>
      </c>
      <c r="EV189" s="618">
        <v>0</v>
      </c>
      <c r="EW189" s="618">
        <v>0</v>
      </c>
      <c r="EX189" s="618">
        <v>4</v>
      </c>
      <c r="EY189" s="515"/>
      <c r="FA189" s="70"/>
      <c r="FB189" s="70"/>
      <c r="FC189" s="70"/>
      <c r="FD189" s="42" t="s">
        <v>1344</v>
      </c>
      <c r="FE189" s="70"/>
      <c r="FF189" s="70">
        <v>0</v>
      </c>
      <c r="FG189" s="70">
        <v>0</v>
      </c>
      <c r="FH189" s="70">
        <v>0</v>
      </c>
      <c r="FI189" s="70">
        <v>1</v>
      </c>
      <c r="FJ189" s="70">
        <v>1</v>
      </c>
      <c r="FK189" s="70">
        <v>1</v>
      </c>
      <c r="FL189" s="70">
        <v>1</v>
      </c>
      <c r="FM189" s="70"/>
      <c r="FN189" s="70">
        <v>0</v>
      </c>
      <c r="FO189" s="70">
        <v>4</v>
      </c>
      <c r="FP189" s="42"/>
      <c r="FQ189" s="42"/>
      <c r="FR189" s="516"/>
      <c r="FS189" s="516"/>
      <c r="FT189" s="516"/>
      <c r="FU189" s="516" t="s">
        <v>1344</v>
      </c>
      <c r="FV189" s="516">
        <v>0</v>
      </c>
      <c r="FW189" s="516">
        <v>0</v>
      </c>
      <c r="FX189" s="516">
        <v>0</v>
      </c>
      <c r="FY189" s="516">
        <v>0</v>
      </c>
      <c r="FZ189" s="516">
        <v>0</v>
      </c>
      <c r="GA189" s="516">
        <v>0</v>
      </c>
      <c r="GB189" s="516">
        <v>0</v>
      </c>
      <c r="GC189" s="516">
        <v>1</v>
      </c>
      <c r="GD189" s="516">
        <v>0</v>
      </c>
      <c r="GE189" s="516">
        <v>0</v>
      </c>
      <c r="GF189" s="516">
        <v>0</v>
      </c>
      <c r="GG189" s="517">
        <v>1</v>
      </c>
      <c r="GH189" s="516"/>
      <c r="GI189" s="518"/>
    </row>
    <row r="190" spans="2:191">
      <c r="D190" s="32" t="s">
        <v>15</v>
      </c>
      <c r="E190" s="4607"/>
      <c r="F190" s="4607"/>
      <c r="G190" s="4607"/>
      <c r="H190" s="4607"/>
      <c r="I190" s="4607"/>
      <c r="J190" s="4607"/>
      <c r="K190" s="4607">
        <v>1</v>
      </c>
      <c r="L190" s="4607">
        <v>14</v>
      </c>
      <c r="M190" s="4607"/>
      <c r="N190" s="4583"/>
      <c r="O190" s="4583"/>
      <c r="P190" s="4583">
        <v>15</v>
      </c>
      <c r="Q190" s="1977">
        <f>+(P187+P189)/P190</f>
        <v>0.73333333333333328</v>
      </c>
      <c r="R190" s="1977"/>
      <c r="U190" s="1793"/>
      <c r="V190" s="1793" t="s">
        <v>1235</v>
      </c>
      <c r="W190" s="4804"/>
      <c r="X190" s="4804"/>
      <c r="Y190" s="4804"/>
      <c r="Z190" s="4804"/>
      <c r="AA190" s="4804"/>
      <c r="AB190" s="4804">
        <v>15</v>
      </c>
      <c r="AC190" s="4804">
        <v>8</v>
      </c>
      <c r="AD190" s="4804"/>
      <c r="AE190" s="4702"/>
      <c r="AF190" s="4702">
        <v>23</v>
      </c>
      <c r="AG190" s="1793"/>
      <c r="AI190" s="41"/>
      <c r="AJ190" s="41"/>
      <c r="AK190" s="461" t="s">
        <v>547</v>
      </c>
      <c r="AL190" s="461" t="s">
        <v>1230</v>
      </c>
      <c r="AM190" s="2002">
        <v>0</v>
      </c>
      <c r="AN190" s="2002">
        <v>0</v>
      </c>
      <c r="AO190" s="2002">
        <v>0</v>
      </c>
      <c r="AP190" s="2002"/>
      <c r="AQ190" s="2002">
        <v>0</v>
      </c>
      <c r="AR190" s="2002">
        <v>0</v>
      </c>
      <c r="AS190" s="2002">
        <v>1</v>
      </c>
      <c r="AT190" s="2002">
        <v>0</v>
      </c>
      <c r="AU190" s="2480"/>
      <c r="AV190" s="2480"/>
      <c r="AW190" s="2480">
        <v>1</v>
      </c>
      <c r="AX190" s="41"/>
      <c r="AZ190" s="42"/>
      <c r="BA190" s="42"/>
      <c r="BB190" s="42" t="s">
        <v>131</v>
      </c>
      <c r="BC190" s="42" t="s">
        <v>1231</v>
      </c>
      <c r="BD190" s="1993"/>
      <c r="BE190" s="1993"/>
      <c r="BF190" s="1993"/>
      <c r="BG190" s="1993"/>
      <c r="BH190" s="1993"/>
      <c r="BI190" s="1993"/>
      <c r="BJ190" s="1993">
        <v>0</v>
      </c>
      <c r="BK190" s="1993">
        <v>1</v>
      </c>
      <c r="BL190" s="1993">
        <v>0</v>
      </c>
      <c r="BM190" s="70"/>
      <c r="BN190" s="70"/>
      <c r="BO190" s="70">
        <v>1</v>
      </c>
      <c r="BR190" s="105"/>
      <c r="BS190" s="105"/>
      <c r="BT190" s="41"/>
      <c r="BU190" s="41" t="s">
        <v>1235</v>
      </c>
      <c r="BV190" s="1659"/>
      <c r="BW190" s="1659">
        <v>0</v>
      </c>
      <c r="BX190" s="1659">
        <v>0</v>
      </c>
      <c r="BY190" s="1659"/>
      <c r="BZ190" s="1659"/>
      <c r="CA190" s="1659">
        <v>0</v>
      </c>
      <c r="CB190" s="1659">
        <v>1</v>
      </c>
      <c r="CC190" s="1659">
        <v>13</v>
      </c>
      <c r="CD190" s="1659">
        <v>0</v>
      </c>
      <c r="CE190" s="105"/>
      <c r="CF190" s="105"/>
      <c r="CG190" s="105">
        <v>14</v>
      </c>
      <c r="CH190" s="105"/>
      <c r="CJ190" s="1359"/>
      <c r="CK190" s="1359"/>
      <c r="CL190" s="1360"/>
      <c r="CM190" s="483" t="s">
        <v>15</v>
      </c>
      <c r="CN190" s="1364"/>
      <c r="CO190" s="1364"/>
      <c r="CP190" s="1364"/>
      <c r="CQ190" s="1364"/>
      <c r="CR190" s="1364"/>
      <c r="CS190" s="1365">
        <v>5</v>
      </c>
      <c r="CT190" s="1365">
        <v>3</v>
      </c>
      <c r="CU190" s="1365">
        <v>16</v>
      </c>
      <c r="CV190" s="695"/>
      <c r="CW190" s="695"/>
      <c r="CX190" s="696">
        <v>24</v>
      </c>
      <c r="CY190" s="1325">
        <f>+(CX187+CX189)/CX190</f>
        <v>0.25</v>
      </c>
      <c r="DA190" s="602"/>
      <c r="DB190" s="602"/>
      <c r="DC190" s="603"/>
      <c r="DD190" s="604" t="s">
        <v>1239</v>
      </c>
      <c r="DE190" s="605"/>
      <c r="DF190" s="605"/>
      <c r="DG190" s="605"/>
      <c r="DH190" s="605"/>
      <c r="DI190" s="605"/>
      <c r="DJ190" s="606">
        <v>0</v>
      </c>
      <c r="DK190" s="606">
        <v>0</v>
      </c>
      <c r="DL190" s="606">
        <v>1</v>
      </c>
      <c r="DM190" s="602"/>
      <c r="DN190" s="602"/>
      <c r="DO190" s="607">
        <v>1</v>
      </c>
      <c r="DP190" s="105"/>
      <c r="DR190" s="608"/>
      <c r="DS190" s="608"/>
      <c r="DT190" s="608"/>
      <c r="DU190" s="609" t="s">
        <v>1235</v>
      </c>
      <c r="DV190" s="610"/>
      <c r="DW190" s="610"/>
      <c r="DX190" s="610"/>
      <c r="DY190" s="611">
        <v>0</v>
      </c>
      <c r="DZ190" s="610"/>
      <c r="EA190" s="610"/>
      <c r="EB190" s="611">
        <v>1</v>
      </c>
      <c r="EC190" s="611">
        <v>0</v>
      </c>
      <c r="ED190" s="610"/>
      <c r="EE190" s="612"/>
      <c r="EF190" s="612"/>
      <c r="EG190" s="613">
        <v>1</v>
      </c>
      <c r="EH190" s="614"/>
      <c r="EL190" s="615"/>
      <c r="EM190" s="625" t="s">
        <v>544</v>
      </c>
      <c r="EN190" s="626"/>
      <c r="EO190" s="626"/>
      <c r="EP190" s="627">
        <v>2</v>
      </c>
      <c r="EQ190" s="627">
        <v>1</v>
      </c>
      <c r="ER190" s="627">
        <v>2</v>
      </c>
      <c r="ES190" s="627">
        <v>15</v>
      </c>
      <c r="ET190" s="627">
        <v>7</v>
      </c>
      <c r="EU190" s="627">
        <v>9</v>
      </c>
      <c r="EV190" s="627">
        <v>1</v>
      </c>
      <c r="EW190" s="627">
        <v>4</v>
      </c>
      <c r="EX190" s="627">
        <v>41</v>
      </c>
      <c r="EY190" s="628">
        <f>+(EX189+EX188+EX185)/EX190</f>
        <v>0.3902439024390244</v>
      </c>
      <c r="FA190" s="70"/>
      <c r="FB190" s="70"/>
      <c r="FC190" s="70"/>
      <c r="FD190" s="484" t="s">
        <v>15</v>
      </c>
      <c r="FE190" s="454"/>
      <c r="FF190" s="454">
        <v>3</v>
      </c>
      <c r="FG190" s="454">
        <v>2</v>
      </c>
      <c r="FH190" s="454">
        <v>1</v>
      </c>
      <c r="FI190" s="454">
        <v>2</v>
      </c>
      <c r="FJ190" s="454">
        <v>8</v>
      </c>
      <c r="FK190" s="454">
        <v>11</v>
      </c>
      <c r="FL190" s="454">
        <v>9</v>
      </c>
      <c r="FM190" s="454"/>
      <c r="FN190" s="454">
        <v>3</v>
      </c>
      <c r="FO190" s="454">
        <v>39</v>
      </c>
      <c r="FP190" s="536">
        <f>+(FO185+FO188+FO189)/FO190</f>
        <v>0.23076923076923078</v>
      </c>
      <c r="FQ190" s="42"/>
      <c r="FR190" s="516"/>
      <c r="FS190" s="516"/>
      <c r="FT190" s="516"/>
      <c r="FU190" s="519" t="s">
        <v>15</v>
      </c>
      <c r="FV190" s="519">
        <v>0</v>
      </c>
      <c r="FW190" s="519">
        <v>0</v>
      </c>
      <c r="FX190" s="519">
        <v>2</v>
      </c>
      <c r="FY190" s="519">
        <v>0</v>
      </c>
      <c r="FZ190" s="519">
        <v>4</v>
      </c>
      <c r="GA190" s="519">
        <v>0</v>
      </c>
      <c r="GB190" s="519">
        <v>4</v>
      </c>
      <c r="GC190" s="519">
        <v>9</v>
      </c>
      <c r="GD190" s="519">
        <v>13</v>
      </c>
      <c r="GE190" s="519">
        <v>0</v>
      </c>
      <c r="GF190" s="519">
        <v>0</v>
      </c>
      <c r="GG190" s="579">
        <v>32</v>
      </c>
      <c r="GH190" s="520">
        <f>+(GG189+GG188+GG185)/GG190</f>
        <v>0.21875</v>
      </c>
      <c r="GI190" s="518">
        <f>+GG185+GG188+GG189</f>
        <v>7</v>
      </c>
    </row>
    <row r="191" spans="2:191">
      <c r="C191" s="4800" t="s">
        <v>129</v>
      </c>
      <c r="D191" s="4800" t="s">
        <v>1231</v>
      </c>
      <c r="E191" s="4606">
        <v>0</v>
      </c>
      <c r="F191" s="4606"/>
      <c r="G191" s="4606"/>
      <c r="H191" s="4606"/>
      <c r="I191" s="4606"/>
      <c r="J191" s="4606"/>
      <c r="K191" s="4606">
        <v>2</v>
      </c>
      <c r="L191" s="4606">
        <v>0</v>
      </c>
      <c r="M191" s="4606">
        <v>0</v>
      </c>
      <c r="N191" s="2552"/>
      <c r="O191" s="2552"/>
      <c r="P191" s="2552">
        <v>2</v>
      </c>
      <c r="Q191" s="2552"/>
      <c r="R191" s="2552"/>
      <c r="U191" s="1793"/>
      <c r="V191" s="1793" t="s">
        <v>1239</v>
      </c>
      <c r="W191" s="4804"/>
      <c r="X191" s="4804"/>
      <c r="Y191" s="4804"/>
      <c r="Z191" s="4804"/>
      <c r="AA191" s="4804"/>
      <c r="AB191" s="4804">
        <v>0</v>
      </c>
      <c r="AC191" s="4804">
        <v>26</v>
      </c>
      <c r="AD191" s="4804"/>
      <c r="AE191" s="4702"/>
      <c r="AF191" s="4702">
        <v>26</v>
      </c>
      <c r="AG191" s="1793"/>
      <c r="AI191" s="41"/>
      <c r="AJ191" s="41"/>
      <c r="AK191" s="461"/>
      <c r="AL191" s="461" t="s">
        <v>1231</v>
      </c>
      <c r="AM191" s="2002">
        <v>0</v>
      </c>
      <c r="AN191" s="2002">
        <v>1</v>
      </c>
      <c r="AO191" s="2002">
        <v>1</v>
      </c>
      <c r="AP191" s="2002"/>
      <c r="AQ191" s="2002">
        <v>1</v>
      </c>
      <c r="AR191" s="2002">
        <v>2</v>
      </c>
      <c r="AS191" s="2002">
        <v>1</v>
      </c>
      <c r="AT191" s="2002">
        <v>0</v>
      </c>
      <c r="AU191" s="2480"/>
      <c r="AV191" s="2480"/>
      <c r="AW191" s="2480">
        <v>6</v>
      </c>
      <c r="AX191" s="41"/>
      <c r="AZ191" s="42"/>
      <c r="BA191" s="42"/>
      <c r="BB191" s="42"/>
      <c r="BC191" s="42" t="s">
        <v>1235</v>
      </c>
      <c r="BD191" s="1993"/>
      <c r="BE191" s="1993"/>
      <c r="BF191" s="1993"/>
      <c r="BG191" s="1993"/>
      <c r="BH191" s="1993"/>
      <c r="BI191" s="1993"/>
      <c r="BJ191" s="1993">
        <v>1</v>
      </c>
      <c r="BK191" s="1993">
        <v>4</v>
      </c>
      <c r="BL191" s="1993">
        <v>0</v>
      </c>
      <c r="BM191" s="70"/>
      <c r="BN191" s="70"/>
      <c r="BO191" s="70">
        <v>5</v>
      </c>
      <c r="BR191" s="105"/>
      <c r="BS191" s="105"/>
      <c r="BT191" s="41"/>
      <c r="BU191" s="41" t="s">
        <v>1239</v>
      </c>
      <c r="BV191" s="1659"/>
      <c r="BW191" s="1659">
        <v>0</v>
      </c>
      <c r="BX191" s="1659">
        <v>0</v>
      </c>
      <c r="BY191" s="1659"/>
      <c r="BZ191" s="1659"/>
      <c r="CA191" s="1659">
        <v>0</v>
      </c>
      <c r="CB191" s="1659">
        <v>0</v>
      </c>
      <c r="CC191" s="1659">
        <v>0</v>
      </c>
      <c r="CD191" s="1659">
        <v>19</v>
      </c>
      <c r="CE191" s="105"/>
      <c r="CF191" s="105"/>
      <c r="CG191" s="105">
        <v>19</v>
      </c>
      <c r="CH191" s="105"/>
      <c r="CJ191" s="1359"/>
      <c r="CK191" s="1359"/>
      <c r="CL191" s="1360" t="s">
        <v>547</v>
      </c>
      <c r="CM191" s="1361" t="s">
        <v>1230</v>
      </c>
      <c r="CN191" s="1363">
        <v>0</v>
      </c>
      <c r="CO191" s="1362"/>
      <c r="CP191" s="1362"/>
      <c r="CQ191" s="1362"/>
      <c r="CR191" s="1362"/>
      <c r="CS191" s="1363">
        <v>0</v>
      </c>
      <c r="CT191" s="1363">
        <v>1</v>
      </c>
      <c r="CU191" s="1363">
        <v>1</v>
      </c>
      <c r="CV191" s="686"/>
      <c r="CW191" s="686"/>
      <c r="CX191" s="687">
        <v>2</v>
      </c>
      <c r="CY191" s="41"/>
      <c r="DA191" s="602"/>
      <c r="DB191" s="602"/>
      <c r="DC191" s="603"/>
      <c r="DD191" s="604" t="s">
        <v>1240</v>
      </c>
      <c r="DE191" s="605"/>
      <c r="DF191" s="605"/>
      <c r="DG191" s="605"/>
      <c r="DH191" s="605"/>
      <c r="DI191" s="605"/>
      <c r="DJ191" s="606">
        <v>2</v>
      </c>
      <c r="DK191" s="606">
        <v>0</v>
      </c>
      <c r="DL191" s="606">
        <v>0</v>
      </c>
      <c r="DM191" s="602"/>
      <c r="DN191" s="602"/>
      <c r="DO191" s="607">
        <v>2</v>
      </c>
      <c r="DP191" s="105"/>
      <c r="DR191" s="608"/>
      <c r="DS191" s="608"/>
      <c r="DT191" s="608"/>
      <c r="DU191" s="609" t="s">
        <v>1240</v>
      </c>
      <c r="DV191" s="610"/>
      <c r="DW191" s="610"/>
      <c r="DX191" s="610"/>
      <c r="DY191" s="611">
        <v>0</v>
      </c>
      <c r="DZ191" s="610"/>
      <c r="EA191" s="610"/>
      <c r="EB191" s="611">
        <v>1</v>
      </c>
      <c r="EC191" s="611">
        <v>0</v>
      </c>
      <c r="ED191" s="610"/>
      <c r="EE191" s="612"/>
      <c r="EF191" s="612"/>
      <c r="EG191" s="613">
        <v>1</v>
      </c>
      <c r="EH191" s="614"/>
      <c r="EL191" s="615" t="s">
        <v>545</v>
      </c>
      <c r="EM191" s="616" t="s">
        <v>1231</v>
      </c>
      <c r="EN191" s="617"/>
      <c r="EO191" s="617"/>
      <c r="EP191" s="617"/>
      <c r="EQ191" s="617"/>
      <c r="ER191" s="617"/>
      <c r="ES191" s="618">
        <v>3</v>
      </c>
      <c r="ET191" s="618">
        <v>5</v>
      </c>
      <c r="EU191" s="617"/>
      <c r="EV191" s="617"/>
      <c r="EW191" s="617"/>
      <c r="EX191" s="618">
        <v>8</v>
      </c>
      <c r="EY191" s="515"/>
      <c r="FA191" s="70"/>
      <c r="FB191" s="70"/>
      <c r="FC191" s="70" t="s">
        <v>16</v>
      </c>
      <c r="FD191" s="42" t="s">
        <v>1230</v>
      </c>
      <c r="FE191" s="70">
        <v>0</v>
      </c>
      <c r="FF191" s="70">
        <v>0</v>
      </c>
      <c r="FG191" s="70"/>
      <c r="FH191" s="70">
        <v>0</v>
      </c>
      <c r="FI191" s="70"/>
      <c r="FJ191" s="70">
        <v>0</v>
      </c>
      <c r="FK191" s="70">
        <v>1</v>
      </c>
      <c r="FL191" s="70">
        <v>3</v>
      </c>
      <c r="FM191" s="70"/>
      <c r="FN191" s="70"/>
      <c r="FO191" s="70">
        <v>4</v>
      </c>
      <c r="FP191" s="42"/>
      <c r="FQ191" s="42"/>
      <c r="FR191" s="516"/>
      <c r="FS191" s="516"/>
      <c r="FT191" s="516" t="s">
        <v>16</v>
      </c>
      <c r="FU191" s="516" t="s">
        <v>1230</v>
      </c>
      <c r="FV191" s="516">
        <v>0</v>
      </c>
      <c r="FW191" s="516">
        <v>0</v>
      </c>
      <c r="FX191" s="516">
        <v>0</v>
      </c>
      <c r="FY191" s="516">
        <v>0</v>
      </c>
      <c r="FZ191" s="516">
        <v>0</v>
      </c>
      <c r="GA191" s="516">
        <v>0</v>
      </c>
      <c r="GB191" s="516">
        <v>1</v>
      </c>
      <c r="GC191" s="516">
        <v>0</v>
      </c>
      <c r="GD191" s="516">
        <v>0</v>
      </c>
      <c r="GE191" s="516">
        <v>0</v>
      </c>
      <c r="GF191" s="516">
        <v>0</v>
      </c>
      <c r="GG191" s="517">
        <v>1</v>
      </c>
      <c r="GH191" s="516"/>
      <c r="GI191" s="518"/>
    </row>
    <row r="192" spans="2:191">
      <c r="D192" s="4800" t="s">
        <v>1239</v>
      </c>
      <c r="E192" s="4606">
        <v>0</v>
      </c>
      <c r="F192" s="4606"/>
      <c r="G192" s="4606"/>
      <c r="H192" s="4606"/>
      <c r="I192" s="4606"/>
      <c r="J192" s="4606"/>
      <c r="K192" s="4606">
        <v>0</v>
      </c>
      <c r="L192" s="4606">
        <v>0</v>
      </c>
      <c r="M192" s="4606">
        <v>3</v>
      </c>
      <c r="N192" s="2552"/>
      <c r="O192" s="2552"/>
      <c r="P192" s="2552">
        <v>3</v>
      </c>
      <c r="Q192" s="2552"/>
      <c r="R192" s="2552"/>
      <c r="U192" s="1793"/>
      <c r="V192" s="1793" t="s">
        <v>547</v>
      </c>
      <c r="W192" s="4804"/>
      <c r="X192" s="4804"/>
      <c r="Y192" s="4804"/>
      <c r="Z192" s="4804"/>
      <c r="AA192" s="4804"/>
      <c r="AB192" s="4804">
        <v>17</v>
      </c>
      <c r="AC192" s="4804">
        <v>35</v>
      </c>
      <c r="AD192" s="4804"/>
      <c r="AE192" s="4702"/>
      <c r="AF192" s="4702">
        <v>52</v>
      </c>
      <c r="AG192" s="4703">
        <f>+AF190/AF192</f>
        <v>0.44230769230769229</v>
      </c>
      <c r="AI192" s="41"/>
      <c r="AJ192" s="41"/>
      <c r="AK192" s="461"/>
      <c r="AL192" s="461" t="s">
        <v>1233</v>
      </c>
      <c r="AM192" s="2002">
        <v>1</v>
      </c>
      <c r="AN192" s="2002">
        <v>0</v>
      </c>
      <c r="AO192" s="2002">
        <v>0</v>
      </c>
      <c r="AP192" s="2002"/>
      <c r="AQ192" s="2002">
        <v>0</v>
      </c>
      <c r="AR192" s="2002">
        <v>0</v>
      </c>
      <c r="AS192" s="2002">
        <v>0</v>
      </c>
      <c r="AT192" s="2002">
        <v>0</v>
      </c>
      <c r="AU192" s="2480"/>
      <c r="AV192" s="2480"/>
      <c r="AW192" s="2480">
        <v>1</v>
      </c>
      <c r="AX192" s="41"/>
      <c r="AZ192" s="42"/>
      <c r="BA192" s="42"/>
      <c r="BB192" s="42"/>
      <c r="BC192" s="42" t="s">
        <v>1239</v>
      </c>
      <c r="BD192" s="1993"/>
      <c r="BE192" s="1993"/>
      <c r="BF192" s="1993"/>
      <c r="BG192" s="1993"/>
      <c r="BH192" s="1993"/>
      <c r="BI192" s="1993"/>
      <c r="BJ192" s="1993">
        <v>0</v>
      </c>
      <c r="BK192" s="1993">
        <v>0</v>
      </c>
      <c r="BL192" s="1993">
        <v>17</v>
      </c>
      <c r="BM192" s="70"/>
      <c r="BN192" s="70"/>
      <c r="BO192" s="70">
        <v>17</v>
      </c>
      <c r="BR192" s="105"/>
      <c r="BS192" s="105"/>
      <c r="BT192" s="41"/>
      <c r="BU192" s="41" t="s">
        <v>1344</v>
      </c>
      <c r="BV192" s="1659"/>
      <c r="BW192" s="1659">
        <v>0</v>
      </c>
      <c r="BX192" s="1659">
        <v>0</v>
      </c>
      <c r="BY192" s="1659"/>
      <c r="BZ192" s="1659"/>
      <c r="CA192" s="1659">
        <v>0</v>
      </c>
      <c r="CB192" s="1659">
        <v>12</v>
      </c>
      <c r="CC192" s="1659">
        <v>11</v>
      </c>
      <c r="CD192" s="1659">
        <v>0</v>
      </c>
      <c r="CE192" s="105"/>
      <c r="CF192" s="105"/>
      <c r="CG192" s="105">
        <v>23</v>
      </c>
      <c r="CH192" s="105"/>
      <c r="CJ192" s="1359"/>
      <c r="CK192" s="1359"/>
      <c r="CL192" s="1360"/>
      <c r="CM192" s="1361" t="s">
        <v>1231</v>
      </c>
      <c r="CN192" s="1363">
        <v>1</v>
      </c>
      <c r="CO192" s="1362"/>
      <c r="CP192" s="1362"/>
      <c r="CQ192" s="1362"/>
      <c r="CR192" s="1362"/>
      <c r="CS192" s="1363">
        <v>2</v>
      </c>
      <c r="CT192" s="1363">
        <v>8</v>
      </c>
      <c r="CU192" s="1363">
        <v>0</v>
      </c>
      <c r="CV192" s="686"/>
      <c r="CW192" s="686"/>
      <c r="CX192" s="687">
        <v>11</v>
      </c>
      <c r="CY192" s="41"/>
      <c r="DA192" s="602"/>
      <c r="DB192" s="602"/>
      <c r="DC192" s="603"/>
      <c r="DD192" s="604" t="s">
        <v>1344</v>
      </c>
      <c r="DE192" s="605"/>
      <c r="DF192" s="605"/>
      <c r="DG192" s="605"/>
      <c r="DH192" s="605"/>
      <c r="DI192" s="605"/>
      <c r="DJ192" s="606">
        <v>1</v>
      </c>
      <c r="DK192" s="606">
        <v>0</v>
      </c>
      <c r="DL192" s="606">
        <v>0</v>
      </c>
      <c r="DM192" s="602"/>
      <c r="DN192" s="602"/>
      <c r="DO192" s="607">
        <v>1</v>
      </c>
      <c r="DP192" s="105"/>
      <c r="DR192" s="608"/>
      <c r="DS192" s="608"/>
      <c r="DT192" s="608"/>
      <c r="DU192" s="609" t="s">
        <v>1344</v>
      </c>
      <c r="DV192" s="610"/>
      <c r="DW192" s="610"/>
      <c r="DX192" s="610"/>
      <c r="DY192" s="611">
        <v>0</v>
      </c>
      <c r="DZ192" s="610"/>
      <c r="EA192" s="610"/>
      <c r="EB192" s="611">
        <v>0</v>
      </c>
      <c r="EC192" s="611">
        <v>1</v>
      </c>
      <c r="ED192" s="610"/>
      <c r="EE192" s="612"/>
      <c r="EF192" s="612"/>
      <c r="EG192" s="613">
        <v>1</v>
      </c>
      <c r="EH192" s="614"/>
      <c r="EL192" s="615"/>
      <c r="EM192" s="625" t="s">
        <v>545</v>
      </c>
      <c r="EN192" s="626"/>
      <c r="EO192" s="626"/>
      <c r="EP192" s="626"/>
      <c r="EQ192" s="626"/>
      <c r="ER192" s="626"/>
      <c r="ES192" s="627">
        <v>3</v>
      </c>
      <c r="ET192" s="627">
        <v>5</v>
      </c>
      <c r="EU192" s="626"/>
      <c r="EV192" s="626"/>
      <c r="EW192" s="626"/>
      <c r="EX192" s="627">
        <v>8</v>
      </c>
      <c r="EY192" s="628">
        <v>0</v>
      </c>
      <c r="FA192" s="70"/>
      <c r="FB192" s="70"/>
      <c r="FC192" s="70"/>
      <c r="FD192" s="42" t="s">
        <v>1231</v>
      </c>
      <c r="FE192" s="70">
        <v>1</v>
      </c>
      <c r="FF192" s="70">
        <v>2</v>
      </c>
      <c r="FG192" s="70"/>
      <c r="FH192" s="70">
        <v>1</v>
      </c>
      <c r="FI192" s="70"/>
      <c r="FJ192" s="70">
        <v>18</v>
      </c>
      <c r="FK192" s="70">
        <v>13</v>
      </c>
      <c r="FL192" s="70">
        <v>0</v>
      </c>
      <c r="FM192" s="70"/>
      <c r="FN192" s="70"/>
      <c r="FO192" s="70">
        <v>35</v>
      </c>
      <c r="FP192" s="42"/>
      <c r="FQ192" s="42"/>
      <c r="FR192" s="516"/>
      <c r="FS192" s="516"/>
      <c r="FT192" s="516"/>
      <c r="FU192" s="516" t="s">
        <v>1231</v>
      </c>
      <c r="FV192" s="516">
        <v>1</v>
      </c>
      <c r="FW192" s="516">
        <v>0</v>
      </c>
      <c r="FX192" s="516">
        <v>1</v>
      </c>
      <c r="FY192" s="516">
        <v>0</v>
      </c>
      <c r="FZ192" s="516">
        <v>2</v>
      </c>
      <c r="GA192" s="516">
        <v>0</v>
      </c>
      <c r="GB192" s="516">
        <v>3</v>
      </c>
      <c r="GC192" s="516">
        <v>3</v>
      </c>
      <c r="GD192" s="516">
        <v>0</v>
      </c>
      <c r="GE192" s="516">
        <v>0</v>
      </c>
      <c r="GF192" s="516">
        <v>0</v>
      </c>
      <c r="GG192" s="517">
        <v>10</v>
      </c>
      <c r="GH192" s="516"/>
      <c r="GI192" s="518"/>
    </row>
    <row r="193" spans="3:191">
      <c r="D193" s="4800" t="s">
        <v>2963</v>
      </c>
      <c r="E193" s="4606">
        <v>2</v>
      </c>
      <c r="F193" s="4606"/>
      <c r="G193" s="4606"/>
      <c r="H193" s="4606"/>
      <c r="I193" s="4606"/>
      <c r="J193" s="4606"/>
      <c r="K193" s="4606">
        <v>0</v>
      </c>
      <c r="L193" s="4606">
        <v>0</v>
      </c>
      <c r="M193" s="4606">
        <v>0</v>
      </c>
      <c r="N193" s="2552"/>
      <c r="O193" s="2552"/>
      <c r="P193" s="2552">
        <v>2</v>
      </c>
      <c r="Q193" s="2552"/>
      <c r="R193" s="2552"/>
      <c r="U193" s="1793" t="s">
        <v>110</v>
      </c>
      <c r="V193" s="1793" t="s">
        <v>1230</v>
      </c>
      <c r="W193" s="4804">
        <v>0</v>
      </c>
      <c r="X193" s="4804">
        <v>0</v>
      </c>
      <c r="Y193" s="4804">
        <v>0</v>
      </c>
      <c r="Z193" s="4804">
        <v>1</v>
      </c>
      <c r="AA193" s="4804">
        <v>0</v>
      </c>
      <c r="AB193" s="4804">
        <v>1</v>
      </c>
      <c r="AC193" s="4804">
        <v>9</v>
      </c>
      <c r="AD193" s="4804">
        <v>5</v>
      </c>
      <c r="AE193" s="4702">
        <v>9</v>
      </c>
      <c r="AF193" s="4702">
        <v>25</v>
      </c>
      <c r="AG193" s="1793"/>
      <c r="AI193" s="41"/>
      <c r="AJ193" s="41"/>
      <c r="AK193" s="461"/>
      <c r="AL193" s="461" t="s">
        <v>1235</v>
      </c>
      <c r="AM193" s="2002">
        <v>0</v>
      </c>
      <c r="AN193" s="2002">
        <v>0</v>
      </c>
      <c r="AO193" s="2002">
        <v>0</v>
      </c>
      <c r="AP193" s="2002"/>
      <c r="AQ193" s="2002">
        <v>0</v>
      </c>
      <c r="AR193" s="2002">
        <v>2</v>
      </c>
      <c r="AS193" s="2002">
        <v>16</v>
      </c>
      <c r="AT193" s="2002">
        <v>0</v>
      </c>
      <c r="AU193" s="2480"/>
      <c r="AV193" s="2480"/>
      <c r="AW193" s="2480">
        <v>18</v>
      </c>
      <c r="AX193" s="41"/>
      <c r="AZ193" s="42"/>
      <c r="BA193" s="42"/>
      <c r="BB193" s="42"/>
      <c r="BC193" s="484" t="s">
        <v>15</v>
      </c>
      <c r="BD193" s="1994"/>
      <c r="BE193" s="1994"/>
      <c r="BF193" s="1994"/>
      <c r="BG193" s="1994"/>
      <c r="BH193" s="1994"/>
      <c r="BI193" s="1994"/>
      <c r="BJ193" s="1994">
        <v>1</v>
      </c>
      <c r="BK193" s="1994">
        <v>5</v>
      </c>
      <c r="BL193" s="1994">
        <v>17</v>
      </c>
      <c r="BM193" s="454"/>
      <c r="BN193" s="454"/>
      <c r="BO193" s="454">
        <v>23</v>
      </c>
      <c r="BP193" s="2485">
        <f>+BO191/BO193</f>
        <v>0.21739130434782608</v>
      </c>
      <c r="BR193" s="105"/>
      <c r="BS193" s="105"/>
      <c r="BT193" s="41"/>
      <c r="BU193" s="461" t="s">
        <v>547</v>
      </c>
      <c r="BV193" s="1660"/>
      <c r="BW193" s="1660">
        <v>2</v>
      </c>
      <c r="BX193" s="1660">
        <v>1</v>
      </c>
      <c r="BY193" s="1660"/>
      <c r="BZ193" s="1660"/>
      <c r="CA193" s="1660">
        <v>1</v>
      </c>
      <c r="CB193" s="1660">
        <v>16</v>
      </c>
      <c r="CC193" s="1660">
        <v>29</v>
      </c>
      <c r="CD193" s="1660">
        <v>20</v>
      </c>
      <c r="CE193" s="96"/>
      <c r="CF193" s="96"/>
      <c r="CG193" s="96">
        <v>69</v>
      </c>
      <c r="CH193" s="635">
        <f>+(CG190+CG192)/CG193</f>
        <v>0.53623188405797106</v>
      </c>
      <c r="CJ193" s="1359"/>
      <c r="CK193" s="1359"/>
      <c r="CL193" s="1360"/>
      <c r="CM193" s="1361" t="s">
        <v>1235</v>
      </c>
      <c r="CN193" s="1363">
        <v>0</v>
      </c>
      <c r="CO193" s="1362"/>
      <c r="CP193" s="1362"/>
      <c r="CQ193" s="1362"/>
      <c r="CR193" s="1362"/>
      <c r="CS193" s="1363">
        <v>3</v>
      </c>
      <c r="CT193" s="1363">
        <v>5</v>
      </c>
      <c r="CU193" s="1363">
        <v>0</v>
      </c>
      <c r="CV193" s="686"/>
      <c r="CW193" s="686"/>
      <c r="CX193" s="687">
        <v>8</v>
      </c>
      <c r="CY193" s="41"/>
      <c r="DA193" s="602"/>
      <c r="DB193" s="602"/>
      <c r="DC193" s="603"/>
      <c r="DD193" s="630" t="s">
        <v>15</v>
      </c>
      <c r="DE193" s="631"/>
      <c r="DF193" s="631"/>
      <c r="DG193" s="631"/>
      <c r="DH193" s="631"/>
      <c r="DI193" s="631"/>
      <c r="DJ193" s="632">
        <v>18</v>
      </c>
      <c r="DK193" s="632">
        <v>1</v>
      </c>
      <c r="DL193" s="632">
        <v>1</v>
      </c>
      <c r="DM193" s="633"/>
      <c r="DN193" s="633"/>
      <c r="DO193" s="634">
        <v>20</v>
      </c>
      <c r="DP193" s="635">
        <f>+(DO189+DO191+DO192)/DO193</f>
        <v>0.2</v>
      </c>
      <c r="DR193" s="608"/>
      <c r="DS193" s="608"/>
      <c r="DT193" s="608"/>
      <c r="DU193" s="620" t="s">
        <v>15</v>
      </c>
      <c r="DV193" s="621"/>
      <c r="DW193" s="621"/>
      <c r="DX193" s="621"/>
      <c r="DY193" s="622">
        <v>1</v>
      </c>
      <c r="DZ193" s="621"/>
      <c r="EA193" s="621"/>
      <c r="EB193" s="622">
        <v>3</v>
      </c>
      <c r="EC193" s="622">
        <v>5</v>
      </c>
      <c r="ED193" s="621"/>
      <c r="EE193" s="623"/>
      <c r="EF193" s="623"/>
      <c r="EG193" s="624">
        <v>9</v>
      </c>
      <c r="EH193" s="614">
        <f>+(EG192+EG191+EG190)/EG193</f>
        <v>0.33333333333333331</v>
      </c>
      <c r="FA193" s="70"/>
      <c r="FB193" s="70"/>
      <c r="FC193" s="70"/>
      <c r="FD193" s="42" t="s">
        <v>1235</v>
      </c>
      <c r="FE193" s="70">
        <v>0</v>
      </c>
      <c r="FF193" s="70">
        <v>0</v>
      </c>
      <c r="FG193" s="70"/>
      <c r="FH193" s="70">
        <v>0</v>
      </c>
      <c r="FI193" s="70"/>
      <c r="FJ193" s="70">
        <v>8</v>
      </c>
      <c r="FK193" s="70">
        <v>3</v>
      </c>
      <c r="FL193" s="70">
        <v>0</v>
      </c>
      <c r="FM193" s="70"/>
      <c r="FN193" s="70"/>
      <c r="FO193" s="70">
        <v>11</v>
      </c>
      <c r="FP193" s="42"/>
      <c r="FQ193" s="42"/>
      <c r="FR193" s="516"/>
      <c r="FS193" s="516"/>
      <c r="FT193" s="516"/>
      <c r="FU193" s="516" t="s">
        <v>1235</v>
      </c>
      <c r="FV193" s="516">
        <v>0</v>
      </c>
      <c r="FW193" s="516">
        <v>0</v>
      </c>
      <c r="FX193" s="516">
        <v>0</v>
      </c>
      <c r="FY193" s="516">
        <v>0</v>
      </c>
      <c r="FZ193" s="516">
        <v>0</v>
      </c>
      <c r="GA193" s="516">
        <v>0</v>
      </c>
      <c r="GB193" s="516">
        <v>3</v>
      </c>
      <c r="GC193" s="516">
        <v>0</v>
      </c>
      <c r="GD193" s="516">
        <v>0</v>
      </c>
      <c r="GE193" s="516">
        <v>0</v>
      </c>
      <c r="GF193" s="516">
        <v>0</v>
      </c>
      <c r="GG193" s="517">
        <v>3</v>
      </c>
      <c r="GH193" s="516"/>
      <c r="GI193" s="518"/>
    </row>
    <row r="194" spans="3:191">
      <c r="D194" s="4800" t="s">
        <v>1344</v>
      </c>
      <c r="E194" s="4606">
        <v>0</v>
      </c>
      <c r="F194" s="4606"/>
      <c r="G194" s="4606"/>
      <c r="H194" s="4606"/>
      <c r="I194" s="4606"/>
      <c r="J194" s="4606"/>
      <c r="K194" s="4606">
        <v>10</v>
      </c>
      <c r="L194" s="4606">
        <v>1</v>
      </c>
      <c r="M194" s="4606">
        <v>0</v>
      </c>
      <c r="N194" s="2552"/>
      <c r="O194" s="2552"/>
      <c r="P194" s="2552">
        <v>11</v>
      </c>
      <c r="Q194" s="2552"/>
      <c r="R194" s="2552"/>
      <c r="U194" s="1793"/>
      <c r="V194" s="1793" t="s">
        <v>1231</v>
      </c>
      <c r="W194" s="4804">
        <v>3</v>
      </c>
      <c r="X194" s="4804">
        <v>1</v>
      </c>
      <c r="Y194" s="4804">
        <v>2</v>
      </c>
      <c r="Z194" s="4804">
        <v>0</v>
      </c>
      <c r="AA194" s="4804">
        <v>3</v>
      </c>
      <c r="AB194" s="4804">
        <v>8</v>
      </c>
      <c r="AC194" s="4804">
        <v>5</v>
      </c>
      <c r="AD194" s="4804">
        <v>0</v>
      </c>
      <c r="AE194" s="4702">
        <v>0</v>
      </c>
      <c r="AF194" s="4702">
        <v>22</v>
      </c>
      <c r="AG194" s="1793"/>
      <c r="AI194" s="41"/>
      <c r="AJ194" s="41"/>
      <c r="AK194" s="461"/>
      <c r="AL194" s="461" t="s">
        <v>1239</v>
      </c>
      <c r="AM194" s="2002">
        <v>0</v>
      </c>
      <c r="AN194" s="2002">
        <v>0</v>
      </c>
      <c r="AO194" s="2002">
        <v>0</v>
      </c>
      <c r="AP194" s="2002"/>
      <c r="AQ194" s="2002">
        <v>0</v>
      </c>
      <c r="AR194" s="2002">
        <v>0</v>
      </c>
      <c r="AS194" s="2002">
        <v>0</v>
      </c>
      <c r="AT194" s="2002">
        <v>23</v>
      </c>
      <c r="AU194" s="2480"/>
      <c r="AV194" s="2480"/>
      <c r="AW194" s="2480">
        <v>23</v>
      </c>
      <c r="AX194" s="41"/>
      <c r="AZ194" s="42"/>
      <c r="BA194" s="42"/>
      <c r="BB194" s="42" t="s">
        <v>547</v>
      </c>
      <c r="BC194" s="42" t="s">
        <v>1231</v>
      </c>
      <c r="BD194" s="1993"/>
      <c r="BE194" s="1993"/>
      <c r="BF194" s="1993">
        <v>1</v>
      </c>
      <c r="BG194" s="1993"/>
      <c r="BH194" s="1993"/>
      <c r="BI194" s="1993"/>
      <c r="BJ194" s="1993">
        <v>0</v>
      </c>
      <c r="BK194" s="1993">
        <v>2</v>
      </c>
      <c r="BL194" s="1993">
        <v>0</v>
      </c>
      <c r="BM194" s="70"/>
      <c r="BN194" s="70"/>
      <c r="BO194" s="70">
        <v>3</v>
      </c>
      <c r="BR194" s="105"/>
      <c r="BS194" s="105"/>
      <c r="BT194" s="41" t="s">
        <v>1935</v>
      </c>
      <c r="BU194" s="41" t="s">
        <v>1230</v>
      </c>
      <c r="BV194" s="1659"/>
      <c r="BW194" s="1659">
        <v>0</v>
      </c>
      <c r="BX194" s="1659">
        <v>0</v>
      </c>
      <c r="BY194" s="1659">
        <v>0</v>
      </c>
      <c r="BZ194" s="1659">
        <v>0</v>
      </c>
      <c r="CA194" s="1659">
        <v>0</v>
      </c>
      <c r="CB194" s="1659">
        <v>0</v>
      </c>
      <c r="CC194" s="1659">
        <v>1</v>
      </c>
      <c r="CD194" s="1659">
        <v>11</v>
      </c>
      <c r="CE194" s="105">
        <v>4</v>
      </c>
      <c r="CF194" s="105">
        <v>2</v>
      </c>
      <c r="CG194" s="105">
        <v>18</v>
      </c>
      <c r="CH194" s="105"/>
      <c r="CJ194" s="1359"/>
      <c r="CK194" s="1359"/>
      <c r="CL194" s="1360"/>
      <c r="CM194" s="1361" t="s">
        <v>1239</v>
      </c>
      <c r="CN194" s="1363">
        <v>0</v>
      </c>
      <c r="CO194" s="1362"/>
      <c r="CP194" s="1362"/>
      <c r="CQ194" s="1362"/>
      <c r="CR194" s="1362"/>
      <c r="CS194" s="1363">
        <v>0</v>
      </c>
      <c r="CT194" s="1363">
        <v>1</v>
      </c>
      <c r="CU194" s="1363">
        <v>32</v>
      </c>
      <c r="CV194" s="686"/>
      <c r="CW194" s="686"/>
      <c r="CX194" s="687">
        <v>33</v>
      </c>
      <c r="CY194" s="41"/>
      <c r="DA194" s="602"/>
      <c r="DB194" s="602"/>
      <c r="DC194" s="603" t="s">
        <v>136</v>
      </c>
      <c r="DD194" s="604" t="s">
        <v>1230</v>
      </c>
      <c r="DE194" s="606">
        <v>0</v>
      </c>
      <c r="DF194" s="606">
        <v>0</v>
      </c>
      <c r="DG194" s="605"/>
      <c r="DH194" s="606">
        <v>1</v>
      </c>
      <c r="DI194" s="605"/>
      <c r="DJ194" s="606">
        <v>0</v>
      </c>
      <c r="DK194" s="605"/>
      <c r="DL194" s="605"/>
      <c r="DM194" s="602"/>
      <c r="DN194" s="602"/>
      <c r="DO194" s="607">
        <v>1</v>
      </c>
      <c r="DP194" s="105"/>
      <c r="DR194" s="608"/>
      <c r="DS194" s="608"/>
      <c r="DT194" s="608" t="s">
        <v>142</v>
      </c>
      <c r="DU194" s="609" t="s">
        <v>1231</v>
      </c>
      <c r="DV194" s="610"/>
      <c r="DW194" s="610"/>
      <c r="DX194" s="610"/>
      <c r="DY194" s="610"/>
      <c r="DZ194" s="610"/>
      <c r="EA194" s="610"/>
      <c r="EB194" s="611">
        <v>14</v>
      </c>
      <c r="EC194" s="611">
        <v>3</v>
      </c>
      <c r="ED194" s="610"/>
      <c r="EE194" s="613">
        <v>0</v>
      </c>
      <c r="EF194" s="612"/>
      <c r="EG194" s="613">
        <v>17</v>
      </c>
      <c r="EH194" s="614"/>
      <c r="FA194" s="70"/>
      <c r="FB194" s="70"/>
      <c r="FC194" s="70"/>
      <c r="FD194" s="42" t="s">
        <v>1239</v>
      </c>
      <c r="FE194" s="70">
        <v>0</v>
      </c>
      <c r="FF194" s="70">
        <v>0</v>
      </c>
      <c r="FG194" s="70"/>
      <c r="FH194" s="70">
        <v>0</v>
      </c>
      <c r="FI194" s="70"/>
      <c r="FJ194" s="70">
        <v>0</v>
      </c>
      <c r="FK194" s="70">
        <v>0</v>
      </c>
      <c r="FL194" s="70">
        <v>1</v>
      </c>
      <c r="FM194" s="70"/>
      <c r="FN194" s="70"/>
      <c r="FO194" s="70">
        <v>1</v>
      </c>
      <c r="FP194" s="42"/>
      <c r="FQ194" s="42"/>
      <c r="FR194" s="516"/>
      <c r="FS194" s="516"/>
      <c r="FT194" s="516"/>
      <c r="FU194" s="516" t="s">
        <v>1240</v>
      </c>
      <c r="FV194" s="516">
        <v>0</v>
      </c>
      <c r="FW194" s="516">
        <v>0</v>
      </c>
      <c r="FX194" s="516">
        <v>0</v>
      </c>
      <c r="FY194" s="516">
        <v>0</v>
      </c>
      <c r="FZ194" s="516">
        <v>0</v>
      </c>
      <c r="GA194" s="516">
        <v>0</v>
      </c>
      <c r="GB194" s="516">
        <v>0</v>
      </c>
      <c r="GC194" s="516">
        <v>2</v>
      </c>
      <c r="GD194" s="516">
        <v>0</v>
      </c>
      <c r="GE194" s="516">
        <v>0</v>
      </c>
      <c r="GF194" s="516">
        <v>0</v>
      </c>
      <c r="GG194" s="517">
        <v>2</v>
      </c>
      <c r="GH194" s="516"/>
      <c r="GI194" s="518"/>
    </row>
    <row r="195" spans="3:191">
      <c r="D195" s="32" t="s">
        <v>15</v>
      </c>
      <c r="E195" s="4607">
        <v>2</v>
      </c>
      <c r="F195" s="4607"/>
      <c r="G195" s="4607"/>
      <c r="H195" s="4607"/>
      <c r="I195" s="4607"/>
      <c r="J195" s="4607"/>
      <c r="K195" s="4607">
        <v>12</v>
      </c>
      <c r="L195" s="4607">
        <v>1</v>
      </c>
      <c r="M195" s="4607">
        <v>3</v>
      </c>
      <c r="N195" s="4583"/>
      <c r="O195" s="4583"/>
      <c r="P195" s="4583">
        <v>18</v>
      </c>
      <c r="Q195" s="1977">
        <f>+P194/P195</f>
        <v>0.61111111111111116</v>
      </c>
      <c r="R195" s="1977"/>
      <c r="U195" s="1793"/>
      <c r="V195" s="1793" t="s">
        <v>1235</v>
      </c>
      <c r="W195" s="4804">
        <v>0</v>
      </c>
      <c r="X195" s="4804">
        <v>0</v>
      </c>
      <c r="Y195" s="4804">
        <v>0</v>
      </c>
      <c r="Z195" s="4804">
        <v>0</v>
      </c>
      <c r="AA195" s="4804">
        <v>0</v>
      </c>
      <c r="AB195" s="4804">
        <v>45</v>
      </c>
      <c r="AC195" s="4804">
        <v>14</v>
      </c>
      <c r="AD195" s="4804">
        <v>2</v>
      </c>
      <c r="AE195" s="4702">
        <v>0</v>
      </c>
      <c r="AF195" s="4702">
        <v>61</v>
      </c>
      <c r="AG195" s="1793"/>
      <c r="AI195" s="41"/>
      <c r="AJ195" s="41"/>
      <c r="AK195" s="461"/>
      <c r="AL195" s="461" t="s">
        <v>1344</v>
      </c>
      <c r="AM195" s="2002">
        <v>0</v>
      </c>
      <c r="AN195" s="2002">
        <v>0</v>
      </c>
      <c r="AO195" s="2002">
        <v>0</v>
      </c>
      <c r="AP195" s="2002"/>
      <c r="AQ195" s="2002">
        <v>0</v>
      </c>
      <c r="AR195" s="2002">
        <v>7</v>
      </c>
      <c r="AS195" s="2002">
        <v>2</v>
      </c>
      <c r="AT195" s="2002">
        <v>0</v>
      </c>
      <c r="AU195" s="2480"/>
      <c r="AV195" s="2480"/>
      <c r="AW195" s="2480">
        <v>9</v>
      </c>
      <c r="AX195" s="41"/>
      <c r="AZ195" s="42"/>
      <c r="BA195" s="42"/>
      <c r="BB195" s="42"/>
      <c r="BC195" s="42" t="s">
        <v>1235</v>
      </c>
      <c r="BD195" s="1993"/>
      <c r="BE195" s="1993"/>
      <c r="BF195" s="1993">
        <v>0</v>
      </c>
      <c r="BG195" s="1993"/>
      <c r="BH195" s="1993"/>
      <c r="BI195" s="1993"/>
      <c r="BJ195" s="1993">
        <v>2</v>
      </c>
      <c r="BK195" s="1993">
        <v>13</v>
      </c>
      <c r="BL195" s="1993">
        <v>0</v>
      </c>
      <c r="BM195" s="70"/>
      <c r="BN195" s="70"/>
      <c r="BO195" s="70">
        <v>15</v>
      </c>
      <c r="BR195" s="105"/>
      <c r="BS195" s="105"/>
      <c r="BT195" s="41"/>
      <c r="BU195" s="41" t="s">
        <v>1231</v>
      </c>
      <c r="BV195" s="1659"/>
      <c r="BW195" s="1659">
        <v>4</v>
      </c>
      <c r="BX195" s="1659">
        <v>2</v>
      </c>
      <c r="BY195" s="1659">
        <v>1</v>
      </c>
      <c r="BZ195" s="1659">
        <v>0</v>
      </c>
      <c r="CA195" s="1659">
        <v>1</v>
      </c>
      <c r="CB195" s="1659">
        <v>24</v>
      </c>
      <c r="CC195" s="1659">
        <v>26</v>
      </c>
      <c r="CD195" s="1659">
        <v>1</v>
      </c>
      <c r="CE195" s="105">
        <v>0</v>
      </c>
      <c r="CF195" s="105">
        <v>0</v>
      </c>
      <c r="CG195" s="105">
        <v>59</v>
      </c>
      <c r="CH195" s="105"/>
      <c r="CJ195" s="1359"/>
      <c r="CK195" s="1359"/>
      <c r="CL195" s="1360"/>
      <c r="CM195" s="1361" t="s">
        <v>1344</v>
      </c>
      <c r="CN195" s="1363">
        <v>0</v>
      </c>
      <c r="CO195" s="1362"/>
      <c r="CP195" s="1362"/>
      <c r="CQ195" s="1362"/>
      <c r="CR195" s="1362"/>
      <c r="CS195" s="1363">
        <v>20</v>
      </c>
      <c r="CT195" s="1363">
        <v>5</v>
      </c>
      <c r="CU195" s="1363">
        <v>0</v>
      </c>
      <c r="CV195" s="686"/>
      <c r="CW195" s="686"/>
      <c r="CX195" s="687">
        <v>25</v>
      </c>
      <c r="CY195" s="41"/>
      <c r="DA195" s="602"/>
      <c r="DB195" s="602"/>
      <c r="DC195" s="603"/>
      <c r="DD195" s="604" t="s">
        <v>1231</v>
      </c>
      <c r="DE195" s="606">
        <v>2</v>
      </c>
      <c r="DF195" s="606">
        <v>1</v>
      </c>
      <c r="DG195" s="605"/>
      <c r="DH195" s="606">
        <v>0</v>
      </c>
      <c r="DI195" s="605"/>
      <c r="DJ195" s="606">
        <v>10</v>
      </c>
      <c r="DK195" s="605"/>
      <c r="DL195" s="605"/>
      <c r="DM195" s="602"/>
      <c r="DN195" s="602"/>
      <c r="DO195" s="607">
        <v>13</v>
      </c>
      <c r="DP195" s="105"/>
      <c r="DR195" s="608"/>
      <c r="DS195" s="608"/>
      <c r="DT195" s="608"/>
      <c r="DU195" s="609" t="s">
        <v>1235</v>
      </c>
      <c r="DV195" s="610"/>
      <c r="DW195" s="610"/>
      <c r="DX195" s="610"/>
      <c r="DY195" s="610"/>
      <c r="DZ195" s="610"/>
      <c r="EA195" s="610"/>
      <c r="EB195" s="611">
        <v>1</v>
      </c>
      <c r="EC195" s="611">
        <v>0</v>
      </c>
      <c r="ED195" s="610"/>
      <c r="EE195" s="613">
        <v>0</v>
      </c>
      <c r="EF195" s="612"/>
      <c r="EG195" s="613">
        <v>1</v>
      </c>
      <c r="EH195" s="614"/>
      <c r="FA195" s="70"/>
      <c r="FB195" s="70"/>
      <c r="FC195" s="70"/>
      <c r="FD195" s="42" t="s">
        <v>1240</v>
      </c>
      <c r="FE195" s="70">
        <v>0</v>
      </c>
      <c r="FF195" s="70">
        <v>0</v>
      </c>
      <c r="FG195" s="70"/>
      <c r="FH195" s="70">
        <v>0</v>
      </c>
      <c r="FI195" s="70"/>
      <c r="FJ195" s="70">
        <v>7</v>
      </c>
      <c r="FK195" s="70">
        <v>0</v>
      </c>
      <c r="FL195" s="70">
        <v>1</v>
      </c>
      <c r="FM195" s="70"/>
      <c r="FN195" s="70"/>
      <c r="FO195" s="70">
        <v>8</v>
      </c>
      <c r="FP195" s="42"/>
      <c r="FQ195" s="42"/>
      <c r="FR195" s="516"/>
      <c r="FS195" s="516"/>
      <c r="FT195" s="516"/>
      <c r="FU195" s="516" t="s">
        <v>1344</v>
      </c>
      <c r="FV195" s="516">
        <v>0</v>
      </c>
      <c r="FW195" s="516">
        <v>0</v>
      </c>
      <c r="FX195" s="516">
        <v>0</v>
      </c>
      <c r="FY195" s="516">
        <v>0</v>
      </c>
      <c r="FZ195" s="516">
        <v>0</v>
      </c>
      <c r="GA195" s="516">
        <v>0</v>
      </c>
      <c r="GB195" s="516">
        <v>10</v>
      </c>
      <c r="GC195" s="516">
        <v>1</v>
      </c>
      <c r="GD195" s="516">
        <v>0</v>
      </c>
      <c r="GE195" s="516">
        <v>0</v>
      </c>
      <c r="GF195" s="516">
        <v>0</v>
      </c>
      <c r="GG195" s="517">
        <v>11</v>
      </c>
      <c r="GH195" s="516"/>
      <c r="GI195" s="518"/>
    </row>
    <row r="196" spans="3:191">
      <c r="C196" s="4800" t="s">
        <v>130</v>
      </c>
      <c r="D196" s="4800" t="s">
        <v>1235</v>
      </c>
      <c r="E196" s="4606">
        <v>0</v>
      </c>
      <c r="F196" s="4606"/>
      <c r="G196" s="4606"/>
      <c r="H196" s="4606"/>
      <c r="I196" s="4606"/>
      <c r="J196" s="4606"/>
      <c r="K196" s="4606">
        <v>0</v>
      </c>
      <c r="L196" s="4606">
        <v>2</v>
      </c>
      <c r="M196" s="4606"/>
      <c r="N196" s="2552"/>
      <c r="O196" s="2552"/>
      <c r="P196" s="2552">
        <v>2</v>
      </c>
      <c r="Q196" s="2552"/>
      <c r="R196" s="2552"/>
      <c r="U196" s="1793"/>
      <c r="V196" s="1793" t="s">
        <v>1236</v>
      </c>
      <c r="W196" s="4804">
        <v>0</v>
      </c>
      <c r="X196" s="4804">
        <v>0</v>
      </c>
      <c r="Y196" s="4804">
        <v>1</v>
      </c>
      <c r="Z196" s="4804">
        <v>0</v>
      </c>
      <c r="AA196" s="4804">
        <v>0</v>
      </c>
      <c r="AB196" s="4804">
        <v>0</v>
      </c>
      <c r="AC196" s="4804">
        <v>0</v>
      </c>
      <c r="AD196" s="4804">
        <v>0</v>
      </c>
      <c r="AE196" s="4702">
        <v>0</v>
      </c>
      <c r="AF196" s="4702">
        <v>1</v>
      </c>
      <c r="AG196" s="1793"/>
      <c r="AI196" s="41"/>
      <c r="AJ196" s="41"/>
      <c r="AK196" s="461"/>
      <c r="AL196" s="461" t="s">
        <v>547</v>
      </c>
      <c r="AM196" s="2002">
        <v>1</v>
      </c>
      <c r="AN196" s="2002">
        <v>1</v>
      </c>
      <c r="AO196" s="2002">
        <v>1</v>
      </c>
      <c r="AP196" s="2002"/>
      <c r="AQ196" s="2002">
        <v>1</v>
      </c>
      <c r="AR196" s="2002">
        <v>11</v>
      </c>
      <c r="AS196" s="2002">
        <v>20</v>
      </c>
      <c r="AT196" s="2002">
        <v>23</v>
      </c>
      <c r="AU196" s="2480"/>
      <c r="AV196" s="2480"/>
      <c r="AW196" s="2480">
        <v>58</v>
      </c>
      <c r="AX196" s="635">
        <f>+(AW195+AW193)/AW196</f>
        <v>0.46551724137931033</v>
      </c>
      <c r="AY196" s="1977"/>
      <c r="AZ196" s="42"/>
      <c r="BA196" s="42"/>
      <c r="BB196" s="42"/>
      <c r="BC196" s="42" t="s">
        <v>1239</v>
      </c>
      <c r="BD196" s="1993"/>
      <c r="BE196" s="1993"/>
      <c r="BF196" s="1993">
        <v>0</v>
      </c>
      <c r="BG196" s="1993"/>
      <c r="BH196" s="1993"/>
      <c r="BI196" s="1993"/>
      <c r="BJ196" s="1993">
        <v>0</v>
      </c>
      <c r="BK196" s="1993">
        <v>1</v>
      </c>
      <c r="BL196" s="1993">
        <v>35</v>
      </c>
      <c r="BM196" s="70"/>
      <c r="BN196" s="70"/>
      <c r="BO196" s="70">
        <v>36</v>
      </c>
      <c r="BR196" s="105"/>
      <c r="BS196" s="105"/>
      <c r="BT196" s="41"/>
      <c r="BU196" s="41" t="s">
        <v>1233</v>
      </c>
      <c r="BV196" s="1659"/>
      <c r="BW196" s="1659">
        <v>4</v>
      </c>
      <c r="BX196" s="1659">
        <v>1</v>
      </c>
      <c r="BY196" s="1659">
        <v>1</v>
      </c>
      <c r="BZ196" s="1659">
        <v>0</v>
      </c>
      <c r="CA196" s="1659">
        <v>0</v>
      </c>
      <c r="CB196" s="1659">
        <v>0</v>
      </c>
      <c r="CC196" s="1659">
        <v>0</v>
      </c>
      <c r="CD196" s="1659">
        <v>0</v>
      </c>
      <c r="CE196" s="105">
        <v>0</v>
      </c>
      <c r="CF196" s="105">
        <v>0</v>
      </c>
      <c r="CG196" s="105">
        <v>6</v>
      </c>
      <c r="CH196" s="105"/>
      <c r="CJ196" s="1359"/>
      <c r="CK196" s="1359"/>
      <c r="CL196" s="1360"/>
      <c r="CM196" s="483" t="s">
        <v>547</v>
      </c>
      <c r="CN196" s="1365">
        <v>1</v>
      </c>
      <c r="CO196" s="1364"/>
      <c r="CP196" s="1364"/>
      <c r="CQ196" s="1364"/>
      <c r="CR196" s="1364"/>
      <c r="CS196" s="1365">
        <v>25</v>
      </c>
      <c r="CT196" s="1365">
        <v>20</v>
      </c>
      <c r="CU196" s="1365">
        <v>33</v>
      </c>
      <c r="CV196" s="695"/>
      <c r="CW196" s="695"/>
      <c r="CX196" s="696">
        <v>79</v>
      </c>
      <c r="CY196" s="1325">
        <f>+(CX193+CX195)/CX196</f>
        <v>0.41772151898734178</v>
      </c>
      <c r="DA196" s="602"/>
      <c r="DB196" s="602"/>
      <c r="DC196" s="603"/>
      <c r="DD196" s="630" t="s">
        <v>15</v>
      </c>
      <c r="DE196" s="632">
        <v>2</v>
      </c>
      <c r="DF196" s="632">
        <v>1</v>
      </c>
      <c r="DG196" s="631"/>
      <c r="DH196" s="632">
        <v>1</v>
      </c>
      <c r="DI196" s="631"/>
      <c r="DJ196" s="632">
        <v>10</v>
      </c>
      <c r="DK196" s="631"/>
      <c r="DL196" s="631"/>
      <c r="DM196" s="633"/>
      <c r="DN196" s="633"/>
      <c r="DO196" s="634">
        <v>14</v>
      </c>
      <c r="DP196" s="635">
        <v>0</v>
      </c>
      <c r="DR196" s="608"/>
      <c r="DS196" s="608"/>
      <c r="DT196" s="608"/>
      <c r="DU196" s="609" t="s">
        <v>1239</v>
      </c>
      <c r="DV196" s="610"/>
      <c r="DW196" s="610"/>
      <c r="DX196" s="610"/>
      <c r="DY196" s="610"/>
      <c r="DZ196" s="610"/>
      <c r="EA196" s="610"/>
      <c r="EB196" s="611">
        <v>0</v>
      </c>
      <c r="EC196" s="611">
        <v>0</v>
      </c>
      <c r="ED196" s="610"/>
      <c r="EE196" s="613">
        <v>1</v>
      </c>
      <c r="EF196" s="612"/>
      <c r="EG196" s="613">
        <v>1</v>
      </c>
      <c r="EH196" s="614"/>
      <c r="EL196" s="615" t="s">
        <v>844</v>
      </c>
      <c r="EM196" s="616" t="s">
        <v>1231</v>
      </c>
      <c r="EN196" s="617"/>
      <c r="EO196" s="618">
        <v>0</v>
      </c>
      <c r="EP196" s="618">
        <v>4</v>
      </c>
      <c r="EQ196" s="618">
        <v>3</v>
      </c>
      <c r="ER196" s="618">
        <v>1</v>
      </c>
      <c r="ES196" s="618">
        <v>1</v>
      </c>
      <c r="ET196" s="618">
        <v>0</v>
      </c>
      <c r="EU196" s="618">
        <v>0</v>
      </c>
      <c r="EV196" s="617"/>
      <c r="EW196" s="617"/>
      <c r="EX196" s="618">
        <v>9</v>
      </c>
      <c r="EY196" s="515"/>
      <c r="FA196" s="70"/>
      <c r="FB196" s="70"/>
      <c r="FC196" s="70"/>
      <c r="FD196" s="484" t="s">
        <v>15</v>
      </c>
      <c r="FE196" s="454">
        <v>1</v>
      </c>
      <c r="FF196" s="454">
        <v>2</v>
      </c>
      <c r="FG196" s="454"/>
      <c r="FH196" s="454">
        <v>1</v>
      </c>
      <c r="FI196" s="454"/>
      <c r="FJ196" s="454">
        <v>33</v>
      </c>
      <c r="FK196" s="454">
        <v>17</v>
      </c>
      <c r="FL196" s="454">
        <v>5</v>
      </c>
      <c r="FM196" s="454"/>
      <c r="FN196" s="454"/>
      <c r="FO196" s="454">
        <v>59</v>
      </c>
      <c r="FP196" s="536">
        <f>+(FO193+FO195)/FO196</f>
        <v>0.32203389830508472</v>
      </c>
      <c r="FQ196" s="42"/>
      <c r="FR196" s="516"/>
      <c r="FS196" s="516"/>
      <c r="FT196" s="516"/>
      <c r="FU196" s="519" t="s">
        <v>15</v>
      </c>
      <c r="FV196" s="519">
        <v>1</v>
      </c>
      <c r="FW196" s="519">
        <v>0</v>
      </c>
      <c r="FX196" s="519">
        <v>1</v>
      </c>
      <c r="FY196" s="519">
        <v>0</v>
      </c>
      <c r="FZ196" s="519">
        <v>2</v>
      </c>
      <c r="GA196" s="519">
        <v>0</v>
      </c>
      <c r="GB196" s="519">
        <v>17</v>
      </c>
      <c r="GC196" s="519">
        <v>6</v>
      </c>
      <c r="GD196" s="519">
        <v>0</v>
      </c>
      <c r="GE196" s="519">
        <v>0</v>
      </c>
      <c r="GF196" s="519">
        <v>0</v>
      </c>
      <c r="GG196" s="579">
        <v>27</v>
      </c>
      <c r="GH196" s="520">
        <f>+(GG195+GG194+GG193)/GG196</f>
        <v>0.59259259259259256</v>
      </c>
      <c r="GI196" s="518">
        <f>+GG193+GG194+GG195</f>
        <v>16</v>
      </c>
    </row>
    <row r="197" spans="3:191">
      <c r="D197" s="4800" t="s">
        <v>1239</v>
      </c>
      <c r="E197" s="4606">
        <v>0</v>
      </c>
      <c r="F197" s="4606"/>
      <c r="G197" s="4606"/>
      <c r="H197" s="4606"/>
      <c r="I197" s="4606"/>
      <c r="J197" s="4606"/>
      <c r="K197" s="4606">
        <v>0</v>
      </c>
      <c r="L197" s="4606">
        <v>1</v>
      </c>
      <c r="M197" s="4606"/>
      <c r="N197" s="2552"/>
      <c r="O197" s="2552"/>
      <c r="P197" s="2552">
        <v>1</v>
      </c>
      <c r="Q197" s="2552"/>
      <c r="R197" s="2552"/>
      <c r="U197" s="1793"/>
      <c r="V197" s="1793" t="s">
        <v>1239</v>
      </c>
      <c r="W197" s="4804">
        <v>0</v>
      </c>
      <c r="X197" s="4804">
        <v>0</v>
      </c>
      <c r="Y197" s="4804">
        <v>0</v>
      </c>
      <c r="Z197" s="4804">
        <v>0</v>
      </c>
      <c r="AA197" s="4804">
        <v>0</v>
      </c>
      <c r="AB197" s="4804">
        <v>0</v>
      </c>
      <c r="AC197" s="4804">
        <v>67</v>
      </c>
      <c r="AD197" s="4804">
        <v>9</v>
      </c>
      <c r="AE197" s="4702">
        <v>15</v>
      </c>
      <c r="AF197" s="4702">
        <v>91</v>
      </c>
      <c r="AG197" s="1793"/>
      <c r="AI197" s="41"/>
      <c r="AJ197" s="41"/>
      <c r="AK197" s="461" t="s">
        <v>110</v>
      </c>
      <c r="AL197" s="461" t="s">
        <v>1230</v>
      </c>
      <c r="AM197" s="2002">
        <v>0</v>
      </c>
      <c r="AN197" s="2002">
        <v>0</v>
      </c>
      <c r="AO197" s="2002">
        <v>0</v>
      </c>
      <c r="AP197" s="2002">
        <v>0</v>
      </c>
      <c r="AQ197" s="2002">
        <v>1</v>
      </c>
      <c r="AR197" s="2002">
        <v>0</v>
      </c>
      <c r="AS197" s="2002">
        <v>1</v>
      </c>
      <c r="AT197" s="2002">
        <v>9</v>
      </c>
      <c r="AU197" s="2480">
        <v>0</v>
      </c>
      <c r="AV197" s="2480">
        <v>0</v>
      </c>
      <c r="AW197" s="2480">
        <v>11</v>
      </c>
      <c r="AX197" s="41"/>
      <c r="AZ197" s="42"/>
      <c r="BA197" s="42"/>
      <c r="BB197" s="42"/>
      <c r="BC197" s="42" t="s">
        <v>1344</v>
      </c>
      <c r="BD197" s="1993"/>
      <c r="BE197" s="1993"/>
      <c r="BF197" s="1993">
        <v>0</v>
      </c>
      <c r="BG197" s="1993"/>
      <c r="BH197" s="1993"/>
      <c r="BI197" s="1993"/>
      <c r="BJ197" s="1993">
        <v>12</v>
      </c>
      <c r="BK197" s="1993">
        <v>0</v>
      </c>
      <c r="BL197" s="1993">
        <v>0</v>
      </c>
      <c r="BM197" s="70"/>
      <c r="BN197" s="70"/>
      <c r="BO197" s="70">
        <v>12</v>
      </c>
      <c r="BR197" s="105"/>
      <c r="BS197" s="105"/>
      <c r="BT197" s="41"/>
      <c r="BU197" s="41" t="s">
        <v>1235</v>
      </c>
      <c r="BV197" s="1659"/>
      <c r="BW197" s="1659">
        <v>0</v>
      </c>
      <c r="BX197" s="1659">
        <v>0</v>
      </c>
      <c r="BY197" s="1659">
        <v>0</v>
      </c>
      <c r="BZ197" s="1659">
        <v>0</v>
      </c>
      <c r="CA197" s="1659">
        <v>0</v>
      </c>
      <c r="CB197" s="1659">
        <v>13</v>
      </c>
      <c r="CC197" s="1659">
        <v>38</v>
      </c>
      <c r="CD197" s="1659">
        <v>1</v>
      </c>
      <c r="CE197" s="105">
        <v>2</v>
      </c>
      <c r="CF197" s="105">
        <v>0</v>
      </c>
      <c r="CG197" s="105">
        <v>54</v>
      </c>
      <c r="CH197" s="105"/>
      <c r="CJ197" s="1359"/>
      <c r="CK197" s="1359"/>
      <c r="CL197" s="1360" t="s">
        <v>110</v>
      </c>
      <c r="CM197" s="1361" t="s">
        <v>1230</v>
      </c>
      <c r="CN197" s="1363">
        <v>0</v>
      </c>
      <c r="CO197" s="1363">
        <v>0</v>
      </c>
      <c r="CP197" s="1363">
        <v>0</v>
      </c>
      <c r="CQ197" s="1363">
        <v>0</v>
      </c>
      <c r="CR197" s="1363">
        <v>0</v>
      </c>
      <c r="CS197" s="1363">
        <v>0</v>
      </c>
      <c r="CT197" s="1363">
        <v>1</v>
      </c>
      <c r="CU197" s="1363">
        <v>7</v>
      </c>
      <c r="CV197" s="687">
        <v>2</v>
      </c>
      <c r="CW197" s="687">
        <v>11</v>
      </c>
      <c r="CX197" s="687">
        <v>21</v>
      </c>
      <c r="CY197" s="41"/>
      <c r="DA197" s="602"/>
      <c r="DB197" s="602"/>
      <c r="DC197" s="603" t="s">
        <v>137</v>
      </c>
      <c r="DD197" s="604" t="s">
        <v>1231</v>
      </c>
      <c r="DE197" s="605"/>
      <c r="DF197" s="605"/>
      <c r="DG197" s="605"/>
      <c r="DH197" s="605"/>
      <c r="DI197" s="605"/>
      <c r="DJ197" s="606">
        <v>1</v>
      </c>
      <c r="DK197" s="606">
        <v>1</v>
      </c>
      <c r="DL197" s="606">
        <v>0</v>
      </c>
      <c r="DM197" s="602"/>
      <c r="DN197" s="602"/>
      <c r="DO197" s="607">
        <v>2</v>
      </c>
      <c r="DP197" s="105"/>
      <c r="DR197" s="608"/>
      <c r="DS197" s="608"/>
      <c r="DT197" s="608"/>
      <c r="DU197" s="609" t="s">
        <v>1240</v>
      </c>
      <c r="DV197" s="610"/>
      <c r="DW197" s="610"/>
      <c r="DX197" s="610"/>
      <c r="DY197" s="610"/>
      <c r="DZ197" s="610"/>
      <c r="EA197" s="610"/>
      <c r="EB197" s="611">
        <v>1</v>
      </c>
      <c r="EC197" s="611">
        <v>0</v>
      </c>
      <c r="ED197" s="610"/>
      <c r="EE197" s="613">
        <v>0</v>
      </c>
      <c r="EF197" s="612"/>
      <c r="EG197" s="613">
        <v>1</v>
      </c>
      <c r="EH197" s="614"/>
      <c r="EL197" s="615"/>
      <c r="EM197" s="616" t="s">
        <v>1236</v>
      </c>
      <c r="EN197" s="617"/>
      <c r="EO197" s="618">
        <v>1</v>
      </c>
      <c r="EP197" s="618">
        <v>7</v>
      </c>
      <c r="EQ197" s="618">
        <v>1</v>
      </c>
      <c r="ER197" s="618">
        <v>2</v>
      </c>
      <c r="ES197" s="618">
        <v>0</v>
      </c>
      <c r="ET197" s="618">
        <v>0</v>
      </c>
      <c r="EU197" s="618">
        <v>0</v>
      </c>
      <c r="EV197" s="617"/>
      <c r="EW197" s="617"/>
      <c r="EX197" s="618">
        <v>11</v>
      </c>
      <c r="EY197" s="515"/>
      <c r="FA197" s="70"/>
      <c r="FB197" s="70"/>
      <c r="FC197" s="70" t="s">
        <v>104</v>
      </c>
      <c r="FD197" s="42" t="s">
        <v>1231</v>
      </c>
      <c r="FE197" s="70"/>
      <c r="FF197" s="70"/>
      <c r="FG197" s="70">
        <v>0</v>
      </c>
      <c r="FH197" s="70">
        <v>0</v>
      </c>
      <c r="FI197" s="70">
        <v>0</v>
      </c>
      <c r="FJ197" s="70">
        <v>1</v>
      </c>
      <c r="FK197" s="70">
        <v>1</v>
      </c>
      <c r="FL197" s="70"/>
      <c r="FM197" s="70"/>
      <c r="FN197" s="70"/>
      <c r="FO197" s="70">
        <v>2</v>
      </c>
      <c r="FP197" s="42"/>
      <c r="FQ197" s="42"/>
      <c r="FR197" s="516"/>
      <c r="FS197" s="516"/>
      <c r="FT197" s="516" t="s">
        <v>104</v>
      </c>
      <c r="FU197" s="516" t="s">
        <v>1230</v>
      </c>
      <c r="FV197" s="516">
        <v>0</v>
      </c>
      <c r="FW197" s="516">
        <v>0</v>
      </c>
      <c r="FX197" s="516">
        <v>0</v>
      </c>
      <c r="FY197" s="516">
        <v>0</v>
      </c>
      <c r="FZ197" s="516">
        <v>0</v>
      </c>
      <c r="GA197" s="516">
        <v>0</v>
      </c>
      <c r="GB197" s="516">
        <v>1</v>
      </c>
      <c r="GC197" s="516">
        <v>0</v>
      </c>
      <c r="GD197" s="516">
        <v>0</v>
      </c>
      <c r="GE197" s="516">
        <v>0</v>
      </c>
      <c r="GF197" s="516">
        <v>0</v>
      </c>
      <c r="GG197" s="517">
        <v>1</v>
      </c>
      <c r="GH197" s="516"/>
      <c r="GI197" s="518"/>
    </row>
    <row r="198" spans="3:191">
      <c r="D198" s="4800" t="s">
        <v>2963</v>
      </c>
      <c r="E198" s="4606">
        <v>2</v>
      </c>
      <c r="F198" s="4606"/>
      <c r="G198" s="4606"/>
      <c r="H198" s="4606"/>
      <c r="I198" s="4606"/>
      <c r="J198" s="4606"/>
      <c r="K198" s="4606">
        <v>0</v>
      </c>
      <c r="L198" s="4606">
        <v>0</v>
      </c>
      <c r="M198" s="4606"/>
      <c r="N198" s="2552"/>
      <c r="O198" s="2552"/>
      <c r="P198" s="2552">
        <v>2</v>
      </c>
      <c r="Q198" s="2552"/>
      <c r="R198" s="2552"/>
      <c r="U198" s="1793"/>
      <c r="V198" s="1793" t="s">
        <v>1344</v>
      </c>
      <c r="W198" s="4804">
        <v>0</v>
      </c>
      <c r="X198" s="4804">
        <v>0</v>
      </c>
      <c r="Y198" s="4804">
        <v>10</v>
      </c>
      <c r="Z198" s="4804">
        <v>0</v>
      </c>
      <c r="AA198" s="4804">
        <v>2</v>
      </c>
      <c r="AB198" s="4804">
        <v>5</v>
      </c>
      <c r="AC198" s="4804">
        <v>4</v>
      </c>
      <c r="AD198" s="4804">
        <v>1</v>
      </c>
      <c r="AE198" s="4702">
        <v>0</v>
      </c>
      <c r="AF198" s="4702">
        <v>22</v>
      </c>
      <c r="AG198" s="1793"/>
      <c r="AI198" s="41"/>
      <c r="AJ198" s="41"/>
      <c r="AK198" s="461"/>
      <c r="AL198" s="461" t="s">
        <v>1231</v>
      </c>
      <c r="AM198" s="2002">
        <v>2</v>
      </c>
      <c r="AN198" s="2002">
        <v>2</v>
      </c>
      <c r="AO198" s="2002">
        <v>1</v>
      </c>
      <c r="AP198" s="2002">
        <v>1</v>
      </c>
      <c r="AQ198" s="2002">
        <v>1</v>
      </c>
      <c r="AR198" s="2002">
        <v>7</v>
      </c>
      <c r="AS198" s="2002">
        <v>15</v>
      </c>
      <c r="AT198" s="2002">
        <v>1</v>
      </c>
      <c r="AU198" s="2480">
        <v>0</v>
      </c>
      <c r="AV198" s="2480">
        <v>0</v>
      </c>
      <c r="AW198" s="2480">
        <v>30</v>
      </c>
      <c r="AX198" s="41"/>
      <c r="AZ198" s="42"/>
      <c r="BA198" s="42"/>
      <c r="BB198" s="42"/>
      <c r="BC198" s="484" t="s">
        <v>547</v>
      </c>
      <c r="BD198" s="1994"/>
      <c r="BE198" s="1994"/>
      <c r="BF198" s="1994">
        <v>1</v>
      </c>
      <c r="BG198" s="1994"/>
      <c r="BH198" s="1994"/>
      <c r="BI198" s="1994"/>
      <c r="BJ198" s="1994">
        <v>14</v>
      </c>
      <c r="BK198" s="1994">
        <v>16</v>
      </c>
      <c r="BL198" s="1994">
        <v>35</v>
      </c>
      <c r="BM198" s="454"/>
      <c r="BN198" s="454"/>
      <c r="BO198" s="454">
        <v>66</v>
      </c>
      <c r="BP198" s="2485">
        <f>+(BO195+BO197)/BO198</f>
        <v>0.40909090909090912</v>
      </c>
      <c r="BR198" s="105"/>
      <c r="BS198" s="105"/>
      <c r="BT198" s="41"/>
      <c r="BU198" s="41" t="s">
        <v>1236</v>
      </c>
      <c r="BV198" s="1659"/>
      <c r="BW198" s="1659">
        <v>3</v>
      </c>
      <c r="BX198" s="1659">
        <v>1</v>
      </c>
      <c r="BY198" s="1659">
        <v>2</v>
      </c>
      <c r="BZ198" s="1659">
        <v>2</v>
      </c>
      <c r="CA198" s="1659">
        <v>3</v>
      </c>
      <c r="CB198" s="1659">
        <v>0</v>
      </c>
      <c r="CC198" s="1659">
        <v>1</v>
      </c>
      <c r="CD198" s="1659">
        <v>0</v>
      </c>
      <c r="CE198" s="105">
        <v>0</v>
      </c>
      <c r="CF198" s="105">
        <v>0</v>
      </c>
      <c r="CG198" s="105">
        <v>12</v>
      </c>
      <c r="CH198" s="105"/>
      <c r="CJ198" s="1359"/>
      <c r="CK198" s="1359"/>
      <c r="CL198" s="1360"/>
      <c r="CM198" s="1361" t="s">
        <v>1231</v>
      </c>
      <c r="CN198" s="1363">
        <v>3</v>
      </c>
      <c r="CO198" s="1363">
        <v>3</v>
      </c>
      <c r="CP198" s="1363">
        <v>2</v>
      </c>
      <c r="CQ198" s="1363">
        <v>0</v>
      </c>
      <c r="CR198" s="1363">
        <v>0</v>
      </c>
      <c r="CS198" s="1363">
        <v>4</v>
      </c>
      <c r="CT198" s="1363">
        <v>12</v>
      </c>
      <c r="CU198" s="1363">
        <v>1</v>
      </c>
      <c r="CV198" s="687">
        <v>3</v>
      </c>
      <c r="CW198" s="687">
        <v>0</v>
      </c>
      <c r="CX198" s="687">
        <v>28</v>
      </c>
      <c r="CY198" s="41"/>
      <c r="DA198" s="602"/>
      <c r="DB198" s="602"/>
      <c r="DC198" s="603"/>
      <c r="DD198" s="604" t="s">
        <v>1235</v>
      </c>
      <c r="DE198" s="605"/>
      <c r="DF198" s="605"/>
      <c r="DG198" s="605"/>
      <c r="DH198" s="605"/>
      <c r="DI198" s="605"/>
      <c r="DJ198" s="606">
        <v>0</v>
      </c>
      <c r="DK198" s="606">
        <v>1</v>
      </c>
      <c r="DL198" s="606">
        <v>0</v>
      </c>
      <c r="DM198" s="602"/>
      <c r="DN198" s="602"/>
      <c r="DO198" s="607">
        <v>1</v>
      </c>
      <c r="DP198" s="105"/>
      <c r="DR198" s="608"/>
      <c r="DS198" s="608"/>
      <c r="DT198" s="608"/>
      <c r="DU198" s="609" t="s">
        <v>1344</v>
      </c>
      <c r="DV198" s="610"/>
      <c r="DW198" s="610"/>
      <c r="DX198" s="610"/>
      <c r="DY198" s="610"/>
      <c r="DZ198" s="610"/>
      <c r="EA198" s="610"/>
      <c r="EB198" s="611">
        <v>3</v>
      </c>
      <c r="EC198" s="611">
        <v>0</v>
      </c>
      <c r="ED198" s="610"/>
      <c r="EE198" s="613">
        <v>0</v>
      </c>
      <c r="EF198" s="612"/>
      <c r="EG198" s="613">
        <v>3</v>
      </c>
      <c r="EH198" s="614"/>
      <c r="EL198" s="615"/>
      <c r="EM198" s="616" t="s">
        <v>1239</v>
      </c>
      <c r="EN198" s="617"/>
      <c r="EO198" s="618">
        <v>0</v>
      </c>
      <c r="EP198" s="618">
        <v>0</v>
      </c>
      <c r="EQ198" s="618">
        <v>3</v>
      </c>
      <c r="ER198" s="618">
        <v>0</v>
      </c>
      <c r="ES198" s="618">
        <v>2</v>
      </c>
      <c r="ET198" s="618">
        <v>1</v>
      </c>
      <c r="EU198" s="618">
        <v>4</v>
      </c>
      <c r="EV198" s="617"/>
      <c r="EW198" s="617"/>
      <c r="EX198" s="618">
        <v>10</v>
      </c>
      <c r="EY198" s="515"/>
      <c r="FA198" s="70"/>
      <c r="FB198" s="70"/>
      <c r="FC198" s="70"/>
      <c r="FD198" s="42" t="s">
        <v>1235</v>
      </c>
      <c r="FE198" s="70"/>
      <c r="FF198" s="70"/>
      <c r="FG198" s="70">
        <v>3</v>
      </c>
      <c r="FH198" s="70">
        <v>0</v>
      </c>
      <c r="FI198" s="70">
        <v>0</v>
      </c>
      <c r="FJ198" s="70">
        <v>0</v>
      </c>
      <c r="FK198" s="70">
        <v>1</v>
      </c>
      <c r="FL198" s="70"/>
      <c r="FM198" s="70"/>
      <c r="FN198" s="70"/>
      <c r="FO198" s="70">
        <v>4</v>
      </c>
      <c r="FP198" s="42"/>
      <c r="FQ198" s="42"/>
      <c r="FR198" s="516"/>
      <c r="FS198" s="516"/>
      <c r="FT198" s="516"/>
      <c r="FU198" s="516" t="s">
        <v>1231</v>
      </c>
      <c r="FV198" s="516">
        <v>0</v>
      </c>
      <c r="FW198" s="516">
        <v>0</v>
      </c>
      <c r="FX198" s="516">
        <v>0</v>
      </c>
      <c r="FY198" s="516">
        <v>1</v>
      </c>
      <c r="FZ198" s="516">
        <v>1</v>
      </c>
      <c r="GA198" s="516">
        <v>0</v>
      </c>
      <c r="GB198" s="516">
        <v>0</v>
      </c>
      <c r="GC198" s="516">
        <v>0</v>
      </c>
      <c r="GD198" s="516">
        <v>0</v>
      </c>
      <c r="GE198" s="516">
        <v>0</v>
      </c>
      <c r="GF198" s="516">
        <v>0</v>
      </c>
      <c r="GG198" s="517">
        <v>2</v>
      </c>
      <c r="GH198" s="516"/>
      <c r="GI198" s="518"/>
    </row>
    <row r="199" spans="3:191">
      <c r="D199" s="4800" t="s">
        <v>1344</v>
      </c>
      <c r="E199" s="4606">
        <v>0</v>
      </c>
      <c r="F199" s="4606"/>
      <c r="G199" s="4606"/>
      <c r="H199" s="4606"/>
      <c r="I199" s="4606"/>
      <c r="J199" s="4606"/>
      <c r="K199" s="4606">
        <v>1</v>
      </c>
      <c r="L199" s="4606">
        <v>5</v>
      </c>
      <c r="M199" s="4606"/>
      <c r="N199" s="2552"/>
      <c r="O199" s="2552"/>
      <c r="P199" s="2552">
        <v>6</v>
      </c>
      <c r="Q199" s="2552"/>
      <c r="R199" s="2552"/>
      <c r="U199" s="1793"/>
      <c r="V199" s="1793">
        <v>22</v>
      </c>
      <c r="W199" s="4804">
        <v>0</v>
      </c>
      <c r="X199" s="4804">
        <v>0</v>
      </c>
      <c r="Y199" s="4804">
        <v>0</v>
      </c>
      <c r="Z199" s="4804">
        <v>1</v>
      </c>
      <c r="AA199" s="4804">
        <v>0</v>
      </c>
      <c r="AB199" s="4804">
        <v>1</v>
      </c>
      <c r="AC199" s="4804">
        <v>0</v>
      </c>
      <c r="AD199" s="4804">
        <v>0</v>
      </c>
      <c r="AE199" s="4702">
        <v>0</v>
      </c>
      <c r="AF199" s="4702">
        <v>2</v>
      </c>
      <c r="AG199" s="1793"/>
      <c r="AI199" s="41"/>
      <c r="AJ199" s="41"/>
      <c r="AK199" s="461"/>
      <c r="AL199" s="461" t="s">
        <v>1233</v>
      </c>
      <c r="AM199" s="2002">
        <v>2</v>
      </c>
      <c r="AN199" s="2002">
        <v>0</v>
      </c>
      <c r="AO199" s="2002">
        <v>0</v>
      </c>
      <c r="AP199" s="2002">
        <v>0</v>
      </c>
      <c r="AQ199" s="2002">
        <v>0</v>
      </c>
      <c r="AR199" s="2002">
        <v>0</v>
      </c>
      <c r="AS199" s="2002">
        <v>0</v>
      </c>
      <c r="AT199" s="2002">
        <v>0</v>
      </c>
      <c r="AU199" s="2480">
        <v>0</v>
      </c>
      <c r="AV199" s="2480">
        <v>0</v>
      </c>
      <c r="AW199" s="2480">
        <v>2</v>
      </c>
      <c r="AX199" s="41"/>
      <c r="AZ199" s="42"/>
      <c r="BA199" s="42"/>
      <c r="BB199" s="42" t="s">
        <v>110</v>
      </c>
      <c r="BC199" s="42" t="s">
        <v>1230</v>
      </c>
      <c r="BD199" s="1993"/>
      <c r="BE199" s="1993">
        <v>0</v>
      </c>
      <c r="BF199" s="1993">
        <v>0</v>
      </c>
      <c r="BG199" s="1993">
        <v>0</v>
      </c>
      <c r="BH199" s="1993">
        <v>0</v>
      </c>
      <c r="BI199" s="1993">
        <v>0</v>
      </c>
      <c r="BJ199" s="1993">
        <v>0</v>
      </c>
      <c r="BK199" s="1993">
        <v>2</v>
      </c>
      <c r="BL199" s="1993">
        <v>4</v>
      </c>
      <c r="BM199" s="70">
        <v>4</v>
      </c>
      <c r="BN199" s="70">
        <v>3</v>
      </c>
      <c r="BO199" s="70">
        <v>13</v>
      </c>
      <c r="BR199" s="105"/>
      <c r="BS199" s="105"/>
      <c r="BT199" s="41"/>
      <c r="BU199" s="41" t="s">
        <v>1239</v>
      </c>
      <c r="BV199" s="1659"/>
      <c r="BW199" s="1659">
        <v>0</v>
      </c>
      <c r="BX199" s="1659">
        <v>0</v>
      </c>
      <c r="BY199" s="1659">
        <v>0</v>
      </c>
      <c r="BZ199" s="1659">
        <v>0</v>
      </c>
      <c r="CA199" s="1659">
        <v>0</v>
      </c>
      <c r="CB199" s="1659">
        <v>0</v>
      </c>
      <c r="CC199" s="1659">
        <v>1</v>
      </c>
      <c r="CD199" s="1659">
        <v>48</v>
      </c>
      <c r="CE199" s="105">
        <v>3</v>
      </c>
      <c r="CF199" s="105">
        <v>8</v>
      </c>
      <c r="CG199" s="105">
        <v>60</v>
      </c>
      <c r="CH199" s="105"/>
      <c r="CJ199" s="1359"/>
      <c r="CK199" s="1359"/>
      <c r="CL199" s="1360"/>
      <c r="CM199" s="1361" t="s">
        <v>1233</v>
      </c>
      <c r="CN199" s="1363">
        <v>8</v>
      </c>
      <c r="CO199" s="1363">
        <v>5</v>
      </c>
      <c r="CP199" s="1363">
        <v>1</v>
      </c>
      <c r="CQ199" s="1363">
        <v>1</v>
      </c>
      <c r="CR199" s="1363">
        <v>1</v>
      </c>
      <c r="CS199" s="1363">
        <v>0</v>
      </c>
      <c r="CT199" s="1363">
        <v>0</v>
      </c>
      <c r="CU199" s="1363">
        <v>0</v>
      </c>
      <c r="CV199" s="687">
        <v>0</v>
      </c>
      <c r="CW199" s="687">
        <v>0</v>
      </c>
      <c r="CX199" s="687">
        <v>16</v>
      </c>
      <c r="CY199" s="41"/>
      <c r="DA199" s="602"/>
      <c r="DB199" s="602"/>
      <c r="DC199" s="603"/>
      <c r="DD199" s="604" t="s">
        <v>1239</v>
      </c>
      <c r="DE199" s="605"/>
      <c r="DF199" s="605"/>
      <c r="DG199" s="605"/>
      <c r="DH199" s="605"/>
      <c r="DI199" s="605"/>
      <c r="DJ199" s="606">
        <v>0</v>
      </c>
      <c r="DK199" s="606">
        <v>0</v>
      </c>
      <c r="DL199" s="606">
        <v>8</v>
      </c>
      <c r="DM199" s="602"/>
      <c r="DN199" s="602"/>
      <c r="DO199" s="607">
        <v>8</v>
      </c>
      <c r="DP199" s="105"/>
      <c r="DR199" s="608"/>
      <c r="DS199" s="608"/>
      <c r="DT199" s="608"/>
      <c r="DU199" s="620" t="s">
        <v>15</v>
      </c>
      <c r="DV199" s="621"/>
      <c r="DW199" s="621"/>
      <c r="DX199" s="621"/>
      <c r="DY199" s="621"/>
      <c r="DZ199" s="621"/>
      <c r="EA199" s="621"/>
      <c r="EB199" s="622">
        <v>19</v>
      </c>
      <c r="EC199" s="622">
        <v>3</v>
      </c>
      <c r="ED199" s="621"/>
      <c r="EE199" s="624">
        <v>1</v>
      </c>
      <c r="EF199" s="623"/>
      <c r="EG199" s="624">
        <v>23</v>
      </c>
      <c r="EH199" s="614">
        <f>+(EG198+EG197+EG195)/EG199</f>
        <v>0.21739130434782608</v>
      </c>
      <c r="EL199" s="615"/>
      <c r="EM199" s="616" t="s">
        <v>1240</v>
      </c>
      <c r="EN199" s="617"/>
      <c r="EO199" s="618">
        <v>0</v>
      </c>
      <c r="EP199" s="618">
        <v>1</v>
      </c>
      <c r="EQ199" s="618">
        <v>1</v>
      </c>
      <c r="ER199" s="618">
        <v>0</v>
      </c>
      <c r="ES199" s="618">
        <v>0</v>
      </c>
      <c r="ET199" s="618">
        <v>0</v>
      </c>
      <c r="EU199" s="618">
        <v>0</v>
      </c>
      <c r="EV199" s="617"/>
      <c r="EW199" s="617"/>
      <c r="EX199" s="618">
        <v>2</v>
      </c>
      <c r="EY199" s="515"/>
      <c r="FA199" s="70"/>
      <c r="FB199" s="70"/>
      <c r="FC199" s="70"/>
      <c r="FD199" s="42" t="s">
        <v>1236</v>
      </c>
      <c r="FE199" s="70"/>
      <c r="FF199" s="70"/>
      <c r="FG199" s="70">
        <v>22</v>
      </c>
      <c r="FH199" s="70">
        <v>5</v>
      </c>
      <c r="FI199" s="70">
        <v>4</v>
      </c>
      <c r="FJ199" s="70">
        <v>1</v>
      </c>
      <c r="FK199" s="70">
        <v>0</v>
      </c>
      <c r="FL199" s="70"/>
      <c r="FM199" s="70"/>
      <c r="FN199" s="70"/>
      <c r="FO199" s="70">
        <v>32</v>
      </c>
      <c r="FP199" s="42"/>
      <c r="FQ199" s="42"/>
      <c r="FR199" s="516"/>
      <c r="FS199" s="516"/>
      <c r="FT199" s="516"/>
      <c r="FU199" s="516" t="s">
        <v>1235</v>
      </c>
      <c r="FV199" s="516">
        <v>0</v>
      </c>
      <c r="FW199" s="516">
        <v>0</v>
      </c>
      <c r="FX199" s="516">
        <v>0</v>
      </c>
      <c r="FY199" s="516">
        <v>1</v>
      </c>
      <c r="FZ199" s="516">
        <v>0</v>
      </c>
      <c r="GA199" s="516">
        <v>0</v>
      </c>
      <c r="GB199" s="516">
        <v>0</v>
      </c>
      <c r="GC199" s="516">
        <v>0</v>
      </c>
      <c r="GD199" s="516">
        <v>0</v>
      </c>
      <c r="GE199" s="516">
        <v>0</v>
      </c>
      <c r="GF199" s="516">
        <v>0</v>
      </c>
      <c r="GG199" s="517">
        <v>1</v>
      </c>
      <c r="GH199" s="516"/>
      <c r="GI199" s="518"/>
    </row>
    <row r="200" spans="3:191">
      <c r="D200" s="32" t="s">
        <v>15</v>
      </c>
      <c r="E200" s="4607">
        <v>2</v>
      </c>
      <c r="F200" s="4607"/>
      <c r="G200" s="4607"/>
      <c r="H200" s="4607"/>
      <c r="I200" s="4607"/>
      <c r="J200" s="4607"/>
      <c r="K200" s="4607">
        <v>1</v>
      </c>
      <c r="L200" s="4607">
        <v>8</v>
      </c>
      <c r="M200" s="4607"/>
      <c r="N200" s="4583"/>
      <c r="O200" s="4583"/>
      <c r="P200" s="4583">
        <v>11</v>
      </c>
      <c r="Q200" s="1977">
        <f>+(P196+P199)/(P200-P198)</f>
        <v>0.88888888888888884</v>
      </c>
      <c r="R200" s="1977"/>
      <c r="U200" s="1793"/>
      <c r="V200" s="1793" t="s">
        <v>110</v>
      </c>
      <c r="W200" s="4804">
        <v>3</v>
      </c>
      <c r="X200" s="4804">
        <v>1</v>
      </c>
      <c r="Y200" s="4804">
        <v>13</v>
      </c>
      <c r="Z200" s="4804">
        <v>2</v>
      </c>
      <c r="AA200" s="4804">
        <v>5</v>
      </c>
      <c r="AB200" s="4804">
        <v>60</v>
      </c>
      <c r="AC200" s="4804">
        <v>99</v>
      </c>
      <c r="AD200" s="4804">
        <v>17</v>
      </c>
      <c r="AE200" s="4702">
        <v>24</v>
      </c>
      <c r="AF200" s="4702">
        <v>224</v>
      </c>
      <c r="AG200" s="4703">
        <f>+(AF195+AF198)/AF200</f>
        <v>0.3705357142857143</v>
      </c>
      <c r="AI200" s="41"/>
      <c r="AJ200" s="41"/>
      <c r="AK200" s="461"/>
      <c r="AL200" s="461" t="s">
        <v>1235</v>
      </c>
      <c r="AM200" s="2002">
        <v>0</v>
      </c>
      <c r="AN200" s="2002">
        <v>0</v>
      </c>
      <c r="AO200" s="2002">
        <v>0</v>
      </c>
      <c r="AP200" s="2002">
        <v>0</v>
      </c>
      <c r="AQ200" s="2002">
        <v>0</v>
      </c>
      <c r="AR200" s="2002">
        <v>4</v>
      </c>
      <c r="AS200" s="2002">
        <v>33</v>
      </c>
      <c r="AT200" s="2002">
        <v>5</v>
      </c>
      <c r="AU200" s="2480">
        <v>2</v>
      </c>
      <c r="AV200" s="2480">
        <v>0</v>
      </c>
      <c r="AW200" s="2480">
        <v>44</v>
      </c>
      <c r="AX200" s="41"/>
      <c r="AZ200" s="42"/>
      <c r="BA200" s="42"/>
      <c r="BB200" s="42"/>
      <c r="BC200" s="42" t="s">
        <v>1231</v>
      </c>
      <c r="BD200" s="1993"/>
      <c r="BE200" s="1993">
        <v>2</v>
      </c>
      <c r="BF200" s="1993">
        <v>1</v>
      </c>
      <c r="BG200" s="1993">
        <v>0</v>
      </c>
      <c r="BH200" s="1993">
        <v>1</v>
      </c>
      <c r="BI200" s="1993">
        <v>1</v>
      </c>
      <c r="BJ200" s="1993">
        <v>5</v>
      </c>
      <c r="BK200" s="1993">
        <v>12</v>
      </c>
      <c r="BL200" s="1993">
        <v>3</v>
      </c>
      <c r="BM200" s="70">
        <v>1</v>
      </c>
      <c r="BN200" s="70">
        <v>0</v>
      </c>
      <c r="BO200" s="70">
        <v>26</v>
      </c>
      <c r="BR200" s="105"/>
      <c r="BS200" s="105"/>
      <c r="BT200" s="41"/>
      <c r="BU200" s="41" t="s">
        <v>1344</v>
      </c>
      <c r="BV200" s="1659"/>
      <c r="BW200" s="1659">
        <v>0</v>
      </c>
      <c r="BX200" s="1659">
        <v>0</v>
      </c>
      <c r="BY200" s="1659">
        <v>0</v>
      </c>
      <c r="BZ200" s="1659">
        <v>0</v>
      </c>
      <c r="CA200" s="1659">
        <v>0</v>
      </c>
      <c r="CB200" s="1659">
        <v>43</v>
      </c>
      <c r="CC200" s="1659">
        <v>23</v>
      </c>
      <c r="CD200" s="1659">
        <v>4</v>
      </c>
      <c r="CE200" s="105">
        <v>0</v>
      </c>
      <c r="CF200" s="105">
        <v>0</v>
      </c>
      <c r="CG200" s="105">
        <v>70</v>
      </c>
      <c r="CH200" s="105"/>
      <c r="CJ200" s="1359"/>
      <c r="CK200" s="1359"/>
      <c r="CL200" s="1360"/>
      <c r="CM200" s="1361" t="s">
        <v>1235</v>
      </c>
      <c r="CN200" s="1363">
        <v>0</v>
      </c>
      <c r="CO200" s="1363">
        <v>0</v>
      </c>
      <c r="CP200" s="1363">
        <v>8</v>
      </c>
      <c r="CQ200" s="1363">
        <v>0</v>
      </c>
      <c r="CR200" s="1363">
        <v>0</v>
      </c>
      <c r="CS200" s="1363">
        <v>7</v>
      </c>
      <c r="CT200" s="1363">
        <v>13</v>
      </c>
      <c r="CU200" s="1363">
        <v>1</v>
      </c>
      <c r="CV200" s="687">
        <v>0</v>
      </c>
      <c r="CW200" s="687">
        <v>0</v>
      </c>
      <c r="CX200" s="687">
        <v>29</v>
      </c>
      <c r="CY200" s="41"/>
      <c r="DA200" s="602"/>
      <c r="DB200" s="602"/>
      <c r="DC200" s="603"/>
      <c r="DD200" s="604" t="s">
        <v>1240</v>
      </c>
      <c r="DE200" s="605"/>
      <c r="DF200" s="605"/>
      <c r="DG200" s="605"/>
      <c r="DH200" s="605"/>
      <c r="DI200" s="605"/>
      <c r="DJ200" s="606">
        <v>0</v>
      </c>
      <c r="DK200" s="606">
        <v>1</v>
      </c>
      <c r="DL200" s="606">
        <v>0</v>
      </c>
      <c r="DM200" s="602"/>
      <c r="DN200" s="602"/>
      <c r="DO200" s="607">
        <v>1</v>
      </c>
      <c r="DP200" s="105"/>
      <c r="DR200" s="608"/>
      <c r="DS200" s="608"/>
      <c r="DT200" s="608" t="s">
        <v>112</v>
      </c>
      <c r="DU200" s="609" t="s">
        <v>1231</v>
      </c>
      <c r="DV200" s="611">
        <v>1</v>
      </c>
      <c r="DW200" s="610"/>
      <c r="DX200" s="610"/>
      <c r="DY200" s="610"/>
      <c r="DZ200" s="610"/>
      <c r="EA200" s="610"/>
      <c r="EB200" s="610"/>
      <c r="EC200" s="610"/>
      <c r="ED200" s="610"/>
      <c r="EE200" s="612"/>
      <c r="EF200" s="612"/>
      <c r="EG200" s="613">
        <v>1</v>
      </c>
      <c r="EH200" s="614"/>
      <c r="EL200" s="615"/>
      <c r="EM200" s="616" t="s">
        <v>1344</v>
      </c>
      <c r="EN200" s="617"/>
      <c r="EO200" s="618">
        <v>0</v>
      </c>
      <c r="EP200" s="618">
        <v>1</v>
      </c>
      <c r="EQ200" s="618">
        <v>0</v>
      </c>
      <c r="ER200" s="618">
        <v>0</v>
      </c>
      <c r="ES200" s="618">
        <v>0</v>
      </c>
      <c r="ET200" s="618">
        <v>0</v>
      </c>
      <c r="EU200" s="618">
        <v>0</v>
      </c>
      <c r="EV200" s="617"/>
      <c r="EW200" s="617"/>
      <c r="EX200" s="618">
        <v>1</v>
      </c>
      <c r="EY200" s="515"/>
      <c r="FA200" s="70"/>
      <c r="FB200" s="70"/>
      <c r="FC200" s="70"/>
      <c r="FD200" s="42" t="s">
        <v>1239</v>
      </c>
      <c r="FE200" s="70"/>
      <c r="FF200" s="70"/>
      <c r="FG200" s="70">
        <v>0</v>
      </c>
      <c r="FH200" s="70">
        <v>1</v>
      </c>
      <c r="FI200" s="70">
        <v>0</v>
      </c>
      <c r="FJ200" s="70">
        <v>0</v>
      </c>
      <c r="FK200" s="70">
        <v>0</v>
      </c>
      <c r="FL200" s="70"/>
      <c r="FM200" s="70"/>
      <c r="FN200" s="70"/>
      <c r="FO200" s="70">
        <v>1</v>
      </c>
      <c r="FP200" s="42"/>
      <c r="FQ200" s="42"/>
      <c r="FR200" s="516"/>
      <c r="FS200" s="516"/>
      <c r="FT200" s="516"/>
      <c r="FU200" s="516" t="s">
        <v>1236</v>
      </c>
      <c r="FV200" s="516">
        <v>0</v>
      </c>
      <c r="FW200" s="516">
        <v>0</v>
      </c>
      <c r="FX200" s="516">
        <v>1</v>
      </c>
      <c r="FY200" s="516">
        <v>3</v>
      </c>
      <c r="FZ200" s="516">
        <v>13</v>
      </c>
      <c r="GA200" s="516">
        <v>6</v>
      </c>
      <c r="GB200" s="516">
        <v>3</v>
      </c>
      <c r="GC200" s="516">
        <v>0</v>
      </c>
      <c r="GD200" s="516">
        <v>0</v>
      </c>
      <c r="GE200" s="516">
        <v>0</v>
      </c>
      <c r="GF200" s="516">
        <v>0</v>
      </c>
      <c r="GG200" s="517">
        <v>26</v>
      </c>
      <c r="GH200" s="516"/>
      <c r="GI200" s="518"/>
    </row>
    <row r="201" spans="3:191">
      <c r="C201" s="4800" t="s">
        <v>131</v>
      </c>
      <c r="D201" s="4800" t="s">
        <v>1235</v>
      </c>
      <c r="E201" s="4606">
        <v>0</v>
      </c>
      <c r="F201" s="4606"/>
      <c r="G201" s="4606"/>
      <c r="H201" s="4606"/>
      <c r="I201" s="4606"/>
      <c r="J201" s="4606"/>
      <c r="K201" s="4606">
        <v>0</v>
      </c>
      <c r="L201" s="4606">
        <v>1</v>
      </c>
      <c r="M201" s="4606">
        <v>0</v>
      </c>
      <c r="N201" s="2552"/>
      <c r="O201" s="2552"/>
      <c r="P201" s="2552">
        <v>1</v>
      </c>
      <c r="Q201" s="2552"/>
      <c r="R201" s="2552"/>
      <c r="S201" s="37" t="s">
        <v>48</v>
      </c>
      <c r="T201" s="37" t="s">
        <v>16</v>
      </c>
      <c r="U201" s="37" t="s">
        <v>128</v>
      </c>
      <c r="V201" s="37" t="s">
        <v>1231</v>
      </c>
      <c r="W201" s="4803"/>
      <c r="X201" s="4803"/>
      <c r="Y201" s="4803"/>
      <c r="Z201" s="4803"/>
      <c r="AA201" s="4803"/>
      <c r="AB201" s="4803">
        <v>1</v>
      </c>
      <c r="AC201" s="4803"/>
      <c r="AD201" s="4803"/>
      <c r="AE201" s="1788"/>
      <c r="AF201" s="1788">
        <v>1</v>
      </c>
      <c r="AI201" s="41"/>
      <c r="AJ201" s="41"/>
      <c r="AK201" s="461"/>
      <c r="AL201" s="461" t="s">
        <v>1236</v>
      </c>
      <c r="AM201" s="2002">
        <v>1</v>
      </c>
      <c r="AN201" s="2002">
        <v>0</v>
      </c>
      <c r="AO201" s="2002">
        <v>2</v>
      </c>
      <c r="AP201" s="2002">
        <v>3</v>
      </c>
      <c r="AQ201" s="2002">
        <v>1</v>
      </c>
      <c r="AR201" s="2002">
        <v>1</v>
      </c>
      <c r="AS201" s="2002">
        <v>0</v>
      </c>
      <c r="AT201" s="2002">
        <v>0</v>
      </c>
      <c r="AU201" s="2480">
        <v>0</v>
      </c>
      <c r="AV201" s="2480">
        <v>0</v>
      </c>
      <c r="AW201" s="2480">
        <v>8</v>
      </c>
      <c r="AX201" s="41"/>
      <c r="AZ201" s="42"/>
      <c r="BA201" s="42"/>
      <c r="BB201" s="42"/>
      <c r="BC201" s="42" t="s">
        <v>1233</v>
      </c>
      <c r="BD201" s="1993"/>
      <c r="BE201" s="1993">
        <v>3</v>
      </c>
      <c r="BF201" s="1993">
        <v>1</v>
      </c>
      <c r="BG201" s="1993">
        <v>0</v>
      </c>
      <c r="BH201" s="1993">
        <v>0</v>
      </c>
      <c r="BI201" s="1993">
        <v>0</v>
      </c>
      <c r="BJ201" s="1993">
        <v>0</v>
      </c>
      <c r="BK201" s="1993">
        <v>0</v>
      </c>
      <c r="BL201" s="1993">
        <v>0</v>
      </c>
      <c r="BM201" s="70">
        <v>0</v>
      </c>
      <c r="BN201" s="70">
        <v>0</v>
      </c>
      <c r="BO201" s="70">
        <v>4</v>
      </c>
      <c r="BR201" s="105"/>
      <c r="BS201" s="105"/>
      <c r="BT201" s="41"/>
      <c r="BU201" s="461" t="s">
        <v>110</v>
      </c>
      <c r="BV201" s="1660"/>
      <c r="BW201" s="1660">
        <v>11</v>
      </c>
      <c r="BX201" s="1660">
        <v>4</v>
      </c>
      <c r="BY201" s="1660">
        <v>4</v>
      </c>
      <c r="BZ201" s="1660">
        <v>2</v>
      </c>
      <c r="CA201" s="1660">
        <v>4</v>
      </c>
      <c r="CB201" s="1660">
        <v>80</v>
      </c>
      <c r="CC201" s="1660">
        <v>90</v>
      </c>
      <c r="CD201" s="1660">
        <v>65</v>
      </c>
      <c r="CE201" s="96">
        <v>9</v>
      </c>
      <c r="CF201" s="96">
        <v>10</v>
      </c>
      <c r="CG201" s="96">
        <v>279</v>
      </c>
      <c r="CH201" s="635">
        <f>+(CG197+CG200-CE197)/CG201</f>
        <v>0.43727598566308246</v>
      </c>
      <c r="CJ201" s="1359"/>
      <c r="CK201" s="1359"/>
      <c r="CL201" s="1360"/>
      <c r="CM201" s="1361" t="s">
        <v>1236</v>
      </c>
      <c r="CN201" s="1363">
        <v>0</v>
      </c>
      <c r="CO201" s="1363">
        <v>1</v>
      </c>
      <c r="CP201" s="1363">
        <v>3</v>
      </c>
      <c r="CQ201" s="1363">
        <v>2</v>
      </c>
      <c r="CR201" s="1363">
        <v>1</v>
      </c>
      <c r="CS201" s="1363">
        <v>0</v>
      </c>
      <c r="CT201" s="1363">
        <v>1</v>
      </c>
      <c r="CU201" s="1363">
        <v>0</v>
      </c>
      <c r="CV201" s="687">
        <v>0</v>
      </c>
      <c r="CW201" s="687">
        <v>0</v>
      </c>
      <c r="CX201" s="687">
        <v>8</v>
      </c>
      <c r="CY201" s="41"/>
      <c r="DA201" s="602"/>
      <c r="DB201" s="602"/>
      <c r="DC201" s="603"/>
      <c r="DD201" s="604" t="s">
        <v>1344</v>
      </c>
      <c r="DE201" s="605"/>
      <c r="DF201" s="605"/>
      <c r="DG201" s="605"/>
      <c r="DH201" s="605"/>
      <c r="DI201" s="605"/>
      <c r="DJ201" s="606">
        <v>2</v>
      </c>
      <c r="DK201" s="606">
        <v>0</v>
      </c>
      <c r="DL201" s="606">
        <v>0</v>
      </c>
      <c r="DM201" s="602"/>
      <c r="DN201" s="602"/>
      <c r="DO201" s="607">
        <v>2</v>
      </c>
      <c r="DP201" s="105"/>
      <c r="DR201" s="608"/>
      <c r="DS201" s="608"/>
      <c r="DT201" s="608"/>
      <c r="DU201" s="620" t="s">
        <v>15</v>
      </c>
      <c r="DV201" s="622">
        <v>1</v>
      </c>
      <c r="DW201" s="621"/>
      <c r="DX201" s="621"/>
      <c r="DY201" s="621"/>
      <c r="DZ201" s="621"/>
      <c r="EA201" s="621"/>
      <c r="EB201" s="621"/>
      <c r="EC201" s="621"/>
      <c r="ED201" s="621"/>
      <c r="EE201" s="623"/>
      <c r="EF201" s="623"/>
      <c r="EG201" s="624">
        <v>1</v>
      </c>
      <c r="EH201" s="614">
        <v>0</v>
      </c>
      <c r="EL201" s="615"/>
      <c r="EM201" s="625" t="s">
        <v>844</v>
      </c>
      <c r="EN201" s="626"/>
      <c r="EO201" s="627">
        <v>1</v>
      </c>
      <c r="EP201" s="627">
        <v>13</v>
      </c>
      <c r="EQ201" s="627">
        <v>8</v>
      </c>
      <c r="ER201" s="627">
        <v>3</v>
      </c>
      <c r="ES201" s="627">
        <v>3</v>
      </c>
      <c r="ET201" s="627">
        <v>1</v>
      </c>
      <c r="EU201" s="627">
        <v>4</v>
      </c>
      <c r="EV201" s="626"/>
      <c r="EW201" s="626"/>
      <c r="EX201" s="627">
        <v>33</v>
      </c>
      <c r="EY201" s="628">
        <f>+(EX200+EX199)/EX201</f>
        <v>9.0909090909090912E-2</v>
      </c>
      <c r="FA201" s="70"/>
      <c r="FB201" s="70"/>
      <c r="FC201" s="70"/>
      <c r="FD201" s="42" t="s">
        <v>1240</v>
      </c>
      <c r="FE201" s="70"/>
      <c r="FF201" s="70"/>
      <c r="FG201" s="70">
        <v>0</v>
      </c>
      <c r="FH201" s="70">
        <v>1</v>
      </c>
      <c r="FI201" s="70">
        <v>0</v>
      </c>
      <c r="FJ201" s="70">
        <v>3</v>
      </c>
      <c r="FK201" s="70">
        <v>0</v>
      </c>
      <c r="FL201" s="70"/>
      <c r="FM201" s="70"/>
      <c r="FN201" s="70"/>
      <c r="FO201" s="70">
        <v>4</v>
      </c>
      <c r="FP201" s="42"/>
      <c r="FQ201" s="42"/>
      <c r="FR201" s="516"/>
      <c r="FS201" s="516"/>
      <c r="FT201" s="516"/>
      <c r="FU201" s="516" t="s">
        <v>1344</v>
      </c>
      <c r="FV201" s="516">
        <v>0</v>
      </c>
      <c r="FW201" s="516">
        <v>0</v>
      </c>
      <c r="FX201" s="516">
        <v>0</v>
      </c>
      <c r="FY201" s="516">
        <v>1</v>
      </c>
      <c r="FZ201" s="516">
        <v>0</v>
      </c>
      <c r="GA201" s="516">
        <v>0</v>
      </c>
      <c r="GB201" s="516">
        <v>0</v>
      </c>
      <c r="GC201" s="516">
        <v>0</v>
      </c>
      <c r="GD201" s="516">
        <v>0</v>
      </c>
      <c r="GE201" s="516">
        <v>0</v>
      </c>
      <c r="GF201" s="516">
        <v>0</v>
      </c>
      <c r="GG201" s="517">
        <v>1</v>
      </c>
      <c r="GH201" s="516"/>
      <c r="GI201" s="518"/>
    </row>
    <row r="202" spans="3:191">
      <c r="D202" s="4800" t="s">
        <v>1239</v>
      </c>
      <c r="E202" s="4606">
        <v>0</v>
      </c>
      <c r="F202" s="4606"/>
      <c r="G202" s="4606"/>
      <c r="H202" s="4606"/>
      <c r="I202" s="4606"/>
      <c r="J202" s="4606"/>
      <c r="K202" s="4606">
        <v>0</v>
      </c>
      <c r="L202" s="4606">
        <v>4</v>
      </c>
      <c r="M202" s="4606">
        <v>3</v>
      </c>
      <c r="N202" s="2552"/>
      <c r="O202" s="2552"/>
      <c r="P202" s="2552">
        <v>7</v>
      </c>
      <c r="Q202" s="2552"/>
      <c r="R202" s="2552"/>
      <c r="V202" s="37" t="s">
        <v>1235</v>
      </c>
      <c r="W202" s="4803"/>
      <c r="X202" s="4803"/>
      <c r="Y202" s="4803"/>
      <c r="Z202" s="4803"/>
      <c r="AA202" s="4803"/>
      <c r="AB202" s="4803">
        <v>6</v>
      </c>
      <c r="AC202" s="4803"/>
      <c r="AD202" s="4803"/>
      <c r="AE202" s="1788"/>
      <c r="AF202" s="1788">
        <v>6</v>
      </c>
      <c r="AI202" s="41"/>
      <c r="AJ202" s="41"/>
      <c r="AK202" s="461"/>
      <c r="AL202" s="461" t="s">
        <v>1239</v>
      </c>
      <c r="AM202" s="2002">
        <v>0</v>
      </c>
      <c r="AN202" s="2002">
        <v>0</v>
      </c>
      <c r="AO202" s="2002">
        <v>0</v>
      </c>
      <c r="AP202" s="2002">
        <v>0</v>
      </c>
      <c r="AQ202" s="2002">
        <v>0</v>
      </c>
      <c r="AR202" s="2002">
        <v>0</v>
      </c>
      <c r="AS202" s="2002">
        <v>0</v>
      </c>
      <c r="AT202" s="2002">
        <v>69</v>
      </c>
      <c r="AU202" s="2480">
        <v>7</v>
      </c>
      <c r="AV202" s="2480">
        <v>5</v>
      </c>
      <c r="AW202" s="2480">
        <v>81</v>
      </c>
      <c r="AX202" s="41"/>
      <c r="AZ202" s="42"/>
      <c r="BA202" s="42"/>
      <c r="BB202" s="42"/>
      <c r="BC202" s="42" t="s">
        <v>1235</v>
      </c>
      <c r="BD202" s="1993"/>
      <c r="BE202" s="1993">
        <v>0</v>
      </c>
      <c r="BF202" s="1993">
        <v>0</v>
      </c>
      <c r="BG202" s="1993">
        <v>0</v>
      </c>
      <c r="BH202" s="1993">
        <v>2</v>
      </c>
      <c r="BI202" s="1993">
        <v>0</v>
      </c>
      <c r="BJ202" s="1993">
        <v>24</v>
      </c>
      <c r="BK202" s="1993">
        <v>28</v>
      </c>
      <c r="BL202" s="1993">
        <v>7</v>
      </c>
      <c r="BM202" s="70">
        <v>2</v>
      </c>
      <c r="BN202" s="70">
        <v>0</v>
      </c>
      <c r="BO202" s="70">
        <v>63</v>
      </c>
      <c r="BR202" s="105" t="s">
        <v>48</v>
      </c>
      <c r="BS202" s="105" t="s">
        <v>16</v>
      </c>
      <c r="BT202" s="41" t="s">
        <v>132</v>
      </c>
      <c r="BU202" s="41" t="s">
        <v>1231</v>
      </c>
      <c r="BV202" s="1659"/>
      <c r="BW202" s="1659">
        <v>1</v>
      </c>
      <c r="BX202" s="1659"/>
      <c r="BY202" s="1659"/>
      <c r="BZ202" s="1659">
        <v>1</v>
      </c>
      <c r="CA202" s="1659"/>
      <c r="CB202" s="1659">
        <v>21</v>
      </c>
      <c r="CC202" s="1659"/>
      <c r="CD202" s="1659"/>
      <c r="CE202" s="105"/>
      <c r="CF202" s="105"/>
      <c r="CG202" s="105">
        <v>23</v>
      </c>
      <c r="CH202" s="105"/>
      <c r="CJ202" s="1359"/>
      <c r="CK202" s="1359"/>
      <c r="CL202" s="1360"/>
      <c r="CM202" s="1361" t="s">
        <v>1239</v>
      </c>
      <c r="CN202" s="1363">
        <v>0</v>
      </c>
      <c r="CO202" s="1363">
        <v>0</v>
      </c>
      <c r="CP202" s="1363">
        <v>0</v>
      </c>
      <c r="CQ202" s="1363">
        <v>0</v>
      </c>
      <c r="CR202" s="1363">
        <v>0</v>
      </c>
      <c r="CS202" s="1363">
        <v>0</v>
      </c>
      <c r="CT202" s="1363">
        <v>2</v>
      </c>
      <c r="CU202" s="1363">
        <v>59</v>
      </c>
      <c r="CV202" s="687">
        <v>3</v>
      </c>
      <c r="CW202" s="687">
        <v>13</v>
      </c>
      <c r="CX202" s="687">
        <v>77</v>
      </c>
      <c r="CY202" s="41"/>
      <c r="DA202" s="602"/>
      <c r="DB202" s="602"/>
      <c r="DC202" s="603"/>
      <c r="DD202" s="630" t="s">
        <v>15</v>
      </c>
      <c r="DE202" s="631"/>
      <c r="DF202" s="631"/>
      <c r="DG202" s="631"/>
      <c r="DH202" s="631"/>
      <c r="DI202" s="631"/>
      <c r="DJ202" s="632">
        <v>3</v>
      </c>
      <c r="DK202" s="632">
        <v>3</v>
      </c>
      <c r="DL202" s="632">
        <v>8</v>
      </c>
      <c r="DM202" s="633"/>
      <c r="DN202" s="633"/>
      <c r="DO202" s="634">
        <v>14</v>
      </c>
      <c r="DP202" s="635">
        <f>+(DO198+DO200+DO201)/DO202</f>
        <v>0.2857142857142857</v>
      </c>
      <c r="DR202" s="608"/>
      <c r="DS202" s="608"/>
      <c r="DT202" s="620" t="s">
        <v>547</v>
      </c>
      <c r="DU202" s="609" t="s">
        <v>1231</v>
      </c>
      <c r="DV202" s="611">
        <v>1</v>
      </c>
      <c r="DW202" s="611">
        <v>1</v>
      </c>
      <c r="DX202" s="610"/>
      <c r="DY202" s="611">
        <v>2</v>
      </c>
      <c r="DZ202" s="610"/>
      <c r="EA202" s="611">
        <v>1</v>
      </c>
      <c r="EB202" s="611">
        <v>19</v>
      </c>
      <c r="EC202" s="611">
        <v>9</v>
      </c>
      <c r="ED202" s="610"/>
      <c r="EE202" s="613">
        <v>0</v>
      </c>
      <c r="EF202" s="612"/>
      <c r="EG202" s="613">
        <v>33</v>
      </c>
      <c r="EH202" s="614"/>
      <c r="EJ202" s="615" t="s">
        <v>25</v>
      </c>
      <c r="EL202" s="615" t="s">
        <v>544</v>
      </c>
      <c r="EM202" s="616" t="s">
        <v>1230</v>
      </c>
      <c r="EN202" s="618">
        <v>0</v>
      </c>
      <c r="EO202" s="617"/>
      <c r="EP202" s="617"/>
      <c r="EQ202" s="618">
        <v>0</v>
      </c>
      <c r="ER202" s="618">
        <v>0</v>
      </c>
      <c r="ES202" s="618">
        <v>0</v>
      </c>
      <c r="ET202" s="618">
        <v>1</v>
      </c>
      <c r="EU202" s="618">
        <v>8</v>
      </c>
      <c r="EV202" s="618">
        <v>4</v>
      </c>
      <c r="EW202" s="618">
        <v>11</v>
      </c>
      <c r="EX202" s="618">
        <v>24</v>
      </c>
      <c r="EY202" s="515"/>
      <c r="FA202" s="70"/>
      <c r="FB202" s="70"/>
      <c r="FC202" s="70"/>
      <c r="FD202" s="42" t="s">
        <v>1344</v>
      </c>
      <c r="FE202" s="70"/>
      <c r="FF202" s="70"/>
      <c r="FG202" s="70">
        <v>2</v>
      </c>
      <c r="FH202" s="70">
        <v>1</v>
      </c>
      <c r="FI202" s="70">
        <v>0</v>
      </c>
      <c r="FJ202" s="70">
        <v>0</v>
      </c>
      <c r="FK202" s="70">
        <v>0</v>
      </c>
      <c r="FL202" s="70"/>
      <c r="FM202" s="70"/>
      <c r="FN202" s="70"/>
      <c r="FO202" s="70">
        <v>3</v>
      </c>
      <c r="FP202" s="42"/>
      <c r="FQ202" s="42"/>
      <c r="FR202" s="516"/>
      <c r="FS202" s="516"/>
      <c r="FT202" s="516"/>
      <c r="FU202" s="519" t="s">
        <v>15</v>
      </c>
      <c r="FV202" s="519">
        <v>0</v>
      </c>
      <c r="FW202" s="519">
        <v>0</v>
      </c>
      <c r="FX202" s="519">
        <v>1</v>
      </c>
      <c r="FY202" s="519">
        <v>6</v>
      </c>
      <c r="FZ202" s="519">
        <v>14</v>
      </c>
      <c r="GA202" s="519">
        <v>6</v>
      </c>
      <c r="GB202" s="519">
        <v>4</v>
      </c>
      <c r="GC202" s="519">
        <v>0</v>
      </c>
      <c r="GD202" s="519">
        <v>0</v>
      </c>
      <c r="GE202" s="519">
        <v>0</v>
      </c>
      <c r="GF202" s="519">
        <v>0</v>
      </c>
      <c r="GG202" s="579">
        <v>31</v>
      </c>
      <c r="GH202" s="520">
        <f>+(GG201+GG199)/GG202</f>
        <v>6.4516129032258063E-2</v>
      </c>
      <c r="GI202" s="518">
        <f>+GG199+GG201</f>
        <v>2</v>
      </c>
    </row>
    <row r="203" spans="3:191">
      <c r="D203" s="4800" t="s">
        <v>2963</v>
      </c>
      <c r="E203" s="4606">
        <v>1</v>
      </c>
      <c r="F203" s="4606"/>
      <c r="G203" s="4606"/>
      <c r="H203" s="4606"/>
      <c r="I203" s="4606"/>
      <c r="J203" s="4606"/>
      <c r="K203" s="4606">
        <v>0</v>
      </c>
      <c r="L203" s="4606">
        <v>0</v>
      </c>
      <c r="M203" s="4606">
        <v>0</v>
      </c>
      <c r="N203" s="2552"/>
      <c r="O203" s="2552"/>
      <c r="P203" s="2552">
        <v>1</v>
      </c>
      <c r="Q203" s="2552"/>
      <c r="R203" s="2552"/>
      <c r="V203" s="37" t="s">
        <v>1344</v>
      </c>
      <c r="W203" s="4803"/>
      <c r="X203" s="4803"/>
      <c r="Y203" s="4803"/>
      <c r="Z203" s="4803"/>
      <c r="AA203" s="4803"/>
      <c r="AB203" s="4803">
        <v>5</v>
      </c>
      <c r="AC203" s="4803"/>
      <c r="AD203" s="4803"/>
      <c r="AE203" s="1788"/>
      <c r="AF203" s="1788">
        <v>5</v>
      </c>
      <c r="AI203" s="41"/>
      <c r="AJ203" s="41"/>
      <c r="AK203" s="461"/>
      <c r="AL203" s="461" t="s">
        <v>1344</v>
      </c>
      <c r="AM203" s="2002">
        <v>0</v>
      </c>
      <c r="AN203" s="2002">
        <v>0</v>
      </c>
      <c r="AO203" s="2002">
        <v>0</v>
      </c>
      <c r="AP203" s="2002">
        <v>0</v>
      </c>
      <c r="AQ203" s="2002">
        <v>0</v>
      </c>
      <c r="AR203" s="2002">
        <v>36</v>
      </c>
      <c r="AS203" s="2002">
        <v>12</v>
      </c>
      <c r="AT203" s="2002">
        <v>16</v>
      </c>
      <c r="AU203" s="2480">
        <v>0</v>
      </c>
      <c r="AV203" s="2480">
        <v>0</v>
      </c>
      <c r="AW203" s="2480">
        <v>64</v>
      </c>
      <c r="AX203" s="41"/>
      <c r="AZ203" s="42"/>
      <c r="BA203" s="42"/>
      <c r="BB203" s="42"/>
      <c r="BC203" s="42" t="s">
        <v>1236</v>
      </c>
      <c r="BD203" s="1993"/>
      <c r="BE203" s="1993">
        <v>1</v>
      </c>
      <c r="BF203" s="1993">
        <v>3</v>
      </c>
      <c r="BG203" s="1993">
        <v>1</v>
      </c>
      <c r="BH203" s="1993">
        <v>3</v>
      </c>
      <c r="BI203" s="1993">
        <v>1</v>
      </c>
      <c r="BJ203" s="1993">
        <v>0</v>
      </c>
      <c r="BK203" s="1993">
        <v>0</v>
      </c>
      <c r="BL203" s="1993">
        <v>0</v>
      </c>
      <c r="BM203" s="70">
        <v>0</v>
      </c>
      <c r="BN203" s="70">
        <v>0</v>
      </c>
      <c r="BO203" s="70">
        <v>9</v>
      </c>
      <c r="BR203" s="105"/>
      <c r="BS203" s="105"/>
      <c r="BT203" s="41"/>
      <c r="BU203" s="41" t="s">
        <v>1235</v>
      </c>
      <c r="BV203" s="1659"/>
      <c r="BW203" s="1659">
        <v>0</v>
      </c>
      <c r="BX203" s="1659"/>
      <c r="BY203" s="1659"/>
      <c r="BZ203" s="1659">
        <v>0</v>
      </c>
      <c r="CA203" s="1659"/>
      <c r="CB203" s="1659">
        <v>2</v>
      </c>
      <c r="CC203" s="1659"/>
      <c r="CD203" s="1659"/>
      <c r="CE203" s="105"/>
      <c r="CF203" s="105"/>
      <c r="CG203" s="105">
        <v>2</v>
      </c>
      <c r="CH203" s="105"/>
      <c r="CJ203" s="1359"/>
      <c r="CK203" s="1359"/>
      <c r="CL203" s="1360"/>
      <c r="CM203" s="1361" t="s">
        <v>1240</v>
      </c>
      <c r="CN203" s="1363">
        <v>0</v>
      </c>
      <c r="CO203" s="1363">
        <v>0</v>
      </c>
      <c r="CP203" s="1363">
        <v>0</v>
      </c>
      <c r="CQ203" s="1363">
        <v>0</v>
      </c>
      <c r="CR203" s="1363">
        <v>0</v>
      </c>
      <c r="CS203" s="1363">
        <v>11</v>
      </c>
      <c r="CT203" s="1363">
        <v>0</v>
      </c>
      <c r="CU203" s="1363">
        <v>0</v>
      </c>
      <c r="CV203" s="687">
        <v>0</v>
      </c>
      <c r="CW203" s="687">
        <v>1</v>
      </c>
      <c r="CX203" s="687">
        <v>12</v>
      </c>
      <c r="CY203" s="41"/>
      <c r="DA203" s="602"/>
      <c r="DB203" s="602"/>
      <c r="DC203" s="603" t="s">
        <v>111</v>
      </c>
      <c r="DD203" s="604" t="s">
        <v>1231</v>
      </c>
      <c r="DE203" s="605"/>
      <c r="DF203" s="605"/>
      <c r="DG203" s="606">
        <v>19</v>
      </c>
      <c r="DH203" s="606">
        <v>1</v>
      </c>
      <c r="DI203" s="605"/>
      <c r="DJ203" s="605"/>
      <c r="DK203" s="605"/>
      <c r="DL203" s="605"/>
      <c r="DM203" s="602"/>
      <c r="DN203" s="602"/>
      <c r="DO203" s="607">
        <v>20</v>
      </c>
      <c r="DP203" s="105"/>
      <c r="DR203" s="608"/>
      <c r="DS203" s="608"/>
      <c r="DT203" s="608"/>
      <c r="DU203" s="609" t="s">
        <v>1235</v>
      </c>
      <c r="DV203" s="611">
        <v>0</v>
      </c>
      <c r="DW203" s="611">
        <v>0</v>
      </c>
      <c r="DX203" s="610"/>
      <c r="DY203" s="611">
        <v>0</v>
      </c>
      <c r="DZ203" s="610"/>
      <c r="EA203" s="611">
        <v>1</v>
      </c>
      <c r="EB203" s="611">
        <v>2</v>
      </c>
      <c r="EC203" s="611">
        <v>1</v>
      </c>
      <c r="ED203" s="610"/>
      <c r="EE203" s="613">
        <v>0</v>
      </c>
      <c r="EF203" s="612"/>
      <c r="EG203" s="613">
        <v>4</v>
      </c>
      <c r="EH203" s="614"/>
      <c r="EJ203" s="615"/>
      <c r="EL203" s="615"/>
      <c r="EM203" s="616" t="s">
        <v>1231</v>
      </c>
      <c r="EN203" s="618">
        <v>1</v>
      </c>
      <c r="EO203" s="617"/>
      <c r="EP203" s="617"/>
      <c r="EQ203" s="618">
        <v>1</v>
      </c>
      <c r="ER203" s="618">
        <v>1</v>
      </c>
      <c r="ES203" s="618">
        <v>3</v>
      </c>
      <c r="ET203" s="618">
        <v>4</v>
      </c>
      <c r="EU203" s="618">
        <v>6</v>
      </c>
      <c r="EV203" s="618">
        <v>3</v>
      </c>
      <c r="EW203" s="618">
        <v>0</v>
      </c>
      <c r="EX203" s="618">
        <v>19</v>
      </c>
      <c r="EY203" s="515"/>
      <c r="FA203" s="70"/>
      <c r="FB203" s="70"/>
      <c r="FC203" s="70"/>
      <c r="FD203" s="484" t="s">
        <v>15</v>
      </c>
      <c r="FE203" s="454"/>
      <c r="FF203" s="454"/>
      <c r="FG203" s="454">
        <v>27</v>
      </c>
      <c r="FH203" s="454">
        <v>8</v>
      </c>
      <c r="FI203" s="454">
        <v>4</v>
      </c>
      <c r="FJ203" s="454">
        <v>5</v>
      </c>
      <c r="FK203" s="454">
        <v>2</v>
      </c>
      <c r="FL203" s="454"/>
      <c r="FM203" s="454"/>
      <c r="FN203" s="454"/>
      <c r="FO203" s="454">
        <v>46</v>
      </c>
      <c r="FP203" s="536">
        <f>+(FO198+FO201+FO202)/FO203</f>
        <v>0.2391304347826087</v>
      </c>
      <c r="FQ203" s="42"/>
      <c r="FR203" s="516"/>
      <c r="FS203" s="516" t="s">
        <v>1326</v>
      </c>
      <c r="FT203" s="516" t="s">
        <v>4</v>
      </c>
      <c r="FU203" s="516" t="s">
        <v>1230</v>
      </c>
      <c r="FV203" s="516">
        <v>0</v>
      </c>
      <c r="FW203" s="516">
        <v>0</v>
      </c>
      <c r="FX203" s="516">
        <v>0</v>
      </c>
      <c r="FY203" s="516">
        <v>0</v>
      </c>
      <c r="FZ203" s="516">
        <v>0</v>
      </c>
      <c r="GA203" s="516">
        <v>0</v>
      </c>
      <c r="GB203" s="516">
        <v>0</v>
      </c>
      <c r="GC203" s="516">
        <v>1</v>
      </c>
      <c r="GD203" s="516">
        <v>10</v>
      </c>
      <c r="GE203" s="516">
        <v>2</v>
      </c>
      <c r="GF203" s="516">
        <v>4</v>
      </c>
      <c r="GG203" s="517">
        <v>17</v>
      </c>
      <c r="GH203" s="516"/>
      <c r="GI203" s="518"/>
    </row>
    <row r="204" spans="3:191">
      <c r="D204" s="4800" t="s">
        <v>1344</v>
      </c>
      <c r="E204" s="4606">
        <v>0</v>
      </c>
      <c r="F204" s="4606"/>
      <c r="G204" s="4606"/>
      <c r="H204" s="4606"/>
      <c r="I204" s="4606"/>
      <c r="J204" s="4606"/>
      <c r="K204" s="4606">
        <v>3</v>
      </c>
      <c r="L204" s="4606">
        <v>1</v>
      </c>
      <c r="M204" s="4606">
        <v>0</v>
      </c>
      <c r="N204" s="2552"/>
      <c r="O204" s="2552"/>
      <c r="P204" s="2552">
        <v>4</v>
      </c>
      <c r="Q204" s="2552"/>
      <c r="R204" s="2552"/>
      <c r="V204" s="1793" t="s">
        <v>15</v>
      </c>
      <c r="W204" s="4804"/>
      <c r="X204" s="4804"/>
      <c r="Y204" s="4804"/>
      <c r="Z204" s="4804"/>
      <c r="AA204" s="4804"/>
      <c r="AB204" s="4804">
        <v>12</v>
      </c>
      <c r="AC204" s="4804"/>
      <c r="AD204" s="4804"/>
      <c r="AE204" s="4702"/>
      <c r="AF204" s="4702">
        <v>12</v>
      </c>
      <c r="AG204" s="4703">
        <f>+(AF202+AF203)/AF204</f>
        <v>0.91666666666666663</v>
      </c>
      <c r="AI204" s="41"/>
      <c r="AJ204" s="41"/>
      <c r="AK204" s="461"/>
      <c r="AL204" s="461" t="s">
        <v>2704</v>
      </c>
      <c r="AM204" s="2002">
        <v>0</v>
      </c>
      <c r="AN204" s="2002">
        <v>0</v>
      </c>
      <c r="AO204" s="2002">
        <v>0</v>
      </c>
      <c r="AP204" s="2002">
        <v>0</v>
      </c>
      <c r="AQ204" s="2002">
        <v>0</v>
      </c>
      <c r="AR204" s="2002">
        <v>0</v>
      </c>
      <c r="AS204" s="2002">
        <v>0</v>
      </c>
      <c r="AT204" s="2002">
        <v>0</v>
      </c>
      <c r="AU204" s="2480">
        <v>3</v>
      </c>
      <c r="AV204" s="2480">
        <v>4</v>
      </c>
      <c r="AW204" s="2480">
        <v>7</v>
      </c>
      <c r="AX204" s="41"/>
      <c r="AZ204" s="42"/>
      <c r="BA204" s="42"/>
      <c r="BB204" s="42"/>
      <c r="BC204" s="42" t="s">
        <v>1239</v>
      </c>
      <c r="BD204" s="1993"/>
      <c r="BE204" s="1993">
        <v>0</v>
      </c>
      <c r="BF204" s="1993">
        <v>0</v>
      </c>
      <c r="BG204" s="1993">
        <v>0</v>
      </c>
      <c r="BH204" s="1993">
        <v>0</v>
      </c>
      <c r="BI204" s="1993">
        <v>1</v>
      </c>
      <c r="BJ204" s="1993">
        <v>0</v>
      </c>
      <c r="BK204" s="1993">
        <v>1</v>
      </c>
      <c r="BL204" s="1993">
        <v>63</v>
      </c>
      <c r="BM204" s="70">
        <v>6</v>
      </c>
      <c r="BN204" s="70">
        <v>5</v>
      </c>
      <c r="BO204" s="70">
        <v>76</v>
      </c>
      <c r="BR204" s="105"/>
      <c r="BS204" s="105"/>
      <c r="BT204" s="41"/>
      <c r="BU204" s="41" t="s">
        <v>1239</v>
      </c>
      <c r="BV204" s="1659"/>
      <c r="BW204" s="1659">
        <v>0</v>
      </c>
      <c r="BX204" s="1659"/>
      <c r="BY204" s="1659"/>
      <c r="BZ204" s="1659">
        <v>1</v>
      </c>
      <c r="CA204" s="1659"/>
      <c r="CB204" s="1659">
        <v>0</v>
      </c>
      <c r="CC204" s="1659"/>
      <c r="CD204" s="1659"/>
      <c r="CE204" s="105"/>
      <c r="CF204" s="105"/>
      <c r="CG204" s="105">
        <v>1</v>
      </c>
      <c r="CH204" s="105"/>
      <c r="CJ204" s="1359"/>
      <c r="CK204" s="1359"/>
      <c r="CL204" s="1360"/>
      <c r="CM204" s="1361" t="s">
        <v>1344</v>
      </c>
      <c r="CN204" s="1363">
        <v>0</v>
      </c>
      <c r="CO204" s="1363">
        <v>0</v>
      </c>
      <c r="CP204" s="1363">
        <v>6</v>
      </c>
      <c r="CQ204" s="1363">
        <v>0</v>
      </c>
      <c r="CR204" s="1363">
        <v>0</v>
      </c>
      <c r="CS204" s="1363">
        <v>27</v>
      </c>
      <c r="CT204" s="1363">
        <v>7</v>
      </c>
      <c r="CU204" s="1363">
        <v>6</v>
      </c>
      <c r="CV204" s="687">
        <v>0</v>
      </c>
      <c r="CW204" s="687">
        <v>0</v>
      </c>
      <c r="CX204" s="687">
        <v>46</v>
      </c>
      <c r="CY204" s="41"/>
      <c r="DA204" s="602"/>
      <c r="DB204" s="602"/>
      <c r="DC204" s="603"/>
      <c r="DD204" s="604" t="s">
        <v>1235</v>
      </c>
      <c r="DE204" s="605"/>
      <c r="DF204" s="605"/>
      <c r="DG204" s="606">
        <v>1</v>
      </c>
      <c r="DH204" s="606">
        <v>0</v>
      </c>
      <c r="DI204" s="605"/>
      <c r="DJ204" s="605"/>
      <c r="DK204" s="605"/>
      <c r="DL204" s="605"/>
      <c r="DM204" s="602"/>
      <c r="DN204" s="602"/>
      <c r="DO204" s="607">
        <v>1</v>
      </c>
      <c r="DP204" s="105"/>
      <c r="DR204" s="608"/>
      <c r="DS204" s="608"/>
      <c r="DT204" s="608"/>
      <c r="DU204" s="609" t="s">
        <v>1239</v>
      </c>
      <c r="DV204" s="611">
        <v>0</v>
      </c>
      <c r="DW204" s="611">
        <v>0</v>
      </c>
      <c r="DX204" s="610"/>
      <c r="DY204" s="611">
        <v>0</v>
      </c>
      <c r="DZ204" s="610"/>
      <c r="EA204" s="611">
        <v>0</v>
      </c>
      <c r="EB204" s="611">
        <v>0</v>
      </c>
      <c r="EC204" s="611">
        <v>0</v>
      </c>
      <c r="ED204" s="610"/>
      <c r="EE204" s="613">
        <v>1</v>
      </c>
      <c r="EF204" s="612"/>
      <c r="EG204" s="613">
        <v>1</v>
      </c>
      <c r="EH204" s="614"/>
      <c r="EJ204" s="615"/>
      <c r="EL204" s="615"/>
      <c r="EM204" s="616" t="s">
        <v>1235</v>
      </c>
      <c r="EN204" s="618">
        <v>0</v>
      </c>
      <c r="EO204" s="617"/>
      <c r="EP204" s="617"/>
      <c r="EQ204" s="618">
        <v>0</v>
      </c>
      <c r="ER204" s="618">
        <v>0</v>
      </c>
      <c r="ES204" s="618">
        <v>1</v>
      </c>
      <c r="ET204" s="618">
        <v>9</v>
      </c>
      <c r="EU204" s="618">
        <v>0</v>
      </c>
      <c r="EV204" s="618">
        <v>1</v>
      </c>
      <c r="EW204" s="618">
        <v>0</v>
      </c>
      <c r="EX204" s="618">
        <v>11</v>
      </c>
      <c r="EY204" s="515"/>
      <c r="FA204" s="70"/>
      <c r="FB204" s="70" t="s">
        <v>25</v>
      </c>
      <c r="FC204" s="70" t="s">
        <v>4</v>
      </c>
      <c r="FD204" s="42" t="s">
        <v>1230</v>
      </c>
      <c r="FE204" s="70">
        <v>0</v>
      </c>
      <c r="FF204" s="70">
        <v>0</v>
      </c>
      <c r="FG204" s="70">
        <v>0</v>
      </c>
      <c r="FH204" s="70"/>
      <c r="FI204" s="70">
        <v>0</v>
      </c>
      <c r="FJ204" s="70">
        <v>0</v>
      </c>
      <c r="FK204" s="70">
        <v>2</v>
      </c>
      <c r="FL204" s="70">
        <v>16</v>
      </c>
      <c r="FM204" s="70">
        <v>2</v>
      </c>
      <c r="FN204" s="70">
        <v>2</v>
      </c>
      <c r="FO204" s="70">
        <v>22</v>
      </c>
      <c r="FP204" s="42"/>
      <c r="FQ204" s="42"/>
      <c r="FR204" s="516"/>
      <c r="FS204" s="516"/>
      <c r="FT204" s="516"/>
      <c r="FU204" s="516" t="s">
        <v>1231</v>
      </c>
      <c r="FV204" s="516">
        <v>0</v>
      </c>
      <c r="FW204" s="516">
        <v>0</v>
      </c>
      <c r="FX204" s="516">
        <v>0</v>
      </c>
      <c r="FY204" s="516">
        <v>1</v>
      </c>
      <c r="FZ204" s="516">
        <v>0</v>
      </c>
      <c r="GA204" s="516">
        <v>0</v>
      </c>
      <c r="GB204" s="516">
        <v>2</v>
      </c>
      <c r="GC204" s="516">
        <v>3</v>
      </c>
      <c r="GD204" s="516">
        <v>0</v>
      </c>
      <c r="GE204" s="516">
        <v>0</v>
      </c>
      <c r="GF204" s="516">
        <v>0</v>
      </c>
      <c r="GG204" s="517">
        <v>6</v>
      </c>
      <c r="GH204" s="516"/>
      <c r="GI204" s="518"/>
    </row>
    <row r="205" spans="3:191">
      <c r="D205" s="32" t="s">
        <v>15</v>
      </c>
      <c r="E205" s="4607">
        <v>1</v>
      </c>
      <c r="F205" s="4607"/>
      <c r="G205" s="4607"/>
      <c r="H205" s="4607"/>
      <c r="I205" s="4607"/>
      <c r="J205" s="4607"/>
      <c r="K205" s="4607">
        <v>3</v>
      </c>
      <c r="L205" s="4607">
        <v>6</v>
      </c>
      <c r="M205" s="4607">
        <v>3</v>
      </c>
      <c r="N205" s="4583"/>
      <c r="O205" s="4583"/>
      <c r="P205" s="4583">
        <v>13</v>
      </c>
      <c r="Q205" s="1977">
        <f>+(P201+P204)/(P205-P203)</f>
        <v>0.41666666666666669</v>
      </c>
      <c r="R205" s="1977"/>
      <c r="U205" s="37" t="s">
        <v>111</v>
      </c>
      <c r="V205" s="37" t="s">
        <v>1231</v>
      </c>
      <c r="W205" s="4803"/>
      <c r="X205" s="4803"/>
      <c r="Y205" s="4803"/>
      <c r="Z205" s="4803"/>
      <c r="AA205" s="4803"/>
      <c r="AB205" s="4803">
        <v>2</v>
      </c>
      <c r="AC205" s="4803"/>
      <c r="AD205" s="4803"/>
      <c r="AE205" s="1788"/>
      <c r="AF205" s="1788">
        <v>2</v>
      </c>
      <c r="AI205" s="41"/>
      <c r="AJ205" s="41"/>
      <c r="AK205" s="461"/>
      <c r="AL205" s="461" t="s">
        <v>110</v>
      </c>
      <c r="AM205" s="2002">
        <v>5</v>
      </c>
      <c r="AN205" s="2002">
        <v>2</v>
      </c>
      <c r="AO205" s="2002">
        <v>3</v>
      </c>
      <c r="AP205" s="2002">
        <v>4</v>
      </c>
      <c r="AQ205" s="2002">
        <v>3</v>
      </c>
      <c r="AR205" s="2002">
        <v>48</v>
      </c>
      <c r="AS205" s="2002">
        <v>61</v>
      </c>
      <c r="AT205" s="2002">
        <v>100</v>
      </c>
      <c r="AU205" s="2480">
        <v>12</v>
      </c>
      <c r="AV205" s="2480">
        <v>9</v>
      </c>
      <c r="AW205" s="2480">
        <v>247</v>
      </c>
      <c r="AX205" s="635">
        <f>+(AW203+AW200)/AW205</f>
        <v>0.43724696356275305</v>
      </c>
      <c r="AY205" s="1977"/>
      <c r="AZ205" s="42"/>
      <c r="BA205" s="42"/>
      <c r="BB205" s="42"/>
      <c r="BC205" s="42" t="s">
        <v>1344</v>
      </c>
      <c r="BD205" s="1993"/>
      <c r="BE205" s="1993">
        <v>0</v>
      </c>
      <c r="BF205" s="1993">
        <v>0</v>
      </c>
      <c r="BG205" s="1993">
        <v>10</v>
      </c>
      <c r="BH205" s="1993">
        <v>2</v>
      </c>
      <c r="BI205" s="1993">
        <v>0</v>
      </c>
      <c r="BJ205" s="1993">
        <v>20</v>
      </c>
      <c r="BK205" s="1993">
        <v>3</v>
      </c>
      <c r="BL205" s="1993">
        <v>3</v>
      </c>
      <c r="BM205" s="70">
        <v>0</v>
      </c>
      <c r="BN205" s="70">
        <v>0</v>
      </c>
      <c r="BO205" s="70">
        <v>38</v>
      </c>
      <c r="BR205" s="105"/>
      <c r="BS205" s="105"/>
      <c r="BT205" s="41"/>
      <c r="BU205" s="41" t="s">
        <v>1240</v>
      </c>
      <c r="BV205" s="1659"/>
      <c r="BW205" s="1659">
        <v>0</v>
      </c>
      <c r="BX205" s="1659"/>
      <c r="BY205" s="1659"/>
      <c r="BZ205" s="1659">
        <v>0</v>
      </c>
      <c r="CA205" s="1659"/>
      <c r="CB205" s="1659">
        <v>3</v>
      </c>
      <c r="CC205" s="1659"/>
      <c r="CD205" s="1659"/>
      <c r="CE205" s="105"/>
      <c r="CF205" s="105"/>
      <c r="CG205" s="105">
        <v>3</v>
      </c>
      <c r="CH205" s="105"/>
      <c r="CJ205" s="1359"/>
      <c r="CK205" s="1359"/>
      <c r="CL205" s="1360"/>
      <c r="CM205" s="483" t="s">
        <v>110</v>
      </c>
      <c r="CN205" s="1365">
        <v>11</v>
      </c>
      <c r="CO205" s="1365">
        <v>9</v>
      </c>
      <c r="CP205" s="1365">
        <v>20</v>
      </c>
      <c r="CQ205" s="1365">
        <v>3</v>
      </c>
      <c r="CR205" s="1365">
        <v>2</v>
      </c>
      <c r="CS205" s="1365">
        <v>49</v>
      </c>
      <c r="CT205" s="1365">
        <v>36</v>
      </c>
      <c r="CU205" s="1365">
        <v>74</v>
      </c>
      <c r="CV205" s="696">
        <v>8</v>
      </c>
      <c r="CW205" s="696">
        <v>25</v>
      </c>
      <c r="CX205" s="696">
        <v>237</v>
      </c>
      <c r="CY205" s="1325">
        <f>+(CX200+CX203-CW203+CX204)/CX205</f>
        <v>0.3628691983122363</v>
      </c>
      <c r="DA205" s="602"/>
      <c r="DB205" s="602"/>
      <c r="DC205" s="603"/>
      <c r="DD205" s="604" t="s">
        <v>1240</v>
      </c>
      <c r="DE205" s="605"/>
      <c r="DF205" s="605"/>
      <c r="DG205" s="606">
        <v>6</v>
      </c>
      <c r="DH205" s="606">
        <v>0</v>
      </c>
      <c r="DI205" s="605"/>
      <c r="DJ205" s="605"/>
      <c r="DK205" s="605"/>
      <c r="DL205" s="605"/>
      <c r="DM205" s="602"/>
      <c r="DN205" s="602"/>
      <c r="DO205" s="607">
        <v>6</v>
      </c>
      <c r="DP205" s="105"/>
      <c r="DR205" s="608"/>
      <c r="DS205" s="608"/>
      <c r="DT205" s="608"/>
      <c r="DU205" s="609" t="s">
        <v>1240</v>
      </c>
      <c r="DV205" s="611">
        <v>0</v>
      </c>
      <c r="DW205" s="611">
        <v>0</v>
      </c>
      <c r="DX205" s="610"/>
      <c r="DY205" s="611">
        <v>0</v>
      </c>
      <c r="DZ205" s="610"/>
      <c r="EA205" s="611">
        <v>3</v>
      </c>
      <c r="EB205" s="611">
        <v>7</v>
      </c>
      <c r="EC205" s="611">
        <v>2</v>
      </c>
      <c r="ED205" s="610"/>
      <c r="EE205" s="613">
        <v>0</v>
      </c>
      <c r="EF205" s="612"/>
      <c r="EG205" s="613">
        <v>12</v>
      </c>
      <c r="EH205" s="614"/>
      <c r="EJ205" s="615"/>
      <c r="EL205" s="615"/>
      <c r="EM205" s="616" t="s">
        <v>1236</v>
      </c>
      <c r="EN205" s="618">
        <v>0</v>
      </c>
      <c r="EO205" s="617"/>
      <c r="EP205" s="617"/>
      <c r="EQ205" s="618">
        <v>0</v>
      </c>
      <c r="ER205" s="618">
        <v>1</v>
      </c>
      <c r="ES205" s="618">
        <v>0</v>
      </c>
      <c r="ET205" s="618">
        <v>1</v>
      </c>
      <c r="EU205" s="618">
        <v>0</v>
      </c>
      <c r="EV205" s="618">
        <v>0</v>
      </c>
      <c r="EW205" s="618">
        <v>0</v>
      </c>
      <c r="EX205" s="618">
        <v>2</v>
      </c>
      <c r="EY205" s="515"/>
      <c r="FA205" s="70"/>
      <c r="FB205" s="70"/>
      <c r="FC205" s="70"/>
      <c r="FD205" s="42" t="s">
        <v>1231</v>
      </c>
      <c r="FE205" s="70">
        <v>2</v>
      </c>
      <c r="FF205" s="70">
        <v>1</v>
      </c>
      <c r="FG205" s="70">
        <v>2</v>
      </c>
      <c r="FH205" s="70"/>
      <c r="FI205" s="70">
        <v>0</v>
      </c>
      <c r="FJ205" s="70">
        <v>2</v>
      </c>
      <c r="FK205" s="70">
        <v>7</v>
      </c>
      <c r="FL205" s="70">
        <v>2</v>
      </c>
      <c r="FM205" s="70">
        <v>0</v>
      </c>
      <c r="FN205" s="70">
        <v>0</v>
      </c>
      <c r="FO205" s="70">
        <v>16</v>
      </c>
      <c r="FP205" s="42"/>
      <c r="FQ205" s="42"/>
      <c r="FR205" s="516"/>
      <c r="FS205" s="516"/>
      <c r="FT205" s="516"/>
      <c r="FU205" s="516" t="s">
        <v>1233</v>
      </c>
      <c r="FV205" s="516">
        <v>0</v>
      </c>
      <c r="FW205" s="516">
        <v>1</v>
      </c>
      <c r="FX205" s="516">
        <v>1</v>
      </c>
      <c r="FY205" s="516">
        <v>0</v>
      </c>
      <c r="FZ205" s="516">
        <v>0</v>
      </c>
      <c r="GA205" s="516">
        <v>0</v>
      </c>
      <c r="GB205" s="516">
        <v>0</v>
      </c>
      <c r="GC205" s="516">
        <v>0</v>
      </c>
      <c r="GD205" s="516">
        <v>0</v>
      </c>
      <c r="GE205" s="516">
        <v>0</v>
      </c>
      <c r="GF205" s="516">
        <v>0</v>
      </c>
      <c r="GG205" s="517">
        <v>2</v>
      </c>
      <c r="GH205" s="516"/>
      <c r="GI205" s="518"/>
    </row>
    <row r="206" spans="3:191">
      <c r="C206" s="32" t="s">
        <v>547</v>
      </c>
      <c r="D206" s="32" t="s">
        <v>1231</v>
      </c>
      <c r="E206" s="4607">
        <v>0</v>
      </c>
      <c r="F206" s="4607"/>
      <c r="G206" s="4607"/>
      <c r="H206" s="4607"/>
      <c r="I206" s="4607"/>
      <c r="J206" s="4607"/>
      <c r="K206" s="4607">
        <v>2</v>
      </c>
      <c r="L206" s="4607">
        <v>0</v>
      </c>
      <c r="M206" s="4607">
        <v>0</v>
      </c>
      <c r="N206" s="4583"/>
      <c r="O206" s="4583"/>
      <c r="P206" s="4583">
        <v>2</v>
      </c>
      <c r="Q206" s="4583"/>
      <c r="R206" s="4583"/>
      <c r="V206" s="1793" t="s">
        <v>15</v>
      </c>
      <c r="W206" s="4804"/>
      <c r="X206" s="4804"/>
      <c r="Y206" s="4804"/>
      <c r="Z206" s="4804"/>
      <c r="AA206" s="4804"/>
      <c r="AB206" s="4804">
        <v>2</v>
      </c>
      <c r="AC206" s="4804"/>
      <c r="AD206" s="4804"/>
      <c r="AE206" s="4702"/>
      <c r="AF206" s="4702">
        <v>2</v>
      </c>
      <c r="AG206" s="4703">
        <v>0</v>
      </c>
      <c r="AI206" s="41" t="s">
        <v>48</v>
      </c>
      <c r="AJ206" s="41" t="s">
        <v>16</v>
      </c>
      <c r="AK206" s="41" t="s">
        <v>132</v>
      </c>
      <c r="AL206" s="41" t="s">
        <v>1231</v>
      </c>
      <c r="AM206" s="2001">
        <v>2</v>
      </c>
      <c r="AN206" s="2001">
        <v>1</v>
      </c>
      <c r="AO206" s="2001"/>
      <c r="AP206" s="2001"/>
      <c r="AQ206" s="2001"/>
      <c r="AR206" s="2001">
        <v>15</v>
      </c>
      <c r="AS206" s="2001">
        <v>1</v>
      </c>
      <c r="AT206" s="2001"/>
      <c r="AU206" s="105"/>
      <c r="AV206" s="105"/>
      <c r="AW206" s="105">
        <v>19</v>
      </c>
      <c r="AX206" s="41"/>
      <c r="AZ206" s="42"/>
      <c r="BA206" s="42"/>
      <c r="BB206" s="42"/>
      <c r="BC206" s="484" t="s">
        <v>110</v>
      </c>
      <c r="BD206" s="1994"/>
      <c r="BE206" s="1994">
        <v>6</v>
      </c>
      <c r="BF206" s="1994">
        <v>5</v>
      </c>
      <c r="BG206" s="1994">
        <v>11</v>
      </c>
      <c r="BH206" s="1994">
        <v>8</v>
      </c>
      <c r="BI206" s="1994">
        <v>3</v>
      </c>
      <c r="BJ206" s="1994">
        <v>49</v>
      </c>
      <c r="BK206" s="1994">
        <v>46</v>
      </c>
      <c r="BL206" s="1994">
        <v>80</v>
      </c>
      <c r="BM206" s="454">
        <v>13</v>
      </c>
      <c r="BN206" s="454">
        <v>8</v>
      </c>
      <c r="BO206" s="454">
        <v>229</v>
      </c>
      <c r="BP206" s="2485">
        <f>+(BO202-BM202+BO205)/BO206</f>
        <v>0.43231441048034935</v>
      </c>
      <c r="BR206" s="105"/>
      <c r="BS206" s="105"/>
      <c r="BT206" s="41"/>
      <c r="BU206" s="461" t="s">
        <v>15</v>
      </c>
      <c r="BV206" s="1660"/>
      <c r="BW206" s="1660">
        <v>1</v>
      </c>
      <c r="BX206" s="1660"/>
      <c r="BY206" s="1660"/>
      <c r="BZ206" s="1660">
        <v>2</v>
      </c>
      <c r="CA206" s="1660"/>
      <c r="CB206" s="1660">
        <v>26</v>
      </c>
      <c r="CC206" s="1660"/>
      <c r="CD206" s="1660"/>
      <c r="CE206" s="96"/>
      <c r="CF206" s="96"/>
      <c r="CG206" s="96">
        <v>29</v>
      </c>
      <c r="CH206" s="635">
        <f>+(CG203+CG205)/CG206</f>
        <v>0.17241379310344829</v>
      </c>
      <c r="CJ206" s="1359" t="s">
        <v>48</v>
      </c>
      <c r="CK206" s="1359" t="s">
        <v>41</v>
      </c>
      <c r="CL206" s="1360" t="s">
        <v>138</v>
      </c>
      <c r="CM206" s="1361" t="s">
        <v>1231</v>
      </c>
      <c r="CN206" s="1362"/>
      <c r="CO206" s="1362"/>
      <c r="CP206" s="1362"/>
      <c r="CQ206" s="1362"/>
      <c r="CR206" s="1362"/>
      <c r="CS206" s="1363">
        <v>2</v>
      </c>
      <c r="CT206" s="1363">
        <v>6</v>
      </c>
      <c r="CU206" s="1363">
        <v>0</v>
      </c>
      <c r="CV206" s="686"/>
      <c r="CW206" s="686"/>
      <c r="CX206" s="687">
        <v>8</v>
      </c>
      <c r="CY206" s="41"/>
      <c r="DA206" s="602"/>
      <c r="DB206" s="602"/>
      <c r="DC206" s="603"/>
      <c r="DD206" s="604" t="s">
        <v>1344</v>
      </c>
      <c r="DE206" s="605"/>
      <c r="DF206" s="605"/>
      <c r="DG206" s="606">
        <v>9</v>
      </c>
      <c r="DH206" s="606">
        <v>1</v>
      </c>
      <c r="DI206" s="605"/>
      <c r="DJ206" s="605"/>
      <c r="DK206" s="605"/>
      <c r="DL206" s="605"/>
      <c r="DM206" s="602"/>
      <c r="DN206" s="602"/>
      <c r="DO206" s="607">
        <v>10</v>
      </c>
      <c r="DP206" s="105"/>
      <c r="DR206" s="608"/>
      <c r="DS206" s="608"/>
      <c r="DT206" s="608"/>
      <c r="DU206" s="609" t="s">
        <v>1344</v>
      </c>
      <c r="DV206" s="611">
        <v>0</v>
      </c>
      <c r="DW206" s="611">
        <v>0</v>
      </c>
      <c r="DX206" s="610"/>
      <c r="DY206" s="611">
        <v>0</v>
      </c>
      <c r="DZ206" s="610"/>
      <c r="EA206" s="611">
        <v>1</v>
      </c>
      <c r="EB206" s="611">
        <v>7</v>
      </c>
      <c r="EC206" s="611">
        <v>2</v>
      </c>
      <c r="ED206" s="610"/>
      <c r="EE206" s="613">
        <v>0</v>
      </c>
      <c r="EF206" s="612"/>
      <c r="EG206" s="613">
        <v>10</v>
      </c>
      <c r="EH206" s="614"/>
      <c r="EJ206" s="615"/>
      <c r="EL206" s="615"/>
      <c r="EM206" s="616" t="s">
        <v>1239</v>
      </c>
      <c r="EN206" s="618">
        <v>0</v>
      </c>
      <c r="EO206" s="617"/>
      <c r="EP206" s="617"/>
      <c r="EQ206" s="618">
        <v>0</v>
      </c>
      <c r="ER206" s="618">
        <v>0</v>
      </c>
      <c r="ES206" s="618">
        <v>0</v>
      </c>
      <c r="ET206" s="618">
        <v>1</v>
      </c>
      <c r="EU206" s="618">
        <v>23</v>
      </c>
      <c r="EV206" s="618">
        <v>5</v>
      </c>
      <c r="EW206" s="618">
        <v>2</v>
      </c>
      <c r="EX206" s="618">
        <v>31</v>
      </c>
      <c r="EY206" s="515"/>
      <c r="FA206" s="70"/>
      <c r="FB206" s="70"/>
      <c r="FC206" s="70"/>
      <c r="FD206" s="42" t="s">
        <v>1235</v>
      </c>
      <c r="FE206" s="70">
        <v>0</v>
      </c>
      <c r="FF206" s="70">
        <v>0</v>
      </c>
      <c r="FG206" s="70">
        <v>0</v>
      </c>
      <c r="FH206" s="70"/>
      <c r="FI206" s="70">
        <v>0</v>
      </c>
      <c r="FJ206" s="70">
        <v>5</v>
      </c>
      <c r="FK206" s="70">
        <v>3</v>
      </c>
      <c r="FL206" s="70">
        <v>2</v>
      </c>
      <c r="FM206" s="70">
        <v>0</v>
      </c>
      <c r="FN206" s="70">
        <v>0</v>
      </c>
      <c r="FO206" s="70">
        <v>10</v>
      </c>
      <c r="FP206" s="42"/>
      <c r="FQ206" s="42"/>
      <c r="FR206" s="516"/>
      <c r="FS206" s="516"/>
      <c r="FT206" s="516"/>
      <c r="FU206" s="516" t="s">
        <v>1235</v>
      </c>
      <c r="FV206" s="516">
        <v>0</v>
      </c>
      <c r="FW206" s="516">
        <v>0</v>
      </c>
      <c r="FX206" s="516">
        <v>0</v>
      </c>
      <c r="FY206" s="516">
        <v>0</v>
      </c>
      <c r="FZ206" s="516">
        <v>0</v>
      </c>
      <c r="GA206" s="516">
        <v>0</v>
      </c>
      <c r="GB206" s="516">
        <v>0</v>
      </c>
      <c r="GC206" s="516">
        <v>6</v>
      </c>
      <c r="GD206" s="516">
        <v>0</v>
      </c>
      <c r="GE206" s="516">
        <v>1</v>
      </c>
      <c r="GF206" s="516">
        <v>0</v>
      </c>
      <c r="GG206" s="517">
        <v>7</v>
      </c>
      <c r="GH206" s="516"/>
      <c r="GI206" s="518"/>
    </row>
    <row r="207" spans="3:191">
      <c r="C207" s="32"/>
      <c r="D207" s="32" t="s">
        <v>1235</v>
      </c>
      <c r="E207" s="4607">
        <v>0</v>
      </c>
      <c r="F207" s="4607"/>
      <c r="G207" s="4607"/>
      <c r="H207" s="4607"/>
      <c r="I207" s="4607"/>
      <c r="J207" s="4607"/>
      <c r="K207" s="4607">
        <v>1</v>
      </c>
      <c r="L207" s="4607">
        <v>11</v>
      </c>
      <c r="M207" s="4607">
        <v>0</v>
      </c>
      <c r="N207" s="4583"/>
      <c r="O207" s="4583"/>
      <c r="P207" s="4583">
        <v>12</v>
      </c>
      <c r="Q207" s="4583"/>
      <c r="R207" s="4583"/>
      <c r="U207" s="37" t="s">
        <v>2278</v>
      </c>
      <c r="V207" s="37" t="s">
        <v>1231</v>
      </c>
      <c r="W207" s="4803">
        <v>2</v>
      </c>
      <c r="X207" s="4803"/>
      <c r="Y207" s="4803"/>
      <c r="Z207" s="4803"/>
      <c r="AA207" s="4803"/>
      <c r="AB207" s="4803">
        <v>0</v>
      </c>
      <c r="AC207" s="4803">
        <v>0</v>
      </c>
      <c r="AD207" s="4803"/>
      <c r="AE207" s="1788"/>
      <c r="AF207" s="1788">
        <v>2</v>
      </c>
      <c r="AI207" s="41"/>
      <c r="AJ207" s="41"/>
      <c r="AK207" s="41"/>
      <c r="AL207" s="41" t="s">
        <v>1233</v>
      </c>
      <c r="AM207" s="2001">
        <v>1</v>
      </c>
      <c r="AN207" s="2001">
        <v>0</v>
      </c>
      <c r="AO207" s="2001"/>
      <c r="AP207" s="2001"/>
      <c r="AQ207" s="2001"/>
      <c r="AR207" s="2001">
        <v>0</v>
      </c>
      <c r="AS207" s="2001">
        <v>0</v>
      </c>
      <c r="AT207" s="2001"/>
      <c r="AU207" s="105"/>
      <c r="AV207" s="105"/>
      <c r="AW207" s="105">
        <v>1</v>
      </c>
      <c r="AX207" s="41"/>
      <c r="AZ207" s="42" t="s">
        <v>48</v>
      </c>
      <c r="BA207" s="42" t="s">
        <v>16</v>
      </c>
      <c r="BB207" s="42" t="s">
        <v>128</v>
      </c>
      <c r="BC207" s="42" t="s">
        <v>1344</v>
      </c>
      <c r="BD207" s="1993"/>
      <c r="BE207" s="1993"/>
      <c r="BF207" s="1993"/>
      <c r="BG207" s="1993"/>
      <c r="BH207" s="1993"/>
      <c r="BI207" s="1993"/>
      <c r="BJ207" s="1993">
        <v>3</v>
      </c>
      <c r="BK207" s="1993"/>
      <c r="BL207" s="1993"/>
      <c r="BM207" s="70"/>
      <c r="BN207" s="70"/>
      <c r="BO207" s="70">
        <v>3</v>
      </c>
      <c r="BP207" s="2485"/>
      <c r="BR207" s="105"/>
      <c r="BS207" s="105"/>
      <c r="BT207" s="41" t="s">
        <v>135</v>
      </c>
      <c r="BU207" s="41" t="s">
        <v>1231</v>
      </c>
      <c r="BV207" s="1659"/>
      <c r="BW207" s="1659"/>
      <c r="BX207" s="1659"/>
      <c r="BY207" s="1659"/>
      <c r="BZ207" s="1659"/>
      <c r="CA207" s="1659"/>
      <c r="CB207" s="1659">
        <v>11</v>
      </c>
      <c r="CC207" s="1659">
        <v>5</v>
      </c>
      <c r="CD207" s="1659">
        <v>0</v>
      </c>
      <c r="CE207" s="105"/>
      <c r="CF207" s="105"/>
      <c r="CG207" s="105">
        <v>16</v>
      </c>
      <c r="CH207" s="105"/>
      <c r="CJ207" s="1359"/>
      <c r="CK207" s="1359"/>
      <c r="CL207" s="1360"/>
      <c r="CM207" s="1361" t="s">
        <v>1235</v>
      </c>
      <c r="CN207" s="1362"/>
      <c r="CO207" s="1362"/>
      <c r="CP207" s="1362"/>
      <c r="CQ207" s="1362"/>
      <c r="CR207" s="1362"/>
      <c r="CS207" s="1363">
        <v>1</v>
      </c>
      <c r="CT207" s="1363">
        <v>0</v>
      </c>
      <c r="CU207" s="1363">
        <v>0</v>
      </c>
      <c r="CV207" s="686"/>
      <c r="CW207" s="686"/>
      <c r="CX207" s="687">
        <v>1</v>
      </c>
      <c r="CY207" s="41"/>
      <c r="DA207" s="602"/>
      <c r="DB207" s="602"/>
      <c r="DC207" s="603"/>
      <c r="DD207" s="630" t="s">
        <v>15</v>
      </c>
      <c r="DE207" s="631"/>
      <c r="DF207" s="631"/>
      <c r="DG207" s="632">
        <v>35</v>
      </c>
      <c r="DH207" s="632">
        <v>2</v>
      </c>
      <c r="DI207" s="631"/>
      <c r="DJ207" s="631"/>
      <c r="DK207" s="631"/>
      <c r="DL207" s="631"/>
      <c r="DM207" s="633"/>
      <c r="DN207" s="633"/>
      <c r="DO207" s="634">
        <v>37</v>
      </c>
      <c r="DP207" s="635">
        <f>+(DO204+DO205+DO206)/DO207</f>
        <v>0.45945945945945948</v>
      </c>
      <c r="DR207" s="608"/>
      <c r="DS207" s="608"/>
      <c r="DT207" s="608"/>
      <c r="DU207" s="620" t="s">
        <v>547</v>
      </c>
      <c r="DV207" s="622">
        <v>1</v>
      </c>
      <c r="DW207" s="622">
        <v>1</v>
      </c>
      <c r="DX207" s="621"/>
      <c r="DY207" s="622">
        <v>2</v>
      </c>
      <c r="DZ207" s="621"/>
      <c r="EA207" s="622">
        <v>6</v>
      </c>
      <c r="EB207" s="622">
        <v>35</v>
      </c>
      <c r="EC207" s="622">
        <v>14</v>
      </c>
      <c r="ED207" s="621"/>
      <c r="EE207" s="624">
        <v>1</v>
      </c>
      <c r="EF207" s="623"/>
      <c r="EG207" s="624">
        <v>60</v>
      </c>
      <c r="EH207" s="614">
        <f>+(EG206+EG205+EG203)/EG207</f>
        <v>0.43333333333333335</v>
      </c>
      <c r="EJ207" s="615"/>
      <c r="EL207" s="615"/>
      <c r="EM207" s="616" t="s">
        <v>1344</v>
      </c>
      <c r="EN207" s="618">
        <v>0</v>
      </c>
      <c r="EO207" s="617"/>
      <c r="EP207" s="617"/>
      <c r="EQ207" s="618">
        <v>0</v>
      </c>
      <c r="ER207" s="618">
        <v>0</v>
      </c>
      <c r="ES207" s="618">
        <v>2</v>
      </c>
      <c r="ET207" s="618">
        <v>2</v>
      </c>
      <c r="EU207" s="618">
        <v>0</v>
      </c>
      <c r="EV207" s="618">
        <v>0</v>
      </c>
      <c r="EW207" s="618">
        <v>0</v>
      </c>
      <c r="EX207" s="618">
        <v>4</v>
      </c>
      <c r="EY207" s="515"/>
      <c r="FA207" s="70"/>
      <c r="FB207" s="70"/>
      <c r="FC207" s="70"/>
      <c r="FD207" s="42" t="s">
        <v>1236</v>
      </c>
      <c r="FE207" s="70">
        <v>0</v>
      </c>
      <c r="FF207" s="70">
        <v>1</v>
      </c>
      <c r="FG207" s="70">
        <v>0</v>
      </c>
      <c r="FH207" s="70"/>
      <c r="FI207" s="70">
        <v>1</v>
      </c>
      <c r="FJ207" s="70">
        <v>0</v>
      </c>
      <c r="FK207" s="70">
        <v>0</v>
      </c>
      <c r="FL207" s="70">
        <v>0</v>
      </c>
      <c r="FM207" s="70">
        <v>0</v>
      </c>
      <c r="FN207" s="70">
        <v>0</v>
      </c>
      <c r="FO207" s="70">
        <v>2</v>
      </c>
      <c r="FP207" s="42"/>
      <c r="FQ207" s="42"/>
      <c r="FR207" s="516"/>
      <c r="FS207" s="516"/>
      <c r="FT207" s="516"/>
      <c r="FU207" s="516" t="s">
        <v>1236</v>
      </c>
      <c r="FV207" s="516">
        <v>0</v>
      </c>
      <c r="FW207" s="516">
        <v>0</v>
      </c>
      <c r="FX207" s="516">
        <v>0</v>
      </c>
      <c r="FY207" s="516">
        <v>0</v>
      </c>
      <c r="FZ207" s="516">
        <v>2</v>
      </c>
      <c r="GA207" s="516">
        <v>0</v>
      </c>
      <c r="GB207" s="516">
        <v>1</v>
      </c>
      <c r="GC207" s="516">
        <v>0</v>
      </c>
      <c r="GD207" s="516">
        <v>0</v>
      </c>
      <c r="GE207" s="516">
        <v>0</v>
      </c>
      <c r="GF207" s="516">
        <v>0</v>
      </c>
      <c r="GG207" s="517">
        <v>3</v>
      </c>
      <c r="GH207" s="516"/>
      <c r="GI207" s="518"/>
    </row>
    <row r="208" spans="3:191">
      <c r="C208" s="32"/>
      <c r="D208" s="32" t="s">
        <v>1239</v>
      </c>
      <c r="E208" s="4607">
        <v>0</v>
      </c>
      <c r="F208" s="4607"/>
      <c r="G208" s="4607"/>
      <c r="H208" s="4607"/>
      <c r="I208" s="4607"/>
      <c r="J208" s="4607"/>
      <c r="K208" s="4607">
        <v>0</v>
      </c>
      <c r="L208" s="4607">
        <v>9</v>
      </c>
      <c r="M208" s="4607">
        <v>6</v>
      </c>
      <c r="N208" s="4583"/>
      <c r="O208" s="4583"/>
      <c r="P208" s="4583">
        <v>15</v>
      </c>
      <c r="Q208" s="4583"/>
      <c r="R208" s="4583"/>
      <c r="V208" s="37" t="s">
        <v>1235</v>
      </c>
      <c r="W208" s="4803">
        <v>0</v>
      </c>
      <c r="X208" s="4803"/>
      <c r="Y208" s="4803"/>
      <c r="Z208" s="4803"/>
      <c r="AA208" s="4803"/>
      <c r="AB208" s="4803">
        <v>1</v>
      </c>
      <c r="AC208" s="4803">
        <v>1</v>
      </c>
      <c r="AD208" s="4803"/>
      <c r="AE208" s="1788"/>
      <c r="AF208" s="1788">
        <v>2</v>
      </c>
      <c r="AI208" s="41"/>
      <c r="AJ208" s="41"/>
      <c r="AK208" s="41"/>
      <c r="AL208" s="41" t="s">
        <v>1235</v>
      </c>
      <c r="AM208" s="2001">
        <v>0</v>
      </c>
      <c r="AN208" s="2001">
        <v>0</v>
      </c>
      <c r="AO208" s="2001"/>
      <c r="AP208" s="2001"/>
      <c r="AQ208" s="2001"/>
      <c r="AR208" s="2001">
        <v>4</v>
      </c>
      <c r="AS208" s="2001">
        <v>0</v>
      </c>
      <c r="AT208" s="2001"/>
      <c r="AU208" s="105"/>
      <c r="AV208" s="105"/>
      <c r="AW208" s="105">
        <v>4</v>
      </c>
      <c r="AX208" s="41"/>
      <c r="AZ208" s="42"/>
      <c r="BA208" s="42"/>
      <c r="BB208" s="42"/>
      <c r="BC208" s="484" t="s">
        <v>15</v>
      </c>
      <c r="BD208" s="1994"/>
      <c r="BE208" s="1994"/>
      <c r="BF208" s="1994"/>
      <c r="BG208" s="1994"/>
      <c r="BH208" s="1994"/>
      <c r="BI208" s="1994"/>
      <c r="BJ208" s="1994">
        <v>3</v>
      </c>
      <c r="BK208" s="1994"/>
      <c r="BL208" s="1994"/>
      <c r="BM208" s="454"/>
      <c r="BN208" s="454"/>
      <c r="BO208" s="454">
        <v>3</v>
      </c>
      <c r="BP208" s="2485">
        <f>+BO207/BO208</f>
        <v>1</v>
      </c>
      <c r="BR208" s="105"/>
      <c r="BS208" s="105"/>
      <c r="BT208" s="41"/>
      <c r="BU208" s="41" t="s">
        <v>1239</v>
      </c>
      <c r="BV208" s="1659"/>
      <c r="BW208" s="1659"/>
      <c r="BX208" s="1659"/>
      <c r="BY208" s="1659"/>
      <c r="BZ208" s="1659"/>
      <c r="CA208" s="1659"/>
      <c r="CB208" s="1659">
        <v>0</v>
      </c>
      <c r="CC208" s="1659">
        <v>0</v>
      </c>
      <c r="CD208" s="1659">
        <v>1</v>
      </c>
      <c r="CE208" s="105"/>
      <c r="CF208" s="105"/>
      <c r="CG208" s="105">
        <v>1</v>
      </c>
      <c r="CH208" s="105"/>
      <c r="CJ208" s="1359"/>
      <c r="CK208" s="1359"/>
      <c r="CL208" s="1360"/>
      <c r="CM208" s="1361" t="s">
        <v>1239</v>
      </c>
      <c r="CN208" s="1362"/>
      <c r="CO208" s="1362"/>
      <c r="CP208" s="1362"/>
      <c r="CQ208" s="1362"/>
      <c r="CR208" s="1362"/>
      <c r="CS208" s="1363">
        <v>0</v>
      </c>
      <c r="CT208" s="1363">
        <v>0</v>
      </c>
      <c r="CU208" s="1363">
        <v>1</v>
      </c>
      <c r="CV208" s="686"/>
      <c r="CW208" s="686"/>
      <c r="CX208" s="687">
        <v>1</v>
      </c>
      <c r="CY208" s="41"/>
      <c r="DA208" s="602"/>
      <c r="DB208" s="602"/>
      <c r="DC208" s="603" t="s">
        <v>509</v>
      </c>
      <c r="DD208" s="604" t="s">
        <v>1231</v>
      </c>
      <c r="DE208" s="606">
        <v>1</v>
      </c>
      <c r="DF208" s="605"/>
      <c r="DG208" s="605"/>
      <c r="DH208" s="605"/>
      <c r="DI208" s="605"/>
      <c r="DJ208" s="606">
        <v>7</v>
      </c>
      <c r="DK208" s="606">
        <v>1</v>
      </c>
      <c r="DL208" s="605"/>
      <c r="DM208" s="602"/>
      <c r="DN208" s="602"/>
      <c r="DO208" s="607">
        <v>9</v>
      </c>
      <c r="DP208" s="105"/>
      <c r="DR208" s="608"/>
      <c r="DS208" s="608" t="s">
        <v>104</v>
      </c>
      <c r="DT208" s="608" t="s">
        <v>143</v>
      </c>
      <c r="DU208" s="609" t="s">
        <v>1231</v>
      </c>
      <c r="DV208" s="610"/>
      <c r="DW208" s="611">
        <v>1</v>
      </c>
      <c r="DX208" s="610"/>
      <c r="DY208" s="610"/>
      <c r="DZ208" s="610"/>
      <c r="EA208" s="610"/>
      <c r="EB208" s="611">
        <v>4</v>
      </c>
      <c r="EC208" s="610"/>
      <c r="ED208" s="610"/>
      <c r="EE208" s="612"/>
      <c r="EF208" s="612"/>
      <c r="EG208" s="613">
        <v>5</v>
      </c>
      <c r="EH208" s="614"/>
      <c r="EJ208" s="615"/>
      <c r="EL208" s="615"/>
      <c r="EM208" s="625" t="s">
        <v>544</v>
      </c>
      <c r="EN208" s="627">
        <v>1</v>
      </c>
      <c r="EO208" s="626"/>
      <c r="EP208" s="626"/>
      <c r="EQ208" s="627">
        <v>1</v>
      </c>
      <c r="ER208" s="627">
        <v>2</v>
      </c>
      <c r="ES208" s="627">
        <v>6</v>
      </c>
      <c r="ET208" s="627">
        <v>18</v>
      </c>
      <c r="EU208" s="627">
        <v>37</v>
      </c>
      <c r="EV208" s="627">
        <v>13</v>
      </c>
      <c r="EW208" s="627">
        <v>13</v>
      </c>
      <c r="EX208" s="627">
        <v>91</v>
      </c>
      <c r="EY208" s="628">
        <f>+(EX207+EX204-EV204)/EX208</f>
        <v>0.15384615384615385</v>
      </c>
      <c r="FA208" s="70"/>
      <c r="FB208" s="70"/>
      <c r="FC208" s="70"/>
      <c r="FD208" s="42" t="s">
        <v>1239</v>
      </c>
      <c r="FE208" s="70">
        <v>0</v>
      </c>
      <c r="FF208" s="70">
        <v>0</v>
      </c>
      <c r="FG208" s="70">
        <v>0</v>
      </c>
      <c r="FH208" s="70"/>
      <c r="FI208" s="70">
        <v>0</v>
      </c>
      <c r="FJ208" s="70">
        <v>0</v>
      </c>
      <c r="FK208" s="70">
        <v>0</v>
      </c>
      <c r="FL208" s="70">
        <v>27</v>
      </c>
      <c r="FM208" s="70">
        <v>0</v>
      </c>
      <c r="FN208" s="70">
        <v>3</v>
      </c>
      <c r="FO208" s="70">
        <v>30</v>
      </c>
      <c r="FP208" s="42"/>
      <c r="FQ208" s="42"/>
      <c r="FR208" s="516"/>
      <c r="FS208" s="516"/>
      <c r="FT208" s="516"/>
      <c r="FU208" s="516" t="s">
        <v>1239</v>
      </c>
      <c r="FV208" s="516">
        <v>0</v>
      </c>
      <c r="FW208" s="516">
        <v>0</v>
      </c>
      <c r="FX208" s="516">
        <v>0</v>
      </c>
      <c r="FY208" s="516">
        <v>0</v>
      </c>
      <c r="FZ208" s="516">
        <v>0</v>
      </c>
      <c r="GA208" s="516">
        <v>0</v>
      </c>
      <c r="GB208" s="516">
        <v>0</v>
      </c>
      <c r="GC208" s="516">
        <v>9</v>
      </c>
      <c r="GD208" s="516">
        <v>17</v>
      </c>
      <c r="GE208" s="516">
        <v>5</v>
      </c>
      <c r="GF208" s="516">
        <v>2</v>
      </c>
      <c r="GG208" s="517">
        <v>33</v>
      </c>
      <c r="GH208" s="516"/>
      <c r="GI208" s="518"/>
    </row>
    <row r="209" spans="1:191">
      <c r="C209" s="32"/>
      <c r="D209" s="32" t="s">
        <v>2963</v>
      </c>
      <c r="E209" s="4607">
        <v>5</v>
      </c>
      <c r="F209" s="4607"/>
      <c r="G209" s="4607"/>
      <c r="H209" s="4607"/>
      <c r="I209" s="4607"/>
      <c r="J209" s="4607"/>
      <c r="K209" s="4607">
        <v>0</v>
      </c>
      <c r="L209" s="4607">
        <v>0</v>
      </c>
      <c r="M209" s="4607">
        <v>0</v>
      </c>
      <c r="N209" s="4583"/>
      <c r="O209" s="4583"/>
      <c r="P209" s="4583">
        <v>5</v>
      </c>
      <c r="Q209" s="4583"/>
      <c r="R209" s="4583"/>
      <c r="V209" s="37" t="s">
        <v>1344</v>
      </c>
      <c r="W209" s="4803">
        <v>0</v>
      </c>
      <c r="X209" s="4803"/>
      <c r="Y209" s="4803"/>
      <c r="Z209" s="4803"/>
      <c r="AA209" s="4803"/>
      <c r="AB209" s="4803">
        <v>0</v>
      </c>
      <c r="AC209" s="4803">
        <v>1</v>
      </c>
      <c r="AD209" s="4803"/>
      <c r="AE209" s="1788"/>
      <c r="AF209" s="1788">
        <v>1</v>
      </c>
      <c r="AI209" s="41"/>
      <c r="AJ209" s="41"/>
      <c r="AK209" s="41"/>
      <c r="AL209" s="41" t="s">
        <v>1240</v>
      </c>
      <c r="AM209" s="2001">
        <v>0</v>
      </c>
      <c r="AN209" s="2001">
        <v>0</v>
      </c>
      <c r="AO209" s="2001"/>
      <c r="AP209" s="2001"/>
      <c r="AQ209" s="2001"/>
      <c r="AR209" s="2001">
        <v>1</v>
      </c>
      <c r="AS209" s="2001">
        <v>0</v>
      </c>
      <c r="AT209" s="2001"/>
      <c r="AU209" s="105"/>
      <c r="AV209" s="105"/>
      <c r="AW209" s="105">
        <v>1</v>
      </c>
      <c r="AX209" s="41"/>
      <c r="AZ209" s="42"/>
      <c r="BA209" s="42"/>
      <c r="BB209" s="42" t="s">
        <v>111</v>
      </c>
      <c r="BC209" s="42" t="s">
        <v>1231</v>
      </c>
      <c r="BD209" s="1993"/>
      <c r="BE209" s="1993"/>
      <c r="BF209" s="1993"/>
      <c r="BG209" s="1993">
        <v>1</v>
      </c>
      <c r="BH209" s="1993">
        <v>1</v>
      </c>
      <c r="BI209" s="1993"/>
      <c r="BJ209" s="1993">
        <v>14</v>
      </c>
      <c r="BK209" s="1993">
        <v>0</v>
      </c>
      <c r="BL209" s="1993"/>
      <c r="BM209" s="70"/>
      <c r="BN209" s="70"/>
      <c r="BO209" s="70">
        <v>16</v>
      </c>
      <c r="BR209" s="105"/>
      <c r="BS209" s="105"/>
      <c r="BT209" s="41"/>
      <c r="BU209" s="41" t="s">
        <v>1240</v>
      </c>
      <c r="BV209" s="1659"/>
      <c r="BW209" s="1659"/>
      <c r="BX209" s="1659"/>
      <c r="BY209" s="1659"/>
      <c r="BZ209" s="1659"/>
      <c r="CA209" s="1659"/>
      <c r="CB209" s="1659">
        <v>1</v>
      </c>
      <c r="CC209" s="1659">
        <v>1</v>
      </c>
      <c r="CD209" s="1659">
        <v>0</v>
      </c>
      <c r="CE209" s="105"/>
      <c r="CF209" s="105"/>
      <c r="CG209" s="105">
        <v>2</v>
      </c>
      <c r="CH209" s="105"/>
      <c r="CJ209" s="1359"/>
      <c r="CK209" s="1359"/>
      <c r="CL209" s="1360"/>
      <c r="CM209" s="483" t="s">
        <v>15</v>
      </c>
      <c r="CN209" s="1364"/>
      <c r="CO209" s="1364"/>
      <c r="CP209" s="1364"/>
      <c r="CQ209" s="1364"/>
      <c r="CR209" s="1364"/>
      <c r="CS209" s="1365">
        <v>3</v>
      </c>
      <c r="CT209" s="1365">
        <v>6</v>
      </c>
      <c r="CU209" s="1365">
        <v>1</v>
      </c>
      <c r="CV209" s="695"/>
      <c r="CW209" s="695"/>
      <c r="CX209" s="696">
        <v>10</v>
      </c>
      <c r="CY209" s="1325">
        <f>+CX207/CX209</f>
        <v>0.1</v>
      </c>
      <c r="DA209" s="602"/>
      <c r="DB209" s="602"/>
      <c r="DC209" s="603"/>
      <c r="DD209" s="604" t="s">
        <v>1233</v>
      </c>
      <c r="DE209" s="606">
        <v>2</v>
      </c>
      <c r="DF209" s="605"/>
      <c r="DG209" s="605"/>
      <c r="DH209" s="605"/>
      <c r="DI209" s="605"/>
      <c r="DJ209" s="606">
        <v>0</v>
      </c>
      <c r="DK209" s="606">
        <v>0</v>
      </c>
      <c r="DL209" s="605"/>
      <c r="DM209" s="602"/>
      <c r="DN209" s="602"/>
      <c r="DO209" s="607">
        <v>2</v>
      </c>
      <c r="DP209" s="105"/>
      <c r="DR209" s="608"/>
      <c r="DS209" s="608"/>
      <c r="DT209" s="608"/>
      <c r="DU209" s="609" t="s">
        <v>1235</v>
      </c>
      <c r="DV209" s="610"/>
      <c r="DW209" s="611">
        <v>0</v>
      </c>
      <c r="DX209" s="610"/>
      <c r="DY209" s="610"/>
      <c r="DZ209" s="610"/>
      <c r="EA209" s="610"/>
      <c r="EB209" s="611">
        <v>4</v>
      </c>
      <c r="EC209" s="610"/>
      <c r="ED209" s="610"/>
      <c r="EE209" s="612"/>
      <c r="EF209" s="612"/>
      <c r="EG209" s="613">
        <v>4</v>
      </c>
      <c r="EH209" s="614"/>
      <c r="EJ209" s="615"/>
      <c r="EL209" s="615" t="s">
        <v>545</v>
      </c>
      <c r="EM209" s="616" t="s">
        <v>1230</v>
      </c>
      <c r="EN209" s="617"/>
      <c r="EO209" s="618">
        <v>0</v>
      </c>
      <c r="EP209" s="618">
        <v>0</v>
      </c>
      <c r="EQ209" s="618">
        <v>0</v>
      </c>
      <c r="ER209" s="618">
        <v>0</v>
      </c>
      <c r="ES209" s="618">
        <v>0</v>
      </c>
      <c r="ET209" s="618">
        <v>0</v>
      </c>
      <c r="EU209" s="618">
        <v>1</v>
      </c>
      <c r="EV209" s="617"/>
      <c r="EW209" s="617"/>
      <c r="EX209" s="618">
        <v>1</v>
      </c>
      <c r="EY209" s="515"/>
      <c r="FA209" s="70"/>
      <c r="FB209" s="70"/>
      <c r="FC209" s="70"/>
      <c r="FD209" s="42" t="s">
        <v>1344</v>
      </c>
      <c r="FE209" s="70">
        <v>0</v>
      </c>
      <c r="FF209" s="70">
        <v>0</v>
      </c>
      <c r="FG209" s="70">
        <v>0</v>
      </c>
      <c r="FH209" s="70"/>
      <c r="FI209" s="70">
        <v>0</v>
      </c>
      <c r="FJ209" s="70">
        <v>3</v>
      </c>
      <c r="FK209" s="70">
        <v>1</v>
      </c>
      <c r="FL209" s="70">
        <v>0</v>
      </c>
      <c r="FM209" s="70">
        <v>0</v>
      </c>
      <c r="FN209" s="70">
        <v>0</v>
      </c>
      <c r="FO209" s="70">
        <v>4</v>
      </c>
      <c r="FP209" s="42"/>
      <c r="FQ209" s="42"/>
      <c r="FR209" s="516"/>
      <c r="FS209" s="516"/>
      <c r="FT209" s="516"/>
      <c r="FU209" s="516" t="s">
        <v>1344</v>
      </c>
      <c r="FV209" s="516">
        <v>0</v>
      </c>
      <c r="FW209" s="516">
        <v>0</v>
      </c>
      <c r="FX209" s="516">
        <v>0</v>
      </c>
      <c r="FY209" s="516">
        <v>0</v>
      </c>
      <c r="FZ209" s="516">
        <v>0</v>
      </c>
      <c r="GA209" s="516">
        <v>0</v>
      </c>
      <c r="GB209" s="516">
        <v>4</v>
      </c>
      <c r="GC209" s="516">
        <v>4</v>
      </c>
      <c r="GD209" s="516">
        <v>2</v>
      </c>
      <c r="GE209" s="516">
        <v>0</v>
      </c>
      <c r="GF209" s="516">
        <v>0</v>
      </c>
      <c r="GG209" s="517">
        <v>10</v>
      </c>
      <c r="GH209" s="516"/>
      <c r="GI209" s="518"/>
    </row>
    <row r="210" spans="1:191">
      <c r="C210" s="32"/>
      <c r="D210" s="32" t="s">
        <v>1344</v>
      </c>
      <c r="E210" s="4607">
        <v>0</v>
      </c>
      <c r="F210" s="4607"/>
      <c r="G210" s="4607"/>
      <c r="H210" s="4607"/>
      <c r="I210" s="4607"/>
      <c r="J210" s="4607"/>
      <c r="K210" s="4607">
        <v>14</v>
      </c>
      <c r="L210" s="4607">
        <v>9</v>
      </c>
      <c r="M210" s="4607">
        <v>0</v>
      </c>
      <c r="N210" s="4583"/>
      <c r="O210" s="4583"/>
      <c r="P210" s="4583">
        <v>23</v>
      </c>
      <c r="Q210" s="4583"/>
      <c r="R210" s="4583"/>
      <c r="V210" s="1793" t="s">
        <v>15</v>
      </c>
      <c r="W210" s="4804">
        <v>2</v>
      </c>
      <c r="X210" s="4804"/>
      <c r="Y210" s="4804"/>
      <c r="Z210" s="4804"/>
      <c r="AA210" s="4804"/>
      <c r="AB210" s="4804">
        <v>1</v>
      </c>
      <c r="AC210" s="4804">
        <v>2</v>
      </c>
      <c r="AD210" s="4804"/>
      <c r="AE210" s="4702"/>
      <c r="AF210" s="4702">
        <v>5</v>
      </c>
      <c r="AG210" s="4703">
        <f>+(AF208+AF209)/AF210</f>
        <v>0.6</v>
      </c>
      <c r="AI210" s="41"/>
      <c r="AJ210" s="41"/>
      <c r="AK210" s="41"/>
      <c r="AL210" s="461" t="s">
        <v>15</v>
      </c>
      <c r="AM210" s="2002">
        <v>3</v>
      </c>
      <c r="AN210" s="2002">
        <v>1</v>
      </c>
      <c r="AO210" s="2002"/>
      <c r="AP210" s="2002"/>
      <c r="AQ210" s="2002"/>
      <c r="AR210" s="2002">
        <v>20</v>
      </c>
      <c r="AS210" s="2002">
        <v>1</v>
      </c>
      <c r="AT210" s="2002"/>
      <c r="AU210" s="2480"/>
      <c r="AV210" s="2480"/>
      <c r="AW210" s="2480">
        <v>25</v>
      </c>
      <c r="AX210" s="635">
        <f>+(AW209+AW208)/AW210</f>
        <v>0.2</v>
      </c>
      <c r="AY210" s="1977"/>
      <c r="AZ210" s="42"/>
      <c r="BA210" s="42"/>
      <c r="BB210" s="42"/>
      <c r="BC210" s="42" t="s">
        <v>1235</v>
      </c>
      <c r="BD210" s="1993"/>
      <c r="BE210" s="1993"/>
      <c r="BF210" s="1993"/>
      <c r="BG210" s="1993">
        <v>0</v>
      </c>
      <c r="BH210" s="1993">
        <v>0</v>
      </c>
      <c r="BI210" s="1993"/>
      <c r="BJ210" s="1993">
        <v>2</v>
      </c>
      <c r="BK210" s="1993">
        <v>2</v>
      </c>
      <c r="BL210" s="1993"/>
      <c r="BM210" s="70"/>
      <c r="BN210" s="70"/>
      <c r="BO210" s="70">
        <v>4</v>
      </c>
      <c r="BR210" s="105"/>
      <c r="BS210" s="105"/>
      <c r="BT210" s="41"/>
      <c r="BU210" s="461" t="s">
        <v>15</v>
      </c>
      <c r="BV210" s="1660"/>
      <c r="BW210" s="1660"/>
      <c r="BX210" s="1660"/>
      <c r="BY210" s="1660"/>
      <c r="BZ210" s="1660"/>
      <c r="CA210" s="1660"/>
      <c r="CB210" s="1660">
        <v>12</v>
      </c>
      <c r="CC210" s="1660">
        <v>6</v>
      </c>
      <c r="CD210" s="1660">
        <v>1</v>
      </c>
      <c r="CE210" s="96"/>
      <c r="CF210" s="96"/>
      <c r="CG210" s="96">
        <v>19</v>
      </c>
      <c r="CH210" s="635">
        <f>+CG209/CG210</f>
        <v>0.10526315789473684</v>
      </c>
      <c r="CJ210" s="1359"/>
      <c r="CK210" s="1359"/>
      <c r="CL210" s="1360" t="s">
        <v>139</v>
      </c>
      <c r="CM210" s="1361" t="s">
        <v>1231</v>
      </c>
      <c r="CN210" s="1362"/>
      <c r="CO210" s="1362"/>
      <c r="CP210" s="1362"/>
      <c r="CQ210" s="1362"/>
      <c r="CR210" s="1362"/>
      <c r="CS210" s="1363">
        <v>11</v>
      </c>
      <c r="CT210" s="1363">
        <v>1</v>
      </c>
      <c r="CU210" s="1363">
        <v>0</v>
      </c>
      <c r="CV210" s="686"/>
      <c r="CW210" s="686"/>
      <c r="CX210" s="687">
        <v>12</v>
      </c>
      <c r="CY210" s="41"/>
      <c r="DA210" s="602"/>
      <c r="DB210" s="602"/>
      <c r="DC210" s="603"/>
      <c r="DD210" s="604" t="s">
        <v>1235</v>
      </c>
      <c r="DE210" s="606">
        <v>0</v>
      </c>
      <c r="DF210" s="605"/>
      <c r="DG210" s="605"/>
      <c r="DH210" s="605"/>
      <c r="DI210" s="605"/>
      <c r="DJ210" s="606">
        <v>1</v>
      </c>
      <c r="DK210" s="606">
        <v>0</v>
      </c>
      <c r="DL210" s="605"/>
      <c r="DM210" s="602"/>
      <c r="DN210" s="602"/>
      <c r="DO210" s="607">
        <v>1</v>
      </c>
      <c r="DP210" s="105"/>
      <c r="DR210" s="608"/>
      <c r="DS210" s="608"/>
      <c r="DT210" s="608"/>
      <c r="DU210" s="609" t="s">
        <v>1240</v>
      </c>
      <c r="DV210" s="610"/>
      <c r="DW210" s="611">
        <v>0</v>
      </c>
      <c r="DX210" s="610"/>
      <c r="DY210" s="610"/>
      <c r="DZ210" s="610"/>
      <c r="EA210" s="610"/>
      <c r="EB210" s="611">
        <v>5</v>
      </c>
      <c r="EC210" s="610"/>
      <c r="ED210" s="610"/>
      <c r="EE210" s="612"/>
      <c r="EF210" s="612"/>
      <c r="EG210" s="613">
        <v>5</v>
      </c>
      <c r="EH210" s="614"/>
      <c r="EJ210" s="615"/>
      <c r="EK210" s="615"/>
      <c r="EL210" s="615"/>
      <c r="EM210" s="616" t="s">
        <v>1231</v>
      </c>
      <c r="EN210" s="617"/>
      <c r="EO210" s="618">
        <v>0</v>
      </c>
      <c r="EP210" s="618">
        <v>0</v>
      </c>
      <c r="EQ210" s="618">
        <v>1</v>
      </c>
      <c r="ER210" s="618">
        <v>0</v>
      </c>
      <c r="ES210" s="618">
        <v>5</v>
      </c>
      <c r="ET210" s="618">
        <v>20</v>
      </c>
      <c r="EU210" s="618">
        <v>0</v>
      </c>
      <c r="EV210" s="617"/>
      <c r="EW210" s="617"/>
      <c r="EX210" s="618">
        <v>26</v>
      </c>
      <c r="EY210" s="515"/>
      <c r="FA210" s="70"/>
      <c r="FB210" s="70"/>
      <c r="FC210" s="70"/>
      <c r="FD210" s="484" t="s">
        <v>15</v>
      </c>
      <c r="FE210" s="454">
        <v>2</v>
      </c>
      <c r="FF210" s="454">
        <v>2</v>
      </c>
      <c r="FG210" s="454">
        <v>2</v>
      </c>
      <c r="FH210" s="454"/>
      <c r="FI210" s="454">
        <v>1</v>
      </c>
      <c r="FJ210" s="454">
        <v>10</v>
      </c>
      <c r="FK210" s="454">
        <v>13</v>
      </c>
      <c r="FL210" s="454">
        <v>47</v>
      </c>
      <c r="FM210" s="454">
        <v>2</v>
      </c>
      <c r="FN210" s="454">
        <v>5</v>
      </c>
      <c r="FO210" s="454">
        <v>84</v>
      </c>
      <c r="FP210" s="536">
        <f>+(FO206+FO209)/FO210</f>
        <v>0.16666666666666666</v>
      </c>
      <c r="FQ210" s="42"/>
      <c r="FR210" s="516"/>
      <c r="FS210" s="516"/>
      <c r="FT210" s="516"/>
      <c r="FU210" s="519" t="s">
        <v>15</v>
      </c>
      <c r="FV210" s="519">
        <v>0</v>
      </c>
      <c r="FW210" s="519">
        <v>1</v>
      </c>
      <c r="FX210" s="519">
        <v>1</v>
      </c>
      <c r="FY210" s="519">
        <v>1</v>
      </c>
      <c r="FZ210" s="519">
        <v>2</v>
      </c>
      <c r="GA210" s="519">
        <v>0</v>
      </c>
      <c r="GB210" s="519">
        <v>7</v>
      </c>
      <c r="GC210" s="519">
        <v>23</v>
      </c>
      <c r="GD210" s="519">
        <v>29</v>
      </c>
      <c r="GE210" s="519">
        <v>8</v>
      </c>
      <c r="GF210" s="519">
        <v>6</v>
      </c>
      <c r="GG210" s="579">
        <v>78</v>
      </c>
      <c r="GH210" s="520">
        <f>+(GG209+GG206-GE206)/GG210</f>
        <v>0.20512820512820512</v>
      </c>
      <c r="GI210" s="518">
        <f>+GG206+GG209-GE206</f>
        <v>16</v>
      </c>
    </row>
    <row r="211" spans="1:191">
      <c r="C211" s="32"/>
      <c r="D211" s="32" t="s">
        <v>15</v>
      </c>
      <c r="E211" s="4607">
        <v>5</v>
      </c>
      <c r="F211" s="4607"/>
      <c r="G211" s="4607"/>
      <c r="H211" s="4607"/>
      <c r="I211" s="4607"/>
      <c r="J211" s="4607"/>
      <c r="K211" s="4607">
        <v>17</v>
      </c>
      <c r="L211" s="4607">
        <v>29</v>
      </c>
      <c r="M211" s="4607">
        <v>6</v>
      </c>
      <c r="N211" s="4583"/>
      <c r="O211" s="4583"/>
      <c r="P211" s="4583">
        <v>57</v>
      </c>
      <c r="Q211" s="1977">
        <f>+(P207+P210)/(P211-P209)</f>
        <v>0.67307692307692313</v>
      </c>
      <c r="R211" s="1977"/>
      <c r="U211" s="37" t="s">
        <v>2283</v>
      </c>
      <c r="V211" s="37" t="s">
        <v>1230</v>
      </c>
      <c r="W211" s="4803">
        <v>0</v>
      </c>
      <c r="X211" s="4803"/>
      <c r="Y211" s="4803"/>
      <c r="Z211" s="4803">
        <v>1</v>
      </c>
      <c r="AA211" s="4803"/>
      <c r="AB211" s="4803">
        <v>0</v>
      </c>
      <c r="AC211" s="4803"/>
      <c r="AD211" s="4803"/>
      <c r="AE211" s="1788"/>
      <c r="AF211" s="1788">
        <v>1</v>
      </c>
      <c r="AI211" s="41"/>
      <c r="AJ211" s="41"/>
      <c r="AK211" s="41" t="s">
        <v>135</v>
      </c>
      <c r="AL211" s="41" t="s">
        <v>1231</v>
      </c>
      <c r="AM211" s="2001">
        <v>1</v>
      </c>
      <c r="AN211" s="2001"/>
      <c r="AO211" s="2001"/>
      <c r="AP211" s="2001">
        <v>1</v>
      </c>
      <c r="AQ211" s="2001"/>
      <c r="AR211" s="2001">
        <v>17</v>
      </c>
      <c r="AS211" s="2001"/>
      <c r="AT211" s="2001"/>
      <c r="AU211" s="105"/>
      <c r="AV211" s="105"/>
      <c r="AW211" s="105">
        <v>19</v>
      </c>
      <c r="AX211" s="41"/>
      <c r="AZ211" s="42"/>
      <c r="BA211" s="42"/>
      <c r="BB211" s="42"/>
      <c r="BC211" s="42" t="s">
        <v>1240</v>
      </c>
      <c r="BD211" s="1993"/>
      <c r="BE211" s="1993"/>
      <c r="BF211" s="1993"/>
      <c r="BG211" s="1993">
        <v>0</v>
      </c>
      <c r="BH211" s="1993">
        <v>0</v>
      </c>
      <c r="BI211" s="1993"/>
      <c r="BJ211" s="1993">
        <v>15</v>
      </c>
      <c r="BK211" s="1993">
        <v>0</v>
      </c>
      <c r="BL211" s="1993"/>
      <c r="BM211" s="70"/>
      <c r="BN211" s="70"/>
      <c r="BO211" s="70">
        <v>15</v>
      </c>
      <c r="BR211" s="105"/>
      <c r="BS211" s="105"/>
      <c r="BT211" s="41" t="s">
        <v>136</v>
      </c>
      <c r="BU211" s="41" t="s">
        <v>1231</v>
      </c>
      <c r="BV211" s="1659"/>
      <c r="BW211" s="1659"/>
      <c r="BX211" s="1659"/>
      <c r="BY211" s="1659"/>
      <c r="BZ211" s="1659"/>
      <c r="CA211" s="1659">
        <v>1</v>
      </c>
      <c r="CB211" s="1659">
        <v>15</v>
      </c>
      <c r="CC211" s="1659"/>
      <c r="CD211" s="1659"/>
      <c r="CE211" s="105"/>
      <c r="CF211" s="105"/>
      <c r="CG211" s="105">
        <v>16</v>
      </c>
      <c r="CH211" s="105"/>
      <c r="CJ211" s="1359"/>
      <c r="CK211" s="1359"/>
      <c r="CL211" s="1360"/>
      <c r="CM211" s="1361" t="s">
        <v>1235</v>
      </c>
      <c r="CN211" s="1362"/>
      <c r="CO211" s="1362"/>
      <c r="CP211" s="1362"/>
      <c r="CQ211" s="1362"/>
      <c r="CR211" s="1362"/>
      <c r="CS211" s="1363">
        <v>1</v>
      </c>
      <c r="CT211" s="1363">
        <v>0</v>
      </c>
      <c r="CU211" s="1363">
        <v>0</v>
      </c>
      <c r="CV211" s="686"/>
      <c r="CW211" s="686"/>
      <c r="CX211" s="687">
        <v>1</v>
      </c>
      <c r="CY211" s="41"/>
      <c r="DA211" s="602"/>
      <c r="DB211" s="602"/>
      <c r="DC211" s="603"/>
      <c r="DD211" s="604" t="s">
        <v>1240</v>
      </c>
      <c r="DE211" s="606">
        <v>0</v>
      </c>
      <c r="DF211" s="605"/>
      <c r="DG211" s="605"/>
      <c r="DH211" s="605"/>
      <c r="DI211" s="605"/>
      <c r="DJ211" s="606">
        <v>2</v>
      </c>
      <c r="DK211" s="606">
        <v>0</v>
      </c>
      <c r="DL211" s="605"/>
      <c r="DM211" s="602"/>
      <c r="DN211" s="602"/>
      <c r="DO211" s="607">
        <v>2</v>
      </c>
      <c r="DP211" s="105"/>
      <c r="DR211" s="608"/>
      <c r="DS211" s="608"/>
      <c r="DT211" s="608"/>
      <c r="DU211" s="609" t="s">
        <v>1344</v>
      </c>
      <c r="DV211" s="610"/>
      <c r="DW211" s="611">
        <v>0</v>
      </c>
      <c r="DX211" s="610"/>
      <c r="DY211" s="610"/>
      <c r="DZ211" s="610"/>
      <c r="EA211" s="610"/>
      <c r="EB211" s="611">
        <v>5</v>
      </c>
      <c r="EC211" s="610"/>
      <c r="ED211" s="610"/>
      <c r="EE211" s="612"/>
      <c r="EF211" s="612"/>
      <c r="EG211" s="613">
        <v>5</v>
      </c>
      <c r="EH211" s="614"/>
      <c r="EJ211" s="615"/>
      <c r="EK211" s="615"/>
      <c r="EL211" s="615"/>
      <c r="EM211" s="616" t="s">
        <v>1233</v>
      </c>
      <c r="EN211" s="617"/>
      <c r="EO211" s="618">
        <v>1</v>
      </c>
      <c r="EP211" s="618">
        <v>0</v>
      </c>
      <c r="EQ211" s="618">
        <v>0</v>
      </c>
      <c r="ER211" s="618">
        <v>0</v>
      </c>
      <c r="ES211" s="618">
        <v>0</v>
      </c>
      <c r="ET211" s="618">
        <v>0</v>
      </c>
      <c r="EU211" s="618">
        <v>0</v>
      </c>
      <c r="EV211" s="617"/>
      <c r="EW211" s="617"/>
      <c r="EX211" s="618">
        <v>1</v>
      </c>
      <c r="EY211" s="515"/>
      <c r="FA211" s="70"/>
      <c r="FB211" s="70"/>
      <c r="FC211" s="70" t="s">
        <v>16</v>
      </c>
      <c r="FD211" s="42" t="s">
        <v>1230</v>
      </c>
      <c r="FE211" s="70"/>
      <c r="FF211" s="70"/>
      <c r="FG211" s="70"/>
      <c r="FH211" s="70"/>
      <c r="FI211" s="70"/>
      <c r="FJ211" s="70">
        <v>0</v>
      </c>
      <c r="FK211" s="70">
        <v>0</v>
      </c>
      <c r="FL211" s="70">
        <v>2</v>
      </c>
      <c r="FM211" s="70">
        <v>0</v>
      </c>
      <c r="FN211" s="70"/>
      <c r="FO211" s="70">
        <v>2</v>
      </c>
      <c r="FP211" s="42"/>
      <c r="FQ211" s="42"/>
      <c r="FR211" s="516"/>
      <c r="FS211" s="516"/>
      <c r="FT211" s="516" t="s">
        <v>16</v>
      </c>
      <c r="FU211" s="516" t="s">
        <v>1230</v>
      </c>
      <c r="FV211" s="516">
        <v>0</v>
      </c>
      <c r="FW211" s="516">
        <v>0</v>
      </c>
      <c r="FX211" s="516">
        <v>0</v>
      </c>
      <c r="FY211" s="516">
        <v>0</v>
      </c>
      <c r="FZ211" s="516">
        <v>0</v>
      </c>
      <c r="GA211" s="516">
        <v>0</v>
      </c>
      <c r="GB211" s="516">
        <v>0</v>
      </c>
      <c r="GC211" s="516">
        <v>0</v>
      </c>
      <c r="GD211" s="516">
        <v>3</v>
      </c>
      <c r="GE211" s="516">
        <v>0</v>
      </c>
      <c r="GF211" s="516">
        <v>1</v>
      </c>
      <c r="GG211" s="517">
        <v>4</v>
      </c>
      <c r="GH211" s="516"/>
      <c r="GI211" s="518"/>
    </row>
    <row r="212" spans="1:191">
      <c r="C212" s="32" t="s">
        <v>110</v>
      </c>
      <c r="D212" s="32" t="s">
        <v>1230</v>
      </c>
      <c r="E212" s="4607">
        <v>0</v>
      </c>
      <c r="F212" s="4607">
        <v>0</v>
      </c>
      <c r="G212" s="4607">
        <v>0</v>
      </c>
      <c r="H212" s="4607">
        <v>0</v>
      </c>
      <c r="I212" s="4607">
        <v>0</v>
      </c>
      <c r="J212" s="4607">
        <v>0</v>
      </c>
      <c r="K212" s="4607">
        <v>0</v>
      </c>
      <c r="L212" s="4607">
        <v>1</v>
      </c>
      <c r="M212" s="4607">
        <v>0</v>
      </c>
      <c r="N212" s="4583">
        <v>0</v>
      </c>
      <c r="O212" s="4583">
        <v>0</v>
      </c>
      <c r="P212" s="4583">
        <v>1</v>
      </c>
      <c r="Q212" s="4583"/>
      <c r="R212" s="4583"/>
      <c r="V212" s="37" t="s">
        <v>1231</v>
      </c>
      <c r="W212" s="4803">
        <v>1</v>
      </c>
      <c r="X212" s="4803"/>
      <c r="Y212" s="4803"/>
      <c r="Z212" s="4803">
        <v>0</v>
      </c>
      <c r="AA212" s="4803"/>
      <c r="AB212" s="4803">
        <v>10</v>
      </c>
      <c r="AC212" s="4803"/>
      <c r="AD212" s="4803"/>
      <c r="AE212" s="1788"/>
      <c r="AF212" s="1788">
        <v>11</v>
      </c>
      <c r="AI212" s="41"/>
      <c r="AJ212" s="41"/>
      <c r="AK212" s="41"/>
      <c r="AL212" s="41" t="s">
        <v>1235</v>
      </c>
      <c r="AM212" s="2001">
        <v>0</v>
      </c>
      <c r="AN212" s="2001"/>
      <c r="AO212" s="2001"/>
      <c r="AP212" s="2001">
        <v>0</v>
      </c>
      <c r="AQ212" s="2001"/>
      <c r="AR212" s="2001">
        <v>5</v>
      </c>
      <c r="AS212" s="2001"/>
      <c r="AT212" s="2001"/>
      <c r="AU212" s="105"/>
      <c r="AV212" s="105"/>
      <c r="AW212" s="105">
        <v>5</v>
      </c>
      <c r="AX212" s="41"/>
      <c r="AZ212" s="42"/>
      <c r="BA212" s="42"/>
      <c r="BB212" s="42"/>
      <c r="BC212" s="484" t="s">
        <v>15</v>
      </c>
      <c r="BD212" s="1994"/>
      <c r="BE212" s="1994"/>
      <c r="BF212" s="1994"/>
      <c r="BG212" s="1994">
        <v>1</v>
      </c>
      <c r="BH212" s="1994">
        <v>1</v>
      </c>
      <c r="BI212" s="1994"/>
      <c r="BJ212" s="1994">
        <v>31</v>
      </c>
      <c r="BK212" s="1994">
        <v>2</v>
      </c>
      <c r="BL212" s="1994"/>
      <c r="BM212" s="454"/>
      <c r="BN212" s="454"/>
      <c r="BO212" s="454">
        <v>35</v>
      </c>
      <c r="BP212" s="2485">
        <f>+(BO210+BO211)/BO212</f>
        <v>0.54285714285714282</v>
      </c>
      <c r="BR212" s="105"/>
      <c r="BS212" s="105"/>
      <c r="BT212" s="41"/>
      <c r="BU212" s="41" t="s">
        <v>1240</v>
      </c>
      <c r="BV212" s="1659"/>
      <c r="BW212" s="1659"/>
      <c r="BX212" s="1659"/>
      <c r="BY212" s="1659"/>
      <c r="BZ212" s="1659"/>
      <c r="CA212" s="1659">
        <v>0</v>
      </c>
      <c r="CB212" s="1659">
        <v>2</v>
      </c>
      <c r="CC212" s="1659"/>
      <c r="CD212" s="1659"/>
      <c r="CE212" s="105"/>
      <c r="CF212" s="105"/>
      <c r="CG212" s="105">
        <v>2</v>
      </c>
      <c r="CH212" s="105"/>
      <c r="CJ212" s="1359"/>
      <c r="CK212" s="1359"/>
      <c r="CL212" s="1360"/>
      <c r="CM212" s="1361" t="s">
        <v>1239</v>
      </c>
      <c r="CN212" s="1362"/>
      <c r="CO212" s="1362"/>
      <c r="CP212" s="1362"/>
      <c r="CQ212" s="1362"/>
      <c r="CR212" s="1362"/>
      <c r="CS212" s="1363">
        <v>0</v>
      </c>
      <c r="CT212" s="1363">
        <v>0</v>
      </c>
      <c r="CU212" s="1363">
        <v>1</v>
      </c>
      <c r="CV212" s="686"/>
      <c r="CW212" s="686"/>
      <c r="CX212" s="687">
        <v>1</v>
      </c>
      <c r="CY212" s="41"/>
      <c r="DA212" s="602"/>
      <c r="DB212" s="602"/>
      <c r="DC212" s="603"/>
      <c r="DD212" s="604" t="s">
        <v>1344</v>
      </c>
      <c r="DE212" s="606">
        <v>0</v>
      </c>
      <c r="DF212" s="605"/>
      <c r="DG212" s="605"/>
      <c r="DH212" s="605"/>
      <c r="DI212" s="605"/>
      <c r="DJ212" s="606">
        <v>5</v>
      </c>
      <c r="DK212" s="606">
        <v>0</v>
      </c>
      <c r="DL212" s="605"/>
      <c r="DM212" s="602"/>
      <c r="DN212" s="602"/>
      <c r="DO212" s="607">
        <v>5</v>
      </c>
      <c r="DP212" s="105"/>
      <c r="DR212" s="608"/>
      <c r="DS212" s="608"/>
      <c r="DT212" s="608"/>
      <c r="DU212" s="620" t="s">
        <v>15</v>
      </c>
      <c r="DV212" s="621"/>
      <c r="DW212" s="622">
        <v>1</v>
      </c>
      <c r="DX212" s="621"/>
      <c r="DY212" s="621"/>
      <c r="DZ212" s="621"/>
      <c r="EA212" s="621"/>
      <c r="EB212" s="622">
        <v>18</v>
      </c>
      <c r="EC212" s="621"/>
      <c r="ED212" s="621"/>
      <c r="EE212" s="623"/>
      <c r="EF212" s="623"/>
      <c r="EG212" s="624">
        <v>19</v>
      </c>
      <c r="EH212" s="614">
        <f>+(EG211+EG210+EG209)/EG212</f>
        <v>0.73684210526315785</v>
      </c>
      <c r="EJ212" s="615"/>
      <c r="EK212" s="615"/>
      <c r="EL212" s="615"/>
      <c r="EM212" s="616" t="s">
        <v>1235</v>
      </c>
      <c r="EN212" s="617"/>
      <c r="EO212" s="618">
        <v>0</v>
      </c>
      <c r="EP212" s="618">
        <v>9</v>
      </c>
      <c r="EQ212" s="618">
        <v>0</v>
      </c>
      <c r="ER212" s="618">
        <v>0</v>
      </c>
      <c r="ES212" s="618">
        <v>11</v>
      </c>
      <c r="ET212" s="618">
        <v>22</v>
      </c>
      <c r="EU212" s="618">
        <v>1</v>
      </c>
      <c r="EV212" s="617"/>
      <c r="EW212" s="617"/>
      <c r="EX212" s="618">
        <v>43</v>
      </c>
      <c r="EY212" s="515"/>
      <c r="FA212" s="70"/>
      <c r="FB212" s="70"/>
      <c r="FC212" s="70"/>
      <c r="FD212" s="42" t="s">
        <v>1231</v>
      </c>
      <c r="FE212" s="70"/>
      <c r="FF212" s="70"/>
      <c r="FG212" s="70"/>
      <c r="FH212" s="70"/>
      <c r="FI212" s="70"/>
      <c r="FJ212" s="70">
        <v>1</v>
      </c>
      <c r="FK212" s="70">
        <v>3</v>
      </c>
      <c r="FL212" s="70">
        <v>0</v>
      </c>
      <c r="FM212" s="70">
        <v>0</v>
      </c>
      <c r="FN212" s="70"/>
      <c r="FO212" s="70">
        <v>4</v>
      </c>
      <c r="FP212" s="42"/>
      <c r="FQ212" s="42"/>
      <c r="FR212" s="516"/>
      <c r="FS212" s="516"/>
      <c r="FT212" s="516"/>
      <c r="FU212" s="516" t="s">
        <v>1231</v>
      </c>
      <c r="FV212" s="516">
        <v>0</v>
      </c>
      <c r="FW212" s="516">
        <v>1</v>
      </c>
      <c r="FX212" s="516">
        <v>2</v>
      </c>
      <c r="FY212" s="516">
        <v>2</v>
      </c>
      <c r="FZ212" s="516">
        <v>1</v>
      </c>
      <c r="GA212" s="516">
        <v>0</v>
      </c>
      <c r="GB212" s="516">
        <v>6</v>
      </c>
      <c r="GC212" s="516">
        <v>4</v>
      </c>
      <c r="GD212" s="516">
        <v>0</v>
      </c>
      <c r="GE212" s="516">
        <v>0</v>
      </c>
      <c r="GF212" s="516">
        <v>0</v>
      </c>
      <c r="GG212" s="517">
        <v>16</v>
      </c>
      <c r="GH212" s="516"/>
      <c r="GI212" s="518"/>
    </row>
    <row r="213" spans="1:191">
      <c r="C213" s="32"/>
      <c r="D213" s="32" t="s">
        <v>1231</v>
      </c>
      <c r="E213" s="4607">
        <v>0</v>
      </c>
      <c r="F213" s="4607">
        <v>3</v>
      </c>
      <c r="G213" s="4607">
        <v>1</v>
      </c>
      <c r="H213" s="4607">
        <v>0</v>
      </c>
      <c r="I213" s="4607">
        <v>0</v>
      </c>
      <c r="J213" s="4607">
        <v>3</v>
      </c>
      <c r="K213" s="4607">
        <v>7</v>
      </c>
      <c r="L213" s="4607">
        <v>11</v>
      </c>
      <c r="M213" s="4607">
        <v>4</v>
      </c>
      <c r="N213" s="4583">
        <v>9</v>
      </c>
      <c r="O213" s="4583">
        <v>0</v>
      </c>
      <c r="P213" s="4583">
        <v>38</v>
      </c>
      <c r="Q213" s="4583"/>
      <c r="R213" s="4583"/>
      <c r="V213" s="37" t="s">
        <v>1235</v>
      </c>
      <c r="W213" s="4803">
        <v>0</v>
      </c>
      <c r="X213" s="4803"/>
      <c r="Y213" s="4803"/>
      <c r="Z213" s="4803">
        <v>0</v>
      </c>
      <c r="AA213" s="4803"/>
      <c r="AB213" s="4803">
        <v>2</v>
      </c>
      <c r="AC213" s="4803"/>
      <c r="AD213" s="4803"/>
      <c r="AE213" s="1788"/>
      <c r="AF213" s="1788">
        <v>2</v>
      </c>
      <c r="AI213" s="41"/>
      <c r="AJ213" s="41"/>
      <c r="AK213" s="41"/>
      <c r="AL213" s="461" t="s">
        <v>15</v>
      </c>
      <c r="AM213" s="2002">
        <v>1</v>
      </c>
      <c r="AN213" s="2002"/>
      <c r="AO213" s="2002"/>
      <c r="AP213" s="2002">
        <v>1</v>
      </c>
      <c r="AQ213" s="2002"/>
      <c r="AR213" s="2002">
        <v>22</v>
      </c>
      <c r="AS213" s="2002"/>
      <c r="AT213" s="2002"/>
      <c r="AU213" s="2480"/>
      <c r="AV213" s="2480"/>
      <c r="AW213" s="2480">
        <v>24</v>
      </c>
      <c r="AX213" s="635">
        <f>+AW212/AW213</f>
        <v>0.20833333333333334</v>
      </c>
      <c r="AY213" s="1977"/>
      <c r="AZ213" s="42"/>
      <c r="BA213" s="42"/>
      <c r="BB213" s="42" t="s">
        <v>545</v>
      </c>
      <c r="BC213" s="42" t="s">
        <v>1231</v>
      </c>
      <c r="BD213" s="1993"/>
      <c r="BE213" s="1993"/>
      <c r="BF213" s="1993"/>
      <c r="BG213" s="1993">
        <v>1</v>
      </c>
      <c r="BH213" s="1993">
        <v>1</v>
      </c>
      <c r="BI213" s="1993"/>
      <c r="BJ213" s="1993">
        <v>14</v>
      </c>
      <c r="BK213" s="1993">
        <v>0</v>
      </c>
      <c r="BL213" s="1993"/>
      <c r="BM213" s="70"/>
      <c r="BN213" s="70"/>
      <c r="BO213" s="70">
        <v>16</v>
      </c>
      <c r="BR213" s="105"/>
      <c r="BS213" s="105"/>
      <c r="BT213" s="41"/>
      <c r="BU213" s="461" t="s">
        <v>15</v>
      </c>
      <c r="BV213" s="1660"/>
      <c r="BW213" s="1660"/>
      <c r="BX213" s="1660"/>
      <c r="BY213" s="1660"/>
      <c r="BZ213" s="1660"/>
      <c r="CA213" s="1660">
        <v>1</v>
      </c>
      <c r="CB213" s="1660">
        <v>17</v>
      </c>
      <c r="CC213" s="1660"/>
      <c r="CD213" s="1660"/>
      <c r="CE213" s="96"/>
      <c r="CF213" s="96"/>
      <c r="CG213" s="96">
        <v>18</v>
      </c>
      <c r="CH213" s="635">
        <v>0</v>
      </c>
      <c r="CJ213" s="1359"/>
      <c r="CK213" s="1359"/>
      <c r="CL213" s="1360"/>
      <c r="CM213" s="1361" t="s">
        <v>1240</v>
      </c>
      <c r="CN213" s="1362"/>
      <c r="CO213" s="1362"/>
      <c r="CP213" s="1362"/>
      <c r="CQ213" s="1362"/>
      <c r="CR213" s="1362"/>
      <c r="CS213" s="1363">
        <v>2</v>
      </c>
      <c r="CT213" s="1363">
        <v>0</v>
      </c>
      <c r="CU213" s="1363">
        <v>0</v>
      </c>
      <c r="CV213" s="686"/>
      <c r="CW213" s="686"/>
      <c r="CX213" s="687">
        <v>2</v>
      </c>
      <c r="CY213" s="41"/>
      <c r="DA213" s="602"/>
      <c r="DB213" s="602"/>
      <c r="DC213" s="603"/>
      <c r="DD213" s="630" t="s">
        <v>15</v>
      </c>
      <c r="DE213" s="632">
        <v>3</v>
      </c>
      <c r="DF213" s="631"/>
      <c r="DG213" s="631"/>
      <c r="DH213" s="631"/>
      <c r="DI213" s="631"/>
      <c r="DJ213" s="632">
        <v>15</v>
      </c>
      <c r="DK213" s="632">
        <v>1</v>
      </c>
      <c r="DL213" s="631"/>
      <c r="DM213" s="633"/>
      <c r="DN213" s="633"/>
      <c r="DO213" s="634">
        <v>19</v>
      </c>
      <c r="DP213" s="635">
        <f>+(DO210+DO211+DO212)/DO213</f>
        <v>0.42105263157894735</v>
      </c>
      <c r="DR213" s="608"/>
      <c r="DS213" s="608"/>
      <c r="DT213" s="608" t="s">
        <v>418</v>
      </c>
      <c r="DU213" s="609" t="s">
        <v>1230</v>
      </c>
      <c r="DV213" s="610"/>
      <c r="DW213" s="610"/>
      <c r="DX213" s="610"/>
      <c r="DY213" s="610"/>
      <c r="DZ213" s="610"/>
      <c r="EA213" s="611">
        <v>0</v>
      </c>
      <c r="EB213" s="611">
        <v>0</v>
      </c>
      <c r="EC213" s="611">
        <v>0</v>
      </c>
      <c r="ED213" s="611">
        <v>0</v>
      </c>
      <c r="EE213" s="613">
        <v>1</v>
      </c>
      <c r="EF213" s="612"/>
      <c r="EG213" s="613">
        <v>1</v>
      </c>
      <c r="EH213" s="614"/>
      <c r="EJ213" s="615"/>
      <c r="EL213" s="615"/>
      <c r="EM213" s="616" t="s">
        <v>1236</v>
      </c>
      <c r="EN213" s="617"/>
      <c r="EO213" s="618">
        <v>0</v>
      </c>
      <c r="EP213" s="618">
        <v>1</v>
      </c>
      <c r="EQ213" s="618">
        <v>0</v>
      </c>
      <c r="ER213" s="618">
        <v>2</v>
      </c>
      <c r="ES213" s="618">
        <v>3</v>
      </c>
      <c r="ET213" s="618">
        <v>0</v>
      </c>
      <c r="EU213" s="618">
        <v>0</v>
      </c>
      <c r="EV213" s="617"/>
      <c r="EW213" s="617"/>
      <c r="EX213" s="618">
        <v>6</v>
      </c>
      <c r="EY213" s="515"/>
      <c r="FA213" s="70"/>
      <c r="FB213" s="70"/>
      <c r="FC213" s="70"/>
      <c r="FD213" s="42" t="s">
        <v>1235</v>
      </c>
      <c r="FE213" s="70"/>
      <c r="FF213" s="70"/>
      <c r="FG213" s="70"/>
      <c r="FH213" s="70"/>
      <c r="FI213" s="70"/>
      <c r="FJ213" s="70">
        <v>1</v>
      </c>
      <c r="FK213" s="70">
        <v>7</v>
      </c>
      <c r="FL213" s="70">
        <v>0</v>
      </c>
      <c r="FM213" s="70">
        <v>0</v>
      </c>
      <c r="FN213" s="70"/>
      <c r="FO213" s="70">
        <v>8</v>
      </c>
      <c r="FP213" s="42"/>
      <c r="FQ213" s="42"/>
      <c r="FR213" s="516"/>
      <c r="FS213" s="516"/>
      <c r="FT213" s="516"/>
      <c r="FU213" s="516" t="s">
        <v>1233</v>
      </c>
      <c r="FV213" s="516">
        <v>0</v>
      </c>
      <c r="FW213" s="516">
        <v>0</v>
      </c>
      <c r="FX213" s="516">
        <v>0</v>
      </c>
      <c r="FY213" s="516">
        <v>1</v>
      </c>
      <c r="FZ213" s="516">
        <v>0</v>
      </c>
      <c r="GA213" s="516">
        <v>0</v>
      </c>
      <c r="GB213" s="516">
        <v>0</v>
      </c>
      <c r="GC213" s="516">
        <v>0</v>
      </c>
      <c r="GD213" s="516">
        <v>0</v>
      </c>
      <c r="GE213" s="516">
        <v>0</v>
      </c>
      <c r="GF213" s="516">
        <v>0</v>
      </c>
      <c r="GG213" s="517">
        <v>1</v>
      </c>
      <c r="GH213" s="516"/>
      <c r="GI213" s="518"/>
    </row>
    <row r="214" spans="1:191">
      <c r="C214" s="32"/>
      <c r="D214" s="32" t="s">
        <v>1235</v>
      </c>
      <c r="E214" s="4607">
        <v>0</v>
      </c>
      <c r="F214" s="4607">
        <v>0</v>
      </c>
      <c r="G214" s="4607">
        <v>0</v>
      </c>
      <c r="H214" s="4607">
        <v>0</v>
      </c>
      <c r="I214" s="4607">
        <v>1</v>
      </c>
      <c r="J214" s="4607">
        <v>0</v>
      </c>
      <c r="K214" s="4607">
        <v>11</v>
      </c>
      <c r="L214" s="4607">
        <v>21</v>
      </c>
      <c r="M214" s="4607">
        <v>0</v>
      </c>
      <c r="N214" s="4583">
        <v>0</v>
      </c>
      <c r="O214" s="4583">
        <v>0</v>
      </c>
      <c r="P214" s="4583">
        <v>33</v>
      </c>
      <c r="Q214" s="4583"/>
      <c r="R214" s="4583"/>
      <c r="V214" s="37" t="s">
        <v>1240</v>
      </c>
      <c r="W214" s="4803">
        <v>0</v>
      </c>
      <c r="X214" s="4803"/>
      <c r="Y214" s="4803"/>
      <c r="Z214" s="4803">
        <v>0</v>
      </c>
      <c r="AA214" s="4803"/>
      <c r="AB214" s="4803">
        <v>3</v>
      </c>
      <c r="AC214" s="4803"/>
      <c r="AD214" s="4803"/>
      <c r="AE214" s="1788"/>
      <c r="AF214" s="1788">
        <v>3</v>
      </c>
      <c r="AI214" s="41"/>
      <c r="AJ214" s="41"/>
      <c r="AK214" s="41" t="s">
        <v>136</v>
      </c>
      <c r="AL214" s="41" t="s">
        <v>1230</v>
      </c>
      <c r="AM214" s="2001"/>
      <c r="AN214" s="2001"/>
      <c r="AO214" s="2001">
        <v>1</v>
      </c>
      <c r="AP214" s="2001"/>
      <c r="AQ214" s="2001"/>
      <c r="AR214" s="2001">
        <v>0</v>
      </c>
      <c r="AS214" s="2001">
        <v>0</v>
      </c>
      <c r="AT214" s="2001">
        <v>0</v>
      </c>
      <c r="AU214" s="105"/>
      <c r="AV214" s="105"/>
      <c r="AW214" s="105">
        <v>1</v>
      </c>
      <c r="AX214" s="41"/>
      <c r="AZ214" s="42"/>
      <c r="BA214" s="42"/>
      <c r="BB214" s="42"/>
      <c r="BC214" s="42" t="s">
        <v>1235</v>
      </c>
      <c r="BD214" s="1993"/>
      <c r="BE214" s="1993"/>
      <c r="BF214" s="1993"/>
      <c r="BG214" s="1993">
        <v>0</v>
      </c>
      <c r="BH214" s="1993">
        <v>0</v>
      </c>
      <c r="BI214" s="1993"/>
      <c r="BJ214" s="1993">
        <v>2</v>
      </c>
      <c r="BK214" s="1993">
        <v>2</v>
      </c>
      <c r="BL214" s="1993"/>
      <c r="BM214" s="70"/>
      <c r="BN214" s="70"/>
      <c r="BO214" s="70">
        <v>4</v>
      </c>
      <c r="BR214" s="105"/>
      <c r="BS214" s="105"/>
      <c r="BT214" s="41" t="s">
        <v>137</v>
      </c>
      <c r="BU214" s="41" t="s">
        <v>1231</v>
      </c>
      <c r="BV214" s="1659"/>
      <c r="BW214" s="1659"/>
      <c r="BX214" s="1659"/>
      <c r="BY214" s="1659">
        <v>1</v>
      </c>
      <c r="BZ214" s="1659"/>
      <c r="CA214" s="1659"/>
      <c r="CB214" s="1659">
        <v>11</v>
      </c>
      <c r="CC214" s="1659"/>
      <c r="CD214" s="1659"/>
      <c r="CE214" s="105"/>
      <c r="CF214" s="105"/>
      <c r="CG214" s="105">
        <v>12</v>
      </c>
      <c r="CH214" s="105"/>
      <c r="CJ214" s="1359"/>
      <c r="CK214" s="1359"/>
      <c r="CL214" s="1360"/>
      <c r="CM214" s="483" t="s">
        <v>15</v>
      </c>
      <c r="CN214" s="1364"/>
      <c r="CO214" s="1364"/>
      <c r="CP214" s="1364"/>
      <c r="CQ214" s="1364"/>
      <c r="CR214" s="1364"/>
      <c r="CS214" s="1365">
        <v>14</v>
      </c>
      <c r="CT214" s="1365">
        <v>1</v>
      </c>
      <c r="CU214" s="1365">
        <v>1</v>
      </c>
      <c r="CV214" s="695"/>
      <c r="CW214" s="695"/>
      <c r="CX214" s="696">
        <v>16</v>
      </c>
      <c r="CY214" s="1325">
        <f>+(CX211+CX213)/CX214</f>
        <v>0.1875</v>
      </c>
      <c r="DA214" s="602"/>
      <c r="DB214" s="602"/>
      <c r="DC214" s="603" t="s">
        <v>591</v>
      </c>
      <c r="DD214" s="604" t="s">
        <v>1231</v>
      </c>
      <c r="DE214" s="605"/>
      <c r="DF214" s="605"/>
      <c r="DG214" s="605"/>
      <c r="DH214" s="605"/>
      <c r="DI214" s="605"/>
      <c r="DJ214" s="606">
        <v>14</v>
      </c>
      <c r="DK214" s="605"/>
      <c r="DL214" s="605"/>
      <c r="DM214" s="602"/>
      <c r="DN214" s="602"/>
      <c r="DO214" s="607">
        <v>14</v>
      </c>
      <c r="DP214" s="105"/>
      <c r="DR214" s="608"/>
      <c r="DS214" s="608"/>
      <c r="DT214" s="608"/>
      <c r="DU214" s="609" t="s">
        <v>1231</v>
      </c>
      <c r="DV214" s="610"/>
      <c r="DW214" s="610"/>
      <c r="DX214" s="610"/>
      <c r="DY214" s="610"/>
      <c r="DZ214" s="610"/>
      <c r="EA214" s="611">
        <v>1</v>
      </c>
      <c r="EB214" s="611">
        <v>2</v>
      </c>
      <c r="EC214" s="611">
        <v>2</v>
      </c>
      <c r="ED214" s="611">
        <v>0</v>
      </c>
      <c r="EE214" s="613">
        <v>0</v>
      </c>
      <c r="EF214" s="612"/>
      <c r="EG214" s="613">
        <v>5</v>
      </c>
      <c r="EH214" s="614"/>
      <c r="EJ214" s="615"/>
      <c r="EL214" s="615"/>
      <c r="EM214" s="616" t="s">
        <v>1239</v>
      </c>
      <c r="EN214" s="617"/>
      <c r="EO214" s="618">
        <v>0</v>
      </c>
      <c r="EP214" s="618">
        <v>0</v>
      </c>
      <c r="EQ214" s="618">
        <v>0</v>
      </c>
      <c r="ER214" s="618">
        <v>0</v>
      </c>
      <c r="ES214" s="618">
        <v>0</v>
      </c>
      <c r="ET214" s="618">
        <v>1</v>
      </c>
      <c r="EU214" s="618">
        <v>34</v>
      </c>
      <c r="EV214" s="617"/>
      <c r="EW214" s="617"/>
      <c r="EX214" s="618">
        <v>35</v>
      </c>
      <c r="EY214" s="515"/>
      <c r="FA214" s="70"/>
      <c r="FB214" s="70"/>
      <c r="FC214" s="70"/>
      <c r="FD214" s="42" t="s">
        <v>1239</v>
      </c>
      <c r="FE214" s="70"/>
      <c r="FF214" s="70"/>
      <c r="FG214" s="70"/>
      <c r="FH214" s="70"/>
      <c r="FI214" s="70"/>
      <c r="FJ214" s="70">
        <v>0</v>
      </c>
      <c r="FK214" s="70">
        <v>0</v>
      </c>
      <c r="FL214" s="70">
        <v>10</v>
      </c>
      <c r="FM214" s="70">
        <v>1</v>
      </c>
      <c r="FN214" s="70"/>
      <c r="FO214" s="70">
        <v>11</v>
      </c>
      <c r="FP214" s="42"/>
      <c r="FQ214" s="42"/>
      <c r="FR214" s="516"/>
      <c r="FS214" s="516"/>
      <c r="FT214" s="516"/>
      <c r="FU214" s="516" t="s">
        <v>1235</v>
      </c>
      <c r="FV214" s="516">
        <v>0</v>
      </c>
      <c r="FW214" s="516">
        <v>0</v>
      </c>
      <c r="FX214" s="516">
        <v>0</v>
      </c>
      <c r="FY214" s="516">
        <v>10</v>
      </c>
      <c r="FZ214" s="516">
        <v>2</v>
      </c>
      <c r="GA214" s="516">
        <v>0</v>
      </c>
      <c r="GB214" s="516">
        <v>8</v>
      </c>
      <c r="GC214" s="516">
        <v>5</v>
      </c>
      <c r="GD214" s="516">
        <v>0</v>
      </c>
      <c r="GE214" s="516">
        <v>0</v>
      </c>
      <c r="GF214" s="516">
        <v>0</v>
      </c>
      <c r="GG214" s="517">
        <v>25</v>
      </c>
      <c r="GH214" s="516"/>
      <c r="GI214" s="518"/>
    </row>
    <row r="215" spans="1:191">
      <c r="C215" s="32"/>
      <c r="D215" s="32" t="s">
        <v>1236</v>
      </c>
      <c r="E215" s="4607">
        <v>0</v>
      </c>
      <c r="F215" s="4607">
        <v>0</v>
      </c>
      <c r="G215" s="4607">
        <v>0</v>
      </c>
      <c r="H215" s="4607">
        <v>3</v>
      </c>
      <c r="I215" s="4607">
        <v>1</v>
      </c>
      <c r="J215" s="4607">
        <v>0</v>
      </c>
      <c r="K215" s="4607">
        <v>0</v>
      </c>
      <c r="L215" s="4607">
        <v>0</v>
      </c>
      <c r="M215" s="4607">
        <v>0</v>
      </c>
      <c r="N215" s="4583">
        <v>0</v>
      </c>
      <c r="O215" s="4583">
        <v>0</v>
      </c>
      <c r="P215" s="4583">
        <v>4</v>
      </c>
      <c r="Q215" s="4583"/>
      <c r="R215" s="4583"/>
      <c r="V215" s="37" t="s">
        <v>1344</v>
      </c>
      <c r="W215" s="4803">
        <v>0</v>
      </c>
      <c r="X215" s="4803"/>
      <c r="Y215" s="4803"/>
      <c r="Z215" s="4803">
        <v>0</v>
      </c>
      <c r="AA215" s="4803"/>
      <c r="AB215" s="4803">
        <v>2</v>
      </c>
      <c r="AC215" s="4803"/>
      <c r="AD215" s="4803"/>
      <c r="AE215" s="1788"/>
      <c r="AF215" s="1788">
        <v>2</v>
      </c>
      <c r="AI215" s="41"/>
      <c r="AJ215" s="41"/>
      <c r="AK215" s="41"/>
      <c r="AL215" s="41" t="s">
        <v>1231</v>
      </c>
      <c r="AM215" s="2001"/>
      <c r="AN215" s="2001"/>
      <c r="AO215" s="2001">
        <v>0</v>
      </c>
      <c r="AP215" s="2001"/>
      <c r="AQ215" s="2001"/>
      <c r="AR215" s="2001">
        <v>9</v>
      </c>
      <c r="AS215" s="2001">
        <v>3</v>
      </c>
      <c r="AT215" s="2001">
        <v>0</v>
      </c>
      <c r="AU215" s="105"/>
      <c r="AV215" s="105"/>
      <c r="AW215" s="105">
        <v>12</v>
      </c>
      <c r="AX215" s="41"/>
      <c r="AZ215" s="42"/>
      <c r="BA215" s="42"/>
      <c r="BB215" s="42"/>
      <c r="BC215" s="42" t="s">
        <v>1240</v>
      </c>
      <c r="BD215" s="1993"/>
      <c r="BE215" s="1993"/>
      <c r="BF215" s="1993"/>
      <c r="BG215" s="1993">
        <v>0</v>
      </c>
      <c r="BH215" s="1993">
        <v>0</v>
      </c>
      <c r="BI215" s="1993"/>
      <c r="BJ215" s="1993">
        <v>15</v>
      </c>
      <c r="BK215" s="1993">
        <v>0</v>
      </c>
      <c r="BL215" s="1993"/>
      <c r="BM215" s="70"/>
      <c r="BN215" s="70"/>
      <c r="BO215" s="70">
        <v>15</v>
      </c>
      <c r="BR215" s="105"/>
      <c r="BS215" s="105"/>
      <c r="BT215" s="41"/>
      <c r="BU215" s="41" t="s">
        <v>1235</v>
      </c>
      <c r="BV215" s="1659"/>
      <c r="BW215" s="1659"/>
      <c r="BX215" s="1659"/>
      <c r="BY215" s="1659">
        <v>0</v>
      </c>
      <c r="BZ215" s="1659"/>
      <c r="CA215" s="1659"/>
      <c r="CB215" s="1659">
        <v>3</v>
      </c>
      <c r="CC215" s="1659"/>
      <c r="CD215" s="1659"/>
      <c r="CE215" s="105"/>
      <c r="CF215" s="105"/>
      <c r="CG215" s="105">
        <v>3</v>
      </c>
      <c r="CH215" s="105"/>
      <c r="CJ215" s="1359"/>
      <c r="CK215" s="1359"/>
      <c r="CL215" s="1360" t="s">
        <v>140</v>
      </c>
      <c r="CM215" s="1361" t="s">
        <v>1231</v>
      </c>
      <c r="CN215" s="1363">
        <v>3</v>
      </c>
      <c r="CO215" s="1363">
        <v>1</v>
      </c>
      <c r="CP215" s="1362"/>
      <c r="CQ215" s="1362"/>
      <c r="CR215" s="1363">
        <v>1</v>
      </c>
      <c r="CS215" s="1363">
        <v>0</v>
      </c>
      <c r="CT215" s="1362"/>
      <c r="CU215" s="1362"/>
      <c r="CV215" s="686"/>
      <c r="CW215" s="686"/>
      <c r="CX215" s="687">
        <v>5</v>
      </c>
      <c r="CY215" s="41"/>
      <c r="DA215" s="602"/>
      <c r="DB215" s="602"/>
      <c r="DC215" s="603"/>
      <c r="DD215" s="604" t="s">
        <v>1235</v>
      </c>
      <c r="DE215" s="605"/>
      <c r="DF215" s="605"/>
      <c r="DG215" s="605"/>
      <c r="DH215" s="605"/>
      <c r="DI215" s="605"/>
      <c r="DJ215" s="606">
        <v>1</v>
      </c>
      <c r="DK215" s="605"/>
      <c r="DL215" s="605"/>
      <c r="DM215" s="602"/>
      <c r="DN215" s="602"/>
      <c r="DO215" s="607">
        <v>1</v>
      </c>
      <c r="DP215" s="105"/>
      <c r="DR215" s="608"/>
      <c r="DS215" s="608"/>
      <c r="DT215" s="608"/>
      <c r="DU215" s="609" t="s">
        <v>1235</v>
      </c>
      <c r="DV215" s="610"/>
      <c r="DW215" s="610"/>
      <c r="DX215" s="610"/>
      <c r="DY215" s="610"/>
      <c r="DZ215" s="610"/>
      <c r="EA215" s="611">
        <v>0</v>
      </c>
      <c r="EB215" s="611">
        <v>1</v>
      </c>
      <c r="EC215" s="611">
        <v>1</v>
      </c>
      <c r="ED215" s="611">
        <v>0</v>
      </c>
      <c r="EE215" s="613">
        <v>0</v>
      </c>
      <c r="EF215" s="612"/>
      <c r="EG215" s="613">
        <v>2</v>
      </c>
      <c r="EH215" s="614"/>
      <c r="EJ215" s="615"/>
      <c r="EL215" s="615"/>
      <c r="EM215" s="616" t="s">
        <v>1240</v>
      </c>
      <c r="EN215" s="617"/>
      <c r="EO215" s="618">
        <v>0</v>
      </c>
      <c r="EP215" s="618">
        <v>0</v>
      </c>
      <c r="EQ215" s="618">
        <v>0</v>
      </c>
      <c r="ER215" s="618">
        <v>0</v>
      </c>
      <c r="ES215" s="618">
        <v>0</v>
      </c>
      <c r="ET215" s="618">
        <v>3</v>
      </c>
      <c r="EU215" s="618">
        <v>0</v>
      </c>
      <c r="EV215" s="617"/>
      <c r="EW215" s="617"/>
      <c r="EX215" s="618">
        <v>3</v>
      </c>
      <c r="EY215" s="515"/>
      <c r="FA215" s="70"/>
      <c r="FB215" s="70"/>
      <c r="FC215" s="70"/>
      <c r="FD215" s="42" t="s">
        <v>1240</v>
      </c>
      <c r="FE215" s="70"/>
      <c r="FF215" s="70"/>
      <c r="FG215" s="70"/>
      <c r="FH215" s="70"/>
      <c r="FI215" s="70"/>
      <c r="FJ215" s="70">
        <v>0</v>
      </c>
      <c r="FK215" s="70">
        <v>4</v>
      </c>
      <c r="FL215" s="70">
        <v>0</v>
      </c>
      <c r="FM215" s="70">
        <v>0</v>
      </c>
      <c r="FN215" s="70"/>
      <c r="FO215" s="70">
        <v>4</v>
      </c>
      <c r="FP215" s="42"/>
      <c r="FQ215" s="42"/>
      <c r="FR215" s="516"/>
      <c r="FS215" s="516"/>
      <c r="FT215" s="516"/>
      <c r="FU215" s="516" t="s">
        <v>1236</v>
      </c>
      <c r="FV215" s="516">
        <v>0</v>
      </c>
      <c r="FW215" s="516">
        <v>0</v>
      </c>
      <c r="FX215" s="516">
        <v>1</v>
      </c>
      <c r="FY215" s="516">
        <v>1</v>
      </c>
      <c r="FZ215" s="516">
        <v>0</v>
      </c>
      <c r="GA215" s="516">
        <v>1</v>
      </c>
      <c r="GB215" s="516">
        <v>1</v>
      </c>
      <c r="GC215" s="516">
        <v>0</v>
      </c>
      <c r="GD215" s="516">
        <v>0</v>
      </c>
      <c r="GE215" s="516">
        <v>0</v>
      </c>
      <c r="GF215" s="516">
        <v>0</v>
      </c>
      <c r="GG215" s="517">
        <v>4</v>
      </c>
      <c r="GH215" s="516"/>
      <c r="GI215" s="518"/>
    </row>
    <row r="216" spans="1:191">
      <c r="C216" s="32"/>
      <c r="D216" s="32" t="s">
        <v>1239</v>
      </c>
      <c r="E216" s="4607">
        <v>0</v>
      </c>
      <c r="F216" s="4607">
        <v>0</v>
      </c>
      <c r="G216" s="4607">
        <v>0</v>
      </c>
      <c r="H216" s="4607">
        <v>0</v>
      </c>
      <c r="I216" s="4607">
        <v>0</v>
      </c>
      <c r="J216" s="4607">
        <v>0</v>
      </c>
      <c r="K216" s="4607">
        <v>0</v>
      </c>
      <c r="L216" s="4607">
        <v>40</v>
      </c>
      <c r="M216" s="4607">
        <v>18</v>
      </c>
      <c r="N216" s="4583">
        <v>15</v>
      </c>
      <c r="O216" s="4583">
        <v>3</v>
      </c>
      <c r="P216" s="4583">
        <v>76</v>
      </c>
      <c r="Q216" s="4583"/>
      <c r="R216" s="4583"/>
      <c r="V216" s="1793" t="s">
        <v>15</v>
      </c>
      <c r="W216" s="4804">
        <v>1</v>
      </c>
      <c r="X216" s="4804"/>
      <c r="Y216" s="4804"/>
      <c r="Z216" s="4804">
        <v>1</v>
      </c>
      <c r="AA216" s="4804"/>
      <c r="AB216" s="4804">
        <v>17</v>
      </c>
      <c r="AC216" s="4804"/>
      <c r="AD216" s="4804"/>
      <c r="AE216" s="4702"/>
      <c r="AF216" s="4702">
        <v>19</v>
      </c>
      <c r="AG216" s="4703">
        <f>+(AF213+AF214+AF215)/AF216</f>
        <v>0.36842105263157893</v>
      </c>
      <c r="AI216" s="41"/>
      <c r="AJ216" s="41"/>
      <c r="AK216" s="41"/>
      <c r="AL216" s="41" t="s">
        <v>1235</v>
      </c>
      <c r="AM216" s="2001"/>
      <c r="AN216" s="2001"/>
      <c r="AO216" s="2001">
        <v>0</v>
      </c>
      <c r="AP216" s="2001"/>
      <c r="AQ216" s="2001"/>
      <c r="AR216" s="2001">
        <v>1</v>
      </c>
      <c r="AS216" s="2001">
        <v>0</v>
      </c>
      <c r="AT216" s="2001">
        <v>0</v>
      </c>
      <c r="AU216" s="105"/>
      <c r="AV216" s="105"/>
      <c r="AW216" s="105">
        <v>1</v>
      </c>
      <c r="AX216" s="41"/>
      <c r="AZ216" s="42"/>
      <c r="BA216" s="42"/>
      <c r="BB216" s="42"/>
      <c r="BC216" s="42" t="s">
        <v>1344</v>
      </c>
      <c r="BD216" s="1993"/>
      <c r="BE216" s="1993"/>
      <c r="BF216" s="1993"/>
      <c r="BG216" s="1993">
        <v>0</v>
      </c>
      <c r="BH216" s="1993">
        <v>0</v>
      </c>
      <c r="BI216" s="1993"/>
      <c r="BJ216" s="1993">
        <v>3</v>
      </c>
      <c r="BK216" s="1993">
        <v>0</v>
      </c>
      <c r="BL216" s="1993"/>
      <c r="BM216" s="70"/>
      <c r="BN216" s="70"/>
      <c r="BO216" s="70">
        <v>3</v>
      </c>
      <c r="BR216" s="105"/>
      <c r="BS216" s="105"/>
      <c r="BT216" s="41"/>
      <c r="BU216" s="41" t="s">
        <v>1240</v>
      </c>
      <c r="BV216" s="1659"/>
      <c r="BW216" s="1659"/>
      <c r="BX216" s="1659"/>
      <c r="BY216" s="1659">
        <v>0</v>
      </c>
      <c r="BZ216" s="1659"/>
      <c r="CA216" s="1659"/>
      <c r="CB216" s="1659">
        <v>1</v>
      </c>
      <c r="CC216" s="1659"/>
      <c r="CD216" s="1659"/>
      <c r="CE216" s="105"/>
      <c r="CF216" s="105"/>
      <c r="CG216" s="105">
        <v>1</v>
      </c>
      <c r="CH216" s="105"/>
      <c r="CJ216" s="1359"/>
      <c r="CK216" s="1359"/>
      <c r="CL216" s="1360"/>
      <c r="CM216" s="1361" t="s">
        <v>1235</v>
      </c>
      <c r="CN216" s="1363">
        <v>0</v>
      </c>
      <c r="CO216" s="1363">
        <v>0</v>
      </c>
      <c r="CP216" s="1362"/>
      <c r="CQ216" s="1362"/>
      <c r="CR216" s="1363">
        <v>2</v>
      </c>
      <c r="CS216" s="1363">
        <v>0</v>
      </c>
      <c r="CT216" s="1362"/>
      <c r="CU216" s="1362"/>
      <c r="CV216" s="686"/>
      <c r="CW216" s="686"/>
      <c r="CX216" s="687">
        <v>2</v>
      </c>
      <c r="CY216" s="41"/>
      <c r="DA216" s="602"/>
      <c r="DB216" s="602"/>
      <c r="DC216" s="603"/>
      <c r="DD216" s="604" t="s">
        <v>1240</v>
      </c>
      <c r="DE216" s="605"/>
      <c r="DF216" s="605"/>
      <c r="DG216" s="605"/>
      <c r="DH216" s="605"/>
      <c r="DI216" s="605"/>
      <c r="DJ216" s="606">
        <v>7</v>
      </c>
      <c r="DK216" s="605"/>
      <c r="DL216" s="605"/>
      <c r="DM216" s="602"/>
      <c r="DN216" s="602"/>
      <c r="DO216" s="607">
        <v>7</v>
      </c>
      <c r="DP216" s="105"/>
      <c r="DR216" s="608"/>
      <c r="DS216" s="608"/>
      <c r="DT216" s="608"/>
      <c r="DU216" s="609" t="s">
        <v>1240</v>
      </c>
      <c r="DV216" s="610"/>
      <c r="DW216" s="610"/>
      <c r="DX216" s="610"/>
      <c r="DY216" s="610"/>
      <c r="DZ216" s="610"/>
      <c r="EA216" s="611">
        <v>0</v>
      </c>
      <c r="EB216" s="611">
        <v>3</v>
      </c>
      <c r="EC216" s="611">
        <v>1</v>
      </c>
      <c r="ED216" s="611">
        <v>1</v>
      </c>
      <c r="EE216" s="613">
        <v>0</v>
      </c>
      <c r="EF216" s="612"/>
      <c r="EG216" s="613">
        <v>5</v>
      </c>
      <c r="EH216" s="614"/>
      <c r="EJ216" s="615"/>
      <c r="EL216" s="615"/>
      <c r="EM216" s="616" t="s">
        <v>1344</v>
      </c>
      <c r="EN216" s="617"/>
      <c r="EO216" s="618">
        <v>0</v>
      </c>
      <c r="EP216" s="618">
        <v>3</v>
      </c>
      <c r="EQ216" s="618">
        <v>2</v>
      </c>
      <c r="ER216" s="618">
        <v>0</v>
      </c>
      <c r="ES216" s="618">
        <v>5</v>
      </c>
      <c r="ET216" s="618">
        <v>5</v>
      </c>
      <c r="EU216" s="618">
        <v>1</v>
      </c>
      <c r="EV216" s="617"/>
      <c r="EW216" s="617"/>
      <c r="EX216" s="618">
        <v>16</v>
      </c>
      <c r="EY216" s="515"/>
      <c r="FA216" s="70"/>
      <c r="FB216" s="70"/>
      <c r="FC216" s="70"/>
      <c r="FD216" s="42" t="s">
        <v>1344</v>
      </c>
      <c r="FE216" s="70"/>
      <c r="FF216" s="70"/>
      <c r="FG216" s="70"/>
      <c r="FH216" s="70"/>
      <c r="FI216" s="70"/>
      <c r="FJ216" s="70">
        <v>0</v>
      </c>
      <c r="FK216" s="70">
        <v>1</v>
      </c>
      <c r="FL216" s="70">
        <v>0</v>
      </c>
      <c r="FM216" s="70">
        <v>0</v>
      </c>
      <c r="FN216" s="70"/>
      <c r="FO216" s="70">
        <v>1</v>
      </c>
      <c r="FP216" s="42"/>
      <c r="FQ216" s="42"/>
      <c r="FR216" s="516"/>
      <c r="FS216" s="516"/>
      <c r="FT216" s="516"/>
      <c r="FU216" s="516" t="s">
        <v>1239</v>
      </c>
      <c r="FV216" s="516">
        <v>0</v>
      </c>
      <c r="FW216" s="516">
        <v>0</v>
      </c>
      <c r="FX216" s="516">
        <v>0</v>
      </c>
      <c r="FY216" s="516">
        <v>0</v>
      </c>
      <c r="FZ216" s="516">
        <v>0</v>
      </c>
      <c r="GA216" s="516">
        <v>0</v>
      </c>
      <c r="GB216" s="516">
        <v>0</v>
      </c>
      <c r="GC216" s="516">
        <v>18</v>
      </c>
      <c r="GD216" s="516">
        <v>60</v>
      </c>
      <c r="GE216" s="516">
        <v>0</v>
      </c>
      <c r="GF216" s="516">
        <v>0</v>
      </c>
      <c r="GG216" s="517">
        <v>78</v>
      </c>
      <c r="GH216" s="516"/>
      <c r="GI216" s="518"/>
    </row>
    <row r="217" spans="1:191">
      <c r="C217" s="32"/>
      <c r="D217" s="32" t="s">
        <v>2963</v>
      </c>
      <c r="E217" s="4607">
        <v>15</v>
      </c>
      <c r="F217" s="4607">
        <v>0</v>
      </c>
      <c r="G217" s="4607">
        <v>0</v>
      </c>
      <c r="H217" s="4607">
        <v>0</v>
      </c>
      <c r="I217" s="4607">
        <v>0</v>
      </c>
      <c r="J217" s="4607">
        <v>0</v>
      </c>
      <c r="K217" s="4607">
        <v>0</v>
      </c>
      <c r="L217" s="4607">
        <v>0</v>
      </c>
      <c r="M217" s="4607">
        <v>0</v>
      </c>
      <c r="N217" s="4583">
        <v>0</v>
      </c>
      <c r="O217" s="4583">
        <v>0</v>
      </c>
      <c r="P217" s="4583">
        <v>15</v>
      </c>
      <c r="Q217" s="4583"/>
      <c r="R217" s="4583"/>
      <c r="U217" s="1793" t="s">
        <v>545</v>
      </c>
      <c r="V217" s="1793" t="s">
        <v>1230</v>
      </c>
      <c r="W217" s="4804">
        <v>0</v>
      </c>
      <c r="X217" s="4804"/>
      <c r="Y217" s="4804"/>
      <c r="Z217" s="4804">
        <v>1</v>
      </c>
      <c r="AA217" s="4804"/>
      <c r="AB217" s="4804">
        <v>0</v>
      </c>
      <c r="AC217" s="4804">
        <v>0</v>
      </c>
      <c r="AD217" s="4804"/>
      <c r="AE217" s="4702"/>
      <c r="AF217" s="4702">
        <v>1</v>
      </c>
      <c r="AG217" s="1793"/>
      <c r="AI217" s="41"/>
      <c r="AJ217" s="41"/>
      <c r="AK217" s="41"/>
      <c r="AL217" s="41" t="s">
        <v>1239</v>
      </c>
      <c r="AM217" s="2001"/>
      <c r="AN217" s="2001"/>
      <c r="AO217" s="2001">
        <v>0</v>
      </c>
      <c r="AP217" s="2001"/>
      <c r="AQ217" s="2001"/>
      <c r="AR217" s="2001">
        <v>0</v>
      </c>
      <c r="AS217" s="2001">
        <v>2</v>
      </c>
      <c r="AT217" s="2001">
        <v>1</v>
      </c>
      <c r="AU217" s="105"/>
      <c r="AV217" s="105"/>
      <c r="AW217" s="105">
        <v>3</v>
      </c>
      <c r="AX217" s="41"/>
      <c r="AZ217" s="42"/>
      <c r="BA217" s="42"/>
      <c r="BB217" s="42"/>
      <c r="BC217" s="484" t="s">
        <v>15</v>
      </c>
      <c r="BD217" s="1994"/>
      <c r="BE217" s="1994"/>
      <c r="BF217" s="1994"/>
      <c r="BG217" s="1994">
        <v>1</v>
      </c>
      <c r="BH217" s="1994">
        <v>1</v>
      </c>
      <c r="BI217" s="1994"/>
      <c r="BJ217" s="1994">
        <v>34</v>
      </c>
      <c r="BK217" s="1994">
        <v>2</v>
      </c>
      <c r="BL217" s="1994"/>
      <c r="BM217" s="454"/>
      <c r="BN217" s="454"/>
      <c r="BO217" s="454">
        <v>38</v>
      </c>
      <c r="BP217" s="2485">
        <f>+(BO214+BO215+BO216)/BO217</f>
        <v>0.57894736842105265</v>
      </c>
      <c r="BR217" s="105"/>
      <c r="BS217" s="105"/>
      <c r="BT217" s="41"/>
      <c r="BU217" s="41" t="s">
        <v>1344</v>
      </c>
      <c r="BV217" s="1659"/>
      <c r="BW217" s="1659"/>
      <c r="BX217" s="1659"/>
      <c r="BY217" s="1659">
        <v>0</v>
      </c>
      <c r="BZ217" s="1659"/>
      <c r="CA217" s="1659"/>
      <c r="CB217" s="1659">
        <v>1</v>
      </c>
      <c r="CC217" s="1659"/>
      <c r="CD217" s="1659"/>
      <c r="CE217" s="105"/>
      <c r="CF217" s="105"/>
      <c r="CG217" s="105">
        <v>1</v>
      </c>
      <c r="CH217" s="105"/>
      <c r="CJ217" s="1359"/>
      <c r="CK217" s="1359"/>
      <c r="CL217" s="1360"/>
      <c r="CM217" s="1361" t="s">
        <v>1239</v>
      </c>
      <c r="CN217" s="1363">
        <v>0</v>
      </c>
      <c r="CO217" s="1363">
        <v>0</v>
      </c>
      <c r="CP217" s="1362"/>
      <c r="CQ217" s="1362"/>
      <c r="CR217" s="1363">
        <v>0</v>
      </c>
      <c r="CS217" s="1363">
        <v>1</v>
      </c>
      <c r="CT217" s="1362"/>
      <c r="CU217" s="1362"/>
      <c r="CV217" s="686"/>
      <c r="CW217" s="686"/>
      <c r="CX217" s="687">
        <v>1</v>
      </c>
      <c r="CY217" s="41"/>
      <c r="DA217" s="602"/>
      <c r="DB217" s="602"/>
      <c r="DC217" s="603"/>
      <c r="DD217" s="604" t="s">
        <v>1344</v>
      </c>
      <c r="DE217" s="605"/>
      <c r="DF217" s="605"/>
      <c r="DG217" s="605"/>
      <c r="DH217" s="605"/>
      <c r="DI217" s="605"/>
      <c r="DJ217" s="606">
        <v>1</v>
      </c>
      <c r="DK217" s="605"/>
      <c r="DL217" s="605"/>
      <c r="DM217" s="602"/>
      <c r="DN217" s="602"/>
      <c r="DO217" s="607">
        <v>1</v>
      </c>
      <c r="DP217" s="105"/>
      <c r="DR217" s="608"/>
      <c r="DS217" s="608"/>
      <c r="DT217" s="608"/>
      <c r="DU217" s="609" t="s">
        <v>1344</v>
      </c>
      <c r="DV217" s="610"/>
      <c r="DW217" s="610"/>
      <c r="DX217" s="610"/>
      <c r="DY217" s="610"/>
      <c r="DZ217" s="610"/>
      <c r="EA217" s="611">
        <v>0</v>
      </c>
      <c r="EB217" s="611">
        <v>0</v>
      </c>
      <c r="EC217" s="611">
        <v>1</v>
      </c>
      <c r="ED217" s="611">
        <v>1</v>
      </c>
      <c r="EE217" s="613">
        <v>0</v>
      </c>
      <c r="EF217" s="612"/>
      <c r="EG217" s="613">
        <v>2</v>
      </c>
      <c r="EH217" s="614"/>
      <c r="EJ217" s="615"/>
      <c r="EL217" s="615"/>
      <c r="EM217" s="625" t="s">
        <v>545</v>
      </c>
      <c r="EN217" s="626"/>
      <c r="EO217" s="627">
        <v>1</v>
      </c>
      <c r="EP217" s="627">
        <v>13</v>
      </c>
      <c r="EQ217" s="627">
        <v>3</v>
      </c>
      <c r="ER217" s="627">
        <v>2</v>
      </c>
      <c r="ES217" s="627">
        <v>24</v>
      </c>
      <c r="ET217" s="627">
        <v>51</v>
      </c>
      <c r="EU217" s="627">
        <v>37</v>
      </c>
      <c r="EV217" s="626"/>
      <c r="EW217" s="626"/>
      <c r="EX217" s="627">
        <v>131</v>
      </c>
      <c r="EY217" s="628">
        <f>+(EX216+EX215+EX212)/EX217</f>
        <v>0.47328244274809161</v>
      </c>
      <c r="FA217" s="70"/>
      <c r="FB217" s="70"/>
      <c r="FC217" s="70"/>
      <c r="FD217" s="484" t="s">
        <v>15</v>
      </c>
      <c r="FE217" s="454"/>
      <c r="FF217" s="454"/>
      <c r="FG217" s="454"/>
      <c r="FH217" s="454"/>
      <c r="FI217" s="454"/>
      <c r="FJ217" s="454">
        <v>2</v>
      </c>
      <c r="FK217" s="454">
        <v>15</v>
      </c>
      <c r="FL217" s="454">
        <v>12</v>
      </c>
      <c r="FM217" s="454">
        <v>1</v>
      </c>
      <c r="FN217" s="454"/>
      <c r="FO217" s="454">
        <v>30</v>
      </c>
      <c r="FP217" s="536">
        <f>+(FO213+FO215+FO216)/FO217</f>
        <v>0.43333333333333335</v>
      </c>
      <c r="FQ217" s="42"/>
      <c r="FR217" s="516"/>
      <c r="FS217" s="516"/>
      <c r="FT217" s="516"/>
      <c r="FU217" s="516" t="s">
        <v>1344</v>
      </c>
      <c r="FV217" s="516">
        <v>0</v>
      </c>
      <c r="FW217" s="516">
        <v>0</v>
      </c>
      <c r="FX217" s="516">
        <v>0</v>
      </c>
      <c r="FY217" s="516">
        <v>3</v>
      </c>
      <c r="FZ217" s="516">
        <v>0</v>
      </c>
      <c r="GA217" s="516">
        <v>0</v>
      </c>
      <c r="GB217" s="516">
        <v>22</v>
      </c>
      <c r="GC217" s="516">
        <v>6</v>
      </c>
      <c r="GD217" s="516">
        <v>0</v>
      </c>
      <c r="GE217" s="516">
        <v>0</v>
      </c>
      <c r="GF217" s="516">
        <v>0</v>
      </c>
      <c r="GG217" s="517">
        <v>31</v>
      </c>
      <c r="GH217" s="516"/>
      <c r="GI217" s="518"/>
    </row>
    <row r="218" spans="1:191">
      <c r="C218" s="32"/>
      <c r="D218" s="32" t="s">
        <v>1344</v>
      </c>
      <c r="E218" s="4607">
        <v>0</v>
      </c>
      <c r="F218" s="4607">
        <v>0</v>
      </c>
      <c r="G218" s="4607">
        <v>0</v>
      </c>
      <c r="H218" s="4607">
        <v>10</v>
      </c>
      <c r="I218" s="4607">
        <v>0</v>
      </c>
      <c r="J218" s="4607">
        <v>2</v>
      </c>
      <c r="K218" s="4607">
        <v>40</v>
      </c>
      <c r="L218" s="4607">
        <v>17</v>
      </c>
      <c r="M218" s="4607">
        <v>3</v>
      </c>
      <c r="N218" s="4583">
        <v>0</v>
      </c>
      <c r="O218" s="4583">
        <v>0</v>
      </c>
      <c r="P218" s="4583">
        <v>72</v>
      </c>
      <c r="Q218" s="4583"/>
      <c r="R218" s="4583"/>
      <c r="U218" s="1793"/>
      <c r="V218" s="1793" t="s">
        <v>1231</v>
      </c>
      <c r="W218" s="4804">
        <v>3</v>
      </c>
      <c r="X218" s="4804"/>
      <c r="Y218" s="4804"/>
      <c r="Z218" s="4804">
        <v>0</v>
      </c>
      <c r="AA218" s="4804"/>
      <c r="AB218" s="4804">
        <v>13</v>
      </c>
      <c r="AC218" s="4804">
        <v>0</v>
      </c>
      <c r="AD218" s="4804"/>
      <c r="AE218" s="4702"/>
      <c r="AF218" s="4702">
        <v>16</v>
      </c>
      <c r="AG218" s="1793"/>
      <c r="AI218" s="41"/>
      <c r="AJ218" s="41"/>
      <c r="AK218" s="41"/>
      <c r="AL218" s="41" t="s">
        <v>1240</v>
      </c>
      <c r="AM218" s="2001"/>
      <c r="AN218" s="2001"/>
      <c r="AO218" s="2001">
        <v>0</v>
      </c>
      <c r="AP218" s="2001"/>
      <c r="AQ218" s="2001"/>
      <c r="AR218" s="2001">
        <v>2</v>
      </c>
      <c r="AS218" s="2001">
        <v>0</v>
      </c>
      <c r="AT218" s="2001">
        <v>0</v>
      </c>
      <c r="AU218" s="105"/>
      <c r="AV218" s="105"/>
      <c r="AW218" s="105">
        <v>2</v>
      </c>
      <c r="AX218" s="41"/>
      <c r="AZ218" s="42"/>
      <c r="BA218" s="42" t="s">
        <v>41</v>
      </c>
      <c r="BB218" s="42" t="s">
        <v>138</v>
      </c>
      <c r="BC218" s="42" t="s">
        <v>1235</v>
      </c>
      <c r="BD218" s="1993"/>
      <c r="BE218" s="1993"/>
      <c r="BF218" s="1993"/>
      <c r="BG218" s="1993"/>
      <c r="BH218" s="1993"/>
      <c r="BI218" s="1993"/>
      <c r="BJ218" s="1993"/>
      <c r="BK218" s="1993">
        <v>1</v>
      </c>
      <c r="BL218" s="1993"/>
      <c r="BM218" s="70"/>
      <c r="BN218" s="70"/>
      <c r="BO218" s="70">
        <v>1</v>
      </c>
      <c r="BR218" s="105"/>
      <c r="BS218" s="105"/>
      <c r="BT218" s="41"/>
      <c r="BU218" s="461" t="s">
        <v>15</v>
      </c>
      <c r="BV218" s="1660"/>
      <c r="BW218" s="1660"/>
      <c r="BX218" s="1660"/>
      <c r="BY218" s="1660">
        <v>1</v>
      </c>
      <c r="BZ218" s="1660"/>
      <c r="CA218" s="1660"/>
      <c r="CB218" s="1660">
        <v>16</v>
      </c>
      <c r="CC218" s="1660"/>
      <c r="CD218" s="1660"/>
      <c r="CE218" s="96"/>
      <c r="CF218" s="96"/>
      <c r="CG218" s="96">
        <v>17</v>
      </c>
      <c r="CH218" s="635">
        <f>+(CG215+CG216+CG217)/CG218</f>
        <v>0.29411764705882354</v>
      </c>
      <c r="CJ218" s="1359"/>
      <c r="CK218" s="1359"/>
      <c r="CL218" s="1360"/>
      <c r="CM218" s="1361" t="s">
        <v>1240</v>
      </c>
      <c r="CN218" s="1363">
        <v>0</v>
      </c>
      <c r="CO218" s="1363">
        <v>0</v>
      </c>
      <c r="CP218" s="1362"/>
      <c r="CQ218" s="1362"/>
      <c r="CR218" s="1363">
        <v>1</v>
      </c>
      <c r="CS218" s="1363">
        <v>0</v>
      </c>
      <c r="CT218" s="1362"/>
      <c r="CU218" s="1362"/>
      <c r="CV218" s="686"/>
      <c r="CW218" s="686"/>
      <c r="CX218" s="687">
        <v>1</v>
      </c>
      <c r="CY218" s="41"/>
      <c r="DA218" s="602"/>
      <c r="DB218" s="602"/>
      <c r="DC218" s="603"/>
      <c r="DD218" s="630" t="s">
        <v>15</v>
      </c>
      <c r="DE218" s="631"/>
      <c r="DF218" s="631"/>
      <c r="DG218" s="631"/>
      <c r="DH218" s="631"/>
      <c r="DI218" s="631"/>
      <c r="DJ218" s="632">
        <v>23</v>
      </c>
      <c r="DK218" s="631"/>
      <c r="DL218" s="631"/>
      <c r="DM218" s="633"/>
      <c r="DN218" s="633"/>
      <c r="DO218" s="634">
        <v>23</v>
      </c>
      <c r="DP218" s="635">
        <f>+(DO215+DO216+DO217)/DO218</f>
        <v>0.39130434782608697</v>
      </c>
      <c r="DR218" s="608"/>
      <c r="DS218" s="608"/>
      <c r="DT218" s="608"/>
      <c r="DU218" s="620" t="s">
        <v>15</v>
      </c>
      <c r="DV218" s="621"/>
      <c r="DW218" s="621"/>
      <c r="DX218" s="621"/>
      <c r="DY218" s="621"/>
      <c r="DZ218" s="621"/>
      <c r="EA218" s="622">
        <v>1</v>
      </c>
      <c r="EB218" s="622">
        <v>6</v>
      </c>
      <c r="EC218" s="622">
        <v>5</v>
      </c>
      <c r="ED218" s="622">
        <v>2</v>
      </c>
      <c r="EE218" s="624">
        <v>1</v>
      </c>
      <c r="EF218" s="623"/>
      <c r="EG218" s="624">
        <v>15</v>
      </c>
      <c r="EH218" s="614">
        <f>+(EG217+EG216+EG215)/EG218</f>
        <v>0.6</v>
      </c>
      <c r="EJ218" s="615"/>
      <c r="EK218" s="615"/>
      <c r="EL218" s="615" t="s">
        <v>547</v>
      </c>
      <c r="EM218" s="616" t="s">
        <v>1230</v>
      </c>
      <c r="EN218" s="617"/>
      <c r="EO218" s="617"/>
      <c r="EP218" s="617"/>
      <c r="EQ218" s="617"/>
      <c r="ER218" s="617"/>
      <c r="ES218" s="618">
        <v>0</v>
      </c>
      <c r="ET218" s="618">
        <v>0</v>
      </c>
      <c r="EU218" s="618">
        <v>1</v>
      </c>
      <c r="EV218" s="617"/>
      <c r="EW218" s="617"/>
      <c r="EX218" s="618">
        <v>1</v>
      </c>
      <c r="EY218" s="515"/>
      <c r="FA218" s="70"/>
      <c r="FB218" s="70"/>
      <c r="FC218" s="70" t="s">
        <v>41</v>
      </c>
      <c r="FD218" s="42" t="s">
        <v>1230</v>
      </c>
      <c r="FE218" s="70"/>
      <c r="FF218" s="70">
        <v>0</v>
      </c>
      <c r="FG218" s="70"/>
      <c r="FH218" s="70"/>
      <c r="FI218" s="70"/>
      <c r="FJ218" s="70">
        <v>0</v>
      </c>
      <c r="FK218" s="70">
        <v>0</v>
      </c>
      <c r="FL218" s="70">
        <v>1</v>
      </c>
      <c r="FM218" s="70"/>
      <c r="FN218" s="70"/>
      <c r="FO218" s="70">
        <v>1</v>
      </c>
      <c r="FP218" s="42"/>
      <c r="FQ218" s="42"/>
      <c r="FR218" s="516"/>
      <c r="FS218" s="516"/>
      <c r="FT218" s="516"/>
      <c r="FU218" s="519" t="s">
        <v>15</v>
      </c>
      <c r="FV218" s="519">
        <v>0</v>
      </c>
      <c r="FW218" s="519">
        <v>1</v>
      </c>
      <c r="FX218" s="519">
        <v>3</v>
      </c>
      <c r="FY218" s="519">
        <v>17</v>
      </c>
      <c r="FZ218" s="519">
        <v>3</v>
      </c>
      <c r="GA218" s="519">
        <v>1</v>
      </c>
      <c r="GB218" s="519">
        <v>37</v>
      </c>
      <c r="GC218" s="519">
        <v>33</v>
      </c>
      <c r="GD218" s="519">
        <v>63</v>
      </c>
      <c r="GE218" s="519">
        <v>0</v>
      </c>
      <c r="GF218" s="519">
        <v>1</v>
      </c>
      <c r="GG218" s="579">
        <v>159</v>
      </c>
      <c r="GH218" s="520">
        <f>+(GG217+GG214)/GG218</f>
        <v>0.3522012578616352</v>
      </c>
      <c r="GI218" s="518">
        <f>+GG214+GG217</f>
        <v>56</v>
      </c>
    </row>
    <row r="219" spans="1:191">
      <c r="C219" s="32"/>
      <c r="D219" s="32" t="s">
        <v>15</v>
      </c>
      <c r="E219" s="4607">
        <v>15</v>
      </c>
      <c r="F219" s="4607">
        <v>3</v>
      </c>
      <c r="G219" s="4607">
        <v>1</v>
      </c>
      <c r="H219" s="4607">
        <v>13</v>
      </c>
      <c r="I219" s="4607">
        <v>2</v>
      </c>
      <c r="J219" s="4607">
        <v>5</v>
      </c>
      <c r="K219" s="4607">
        <v>58</v>
      </c>
      <c r="L219" s="4607">
        <v>90</v>
      </c>
      <c r="M219" s="4607">
        <v>25</v>
      </c>
      <c r="N219" s="4583">
        <v>24</v>
      </c>
      <c r="O219" s="4583">
        <v>3</v>
      </c>
      <c r="P219" s="4583">
        <v>239</v>
      </c>
      <c r="Q219" s="1977">
        <f>+(P214+P218)/(P219-P217)</f>
        <v>0.46875</v>
      </c>
      <c r="R219" s="1977"/>
      <c r="U219" s="1793"/>
      <c r="V219" s="1793" t="s">
        <v>1235</v>
      </c>
      <c r="W219" s="4804">
        <v>0</v>
      </c>
      <c r="X219" s="4804"/>
      <c r="Y219" s="4804"/>
      <c r="Z219" s="4804">
        <v>0</v>
      </c>
      <c r="AA219" s="4804"/>
      <c r="AB219" s="4804">
        <v>9</v>
      </c>
      <c r="AC219" s="4804">
        <v>1</v>
      </c>
      <c r="AD219" s="4804"/>
      <c r="AE219" s="4702"/>
      <c r="AF219" s="4702">
        <v>10</v>
      </c>
      <c r="AG219" s="1793"/>
      <c r="AI219" s="41"/>
      <c r="AJ219" s="41"/>
      <c r="AK219" s="41"/>
      <c r="AL219" s="41" t="s">
        <v>1344</v>
      </c>
      <c r="AM219" s="2001"/>
      <c r="AN219" s="2001"/>
      <c r="AO219" s="2001">
        <v>0</v>
      </c>
      <c r="AP219" s="2001"/>
      <c r="AQ219" s="2001"/>
      <c r="AR219" s="2001">
        <v>1</v>
      </c>
      <c r="AS219" s="2001">
        <v>0</v>
      </c>
      <c r="AT219" s="2001">
        <v>0</v>
      </c>
      <c r="AU219" s="105"/>
      <c r="AV219" s="105"/>
      <c r="AW219" s="105">
        <v>1</v>
      </c>
      <c r="AX219" s="41"/>
      <c r="AZ219" s="42"/>
      <c r="BA219" s="42"/>
      <c r="BB219" s="42"/>
      <c r="BC219" s="484" t="s">
        <v>15</v>
      </c>
      <c r="BD219" s="1994"/>
      <c r="BE219" s="1994"/>
      <c r="BF219" s="1994"/>
      <c r="BG219" s="1994"/>
      <c r="BH219" s="1994"/>
      <c r="BI219" s="1994"/>
      <c r="BJ219" s="1994"/>
      <c r="BK219" s="1994">
        <v>1</v>
      </c>
      <c r="BL219" s="1994"/>
      <c r="BM219" s="454"/>
      <c r="BN219" s="454"/>
      <c r="BO219" s="454">
        <v>1</v>
      </c>
      <c r="BP219" s="2485">
        <f>+BO218/BO219</f>
        <v>1</v>
      </c>
      <c r="BR219" s="105"/>
      <c r="BS219" s="105"/>
      <c r="BT219" s="41" t="s">
        <v>128</v>
      </c>
      <c r="BU219" s="41" t="s">
        <v>1344</v>
      </c>
      <c r="BV219" s="1659"/>
      <c r="BW219" s="1659"/>
      <c r="BX219" s="1659"/>
      <c r="BY219" s="1659"/>
      <c r="BZ219" s="1659"/>
      <c r="CA219" s="1659"/>
      <c r="CB219" s="1659">
        <v>1</v>
      </c>
      <c r="CC219" s="1659"/>
      <c r="CD219" s="1659"/>
      <c r="CE219" s="105"/>
      <c r="CF219" s="105"/>
      <c r="CG219" s="105">
        <v>1</v>
      </c>
      <c r="CH219" s="105"/>
      <c r="CJ219" s="1359"/>
      <c r="CK219" s="1359"/>
      <c r="CL219" s="1360"/>
      <c r="CM219" s="1361" t="s">
        <v>1344</v>
      </c>
      <c r="CN219" s="1363">
        <v>0</v>
      </c>
      <c r="CO219" s="1363">
        <v>0</v>
      </c>
      <c r="CP219" s="1362"/>
      <c r="CQ219" s="1362"/>
      <c r="CR219" s="1363">
        <v>2</v>
      </c>
      <c r="CS219" s="1363">
        <v>3</v>
      </c>
      <c r="CT219" s="1362"/>
      <c r="CU219" s="1362"/>
      <c r="CV219" s="686"/>
      <c r="CW219" s="686"/>
      <c r="CX219" s="687">
        <v>5</v>
      </c>
      <c r="CY219" s="41"/>
      <c r="DA219" s="602"/>
      <c r="DB219" s="602"/>
      <c r="DC219" s="603" t="s">
        <v>545</v>
      </c>
      <c r="DD219" s="604" t="s">
        <v>1230</v>
      </c>
      <c r="DE219" s="606">
        <v>0</v>
      </c>
      <c r="DF219" s="606">
        <v>0</v>
      </c>
      <c r="DG219" s="606">
        <v>1</v>
      </c>
      <c r="DH219" s="606">
        <v>1</v>
      </c>
      <c r="DI219" s="606">
        <v>0</v>
      </c>
      <c r="DJ219" s="606">
        <v>0</v>
      </c>
      <c r="DK219" s="606">
        <v>0</v>
      </c>
      <c r="DL219" s="606">
        <v>0</v>
      </c>
      <c r="DM219" s="602"/>
      <c r="DN219" s="602"/>
      <c r="DO219" s="607">
        <v>2</v>
      </c>
      <c r="DP219" s="105"/>
      <c r="DR219" s="608"/>
      <c r="DS219" s="608"/>
      <c r="DT219" s="608" t="s">
        <v>419</v>
      </c>
      <c r="DU219" s="609" t="s">
        <v>1231</v>
      </c>
      <c r="DV219" s="610"/>
      <c r="DW219" s="610"/>
      <c r="DX219" s="610"/>
      <c r="DY219" s="610"/>
      <c r="DZ219" s="610"/>
      <c r="EA219" s="611">
        <v>0</v>
      </c>
      <c r="EB219" s="611">
        <v>23</v>
      </c>
      <c r="EC219" s="610"/>
      <c r="ED219" s="610"/>
      <c r="EE219" s="612"/>
      <c r="EF219" s="612"/>
      <c r="EG219" s="613">
        <v>23</v>
      </c>
      <c r="EH219" s="614"/>
      <c r="EJ219" s="615"/>
      <c r="EK219" s="615"/>
      <c r="EL219" s="615"/>
      <c r="EM219" s="616" t="s">
        <v>1231</v>
      </c>
      <c r="EN219" s="617"/>
      <c r="EO219" s="617"/>
      <c r="EP219" s="617"/>
      <c r="EQ219" s="617"/>
      <c r="ER219" s="617"/>
      <c r="ES219" s="618">
        <v>1</v>
      </c>
      <c r="ET219" s="618">
        <v>3</v>
      </c>
      <c r="EU219" s="618">
        <v>0</v>
      </c>
      <c r="EV219" s="617"/>
      <c r="EW219" s="617"/>
      <c r="EX219" s="618">
        <v>4</v>
      </c>
      <c r="EY219" s="515"/>
      <c r="FA219" s="70"/>
      <c r="FB219" s="70"/>
      <c r="FC219" s="70"/>
      <c r="FD219" s="42" t="s">
        <v>1231</v>
      </c>
      <c r="FE219" s="70"/>
      <c r="FF219" s="70">
        <v>2</v>
      </c>
      <c r="FG219" s="70"/>
      <c r="FH219" s="70"/>
      <c r="FI219" s="70"/>
      <c r="FJ219" s="70">
        <v>1</v>
      </c>
      <c r="FK219" s="70">
        <v>4</v>
      </c>
      <c r="FL219" s="70">
        <v>0</v>
      </c>
      <c r="FM219" s="70"/>
      <c r="FN219" s="70"/>
      <c r="FO219" s="70">
        <v>7</v>
      </c>
      <c r="FP219" s="42"/>
      <c r="FQ219" s="42"/>
      <c r="FR219" s="516"/>
      <c r="FS219" s="516"/>
      <c r="FT219" s="516" t="s">
        <v>41</v>
      </c>
      <c r="FU219" s="516" t="s">
        <v>1230</v>
      </c>
      <c r="FV219" s="516">
        <v>0</v>
      </c>
      <c r="FW219" s="516">
        <v>0</v>
      </c>
      <c r="FX219" s="516">
        <v>0</v>
      </c>
      <c r="FY219" s="516">
        <v>0</v>
      </c>
      <c r="FZ219" s="516">
        <v>0</v>
      </c>
      <c r="GA219" s="516">
        <v>0</v>
      </c>
      <c r="GB219" s="516">
        <v>0</v>
      </c>
      <c r="GC219" s="516">
        <v>0</v>
      </c>
      <c r="GD219" s="516">
        <v>2</v>
      </c>
      <c r="GE219" s="516">
        <v>0</v>
      </c>
      <c r="GF219" s="516">
        <v>0</v>
      </c>
      <c r="GG219" s="517">
        <v>2</v>
      </c>
      <c r="GH219" s="516"/>
      <c r="GI219" s="518"/>
    </row>
    <row r="220" spans="1:191">
      <c r="A220" s="167" t="s">
        <v>48</v>
      </c>
      <c r="B220" s="167" t="s">
        <v>16</v>
      </c>
      <c r="C220" s="4800" t="s">
        <v>128</v>
      </c>
      <c r="D220" s="4800" t="s">
        <v>1231</v>
      </c>
      <c r="E220" s="4606"/>
      <c r="F220" s="4606"/>
      <c r="G220" s="4606"/>
      <c r="H220" s="4606"/>
      <c r="I220" s="4606"/>
      <c r="J220" s="4606"/>
      <c r="K220" s="4606">
        <v>1</v>
      </c>
      <c r="L220" s="4606"/>
      <c r="M220" s="4606"/>
      <c r="N220" s="2552"/>
      <c r="O220" s="2552"/>
      <c r="P220" s="2552">
        <v>1</v>
      </c>
      <c r="Q220" s="2552"/>
      <c r="R220" s="2552"/>
      <c r="U220" s="1793"/>
      <c r="V220" s="1793" t="s">
        <v>1240</v>
      </c>
      <c r="W220" s="4804">
        <v>0</v>
      </c>
      <c r="X220" s="4804"/>
      <c r="Y220" s="4804"/>
      <c r="Z220" s="4804">
        <v>0</v>
      </c>
      <c r="AA220" s="4804"/>
      <c r="AB220" s="4804">
        <v>3</v>
      </c>
      <c r="AC220" s="4804">
        <v>0</v>
      </c>
      <c r="AD220" s="4804"/>
      <c r="AE220" s="4702"/>
      <c r="AF220" s="4702">
        <v>3</v>
      </c>
      <c r="AG220" s="1793"/>
      <c r="AI220" s="41"/>
      <c r="AJ220" s="41"/>
      <c r="AK220" s="41"/>
      <c r="AL220" s="461" t="s">
        <v>15</v>
      </c>
      <c r="AM220" s="2002"/>
      <c r="AN220" s="2002"/>
      <c r="AO220" s="2002">
        <v>1</v>
      </c>
      <c r="AP220" s="2002"/>
      <c r="AQ220" s="2002"/>
      <c r="AR220" s="2002">
        <v>13</v>
      </c>
      <c r="AS220" s="2002">
        <v>5</v>
      </c>
      <c r="AT220" s="2002">
        <v>1</v>
      </c>
      <c r="AU220" s="2480"/>
      <c r="AV220" s="2480"/>
      <c r="AW220" s="2480">
        <v>20</v>
      </c>
      <c r="AX220" s="635">
        <f>+(AW219+AW218+AW216)/AW220</f>
        <v>0.2</v>
      </c>
      <c r="AY220" s="1977"/>
      <c r="AZ220" s="42"/>
      <c r="BA220" s="42"/>
      <c r="BB220" s="42" t="s">
        <v>139</v>
      </c>
      <c r="BC220" s="42" t="s">
        <v>1231</v>
      </c>
      <c r="BD220" s="1993"/>
      <c r="BE220" s="1993"/>
      <c r="BF220" s="1993">
        <v>2</v>
      </c>
      <c r="BG220" s="1993"/>
      <c r="BH220" s="1993"/>
      <c r="BI220" s="1993"/>
      <c r="BJ220" s="1993">
        <v>8</v>
      </c>
      <c r="BK220" s="1993">
        <v>0</v>
      </c>
      <c r="BL220" s="1993"/>
      <c r="BM220" s="70"/>
      <c r="BN220" s="70"/>
      <c r="BO220" s="70">
        <v>10</v>
      </c>
      <c r="BR220" s="105"/>
      <c r="BS220" s="105"/>
      <c r="BT220" s="41"/>
      <c r="BU220" s="461" t="s">
        <v>15</v>
      </c>
      <c r="BV220" s="1660"/>
      <c r="BW220" s="1660"/>
      <c r="BX220" s="1660"/>
      <c r="BY220" s="1660"/>
      <c r="BZ220" s="1660"/>
      <c r="CA220" s="1660"/>
      <c r="CB220" s="1660">
        <v>1</v>
      </c>
      <c r="CC220" s="1660"/>
      <c r="CD220" s="1660"/>
      <c r="CE220" s="96"/>
      <c r="CF220" s="96"/>
      <c r="CG220" s="96">
        <v>1</v>
      </c>
      <c r="CH220" s="635">
        <f>+CG219/CG220</f>
        <v>1</v>
      </c>
      <c r="CJ220" s="1359"/>
      <c r="CK220" s="1359"/>
      <c r="CL220" s="1360"/>
      <c r="CM220" s="483" t="s">
        <v>15</v>
      </c>
      <c r="CN220" s="1365">
        <v>3</v>
      </c>
      <c r="CO220" s="1365">
        <v>1</v>
      </c>
      <c r="CP220" s="1364"/>
      <c r="CQ220" s="1364"/>
      <c r="CR220" s="1365">
        <v>6</v>
      </c>
      <c r="CS220" s="1365">
        <v>4</v>
      </c>
      <c r="CT220" s="1364"/>
      <c r="CU220" s="1364"/>
      <c r="CV220" s="695"/>
      <c r="CW220" s="695"/>
      <c r="CX220" s="696">
        <v>14</v>
      </c>
      <c r="CY220" s="1325">
        <f>+(CX216+CX218+CX219)/CX220</f>
        <v>0.5714285714285714</v>
      </c>
      <c r="DA220" s="602"/>
      <c r="DB220" s="602"/>
      <c r="DC220" s="603"/>
      <c r="DD220" s="604" t="s">
        <v>1231</v>
      </c>
      <c r="DE220" s="606">
        <v>6</v>
      </c>
      <c r="DF220" s="606">
        <v>3</v>
      </c>
      <c r="DG220" s="606">
        <v>20</v>
      </c>
      <c r="DH220" s="606">
        <v>3</v>
      </c>
      <c r="DI220" s="606">
        <v>2</v>
      </c>
      <c r="DJ220" s="606">
        <v>83</v>
      </c>
      <c r="DK220" s="606">
        <v>11</v>
      </c>
      <c r="DL220" s="606">
        <v>0</v>
      </c>
      <c r="DM220" s="602"/>
      <c r="DN220" s="602"/>
      <c r="DO220" s="607">
        <v>128</v>
      </c>
      <c r="DP220" s="105"/>
      <c r="DR220" s="608"/>
      <c r="DS220" s="608"/>
      <c r="DT220" s="608"/>
      <c r="DU220" s="609" t="s">
        <v>1239</v>
      </c>
      <c r="DV220" s="610"/>
      <c r="DW220" s="610"/>
      <c r="DX220" s="610"/>
      <c r="DY220" s="610"/>
      <c r="DZ220" s="610"/>
      <c r="EA220" s="611">
        <v>1</v>
      </c>
      <c r="EB220" s="611">
        <v>0</v>
      </c>
      <c r="EC220" s="610"/>
      <c r="ED220" s="610"/>
      <c r="EE220" s="612"/>
      <c r="EF220" s="612"/>
      <c r="EG220" s="613">
        <v>1</v>
      </c>
      <c r="EH220" s="614"/>
      <c r="EJ220" s="615"/>
      <c r="EK220" s="615"/>
      <c r="EL220" s="615"/>
      <c r="EM220" s="616" t="s">
        <v>1235</v>
      </c>
      <c r="EN220" s="617"/>
      <c r="EO220" s="617"/>
      <c r="EP220" s="617"/>
      <c r="EQ220" s="617"/>
      <c r="ER220" s="617"/>
      <c r="ES220" s="618">
        <v>1</v>
      </c>
      <c r="ET220" s="618">
        <v>17</v>
      </c>
      <c r="EU220" s="618">
        <v>0</v>
      </c>
      <c r="EV220" s="617"/>
      <c r="EW220" s="617"/>
      <c r="EX220" s="618">
        <v>18</v>
      </c>
      <c r="EY220" s="515"/>
      <c r="FA220" s="70"/>
      <c r="FB220" s="70"/>
      <c r="FC220" s="70"/>
      <c r="FD220" s="42" t="s">
        <v>1235</v>
      </c>
      <c r="FE220" s="70"/>
      <c r="FF220" s="70">
        <v>0</v>
      </c>
      <c r="FG220" s="70"/>
      <c r="FH220" s="70"/>
      <c r="FI220" s="70"/>
      <c r="FJ220" s="70">
        <v>2</v>
      </c>
      <c r="FK220" s="70">
        <v>14</v>
      </c>
      <c r="FL220" s="70">
        <v>0</v>
      </c>
      <c r="FM220" s="70"/>
      <c r="FN220" s="70"/>
      <c r="FO220" s="70">
        <v>16</v>
      </c>
      <c r="FP220" s="42"/>
      <c r="FQ220" s="42"/>
      <c r="FR220" s="516"/>
      <c r="FS220" s="516"/>
      <c r="FT220" s="516"/>
      <c r="FU220" s="516" t="s">
        <v>1235</v>
      </c>
      <c r="FV220" s="516">
        <v>0</v>
      </c>
      <c r="FW220" s="516">
        <v>0</v>
      </c>
      <c r="FX220" s="516">
        <v>0</v>
      </c>
      <c r="FY220" s="516">
        <v>0</v>
      </c>
      <c r="FZ220" s="516">
        <v>0</v>
      </c>
      <c r="GA220" s="516">
        <v>0</v>
      </c>
      <c r="GB220" s="516">
        <v>6</v>
      </c>
      <c r="GC220" s="516">
        <v>6</v>
      </c>
      <c r="GD220" s="516">
        <v>0</v>
      </c>
      <c r="GE220" s="516">
        <v>0</v>
      </c>
      <c r="GF220" s="516">
        <v>0</v>
      </c>
      <c r="GG220" s="517">
        <v>12</v>
      </c>
      <c r="GH220" s="516"/>
      <c r="GI220" s="518"/>
    </row>
    <row r="221" spans="1:191">
      <c r="D221" s="4800" t="s">
        <v>1235</v>
      </c>
      <c r="E221" s="4606"/>
      <c r="F221" s="4606"/>
      <c r="G221" s="4606"/>
      <c r="H221" s="4606"/>
      <c r="I221" s="4606"/>
      <c r="J221" s="4606"/>
      <c r="K221" s="4606">
        <v>4</v>
      </c>
      <c r="L221" s="4606"/>
      <c r="M221" s="4606"/>
      <c r="N221" s="2552"/>
      <c r="O221" s="2552"/>
      <c r="P221" s="2552">
        <v>4</v>
      </c>
      <c r="Q221" s="2552"/>
      <c r="R221" s="2552"/>
      <c r="U221" s="1793"/>
      <c r="V221" s="1793" t="s">
        <v>1344</v>
      </c>
      <c r="W221" s="4804">
        <v>0</v>
      </c>
      <c r="X221" s="4804"/>
      <c r="Y221" s="4804"/>
      <c r="Z221" s="4804">
        <v>0</v>
      </c>
      <c r="AA221" s="4804"/>
      <c r="AB221" s="4804">
        <v>7</v>
      </c>
      <c r="AC221" s="4804">
        <v>1</v>
      </c>
      <c r="AD221" s="4804"/>
      <c r="AE221" s="4702"/>
      <c r="AF221" s="4702">
        <v>8</v>
      </c>
      <c r="AG221" s="1793"/>
      <c r="AI221" s="41"/>
      <c r="AJ221" s="41"/>
      <c r="AK221" s="41" t="s">
        <v>137</v>
      </c>
      <c r="AL221" s="41" t="s">
        <v>1231</v>
      </c>
      <c r="AM221" s="2001"/>
      <c r="AN221" s="2001"/>
      <c r="AO221" s="2001"/>
      <c r="AP221" s="2001"/>
      <c r="AQ221" s="2001"/>
      <c r="AR221" s="2001">
        <v>1</v>
      </c>
      <c r="AS221" s="2001">
        <v>5</v>
      </c>
      <c r="AT221" s="2001">
        <v>0</v>
      </c>
      <c r="AU221" s="105"/>
      <c r="AV221" s="105"/>
      <c r="AW221" s="105">
        <v>6</v>
      </c>
      <c r="AX221" s="41"/>
      <c r="AZ221" s="42"/>
      <c r="BA221" s="42"/>
      <c r="BB221" s="42"/>
      <c r="BC221" s="42" t="s">
        <v>1235</v>
      </c>
      <c r="BD221" s="1993"/>
      <c r="BE221" s="1993"/>
      <c r="BF221" s="1993">
        <v>0</v>
      </c>
      <c r="BG221" s="1993"/>
      <c r="BH221" s="1993"/>
      <c r="BI221" s="1993"/>
      <c r="BJ221" s="1993">
        <v>1</v>
      </c>
      <c r="BK221" s="1993">
        <v>0</v>
      </c>
      <c r="BL221" s="1993"/>
      <c r="BM221" s="70"/>
      <c r="BN221" s="70"/>
      <c r="BO221" s="70">
        <v>1</v>
      </c>
      <c r="BR221" s="105"/>
      <c r="BS221" s="105"/>
      <c r="BT221" s="41" t="s">
        <v>111</v>
      </c>
      <c r="BU221" s="41" t="s">
        <v>1231</v>
      </c>
      <c r="BV221" s="1659"/>
      <c r="BW221" s="1659"/>
      <c r="BX221" s="1659"/>
      <c r="BY221" s="1659">
        <v>12</v>
      </c>
      <c r="BZ221" s="1659">
        <v>0</v>
      </c>
      <c r="CA221" s="1659"/>
      <c r="CB221" s="1659"/>
      <c r="CC221" s="1659"/>
      <c r="CD221" s="1659"/>
      <c r="CE221" s="105"/>
      <c r="CF221" s="105"/>
      <c r="CG221" s="105">
        <v>12</v>
      </c>
      <c r="CH221" s="105"/>
      <c r="CJ221" s="1359"/>
      <c r="CK221" s="1359"/>
      <c r="CL221" s="1360" t="s">
        <v>141</v>
      </c>
      <c r="CM221" s="1361" t="s">
        <v>1231</v>
      </c>
      <c r="CN221" s="1362"/>
      <c r="CO221" s="1362"/>
      <c r="CP221" s="1362"/>
      <c r="CQ221" s="1362"/>
      <c r="CR221" s="1362"/>
      <c r="CS221" s="1363">
        <v>1</v>
      </c>
      <c r="CT221" s="1363">
        <v>1</v>
      </c>
      <c r="CU221" s="1363">
        <v>3</v>
      </c>
      <c r="CV221" s="687">
        <v>0</v>
      </c>
      <c r="CW221" s="686"/>
      <c r="CX221" s="687">
        <v>5</v>
      </c>
      <c r="CY221" s="41"/>
      <c r="DA221" s="602"/>
      <c r="DB221" s="602"/>
      <c r="DC221" s="603"/>
      <c r="DD221" s="604" t="s">
        <v>1233</v>
      </c>
      <c r="DE221" s="606">
        <v>3</v>
      </c>
      <c r="DF221" s="606">
        <v>0</v>
      </c>
      <c r="DG221" s="606">
        <v>0</v>
      </c>
      <c r="DH221" s="606">
        <v>0</v>
      </c>
      <c r="DI221" s="606">
        <v>0</v>
      </c>
      <c r="DJ221" s="606">
        <v>0</v>
      </c>
      <c r="DK221" s="606">
        <v>0</v>
      </c>
      <c r="DL221" s="606">
        <v>0</v>
      </c>
      <c r="DM221" s="602"/>
      <c r="DN221" s="602"/>
      <c r="DO221" s="607">
        <v>3</v>
      </c>
      <c r="DP221" s="105"/>
      <c r="DR221" s="608"/>
      <c r="DS221" s="608"/>
      <c r="DT221" s="608"/>
      <c r="DU221" s="620" t="s">
        <v>15</v>
      </c>
      <c r="DV221" s="621"/>
      <c r="DW221" s="621"/>
      <c r="DX221" s="621"/>
      <c r="DY221" s="621"/>
      <c r="DZ221" s="621"/>
      <c r="EA221" s="622">
        <v>1</v>
      </c>
      <c r="EB221" s="622">
        <v>23</v>
      </c>
      <c r="EC221" s="621"/>
      <c r="ED221" s="621"/>
      <c r="EE221" s="623"/>
      <c r="EF221" s="623"/>
      <c r="EG221" s="624">
        <v>24</v>
      </c>
      <c r="EH221" s="614">
        <v>0</v>
      </c>
      <c r="EJ221" s="615"/>
      <c r="EK221" s="615"/>
      <c r="EL221" s="615"/>
      <c r="EM221" s="616" t="s">
        <v>1239</v>
      </c>
      <c r="EN221" s="617"/>
      <c r="EO221" s="617"/>
      <c r="EP221" s="617"/>
      <c r="EQ221" s="617"/>
      <c r="ER221" s="617"/>
      <c r="ES221" s="618">
        <v>0</v>
      </c>
      <c r="ET221" s="618">
        <v>0</v>
      </c>
      <c r="EU221" s="618">
        <v>18</v>
      </c>
      <c r="EV221" s="617"/>
      <c r="EW221" s="617"/>
      <c r="EX221" s="618">
        <v>18</v>
      </c>
      <c r="EY221" s="515"/>
      <c r="FA221" s="70"/>
      <c r="FB221" s="70"/>
      <c r="FC221" s="70"/>
      <c r="FD221" s="42" t="s">
        <v>1239</v>
      </c>
      <c r="FE221" s="70"/>
      <c r="FF221" s="70">
        <v>0</v>
      </c>
      <c r="FG221" s="70"/>
      <c r="FH221" s="70"/>
      <c r="FI221" s="70"/>
      <c r="FJ221" s="70">
        <v>0</v>
      </c>
      <c r="FK221" s="70">
        <v>1</v>
      </c>
      <c r="FL221" s="70">
        <v>18</v>
      </c>
      <c r="FM221" s="70"/>
      <c r="FN221" s="70"/>
      <c r="FO221" s="70">
        <v>19</v>
      </c>
      <c r="FP221" s="42"/>
      <c r="FQ221" s="42"/>
      <c r="FR221" s="516"/>
      <c r="FS221" s="516"/>
      <c r="FT221" s="516"/>
      <c r="FU221" s="516" t="s">
        <v>1239</v>
      </c>
      <c r="FV221" s="516">
        <v>0</v>
      </c>
      <c r="FW221" s="516">
        <v>0</v>
      </c>
      <c r="FX221" s="516">
        <v>0</v>
      </c>
      <c r="FY221" s="516">
        <v>0</v>
      </c>
      <c r="FZ221" s="516">
        <v>0</v>
      </c>
      <c r="GA221" s="516">
        <v>0</v>
      </c>
      <c r="GB221" s="516">
        <v>0</v>
      </c>
      <c r="GC221" s="516">
        <v>2</v>
      </c>
      <c r="GD221" s="516">
        <v>32</v>
      </c>
      <c r="GE221" s="516">
        <v>0</v>
      </c>
      <c r="GF221" s="516">
        <v>0</v>
      </c>
      <c r="GG221" s="517">
        <v>34</v>
      </c>
      <c r="GH221" s="516"/>
      <c r="GI221" s="518"/>
    </row>
    <row r="222" spans="1:191">
      <c r="D222" s="4800" t="s">
        <v>1344</v>
      </c>
      <c r="E222" s="4606"/>
      <c r="F222" s="4606"/>
      <c r="G222" s="4606"/>
      <c r="H222" s="4606"/>
      <c r="I222" s="4606"/>
      <c r="J222" s="4606"/>
      <c r="K222" s="4606">
        <v>7</v>
      </c>
      <c r="L222" s="4606"/>
      <c r="M222" s="4606"/>
      <c r="N222" s="2552"/>
      <c r="O222" s="2552"/>
      <c r="P222" s="2552">
        <v>7</v>
      </c>
      <c r="Q222" s="2552"/>
      <c r="R222" s="2552"/>
      <c r="U222" s="1793"/>
      <c r="V222" s="1793" t="s">
        <v>545</v>
      </c>
      <c r="W222" s="4804">
        <v>3</v>
      </c>
      <c r="X222" s="4804"/>
      <c r="Y222" s="4804"/>
      <c r="Z222" s="4804">
        <v>1</v>
      </c>
      <c r="AA222" s="4804"/>
      <c r="AB222" s="4804">
        <v>32</v>
      </c>
      <c r="AC222" s="4804">
        <v>2</v>
      </c>
      <c r="AD222" s="4804"/>
      <c r="AE222" s="4702"/>
      <c r="AF222" s="4702">
        <v>38</v>
      </c>
      <c r="AG222" s="4703">
        <f>+(AF219+AF220+AF221)/AF222</f>
        <v>0.55263157894736847</v>
      </c>
      <c r="AI222" s="41"/>
      <c r="AJ222" s="41"/>
      <c r="AK222" s="41"/>
      <c r="AL222" s="41" t="s">
        <v>1235</v>
      </c>
      <c r="AM222" s="2001"/>
      <c r="AN222" s="2001"/>
      <c r="AO222" s="2001"/>
      <c r="AP222" s="2001"/>
      <c r="AQ222" s="2001"/>
      <c r="AR222" s="2001">
        <v>1</v>
      </c>
      <c r="AS222" s="2001">
        <v>2</v>
      </c>
      <c r="AT222" s="2001">
        <v>0</v>
      </c>
      <c r="AU222" s="105"/>
      <c r="AV222" s="105"/>
      <c r="AW222" s="105">
        <v>3</v>
      </c>
      <c r="AX222" s="41"/>
      <c r="AZ222" s="42"/>
      <c r="BA222" s="42"/>
      <c r="BB222" s="42"/>
      <c r="BC222" s="42" t="s">
        <v>1239</v>
      </c>
      <c r="BD222" s="1993"/>
      <c r="BE222" s="1993"/>
      <c r="BF222" s="1993">
        <v>0</v>
      </c>
      <c r="BG222" s="1993"/>
      <c r="BH222" s="1993"/>
      <c r="BI222" s="1993"/>
      <c r="BJ222" s="1993">
        <v>0</v>
      </c>
      <c r="BK222" s="1993">
        <v>1</v>
      </c>
      <c r="BL222" s="1993"/>
      <c r="BM222" s="70"/>
      <c r="BN222" s="70"/>
      <c r="BO222" s="70">
        <v>1</v>
      </c>
      <c r="BR222" s="105"/>
      <c r="BS222" s="105"/>
      <c r="BT222" s="41"/>
      <c r="BU222" s="41" t="s">
        <v>1235</v>
      </c>
      <c r="BV222" s="1659"/>
      <c r="BW222" s="1659"/>
      <c r="BX222" s="1659"/>
      <c r="BY222" s="1659">
        <v>3</v>
      </c>
      <c r="BZ222" s="1659">
        <v>3</v>
      </c>
      <c r="CA222" s="1659"/>
      <c r="CB222" s="1659"/>
      <c r="CC222" s="1659"/>
      <c r="CD222" s="1659"/>
      <c r="CE222" s="105"/>
      <c r="CF222" s="105"/>
      <c r="CG222" s="105">
        <v>6</v>
      </c>
      <c r="CH222" s="105"/>
      <c r="CJ222" s="1359"/>
      <c r="CK222" s="1359"/>
      <c r="CL222" s="1360"/>
      <c r="CM222" s="1361" t="s">
        <v>1235</v>
      </c>
      <c r="CN222" s="1362"/>
      <c r="CO222" s="1362"/>
      <c r="CP222" s="1362"/>
      <c r="CQ222" s="1362"/>
      <c r="CR222" s="1362"/>
      <c r="CS222" s="1363">
        <v>0</v>
      </c>
      <c r="CT222" s="1363">
        <v>2</v>
      </c>
      <c r="CU222" s="1363">
        <v>0</v>
      </c>
      <c r="CV222" s="687">
        <v>0</v>
      </c>
      <c r="CW222" s="686"/>
      <c r="CX222" s="687">
        <v>2</v>
      </c>
      <c r="CY222" s="41"/>
      <c r="DA222" s="602"/>
      <c r="DB222" s="602"/>
      <c r="DC222" s="603"/>
      <c r="DD222" s="604" t="s">
        <v>1235</v>
      </c>
      <c r="DE222" s="606">
        <v>0</v>
      </c>
      <c r="DF222" s="606">
        <v>0</v>
      </c>
      <c r="DG222" s="606">
        <v>1</v>
      </c>
      <c r="DH222" s="606">
        <v>0</v>
      </c>
      <c r="DI222" s="606">
        <v>0</v>
      </c>
      <c r="DJ222" s="606">
        <v>4</v>
      </c>
      <c r="DK222" s="606">
        <v>1</v>
      </c>
      <c r="DL222" s="606">
        <v>0</v>
      </c>
      <c r="DM222" s="602"/>
      <c r="DN222" s="602"/>
      <c r="DO222" s="607">
        <v>6</v>
      </c>
      <c r="DP222" s="105"/>
      <c r="DR222" s="608"/>
      <c r="DS222" s="608"/>
      <c r="DT222" s="620" t="s">
        <v>844</v>
      </c>
      <c r="DU222" s="609" t="s">
        <v>1230</v>
      </c>
      <c r="DV222" s="610"/>
      <c r="DW222" s="611">
        <v>0</v>
      </c>
      <c r="DX222" s="610"/>
      <c r="DY222" s="610"/>
      <c r="DZ222" s="610"/>
      <c r="EA222" s="611">
        <v>0</v>
      </c>
      <c r="EB222" s="611">
        <v>0</v>
      </c>
      <c r="EC222" s="611">
        <v>0</v>
      </c>
      <c r="ED222" s="611">
        <v>0</v>
      </c>
      <c r="EE222" s="613">
        <v>1</v>
      </c>
      <c r="EF222" s="612"/>
      <c r="EG222" s="613">
        <v>1</v>
      </c>
      <c r="EH222" s="614"/>
      <c r="EJ222" s="615"/>
      <c r="EK222" s="615"/>
      <c r="EL222" s="615"/>
      <c r="EM222" s="616" t="s">
        <v>1344</v>
      </c>
      <c r="EN222" s="617"/>
      <c r="EO222" s="617"/>
      <c r="EP222" s="617"/>
      <c r="EQ222" s="617"/>
      <c r="ER222" s="617"/>
      <c r="ES222" s="618">
        <v>0</v>
      </c>
      <c r="ET222" s="618">
        <v>3</v>
      </c>
      <c r="EU222" s="618">
        <v>0</v>
      </c>
      <c r="EV222" s="617"/>
      <c r="EW222" s="617"/>
      <c r="EX222" s="618">
        <v>3</v>
      </c>
      <c r="EY222" s="515"/>
      <c r="FA222" s="70"/>
      <c r="FB222" s="70"/>
      <c r="FC222" s="70"/>
      <c r="FD222" s="42" t="s">
        <v>1344</v>
      </c>
      <c r="FE222" s="70"/>
      <c r="FF222" s="70">
        <v>0</v>
      </c>
      <c r="FG222" s="70"/>
      <c r="FH222" s="70"/>
      <c r="FI222" s="70"/>
      <c r="FJ222" s="70">
        <v>8</v>
      </c>
      <c r="FK222" s="70">
        <v>5</v>
      </c>
      <c r="FL222" s="70">
        <v>0</v>
      </c>
      <c r="FM222" s="70"/>
      <c r="FN222" s="70"/>
      <c r="FO222" s="70">
        <v>13</v>
      </c>
      <c r="FP222" s="42"/>
      <c r="FQ222" s="42"/>
      <c r="FR222" s="516"/>
      <c r="FS222" s="516"/>
      <c r="FT222" s="516"/>
      <c r="FU222" s="516" t="s">
        <v>1344</v>
      </c>
      <c r="FV222" s="516">
        <v>0</v>
      </c>
      <c r="FW222" s="516">
        <v>0</v>
      </c>
      <c r="FX222" s="516">
        <v>0</v>
      </c>
      <c r="FY222" s="516">
        <v>0</v>
      </c>
      <c r="FZ222" s="516">
        <v>0</v>
      </c>
      <c r="GA222" s="516">
        <v>0</v>
      </c>
      <c r="GB222" s="516">
        <v>3</v>
      </c>
      <c r="GC222" s="516">
        <v>1</v>
      </c>
      <c r="GD222" s="516">
        <v>0</v>
      </c>
      <c r="GE222" s="516">
        <v>0</v>
      </c>
      <c r="GF222" s="516">
        <v>0</v>
      </c>
      <c r="GG222" s="517">
        <v>4</v>
      </c>
      <c r="GH222" s="516"/>
      <c r="GI222" s="518"/>
    </row>
    <row r="223" spans="1:191">
      <c r="D223" s="4800" t="s">
        <v>15</v>
      </c>
      <c r="E223" s="4606"/>
      <c r="F223" s="4606"/>
      <c r="G223" s="4606"/>
      <c r="H223" s="4606"/>
      <c r="I223" s="4606"/>
      <c r="J223" s="4606"/>
      <c r="K223" s="4606">
        <v>12</v>
      </c>
      <c r="L223" s="4606"/>
      <c r="M223" s="4606"/>
      <c r="N223" s="2552"/>
      <c r="O223" s="2552"/>
      <c r="P223" s="2552">
        <v>12</v>
      </c>
      <c r="Q223" s="1977">
        <f>+(P221+P222)/(P223)</f>
        <v>0.91666666666666663</v>
      </c>
      <c r="R223" s="1977"/>
      <c r="T223" s="37" t="s">
        <v>41</v>
      </c>
      <c r="U223" s="37" t="s">
        <v>139</v>
      </c>
      <c r="V223" s="37" t="s">
        <v>1231</v>
      </c>
      <c r="W223" s="4803">
        <v>1</v>
      </c>
      <c r="X223" s="4803"/>
      <c r="Y223" s="4803"/>
      <c r="Z223" s="4803"/>
      <c r="AA223" s="4803"/>
      <c r="AB223" s="4803">
        <v>11</v>
      </c>
      <c r="AC223" s="4803">
        <v>0</v>
      </c>
      <c r="AD223" s="4803"/>
      <c r="AE223" s="1788"/>
      <c r="AF223" s="1788">
        <v>12</v>
      </c>
      <c r="AI223" s="41"/>
      <c r="AJ223" s="41"/>
      <c r="AK223" s="41"/>
      <c r="AL223" s="41" t="s">
        <v>1239</v>
      </c>
      <c r="AM223" s="2001"/>
      <c r="AN223" s="2001"/>
      <c r="AO223" s="2001"/>
      <c r="AP223" s="2001"/>
      <c r="AQ223" s="2001"/>
      <c r="AR223" s="2001">
        <v>0</v>
      </c>
      <c r="AS223" s="2001">
        <v>0</v>
      </c>
      <c r="AT223" s="2001">
        <v>4</v>
      </c>
      <c r="AU223" s="105"/>
      <c r="AV223" s="105"/>
      <c r="AW223" s="105">
        <v>4</v>
      </c>
      <c r="AX223" s="41"/>
      <c r="AZ223" s="42"/>
      <c r="BA223" s="42"/>
      <c r="BB223" s="42"/>
      <c r="BC223" s="42" t="s">
        <v>1240</v>
      </c>
      <c r="BD223" s="1993"/>
      <c r="BE223" s="1993"/>
      <c r="BF223" s="1993">
        <v>0</v>
      </c>
      <c r="BG223" s="1993"/>
      <c r="BH223" s="1993"/>
      <c r="BI223" s="1993"/>
      <c r="BJ223" s="1993">
        <v>1</v>
      </c>
      <c r="BK223" s="1993">
        <v>0</v>
      </c>
      <c r="BL223" s="1993"/>
      <c r="BM223" s="70"/>
      <c r="BN223" s="70"/>
      <c r="BO223" s="70">
        <v>1</v>
      </c>
      <c r="BR223" s="105"/>
      <c r="BS223" s="105"/>
      <c r="BT223" s="41"/>
      <c r="BU223" s="41" t="s">
        <v>1240</v>
      </c>
      <c r="BV223" s="1659"/>
      <c r="BW223" s="1659"/>
      <c r="BX223" s="1659"/>
      <c r="BY223" s="1659">
        <v>2</v>
      </c>
      <c r="BZ223" s="1659">
        <v>1</v>
      </c>
      <c r="CA223" s="1659"/>
      <c r="CB223" s="1659"/>
      <c r="CC223" s="1659"/>
      <c r="CD223" s="1659"/>
      <c r="CE223" s="105"/>
      <c r="CF223" s="105"/>
      <c r="CG223" s="105">
        <v>3</v>
      </c>
      <c r="CH223" s="105"/>
      <c r="CJ223" s="1359"/>
      <c r="CK223" s="1359"/>
      <c r="CL223" s="1360"/>
      <c r="CM223" s="1361" t="s">
        <v>1239</v>
      </c>
      <c r="CN223" s="1362"/>
      <c r="CO223" s="1362"/>
      <c r="CP223" s="1362"/>
      <c r="CQ223" s="1362"/>
      <c r="CR223" s="1362"/>
      <c r="CS223" s="1363">
        <v>0</v>
      </c>
      <c r="CT223" s="1363">
        <v>0</v>
      </c>
      <c r="CU223" s="1363">
        <v>3</v>
      </c>
      <c r="CV223" s="687">
        <v>1</v>
      </c>
      <c r="CW223" s="686"/>
      <c r="CX223" s="687">
        <v>4</v>
      </c>
      <c r="CY223" s="41"/>
      <c r="DA223" s="602"/>
      <c r="DB223" s="602"/>
      <c r="DC223" s="603"/>
      <c r="DD223" s="604" t="s">
        <v>1236</v>
      </c>
      <c r="DE223" s="606">
        <v>0</v>
      </c>
      <c r="DF223" s="606">
        <v>1</v>
      </c>
      <c r="DG223" s="606">
        <v>0</v>
      </c>
      <c r="DH223" s="606">
        <v>0</v>
      </c>
      <c r="DI223" s="606">
        <v>0</v>
      </c>
      <c r="DJ223" s="606">
        <v>0</v>
      </c>
      <c r="DK223" s="606">
        <v>0</v>
      </c>
      <c r="DL223" s="606">
        <v>0</v>
      </c>
      <c r="DM223" s="602"/>
      <c r="DN223" s="602"/>
      <c r="DO223" s="607">
        <v>1</v>
      </c>
      <c r="DP223" s="105"/>
      <c r="DR223" s="608"/>
      <c r="DS223" s="608"/>
      <c r="DT223" s="608"/>
      <c r="DU223" s="609" t="s">
        <v>1231</v>
      </c>
      <c r="DV223" s="610"/>
      <c r="DW223" s="611">
        <v>1</v>
      </c>
      <c r="DX223" s="610"/>
      <c r="DY223" s="610"/>
      <c r="DZ223" s="610"/>
      <c r="EA223" s="611">
        <v>1</v>
      </c>
      <c r="EB223" s="611">
        <v>29</v>
      </c>
      <c r="EC223" s="611">
        <v>2</v>
      </c>
      <c r="ED223" s="611">
        <v>0</v>
      </c>
      <c r="EE223" s="613">
        <v>0</v>
      </c>
      <c r="EF223" s="612"/>
      <c r="EG223" s="613">
        <v>33</v>
      </c>
      <c r="EH223" s="614"/>
      <c r="EL223" s="615"/>
      <c r="EM223" s="625" t="s">
        <v>547</v>
      </c>
      <c r="EN223" s="626"/>
      <c r="EO223" s="626"/>
      <c r="EP223" s="626"/>
      <c r="EQ223" s="626"/>
      <c r="ER223" s="626"/>
      <c r="ES223" s="627">
        <v>2</v>
      </c>
      <c r="ET223" s="627">
        <v>23</v>
      </c>
      <c r="EU223" s="627">
        <v>19</v>
      </c>
      <c r="EV223" s="626"/>
      <c r="EW223" s="626"/>
      <c r="EX223" s="627">
        <v>44</v>
      </c>
      <c r="EY223" s="628">
        <f>+(EX222+EX220)/EX223</f>
        <v>0.47727272727272729</v>
      </c>
      <c r="FA223" s="70"/>
      <c r="FB223" s="70"/>
      <c r="FC223" s="70"/>
      <c r="FD223" s="484" t="s">
        <v>15</v>
      </c>
      <c r="FE223" s="454"/>
      <c r="FF223" s="454">
        <v>2</v>
      </c>
      <c r="FG223" s="454"/>
      <c r="FH223" s="454"/>
      <c r="FI223" s="454"/>
      <c r="FJ223" s="454">
        <v>11</v>
      </c>
      <c r="FK223" s="454">
        <v>24</v>
      </c>
      <c r="FL223" s="454">
        <v>19</v>
      </c>
      <c r="FM223" s="454"/>
      <c r="FN223" s="454"/>
      <c r="FO223" s="454">
        <v>56</v>
      </c>
      <c r="FP223" s="536">
        <f>+(FO220+FO222)/FO223</f>
        <v>0.5178571428571429</v>
      </c>
      <c r="FQ223" s="42"/>
      <c r="FR223" s="516"/>
      <c r="FS223" s="516"/>
      <c r="FT223" s="516"/>
      <c r="FU223" s="519" t="s">
        <v>15</v>
      </c>
      <c r="FV223" s="519">
        <v>0</v>
      </c>
      <c r="FW223" s="519">
        <v>0</v>
      </c>
      <c r="FX223" s="519">
        <v>0</v>
      </c>
      <c r="FY223" s="519">
        <v>0</v>
      </c>
      <c r="FZ223" s="519">
        <v>0</v>
      </c>
      <c r="GA223" s="519">
        <v>0</v>
      </c>
      <c r="GB223" s="519">
        <v>9</v>
      </c>
      <c r="GC223" s="519">
        <v>9</v>
      </c>
      <c r="GD223" s="519">
        <v>34</v>
      </c>
      <c r="GE223" s="519">
        <v>0</v>
      </c>
      <c r="GF223" s="519">
        <v>0</v>
      </c>
      <c r="GG223" s="579">
        <v>52</v>
      </c>
      <c r="GH223" s="520">
        <f>+(GG222+GG220)/GG223</f>
        <v>0.30769230769230771</v>
      </c>
      <c r="GI223" s="518">
        <f>+GG220+GG222</f>
        <v>16</v>
      </c>
    </row>
    <row r="224" spans="1:191">
      <c r="C224" s="4800" t="s">
        <v>111</v>
      </c>
      <c r="D224" s="4800" t="s">
        <v>1231</v>
      </c>
      <c r="E224" s="4606"/>
      <c r="F224" s="4606"/>
      <c r="G224" s="4606"/>
      <c r="H224" s="4606"/>
      <c r="I224" s="4606"/>
      <c r="J224" s="4606"/>
      <c r="K224" s="4606">
        <v>2</v>
      </c>
      <c r="L224" s="4606"/>
      <c r="M224" s="4606"/>
      <c r="N224" s="2552"/>
      <c r="O224" s="2552"/>
      <c r="P224" s="2552">
        <v>2</v>
      </c>
      <c r="Q224" s="2552"/>
      <c r="R224" s="2552"/>
      <c r="V224" s="37" t="s">
        <v>1239</v>
      </c>
      <c r="W224" s="4803">
        <v>0</v>
      </c>
      <c r="X224" s="4803"/>
      <c r="Y224" s="4803"/>
      <c r="Z224" s="4803"/>
      <c r="AA224" s="4803"/>
      <c r="AB224" s="4803">
        <v>0</v>
      </c>
      <c r="AC224" s="4803">
        <v>3</v>
      </c>
      <c r="AD224" s="4803"/>
      <c r="AE224" s="1788"/>
      <c r="AF224" s="1788">
        <v>3</v>
      </c>
      <c r="AI224" s="41"/>
      <c r="AJ224" s="41"/>
      <c r="AK224" s="41"/>
      <c r="AL224" s="41" t="s">
        <v>1240</v>
      </c>
      <c r="AM224" s="2001"/>
      <c r="AN224" s="2001"/>
      <c r="AO224" s="2001"/>
      <c r="AP224" s="2001"/>
      <c r="AQ224" s="2001"/>
      <c r="AR224" s="2001">
        <v>0</v>
      </c>
      <c r="AS224" s="2001">
        <v>1</v>
      </c>
      <c r="AT224" s="2001">
        <v>0</v>
      </c>
      <c r="AU224" s="105"/>
      <c r="AV224" s="105"/>
      <c r="AW224" s="105">
        <v>1</v>
      </c>
      <c r="AX224" s="41"/>
      <c r="AZ224" s="42"/>
      <c r="BA224" s="42"/>
      <c r="BB224" s="42"/>
      <c r="BC224" s="484" t="s">
        <v>15</v>
      </c>
      <c r="BD224" s="1994"/>
      <c r="BE224" s="1994"/>
      <c r="BF224" s="1994">
        <v>2</v>
      </c>
      <c r="BG224" s="1994"/>
      <c r="BH224" s="1994"/>
      <c r="BI224" s="1994"/>
      <c r="BJ224" s="1994">
        <v>10</v>
      </c>
      <c r="BK224" s="1994">
        <v>1</v>
      </c>
      <c r="BL224" s="1994"/>
      <c r="BM224" s="454"/>
      <c r="BN224" s="454"/>
      <c r="BO224" s="454">
        <v>13</v>
      </c>
      <c r="BP224" s="2485">
        <f>+(BO221+BO223)/BO224</f>
        <v>0.15384615384615385</v>
      </c>
      <c r="BR224" s="105"/>
      <c r="BS224" s="105"/>
      <c r="BT224" s="41"/>
      <c r="BU224" s="41" t="s">
        <v>1344</v>
      </c>
      <c r="BV224" s="1659"/>
      <c r="BW224" s="1659"/>
      <c r="BX224" s="1659"/>
      <c r="BY224" s="1659">
        <v>10</v>
      </c>
      <c r="BZ224" s="1659">
        <v>2</v>
      </c>
      <c r="CA224" s="1659"/>
      <c r="CB224" s="1659"/>
      <c r="CC224" s="1659"/>
      <c r="CD224" s="1659"/>
      <c r="CE224" s="105"/>
      <c r="CF224" s="105"/>
      <c r="CG224" s="105">
        <v>12</v>
      </c>
      <c r="CH224" s="105"/>
      <c r="CJ224" s="1359"/>
      <c r="CK224" s="1359"/>
      <c r="CL224" s="1360"/>
      <c r="CM224" s="1361" t="s">
        <v>1240</v>
      </c>
      <c r="CN224" s="1362"/>
      <c r="CO224" s="1362"/>
      <c r="CP224" s="1362"/>
      <c r="CQ224" s="1362"/>
      <c r="CR224" s="1362"/>
      <c r="CS224" s="1363">
        <v>0</v>
      </c>
      <c r="CT224" s="1363">
        <v>1</v>
      </c>
      <c r="CU224" s="1363">
        <v>0</v>
      </c>
      <c r="CV224" s="687">
        <v>0</v>
      </c>
      <c r="CW224" s="686"/>
      <c r="CX224" s="687">
        <v>1</v>
      </c>
      <c r="CY224" s="41"/>
      <c r="DA224" s="602"/>
      <c r="DB224" s="602"/>
      <c r="DC224" s="603"/>
      <c r="DD224" s="604" t="s">
        <v>1239</v>
      </c>
      <c r="DE224" s="606">
        <v>0</v>
      </c>
      <c r="DF224" s="606">
        <v>0</v>
      </c>
      <c r="DG224" s="606">
        <v>0</v>
      </c>
      <c r="DH224" s="606">
        <v>0</v>
      </c>
      <c r="DI224" s="606">
        <v>0</v>
      </c>
      <c r="DJ224" s="606">
        <v>0</v>
      </c>
      <c r="DK224" s="606">
        <v>1</v>
      </c>
      <c r="DL224" s="606">
        <v>11</v>
      </c>
      <c r="DM224" s="602"/>
      <c r="DN224" s="602"/>
      <c r="DO224" s="607">
        <v>12</v>
      </c>
      <c r="DP224" s="105"/>
      <c r="DR224" s="608"/>
      <c r="DS224" s="608"/>
      <c r="DT224" s="608"/>
      <c r="DU224" s="609" t="s">
        <v>1235</v>
      </c>
      <c r="DV224" s="610"/>
      <c r="DW224" s="611">
        <v>0</v>
      </c>
      <c r="DX224" s="610"/>
      <c r="DY224" s="610"/>
      <c r="DZ224" s="610"/>
      <c r="EA224" s="611">
        <v>0</v>
      </c>
      <c r="EB224" s="611">
        <v>5</v>
      </c>
      <c r="EC224" s="611">
        <v>1</v>
      </c>
      <c r="ED224" s="611">
        <v>0</v>
      </c>
      <c r="EE224" s="613">
        <v>0</v>
      </c>
      <c r="EF224" s="612"/>
      <c r="EG224" s="613">
        <v>6</v>
      </c>
      <c r="EH224" s="614"/>
      <c r="EJ224" s="615" t="s">
        <v>48</v>
      </c>
      <c r="EL224" s="615" t="s">
        <v>545</v>
      </c>
      <c r="EM224" s="616" t="s">
        <v>1231</v>
      </c>
      <c r="EN224" s="617"/>
      <c r="EO224" s="618">
        <v>1</v>
      </c>
      <c r="EP224" s="618">
        <v>19</v>
      </c>
      <c r="EQ224" s="618">
        <v>4</v>
      </c>
      <c r="ER224" s="617"/>
      <c r="ES224" s="618">
        <v>39</v>
      </c>
      <c r="ET224" s="618">
        <v>8</v>
      </c>
      <c r="EU224" s="618">
        <v>0</v>
      </c>
      <c r="EV224" s="617"/>
      <c r="EW224" s="617"/>
      <c r="EX224" s="618">
        <v>71</v>
      </c>
      <c r="EY224" s="515"/>
      <c r="FA224" s="70"/>
      <c r="FB224" s="70" t="s">
        <v>48</v>
      </c>
      <c r="FC224" s="70" t="s">
        <v>16</v>
      </c>
      <c r="FD224" s="42" t="s">
        <v>1235</v>
      </c>
      <c r="FE224" s="70"/>
      <c r="FF224" s="70"/>
      <c r="FG224" s="70">
        <v>1</v>
      </c>
      <c r="FH224" s="70">
        <v>0</v>
      </c>
      <c r="FI224" s="70"/>
      <c r="FJ224" s="70"/>
      <c r="FK224" s="70"/>
      <c r="FL224" s="70"/>
      <c r="FM224" s="70"/>
      <c r="FN224" s="70"/>
      <c r="FO224" s="70">
        <v>1</v>
      </c>
      <c r="FP224" s="42"/>
      <c r="FQ224" s="42"/>
      <c r="FR224" s="516"/>
      <c r="FS224" s="516" t="s">
        <v>1327</v>
      </c>
      <c r="FT224" s="516" t="s">
        <v>16</v>
      </c>
      <c r="FU224" s="516" t="s">
        <v>1230</v>
      </c>
      <c r="FV224" s="516">
        <v>0</v>
      </c>
      <c r="FW224" s="516">
        <v>0</v>
      </c>
      <c r="FX224" s="516">
        <v>0</v>
      </c>
      <c r="FY224" s="516">
        <v>1</v>
      </c>
      <c r="FZ224" s="516">
        <v>0</v>
      </c>
      <c r="GA224" s="516">
        <v>0</v>
      </c>
      <c r="GB224" s="516">
        <v>2</v>
      </c>
      <c r="GC224" s="516">
        <v>0</v>
      </c>
      <c r="GD224" s="516">
        <v>0</v>
      </c>
      <c r="GE224" s="516">
        <v>0</v>
      </c>
      <c r="GF224" s="516">
        <v>0</v>
      </c>
      <c r="GG224" s="517">
        <v>3</v>
      </c>
      <c r="GH224" s="516"/>
      <c r="GI224" s="518"/>
    </row>
    <row r="225" spans="3:191">
      <c r="D225" s="4800" t="s">
        <v>15</v>
      </c>
      <c r="E225" s="4606"/>
      <c r="F225" s="4606"/>
      <c r="G225" s="4606"/>
      <c r="H225" s="4606"/>
      <c r="I225" s="4606"/>
      <c r="J225" s="4606"/>
      <c r="K225" s="4606">
        <v>2</v>
      </c>
      <c r="L225" s="4606"/>
      <c r="M225" s="4606"/>
      <c r="N225" s="2552"/>
      <c r="O225" s="2552"/>
      <c r="P225" s="2552">
        <v>2</v>
      </c>
      <c r="Q225" s="1977">
        <v>0</v>
      </c>
      <c r="R225" s="1977"/>
      <c r="V225" s="37" t="s">
        <v>1240</v>
      </c>
      <c r="W225" s="4803">
        <v>0</v>
      </c>
      <c r="X225" s="4803"/>
      <c r="Y225" s="4803"/>
      <c r="Z225" s="4803"/>
      <c r="AA225" s="4803"/>
      <c r="AB225" s="4803">
        <v>1</v>
      </c>
      <c r="AC225" s="4803">
        <v>0</v>
      </c>
      <c r="AD225" s="4803"/>
      <c r="AE225" s="1788"/>
      <c r="AF225" s="1788">
        <v>1</v>
      </c>
      <c r="AI225" s="41"/>
      <c r="AJ225" s="41"/>
      <c r="AK225" s="41"/>
      <c r="AL225" s="41" t="s">
        <v>1344</v>
      </c>
      <c r="AM225" s="2001"/>
      <c r="AN225" s="2001"/>
      <c r="AO225" s="2001"/>
      <c r="AP225" s="2001"/>
      <c r="AQ225" s="2001"/>
      <c r="AR225" s="2001">
        <v>1</v>
      </c>
      <c r="AS225" s="2001">
        <v>1</v>
      </c>
      <c r="AT225" s="2001">
        <v>0</v>
      </c>
      <c r="AU225" s="105"/>
      <c r="AV225" s="105"/>
      <c r="AW225" s="105">
        <v>2</v>
      </c>
      <c r="AX225" s="41"/>
      <c r="AZ225" s="42"/>
      <c r="BA225" s="42"/>
      <c r="BB225" s="42" t="s">
        <v>140</v>
      </c>
      <c r="BC225" s="42" t="s">
        <v>1231</v>
      </c>
      <c r="BD225" s="1993"/>
      <c r="BE225" s="1993">
        <v>1</v>
      </c>
      <c r="BF225" s="1993"/>
      <c r="BG225" s="1993"/>
      <c r="BH225" s="1993"/>
      <c r="BI225" s="1993">
        <v>1</v>
      </c>
      <c r="BJ225" s="1993">
        <v>0</v>
      </c>
      <c r="BK225" s="1993"/>
      <c r="BL225" s="1993"/>
      <c r="BM225" s="70"/>
      <c r="BN225" s="70"/>
      <c r="BO225" s="70">
        <v>2</v>
      </c>
      <c r="BP225" s="832"/>
      <c r="BR225" s="105"/>
      <c r="BS225" s="105"/>
      <c r="BT225" s="41"/>
      <c r="BU225" s="461" t="s">
        <v>15</v>
      </c>
      <c r="BV225" s="1660"/>
      <c r="BW225" s="1660"/>
      <c r="BX225" s="1660"/>
      <c r="BY225" s="1660">
        <v>27</v>
      </c>
      <c r="BZ225" s="1660">
        <v>6</v>
      </c>
      <c r="CA225" s="1660"/>
      <c r="CB225" s="1660"/>
      <c r="CC225" s="1660"/>
      <c r="CD225" s="1660"/>
      <c r="CE225" s="96"/>
      <c r="CF225" s="96"/>
      <c r="CG225" s="96">
        <v>33</v>
      </c>
      <c r="CH225" s="635">
        <f>+(CG222+CG223+CG224)/CG225</f>
        <v>0.63636363636363635</v>
      </c>
      <c r="CJ225" s="1359"/>
      <c r="CK225" s="1359"/>
      <c r="CL225" s="1360"/>
      <c r="CM225" s="1361" t="s">
        <v>1344</v>
      </c>
      <c r="CN225" s="1362"/>
      <c r="CO225" s="1362"/>
      <c r="CP225" s="1362"/>
      <c r="CQ225" s="1362"/>
      <c r="CR225" s="1362"/>
      <c r="CS225" s="1363">
        <v>1</v>
      </c>
      <c r="CT225" s="1363">
        <v>3</v>
      </c>
      <c r="CU225" s="1363">
        <v>0</v>
      </c>
      <c r="CV225" s="687">
        <v>0</v>
      </c>
      <c r="CW225" s="686"/>
      <c r="CX225" s="687">
        <v>4</v>
      </c>
      <c r="CY225" s="41"/>
      <c r="DA225" s="602"/>
      <c r="DB225" s="602"/>
      <c r="DC225" s="603"/>
      <c r="DD225" s="604" t="s">
        <v>1240</v>
      </c>
      <c r="DE225" s="606">
        <v>0</v>
      </c>
      <c r="DF225" s="606">
        <v>0</v>
      </c>
      <c r="DG225" s="606">
        <v>6</v>
      </c>
      <c r="DH225" s="606">
        <v>0</v>
      </c>
      <c r="DI225" s="606">
        <v>0</v>
      </c>
      <c r="DJ225" s="606">
        <v>12</v>
      </c>
      <c r="DK225" s="606">
        <v>1</v>
      </c>
      <c r="DL225" s="606">
        <v>0</v>
      </c>
      <c r="DM225" s="602"/>
      <c r="DN225" s="602"/>
      <c r="DO225" s="607">
        <v>19</v>
      </c>
      <c r="DP225" s="105"/>
      <c r="DR225" s="608"/>
      <c r="DS225" s="608"/>
      <c r="DT225" s="608"/>
      <c r="DU225" s="609" t="s">
        <v>1239</v>
      </c>
      <c r="DV225" s="610"/>
      <c r="DW225" s="611">
        <v>0</v>
      </c>
      <c r="DX225" s="610"/>
      <c r="DY225" s="610"/>
      <c r="DZ225" s="610"/>
      <c r="EA225" s="611">
        <v>1</v>
      </c>
      <c r="EB225" s="611">
        <v>0</v>
      </c>
      <c r="EC225" s="611">
        <v>0</v>
      </c>
      <c r="ED225" s="611">
        <v>0</v>
      </c>
      <c r="EE225" s="613">
        <v>0</v>
      </c>
      <c r="EF225" s="612"/>
      <c r="EG225" s="613">
        <v>1</v>
      </c>
      <c r="EH225" s="614"/>
      <c r="EL225" s="615"/>
      <c r="EM225" s="616" t="s">
        <v>1233</v>
      </c>
      <c r="EN225" s="617"/>
      <c r="EO225" s="618">
        <v>0</v>
      </c>
      <c r="EP225" s="618">
        <v>0</v>
      </c>
      <c r="EQ225" s="618">
        <v>1</v>
      </c>
      <c r="ER225" s="617"/>
      <c r="ES225" s="618">
        <v>0</v>
      </c>
      <c r="ET225" s="618">
        <v>0</v>
      </c>
      <c r="EU225" s="618">
        <v>0</v>
      </c>
      <c r="EV225" s="617"/>
      <c r="EW225" s="617"/>
      <c r="EX225" s="618">
        <v>1</v>
      </c>
      <c r="EY225" s="515"/>
      <c r="FA225" s="70"/>
      <c r="FB225" s="70"/>
      <c r="FC225" s="70"/>
      <c r="FD225" s="42" t="s">
        <v>1236</v>
      </c>
      <c r="FE225" s="70"/>
      <c r="FF225" s="70"/>
      <c r="FG225" s="70">
        <v>2</v>
      </c>
      <c r="FH225" s="70">
        <v>0</v>
      </c>
      <c r="FI225" s="70"/>
      <c r="FJ225" s="70"/>
      <c r="FK225" s="70"/>
      <c r="FL225" s="70"/>
      <c r="FM225" s="70"/>
      <c r="FN225" s="70"/>
      <c r="FO225" s="70">
        <v>2</v>
      </c>
      <c r="FP225" s="42"/>
      <c r="FQ225" s="42"/>
      <c r="FR225" s="516"/>
      <c r="FS225" s="516"/>
      <c r="FT225" s="516"/>
      <c r="FU225" s="516" t="s">
        <v>1231</v>
      </c>
      <c r="FV225" s="516">
        <v>0</v>
      </c>
      <c r="FW225" s="516">
        <v>1</v>
      </c>
      <c r="FX225" s="516">
        <v>3</v>
      </c>
      <c r="FY225" s="516">
        <v>2</v>
      </c>
      <c r="FZ225" s="516">
        <v>4</v>
      </c>
      <c r="GA225" s="516">
        <v>1</v>
      </c>
      <c r="GB225" s="516">
        <v>49</v>
      </c>
      <c r="GC225" s="516">
        <v>0</v>
      </c>
      <c r="GD225" s="516">
        <v>0</v>
      </c>
      <c r="GE225" s="516">
        <v>0</v>
      </c>
      <c r="GF225" s="516">
        <v>0</v>
      </c>
      <c r="GG225" s="517">
        <v>60</v>
      </c>
      <c r="GH225" s="516"/>
      <c r="GI225" s="518"/>
    </row>
    <row r="226" spans="3:191">
      <c r="C226" s="4800" t="s">
        <v>2278</v>
      </c>
      <c r="D226" s="4800" t="s">
        <v>1231</v>
      </c>
      <c r="E226" s="4606">
        <v>0</v>
      </c>
      <c r="F226" s="4606">
        <v>2</v>
      </c>
      <c r="G226" s="4606"/>
      <c r="H226" s="4606"/>
      <c r="I226" s="4606"/>
      <c r="J226" s="4606"/>
      <c r="K226" s="4606">
        <v>0</v>
      </c>
      <c r="L226" s="4606">
        <v>0</v>
      </c>
      <c r="M226" s="4606"/>
      <c r="N226" s="2552"/>
      <c r="O226" s="2552"/>
      <c r="P226" s="2552">
        <v>2</v>
      </c>
      <c r="Q226" s="2552"/>
      <c r="R226" s="2552"/>
      <c r="V226" s="1793" t="s">
        <v>15</v>
      </c>
      <c r="W226" s="4804">
        <v>1</v>
      </c>
      <c r="X226" s="4804"/>
      <c r="Y226" s="4804"/>
      <c r="Z226" s="4804"/>
      <c r="AA226" s="4804"/>
      <c r="AB226" s="4804">
        <v>12</v>
      </c>
      <c r="AC226" s="4804">
        <v>3</v>
      </c>
      <c r="AD226" s="4804"/>
      <c r="AE226" s="4702"/>
      <c r="AF226" s="4702">
        <v>16</v>
      </c>
      <c r="AG226" s="4703">
        <f>+AF225/AF226</f>
        <v>6.25E-2</v>
      </c>
      <c r="AI226" s="41"/>
      <c r="AJ226" s="41"/>
      <c r="AK226" s="41"/>
      <c r="AL226" s="461" t="s">
        <v>15</v>
      </c>
      <c r="AM226" s="2002"/>
      <c r="AN226" s="2002"/>
      <c r="AO226" s="2002"/>
      <c r="AP226" s="2002"/>
      <c r="AQ226" s="2002"/>
      <c r="AR226" s="2002">
        <v>3</v>
      </c>
      <c r="AS226" s="2002">
        <v>9</v>
      </c>
      <c r="AT226" s="2002">
        <v>4</v>
      </c>
      <c r="AU226" s="2480"/>
      <c r="AV226" s="2480"/>
      <c r="AW226" s="2480">
        <v>16</v>
      </c>
      <c r="AX226" s="635">
        <f>+(AW225+AW224+AW222)/AW226</f>
        <v>0.375</v>
      </c>
      <c r="AY226" s="1977"/>
      <c r="AZ226" s="42"/>
      <c r="BA226" s="42"/>
      <c r="BB226" s="42"/>
      <c r="BC226" s="42" t="s">
        <v>1235</v>
      </c>
      <c r="BD226" s="1993"/>
      <c r="BE226" s="1993">
        <v>0</v>
      </c>
      <c r="BF226" s="1993"/>
      <c r="BG226" s="1993"/>
      <c r="BH226" s="1993"/>
      <c r="BI226" s="1993">
        <v>0</v>
      </c>
      <c r="BJ226" s="1993">
        <v>1</v>
      </c>
      <c r="BK226" s="1993"/>
      <c r="BL226" s="1993"/>
      <c r="BM226" s="70"/>
      <c r="BN226" s="70"/>
      <c r="BO226" s="70">
        <v>1</v>
      </c>
      <c r="BR226" s="105"/>
      <c r="BS226" s="105"/>
      <c r="BT226" s="41" t="s">
        <v>509</v>
      </c>
      <c r="BU226" s="41" t="s">
        <v>1231</v>
      </c>
      <c r="BV226" s="1659"/>
      <c r="BW226" s="1659"/>
      <c r="BX226" s="1659">
        <v>1</v>
      </c>
      <c r="BY226" s="1659"/>
      <c r="BZ226" s="1659"/>
      <c r="CA226" s="1659"/>
      <c r="CB226" s="1659">
        <v>5</v>
      </c>
      <c r="CC226" s="1659">
        <v>1</v>
      </c>
      <c r="CD226" s="1659">
        <v>0</v>
      </c>
      <c r="CE226" s="105"/>
      <c r="CF226" s="105"/>
      <c r="CG226" s="105">
        <v>7</v>
      </c>
      <c r="CH226" s="105"/>
      <c r="CJ226" s="1359"/>
      <c r="CK226" s="1359"/>
      <c r="CL226" s="1360"/>
      <c r="CM226" s="483" t="s">
        <v>15</v>
      </c>
      <c r="CN226" s="1364"/>
      <c r="CO226" s="1364"/>
      <c r="CP226" s="1364"/>
      <c r="CQ226" s="1364"/>
      <c r="CR226" s="1364"/>
      <c r="CS226" s="1365">
        <v>2</v>
      </c>
      <c r="CT226" s="1365">
        <v>7</v>
      </c>
      <c r="CU226" s="1365">
        <v>6</v>
      </c>
      <c r="CV226" s="696">
        <v>1</v>
      </c>
      <c r="CW226" s="695"/>
      <c r="CX226" s="696">
        <v>16</v>
      </c>
      <c r="CY226" s="1325">
        <f>+(CX222+CX224+CX225)/CX226</f>
        <v>0.4375</v>
      </c>
      <c r="DA226" s="602"/>
      <c r="DB226" s="602"/>
      <c r="DC226" s="603"/>
      <c r="DD226" s="604" t="s">
        <v>1344</v>
      </c>
      <c r="DE226" s="606">
        <v>0</v>
      </c>
      <c r="DF226" s="606">
        <v>0</v>
      </c>
      <c r="DG226" s="606">
        <v>9</v>
      </c>
      <c r="DH226" s="606">
        <v>1</v>
      </c>
      <c r="DI226" s="606">
        <v>0</v>
      </c>
      <c r="DJ226" s="606">
        <v>13</v>
      </c>
      <c r="DK226" s="606">
        <v>0</v>
      </c>
      <c r="DL226" s="606">
        <v>0</v>
      </c>
      <c r="DM226" s="602"/>
      <c r="DN226" s="602"/>
      <c r="DO226" s="607">
        <v>23</v>
      </c>
      <c r="DP226" s="105"/>
      <c r="DR226" s="608"/>
      <c r="DS226" s="608"/>
      <c r="DT226" s="608"/>
      <c r="DU226" s="609" t="s">
        <v>1240</v>
      </c>
      <c r="DV226" s="610"/>
      <c r="DW226" s="611">
        <v>0</v>
      </c>
      <c r="DX226" s="610"/>
      <c r="DY226" s="610"/>
      <c r="DZ226" s="610"/>
      <c r="EA226" s="611">
        <v>0</v>
      </c>
      <c r="EB226" s="611">
        <v>8</v>
      </c>
      <c r="EC226" s="611">
        <v>1</v>
      </c>
      <c r="ED226" s="611">
        <v>1</v>
      </c>
      <c r="EE226" s="613">
        <v>0</v>
      </c>
      <c r="EF226" s="612"/>
      <c r="EG226" s="613">
        <v>10</v>
      </c>
      <c r="EH226" s="614"/>
      <c r="EL226" s="615"/>
      <c r="EM226" s="616" t="s">
        <v>1235</v>
      </c>
      <c r="EN226" s="617"/>
      <c r="EO226" s="618">
        <v>0</v>
      </c>
      <c r="EP226" s="618">
        <v>3</v>
      </c>
      <c r="EQ226" s="618">
        <v>1</v>
      </c>
      <c r="ER226" s="617"/>
      <c r="ES226" s="618">
        <v>4</v>
      </c>
      <c r="ET226" s="618">
        <v>1</v>
      </c>
      <c r="EU226" s="618">
        <v>0</v>
      </c>
      <c r="EV226" s="617"/>
      <c r="EW226" s="617"/>
      <c r="EX226" s="618">
        <v>9</v>
      </c>
      <c r="EY226" s="515"/>
      <c r="FA226" s="70"/>
      <c r="FB226" s="70"/>
      <c r="FC226" s="70"/>
      <c r="FD226" s="42" t="s">
        <v>1240</v>
      </c>
      <c r="FE226" s="70"/>
      <c r="FF226" s="70"/>
      <c r="FG226" s="70">
        <v>2</v>
      </c>
      <c r="FH226" s="70">
        <v>1</v>
      </c>
      <c r="FI226" s="70"/>
      <c r="FJ226" s="70"/>
      <c r="FK226" s="70"/>
      <c r="FL226" s="70"/>
      <c r="FM226" s="70"/>
      <c r="FN226" s="70"/>
      <c r="FO226" s="70">
        <v>3</v>
      </c>
      <c r="FP226" s="42"/>
      <c r="FQ226" s="42"/>
      <c r="FR226" s="516"/>
      <c r="FS226" s="516"/>
      <c r="FT226" s="516"/>
      <c r="FU226" s="516" t="s">
        <v>1235</v>
      </c>
      <c r="FV226" s="516">
        <v>0</v>
      </c>
      <c r="FW226" s="516">
        <v>0</v>
      </c>
      <c r="FX226" s="516">
        <v>0</v>
      </c>
      <c r="FY226" s="516">
        <v>2</v>
      </c>
      <c r="FZ226" s="516">
        <v>0</v>
      </c>
      <c r="GA226" s="516">
        <v>0</v>
      </c>
      <c r="GB226" s="516">
        <v>4</v>
      </c>
      <c r="GC226" s="516">
        <v>1</v>
      </c>
      <c r="GD226" s="516">
        <v>0</v>
      </c>
      <c r="GE226" s="516">
        <v>0</v>
      </c>
      <c r="GF226" s="516">
        <v>0</v>
      </c>
      <c r="GG226" s="517">
        <v>7</v>
      </c>
      <c r="GH226" s="516"/>
      <c r="GI226" s="518"/>
    </row>
    <row r="227" spans="3:191">
      <c r="D227" s="4800" t="s">
        <v>1235</v>
      </c>
      <c r="E227" s="4606">
        <v>0</v>
      </c>
      <c r="F227" s="4606">
        <v>0</v>
      </c>
      <c r="G227" s="4606"/>
      <c r="H227" s="4606"/>
      <c r="I227" s="4606"/>
      <c r="J227" s="4606"/>
      <c r="K227" s="4606">
        <v>1</v>
      </c>
      <c r="L227" s="4606">
        <v>1</v>
      </c>
      <c r="M227" s="4606"/>
      <c r="N227" s="2552"/>
      <c r="O227" s="2552"/>
      <c r="P227" s="2552">
        <v>2</v>
      </c>
      <c r="Q227" s="2552"/>
      <c r="R227" s="2552"/>
      <c r="U227" s="37" t="s">
        <v>444</v>
      </c>
      <c r="V227" s="37" t="s">
        <v>1231</v>
      </c>
      <c r="W227" s="4803"/>
      <c r="X227" s="4803">
        <v>2</v>
      </c>
      <c r="Y227" s="4803"/>
      <c r="Z227" s="4803"/>
      <c r="AA227" s="4803"/>
      <c r="AB227" s="4803">
        <v>9</v>
      </c>
      <c r="AC227" s="4803"/>
      <c r="AD227" s="4803"/>
      <c r="AE227" s="1788"/>
      <c r="AF227" s="1788">
        <v>11</v>
      </c>
      <c r="AI227" s="41"/>
      <c r="AJ227" s="41"/>
      <c r="AK227" s="41" t="s">
        <v>128</v>
      </c>
      <c r="AL227" s="41" t="s">
        <v>1344</v>
      </c>
      <c r="AM227" s="2001"/>
      <c r="AN227" s="2001"/>
      <c r="AO227" s="2001"/>
      <c r="AP227" s="2001"/>
      <c r="AQ227" s="2001"/>
      <c r="AR227" s="2001">
        <v>7</v>
      </c>
      <c r="AS227" s="2001"/>
      <c r="AT227" s="2001"/>
      <c r="AU227" s="105"/>
      <c r="AV227" s="105"/>
      <c r="AW227" s="105">
        <v>7</v>
      </c>
      <c r="AX227" s="41"/>
      <c r="AZ227" s="42"/>
      <c r="BA227" s="42"/>
      <c r="BB227" s="42"/>
      <c r="BC227" s="42" t="s">
        <v>1240</v>
      </c>
      <c r="BD227" s="1993"/>
      <c r="BE227" s="1993">
        <v>0</v>
      </c>
      <c r="BF227" s="1993"/>
      <c r="BG227" s="1993"/>
      <c r="BH227" s="1993"/>
      <c r="BI227" s="1993">
        <v>2</v>
      </c>
      <c r="BJ227" s="1993">
        <v>2</v>
      </c>
      <c r="BK227" s="1993"/>
      <c r="BL227" s="1993"/>
      <c r="BM227" s="70"/>
      <c r="BN227" s="70"/>
      <c r="BO227" s="70">
        <v>4</v>
      </c>
      <c r="BR227" s="105"/>
      <c r="BS227" s="105"/>
      <c r="BT227" s="41"/>
      <c r="BU227" s="41" t="s">
        <v>1235</v>
      </c>
      <c r="BV227" s="1659"/>
      <c r="BW227" s="1659"/>
      <c r="BX227" s="1659">
        <v>0</v>
      </c>
      <c r="BY227" s="1659"/>
      <c r="BZ227" s="1659"/>
      <c r="CA227" s="1659"/>
      <c r="CB227" s="1659">
        <v>1</v>
      </c>
      <c r="CC227" s="1659">
        <v>1</v>
      </c>
      <c r="CD227" s="1659">
        <v>0</v>
      </c>
      <c r="CE227" s="105"/>
      <c r="CF227" s="105"/>
      <c r="CG227" s="105">
        <v>2</v>
      </c>
      <c r="CH227" s="105"/>
      <c r="CJ227" s="1359"/>
      <c r="CK227" s="1359"/>
      <c r="CL227" s="1360" t="s">
        <v>142</v>
      </c>
      <c r="CM227" s="1361" t="s">
        <v>1231</v>
      </c>
      <c r="CN227" s="1362"/>
      <c r="CO227" s="1362"/>
      <c r="CP227" s="1362"/>
      <c r="CQ227" s="1362"/>
      <c r="CR227" s="1362"/>
      <c r="CS227" s="1363">
        <v>10</v>
      </c>
      <c r="CT227" s="1363">
        <v>1</v>
      </c>
      <c r="CU227" s="1362"/>
      <c r="CV227" s="687">
        <v>0</v>
      </c>
      <c r="CW227" s="686"/>
      <c r="CX227" s="687">
        <v>11</v>
      </c>
      <c r="CY227" s="41"/>
      <c r="DA227" s="602"/>
      <c r="DB227" s="602"/>
      <c r="DC227" s="603"/>
      <c r="DD227" s="630" t="s">
        <v>545</v>
      </c>
      <c r="DE227" s="632">
        <v>9</v>
      </c>
      <c r="DF227" s="632">
        <v>4</v>
      </c>
      <c r="DG227" s="632">
        <v>37</v>
      </c>
      <c r="DH227" s="632">
        <v>5</v>
      </c>
      <c r="DI227" s="632">
        <v>2</v>
      </c>
      <c r="DJ227" s="632">
        <v>112</v>
      </c>
      <c r="DK227" s="632">
        <v>14</v>
      </c>
      <c r="DL227" s="632">
        <v>11</v>
      </c>
      <c r="DM227" s="633"/>
      <c r="DN227" s="633"/>
      <c r="DO227" s="634">
        <v>194</v>
      </c>
      <c r="DP227" s="635">
        <f>+(DO222+DO225+DO226)/DO227</f>
        <v>0.24742268041237114</v>
      </c>
      <c r="DR227" s="608"/>
      <c r="DS227" s="608"/>
      <c r="DT227" s="608"/>
      <c r="DU227" s="609" t="s">
        <v>1344</v>
      </c>
      <c r="DV227" s="610"/>
      <c r="DW227" s="611">
        <v>0</v>
      </c>
      <c r="DX227" s="610"/>
      <c r="DY227" s="610"/>
      <c r="DZ227" s="610"/>
      <c r="EA227" s="611">
        <v>0</v>
      </c>
      <c r="EB227" s="611">
        <v>5</v>
      </c>
      <c r="EC227" s="611">
        <v>1</v>
      </c>
      <c r="ED227" s="611">
        <v>1</v>
      </c>
      <c r="EE227" s="613">
        <v>0</v>
      </c>
      <c r="EF227" s="612"/>
      <c r="EG227" s="613">
        <v>7</v>
      </c>
      <c r="EH227" s="614"/>
      <c r="EL227" s="615"/>
      <c r="EM227" s="616" t="s">
        <v>1239</v>
      </c>
      <c r="EN227" s="617"/>
      <c r="EO227" s="618">
        <v>0</v>
      </c>
      <c r="EP227" s="618">
        <v>0</v>
      </c>
      <c r="EQ227" s="618">
        <v>0</v>
      </c>
      <c r="ER227" s="617"/>
      <c r="ES227" s="618">
        <v>0</v>
      </c>
      <c r="ET227" s="618">
        <v>1</v>
      </c>
      <c r="EU227" s="618">
        <v>19</v>
      </c>
      <c r="EV227" s="617"/>
      <c r="EW227" s="617"/>
      <c r="EX227" s="618">
        <v>20</v>
      </c>
      <c r="EY227" s="515"/>
      <c r="FA227" s="70"/>
      <c r="FB227" s="70"/>
      <c r="FC227" s="70"/>
      <c r="FD227" s="42" t="s">
        <v>1344</v>
      </c>
      <c r="FE227" s="70"/>
      <c r="FF227" s="70"/>
      <c r="FG227" s="70">
        <v>9</v>
      </c>
      <c r="FH227" s="70">
        <v>1</v>
      </c>
      <c r="FI227" s="70"/>
      <c r="FJ227" s="70"/>
      <c r="FK227" s="70"/>
      <c r="FL227" s="70"/>
      <c r="FM227" s="70"/>
      <c r="FN227" s="70"/>
      <c r="FO227" s="70">
        <v>10</v>
      </c>
      <c r="FP227" s="42"/>
      <c r="FQ227" s="42"/>
      <c r="FR227" s="516"/>
      <c r="FS227" s="516"/>
      <c r="FT227" s="516"/>
      <c r="FU227" s="516" t="s">
        <v>1236</v>
      </c>
      <c r="FV227" s="516">
        <v>0</v>
      </c>
      <c r="FW227" s="516">
        <v>0</v>
      </c>
      <c r="FX227" s="516">
        <v>1</v>
      </c>
      <c r="FY227" s="516">
        <v>0</v>
      </c>
      <c r="FZ227" s="516">
        <v>0</v>
      </c>
      <c r="GA227" s="516">
        <v>0</v>
      </c>
      <c r="GB227" s="516">
        <v>1</v>
      </c>
      <c r="GC227" s="516">
        <v>0</v>
      </c>
      <c r="GD227" s="516">
        <v>0</v>
      </c>
      <c r="GE227" s="516">
        <v>0</v>
      </c>
      <c r="GF227" s="516">
        <v>0</v>
      </c>
      <c r="GG227" s="517">
        <v>2</v>
      </c>
      <c r="GH227" s="516"/>
      <c r="GI227" s="518"/>
    </row>
    <row r="228" spans="3:191">
      <c r="D228" s="4800" t="s">
        <v>2963</v>
      </c>
      <c r="E228" s="4606">
        <v>1</v>
      </c>
      <c r="F228" s="4606">
        <v>0</v>
      </c>
      <c r="G228" s="4606"/>
      <c r="H228" s="4606"/>
      <c r="I228" s="4606"/>
      <c r="J228" s="4606"/>
      <c r="K228" s="4606">
        <v>0</v>
      </c>
      <c r="L228" s="4606">
        <v>0</v>
      </c>
      <c r="M228" s="4606"/>
      <c r="N228" s="2552"/>
      <c r="O228" s="2552"/>
      <c r="P228" s="2552">
        <v>1</v>
      </c>
      <c r="Q228" s="2552"/>
      <c r="R228" s="2552"/>
      <c r="V228" s="1793" t="s">
        <v>15</v>
      </c>
      <c r="W228" s="4804"/>
      <c r="X228" s="4804">
        <v>2</v>
      </c>
      <c r="Y228" s="4804"/>
      <c r="Z228" s="4804"/>
      <c r="AA228" s="4804"/>
      <c r="AB228" s="4804">
        <v>9</v>
      </c>
      <c r="AC228" s="4804"/>
      <c r="AD228" s="4804"/>
      <c r="AE228" s="4702"/>
      <c r="AF228" s="4702">
        <v>11</v>
      </c>
      <c r="AG228" s="4703">
        <v>0</v>
      </c>
      <c r="AI228" s="41"/>
      <c r="AJ228" s="41"/>
      <c r="AK228" s="41"/>
      <c r="AL228" s="461" t="s">
        <v>15</v>
      </c>
      <c r="AM228" s="2002"/>
      <c r="AN228" s="2002"/>
      <c r="AO228" s="2002"/>
      <c r="AP228" s="2002"/>
      <c r="AQ228" s="2002"/>
      <c r="AR228" s="2002">
        <v>7</v>
      </c>
      <c r="AS228" s="2002"/>
      <c r="AT228" s="2002"/>
      <c r="AU228" s="2480"/>
      <c r="AV228" s="2480"/>
      <c r="AW228" s="2480">
        <v>7</v>
      </c>
      <c r="AX228" s="635">
        <f>+AW227/AW228</f>
        <v>1</v>
      </c>
      <c r="AY228" s="1977"/>
      <c r="AZ228" s="42"/>
      <c r="BA228" s="42"/>
      <c r="BB228" s="42"/>
      <c r="BC228" s="42" t="s">
        <v>1344</v>
      </c>
      <c r="BD228" s="1993"/>
      <c r="BE228" s="1993">
        <v>0</v>
      </c>
      <c r="BF228" s="1993"/>
      <c r="BG228" s="1993"/>
      <c r="BH228" s="1993"/>
      <c r="BI228" s="1993">
        <v>2</v>
      </c>
      <c r="BJ228" s="1993">
        <v>6</v>
      </c>
      <c r="BK228" s="1993"/>
      <c r="BL228" s="1993"/>
      <c r="BM228" s="70"/>
      <c r="BN228" s="70"/>
      <c r="BO228" s="70">
        <v>8</v>
      </c>
      <c r="BR228" s="105"/>
      <c r="BS228" s="105"/>
      <c r="BT228" s="41"/>
      <c r="BU228" s="41" t="s">
        <v>1240</v>
      </c>
      <c r="BV228" s="1659"/>
      <c r="BW228" s="1659"/>
      <c r="BX228" s="1659">
        <v>0</v>
      </c>
      <c r="BY228" s="1659"/>
      <c r="BZ228" s="1659"/>
      <c r="CA228" s="1659"/>
      <c r="CB228" s="1659">
        <v>2</v>
      </c>
      <c r="CC228" s="1659">
        <v>0</v>
      </c>
      <c r="CD228" s="1659">
        <v>1</v>
      </c>
      <c r="CE228" s="105"/>
      <c r="CF228" s="105"/>
      <c r="CG228" s="105">
        <v>3</v>
      </c>
      <c r="CH228" s="105"/>
      <c r="CJ228" s="1359"/>
      <c r="CK228" s="1359"/>
      <c r="CL228" s="1360"/>
      <c r="CM228" s="1361" t="s">
        <v>1235</v>
      </c>
      <c r="CN228" s="1362"/>
      <c r="CO228" s="1362"/>
      <c r="CP228" s="1362"/>
      <c r="CQ228" s="1362"/>
      <c r="CR228" s="1362"/>
      <c r="CS228" s="1363">
        <v>4</v>
      </c>
      <c r="CT228" s="1363">
        <v>0</v>
      </c>
      <c r="CU228" s="1362"/>
      <c r="CV228" s="687">
        <v>0</v>
      </c>
      <c r="CW228" s="686"/>
      <c r="CX228" s="687">
        <v>4</v>
      </c>
      <c r="CY228" s="41"/>
      <c r="DA228" s="602"/>
      <c r="DB228" s="602" t="s">
        <v>41</v>
      </c>
      <c r="DC228" s="603" t="s">
        <v>138</v>
      </c>
      <c r="DD228" s="604" t="s">
        <v>1231</v>
      </c>
      <c r="DE228" s="605"/>
      <c r="DF228" s="605"/>
      <c r="DG228" s="606">
        <v>18</v>
      </c>
      <c r="DH228" s="606">
        <v>0</v>
      </c>
      <c r="DI228" s="605"/>
      <c r="DJ228" s="605"/>
      <c r="DK228" s="605"/>
      <c r="DL228" s="605"/>
      <c r="DM228" s="602"/>
      <c r="DN228" s="602"/>
      <c r="DO228" s="607">
        <v>18</v>
      </c>
      <c r="DP228" s="105"/>
      <c r="DR228" s="608"/>
      <c r="DS228" s="608"/>
      <c r="DT228" s="608"/>
      <c r="DU228" s="620" t="s">
        <v>844</v>
      </c>
      <c r="DV228" s="621"/>
      <c r="DW228" s="622">
        <v>1</v>
      </c>
      <c r="DX228" s="621"/>
      <c r="DY228" s="621"/>
      <c r="DZ228" s="621"/>
      <c r="EA228" s="622">
        <v>2</v>
      </c>
      <c r="EB228" s="622">
        <v>47</v>
      </c>
      <c r="EC228" s="622">
        <v>5</v>
      </c>
      <c r="ED228" s="622">
        <v>2</v>
      </c>
      <c r="EE228" s="624">
        <v>1</v>
      </c>
      <c r="EF228" s="623"/>
      <c r="EG228" s="624">
        <v>58</v>
      </c>
      <c r="EH228" s="614">
        <f>+(EG227+EG226+EG224)/EG228</f>
        <v>0.39655172413793105</v>
      </c>
      <c r="EL228" s="615"/>
      <c r="EM228" s="616" t="s">
        <v>1240</v>
      </c>
      <c r="EN228" s="617"/>
      <c r="EO228" s="618">
        <v>0</v>
      </c>
      <c r="EP228" s="618">
        <v>5</v>
      </c>
      <c r="EQ228" s="618">
        <v>4</v>
      </c>
      <c r="ER228" s="617"/>
      <c r="ES228" s="618">
        <v>3</v>
      </c>
      <c r="ET228" s="618">
        <v>2</v>
      </c>
      <c r="EU228" s="618">
        <v>0</v>
      </c>
      <c r="EV228" s="617"/>
      <c r="EW228" s="617"/>
      <c r="EX228" s="618">
        <v>14</v>
      </c>
      <c r="EY228" s="515"/>
      <c r="FA228" s="70"/>
      <c r="FB228" s="70"/>
      <c r="FC228" s="70"/>
      <c r="FD228" s="484" t="s">
        <v>15</v>
      </c>
      <c r="FE228" s="454"/>
      <c r="FF228" s="454"/>
      <c r="FG228" s="454">
        <v>14</v>
      </c>
      <c r="FH228" s="454">
        <v>2</v>
      </c>
      <c r="FI228" s="454"/>
      <c r="FJ228" s="454"/>
      <c r="FK228" s="454"/>
      <c r="FL228" s="454"/>
      <c r="FM228" s="454"/>
      <c r="FN228" s="454"/>
      <c r="FO228" s="454">
        <v>16</v>
      </c>
      <c r="FP228" s="536">
        <f>+(FO224+FO226+FO227)/FO228</f>
        <v>0.875</v>
      </c>
      <c r="FQ228" s="42"/>
      <c r="FR228" s="516"/>
      <c r="FS228" s="516"/>
      <c r="FT228" s="516"/>
      <c r="FU228" s="516" t="s">
        <v>1239</v>
      </c>
      <c r="FV228" s="516">
        <v>0</v>
      </c>
      <c r="FW228" s="516">
        <v>0</v>
      </c>
      <c r="FX228" s="516">
        <v>0</v>
      </c>
      <c r="FY228" s="516">
        <v>0</v>
      </c>
      <c r="FZ228" s="516">
        <v>0</v>
      </c>
      <c r="GA228" s="516">
        <v>0</v>
      </c>
      <c r="GB228" s="516">
        <v>0</v>
      </c>
      <c r="GC228" s="516">
        <v>7</v>
      </c>
      <c r="GD228" s="516">
        <v>10</v>
      </c>
      <c r="GE228" s="516">
        <v>0</v>
      </c>
      <c r="GF228" s="516">
        <v>0</v>
      </c>
      <c r="GG228" s="517">
        <v>17</v>
      </c>
      <c r="GH228" s="516"/>
      <c r="GI228" s="518"/>
    </row>
    <row r="229" spans="3:191">
      <c r="D229" s="4800" t="s">
        <v>1344</v>
      </c>
      <c r="E229" s="4606">
        <v>0</v>
      </c>
      <c r="F229" s="4606">
        <v>0</v>
      </c>
      <c r="G229" s="4606"/>
      <c r="H229" s="4606"/>
      <c r="I229" s="4606"/>
      <c r="J229" s="4606"/>
      <c r="K229" s="4606">
        <v>0</v>
      </c>
      <c r="L229" s="4606">
        <v>1</v>
      </c>
      <c r="M229" s="4606"/>
      <c r="N229" s="2552"/>
      <c r="O229" s="2552"/>
      <c r="P229" s="2552">
        <v>1</v>
      </c>
      <c r="Q229" s="2552"/>
      <c r="R229" s="2552"/>
      <c r="U229" s="37" t="s">
        <v>141</v>
      </c>
      <c r="V229" s="37" t="s">
        <v>1231</v>
      </c>
      <c r="W229" s="4803">
        <v>1</v>
      </c>
      <c r="X229" s="4803"/>
      <c r="Y229" s="4803">
        <v>1</v>
      </c>
      <c r="Z229" s="4803"/>
      <c r="AA229" s="4803">
        <v>1</v>
      </c>
      <c r="AB229" s="4803">
        <v>3</v>
      </c>
      <c r="AC229" s="4803">
        <v>1</v>
      </c>
      <c r="AD229" s="4803">
        <v>0</v>
      </c>
      <c r="AE229" s="1788">
        <v>0</v>
      </c>
      <c r="AF229" s="1788">
        <v>7</v>
      </c>
      <c r="AI229" s="41"/>
      <c r="AJ229" s="41"/>
      <c r="AK229" s="41" t="s">
        <v>111</v>
      </c>
      <c r="AL229" s="41" t="s">
        <v>1344</v>
      </c>
      <c r="AM229" s="2001"/>
      <c r="AN229" s="2001"/>
      <c r="AO229" s="2001">
        <v>1</v>
      </c>
      <c r="AP229" s="2001"/>
      <c r="AQ229" s="2001"/>
      <c r="AR229" s="2001"/>
      <c r="AS229" s="2001"/>
      <c r="AT229" s="2001"/>
      <c r="AU229" s="105"/>
      <c r="AV229" s="105"/>
      <c r="AW229" s="105">
        <v>1</v>
      </c>
      <c r="AX229" s="41"/>
      <c r="AZ229" s="42"/>
      <c r="BA229" s="42"/>
      <c r="BB229" s="42"/>
      <c r="BC229" s="484" t="s">
        <v>15</v>
      </c>
      <c r="BD229" s="1994"/>
      <c r="BE229" s="1994">
        <v>1</v>
      </c>
      <c r="BF229" s="1994"/>
      <c r="BG229" s="1994"/>
      <c r="BH229" s="1994"/>
      <c r="BI229" s="1994">
        <v>5</v>
      </c>
      <c r="BJ229" s="1994">
        <v>9</v>
      </c>
      <c r="BK229" s="1994"/>
      <c r="BL229" s="1994"/>
      <c r="BM229" s="454"/>
      <c r="BN229" s="454"/>
      <c r="BO229" s="454">
        <v>15</v>
      </c>
      <c r="BP229" s="2485">
        <f>+(BO226+BO227+BO228)/BO229</f>
        <v>0.8666666666666667</v>
      </c>
      <c r="BR229" s="105"/>
      <c r="BS229" s="105"/>
      <c r="BT229" s="41"/>
      <c r="BU229" s="41" t="s">
        <v>1344</v>
      </c>
      <c r="BV229" s="1659"/>
      <c r="BW229" s="1659"/>
      <c r="BX229" s="1659">
        <v>0</v>
      </c>
      <c r="BY229" s="1659"/>
      <c r="BZ229" s="1659"/>
      <c r="CA229" s="1659"/>
      <c r="CB229" s="1659">
        <v>6</v>
      </c>
      <c r="CC229" s="1659">
        <v>3</v>
      </c>
      <c r="CD229" s="1659">
        <v>0</v>
      </c>
      <c r="CE229" s="105"/>
      <c r="CF229" s="105"/>
      <c r="CG229" s="105">
        <v>9</v>
      </c>
      <c r="CH229" s="105"/>
      <c r="CJ229" s="1359"/>
      <c r="CK229" s="1359"/>
      <c r="CL229" s="1360"/>
      <c r="CM229" s="1361" t="s">
        <v>1239</v>
      </c>
      <c r="CN229" s="1362"/>
      <c r="CO229" s="1362"/>
      <c r="CP229" s="1362"/>
      <c r="CQ229" s="1362"/>
      <c r="CR229" s="1362"/>
      <c r="CS229" s="1363">
        <v>0</v>
      </c>
      <c r="CT229" s="1363">
        <v>1</v>
      </c>
      <c r="CU229" s="1362"/>
      <c r="CV229" s="687">
        <v>1</v>
      </c>
      <c r="CW229" s="686"/>
      <c r="CX229" s="687">
        <v>2</v>
      </c>
      <c r="CY229" s="41"/>
      <c r="DA229" s="602"/>
      <c r="DB229" s="602"/>
      <c r="DC229" s="603"/>
      <c r="DD229" s="604" t="s">
        <v>1240</v>
      </c>
      <c r="DE229" s="605"/>
      <c r="DF229" s="605"/>
      <c r="DG229" s="606">
        <v>1</v>
      </c>
      <c r="DH229" s="606">
        <v>0</v>
      </c>
      <c r="DI229" s="605"/>
      <c r="DJ229" s="605"/>
      <c r="DK229" s="605"/>
      <c r="DL229" s="605"/>
      <c r="DM229" s="602"/>
      <c r="DN229" s="602"/>
      <c r="DO229" s="607">
        <v>1</v>
      </c>
      <c r="DP229" s="105"/>
      <c r="DR229" s="608"/>
      <c r="DS229" s="608"/>
      <c r="DT229" s="620" t="s">
        <v>442</v>
      </c>
      <c r="DU229" s="609" t="s">
        <v>1230</v>
      </c>
      <c r="DV229" s="611">
        <v>0</v>
      </c>
      <c r="DW229" s="611">
        <v>0</v>
      </c>
      <c r="DX229" s="610"/>
      <c r="DY229" s="611">
        <v>0</v>
      </c>
      <c r="DZ229" s="610"/>
      <c r="EA229" s="611">
        <v>0</v>
      </c>
      <c r="EB229" s="611">
        <v>0</v>
      </c>
      <c r="EC229" s="611">
        <v>0</v>
      </c>
      <c r="ED229" s="611">
        <v>0</v>
      </c>
      <c r="EE229" s="613">
        <v>1</v>
      </c>
      <c r="EF229" s="612"/>
      <c r="EG229" s="613">
        <v>1</v>
      </c>
      <c r="EH229" s="614"/>
      <c r="EL229" s="615"/>
      <c r="EM229" s="616" t="s">
        <v>1344</v>
      </c>
      <c r="EN229" s="617"/>
      <c r="EO229" s="618">
        <v>0</v>
      </c>
      <c r="EP229" s="618">
        <v>8</v>
      </c>
      <c r="EQ229" s="618">
        <v>0</v>
      </c>
      <c r="ER229" s="617"/>
      <c r="ES229" s="618">
        <v>7</v>
      </c>
      <c r="ET229" s="618">
        <v>6</v>
      </c>
      <c r="EU229" s="618">
        <v>0</v>
      </c>
      <c r="EV229" s="617"/>
      <c r="EW229" s="617"/>
      <c r="EX229" s="618">
        <v>21</v>
      </c>
      <c r="EY229" s="515"/>
      <c r="FA229" s="70"/>
      <c r="FB229" s="70"/>
      <c r="FC229" s="70" t="s">
        <v>41</v>
      </c>
      <c r="FD229" s="42" t="s">
        <v>1230</v>
      </c>
      <c r="FE229" s="70"/>
      <c r="FF229" s="70"/>
      <c r="FG229" s="70">
        <v>0</v>
      </c>
      <c r="FH229" s="70">
        <v>0</v>
      </c>
      <c r="FI229" s="70">
        <v>0</v>
      </c>
      <c r="FJ229" s="70">
        <v>0</v>
      </c>
      <c r="FK229" s="70">
        <v>0</v>
      </c>
      <c r="FL229" s="70">
        <v>2</v>
      </c>
      <c r="FM229" s="70"/>
      <c r="FN229" s="70">
        <v>0</v>
      </c>
      <c r="FO229" s="70">
        <v>2</v>
      </c>
      <c r="FP229" s="42"/>
      <c r="FQ229" s="42"/>
      <c r="FR229" s="516"/>
      <c r="FS229" s="516"/>
      <c r="FT229" s="516"/>
      <c r="FU229" s="516" t="s">
        <v>1240</v>
      </c>
      <c r="FV229" s="516">
        <v>0</v>
      </c>
      <c r="FW229" s="516">
        <v>0</v>
      </c>
      <c r="FX229" s="516">
        <v>0</v>
      </c>
      <c r="FY229" s="516">
        <v>3</v>
      </c>
      <c r="FZ229" s="516">
        <v>0</v>
      </c>
      <c r="GA229" s="516">
        <v>0</v>
      </c>
      <c r="GB229" s="516">
        <v>8</v>
      </c>
      <c r="GC229" s="516">
        <v>3</v>
      </c>
      <c r="GD229" s="516">
        <v>0</v>
      </c>
      <c r="GE229" s="516">
        <v>0</v>
      </c>
      <c r="GF229" s="516">
        <v>0</v>
      </c>
      <c r="GG229" s="517">
        <v>14</v>
      </c>
      <c r="GH229" s="516"/>
      <c r="GI229" s="518"/>
    </row>
    <row r="230" spans="3:191">
      <c r="D230" s="4800" t="s">
        <v>15</v>
      </c>
      <c r="E230" s="4606">
        <v>1</v>
      </c>
      <c r="F230" s="4606">
        <v>2</v>
      </c>
      <c r="G230" s="4606"/>
      <c r="H230" s="4606"/>
      <c r="I230" s="4606"/>
      <c r="J230" s="4606"/>
      <c r="K230" s="4606">
        <v>1</v>
      </c>
      <c r="L230" s="4606">
        <v>2</v>
      </c>
      <c r="M230" s="4606"/>
      <c r="N230" s="2552"/>
      <c r="O230" s="2552"/>
      <c r="P230" s="2552">
        <v>6</v>
      </c>
      <c r="Q230" s="1977">
        <f>+(P227+P229)/(P230-P228)</f>
        <v>0.6</v>
      </c>
      <c r="R230" s="1977"/>
      <c r="V230" s="37" t="s">
        <v>1235</v>
      </c>
      <c r="W230" s="4803">
        <v>0</v>
      </c>
      <c r="X230" s="4803"/>
      <c r="Y230" s="4803">
        <v>0</v>
      </c>
      <c r="Z230" s="4803"/>
      <c r="AA230" s="4803">
        <v>0</v>
      </c>
      <c r="AB230" s="4803">
        <v>0</v>
      </c>
      <c r="AC230" s="4803">
        <v>1</v>
      </c>
      <c r="AD230" s="4803">
        <v>2</v>
      </c>
      <c r="AE230" s="1788">
        <v>0</v>
      </c>
      <c r="AF230" s="1788">
        <v>3</v>
      </c>
      <c r="AI230" s="41"/>
      <c r="AJ230" s="41"/>
      <c r="AK230" s="41"/>
      <c r="AL230" s="461" t="s">
        <v>15</v>
      </c>
      <c r="AM230" s="2002"/>
      <c r="AN230" s="2002"/>
      <c r="AO230" s="2002">
        <v>1</v>
      </c>
      <c r="AP230" s="2002"/>
      <c r="AQ230" s="2002"/>
      <c r="AR230" s="2002"/>
      <c r="AS230" s="2002"/>
      <c r="AT230" s="2002"/>
      <c r="AU230" s="2480"/>
      <c r="AV230" s="2480"/>
      <c r="AW230" s="2480">
        <v>1</v>
      </c>
      <c r="AX230" s="635">
        <f>+AW229/AW230</f>
        <v>1</v>
      </c>
      <c r="AY230" s="1977"/>
      <c r="AZ230" s="42"/>
      <c r="BA230" s="42"/>
      <c r="BB230" s="42" t="s">
        <v>444</v>
      </c>
      <c r="BC230" s="42" t="s">
        <v>1231</v>
      </c>
      <c r="BD230" s="1993"/>
      <c r="BE230" s="1993">
        <v>0</v>
      </c>
      <c r="BF230" s="1993"/>
      <c r="BG230" s="1993"/>
      <c r="BH230" s="1993"/>
      <c r="BI230" s="1993"/>
      <c r="BJ230" s="1993">
        <v>6</v>
      </c>
      <c r="BK230" s="1993"/>
      <c r="BL230" s="1993"/>
      <c r="BM230" s="70"/>
      <c r="BN230" s="70"/>
      <c r="BO230" s="70">
        <v>6</v>
      </c>
      <c r="BR230" s="105"/>
      <c r="BS230" s="105"/>
      <c r="BT230" s="41"/>
      <c r="BU230" s="461" t="s">
        <v>15</v>
      </c>
      <c r="BV230" s="1660"/>
      <c r="BW230" s="1660"/>
      <c r="BX230" s="1660">
        <v>1</v>
      </c>
      <c r="BY230" s="1660"/>
      <c r="BZ230" s="1660"/>
      <c r="CA230" s="1660"/>
      <c r="CB230" s="1660">
        <v>14</v>
      </c>
      <c r="CC230" s="1660">
        <v>5</v>
      </c>
      <c r="CD230" s="1660">
        <v>1</v>
      </c>
      <c r="CE230" s="96"/>
      <c r="CF230" s="96"/>
      <c r="CG230" s="96">
        <v>21</v>
      </c>
      <c r="CH230" s="635">
        <f>+(CG227+CG228+CG229)/CG230</f>
        <v>0.66666666666666663</v>
      </c>
      <c r="CJ230" s="1359"/>
      <c r="CK230" s="1359"/>
      <c r="CL230" s="1360"/>
      <c r="CM230" s="1361" t="s">
        <v>1240</v>
      </c>
      <c r="CN230" s="1362"/>
      <c r="CO230" s="1362"/>
      <c r="CP230" s="1362"/>
      <c r="CQ230" s="1362"/>
      <c r="CR230" s="1362"/>
      <c r="CS230" s="1363">
        <v>2</v>
      </c>
      <c r="CT230" s="1363">
        <v>3</v>
      </c>
      <c r="CU230" s="1362"/>
      <c r="CV230" s="687">
        <v>0</v>
      </c>
      <c r="CW230" s="686"/>
      <c r="CX230" s="687">
        <v>5</v>
      </c>
      <c r="CY230" s="41"/>
      <c r="DA230" s="602"/>
      <c r="DB230" s="602"/>
      <c r="DC230" s="603"/>
      <c r="DD230" s="604" t="s">
        <v>1344</v>
      </c>
      <c r="DE230" s="605"/>
      <c r="DF230" s="605"/>
      <c r="DG230" s="606">
        <v>0</v>
      </c>
      <c r="DH230" s="606">
        <v>1</v>
      </c>
      <c r="DI230" s="605"/>
      <c r="DJ230" s="605"/>
      <c r="DK230" s="605"/>
      <c r="DL230" s="605"/>
      <c r="DM230" s="602"/>
      <c r="DN230" s="602"/>
      <c r="DO230" s="607">
        <v>1</v>
      </c>
      <c r="DP230" s="105"/>
      <c r="DR230" s="608"/>
      <c r="DS230" s="608"/>
      <c r="DT230" s="608"/>
      <c r="DU230" s="609" t="s">
        <v>1231</v>
      </c>
      <c r="DV230" s="611">
        <v>2</v>
      </c>
      <c r="DW230" s="611">
        <v>3</v>
      </c>
      <c r="DX230" s="610"/>
      <c r="DY230" s="611">
        <v>6</v>
      </c>
      <c r="DZ230" s="610"/>
      <c r="EA230" s="611">
        <v>2</v>
      </c>
      <c r="EB230" s="611">
        <v>48</v>
      </c>
      <c r="EC230" s="611">
        <v>11</v>
      </c>
      <c r="ED230" s="611">
        <v>0</v>
      </c>
      <c r="EE230" s="613">
        <v>0</v>
      </c>
      <c r="EF230" s="612"/>
      <c r="EG230" s="613">
        <v>72</v>
      </c>
      <c r="EH230" s="614"/>
      <c r="EL230" s="615"/>
      <c r="EM230" s="625" t="s">
        <v>545</v>
      </c>
      <c r="EN230" s="626"/>
      <c r="EO230" s="627">
        <v>1</v>
      </c>
      <c r="EP230" s="627">
        <v>35</v>
      </c>
      <c r="EQ230" s="627">
        <v>10</v>
      </c>
      <c r="ER230" s="626"/>
      <c r="ES230" s="627">
        <v>53</v>
      </c>
      <c r="ET230" s="627">
        <v>18</v>
      </c>
      <c r="EU230" s="627">
        <v>19</v>
      </c>
      <c r="EV230" s="626"/>
      <c r="EW230" s="626"/>
      <c r="EX230" s="627">
        <v>136</v>
      </c>
      <c r="EY230" s="628">
        <f>+(EX229+EX228+EX226)/EX230</f>
        <v>0.3235294117647059</v>
      </c>
      <c r="FA230" s="70"/>
      <c r="FB230" s="70"/>
      <c r="FC230" s="70"/>
      <c r="FD230" s="42" t="s">
        <v>1231</v>
      </c>
      <c r="FE230" s="70"/>
      <c r="FF230" s="70"/>
      <c r="FG230" s="70">
        <v>1</v>
      </c>
      <c r="FH230" s="70">
        <v>0</v>
      </c>
      <c r="FI230" s="70">
        <v>1</v>
      </c>
      <c r="FJ230" s="70">
        <v>29</v>
      </c>
      <c r="FK230" s="70">
        <v>3</v>
      </c>
      <c r="FL230" s="70">
        <v>1</v>
      </c>
      <c r="FM230" s="70"/>
      <c r="FN230" s="70">
        <v>0</v>
      </c>
      <c r="FO230" s="70">
        <v>35</v>
      </c>
      <c r="FP230" s="42"/>
      <c r="FQ230" s="42"/>
      <c r="FR230" s="516"/>
      <c r="FS230" s="516"/>
      <c r="FT230" s="516"/>
      <c r="FU230" s="516" t="s">
        <v>1344</v>
      </c>
      <c r="FV230" s="516">
        <v>0</v>
      </c>
      <c r="FW230" s="516">
        <v>0</v>
      </c>
      <c r="FX230" s="516">
        <v>0</v>
      </c>
      <c r="FY230" s="516">
        <v>3</v>
      </c>
      <c r="FZ230" s="516">
        <v>0</v>
      </c>
      <c r="GA230" s="516">
        <v>0</v>
      </c>
      <c r="GB230" s="516">
        <v>11</v>
      </c>
      <c r="GC230" s="516">
        <v>3</v>
      </c>
      <c r="GD230" s="516">
        <v>0</v>
      </c>
      <c r="GE230" s="516">
        <v>0</v>
      </c>
      <c r="GF230" s="516">
        <v>0</v>
      </c>
      <c r="GG230" s="517">
        <v>17</v>
      </c>
      <c r="GH230" s="516"/>
      <c r="GI230" s="518"/>
    </row>
    <row r="231" spans="3:191">
      <c r="C231" s="4800" t="s">
        <v>2283</v>
      </c>
      <c r="D231" s="4800" t="s">
        <v>1230</v>
      </c>
      <c r="E231" s="4606"/>
      <c r="F231" s="4606">
        <v>0</v>
      </c>
      <c r="G231" s="4606"/>
      <c r="H231" s="4606"/>
      <c r="I231" s="4606"/>
      <c r="J231" s="4606">
        <v>1</v>
      </c>
      <c r="K231" s="4606">
        <v>0</v>
      </c>
      <c r="L231" s="4606"/>
      <c r="M231" s="4606"/>
      <c r="N231" s="2552"/>
      <c r="O231" s="2552"/>
      <c r="P231" s="2552">
        <v>1</v>
      </c>
      <c r="Q231" s="2552"/>
      <c r="R231" s="2552"/>
      <c r="V231" s="37" t="s">
        <v>1239</v>
      </c>
      <c r="W231" s="4803">
        <v>0</v>
      </c>
      <c r="X231" s="4803"/>
      <c r="Y231" s="4803">
        <v>0</v>
      </c>
      <c r="Z231" s="4803"/>
      <c r="AA231" s="4803">
        <v>0</v>
      </c>
      <c r="AB231" s="4803">
        <v>0</v>
      </c>
      <c r="AC231" s="4803">
        <v>1</v>
      </c>
      <c r="AD231" s="4803">
        <v>1</v>
      </c>
      <c r="AE231" s="1788">
        <v>1</v>
      </c>
      <c r="AF231" s="1788">
        <v>3</v>
      </c>
      <c r="AI231" s="41"/>
      <c r="AJ231" s="41"/>
      <c r="AK231" s="41" t="s">
        <v>509</v>
      </c>
      <c r="AL231" s="41" t="s">
        <v>1230</v>
      </c>
      <c r="AM231" s="2001"/>
      <c r="AN231" s="2001">
        <v>0</v>
      </c>
      <c r="AO231" s="2001">
        <v>0</v>
      </c>
      <c r="AP231" s="2001">
        <v>0</v>
      </c>
      <c r="AQ231" s="2001">
        <v>1</v>
      </c>
      <c r="AR231" s="2001">
        <v>0</v>
      </c>
      <c r="AS231" s="2001">
        <v>0</v>
      </c>
      <c r="AT231" s="2001"/>
      <c r="AU231" s="105">
        <v>0</v>
      </c>
      <c r="AV231" s="105"/>
      <c r="AW231" s="105">
        <v>1</v>
      </c>
      <c r="AX231" s="41"/>
      <c r="AZ231" s="42"/>
      <c r="BA231" s="42"/>
      <c r="BB231" s="42"/>
      <c r="BC231" s="42" t="s">
        <v>1233</v>
      </c>
      <c r="BD231" s="1993"/>
      <c r="BE231" s="1993">
        <v>1</v>
      </c>
      <c r="BF231" s="1993"/>
      <c r="BG231" s="1993"/>
      <c r="BH231" s="1993"/>
      <c r="BI231" s="1993"/>
      <c r="BJ231" s="1993">
        <v>0</v>
      </c>
      <c r="BK231" s="1993"/>
      <c r="BL231" s="1993"/>
      <c r="BM231" s="70"/>
      <c r="BN231" s="70"/>
      <c r="BO231" s="70">
        <v>1</v>
      </c>
      <c r="BR231" s="105"/>
      <c r="BS231" s="105"/>
      <c r="BT231" s="41" t="s">
        <v>591</v>
      </c>
      <c r="BU231" s="41" t="s">
        <v>1231</v>
      </c>
      <c r="BV231" s="1659"/>
      <c r="BW231" s="1659"/>
      <c r="BX231" s="1659">
        <v>2</v>
      </c>
      <c r="BY231" s="1659"/>
      <c r="BZ231" s="1659"/>
      <c r="CA231" s="1659"/>
      <c r="CB231" s="1659">
        <v>14</v>
      </c>
      <c r="CC231" s="1659">
        <v>1</v>
      </c>
      <c r="CD231" s="1659"/>
      <c r="CE231" s="105"/>
      <c r="CF231" s="105"/>
      <c r="CG231" s="105">
        <v>17</v>
      </c>
      <c r="CH231" s="105"/>
      <c r="CJ231" s="1359"/>
      <c r="CK231" s="1359"/>
      <c r="CL231" s="1360"/>
      <c r="CM231" s="1361" t="s">
        <v>1344</v>
      </c>
      <c r="CN231" s="1362"/>
      <c r="CO231" s="1362"/>
      <c r="CP231" s="1362"/>
      <c r="CQ231" s="1362"/>
      <c r="CR231" s="1362"/>
      <c r="CS231" s="1363">
        <v>2</v>
      </c>
      <c r="CT231" s="1363">
        <v>0</v>
      </c>
      <c r="CU231" s="1362"/>
      <c r="CV231" s="687">
        <v>0</v>
      </c>
      <c r="CW231" s="686"/>
      <c r="CX231" s="687">
        <v>2</v>
      </c>
      <c r="CY231" s="41"/>
      <c r="DA231" s="602"/>
      <c r="DB231" s="602"/>
      <c r="DC231" s="603"/>
      <c r="DD231" s="630" t="s">
        <v>15</v>
      </c>
      <c r="DE231" s="631"/>
      <c r="DF231" s="631"/>
      <c r="DG231" s="632">
        <v>19</v>
      </c>
      <c r="DH231" s="632">
        <v>1</v>
      </c>
      <c r="DI231" s="631"/>
      <c r="DJ231" s="631"/>
      <c r="DK231" s="631"/>
      <c r="DL231" s="631"/>
      <c r="DM231" s="633"/>
      <c r="DN231" s="633"/>
      <c r="DO231" s="634">
        <v>20</v>
      </c>
      <c r="DP231" s="635">
        <f>+(DO229+DO230)/DO231</f>
        <v>0.1</v>
      </c>
      <c r="DR231" s="608"/>
      <c r="DS231" s="608"/>
      <c r="DT231" s="608"/>
      <c r="DU231" s="609" t="s">
        <v>1235</v>
      </c>
      <c r="DV231" s="611">
        <v>0</v>
      </c>
      <c r="DW231" s="611">
        <v>0</v>
      </c>
      <c r="DX231" s="610"/>
      <c r="DY231" s="611">
        <v>4</v>
      </c>
      <c r="DZ231" s="610"/>
      <c r="EA231" s="611">
        <v>1</v>
      </c>
      <c r="EB231" s="611">
        <v>7</v>
      </c>
      <c r="EC231" s="611">
        <v>2</v>
      </c>
      <c r="ED231" s="611">
        <v>0</v>
      </c>
      <c r="EE231" s="613">
        <v>0</v>
      </c>
      <c r="EF231" s="612"/>
      <c r="EG231" s="613">
        <v>14</v>
      </c>
      <c r="EH231" s="614"/>
      <c r="EL231" s="615" t="s">
        <v>547</v>
      </c>
      <c r="EM231" s="616" t="s">
        <v>1231</v>
      </c>
      <c r="EN231" s="617"/>
      <c r="EO231" s="618">
        <v>0</v>
      </c>
      <c r="EP231" s="618">
        <v>4</v>
      </c>
      <c r="EQ231" s="618">
        <v>1</v>
      </c>
      <c r="ER231" s="618">
        <v>0</v>
      </c>
      <c r="ES231" s="618">
        <v>17</v>
      </c>
      <c r="ET231" s="618">
        <v>5</v>
      </c>
      <c r="EU231" s="618">
        <v>1</v>
      </c>
      <c r="EV231" s="617"/>
      <c r="EW231" s="618">
        <v>0</v>
      </c>
      <c r="EX231" s="618">
        <v>28</v>
      </c>
      <c r="EY231" s="515"/>
      <c r="FA231" s="70"/>
      <c r="FB231" s="70"/>
      <c r="FC231" s="70"/>
      <c r="FD231" s="42" t="s">
        <v>1233</v>
      </c>
      <c r="FE231" s="70"/>
      <c r="FF231" s="70"/>
      <c r="FG231" s="70">
        <v>1</v>
      </c>
      <c r="FH231" s="70">
        <v>0</v>
      </c>
      <c r="FI231" s="70">
        <v>0</v>
      </c>
      <c r="FJ231" s="70">
        <v>0</v>
      </c>
      <c r="FK231" s="70">
        <v>0</v>
      </c>
      <c r="FL231" s="70">
        <v>0</v>
      </c>
      <c r="FM231" s="70"/>
      <c r="FN231" s="70">
        <v>0</v>
      </c>
      <c r="FO231" s="70">
        <v>1</v>
      </c>
      <c r="FP231" s="42"/>
      <c r="FQ231" s="42"/>
      <c r="FR231" s="516"/>
      <c r="FS231" s="516"/>
      <c r="FT231" s="516"/>
      <c r="FU231" s="519" t="s">
        <v>15</v>
      </c>
      <c r="FV231" s="519">
        <v>0</v>
      </c>
      <c r="FW231" s="519">
        <v>1</v>
      </c>
      <c r="FX231" s="519">
        <v>4</v>
      </c>
      <c r="FY231" s="519">
        <v>11</v>
      </c>
      <c r="FZ231" s="519">
        <v>4</v>
      </c>
      <c r="GA231" s="519">
        <v>1</v>
      </c>
      <c r="GB231" s="519">
        <v>75</v>
      </c>
      <c r="GC231" s="519">
        <v>14</v>
      </c>
      <c r="GD231" s="519">
        <v>10</v>
      </c>
      <c r="GE231" s="519">
        <v>0</v>
      </c>
      <c r="GF231" s="519">
        <v>0</v>
      </c>
      <c r="GG231" s="579">
        <v>120</v>
      </c>
      <c r="GH231" s="520">
        <f>+(GG230+GG229+GG226)/GG231</f>
        <v>0.31666666666666665</v>
      </c>
      <c r="GI231" s="518">
        <f>+GG226+GG229+GG230</f>
        <v>38</v>
      </c>
    </row>
    <row r="232" spans="3:191">
      <c r="D232" s="4800" t="s">
        <v>1231</v>
      </c>
      <c r="E232" s="4606"/>
      <c r="F232" s="4606">
        <v>1</v>
      </c>
      <c r="G232" s="4606"/>
      <c r="H232" s="4606"/>
      <c r="I232" s="4606"/>
      <c r="J232" s="4606">
        <v>0</v>
      </c>
      <c r="K232" s="4606">
        <v>9</v>
      </c>
      <c r="L232" s="4606"/>
      <c r="M232" s="4606"/>
      <c r="N232" s="2552"/>
      <c r="O232" s="2552"/>
      <c r="P232" s="2552">
        <v>10</v>
      </c>
      <c r="Q232" s="2552"/>
      <c r="R232" s="2552"/>
      <c r="V232" s="37" t="s">
        <v>1240</v>
      </c>
      <c r="W232" s="4803">
        <v>0</v>
      </c>
      <c r="X232" s="4803"/>
      <c r="Y232" s="4803">
        <v>0</v>
      </c>
      <c r="Z232" s="4803"/>
      <c r="AA232" s="4803">
        <v>0</v>
      </c>
      <c r="AB232" s="4803">
        <v>0</v>
      </c>
      <c r="AC232" s="4803">
        <v>1</v>
      </c>
      <c r="AD232" s="4803">
        <v>1</v>
      </c>
      <c r="AE232" s="1788">
        <v>0</v>
      </c>
      <c r="AF232" s="1788">
        <v>2</v>
      </c>
      <c r="AI232" s="41"/>
      <c r="AJ232" s="41"/>
      <c r="AK232" s="41"/>
      <c r="AL232" s="41" t="s">
        <v>1231</v>
      </c>
      <c r="AM232" s="2001"/>
      <c r="AN232" s="2001">
        <v>3</v>
      </c>
      <c r="AO232" s="2001">
        <v>2</v>
      </c>
      <c r="AP232" s="2001">
        <v>1</v>
      </c>
      <c r="AQ232" s="2001">
        <v>1</v>
      </c>
      <c r="AR232" s="2001">
        <v>2</v>
      </c>
      <c r="AS232" s="2001">
        <v>1</v>
      </c>
      <c r="AT232" s="2001"/>
      <c r="AU232" s="105">
        <v>0</v>
      </c>
      <c r="AV232" s="105"/>
      <c r="AW232" s="105">
        <v>10</v>
      </c>
      <c r="AX232" s="41"/>
      <c r="AZ232" s="42"/>
      <c r="BA232" s="42"/>
      <c r="BB232" s="42"/>
      <c r="BC232" s="484" t="s">
        <v>15</v>
      </c>
      <c r="BD232" s="1994"/>
      <c r="BE232" s="1994">
        <v>1</v>
      </c>
      <c r="BF232" s="1994"/>
      <c r="BG232" s="1994"/>
      <c r="BH232" s="1994"/>
      <c r="BI232" s="1994"/>
      <c r="BJ232" s="1994">
        <v>6</v>
      </c>
      <c r="BK232" s="1994"/>
      <c r="BL232" s="1994"/>
      <c r="BM232" s="454"/>
      <c r="BN232" s="454"/>
      <c r="BO232" s="454">
        <v>7</v>
      </c>
      <c r="BP232" s="2485">
        <v>0</v>
      </c>
      <c r="BR232" s="105"/>
      <c r="BS232" s="105"/>
      <c r="BT232" s="41"/>
      <c r="BU232" s="41" t="s">
        <v>1235</v>
      </c>
      <c r="BV232" s="1659"/>
      <c r="BW232" s="1659"/>
      <c r="BX232" s="1659">
        <v>0</v>
      </c>
      <c r="BY232" s="1659"/>
      <c r="BZ232" s="1659"/>
      <c r="CA232" s="1659"/>
      <c r="CB232" s="1659">
        <v>2</v>
      </c>
      <c r="CC232" s="1659">
        <v>0</v>
      </c>
      <c r="CD232" s="1659"/>
      <c r="CE232" s="105"/>
      <c r="CF232" s="105"/>
      <c r="CG232" s="105">
        <v>2</v>
      </c>
      <c r="CH232" s="105"/>
      <c r="CJ232" s="1359"/>
      <c r="CK232" s="1359"/>
      <c r="CL232" s="1360"/>
      <c r="CM232" s="483" t="s">
        <v>15</v>
      </c>
      <c r="CN232" s="1364"/>
      <c r="CO232" s="1364"/>
      <c r="CP232" s="1364"/>
      <c r="CQ232" s="1364"/>
      <c r="CR232" s="1364"/>
      <c r="CS232" s="1365">
        <v>18</v>
      </c>
      <c r="CT232" s="1365">
        <v>5</v>
      </c>
      <c r="CU232" s="1364"/>
      <c r="CV232" s="696">
        <v>1</v>
      </c>
      <c r="CW232" s="695"/>
      <c r="CX232" s="696">
        <v>24</v>
      </c>
      <c r="CY232" s="1325">
        <f>+(CX228+CX230+CX231)/CX232</f>
        <v>0.45833333333333331</v>
      </c>
      <c r="DA232" s="602"/>
      <c r="DB232" s="602"/>
      <c r="DC232" s="603" t="s">
        <v>139</v>
      </c>
      <c r="DD232" s="604" t="s">
        <v>1230</v>
      </c>
      <c r="DE232" s="606">
        <v>0</v>
      </c>
      <c r="DF232" s="605"/>
      <c r="DG232" s="605"/>
      <c r="DH232" s="605"/>
      <c r="DI232" s="605"/>
      <c r="DJ232" s="606">
        <v>0</v>
      </c>
      <c r="DK232" s="606">
        <v>0</v>
      </c>
      <c r="DL232" s="606">
        <v>1</v>
      </c>
      <c r="DM232" s="602"/>
      <c r="DN232" s="602"/>
      <c r="DO232" s="607">
        <v>1</v>
      </c>
      <c r="DP232" s="105"/>
      <c r="DR232" s="608"/>
      <c r="DS232" s="608"/>
      <c r="DT232" s="608"/>
      <c r="DU232" s="609" t="s">
        <v>1239</v>
      </c>
      <c r="DV232" s="611">
        <v>0</v>
      </c>
      <c r="DW232" s="611">
        <v>0</v>
      </c>
      <c r="DX232" s="610"/>
      <c r="DY232" s="611">
        <v>0</v>
      </c>
      <c r="DZ232" s="610"/>
      <c r="EA232" s="611">
        <v>1</v>
      </c>
      <c r="EB232" s="611">
        <v>0</v>
      </c>
      <c r="EC232" s="611">
        <v>0</v>
      </c>
      <c r="ED232" s="611">
        <v>0</v>
      </c>
      <c r="EE232" s="613">
        <v>1</v>
      </c>
      <c r="EF232" s="612"/>
      <c r="EG232" s="613">
        <v>2</v>
      </c>
      <c r="EH232" s="614"/>
      <c r="EL232" s="615"/>
      <c r="EM232" s="616" t="s">
        <v>1233</v>
      </c>
      <c r="EN232" s="617"/>
      <c r="EO232" s="618">
        <v>1</v>
      </c>
      <c r="EP232" s="618">
        <v>0</v>
      </c>
      <c r="EQ232" s="618">
        <v>0</v>
      </c>
      <c r="ER232" s="618">
        <v>0</v>
      </c>
      <c r="ES232" s="618">
        <v>0</v>
      </c>
      <c r="ET232" s="618">
        <v>0</v>
      </c>
      <c r="EU232" s="618">
        <v>0</v>
      </c>
      <c r="EV232" s="617"/>
      <c r="EW232" s="618">
        <v>0</v>
      </c>
      <c r="EX232" s="618">
        <v>1</v>
      </c>
      <c r="EY232" s="515"/>
      <c r="FA232" s="70"/>
      <c r="FB232" s="70"/>
      <c r="FC232" s="70"/>
      <c r="FD232" s="42" t="s">
        <v>1235</v>
      </c>
      <c r="FE232" s="70"/>
      <c r="FF232" s="70"/>
      <c r="FG232" s="70">
        <v>0</v>
      </c>
      <c r="FH232" s="70">
        <v>0</v>
      </c>
      <c r="FI232" s="70">
        <v>0</v>
      </c>
      <c r="FJ232" s="70">
        <v>2</v>
      </c>
      <c r="FK232" s="70">
        <v>2</v>
      </c>
      <c r="FL232" s="70">
        <v>0</v>
      </c>
      <c r="FM232" s="70"/>
      <c r="FN232" s="70">
        <v>0</v>
      </c>
      <c r="FO232" s="70">
        <v>4</v>
      </c>
      <c r="FP232" s="42"/>
      <c r="FQ232" s="42"/>
      <c r="FR232" s="516"/>
      <c r="FS232" s="516"/>
      <c r="FT232" s="516" t="s">
        <v>41</v>
      </c>
      <c r="FU232" s="516" t="s">
        <v>1230</v>
      </c>
      <c r="FV232" s="516">
        <v>0</v>
      </c>
      <c r="FW232" s="516">
        <v>0</v>
      </c>
      <c r="FX232" s="516">
        <v>0</v>
      </c>
      <c r="FY232" s="516">
        <v>0</v>
      </c>
      <c r="FZ232" s="516">
        <v>0</v>
      </c>
      <c r="GA232" s="516">
        <v>0</v>
      </c>
      <c r="GB232" s="516">
        <v>1</v>
      </c>
      <c r="GC232" s="516">
        <v>1</v>
      </c>
      <c r="GD232" s="516">
        <v>1</v>
      </c>
      <c r="GE232" s="516">
        <v>0</v>
      </c>
      <c r="GF232" s="516">
        <v>0</v>
      </c>
      <c r="GG232" s="517">
        <v>3</v>
      </c>
      <c r="GH232" s="516"/>
      <c r="GI232" s="518"/>
    </row>
    <row r="233" spans="3:191">
      <c r="D233" s="4800" t="s">
        <v>1240</v>
      </c>
      <c r="E233" s="4606"/>
      <c r="F233" s="4606">
        <v>0</v>
      </c>
      <c r="G233" s="4606"/>
      <c r="H233" s="4606"/>
      <c r="I233" s="4606"/>
      <c r="J233" s="4606">
        <v>0</v>
      </c>
      <c r="K233" s="4606">
        <v>4</v>
      </c>
      <c r="L233" s="4606"/>
      <c r="M233" s="4606"/>
      <c r="N233" s="2552"/>
      <c r="O233" s="2552"/>
      <c r="P233" s="2552">
        <v>4</v>
      </c>
      <c r="Q233" s="2552"/>
      <c r="R233" s="2552"/>
      <c r="V233" s="37" t="s">
        <v>1344</v>
      </c>
      <c r="W233" s="4803">
        <v>0</v>
      </c>
      <c r="X233" s="4803"/>
      <c r="Y233" s="4803">
        <v>0</v>
      </c>
      <c r="Z233" s="4803"/>
      <c r="AA233" s="4803">
        <v>0</v>
      </c>
      <c r="AB233" s="4803">
        <v>0</v>
      </c>
      <c r="AC233" s="4803">
        <v>2</v>
      </c>
      <c r="AD233" s="4803">
        <v>0</v>
      </c>
      <c r="AE233" s="1788">
        <v>0</v>
      </c>
      <c r="AF233" s="1788">
        <v>2</v>
      </c>
      <c r="AI233" s="41"/>
      <c r="AJ233" s="41"/>
      <c r="AK233" s="41"/>
      <c r="AL233" s="41" t="s">
        <v>1233</v>
      </c>
      <c r="AM233" s="2001"/>
      <c r="AN233" s="2001">
        <v>0</v>
      </c>
      <c r="AO233" s="2001">
        <v>0</v>
      </c>
      <c r="AP233" s="2001">
        <v>1</v>
      </c>
      <c r="AQ233" s="2001">
        <v>1</v>
      </c>
      <c r="AR233" s="2001">
        <v>0</v>
      </c>
      <c r="AS233" s="2001">
        <v>0</v>
      </c>
      <c r="AT233" s="2001"/>
      <c r="AU233" s="105">
        <v>0</v>
      </c>
      <c r="AV233" s="105"/>
      <c r="AW233" s="105">
        <v>2</v>
      </c>
      <c r="AX233" s="41"/>
      <c r="AZ233" s="42"/>
      <c r="BA233" s="42"/>
      <c r="BB233" s="42" t="s">
        <v>141</v>
      </c>
      <c r="BC233" s="42" t="s">
        <v>1231</v>
      </c>
      <c r="BD233" s="1993"/>
      <c r="BE233" s="1993"/>
      <c r="BF233" s="1993"/>
      <c r="BG233" s="1993"/>
      <c r="BH233" s="1993"/>
      <c r="BI233" s="1993"/>
      <c r="BJ233" s="1993">
        <v>4</v>
      </c>
      <c r="BK233" s="1993">
        <v>2</v>
      </c>
      <c r="BL233" s="1993">
        <v>2</v>
      </c>
      <c r="BM233" s="70"/>
      <c r="BN233" s="70"/>
      <c r="BO233" s="70">
        <v>8</v>
      </c>
      <c r="BR233" s="105"/>
      <c r="BS233" s="105"/>
      <c r="BT233" s="41"/>
      <c r="BU233" s="41" t="s">
        <v>1240</v>
      </c>
      <c r="BV233" s="1659"/>
      <c r="BW233" s="1659"/>
      <c r="BX233" s="1659">
        <v>0</v>
      </c>
      <c r="BY233" s="1659"/>
      <c r="BZ233" s="1659"/>
      <c r="CA233" s="1659"/>
      <c r="CB233" s="1659">
        <v>2</v>
      </c>
      <c r="CC233" s="1659">
        <v>1</v>
      </c>
      <c r="CD233" s="1659"/>
      <c r="CE233" s="105"/>
      <c r="CF233" s="105"/>
      <c r="CG233" s="105">
        <v>3</v>
      </c>
      <c r="CH233" s="105"/>
      <c r="CJ233" s="1359"/>
      <c r="CK233" s="1359"/>
      <c r="CL233" s="1360" t="s">
        <v>112</v>
      </c>
      <c r="CM233" s="1361" t="s">
        <v>1233</v>
      </c>
      <c r="CN233" s="1362"/>
      <c r="CO233" s="1363">
        <v>1</v>
      </c>
      <c r="CP233" s="1362"/>
      <c r="CQ233" s="1362"/>
      <c r="CR233" s="1362"/>
      <c r="CS233" s="1362"/>
      <c r="CT233" s="1362"/>
      <c r="CU233" s="1362"/>
      <c r="CV233" s="686"/>
      <c r="CW233" s="686"/>
      <c r="CX233" s="687">
        <v>1</v>
      </c>
      <c r="CY233" s="41"/>
      <c r="DA233" s="602"/>
      <c r="DB233" s="602"/>
      <c r="DC233" s="603"/>
      <c r="DD233" s="604" t="s">
        <v>1231</v>
      </c>
      <c r="DE233" s="606">
        <v>1</v>
      </c>
      <c r="DF233" s="605"/>
      <c r="DG233" s="605"/>
      <c r="DH233" s="605"/>
      <c r="DI233" s="605"/>
      <c r="DJ233" s="606">
        <v>3</v>
      </c>
      <c r="DK233" s="606">
        <v>6</v>
      </c>
      <c r="DL233" s="606">
        <v>0</v>
      </c>
      <c r="DM233" s="602"/>
      <c r="DN233" s="602"/>
      <c r="DO233" s="607">
        <v>10</v>
      </c>
      <c r="DP233" s="105"/>
      <c r="DR233" s="608"/>
      <c r="DS233" s="608"/>
      <c r="DT233" s="608"/>
      <c r="DU233" s="609" t="s">
        <v>1240</v>
      </c>
      <c r="DV233" s="611">
        <v>0</v>
      </c>
      <c r="DW233" s="611">
        <v>0</v>
      </c>
      <c r="DX233" s="610"/>
      <c r="DY233" s="611">
        <v>5</v>
      </c>
      <c r="DZ233" s="610"/>
      <c r="EA233" s="611">
        <v>3</v>
      </c>
      <c r="EB233" s="611">
        <v>15</v>
      </c>
      <c r="EC233" s="611">
        <v>3</v>
      </c>
      <c r="ED233" s="611">
        <v>1</v>
      </c>
      <c r="EE233" s="613">
        <v>0</v>
      </c>
      <c r="EF233" s="612"/>
      <c r="EG233" s="613">
        <v>27</v>
      </c>
      <c r="EH233" s="614"/>
      <c r="EL233" s="615"/>
      <c r="EM233" s="616" t="s">
        <v>1235</v>
      </c>
      <c r="EN233" s="617"/>
      <c r="EO233" s="618">
        <v>0</v>
      </c>
      <c r="EP233" s="618">
        <v>0</v>
      </c>
      <c r="EQ233" s="618">
        <v>0</v>
      </c>
      <c r="ER233" s="618">
        <v>0</v>
      </c>
      <c r="ES233" s="618">
        <v>3</v>
      </c>
      <c r="ET233" s="618">
        <v>0</v>
      </c>
      <c r="EU233" s="618">
        <v>1</v>
      </c>
      <c r="EV233" s="617"/>
      <c r="EW233" s="618">
        <v>0</v>
      </c>
      <c r="EX233" s="618">
        <v>4</v>
      </c>
      <c r="EY233" s="515"/>
      <c r="FA233" s="70"/>
      <c r="FB233" s="70"/>
      <c r="FC233" s="70"/>
      <c r="FD233" s="42" t="s">
        <v>1236</v>
      </c>
      <c r="FE233" s="70"/>
      <c r="FF233" s="70"/>
      <c r="FG233" s="70">
        <v>1</v>
      </c>
      <c r="FH233" s="70">
        <v>1</v>
      </c>
      <c r="FI233" s="70">
        <v>0</v>
      </c>
      <c r="FJ233" s="70">
        <v>0</v>
      </c>
      <c r="FK233" s="70">
        <v>0</v>
      </c>
      <c r="FL233" s="70">
        <v>0</v>
      </c>
      <c r="FM233" s="70"/>
      <c r="FN233" s="70">
        <v>0</v>
      </c>
      <c r="FO233" s="70">
        <v>2</v>
      </c>
      <c r="FP233" s="42"/>
      <c r="FQ233" s="42"/>
      <c r="FR233" s="516"/>
      <c r="FS233" s="516"/>
      <c r="FT233" s="516"/>
      <c r="FU233" s="516" t="s">
        <v>1231</v>
      </c>
      <c r="FV233" s="516">
        <v>0</v>
      </c>
      <c r="FW233" s="516">
        <v>0</v>
      </c>
      <c r="FX233" s="516">
        <v>1</v>
      </c>
      <c r="FY233" s="516">
        <v>0</v>
      </c>
      <c r="FZ233" s="516">
        <v>0</v>
      </c>
      <c r="GA233" s="516">
        <v>0</v>
      </c>
      <c r="GB233" s="516">
        <v>23</v>
      </c>
      <c r="GC233" s="516">
        <v>4</v>
      </c>
      <c r="GD233" s="516">
        <v>0</v>
      </c>
      <c r="GE233" s="516">
        <v>0</v>
      </c>
      <c r="GF233" s="516">
        <v>0</v>
      </c>
      <c r="GG233" s="517">
        <v>28</v>
      </c>
      <c r="GH233" s="516"/>
      <c r="GI233" s="518"/>
    </row>
    <row r="234" spans="3:191">
      <c r="D234" s="4800" t="s">
        <v>1344</v>
      </c>
      <c r="E234" s="4606"/>
      <c r="F234" s="4606">
        <v>0</v>
      </c>
      <c r="G234" s="4606"/>
      <c r="H234" s="4606"/>
      <c r="I234" s="4606"/>
      <c r="J234" s="4606">
        <v>0</v>
      </c>
      <c r="K234" s="4606">
        <v>4</v>
      </c>
      <c r="L234" s="4606"/>
      <c r="M234" s="4606"/>
      <c r="N234" s="2552"/>
      <c r="O234" s="2552"/>
      <c r="P234" s="2552">
        <v>4</v>
      </c>
      <c r="Q234" s="2552"/>
      <c r="R234" s="2552"/>
      <c r="V234" s="1793" t="s">
        <v>15</v>
      </c>
      <c r="W234" s="4804">
        <v>1</v>
      </c>
      <c r="X234" s="4804"/>
      <c r="Y234" s="4804">
        <v>1</v>
      </c>
      <c r="Z234" s="4804"/>
      <c r="AA234" s="4804">
        <v>1</v>
      </c>
      <c r="AB234" s="4804">
        <v>3</v>
      </c>
      <c r="AC234" s="4804">
        <v>6</v>
      </c>
      <c r="AD234" s="4804">
        <v>4</v>
      </c>
      <c r="AE234" s="4702">
        <v>1</v>
      </c>
      <c r="AF234" s="4702">
        <v>17</v>
      </c>
      <c r="AG234" s="4703">
        <f>+(AF230+AF232+AF233)/AF234</f>
        <v>0.41176470588235292</v>
      </c>
      <c r="AI234" s="41"/>
      <c r="AJ234" s="41"/>
      <c r="AK234" s="41"/>
      <c r="AL234" s="41" t="s">
        <v>1235</v>
      </c>
      <c r="AM234" s="2001"/>
      <c r="AN234" s="2001">
        <v>0</v>
      </c>
      <c r="AO234" s="2001">
        <v>0</v>
      </c>
      <c r="AP234" s="2001">
        <v>0</v>
      </c>
      <c r="AQ234" s="2001">
        <v>0</v>
      </c>
      <c r="AR234" s="2001">
        <v>1</v>
      </c>
      <c r="AS234" s="2001">
        <v>1</v>
      </c>
      <c r="AT234" s="2001"/>
      <c r="AU234" s="105">
        <v>1</v>
      </c>
      <c r="AV234" s="105"/>
      <c r="AW234" s="105">
        <v>3</v>
      </c>
      <c r="AX234" s="41"/>
      <c r="AZ234" s="42"/>
      <c r="BA234" s="42"/>
      <c r="BB234" s="42"/>
      <c r="BC234" s="42" t="s">
        <v>1235</v>
      </c>
      <c r="BD234" s="1993"/>
      <c r="BE234" s="1993"/>
      <c r="BF234" s="1993"/>
      <c r="BG234" s="1993"/>
      <c r="BH234" s="1993"/>
      <c r="BI234" s="1993"/>
      <c r="BJ234" s="1993">
        <v>1</v>
      </c>
      <c r="BK234" s="1993">
        <v>0</v>
      </c>
      <c r="BL234" s="1993">
        <v>0</v>
      </c>
      <c r="BM234" s="70"/>
      <c r="BN234" s="70"/>
      <c r="BO234" s="70">
        <v>1</v>
      </c>
      <c r="BR234" s="105"/>
      <c r="BS234" s="105"/>
      <c r="BT234" s="41"/>
      <c r="BU234" s="461" t="s">
        <v>15</v>
      </c>
      <c r="BV234" s="1660"/>
      <c r="BW234" s="1660"/>
      <c r="BX234" s="1660">
        <v>2</v>
      </c>
      <c r="BY234" s="1660"/>
      <c r="BZ234" s="1660"/>
      <c r="CA234" s="1660"/>
      <c r="CB234" s="1660">
        <v>18</v>
      </c>
      <c r="CC234" s="1660">
        <v>2</v>
      </c>
      <c r="CD234" s="1660"/>
      <c r="CE234" s="96"/>
      <c r="CF234" s="96"/>
      <c r="CG234" s="96">
        <v>22</v>
      </c>
      <c r="CH234" s="635">
        <f>+(CG232+CG233)/CG234</f>
        <v>0.22727272727272727</v>
      </c>
      <c r="CJ234" s="1359"/>
      <c r="CK234" s="1359"/>
      <c r="CL234" s="1360"/>
      <c r="CM234" s="483" t="s">
        <v>15</v>
      </c>
      <c r="CN234" s="1364"/>
      <c r="CO234" s="1365">
        <v>1</v>
      </c>
      <c r="CP234" s="1364"/>
      <c r="CQ234" s="1364"/>
      <c r="CR234" s="1364"/>
      <c r="CS234" s="1364"/>
      <c r="CT234" s="1364"/>
      <c r="CU234" s="1364"/>
      <c r="CV234" s="695"/>
      <c r="CW234" s="695"/>
      <c r="CX234" s="696">
        <v>1</v>
      </c>
      <c r="CY234" s="41"/>
      <c r="DA234" s="602"/>
      <c r="DB234" s="602"/>
      <c r="DC234" s="603"/>
      <c r="DD234" s="604" t="s">
        <v>1235</v>
      </c>
      <c r="DE234" s="606">
        <v>0</v>
      </c>
      <c r="DF234" s="605"/>
      <c r="DG234" s="605"/>
      <c r="DH234" s="605"/>
      <c r="DI234" s="605"/>
      <c r="DJ234" s="606">
        <v>0</v>
      </c>
      <c r="DK234" s="606">
        <v>1</v>
      </c>
      <c r="DL234" s="606">
        <v>0</v>
      </c>
      <c r="DM234" s="602"/>
      <c r="DN234" s="602"/>
      <c r="DO234" s="607">
        <v>1</v>
      </c>
      <c r="DP234" s="105"/>
      <c r="DR234" s="608"/>
      <c r="DS234" s="608"/>
      <c r="DT234" s="608"/>
      <c r="DU234" s="609" t="s">
        <v>1344</v>
      </c>
      <c r="DV234" s="611">
        <v>1</v>
      </c>
      <c r="DW234" s="611">
        <v>0</v>
      </c>
      <c r="DX234" s="610"/>
      <c r="DY234" s="611">
        <v>4</v>
      </c>
      <c r="DZ234" s="610"/>
      <c r="EA234" s="611">
        <v>1</v>
      </c>
      <c r="EB234" s="611">
        <v>12</v>
      </c>
      <c r="EC234" s="611">
        <v>3</v>
      </c>
      <c r="ED234" s="611">
        <v>1</v>
      </c>
      <c r="EE234" s="613">
        <v>0</v>
      </c>
      <c r="EF234" s="612"/>
      <c r="EG234" s="613">
        <v>22</v>
      </c>
      <c r="EH234" s="614"/>
      <c r="EL234" s="615"/>
      <c r="EM234" s="616" t="s">
        <v>1236</v>
      </c>
      <c r="EN234" s="617"/>
      <c r="EO234" s="618">
        <v>0</v>
      </c>
      <c r="EP234" s="618">
        <v>2</v>
      </c>
      <c r="EQ234" s="618">
        <v>0</v>
      </c>
      <c r="ER234" s="618">
        <v>0</v>
      </c>
      <c r="ES234" s="618">
        <v>1</v>
      </c>
      <c r="ET234" s="618">
        <v>0</v>
      </c>
      <c r="EU234" s="618">
        <v>0</v>
      </c>
      <c r="EV234" s="617"/>
      <c r="EW234" s="618">
        <v>0</v>
      </c>
      <c r="EX234" s="618">
        <v>3</v>
      </c>
      <c r="EY234" s="515"/>
      <c r="FA234" s="70"/>
      <c r="FB234" s="70"/>
      <c r="FC234" s="70"/>
      <c r="FD234" s="42" t="s">
        <v>1239</v>
      </c>
      <c r="FE234" s="70"/>
      <c r="FF234" s="70"/>
      <c r="FG234" s="70">
        <v>0</v>
      </c>
      <c r="FH234" s="70">
        <v>0</v>
      </c>
      <c r="FI234" s="70">
        <v>0</v>
      </c>
      <c r="FJ234" s="70">
        <v>0</v>
      </c>
      <c r="FK234" s="70">
        <v>0</v>
      </c>
      <c r="FL234" s="70">
        <v>4</v>
      </c>
      <c r="FM234" s="70"/>
      <c r="FN234" s="70">
        <v>2</v>
      </c>
      <c r="FO234" s="70">
        <v>6</v>
      </c>
      <c r="FP234" s="42"/>
      <c r="FQ234" s="42"/>
      <c r="FR234" s="516"/>
      <c r="FS234" s="516"/>
      <c r="FT234" s="516"/>
      <c r="FU234" s="516" t="s">
        <v>1235</v>
      </c>
      <c r="FV234" s="516">
        <v>0</v>
      </c>
      <c r="FW234" s="516">
        <v>0</v>
      </c>
      <c r="FX234" s="516">
        <v>0</v>
      </c>
      <c r="FY234" s="516">
        <v>0</v>
      </c>
      <c r="FZ234" s="516">
        <v>0</v>
      </c>
      <c r="GA234" s="516">
        <v>0</v>
      </c>
      <c r="GB234" s="516">
        <v>4</v>
      </c>
      <c r="GC234" s="516">
        <v>1</v>
      </c>
      <c r="GD234" s="516">
        <v>1</v>
      </c>
      <c r="GE234" s="516">
        <v>0</v>
      </c>
      <c r="GF234" s="516">
        <v>0</v>
      </c>
      <c r="GG234" s="517">
        <v>6</v>
      </c>
      <c r="GH234" s="516"/>
      <c r="GI234" s="518"/>
    </row>
    <row r="235" spans="3:191">
      <c r="D235" s="4800" t="s">
        <v>15</v>
      </c>
      <c r="E235" s="4606"/>
      <c r="F235" s="4606">
        <v>1</v>
      </c>
      <c r="G235" s="4606"/>
      <c r="H235" s="4606"/>
      <c r="I235" s="4606"/>
      <c r="J235" s="4606">
        <v>1</v>
      </c>
      <c r="K235" s="4606">
        <v>17</v>
      </c>
      <c r="L235" s="4606"/>
      <c r="M235" s="4606"/>
      <c r="N235" s="2552"/>
      <c r="O235" s="2552"/>
      <c r="P235" s="2552">
        <v>19</v>
      </c>
      <c r="Q235" s="1977">
        <f>+(P233+P234)/(P235)</f>
        <v>0.42105263157894735</v>
      </c>
      <c r="R235" s="1977"/>
      <c r="U235" s="37" t="s">
        <v>142</v>
      </c>
      <c r="V235" s="37" t="s">
        <v>1230</v>
      </c>
      <c r="W235" s="4803"/>
      <c r="X235" s="4803"/>
      <c r="Y235" s="4803"/>
      <c r="Z235" s="4803">
        <v>0</v>
      </c>
      <c r="AA235" s="4803"/>
      <c r="AB235" s="4803">
        <v>0</v>
      </c>
      <c r="AC235" s="4803">
        <v>1</v>
      </c>
      <c r="AD235" s="4803">
        <v>0</v>
      </c>
      <c r="AE235" s="1788"/>
      <c r="AF235" s="1788">
        <v>1</v>
      </c>
      <c r="AI235" s="41"/>
      <c r="AJ235" s="41"/>
      <c r="AK235" s="41"/>
      <c r="AL235" s="41" t="s">
        <v>1239</v>
      </c>
      <c r="AM235" s="2001"/>
      <c r="AN235" s="2001">
        <v>0</v>
      </c>
      <c r="AO235" s="2001">
        <v>0</v>
      </c>
      <c r="AP235" s="2001">
        <v>0</v>
      </c>
      <c r="AQ235" s="2001">
        <v>0</v>
      </c>
      <c r="AR235" s="2001">
        <v>0</v>
      </c>
      <c r="AS235" s="2001">
        <v>0</v>
      </c>
      <c r="AT235" s="2001"/>
      <c r="AU235" s="105">
        <v>1</v>
      </c>
      <c r="AV235" s="105"/>
      <c r="AW235" s="105">
        <v>1</v>
      </c>
      <c r="AX235" s="41"/>
      <c r="AZ235" s="42"/>
      <c r="BA235" s="42"/>
      <c r="BB235" s="42"/>
      <c r="BC235" s="42" t="s">
        <v>1239</v>
      </c>
      <c r="BD235" s="1993"/>
      <c r="BE235" s="1993"/>
      <c r="BF235" s="1993"/>
      <c r="BG235" s="1993"/>
      <c r="BH235" s="1993"/>
      <c r="BI235" s="1993"/>
      <c r="BJ235" s="1993">
        <v>0</v>
      </c>
      <c r="BK235" s="1993">
        <v>0</v>
      </c>
      <c r="BL235" s="1993">
        <v>1</v>
      </c>
      <c r="BM235" s="70"/>
      <c r="BN235" s="70"/>
      <c r="BO235" s="70">
        <v>1</v>
      </c>
      <c r="BR235" s="105"/>
      <c r="BS235" s="105"/>
      <c r="BT235" s="41" t="s">
        <v>1936</v>
      </c>
      <c r="BU235" s="41" t="s">
        <v>1231</v>
      </c>
      <c r="BV235" s="1659"/>
      <c r="BW235" s="1659">
        <v>1</v>
      </c>
      <c r="BX235" s="1659">
        <v>1</v>
      </c>
      <c r="BY235" s="1659"/>
      <c r="BZ235" s="1659"/>
      <c r="CA235" s="1659"/>
      <c r="CB235" s="1659">
        <v>6</v>
      </c>
      <c r="CC235" s="1659"/>
      <c r="CD235" s="1659"/>
      <c r="CE235" s="105"/>
      <c r="CF235" s="105"/>
      <c r="CG235" s="105">
        <v>8</v>
      </c>
      <c r="CH235" s="105"/>
      <c r="CJ235" s="1359"/>
      <c r="CK235" s="1359"/>
      <c r="CL235" s="1360" t="s">
        <v>827</v>
      </c>
      <c r="CM235" s="1361" t="s">
        <v>1231</v>
      </c>
      <c r="CN235" s="1363">
        <v>1</v>
      </c>
      <c r="CO235" s="1362"/>
      <c r="CP235" s="1362"/>
      <c r="CQ235" s="1363">
        <v>3</v>
      </c>
      <c r="CR235" s="1362"/>
      <c r="CS235" s="1362"/>
      <c r="CT235" s="1362"/>
      <c r="CU235" s="1362"/>
      <c r="CV235" s="686"/>
      <c r="CW235" s="686"/>
      <c r="CX235" s="687">
        <v>4</v>
      </c>
      <c r="CY235" s="41"/>
      <c r="DA235" s="602"/>
      <c r="DB235" s="602"/>
      <c r="DC235" s="603"/>
      <c r="DD235" s="604" t="s">
        <v>1344</v>
      </c>
      <c r="DE235" s="606">
        <v>0</v>
      </c>
      <c r="DF235" s="605"/>
      <c r="DG235" s="605"/>
      <c r="DH235" s="605"/>
      <c r="DI235" s="605"/>
      <c r="DJ235" s="606">
        <v>1</v>
      </c>
      <c r="DK235" s="606">
        <v>1</v>
      </c>
      <c r="DL235" s="606">
        <v>0</v>
      </c>
      <c r="DM235" s="602"/>
      <c r="DN235" s="602"/>
      <c r="DO235" s="607">
        <v>2</v>
      </c>
      <c r="DP235" s="105"/>
      <c r="DR235" s="608"/>
      <c r="DS235" s="608"/>
      <c r="DT235" s="608"/>
      <c r="DU235" s="620" t="s">
        <v>442</v>
      </c>
      <c r="DV235" s="622">
        <v>3</v>
      </c>
      <c r="DW235" s="622">
        <v>3</v>
      </c>
      <c r="DX235" s="621"/>
      <c r="DY235" s="622">
        <v>19</v>
      </c>
      <c r="DZ235" s="621"/>
      <c r="EA235" s="622">
        <v>8</v>
      </c>
      <c r="EB235" s="622">
        <v>82</v>
      </c>
      <c r="EC235" s="622">
        <v>19</v>
      </c>
      <c r="ED235" s="622">
        <v>2</v>
      </c>
      <c r="EE235" s="624">
        <v>2</v>
      </c>
      <c r="EF235" s="623"/>
      <c r="EG235" s="624">
        <v>138</v>
      </c>
      <c r="EH235" s="614">
        <f>+(EG234+EG233+EG231)/EG235</f>
        <v>0.45652173913043476</v>
      </c>
      <c r="EL235" s="615"/>
      <c r="EM235" s="616" t="s">
        <v>1239</v>
      </c>
      <c r="EN235" s="617"/>
      <c r="EO235" s="618">
        <v>0</v>
      </c>
      <c r="EP235" s="618">
        <v>0</v>
      </c>
      <c r="EQ235" s="618">
        <v>0</v>
      </c>
      <c r="ER235" s="618">
        <v>0</v>
      </c>
      <c r="ES235" s="618">
        <v>0</v>
      </c>
      <c r="ET235" s="618">
        <v>1</v>
      </c>
      <c r="EU235" s="618">
        <v>14</v>
      </c>
      <c r="EV235" s="617"/>
      <c r="EW235" s="618">
        <v>1</v>
      </c>
      <c r="EX235" s="618">
        <v>16</v>
      </c>
      <c r="EY235" s="515"/>
      <c r="FA235" s="70"/>
      <c r="FB235" s="70"/>
      <c r="FC235" s="70"/>
      <c r="FD235" s="42" t="s">
        <v>1240</v>
      </c>
      <c r="FE235" s="70"/>
      <c r="FF235" s="70"/>
      <c r="FG235" s="70">
        <v>0</v>
      </c>
      <c r="FH235" s="70">
        <v>0</v>
      </c>
      <c r="FI235" s="70">
        <v>0</v>
      </c>
      <c r="FJ235" s="70">
        <v>7</v>
      </c>
      <c r="FK235" s="70">
        <v>0</v>
      </c>
      <c r="FL235" s="70">
        <v>0</v>
      </c>
      <c r="FM235" s="70"/>
      <c r="FN235" s="70">
        <v>0</v>
      </c>
      <c r="FO235" s="70">
        <v>7</v>
      </c>
      <c r="FP235" s="42"/>
      <c r="FQ235" s="42"/>
      <c r="FR235" s="516"/>
      <c r="FS235" s="516"/>
      <c r="FT235" s="516"/>
      <c r="FU235" s="516" t="s">
        <v>1239</v>
      </c>
      <c r="FV235" s="516">
        <v>0</v>
      </c>
      <c r="FW235" s="516">
        <v>0</v>
      </c>
      <c r="FX235" s="516">
        <v>0</v>
      </c>
      <c r="FY235" s="516">
        <v>0</v>
      </c>
      <c r="FZ235" s="516">
        <v>0</v>
      </c>
      <c r="GA235" s="516">
        <v>0</v>
      </c>
      <c r="GB235" s="516">
        <v>1</v>
      </c>
      <c r="GC235" s="516">
        <v>2</v>
      </c>
      <c r="GD235" s="516">
        <v>5</v>
      </c>
      <c r="GE235" s="516">
        <v>1</v>
      </c>
      <c r="GF235" s="516">
        <v>1</v>
      </c>
      <c r="GG235" s="517">
        <v>10</v>
      </c>
      <c r="GH235" s="516"/>
      <c r="GI235" s="518"/>
    </row>
    <row r="236" spans="3:191">
      <c r="C236" s="32" t="s">
        <v>545</v>
      </c>
      <c r="D236" s="32" t="s">
        <v>1230</v>
      </c>
      <c r="E236" s="4607">
        <v>0</v>
      </c>
      <c r="F236" s="4607">
        <v>0</v>
      </c>
      <c r="G236" s="4607"/>
      <c r="H236" s="4607"/>
      <c r="I236" s="4607"/>
      <c r="J236" s="4607">
        <v>1</v>
      </c>
      <c r="K236" s="4607">
        <v>0</v>
      </c>
      <c r="L236" s="4607">
        <v>0</v>
      </c>
      <c r="M236" s="4607"/>
      <c r="N236" s="4583"/>
      <c r="O236" s="4583"/>
      <c r="P236" s="4583">
        <v>1</v>
      </c>
      <c r="Q236" s="4583"/>
      <c r="R236" s="4583"/>
      <c r="V236" s="37" t="s">
        <v>1231</v>
      </c>
      <c r="W236" s="4803"/>
      <c r="X236" s="4803"/>
      <c r="Y236" s="4803"/>
      <c r="Z236" s="4803">
        <v>1</v>
      </c>
      <c r="AA236" s="4803"/>
      <c r="AB236" s="4803">
        <v>4</v>
      </c>
      <c r="AC236" s="4803">
        <v>2</v>
      </c>
      <c r="AD236" s="4803">
        <v>0</v>
      </c>
      <c r="AE236" s="1788"/>
      <c r="AF236" s="1788">
        <v>7</v>
      </c>
      <c r="AI236" s="41"/>
      <c r="AJ236" s="41"/>
      <c r="AK236" s="41"/>
      <c r="AL236" s="41" t="s">
        <v>1240</v>
      </c>
      <c r="AM236" s="2001"/>
      <c r="AN236" s="2001">
        <v>0</v>
      </c>
      <c r="AO236" s="2001">
        <v>0</v>
      </c>
      <c r="AP236" s="2001">
        <v>0</v>
      </c>
      <c r="AQ236" s="2001">
        <v>0</v>
      </c>
      <c r="AR236" s="2001">
        <v>1</v>
      </c>
      <c r="AS236" s="2001">
        <v>0</v>
      </c>
      <c r="AT236" s="2001"/>
      <c r="AU236" s="105">
        <v>0</v>
      </c>
      <c r="AV236" s="105"/>
      <c r="AW236" s="105">
        <v>1</v>
      </c>
      <c r="AX236" s="41"/>
      <c r="AZ236" s="42"/>
      <c r="BA236" s="42"/>
      <c r="BB236" s="42"/>
      <c r="BC236" s="42" t="s">
        <v>1240</v>
      </c>
      <c r="BD236" s="1993"/>
      <c r="BE236" s="1993"/>
      <c r="BF236" s="1993"/>
      <c r="BG236" s="1993"/>
      <c r="BH236" s="1993"/>
      <c r="BI236" s="1993"/>
      <c r="BJ236" s="1993">
        <v>1</v>
      </c>
      <c r="BK236" s="1993">
        <v>0</v>
      </c>
      <c r="BL236" s="1993">
        <v>0</v>
      </c>
      <c r="BM236" s="70"/>
      <c r="BN236" s="70"/>
      <c r="BO236" s="70">
        <v>1</v>
      </c>
      <c r="BR236" s="105"/>
      <c r="BS236" s="105"/>
      <c r="BT236" s="41"/>
      <c r="BU236" s="41" t="s">
        <v>1235</v>
      </c>
      <c r="BV236" s="1659"/>
      <c r="BW236" s="1659">
        <v>0</v>
      </c>
      <c r="BX236" s="1659">
        <v>0</v>
      </c>
      <c r="BY236" s="1659"/>
      <c r="BZ236" s="1659"/>
      <c r="CA236" s="1659"/>
      <c r="CB236" s="1659">
        <v>1</v>
      </c>
      <c r="CC236" s="1659"/>
      <c r="CD236" s="1659"/>
      <c r="CE236" s="105"/>
      <c r="CF236" s="105"/>
      <c r="CG236" s="105">
        <v>1</v>
      </c>
      <c r="CH236" s="105"/>
      <c r="CJ236" s="1359"/>
      <c r="CK236" s="1359"/>
      <c r="CL236" s="1360"/>
      <c r="CM236" s="1361" t="s">
        <v>1235</v>
      </c>
      <c r="CN236" s="1363">
        <v>0</v>
      </c>
      <c r="CO236" s="1362"/>
      <c r="CP236" s="1362"/>
      <c r="CQ236" s="1363">
        <v>1</v>
      </c>
      <c r="CR236" s="1362"/>
      <c r="CS236" s="1362"/>
      <c r="CT236" s="1362"/>
      <c r="CU236" s="1362"/>
      <c r="CV236" s="686"/>
      <c r="CW236" s="686"/>
      <c r="CX236" s="687">
        <v>1</v>
      </c>
      <c r="CY236" s="41"/>
      <c r="DA236" s="602"/>
      <c r="DB236" s="602"/>
      <c r="DC236" s="603"/>
      <c r="DD236" s="630" t="s">
        <v>15</v>
      </c>
      <c r="DE236" s="632">
        <v>1</v>
      </c>
      <c r="DF236" s="631"/>
      <c r="DG236" s="631"/>
      <c r="DH236" s="631"/>
      <c r="DI236" s="631"/>
      <c r="DJ236" s="632">
        <v>4</v>
      </c>
      <c r="DK236" s="632">
        <v>8</v>
      </c>
      <c r="DL236" s="632">
        <v>1</v>
      </c>
      <c r="DM236" s="633"/>
      <c r="DN236" s="633"/>
      <c r="DO236" s="634">
        <v>14</v>
      </c>
      <c r="DP236" s="635">
        <f>+(DO234+DO235)/DO236</f>
        <v>0.21428571428571427</v>
      </c>
      <c r="DR236" s="608" t="s">
        <v>59</v>
      </c>
      <c r="DS236" s="608" t="s">
        <v>16</v>
      </c>
      <c r="DT236" s="608" t="s">
        <v>670</v>
      </c>
      <c r="DU236" s="609" t="s">
        <v>1231</v>
      </c>
      <c r="DV236" s="610"/>
      <c r="DW236" s="611">
        <v>0</v>
      </c>
      <c r="DX236" s="611">
        <v>0</v>
      </c>
      <c r="DY236" s="610"/>
      <c r="DZ236" s="611">
        <v>0</v>
      </c>
      <c r="EA236" s="610"/>
      <c r="EB236" s="611">
        <v>4</v>
      </c>
      <c r="EC236" s="611">
        <v>2</v>
      </c>
      <c r="ED236" s="610"/>
      <c r="EE236" s="612"/>
      <c r="EF236" s="612"/>
      <c r="EG236" s="613">
        <v>6</v>
      </c>
      <c r="EH236" s="614"/>
      <c r="EL236" s="615"/>
      <c r="EM236" s="616" t="s">
        <v>1240</v>
      </c>
      <c r="EN236" s="617"/>
      <c r="EO236" s="618">
        <v>0</v>
      </c>
      <c r="EP236" s="618">
        <v>0</v>
      </c>
      <c r="EQ236" s="618">
        <v>0</v>
      </c>
      <c r="ER236" s="618">
        <v>2</v>
      </c>
      <c r="ES236" s="618">
        <v>2</v>
      </c>
      <c r="ET236" s="618">
        <v>1</v>
      </c>
      <c r="EU236" s="618">
        <v>0</v>
      </c>
      <c r="EV236" s="617"/>
      <c r="EW236" s="618">
        <v>0</v>
      </c>
      <c r="EX236" s="618">
        <v>5</v>
      </c>
      <c r="EY236" s="515"/>
      <c r="FA236" s="70"/>
      <c r="FB236" s="70"/>
      <c r="FC236" s="70"/>
      <c r="FD236" s="42" t="s">
        <v>1344</v>
      </c>
      <c r="FE236" s="70"/>
      <c r="FF236" s="70"/>
      <c r="FG236" s="70">
        <v>0</v>
      </c>
      <c r="FH236" s="70">
        <v>0</v>
      </c>
      <c r="FI236" s="70">
        <v>0</v>
      </c>
      <c r="FJ236" s="70">
        <v>6</v>
      </c>
      <c r="FK236" s="70">
        <v>0</v>
      </c>
      <c r="FL236" s="70">
        <v>0</v>
      </c>
      <c r="FM236" s="70"/>
      <c r="FN236" s="70">
        <v>0</v>
      </c>
      <c r="FO236" s="70">
        <v>6</v>
      </c>
      <c r="FP236" s="42"/>
      <c r="FQ236" s="42"/>
      <c r="FR236" s="516"/>
      <c r="FS236" s="516"/>
      <c r="FT236" s="516"/>
      <c r="FU236" s="516" t="s">
        <v>1240</v>
      </c>
      <c r="FV236" s="516">
        <v>0</v>
      </c>
      <c r="FW236" s="516">
        <v>0</v>
      </c>
      <c r="FX236" s="516">
        <v>0</v>
      </c>
      <c r="FY236" s="516">
        <v>0</v>
      </c>
      <c r="FZ236" s="516">
        <v>0</v>
      </c>
      <c r="GA236" s="516">
        <v>1</v>
      </c>
      <c r="GB236" s="516">
        <v>7</v>
      </c>
      <c r="GC236" s="516">
        <v>0</v>
      </c>
      <c r="GD236" s="516">
        <v>0</v>
      </c>
      <c r="GE236" s="516">
        <v>0</v>
      </c>
      <c r="GF236" s="516">
        <v>0</v>
      </c>
      <c r="GG236" s="517">
        <v>8</v>
      </c>
      <c r="GH236" s="516"/>
      <c r="GI236" s="518"/>
    </row>
    <row r="237" spans="3:191">
      <c r="C237" s="32"/>
      <c r="D237" s="32" t="s">
        <v>1231</v>
      </c>
      <c r="E237" s="4607">
        <v>0</v>
      </c>
      <c r="F237" s="4607">
        <v>3</v>
      </c>
      <c r="G237" s="4607"/>
      <c r="H237" s="4607"/>
      <c r="I237" s="4607"/>
      <c r="J237" s="4607">
        <v>0</v>
      </c>
      <c r="K237" s="4607">
        <v>12</v>
      </c>
      <c r="L237" s="4607">
        <v>0</v>
      </c>
      <c r="M237" s="4607"/>
      <c r="N237" s="4583"/>
      <c r="O237" s="4583"/>
      <c r="P237" s="4583">
        <v>15</v>
      </c>
      <c r="Q237" s="4583"/>
      <c r="R237" s="4583"/>
      <c r="V237" s="37" t="s">
        <v>1235</v>
      </c>
      <c r="W237" s="4803"/>
      <c r="X237" s="4803"/>
      <c r="Y237" s="4803"/>
      <c r="Z237" s="4803">
        <v>0</v>
      </c>
      <c r="AA237" s="4803"/>
      <c r="AB237" s="4803">
        <v>1</v>
      </c>
      <c r="AC237" s="4803">
        <v>1</v>
      </c>
      <c r="AD237" s="4803">
        <v>0</v>
      </c>
      <c r="AE237" s="1788"/>
      <c r="AF237" s="1788">
        <v>2</v>
      </c>
      <c r="AI237" s="41"/>
      <c r="AJ237" s="41"/>
      <c r="AK237" s="41"/>
      <c r="AL237" s="41" t="s">
        <v>1344</v>
      </c>
      <c r="AM237" s="2001"/>
      <c r="AN237" s="2001">
        <v>0</v>
      </c>
      <c r="AO237" s="2001">
        <v>0</v>
      </c>
      <c r="AP237" s="2001">
        <v>0</v>
      </c>
      <c r="AQ237" s="2001">
        <v>0</v>
      </c>
      <c r="AR237" s="2001">
        <v>2</v>
      </c>
      <c r="AS237" s="2001">
        <v>3</v>
      </c>
      <c r="AT237" s="2001"/>
      <c r="AU237" s="105">
        <v>0</v>
      </c>
      <c r="AV237" s="105"/>
      <c r="AW237" s="105">
        <v>5</v>
      </c>
      <c r="AX237" s="41"/>
      <c r="AZ237" s="42"/>
      <c r="BA237" s="42"/>
      <c r="BB237" s="42"/>
      <c r="BC237" s="42" t="s">
        <v>1344</v>
      </c>
      <c r="BD237" s="1993"/>
      <c r="BE237" s="1993"/>
      <c r="BF237" s="1993"/>
      <c r="BG237" s="1993"/>
      <c r="BH237" s="1993"/>
      <c r="BI237" s="1993"/>
      <c r="BJ237" s="1993">
        <v>3</v>
      </c>
      <c r="BK237" s="1993">
        <v>0</v>
      </c>
      <c r="BL237" s="1993">
        <v>0</v>
      </c>
      <c r="BM237" s="70"/>
      <c r="BN237" s="70"/>
      <c r="BO237" s="70">
        <v>3</v>
      </c>
      <c r="BR237" s="105"/>
      <c r="BS237" s="105"/>
      <c r="BT237" s="41"/>
      <c r="BU237" s="41" t="s">
        <v>1240</v>
      </c>
      <c r="BV237" s="1659"/>
      <c r="BW237" s="1659">
        <v>0</v>
      </c>
      <c r="BX237" s="1659">
        <v>0</v>
      </c>
      <c r="BY237" s="1659"/>
      <c r="BZ237" s="1659"/>
      <c r="CA237" s="1659"/>
      <c r="CB237" s="1659">
        <v>4</v>
      </c>
      <c r="CC237" s="1659"/>
      <c r="CD237" s="1659"/>
      <c r="CE237" s="105"/>
      <c r="CF237" s="105"/>
      <c r="CG237" s="105">
        <v>4</v>
      </c>
      <c r="CH237" s="105"/>
      <c r="CJ237" s="1359"/>
      <c r="CK237" s="1359"/>
      <c r="CL237" s="1360"/>
      <c r="CM237" s="1361" t="s">
        <v>1240</v>
      </c>
      <c r="CN237" s="1363">
        <v>0</v>
      </c>
      <c r="CO237" s="1362"/>
      <c r="CP237" s="1362"/>
      <c r="CQ237" s="1363">
        <v>1</v>
      </c>
      <c r="CR237" s="1362"/>
      <c r="CS237" s="1362"/>
      <c r="CT237" s="1362"/>
      <c r="CU237" s="1362"/>
      <c r="CV237" s="686"/>
      <c r="CW237" s="686"/>
      <c r="CX237" s="687">
        <v>1</v>
      </c>
      <c r="CY237" s="41"/>
      <c r="DA237" s="602"/>
      <c r="DB237" s="602"/>
      <c r="DC237" s="603" t="s">
        <v>444</v>
      </c>
      <c r="DD237" s="604" t="s">
        <v>1231</v>
      </c>
      <c r="DE237" s="605"/>
      <c r="DF237" s="606">
        <v>1</v>
      </c>
      <c r="DG237" s="606">
        <v>1</v>
      </c>
      <c r="DH237" s="605"/>
      <c r="DI237" s="605"/>
      <c r="DJ237" s="606">
        <v>3</v>
      </c>
      <c r="DK237" s="606">
        <v>1</v>
      </c>
      <c r="DL237" s="605"/>
      <c r="DM237" s="602"/>
      <c r="DN237" s="602"/>
      <c r="DO237" s="607">
        <v>6</v>
      </c>
      <c r="DP237" s="105"/>
      <c r="DR237" s="608"/>
      <c r="DS237" s="608"/>
      <c r="DT237" s="608"/>
      <c r="DU237" s="609" t="s">
        <v>1235</v>
      </c>
      <c r="DV237" s="610"/>
      <c r="DW237" s="611">
        <v>0</v>
      </c>
      <c r="DX237" s="611">
        <v>0</v>
      </c>
      <c r="DY237" s="610"/>
      <c r="DZ237" s="611">
        <v>0</v>
      </c>
      <c r="EA237" s="610"/>
      <c r="EB237" s="611">
        <v>1</v>
      </c>
      <c r="EC237" s="611">
        <v>1</v>
      </c>
      <c r="ED237" s="610"/>
      <c r="EE237" s="612"/>
      <c r="EF237" s="612"/>
      <c r="EG237" s="613">
        <v>2</v>
      </c>
      <c r="EH237" s="614"/>
      <c r="EL237" s="615"/>
      <c r="EM237" s="616" t="s">
        <v>1344</v>
      </c>
      <c r="EN237" s="617"/>
      <c r="EO237" s="618">
        <v>0</v>
      </c>
      <c r="EP237" s="618">
        <v>3</v>
      </c>
      <c r="EQ237" s="618">
        <v>0</v>
      </c>
      <c r="ER237" s="618">
        <v>3</v>
      </c>
      <c r="ES237" s="618">
        <v>1</v>
      </c>
      <c r="ET237" s="618">
        <v>3</v>
      </c>
      <c r="EU237" s="618">
        <v>0</v>
      </c>
      <c r="EV237" s="617"/>
      <c r="EW237" s="618">
        <v>0</v>
      </c>
      <c r="EX237" s="618">
        <v>10</v>
      </c>
      <c r="EY237" s="515"/>
      <c r="FA237" s="70"/>
      <c r="FB237" s="70"/>
      <c r="FC237" s="70"/>
      <c r="FD237" s="484" t="s">
        <v>15</v>
      </c>
      <c r="FE237" s="454"/>
      <c r="FF237" s="454"/>
      <c r="FG237" s="454">
        <v>3</v>
      </c>
      <c r="FH237" s="454">
        <v>1</v>
      </c>
      <c r="FI237" s="454">
        <v>1</v>
      </c>
      <c r="FJ237" s="454">
        <v>44</v>
      </c>
      <c r="FK237" s="454">
        <v>5</v>
      </c>
      <c r="FL237" s="454">
        <v>7</v>
      </c>
      <c r="FM237" s="454"/>
      <c r="FN237" s="454">
        <v>2</v>
      </c>
      <c r="FO237" s="454">
        <v>63</v>
      </c>
      <c r="FP237" s="536">
        <f>+(FO232+FO235+FO236)/FO237</f>
        <v>0.26984126984126983</v>
      </c>
      <c r="FQ237" s="42"/>
      <c r="FR237" s="516"/>
      <c r="FS237" s="516"/>
      <c r="FT237" s="516"/>
      <c r="FU237" s="516" t="s">
        <v>1344</v>
      </c>
      <c r="FV237" s="516">
        <v>0</v>
      </c>
      <c r="FW237" s="516">
        <v>0</v>
      </c>
      <c r="FX237" s="516">
        <v>0</v>
      </c>
      <c r="FY237" s="516">
        <v>0</v>
      </c>
      <c r="FZ237" s="516">
        <v>0</v>
      </c>
      <c r="GA237" s="516">
        <v>3</v>
      </c>
      <c r="GB237" s="516">
        <v>2</v>
      </c>
      <c r="GC237" s="516">
        <v>0</v>
      </c>
      <c r="GD237" s="516">
        <v>1</v>
      </c>
      <c r="GE237" s="516">
        <v>0</v>
      </c>
      <c r="GF237" s="516">
        <v>0</v>
      </c>
      <c r="GG237" s="517">
        <v>6</v>
      </c>
      <c r="GH237" s="516"/>
      <c r="GI237" s="518"/>
    </row>
    <row r="238" spans="3:191">
      <c r="C238" s="32"/>
      <c r="D238" s="32" t="s">
        <v>1235</v>
      </c>
      <c r="E238" s="4607">
        <v>0</v>
      </c>
      <c r="F238" s="4607">
        <v>0</v>
      </c>
      <c r="G238" s="4607"/>
      <c r="H238" s="4607"/>
      <c r="I238" s="4607"/>
      <c r="J238" s="4607">
        <v>0</v>
      </c>
      <c r="K238" s="4607">
        <v>5</v>
      </c>
      <c r="L238" s="4607">
        <v>1</v>
      </c>
      <c r="M238" s="4607"/>
      <c r="N238" s="4583"/>
      <c r="O238" s="4583"/>
      <c r="P238" s="4583">
        <v>6</v>
      </c>
      <c r="Q238" s="4583"/>
      <c r="R238" s="4583"/>
      <c r="V238" s="37" t="s">
        <v>1239</v>
      </c>
      <c r="W238" s="4803"/>
      <c r="X238" s="4803"/>
      <c r="Y238" s="4803"/>
      <c r="Z238" s="4803">
        <v>0</v>
      </c>
      <c r="AA238" s="4803"/>
      <c r="AB238" s="4803">
        <v>0</v>
      </c>
      <c r="AC238" s="4803">
        <v>7</v>
      </c>
      <c r="AD238" s="4803">
        <v>1</v>
      </c>
      <c r="AE238" s="1788"/>
      <c r="AF238" s="1788">
        <v>8</v>
      </c>
      <c r="AI238" s="41"/>
      <c r="AJ238" s="41"/>
      <c r="AK238" s="41"/>
      <c r="AL238" s="461" t="s">
        <v>15</v>
      </c>
      <c r="AM238" s="2002"/>
      <c r="AN238" s="2002">
        <v>3</v>
      </c>
      <c r="AO238" s="2002">
        <v>2</v>
      </c>
      <c r="AP238" s="2002">
        <v>2</v>
      </c>
      <c r="AQ238" s="2002">
        <v>3</v>
      </c>
      <c r="AR238" s="2002">
        <v>6</v>
      </c>
      <c r="AS238" s="2002">
        <v>5</v>
      </c>
      <c r="AT238" s="2002"/>
      <c r="AU238" s="2480">
        <v>2</v>
      </c>
      <c r="AV238" s="2480"/>
      <c r="AW238" s="2480">
        <v>23</v>
      </c>
      <c r="AX238" s="635">
        <f>+(AW237+AW236+AW234-AU234)/AW238</f>
        <v>0.34782608695652173</v>
      </c>
      <c r="AY238" s="1977"/>
      <c r="AZ238" s="42"/>
      <c r="BA238" s="42"/>
      <c r="BB238" s="42"/>
      <c r="BC238" s="484" t="s">
        <v>15</v>
      </c>
      <c r="BD238" s="1994"/>
      <c r="BE238" s="1994"/>
      <c r="BF238" s="1994"/>
      <c r="BG238" s="1994"/>
      <c r="BH238" s="1994"/>
      <c r="BI238" s="1994"/>
      <c r="BJ238" s="1994">
        <v>9</v>
      </c>
      <c r="BK238" s="1994">
        <v>2</v>
      </c>
      <c r="BL238" s="1994">
        <v>3</v>
      </c>
      <c r="BM238" s="454"/>
      <c r="BN238" s="454"/>
      <c r="BO238" s="454">
        <v>14</v>
      </c>
      <c r="BP238" s="2485">
        <f>+(BO234+BO236+BO237)/BO238</f>
        <v>0.35714285714285715</v>
      </c>
      <c r="BR238" s="105"/>
      <c r="BS238" s="105"/>
      <c r="BT238" s="41"/>
      <c r="BU238" s="41" t="s">
        <v>1344</v>
      </c>
      <c r="BV238" s="1659"/>
      <c r="BW238" s="1659">
        <v>0</v>
      </c>
      <c r="BX238" s="1659">
        <v>0</v>
      </c>
      <c r="BY238" s="1659"/>
      <c r="BZ238" s="1659"/>
      <c r="CA238" s="1659"/>
      <c r="CB238" s="1659">
        <v>1</v>
      </c>
      <c r="CC238" s="1659"/>
      <c r="CD238" s="1659"/>
      <c r="CE238" s="105"/>
      <c r="CF238" s="105"/>
      <c r="CG238" s="105">
        <v>1</v>
      </c>
      <c r="CH238" s="105"/>
      <c r="CJ238" s="1359"/>
      <c r="CK238" s="1359"/>
      <c r="CL238" s="1360"/>
      <c r="CM238" s="1361" t="s">
        <v>1344</v>
      </c>
      <c r="CN238" s="1363">
        <v>0</v>
      </c>
      <c r="CO238" s="1362"/>
      <c r="CP238" s="1362"/>
      <c r="CQ238" s="1363">
        <v>2</v>
      </c>
      <c r="CR238" s="1362"/>
      <c r="CS238" s="1362"/>
      <c r="CT238" s="1362"/>
      <c r="CU238" s="1362"/>
      <c r="CV238" s="686"/>
      <c r="CW238" s="686"/>
      <c r="CX238" s="687">
        <v>2</v>
      </c>
      <c r="CY238" s="41"/>
      <c r="DA238" s="602"/>
      <c r="DB238" s="602"/>
      <c r="DC238" s="603"/>
      <c r="DD238" s="630" t="s">
        <v>15</v>
      </c>
      <c r="DE238" s="631"/>
      <c r="DF238" s="632">
        <v>1</v>
      </c>
      <c r="DG238" s="632">
        <v>1</v>
      </c>
      <c r="DH238" s="631"/>
      <c r="DI238" s="631"/>
      <c r="DJ238" s="632">
        <v>3</v>
      </c>
      <c r="DK238" s="632">
        <v>1</v>
      </c>
      <c r="DL238" s="631"/>
      <c r="DM238" s="633"/>
      <c r="DN238" s="633"/>
      <c r="DO238" s="634">
        <v>6</v>
      </c>
      <c r="DP238" s="635">
        <v>0</v>
      </c>
      <c r="DR238" s="608"/>
      <c r="DS238" s="608"/>
      <c r="DT238" s="608"/>
      <c r="DU238" s="609" t="s">
        <v>1236</v>
      </c>
      <c r="DV238" s="610"/>
      <c r="DW238" s="611">
        <v>1</v>
      </c>
      <c r="DX238" s="611">
        <v>1</v>
      </c>
      <c r="DY238" s="610"/>
      <c r="DZ238" s="611">
        <v>1</v>
      </c>
      <c r="EA238" s="610"/>
      <c r="EB238" s="611">
        <v>1</v>
      </c>
      <c r="EC238" s="611">
        <v>0</v>
      </c>
      <c r="ED238" s="610"/>
      <c r="EE238" s="612"/>
      <c r="EF238" s="612"/>
      <c r="EG238" s="613">
        <v>4</v>
      </c>
      <c r="EH238" s="614"/>
      <c r="EL238" s="615"/>
      <c r="EM238" s="625" t="s">
        <v>547</v>
      </c>
      <c r="EN238" s="626"/>
      <c r="EO238" s="627">
        <v>1</v>
      </c>
      <c r="EP238" s="627">
        <v>9</v>
      </c>
      <c r="EQ238" s="627">
        <v>1</v>
      </c>
      <c r="ER238" s="627">
        <v>5</v>
      </c>
      <c r="ES238" s="627">
        <v>24</v>
      </c>
      <c r="ET238" s="627">
        <v>10</v>
      </c>
      <c r="EU238" s="627">
        <v>16</v>
      </c>
      <c r="EV238" s="626"/>
      <c r="EW238" s="627">
        <v>1</v>
      </c>
      <c r="EX238" s="627">
        <v>67</v>
      </c>
      <c r="EY238" s="628">
        <f>+(EX237+EX236+EX233)/EX238</f>
        <v>0.28358208955223879</v>
      </c>
      <c r="FA238" s="70"/>
      <c r="FB238" s="70"/>
      <c r="FC238" s="70" t="s">
        <v>104</v>
      </c>
      <c r="FD238" s="42" t="s">
        <v>1230</v>
      </c>
      <c r="FE238" s="70"/>
      <c r="FF238" s="70">
        <v>0</v>
      </c>
      <c r="FG238" s="70"/>
      <c r="FH238" s="70"/>
      <c r="FI238" s="70">
        <v>0</v>
      </c>
      <c r="FJ238" s="70">
        <v>0</v>
      </c>
      <c r="FK238" s="70">
        <v>1</v>
      </c>
      <c r="FL238" s="70"/>
      <c r="FM238" s="70"/>
      <c r="FN238" s="70"/>
      <c r="FO238" s="70">
        <v>1</v>
      </c>
      <c r="FP238" s="42"/>
      <c r="FQ238" s="42"/>
      <c r="FR238" s="516"/>
      <c r="FS238" s="516"/>
      <c r="FT238" s="516"/>
      <c r="FU238" s="519" t="s">
        <v>15</v>
      </c>
      <c r="FV238" s="519">
        <v>0</v>
      </c>
      <c r="FW238" s="519">
        <v>0</v>
      </c>
      <c r="FX238" s="519">
        <v>1</v>
      </c>
      <c r="FY238" s="519">
        <v>0</v>
      </c>
      <c r="FZ238" s="519">
        <v>0</v>
      </c>
      <c r="GA238" s="519">
        <v>4</v>
      </c>
      <c r="GB238" s="519">
        <v>38</v>
      </c>
      <c r="GC238" s="519">
        <v>8</v>
      </c>
      <c r="GD238" s="519">
        <v>8</v>
      </c>
      <c r="GE238" s="519">
        <v>1</v>
      </c>
      <c r="GF238" s="519">
        <v>1</v>
      </c>
      <c r="GG238" s="579">
        <v>61</v>
      </c>
      <c r="GH238" s="520">
        <f>+(GG237+GG236+GG234)/GG238</f>
        <v>0.32786885245901637</v>
      </c>
      <c r="GI238" s="518">
        <f>+GG234+GG236+GG237</f>
        <v>20</v>
      </c>
    </row>
    <row r="239" spans="3:191">
      <c r="C239" s="32"/>
      <c r="D239" s="32" t="s">
        <v>1240</v>
      </c>
      <c r="E239" s="4607">
        <v>0</v>
      </c>
      <c r="F239" s="4607">
        <v>0</v>
      </c>
      <c r="G239" s="4607"/>
      <c r="H239" s="4607"/>
      <c r="I239" s="4607"/>
      <c r="J239" s="4607">
        <v>0</v>
      </c>
      <c r="K239" s="4607">
        <v>4</v>
      </c>
      <c r="L239" s="4607">
        <v>0</v>
      </c>
      <c r="M239" s="4607"/>
      <c r="N239" s="4583"/>
      <c r="O239" s="4583"/>
      <c r="P239" s="4583">
        <v>4</v>
      </c>
      <c r="Q239" s="4583"/>
      <c r="R239" s="4583"/>
      <c r="V239" s="37" t="s">
        <v>1240</v>
      </c>
      <c r="W239" s="4803"/>
      <c r="X239" s="4803"/>
      <c r="Y239" s="4803"/>
      <c r="Z239" s="4803">
        <v>0</v>
      </c>
      <c r="AA239" s="4803"/>
      <c r="AB239" s="4803">
        <v>1</v>
      </c>
      <c r="AC239" s="4803">
        <v>2</v>
      </c>
      <c r="AD239" s="4803">
        <v>0</v>
      </c>
      <c r="AE239" s="1788"/>
      <c r="AF239" s="1788">
        <v>3</v>
      </c>
      <c r="AI239" s="41"/>
      <c r="AJ239" s="41"/>
      <c r="AK239" s="41" t="s">
        <v>591</v>
      </c>
      <c r="AL239" s="41" t="s">
        <v>1231</v>
      </c>
      <c r="AM239" s="2001"/>
      <c r="AN239" s="2001"/>
      <c r="AO239" s="2001">
        <v>1</v>
      </c>
      <c r="AP239" s="2001">
        <v>1</v>
      </c>
      <c r="AQ239" s="2001"/>
      <c r="AR239" s="2001">
        <v>13</v>
      </c>
      <c r="AS239" s="2001"/>
      <c r="AT239" s="2001"/>
      <c r="AU239" s="105"/>
      <c r="AV239" s="105"/>
      <c r="AW239" s="105">
        <v>15</v>
      </c>
      <c r="AX239" s="41"/>
      <c r="AZ239" s="42"/>
      <c r="BA239" s="42"/>
      <c r="BB239" s="42" t="s">
        <v>142</v>
      </c>
      <c r="BC239" s="42" t="s">
        <v>1231</v>
      </c>
      <c r="BD239" s="1993"/>
      <c r="BE239" s="1993"/>
      <c r="BF239" s="1993"/>
      <c r="BG239" s="1993"/>
      <c r="BH239" s="1993">
        <v>0</v>
      </c>
      <c r="BI239" s="1993"/>
      <c r="BJ239" s="1993">
        <v>7</v>
      </c>
      <c r="BK239" s="1993">
        <v>3</v>
      </c>
      <c r="BL239" s="1993">
        <v>0</v>
      </c>
      <c r="BM239" s="70"/>
      <c r="BN239" s="70"/>
      <c r="BO239" s="70">
        <v>10</v>
      </c>
      <c r="BR239" s="105"/>
      <c r="BS239" s="105"/>
      <c r="BT239" s="41"/>
      <c r="BU239" s="461" t="s">
        <v>15</v>
      </c>
      <c r="BV239" s="1660"/>
      <c r="BW239" s="1660">
        <v>1</v>
      </c>
      <c r="BX239" s="1660">
        <v>1</v>
      </c>
      <c r="BY239" s="1660"/>
      <c r="BZ239" s="1660"/>
      <c r="CA239" s="1660"/>
      <c r="CB239" s="1660">
        <v>12</v>
      </c>
      <c r="CC239" s="1660"/>
      <c r="CD239" s="1660"/>
      <c r="CE239" s="96"/>
      <c r="CF239" s="96"/>
      <c r="CG239" s="96">
        <v>14</v>
      </c>
      <c r="CH239" s="635">
        <f>+(CG236+CG237+CG238)/CG239</f>
        <v>0.42857142857142855</v>
      </c>
      <c r="CJ239" s="1359"/>
      <c r="CK239" s="1359"/>
      <c r="CL239" s="1360"/>
      <c r="CM239" s="483" t="s">
        <v>15</v>
      </c>
      <c r="CN239" s="1365">
        <v>1</v>
      </c>
      <c r="CO239" s="1364"/>
      <c r="CP239" s="1364"/>
      <c r="CQ239" s="1365">
        <v>7</v>
      </c>
      <c r="CR239" s="1364"/>
      <c r="CS239" s="1364"/>
      <c r="CT239" s="1364"/>
      <c r="CU239" s="1364"/>
      <c r="CV239" s="695"/>
      <c r="CW239" s="695"/>
      <c r="CX239" s="696">
        <v>8</v>
      </c>
      <c r="CY239" s="1325">
        <f>+(CX236+CX237+CX238)/CX239</f>
        <v>0.5</v>
      </c>
      <c r="DA239" s="602"/>
      <c r="DB239" s="602"/>
      <c r="DC239" s="603" t="s">
        <v>141</v>
      </c>
      <c r="DD239" s="604" t="s">
        <v>1231</v>
      </c>
      <c r="DE239" s="605"/>
      <c r="DF239" s="605"/>
      <c r="DG239" s="606">
        <v>1</v>
      </c>
      <c r="DH239" s="605"/>
      <c r="DI239" s="605"/>
      <c r="DJ239" s="606">
        <v>2</v>
      </c>
      <c r="DK239" s="606">
        <v>1</v>
      </c>
      <c r="DL239" s="606">
        <v>0</v>
      </c>
      <c r="DM239" s="607">
        <v>0</v>
      </c>
      <c r="DN239" s="602"/>
      <c r="DO239" s="607">
        <v>4</v>
      </c>
      <c r="DP239" s="105"/>
      <c r="DR239" s="608"/>
      <c r="DS239" s="608"/>
      <c r="DT239" s="608"/>
      <c r="DU239" s="609" t="s">
        <v>1240</v>
      </c>
      <c r="DV239" s="610"/>
      <c r="DW239" s="611">
        <v>0</v>
      </c>
      <c r="DX239" s="611">
        <v>0</v>
      </c>
      <c r="DY239" s="610"/>
      <c r="DZ239" s="611">
        <v>0</v>
      </c>
      <c r="EA239" s="610"/>
      <c r="EB239" s="611">
        <v>2</v>
      </c>
      <c r="EC239" s="611">
        <v>1</v>
      </c>
      <c r="ED239" s="610"/>
      <c r="EE239" s="612"/>
      <c r="EF239" s="612"/>
      <c r="EG239" s="613">
        <v>3</v>
      </c>
      <c r="EH239" s="614"/>
      <c r="EL239" s="615" t="s">
        <v>844</v>
      </c>
      <c r="EM239" s="616" t="s">
        <v>1231</v>
      </c>
      <c r="EN239" s="617"/>
      <c r="EO239" s="617"/>
      <c r="EP239" s="617"/>
      <c r="EQ239" s="617"/>
      <c r="ER239" s="618">
        <v>2</v>
      </c>
      <c r="ES239" s="618">
        <v>1</v>
      </c>
      <c r="ET239" s="617"/>
      <c r="EU239" s="617"/>
      <c r="EV239" s="617"/>
      <c r="EW239" s="617"/>
      <c r="EX239" s="618">
        <v>3</v>
      </c>
      <c r="EY239" s="515"/>
      <c r="FA239" s="70"/>
      <c r="FB239" s="70"/>
      <c r="FC239" s="70"/>
      <c r="FD239" s="42" t="s">
        <v>1231</v>
      </c>
      <c r="FE239" s="70"/>
      <c r="FF239" s="70">
        <v>1</v>
      </c>
      <c r="FG239" s="70"/>
      <c r="FH239" s="70"/>
      <c r="FI239" s="70">
        <v>2</v>
      </c>
      <c r="FJ239" s="70">
        <v>35</v>
      </c>
      <c r="FK239" s="70">
        <v>1</v>
      </c>
      <c r="FL239" s="70"/>
      <c r="FM239" s="70"/>
      <c r="FN239" s="70"/>
      <c r="FO239" s="70">
        <v>39</v>
      </c>
      <c r="FP239" s="42"/>
      <c r="FQ239" s="42"/>
      <c r="FR239" s="516"/>
      <c r="FS239" s="516"/>
      <c r="FT239" s="516" t="s">
        <v>104</v>
      </c>
      <c r="FU239" s="516" t="s">
        <v>1231</v>
      </c>
      <c r="FV239" s="516">
        <v>0</v>
      </c>
      <c r="FW239" s="516">
        <v>0</v>
      </c>
      <c r="FX239" s="516">
        <v>0</v>
      </c>
      <c r="FY239" s="516">
        <v>0</v>
      </c>
      <c r="FZ239" s="516">
        <v>0</v>
      </c>
      <c r="GA239" s="516">
        <v>0</v>
      </c>
      <c r="GB239" s="516">
        <v>3</v>
      </c>
      <c r="GC239" s="516">
        <v>0</v>
      </c>
      <c r="GD239" s="516">
        <v>0</v>
      </c>
      <c r="GE239" s="516">
        <v>0</v>
      </c>
      <c r="GF239" s="516">
        <v>0</v>
      </c>
      <c r="GG239" s="517">
        <v>3</v>
      </c>
      <c r="GH239" s="516"/>
      <c r="GI239" s="518"/>
    </row>
    <row r="240" spans="3:191">
      <c r="C240" s="32"/>
      <c r="D240" s="32" t="s">
        <v>2963</v>
      </c>
      <c r="E240" s="4607">
        <v>1</v>
      </c>
      <c r="F240" s="4607">
        <v>0</v>
      </c>
      <c r="G240" s="4607"/>
      <c r="H240" s="4607"/>
      <c r="I240" s="4607"/>
      <c r="J240" s="4607">
        <v>0</v>
      </c>
      <c r="K240" s="4607">
        <v>0</v>
      </c>
      <c r="L240" s="4607">
        <v>0</v>
      </c>
      <c r="M240" s="4607"/>
      <c r="N240" s="4583"/>
      <c r="O240" s="4583"/>
      <c r="P240" s="4583">
        <v>1</v>
      </c>
      <c r="Q240" s="4583"/>
      <c r="R240" s="4583"/>
      <c r="V240" s="37" t="s">
        <v>1344</v>
      </c>
      <c r="W240" s="4803"/>
      <c r="X240" s="4803"/>
      <c r="Y240" s="4803"/>
      <c r="Z240" s="4803">
        <v>0</v>
      </c>
      <c r="AA240" s="4803"/>
      <c r="AB240" s="4803">
        <v>1</v>
      </c>
      <c r="AC240" s="4803">
        <v>0</v>
      </c>
      <c r="AD240" s="4803">
        <v>0</v>
      </c>
      <c r="AE240" s="1788"/>
      <c r="AF240" s="1788">
        <v>1</v>
      </c>
      <c r="AI240" s="41"/>
      <c r="AJ240" s="41"/>
      <c r="AK240" s="41"/>
      <c r="AL240" s="41" t="s">
        <v>1235</v>
      </c>
      <c r="AM240" s="2001"/>
      <c r="AN240" s="2001"/>
      <c r="AO240" s="2001">
        <v>0</v>
      </c>
      <c r="AP240" s="2001">
        <v>0</v>
      </c>
      <c r="AQ240" s="2001"/>
      <c r="AR240" s="2001">
        <v>4</v>
      </c>
      <c r="AS240" s="2001"/>
      <c r="AT240" s="2001"/>
      <c r="AU240" s="105"/>
      <c r="AV240" s="105"/>
      <c r="AW240" s="105">
        <v>4</v>
      </c>
      <c r="AX240" s="41"/>
      <c r="AZ240" s="42"/>
      <c r="BA240" s="42"/>
      <c r="BB240" s="42"/>
      <c r="BC240" s="42" t="s">
        <v>1235</v>
      </c>
      <c r="BD240" s="1993"/>
      <c r="BE240" s="1993"/>
      <c r="BF240" s="1993"/>
      <c r="BG240" s="1993"/>
      <c r="BH240" s="1993">
        <v>0</v>
      </c>
      <c r="BI240" s="1993"/>
      <c r="BJ240" s="1993">
        <v>2</v>
      </c>
      <c r="BK240" s="1993">
        <v>0</v>
      </c>
      <c r="BL240" s="1993">
        <v>0</v>
      </c>
      <c r="BM240" s="70"/>
      <c r="BN240" s="70"/>
      <c r="BO240" s="70">
        <v>2</v>
      </c>
      <c r="BR240" s="105"/>
      <c r="BS240" s="105"/>
      <c r="BT240" s="41" t="s">
        <v>545</v>
      </c>
      <c r="BU240" s="41" t="s">
        <v>1231</v>
      </c>
      <c r="BV240" s="1659"/>
      <c r="BW240" s="1659">
        <v>2</v>
      </c>
      <c r="BX240" s="1659">
        <v>4</v>
      </c>
      <c r="BY240" s="1659">
        <v>13</v>
      </c>
      <c r="BZ240" s="1659">
        <v>1</v>
      </c>
      <c r="CA240" s="1659">
        <v>1</v>
      </c>
      <c r="CB240" s="1659">
        <v>83</v>
      </c>
      <c r="CC240" s="1659">
        <v>7</v>
      </c>
      <c r="CD240" s="1659">
        <v>0</v>
      </c>
      <c r="CE240" s="105"/>
      <c r="CF240" s="105"/>
      <c r="CG240" s="105">
        <v>111</v>
      </c>
      <c r="CH240" s="105"/>
      <c r="CJ240" s="1359"/>
      <c r="CK240" s="1359"/>
      <c r="CL240" s="1360" t="s">
        <v>547</v>
      </c>
      <c r="CM240" s="1361" t="s">
        <v>1231</v>
      </c>
      <c r="CN240" s="1363">
        <v>4</v>
      </c>
      <c r="CO240" s="1363">
        <v>1</v>
      </c>
      <c r="CP240" s="1362"/>
      <c r="CQ240" s="1363">
        <v>3</v>
      </c>
      <c r="CR240" s="1363">
        <v>1</v>
      </c>
      <c r="CS240" s="1363">
        <v>24</v>
      </c>
      <c r="CT240" s="1363">
        <v>9</v>
      </c>
      <c r="CU240" s="1363">
        <v>3</v>
      </c>
      <c r="CV240" s="687">
        <v>0</v>
      </c>
      <c r="CW240" s="686"/>
      <c r="CX240" s="687">
        <v>45</v>
      </c>
      <c r="CY240" s="41"/>
      <c r="DA240" s="602"/>
      <c r="DB240" s="602"/>
      <c r="DC240" s="603"/>
      <c r="DD240" s="604" t="s">
        <v>1235</v>
      </c>
      <c r="DE240" s="605"/>
      <c r="DF240" s="605"/>
      <c r="DG240" s="606">
        <v>0</v>
      </c>
      <c r="DH240" s="605"/>
      <c r="DI240" s="605"/>
      <c r="DJ240" s="606">
        <v>0</v>
      </c>
      <c r="DK240" s="606">
        <v>4</v>
      </c>
      <c r="DL240" s="606">
        <v>0</v>
      </c>
      <c r="DM240" s="607">
        <v>0</v>
      </c>
      <c r="DN240" s="602"/>
      <c r="DO240" s="607">
        <v>4</v>
      </c>
      <c r="DP240" s="105"/>
      <c r="DR240" s="608"/>
      <c r="DS240" s="608"/>
      <c r="DT240" s="608"/>
      <c r="DU240" s="609" t="s">
        <v>1344</v>
      </c>
      <c r="DV240" s="610"/>
      <c r="DW240" s="611">
        <v>0</v>
      </c>
      <c r="DX240" s="611">
        <v>0</v>
      </c>
      <c r="DY240" s="610"/>
      <c r="DZ240" s="611">
        <v>0</v>
      </c>
      <c r="EA240" s="610"/>
      <c r="EB240" s="611">
        <v>4</v>
      </c>
      <c r="EC240" s="611">
        <v>1</v>
      </c>
      <c r="ED240" s="610"/>
      <c r="EE240" s="612"/>
      <c r="EF240" s="612"/>
      <c r="EG240" s="613">
        <v>5</v>
      </c>
      <c r="EH240" s="614"/>
      <c r="EJ240" s="615"/>
      <c r="EK240" s="615"/>
      <c r="EL240" s="615"/>
      <c r="EM240" s="616" t="s">
        <v>1235</v>
      </c>
      <c r="EN240" s="617"/>
      <c r="EO240" s="617"/>
      <c r="EP240" s="617"/>
      <c r="EQ240" s="617"/>
      <c r="ER240" s="618">
        <v>0</v>
      </c>
      <c r="ES240" s="618">
        <v>6</v>
      </c>
      <c r="ET240" s="617"/>
      <c r="EU240" s="617"/>
      <c r="EV240" s="617"/>
      <c r="EW240" s="617"/>
      <c r="EX240" s="618">
        <v>6</v>
      </c>
      <c r="EY240" s="515"/>
      <c r="FA240" s="70"/>
      <c r="FB240" s="70"/>
      <c r="FC240" s="70"/>
      <c r="FD240" s="42" t="s">
        <v>1235</v>
      </c>
      <c r="FE240" s="70"/>
      <c r="FF240" s="70">
        <v>0</v>
      </c>
      <c r="FG240" s="70"/>
      <c r="FH240" s="70"/>
      <c r="FI240" s="70">
        <v>0</v>
      </c>
      <c r="FJ240" s="70">
        <v>6</v>
      </c>
      <c r="FK240" s="70">
        <v>2</v>
      </c>
      <c r="FL240" s="70"/>
      <c r="FM240" s="70"/>
      <c r="FN240" s="70"/>
      <c r="FO240" s="70">
        <v>8</v>
      </c>
      <c r="FP240" s="42"/>
      <c r="FQ240" s="42"/>
      <c r="FR240" s="516"/>
      <c r="FS240" s="516"/>
      <c r="FT240" s="516"/>
      <c r="FU240" s="516" t="s">
        <v>1235</v>
      </c>
      <c r="FV240" s="516">
        <v>0</v>
      </c>
      <c r="FW240" s="516">
        <v>0</v>
      </c>
      <c r="FX240" s="516">
        <v>0</v>
      </c>
      <c r="FY240" s="516">
        <v>0</v>
      </c>
      <c r="FZ240" s="516">
        <v>0</v>
      </c>
      <c r="GA240" s="516">
        <v>0</v>
      </c>
      <c r="GB240" s="516">
        <v>4</v>
      </c>
      <c r="GC240" s="516">
        <v>0</v>
      </c>
      <c r="GD240" s="516">
        <v>0</v>
      </c>
      <c r="GE240" s="516">
        <v>0</v>
      </c>
      <c r="GF240" s="516">
        <v>0</v>
      </c>
      <c r="GG240" s="517">
        <v>4</v>
      </c>
      <c r="GH240" s="516"/>
      <c r="GI240" s="518"/>
    </row>
    <row r="241" spans="2:191">
      <c r="C241" s="32"/>
      <c r="D241" s="32" t="s">
        <v>1344</v>
      </c>
      <c r="E241" s="4607">
        <v>0</v>
      </c>
      <c r="F241" s="4607">
        <v>0</v>
      </c>
      <c r="G241" s="4607"/>
      <c r="H241" s="4607"/>
      <c r="I241" s="4607"/>
      <c r="J241" s="4607">
        <v>0</v>
      </c>
      <c r="K241" s="4607">
        <v>11</v>
      </c>
      <c r="L241" s="4607">
        <v>1</v>
      </c>
      <c r="M241" s="4607"/>
      <c r="N241" s="4583"/>
      <c r="O241" s="4583"/>
      <c r="P241" s="4583">
        <v>12</v>
      </c>
      <c r="Q241" s="4583"/>
      <c r="R241" s="4583"/>
      <c r="V241" s="1793" t="s">
        <v>15</v>
      </c>
      <c r="W241" s="4804"/>
      <c r="X241" s="4804"/>
      <c r="Y241" s="4804"/>
      <c r="Z241" s="4804">
        <v>1</v>
      </c>
      <c r="AA241" s="4804"/>
      <c r="AB241" s="4804">
        <v>7</v>
      </c>
      <c r="AC241" s="4804">
        <v>13</v>
      </c>
      <c r="AD241" s="4804">
        <v>1</v>
      </c>
      <c r="AE241" s="4702"/>
      <c r="AF241" s="4702">
        <v>22</v>
      </c>
      <c r="AG241" s="4703">
        <f>+(AF237+AF239+AF240)/AF241</f>
        <v>0.27272727272727271</v>
      </c>
      <c r="AI241" s="41"/>
      <c r="AJ241" s="41"/>
      <c r="AK241" s="41"/>
      <c r="AL241" s="41" t="s">
        <v>1240</v>
      </c>
      <c r="AM241" s="2001"/>
      <c r="AN241" s="2001"/>
      <c r="AO241" s="2001">
        <v>0</v>
      </c>
      <c r="AP241" s="2001">
        <v>0</v>
      </c>
      <c r="AQ241" s="2001"/>
      <c r="AR241" s="2001">
        <v>4</v>
      </c>
      <c r="AS241" s="2001"/>
      <c r="AT241" s="2001"/>
      <c r="AU241" s="105"/>
      <c r="AV241" s="105"/>
      <c r="AW241" s="105">
        <v>4</v>
      </c>
      <c r="AX241" s="41"/>
      <c r="AZ241" s="42"/>
      <c r="BA241" s="42"/>
      <c r="BB241" s="42"/>
      <c r="BC241" s="42" t="s">
        <v>1239</v>
      </c>
      <c r="BD241" s="1993"/>
      <c r="BE241" s="1993"/>
      <c r="BF241" s="1993"/>
      <c r="BG241" s="1993"/>
      <c r="BH241" s="1993">
        <v>0</v>
      </c>
      <c r="BI241" s="1993"/>
      <c r="BJ241" s="1993">
        <v>0</v>
      </c>
      <c r="BK241" s="1993">
        <v>0</v>
      </c>
      <c r="BL241" s="1993">
        <v>5</v>
      </c>
      <c r="BM241" s="70"/>
      <c r="BN241" s="70"/>
      <c r="BO241" s="70">
        <v>5</v>
      </c>
      <c r="BR241" s="105"/>
      <c r="BS241" s="105"/>
      <c r="BT241" s="41"/>
      <c r="BU241" s="41" t="s">
        <v>1235</v>
      </c>
      <c r="BV241" s="1659"/>
      <c r="BW241" s="1659">
        <v>0</v>
      </c>
      <c r="BX241" s="1659">
        <v>0</v>
      </c>
      <c r="BY241" s="1659">
        <v>3</v>
      </c>
      <c r="BZ241" s="1659">
        <v>3</v>
      </c>
      <c r="CA241" s="1659">
        <v>0</v>
      </c>
      <c r="CB241" s="1659">
        <v>9</v>
      </c>
      <c r="CC241" s="1659">
        <v>1</v>
      </c>
      <c r="CD241" s="1659">
        <v>0</v>
      </c>
      <c r="CE241" s="105"/>
      <c r="CF241" s="105"/>
      <c r="CG241" s="105">
        <v>16</v>
      </c>
      <c r="CH241" s="105"/>
      <c r="CJ241" s="1359"/>
      <c r="CK241" s="1359"/>
      <c r="CL241" s="1360"/>
      <c r="CM241" s="1361" t="s">
        <v>1233</v>
      </c>
      <c r="CN241" s="1363">
        <v>0</v>
      </c>
      <c r="CO241" s="1363">
        <v>1</v>
      </c>
      <c r="CP241" s="1362"/>
      <c r="CQ241" s="1363">
        <v>0</v>
      </c>
      <c r="CR241" s="1363">
        <v>0</v>
      </c>
      <c r="CS241" s="1363">
        <v>0</v>
      </c>
      <c r="CT241" s="1363">
        <v>0</v>
      </c>
      <c r="CU241" s="1363">
        <v>0</v>
      </c>
      <c r="CV241" s="687">
        <v>0</v>
      </c>
      <c r="CW241" s="686"/>
      <c r="CX241" s="687">
        <v>1</v>
      </c>
      <c r="CY241" s="41"/>
      <c r="DA241" s="602"/>
      <c r="DB241" s="602"/>
      <c r="DC241" s="603"/>
      <c r="DD241" s="604" t="s">
        <v>1239</v>
      </c>
      <c r="DE241" s="605"/>
      <c r="DF241" s="605"/>
      <c r="DG241" s="606">
        <v>0</v>
      </c>
      <c r="DH241" s="605"/>
      <c r="DI241" s="605"/>
      <c r="DJ241" s="606">
        <v>0</v>
      </c>
      <c r="DK241" s="606">
        <v>0</v>
      </c>
      <c r="DL241" s="606">
        <v>1</v>
      </c>
      <c r="DM241" s="607">
        <v>2</v>
      </c>
      <c r="DN241" s="602"/>
      <c r="DO241" s="607">
        <v>3</v>
      </c>
      <c r="DP241" s="105"/>
      <c r="DR241" s="608"/>
      <c r="DS241" s="608"/>
      <c r="DT241" s="608"/>
      <c r="DU241" s="620" t="s">
        <v>15</v>
      </c>
      <c r="DV241" s="621"/>
      <c r="DW241" s="622">
        <v>1</v>
      </c>
      <c r="DX241" s="622">
        <v>1</v>
      </c>
      <c r="DY241" s="621"/>
      <c r="DZ241" s="622">
        <v>1</v>
      </c>
      <c r="EA241" s="621"/>
      <c r="EB241" s="622">
        <v>12</v>
      </c>
      <c r="EC241" s="622">
        <v>5</v>
      </c>
      <c r="ED241" s="621"/>
      <c r="EE241" s="623"/>
      <c r="EF241" s="623"/>
      <c r="EG241" s="624">
        <v>20</v>
      </c>
      <c r="EH241" s="614">
        <f>+(EG240+EG239+EG237)/EG241</f>
        <v>0.5</v>
      </c>
      <c r="EJ241" s="615"/>
      <c r="EK241" s="615"/>
      <c r="EL241" s="615"/>
      <c r="EM241" s="616" t="s">
        <v>1240</v>
      </c>
      <c r="EN241" s="617"/>
      <c r="EO241" s="617"/>
      <c r="EP241" s="617"/>
      <c r="EQ241" s="617"/>
      <c r="ER241" s="618">
        <v>0</v>
      </c>
      <c r="ES241" s="618">
        <v>1</v>
      </c>
      <c r="ET241" s="617"/>
      <c r="EU241" s="617"/>
      <c r="EV241" s="617"/>
      <c r="EW241" s="617"/>
      <c r="EX241" s="618">
        <v>1</v>
      </c>
      <c r="EY241" s="515"/>
      <c r="FA241" s="70"/>
      <c r="FB241" s="70"/>
      <c r="FC241" s="70"/>
      <c r="FD241" s="42" t="s">
        <v>1239</v>
      </c>
      <c r="FE241" s="70"/>
      <c r="FF241" s="70">
        <v>0</v>
      </c>
      <c r="FG241" s="70"/>
      <c r="FH241" s="70"/>
      <c r="FI241" s="70">
        <v>0</v>
      </c>
      <c r="FJ241" s="70">
        <v>0</v>
      </c>
      <c r="FK241" s="70">
        <v>1</v>
      </c>
      <c r="FL241" s="70"/>
      <c r="FM241" s="70"/>
      <c r="FN241" s="70"/>
      <c r="FO241" s="70">
        <v>1</v>
      </c>
      <c r="FP241" s="42"/>
      <c r="FQ241" s="42"/>
      <c r="FR241" s="516"/>
      <c r="FS241" s="516"/>
      <c r="FT241" s="516"/>
      <c r="FU241" s="516" t="s">
        <v>1239</v>
      </c>
      <c r="FV241" s="516">
        <v>0</v>
      </c>
      <c r="FW241" s="516">
        <v>0</v>
      </c>
      <c r="FX241" s="516">
        <v>0</v>
      </c>
      <c r="FY241" s="516">
        <v>0</v>
      </c>
      <c r="FZ241" s="516">
        <v>0</v>
      </c>
      <c r="GA241" s="516">
        <v>1</v>
      </c>
      <c r="GB241" s="516">
        <v>0</v>
      </c>
      <c r="GC241" s="516">
        <v>0</v>
      </c>
      <c r="GD241" s="516">
        <v>0</v>
      </c>
      <c r="GE241" s="516">
        <v>0</v>
      </c>
      <c r="GF241" s="516">
        <v>0</v>
      </c>
      <c r="GG241" s="517">
        <v>1</v>
      </c>
      <c r="GH241" s="516"/>
      <c r="GI241" s="518"/>
    </row>
    <row r="242" spans="2:191">
      <c r="C242" s="32"/>
      <c r="D242" s="4800" t="s">
        <v>15</v>
      </c>
      <c r="E242" s="4607">
        <v>1</v>
      </c>
      <c r="F242" s="4607">
        <v>3</v>
      </c>
      <c r="G242" s="4607"/>
      <c r="H242" s="4607"/>
      <c r="I242" s="4607"/>
      <c r="J242" s="4607">
        <v>1</v>
      </c>
      <c r="K242" s="4607">
        <v>32</v>
      </c>
      <c r="L242" s="4607">
        <v>2</v>
      </c>
      <c r="M242" s="4607"/>
      <c r="N242" s="4583"/>
      <c r="O242" s="4583"/>
      <c r="P242" s="4583">
        <v>39</v>
      </c>
      <c r="Q242" s="1977">
        <f>+(P238+P239+P241)/(P242-P240)</f>
        <v>0.57894736842105265</v>
      </c>
      <c r="R242" s="1977"/>
      <c r="U242" s="37" t="s">
        <v>1937</v>
      </c>
      <c r="V242" s="37" t="s">
        <v>1233</v>
      </c>
      <c r="W242" s="4803">
        <v>2</v>
      </c>
      <c r="X242" s="4803"/>
      <c r="Y242" s="4803"/>
      <c r="Z242" s="4803"/>
      <c r="AA242" s="4803"/>
      <c r="AB242" s="4803"/>
      <c r="AC242" s="4803">
        <v>0</v>
      </c>
      <c r="AD242" s="4803">
        <v>0</v>
      </c>
      <c r="AE242" s="1788"/>
      <c r="AF242" s="1788">
        <v>2</v>
      </c>
      <c r="AI242" s="41"/>
      <c r="AJ242" s="41"/>
      <c r="AK242" s="41"/>
      <c r="AL242" s="461" t="s">
        <v>15</v>
      </c>
      <c r="AM242" s="2002"/>
      <c r="AN242" s="2002"/>
      <c r="AO242" s="2002">
        <v>1</v>
      </c>
      <c r="AP242" s="2002">
        <v>1</v>
      </c>
      <c r="AQ242" s="2002"/>
      <c r="AR242" s="2002">
        <v>21</v>
      </c>
      <c r="AS242" s="2002"/>
      <c r="AT242" s="2002"/>
      <c r="AU242" s="2480"/>
      <c r="AV242" s="2480"/>
      <c r="AW242" s="2480">
        <v>23</v>
      </c>
      <c r="AX242" s="635">
        <f>+(AW241+AW240)/AW242</f>
        <v>0.34782608695652173</v>
      </c>
      <c r="AY242" s="1977"/>
      <c r="AZ242" s="42"/>
      <c r="BA242" s="42"/>
      <c r="BB242" s="42"/>
      <c r="BC242" s="42" t="s">
        <v>1240</v>
      </c>
      <c r="BD242" s="1993"/>
      <c r="BE242" s="1993"/>
      <c r="BF242" s="1993"/>
      <c r="BG242" s="1993"/>
      <c r="BH242" s="1993">
        <v>0</v>
      </c>
      <c r="BI242" s="1993"/>
      <c r="BJ242" s="1993">
        <v>1</v>
      </c>
      <c r="BK242" s="1993">
        <v>1</v>
      </c>
      <c r="BL242" s="1993">
        <v>0</v>
      </c>
      <c r="BM242" s="70"/>
      <c r="BN242" s="70"/>
      <c r="BO242" s="70">
        <v>2</v>
      </c>
      <c r="BR242" s="105"/>
      <c r="BS242" s="105"/>
      <c r="BT242" s="41"/>
      <c r="BU242" s="41" t="s">
        <v>1239</v>
      </c>
      <c r="BV242" s="1659"/>
      <c r="BW242" s="1659">
        <v>0</v>
      </c>
      <c r="BX242" s="1659">
        <v>0</v>
      </c>
      <c r="BY242" s="1659">
        <v>0</v>
      </c>
      <c r="BZ242" s="1659">
        <v>1</v>
      </c>
      <c r="CA242" s="1659">
        <v>0</v>
      </c>
      <c r="CB242" s="1659">
        <v>0</v>
      </c>
      <c r="CC242" s="1659">
        <v>0</v>
      </c>
      <c r="CD242" s="1659">
        <v>1</v>
      </c>
      <c r="CE242" s="105"/>
      <c r="CF242" s="105"/>
      <c r="CG242" s="105">
        <v>2</v>
      </c>
      <c r="CH242" s="105"/>
      <c r="CJ242" s="1359"/>
      <c r="CK242" s="1359"/>
      <c r="CL242" s="1360"/>
      <c r="CM242" s="1361" t="s">
        <v>1235</v>
      </c>
      <c r="CN242" s="1363">
        <v>0</v>
      </c>
      <c r="CO242" s="1363">
        <v>0</v>
      </c>
      <c r="CP242" s="1362"/>
      <c r="CQ242" s="1363">
        <v>1</v>
      </c>
      <c r="CR242" s="1363">
        <v>2</v>
      </c>
      <c r="CS242" s="1363">
        <v>6</v>
      </c>
      <c r="CT242" s="1363">
        <v>2</v>
      </c>
      <c r="CU242" s="1363">
        <v>0</v>
      </c>
      <c r="CV242" s="687">
        <v>0</v>
      </c>
      <c r="CW242" s="686"/>
      <c r="CX242" s="687">
        <v>11</v>
      </c>
      <c r="CY242" s="41"/>
      <c r="DA242" s="602"/>
      <c r="DB242" s="602"/>
      <c r="DC242" s="603"/>
      <c r="DD242" s="604" t="s">
        <v>1240</v>
      </c>
      <c r="DE242" s="605"/>
      <c r="DF242" s="605"/>
      <c r="DG242" s="606">
        <v>0</v>
      </c>
      <c r="DH242" s="605"/>
      <c r="DI242" s="605"/>
      <c r="DJ242" s="606">
        <v>1</v>
      </c>
      <c r="DK242" s="606">
        <v>1</v>
      </c>
      <c r="DL242" s="606">
        <v>0</v>
      </c>
      <c r="DM242" s="607">
        <v>0</v>
      </c>
      <c r="DN242" s="602"/>
      <c r="DO242" s="607">
        <v>2</v>
      </c>
      <c r="DP242" s="105"/>
      <c r="DR242" s="608"/>
      <c r="DS242" s="608"/>
      <c r="DT242" s="620" t="s">
        <v>545</v>
      </c>
      <c r="DU242" s="609" t="s">
        <v>1231</v>
      </c>
      <c r="DV242" s="610"/>
      <c r="DW242" s="611">
        <v>0</v>
      </c>
      <c r="DX242" s="611">
        <v>0</v>
      </c>
      <c r="DY242" s="610"/>
      <c r="DZ242" s="611">
        <v>0</v>
      </c>
      <c r="EA242" s="610"/>
      <c r="EB242" s="611">
        <v>4</v>
      </c>
      <c r="EC242" s="611">
        <v>2</v>
      </c>
      <c r="ED242" s="610"/>
      <c r="EE242" s="612"/>
      <c r="EF242" s="612"/>
      <c r="EG242" s="613">
        <v>6</v>
      </c>
      <c r="EH242" s="614"/>
      <c r="EJ242" s="615"/>
      <c r="EK242" s="615"/>
      <c r="EL242" s="615"/>
      <c r="EM242" s="616" t="s">
        <v>1344</v>
      </c>
      <c r="EN242" s="617"/>
      <c r="EO242" s="617"/>
      <c r="EP242" s="617"/>
      <c r="EQ242" s="617"/>
      <c r="ER242" s="618">
        <v>0</v>
      </c>
      <c r="ES242" s="618">
        <v>5</v>
      </c>
      <c r="ET242" s="617"/>
      <c r="EU242" s="617"/>
      <c r="EV242" s="617"/>
      <c r="EW242" s="617"/>
      <c r="EX242" s="618">
        <v>5</v>
      </c>
      <c r="EY242" s="515"/>
      <c r="FA242" s="70"/>
      <c r="FB242" s="70"/>
      <c r="FC242" s="70"/>
      <c r="FD242" s="42" t="s">
        <v>1240</v>
      </c>
      <c r="FE242" s="70"/>
      <c r="FF242" s="70">
        <v>0</v>
      </c>
      <c r="FG242" s="70"/>
      <c r="FH242" s="70"/>
      <c r="FI242" s="70">
        <v>0</v>
      </c>
      <c r="FJ242" s="70">
        <v>7</v>
      </c>
      <c r="FK242" s="70">
        <v>2</v>
      </c>
      <c r="FL242" s="70"/>
      <c r="FM242" s="70"/>
      <c r="FN242" s="70"/>
      <c r="FO242" s="70">
        <v>9</v>
      </c>
      <c r="FP242" s="42"/>
      <c r="FQ242" s="42"/>
      <c r="FR242" s="516"/>
      <c r="FS242" s="516"/>
      <c r="FT242" s="516"/>
      <c r="FU242" s="516" t="s">
        <v>1240</v>
      </c>
      <c r="FV242" s="516">
        <v>0</v>
      </c>
      <c r="FW242" s="516">
        <v>0</v>
      </c>
      <c r="FX242" s="516">
        <v>0</v>
      </c>
      <c r="FY242" s="516">
        <v>0</v>
      </c>
      <c r="FZ242" s="516">
        <v>0</v>
      </c>
      <c r="GA242" s="516">
        <v>0</v>
      </c>
      <c r="GB242" s="516">
        <v>5</v>
      </c>
      <c r="GC242" s="516">
        <v>0</v>
      </c>
      <c r="GD242" s="516">
        <v>0</v>
      </c>
      <c r="GE242" s="516">
        <v>0</v>
      </c>
      <c r="GF242" s="516">
        <v>0</v>
      </c>
      <c r="GG242" s="517">
        <v>5</v>
      </c>
      <c r="GH242" s="516"/>
      <c r="GI242" s="518"/>
    </row>
    <row r="243" spans="2:191" ht="15" thickBot="1">
      <c r="B243" s="167" t="s">
        <v>41</v>
      </c>
      <c r="C243" s="4800" t="s">
        <v>139</v>
      </c>
      <c r="D243" s="4800" t="s">
        <v>1231</v>
      </c>
      <c r="E243" s="4606">
        <v>0</v>
      </c>
      <c r="F243" s="4606">
        <v>1</v>
      </c>
      <c r="G243" s="4606"/>
      <c r="H243" s="4606"/>
      <c r="I243" s="4606"/>
      <c r="J243" s="4606"/>
      <c r="K243" s="4606">
        <v>8</v>
      </c>
      <c r="L243" s="4606">
        <v>0</v>
      </c>
      <c r="M243" s="4606"/>
      <c r="N243" s="2552"/>
      <c r="O243" s="2552"/>
      <c r="P243" s="2552">
        <v>9</v>
      </c>
      <c r="Q243" s="2552"/>
      <c r="R243" s="2552"/>
      <c r="V243" s="37" t="s">
        <v>1239</v>
      </c>
      <c r="W243" s="4803">
        <v>0</v>
      </c>
      <c r="X243" s="4803"/>
      <c r="Y243" s="4803"/>
      <c r="Z243" s="4803"/>
      <c r="AA243" s="4803"/>
      <c r="AB243" s="4803"/>
      <c r="AC243" s="4803">
        <v>0</v>
      </c>
      <c r="AD243" s="4803">
        <v>5</v>
      </c>
      <c r="AE243" s="1788"/>
      <c r="AF243" s="1788">
        <v>5</v>
      </c>
      <c r="AI243" s="41"/>
      <c r="AJ243" s="41"/>
      <c r="AK243" s="41" t="s">
        <v>1936</v>
      </c>
      <c r="AL243" s="41" t="s">
        <v>1231</v>
      </c>
      <c r="AM243" s="2001">
        <v>1</v>
      </c>
      <c r="AN243" s="2001"/>
      <c r="AO243" s="2001"/>
      <c r="AP243" s="2001"/>
      <c r="AQ243" s="2001"/>
      <c r="AR243" s="2001">
        <v>5</v>
      </c>
      <c r="AS243" s="2001">
        <v>0</v>
      </c>
      <c r="AT243" s="2001"/>
      <c r="AU243" s="105"/>
      <c r="AV243" s="105"/>
      <c r="AW243" s="105">
        <v>6</v>
      </c>
      <c r="AX243" s="41"/>
      <c r="AZ243" s="42"/>
      <c r="BA243" s="42"/>
      <c r="BB243" s="42"/>
      <c r="BC243" s="42" t="s">
        <v>1344</v>
      </c>
      <c r="BD243" s="1993"/>
      <c r="BE243" s="1993"/>
      <c r="BF243" s="1993"/>
      <c r="BG243" s="1993"/>
      <c r="BH243" s="1993">
        <v>1</v>
      </c>
      <c r="BI243" s="1993"/>
      <c r="BJ243" s="1993">
        <v>3</v>
      </c>
      <c r="BK243" s="1993">
        <v>1</v>
      </c>
      <c r="BL243" s="1993">
        <v>0</v>
      </c>
      <c r="BM243" s="70"/>
      <c r="BN243" s="70"/>
      <c r="BO243" s="70">
        <v>5</v>
      </c>
      <c r="BR243" s="105"/>
      <c r="BS243" s="105"/>
      <c r="BT243" s="41"/>
      <c r="BU243" s="41" t="s">
        <v>1240</v>
      </c>
      <c r="BV243" s="1659"/>
      <c r="BW243" s="1659">
        <v>0</v>
      </c>
      <c r="BX243" s="1659">
        <v>0</v>
      </c>
      <c r="BY243" s="1659">
        <v>2</v>
      </c>
      <c r="BZ243" s="1659">
        <v>1</v>
      </c>
      <c r="CA243" s="1659">
        <v>0</v>
      </c>
      <c r="CB243" s="1659">
        <v>15</v>
      </c>
      <c r="CC243" s="1659">
        <v>2</v>
      </c>
      <c r="CD243" s="1659">
        <v>1</v>
      </c>
      <c r="CE243" s="105"/>
      <c r="CF243" s="105"/>
      <c r="CG243" s="105">
        <v>21</v>
      </c>
      <c r="CH243" s="105"/>
      <c r="CJ243" s="1359"/>
      <c r="CK243" s="1359"/>
      <c r="CL243" s="1360"/>
      <c r="CM243" s="1361" t="s">
        <v>1239</v>
      </c>
      <c r="CN243" s="1363">
        <v>0</v>
      </c>
      <c r="CO243" s="1363">
        <v>0</v>
      </c>
      <c r="CP243" s="1362"/>
      <c r="CQ243" s="1363">
        <v>0</v>
      </c>
      <c r="CR243" s="1363">
        <v>0</v>
      </c>
      <c r="CS243" s="1363">
        <v>1</v>
      </c>
      <c r="CT243" s="1363">
        <v>1</v>
      </c>
      <c r="CU243" s="1363">
        <v>5</v>
      </c>
      <c r="CV243" s="687">
        <v>2</v>
      </c>
      <c r="CW243" s="686"/>
      <c r="CX243" s="687">
        <v>9</v>
      </c>
      <c r="CY243" s="41"/>
      <c r="DA243" s="602"/>
      <c r="DB243" s="602"/>
      <c r="DC243" s="603"/>
      <c r="DD243" s="604" t="s">
        <v>1344</v>
      </c>
      <c r="DE243" s="605"/>
      <c r="DF243" s="605"/>
      <c r="DG243" s="606">
        <v>0</v>
      </c>
      <c r="DH243" s="605"/>
      <c r="DI243" s="605"/>
      <c r="DJ243" s="606">
        <v>1</v>
      </c>
      <c r="DK243" s="606">
        <v>0</v>
      </c>
      <c r="DL243" s="606">
        <v>2</v>
      </c>
      <c r="DM243" s="607">
        <v>0</v>
      </c>
      <c r="DN243" s="602"/>
      <c r="DO243" s="607">
        <v>3</v>
      </c>
      <c r="DP243" s="105"/>
      <c r="DR243" s="608"/>
      <c r="DS243" s="608"/>
      <c r="DT243" s="608"/>
      <c r="DU243" s="609" t="s">
        <v>1235</v>
      </c>
      <c r="DV243" s="610"/>
      <c r="DW243" s="611">
        <v>0</v>
      </c>
      <c r="DX243" s="611">
        <v>0</v>
      </c>
      <c r="DY243" s="610"/>
      <c r="DZ243" s="611">
        <v>0</v>
      </c>
      <c r="EA243" s="610"/>
      <c r="EB243" s="611">
        <v>1</v>
      </c>
      <c r="EC243" s="611">
        <v>1</v>
      </c>
      <c r="ED243" s="610"/>
      <c r="EE243" s="612"/>
      <c r="EF243" s="612"/>
      <c r="EG243" s="613">
        <v>2</v>
      </c>
      <c r="EH243" s="614"/>
      <c r="EJ243" s="638"/>
      <c r="EK243" s="638"/>
      <c r="EL243" s="638"/>
      <c r="EM243" s="639" t="s">
        <v>844</v>
      </c>
      <c r="EN243" s="640"/>
      <c r="EO243" s="640"/>
      <c r="EP243" s="640"/>
      <c r="EQ243" s="640"/>
      <c r="ER243" s="641">
        <v>2</v>
      </c>
      <c r="ES243" s="641">
        <v>13</v>
      </c>
      <c r="ET243" s="640"/>
      <c r="EU243" s="640"/>
      <c r="EV243" s="640"/>
      <c r="EW243" s="640"/>
      <c r="EX243" s="641">
        <v>15</v>
      </c>
      <c r="EY243" s="642">
        <f>+(EX242+EX241+EX240)/EX243</f>
        <v>0.8</v>
      </c>
      <c r="FA243" s="70"/>
      <c r="FB243" s="70"/>
      <c r="FC243" s="70"/>
      <c r="FD243" s="42" t="s">
        <v>1344</v>
      </c>
      <c r="FE243" s="70"/>
      <c r="FF243" s="70">
        <v>0</v>
      </c>
      <c r="FG243" s="70"/>
      <c r="FH243" s="70"/>
      <c r="FI243" s="70">
        <v>0</v>
      </c>
      <c r="FJ243" s="70">
        <v>9</v>
      </c>
      <c r="FK243" s="70">
        <v>4</v>
      </c>
      <c r="FL243" s="70"/>
      <c r="FM243" s="70"/>
      <c r="FN243" s="70"/>
      <c r="FO243" s="70">
        <v>13</v>
      </c>
      <c r="FP243" s="42"/>
      <c r="FQ243" s="42"/>
      <c r="FR243" s="516"/>
      <c r="FS243" s="516"/>
      <c r="FT243" s="516"/>
      <c r="FU243" s="516" t="s">
        <v>1344</v>
      </c>
      <c r="FV243" s="516">
        <v>0</v>
      </c>
      <c r="FW243" s="516">
        <v>0</v>
      </c>
      <c r="FX243" s="516">
        <v>0</v>
      </c>
      <c r="FY243" s="516">
        <v>0</v>
      </c>
      <c r="FZ243" s="516">
        <v>0</v>
      </c>
      <c r="GA243" s="516">
        <v>0</v>
      </c>
      <c r="GB243" s="516">
        <v>5</v>
      </c>
      <c r="GC243" s="516">
        <v>0</v>
      </c>
      <c r="GD243" s="516">
        <v>0</v>
      </c>
      <c r="GE243" s="516">
        <v>0</v>
      </c>
      <c r="GF243" s="516">
        <v>0</v>
      </c>
      <c r="GG243" s="517">
        <v>5</v>
      </c>
      <c r="GH243" s="516"/>
      <c r="GI243" s="518"/>
    </row>
    <row r="244" spans="2:191" ht="15" thickBot="1">
      <c r="D244" s="4800" t="s">
        <v>1235</v>
      </c>
      <c r="E244" s="4606">
        <v>0</v>
      </c>
      <c r="F244" s="4606">
        <v>0</v>
      </c>
      <c r="G244" s="4606"/>
      <c r="H244" s="4606"/>
      <c r="I244" s="4606"/>
      <c r="J244" s="4606"/>
      <c r="K244" s="4606">
        <v>4</v>
      </c>
      <c r="L244" s="4606">
        <v>0</v>
      </c>
      <c r="M244" s="4606"/>
      <c r="N244" s="2552"/>
      <c r="O244" s="2552"/>
      <c r="P244" s="2552">
        <v>4</v>
      </c>
      <c r="Q244" s="2552"/>
      <c r="R244" s="2552"/>
      <c r="V244" s="37" t="s">
        <v>1240</v>
      </c>
      <c r="W244" s="4803">
        <v>0</v>
      </c>
      <c r="X244" s="4803"/>
      <c r="Y244" s="4803"/>
      <c r="Z244" s="4803"/>
      <c r="AA244" s="4803"/>
      <c r="AB244" s="4803"/>
      <c r="AC244" s="4803">
        <v>1</v>
      </c>
      <c r="AD244" s="4803">
        <v>0</v>
      </c>
      <c r="AE244" s="1788"/>
      <c r="AF244" s="1788">
        <v>1</v>
      </c>
      <c r="AI244" s="41"/>
      <c r="AJ244" s="41"/>
      <c r="AK244" s="41"/>
      <c r="AL244" s="41" t="s">
        <v>1235</v>
      </c>
      <c r="AM244" s="2001">
        <v>0</v>
      </c>
      <c r="AN244" s="2001"/>
      <c r="AO244" s="2001"/>
      <c r="AP244" s="2001"/>
      <c r="AQ244" s="2001"/>
      <c r="AR244" s="2001">
        <v>4</v>
      </c>
      <c r="AS244" s="2001">
        <v>2</v>
      </c>
      <c r="AT244" s="2001"/>
      <c r="AU244" s="105"/>
      <c r="AV244" s="105"/>
      <c r="AW244" s="105">
        <v>6</v>
      </c>
      <c r="AX244" s="41"/>
      <c r="AZ244" s="42"/>
      <c r="BA244" s="42"/>
      <c r="BB244" s="42"/>
      <c r="BC244" s="484" t="s">
        <v>15</v>
      </c>
      <c r="BD244" s="1994"/>
      <c r="BE244" s="1994"/>
      <c r="BF244" s="1994"/>
      <c r="BG244" s="1994"/>
      <c r="BH244" s="1994">
        <v>1</v>
      </c>
      <c r="BI244" s="1994"/>
      <c r="BJ244" s="1994">
        <v>13</v>
      </c>
      <c r="BK244" s="1994">
        <v>5</v>
      </c>
      <c r="BL244" s="1994">
        <v>5</v>
      </c>
      <c r="BM244" s="454"/>
      <c r="BN244" s="454"/>
      <c r="BO244" s="454">
        <v>24</v>
      </c>
      <c r="BP244" s="2485">
        <f>+(BO240+BO242+BO243)/BO244</f>
        <v>0.375</v>
      </c>
      <c r="BR244" s="105"/>
      <c r="BS244" s="105"/>
      <c r="BT244" s="41"/>
      <c r="BU244" s="41" t="s">
        <v>1344</v>
      </c>
      <c r="BV244" s="1659"/>
      <c r="BW244" s="1659">
        <v>0</v>
      </c>
      <c r="BX244" s="1659">
        <v>0</v>
      </c>
      <c r="BY244" s="1659">
        <v>10</v>
      </c>
      <c r="BZ244" s="1659">
        <v>2</v>
      </c>
      <c r="CA244" s="1659">
        <v>0</v>
      </c>
      <c r="CB244" s="1659">
        <v>9</v>
      </c>
      <c r="CC244" s="1659">
        <v>3</v>
      </c>
      <c r="CD244" s="1659">
        <v>0</v>
      </c>
      <c r="CE244" s="105"/>
      <c r="CF244" s="105"/>
      <c r="CG244" s="105">
        <v>24</v>
      </c>
      <c r="CH244" s="105"/>
      <c r="CJ244" s="1359"/>
      <c r="CK244" s="1359"/>
      <c r="CL244" s="1360"/>
      <c r="CM244" s="1361" t="s">
        <v>1240</v>
      </c>
      <c r="CN244" s="1363">
        <v>0</v>
      </c>
      <c r="CO244" s="1363">
        <v>0</v>
      </c>
      <c r="CP244" s="1362"/>
      <c r="CQ244" s="1363">
        <v>1</v>
      </c>
      <c r="CR244" s="1363">
        <v>1</v>
      </c>
      <c r="CS244" s="1363">
        <v>4</v>
      </c>
      <c r="CT244" s="1363">
        <v>4</v>
      </c>
      <c r="CU244" s="1363">
        <v>0</v>
      </c>
      <c r="CV244" s="687">
        <v>0</v>
      </c>
      <c r="CW244" s="686"/>
      <c r="CX244" s="687">
        <v>10</v>
      </c>
      <c r="CY244" s="41"/>
      <c r="DA244" s="602"/>
      <c r="DB244" s="602"/>
      <c r="DC244" s="603"/>
      <c r="DD244" s="630" t="s">
        <v>15</v>
      </c>
      <c r="DE244" s="631"/>
      <c r="DF244" s="631"/>
      <c r="DG244" s="632">
        <v>1</v>
      </c>
      <c r="DH244" s="631"/>
      <c r="DI244" s="631"/>
      <c r="DJ244" s="632">
        <v>4</v>
      </c>
      <c r="DK244" s="632">
        <v>6</v>
      </c>
      <c r="DL244" s="632">
        <v>3</v>
      </c>
      <c r="DM244" s="634">
        <v>2</v>
      </c>
      <c r="DN244" s="633"/>
      <c r="DO244" s="634">
        <v>16</v>
      </c>
      <c r="DP244" s="635">
        <f>+(DO240+DO242+DO243)/DO244</f>
        <v>0.5625</v>
      </c>
      <c r="DR244" s="608"/>
      <c r="DS244" s="608"/>
      <c r="DT244" s="608"/>
      <c r="DU244" s="609" t="s">
        <v>1236</v>
      </c>
      <c r="DV244" s="610"/>
      <c r="DW244" s="611">
        <v>1</v>
      </c>
      <c r="DX244" s="611">
        <v>1</v>
      </c>
      <c r="DY244" s="610"/>
      <c r="DZ244" s="611">
        <v>1</v>
      </c>
      <c r="EA244" s="610"/>
      <c r="EB244" s="611">
        <v>1</v>
      </c>
      <c r="EC244" s="611">
        <v>0</v>
      </c>
      <c r="ED244" s="610"/>
      <c r="EE244" s="612"/>
      <c r="EF244" s="612"/>
      <c r="EG244" s="613">
        <v>4</v>
      </c>
      <c r="EH244" s="614"/>
      <c r="EJ244" s="615"/>
      <c r="EK244" s="615"/>
      <c r="FA244" s="70"/>
      <c r="FB244" s="542"/>
      <c r="FC244" s="542"/>
      <c r="FD244" s="544" t="s">
        <v>15</v>
      </c>
      <c r="FE244" s="491"/>
      <c r="FF244" s="491">
        <v>1</v>
      </c>
      <c r="FG244" s="491"/>
      <c r="FH244" s="491"/>
      <c r="FI244" s="491">
        <v>2</v>
      </c>
      <c r="FJ244" s="491">
        <v>57</v>
      </c>
      <c r="FK244" s="491">
        <v>11</v>
      </c>
      <c r="FL244" s="491"/>
      <c r="FM244" s="491"/>
      <c r="FN244" s="491"/>
      <c r="FO244" s="491">
        <v>71</v>
      </c>
      <c r="FP244" s="643">
        <f>+(FO240+FO242+FO243)/FO244</f>
        <v>0.42253521126760563</v>
      </c>
      <c r="FQ244" s="42"/>
      <c r="FR244" s="516"/>
      <c r="FS244" s="636"/>
      <c r="FT244" s="636"/>
      <c r="FU244" s="539" t="s">
        <v>15</v>
      </c>
      <c r="FV244" s="539">
        <v>0</v>
      </c>
      <c r="FW244" s="539">
        <v>0</v>
      </c>
      <c r="FX244" s="539">
        <v>0</v>
      </c>
      <c r="FY244" s="539">
        <v>0</v>
      </c>
      <c r="FZ244" s="539">
        <v>0</v>
      </c>
      <c r="GA244" s="539">
        <v>1</v>
      </c>
      <c r="GB244" s="539">
        <v>17</v>
      </c>
      <c r="GC244" s="539">
        <v>0</v>
      </c>
      <c r="GD244" s="539">
        <v>0</v>
      </c>
      <c r="GE244" s="539">
        <v>0</v>
      </c>
      <c r="GF244" s="539">
        <v>0</v>
      </c>
      <c r="GG244" s="540">
        <v>18</v>
      </c>
      <c r="GH244" s="541">
        <f>+(GG243+GG242+GG240)/GG244</f>
        <v>0.77777777777777779</v>
      </c>
      <c r="GI244" s="493">
        <f>+GG240+GG242+GG243</f>
        <v>14</v>
      </c>
    </row>
    <row r="245" spans="2:191">
      <c r="D245" s="4800" t="s">
        <v>1239</v>
      </c>
      <c r="E245" s="4606">
        <v>0</v>
      </c>
      <c r="F245" s="4606">
        <v>0</v>
      </c>
      <c r="G245" s="4606"/>
      <c r="H245" s="4606"/>
      <c r="I245" s="4606"/>
      <c r="J245" s="4606"/>
      <c r="K245" s="4606">
        <v>0</v>
      </c>
      <c r="L245" s="4606">
        <v>3</v>
      </c>
      <c r="M245" s="4606"/>
      <c r="N245" s="2552"/>
      <c r="O245" s="2552"/>
      <c r="P245" s="2552">
        <v>3</v>
      </c>
      <c r="Q245" s="2552"/>
      <c r="R245" s="2552"/>
      <c r="V245" s="37" t="s">
        <v>1344</v>
      </c>
      <c r="W245" s="4803">
        <v>0</v>
      </c>
      <c r="X245" s="4803"/>
      <c r="Y245" s="4803"/>
      <c r="Z245" s="4803"/>
      <c r="AA245" s="4803"/>
      <c r="AB245" s="4803"/>
      <c r="AC245" s="4803">
        <v>1</v>
      </c>
      <c r="AD245" s="4803">
        <v>0</v>
      </c>
      <c r="AE245" s="1788"/>
      <c r="AF245" s="1788">
        <v>1</v>
      </c>
      <c r="AI245" s="41"/>
      <c r="AJ245" s="41"/>
      <c r="AK245" s="41"/>
      <c r="AL245" s="41" t="s">
        <v>1240</v>
      </c>
      <c r="AM245" s="2001">
        <v>0</v>
      </c>
      <c r="AN245" s="2001"/>
      <c r="AO245" s="2001"/>
      <c r="AP245" s="2001"/>
      <c r="AQ245" s="2001"/>
      <c r="AR245" s="2001">
        <v>7</v>
      </c>
      <c r="AS245" s="2001">
        <v>0</v>
      </c>
      <c r="AT245" s="2001"/>
      <c r="AU245" s="105"/>
      <c r="AV245" s="105"/>
      <c r="AW245" s="105">
        <v>7</v>
      </c>
      <c r="AX245" s="41"/>
      <c r="AZ245" s="42"/>
      <c r="BA245" s="42"/>
      <c r="BB245" s="42" t="s">
        <v>1937</v>
      </c>
      <c r="BC245" s="42" t="s">
        <v>1231</v>
      </c>
      <c r="BD245" s="1993"/>
      <c r="BE245" s="1993"/>
      <c r="BF245" s="1993"/>
      <c r="BG245" s="1993">
        <v>0</v>
      </c>
      <c r="BH245" s="1993"/>
      <c r="BI245" s="1993">
        <v>1</v>
      </c>
      <c r="BJ245" s="1993">
        <v>8</v>
      </c>
      <c r="BK245" s="1993"/>
      <c r="BL245" s="1993"/>
      <c r="BM245" s="70"/>
      <c r="BN245" s="70"/>
      <c r="BO245" s="70">
        <v>9</v>
      </c>
      <c r="BR245" s="105"/>
      <c r="BS245" s="105"/>
      <c r="BT245" s="41"/>
      <c r="BU245" s="461" t="s">
        <v>545</v>
      </c>
      <c r="BV245" s="1660"/>
      <c r="BW245" s="1660">
        <v>2</v>
      </c>
      <c r="BX245" s="1660">
        <v>4</v>
      </c>
      <c r="BY245" s="1660">
        <v>28</v>
      </c>
      <c r="BZ245" s="1660">
        <v>8</v>
      </c>
      <c r="CA245" s="1660">
        <v>1</v>
      </c>
      <c r="CB245" s="1660">
        <v>116</v>
      </c>
      <c r="CC245" s="1660">
        <v>13</v>
      </c>
      <c r="CD245" s="1660">
        <v>2</v>
      </c>
      <c r="CE245" s="96"/>
      <c r="CF245" s="96"/>
      <c r="CG245" s="96">
        <v>174</v>
      </c>
      <c r="CH245" s="635">
        <f>+(CG241+CG243+CG244)/CG245</f>
        <v>0.35057471264367818</v>
      </c>
      <c r="CJ245" s="1359"/>
      <c r="CK245" s="1359"/>
      <c r="CL245" s="1360"/>
      <c r="CM245" s="1361" t="s">
        <v>1344</v>
      </c>
      <c r="CN245" s="1363">
        <v>0</v>
      </c>
      <c r="CO245" s="1363">
        <v>0</v>
      </c>
      <c r="CP245" s="1362"/>
      <c r="CQ245" s="1363">
        <v>2</v>
      </c>
      <c r="CR245" s="1363">
        <v>2</v>
      </c>
      <c r="CS245" s="1363">
        <v>6</v>
      </c>
      <c r="CT245" s="1363">
        <v>3</v>
      </c>
      <c r="CU245" s="1363">
        <v>0</v>
      </c>
      <c r="CV245" s="687">
        <v>0</v>
      </c>
      <c r="CW245" s="686"/>
      <c r="CX245" s="687">
        <v>13</v>
      </c>
      <c r="CY245" s="41"/>
      <c r="DA245" s="602"/>
      <c r="DB245" s="602"/>
      <c r="DC245" s="603" t="s">
        <v>142</v>
      </c>
      <c r="DD245" s="604" t="s">
        <v>1230</v>
      </c>
      <c r="DE245" s="605"/>
      <c r="DF245" s="605"/>
      <c r="DG245" s="605"/>
      <c r="DH245" s="605"/>
      <c r="DI245" s="605"/>
      <c r="DJ245" s="606">
        <v>0</v>
      </c>
      <c r="DK245" s="606">
        <v>1</v>
      </c>
      <c r="DL245" s="606">
        <v>0</v>
      </c>
      <c r="DM245" s="602"/>
      <c r="DN245" s="602"/>
      <c r="DO245" s="607">
        <v>1</v>
      </c>
      <c r="DP245" s="105"/>
      <c r="DR245" s="608"/>
      <c r="DS245" s="608"/>
      <c r="DT245" s="608"/>
      <c r="DU245" s="609" t="s">
        <v>1240</v>
      </c>
      <c r="DV245" s="610"/>
      <c r="DW245" s="611">
        <v>0</v>
      </c>
      <c r="DX245" s="611">
        <v>0</v>
      </c>
      <c r="DY245" s="610"/>
      <c r="DZ245" s="611">
        <v>0</v>
      </c>
      <c r="EA245" s="610"/>
      <c r="EB245" s="611">
        <v>2</v>
      </c>
      <c r="EC245" s="611">
        <v>1</v>
      </c>
      <c r="ED245" s="610"/>
      <c r="EE245" s="612"/>
      <c r="EF245" s="612"/>
      <c r="EG245" s="613">
        <v>3</v>
      </c>
      <c r="EH245" s="614"/>
      <c r="EJ245" s="615"/>
      <c r="EK245" s="615"/>
      <c r="FA245" s="70"/>
      <c r="FB245" s="70"/>
      <c r="FQ245" s="42"/>
      <c r="FR245" s="516"/>
      <c r="FS245" s="516"/>
      <c r="FT245" s="516"/>
      <c r="FU245" s="516"/>
      <c r="FV245" s="516"/>
      <c r="FW245" s="516"/>
      <c r="FX245" s="516"/>
      <c r="FY245" s="516"/>
      <c r="FZ245" s="516"/>
      <c r="GA245" s="516"/>
      <c r="GB245" s="516"/>
      <c r="GC245" s="516"/>
      <c r="GD245" s="516"/>
      <c r="GE245" s="516"/>
      <c r="GF245" s="516"/>
      <c r="GG245" s="517"/>
      <c r="GH245" s="516"/>
      <c r="GI245" s="516"/>
    </row>
    <row r="246" spans="2:191">
      <c r="D246" s="4800" t="s">
        <v>2963</v>
      </c>
      <c r="E246" s="4606">
        <v>1</v>
      </c>
      <c r="F246" s="4606">
        <v>0</v>
      </c>
      <c r="G246" s="4606"/>
      <c r="H246" s="4606"/>
      <c r="I246" s="4606"/>
      <c r="J246" s="4606"/>
      <c r="K246" s="4606">
        <v>0</v>
      </c>
      <c r="L246" s="4606">
        <v>0</v>
      </c>
      <c r="M246" s="4606"/>
      <c r="N246" s="2552"/>
      <c r="O246" s="2552"/>
      <c r="P246" s="2552">
        <v>1</v>
      </c>
      <c r="Q246" s="2552"/>
      <c r="R246" s="2552"/>
      <c r="V246" s="1793" t="s">
        <v>15</v>
      </c>
      <c r="W246" s="4804">
        <v>2</v>
      </c>
      <c r="X246" s="4804"/>
      <c r="Y246" s="4804"/>
      <c r="Z246" s="4804"/>
      <c r="AA246" s="4804"/>
      <c r="AB246" s="4804"/>
      <c r="AC246" s="4804">
        <v>2</v>
      </c>
      <c r="AD246" s="4804">
        <v>5</v>
      </c>
      <c r="AE246" s="4702"/>
      <c r="AF246" s="4702">
        <v>9</v>
      </c>
      <c r="AG246" s="4703">
        <f>+(AF244+AF245)/AF246</f>
        <v>0.22222222222222221</v>
      </c>
      <c r="AI246" s="41"/>
      <c r="AJ246" s="41"/>
      <c r="AK246" s="41"/>
      <c r="AL246" s="461" t="s">
        <v>15</v>
      </c>
      <c r="AM246" s="2002">
        <v>1</v>
      </c>
      <c r="AN246" s="2002"/>
      <c r="AO246" s="2002"/>
      <c r="AP246" s="2002"/>
      <c r="AQ246" s="2002"/>
      <c r="AR246" s="2002">
        <v>16</v>
      </c>
      <c r="AS246" s="2002">
        <v>2</v>
      </c>
      <c r="AT246" s="2002"/>
      <c r="AU246" s="2480"/>
      <c r="AV246" s="2480"/>
      <c r="AW246" s="2480">
        <v>19</v>
      </c>
      <c r="AX246" s="635">
        <f>+(AW245+AW244)/AW246</f>
        <v>0.68421052631578949</v>
      </c>
      <c r="AY246" s="1977"/>
      <c r="AZ246" s="42"/>
      <c r="BA246" s="42"/>
      <c r="BB246" s="42"/>
      <c r="BC246" s="42" t="s">
        <v>1233</v>
      </c>
      <c r="BD246" s="1993"/>
      <c r="BE246" s="1993"/>
      <c r="BF246" s="1993"/>
      <c r="BG246" s="1993">
        <v>1</v>
      </c>
      <c r="BH246" s="1993"/>
      <c r="BI246" s="1993">
        <v>0</v>
      </c>
      <c r="BJ246" s="1993">
        <v>0</v>
      </c>
      <c r="BK246" s="1993"/>
      <c r="BL246" s="1993"/>
      <c r="BM246" s="70"/>
      <c r="BN246" s="70"/>
      <c r="BO246" s="70">
        <v>1</v>
      </c>
      <c r="BR246" s="105"/>
      <c r="BS246" s="105" t="s">
        <v>41</v>
      </c>
      <c r="BT246" s="41" t="s">
        <v>138</v>
      </c>
      <c r="BU246" s="41" t="s">
        <v>1344</v>
      </c>
      <c r="BV246" s="1659"/>
      <c r="BW246" s="1659"/>
      <c r="BX246" s="1659"/>
      <c r="BY246" s="1659">
        <v>1</v>
      </c>
      <c r="BZ246" s="1659"/>
      <c r="CA246" s="1659"/>
      <c r="CB246" s="1659"/>
      <c r="CC246" s="1659"/>
      <c r="CD246" s="1659"/>
      <c r="CE246" s="105"/>
      <c r="CF246" s="105"/>
      <c r="CG246" s="105">
        <v>1</v>
      </c>
      <c r="CH246" s="105"/>
      <c r="CJ246" s="1359"/>
      <c r="CK246" s="1359"/>
      <c r="CL246" s="1360"/>
      <c r="CM246" s="483" t="s">
        <v>547</v>
      </c>
      <c r="CN246" s="1365">
        <v>4</v>
      </c>
      <c r="CO246" s="1365">
        <v>2</v>
      </c>
      <c r="CP246" s="1364"/>
      <c r="CQ246" s="1365">
        <v>7</v>
      </c>
      <c r="CR246" s="1365">
        <v>6</v>
      </c>
      <c r="CS246" s="1365">
        <v>41</v>
      </c>
      <c r="CT246" s="1365">
        <v>19</v>
      </c>
      <c r="CU246" s="1365">
        <v>8</v>
      </c>
      <c r="CV246" s="696">
        <v>2</v>
      </c>
      <c r="CW246" s="695"/>
      <c r="CX246" s="696">
        <v>89</v>
      </c>
      <c r="CY246" s="1325">
        <f>+(CX242+CX244+CX245)/CX246</f>
        <v>0.38202247191011235</v>
      </c>
      <c r="DA246" s="602"/>
      <c r="DB246" s="602"/>
      <c r="DC246" s="603"/>
      <c r="DD246" s="604" t="s">
        <v>1231</v>
      </c>
      <c r="DE246" s="605"/>
      <c r="DF246" s="605"/>
      <c r="DG246" s="605"/>
      <c r="DH246" s="605"/>
      <c r="DI246" s="605"/>
      <c r="DJ246" s="606">
        <v>1</v>
      </c>
      <c r="DK246" s="606">
        <v>3</v>
      </c>
      <c r="DL246" s="606">
        <v>1</v>
      </c>
      <c r="DM246" s="602"/>
      <c r="DN246" s="602"/>
      <c r="DO246" s="607">
        <v>5</v>
      </c>
      <c r="DP246" s="105"/>
      <c r="DR246" s="608"/>
      <c r="DS246" s="608"/>
      <c r="DT246" s="608"/>
      <c r="DU246" s="609" t="s">
        <v>1344</v>
      </c>
      <c r="DV246" s="610"/>
      <c r="DW246" s="611">
        <v>0</v>
      </c>
      <c r="DX246" s="611">
        <v>0</v>
      </c>
      <c r="DY246" s="610"/>
      <c r="DZ246" s="611">
        <v>0</v>
      </c>
      <c r="EA246" s="610"/>
      <c r="EB246" s="611">
        <v>4</v>
      </c>
      <c r="EC246" s="611">
        <v>1</v>
      </c>
      <c r="ED246" s="610"/>
      <c r="EE246" s="612"/>
      <c r="EF246" s="612"/>
      <c r="EG246" s="613">
        <v>5</v>
      </c>
      <c r="EH246" s="614"/>
      <c r="EJ246" s="615"/>
      <c r="EK246" s="615"/>
      <c r="FA246" s="70"/>
      <c r="FB246" s="70"/>
      <c r="FQ246" s="42"/>
      <c r="FR246" s="516"/>
      <c r="FS246" s="516"/>
      <c r="FT246" s="516"/>
      <c r="FU246" s="516"/>
      <c r="FV246" s="516"/>
      <c r="FW246" s="516"/>
      <c r="FX246" s="516"/>
      <c r="FY246" s="516"/>
      <c r="FZ246" s="516"/>
      <c r="GA246" s="516"/>
      <c r="GB246" s="516"/>
      <c r="GC246" s="516"/>
      <c r="GD246" s="516"/>
      <c r="GE246" s="516"/>
      <c r="GF246" s="516"/>
      <c r="GG246" s="517"/>
      <c r="GH246" s="516"/>
      <c r="GI246" s="516"/>
    </row>
    <row r="247" spans="2:191">
      <c r="D247" s="4800" t="s">
        <v>15</v>
      </c>
      <c r="E247" s="4606">
        <v>1</v>
      </c>
      <c r="F247" s="4606">
        <v>1</v>
      </c>
      <c r="G247" s="4606"/>
      <c r="H247" s="4606"/>
      <c r="I247" s="4606"/>
      <c r="J247" s="4606"/>
      <c r="K247" s="4606">
        <v>12</v>
      </c>
      <c r="L247" s="4606">
        <v>3</v>
      </c>
      <c r="M247" s="4606"/>
      <c r="N247" s="2552"/>
      <c r="O247" s="2552"/>
      <c r="P247" s="2552">
        <v>17</v>
      </c>
      <c r="Q247" s="1977">
        <f>+(P244)/(P247-P246)</f>
        <v>0.25</v>
      </c>
      <c r="R247" s="1977"/>
      <c r="U247" s="37" t="s">
        <v>827</v>
      </c>
      <c r="V247" s="37" t="s">
        <v>1231</v>
      </c>
      <c r="W247" s="4803"/>
      <c r="X247" s="4803">
        <v>1</v>
      </c>
      <c r="Y247" s="4803"/>
      <c r="Z247" s="4803"/>
      <c r="AA247" s="4803"/>
      <c r="AB247" s="4803">
        <v>7</v>
      </c>
      <c r="AC247" s="4803"/>
      <c r="AD247" s="4803"/>
      <c r="AE247" s="1788"/>
      <c r="AF247" s="1788">
        <v>8</v>
      </c>
      <c r="AI247" s="41"/>
      <c r="AJ247" s="41"/>
      <c r="AK247" s="461" t="s">
        <v>545</v>
      </c>
      <c r="AL247" s="461" t="s">
        <v>1230</v>
      </c>
      <c r="AM247" s="2002">
        <v>0</v>
      </c>
      <c r="AN247" s="2002">
        <v>0</v>
      </c>
      <c r="AO247" s="2002">
        <v>1</v>
      </c>
      <c r="AP247" s="2002">
        <v>0</v>
      </c>
      <c r="AQ247" s="2002">
        <v>1</v>
      </c>
      <c r="AR247" s="2002">
        <v>0</v>
      </c>
      <c r="AS247" s="2002">
        <v>0</v>
      </c>
      <c r="AT247" s="2002">
        <v>0</v>
      </c>
      <c r="AU247" s="2480">
        <v>0</v>
      </c>
      <c r="AV247" s="2480"/>
      <c r="AW247" s="2480">
        <v>2</v>
      </c>
      <c r="AX247" s="41"/>
      <c r="AZ247" s="42"/>
      <c r="BA247" s="42"/>
      <c r="BB247" s="42"/>
      <c r="BC247" s="42" t="s">
        <v>1235</v>
      </c>
      <c r="BD247" s="1993"/>
      <c r="BE247" s="1993"/>
      <c r="BF247" s="1993"/>
      <c r="BG247" s="1993">
        <v>0</v>
      </c>
      <c r="BH247" s="1993"/>
      <c r="BI247" s="1993">
        <v>0</v>
      </c>
      <c r="BJ247" s="1993">
        <v>1</v>
      </c>
      <c r="BK247" s="1993"/>
      <c r="BL247" s="1993"/>
      <c r="BM247" s="70"/>
      <c r="BN247" s="70"/>
      <c r="BO247" s="70">
        <v>1</v>
      </c>
      <c r="BR247" s="105"/>
      <c r="BS247" s="105"/>
      <c r="BT247" s="41"/>
      <c r="BU247" s="461" t="s">
        <v>15</v>
      </c>
      <c r="BV247" s="1660"/>
      <c r="BW247" s="1660"/>
      <c r="BX247" s="1660"/>
      <c r="BY247" s="1660">
        <v>1</v>
      </c>
      <c r="BZ247" s="1660"/>
      <c r="CA247" s="1660"/>
      <c r="CB247" s="1660"/>
      <c r="CC247" s="1660"/>
      <c r="CD247" s="1660"/>
      <c r="CE247" s="96"/>
      <c r="CF247" s="96"/>
      <c r="CG247" s="96">
        <v>1</v>
      </c>
      <c r="CH247" s="635">
        <f>+CG246/CG247</f>
        <v>1</v>
      </c>
      <c r="CJ247" s="1359"/>
      <c r="CK247" s="1359" t="s">
        <v>104</v>
      </c>
      <c r="CL247" s="1360" t="s">
        <v>143</v>
      </c>
      <c r="CM247" s="1361" t="s">
        <v>1231</v>
      </c>
      <c r="CN247" s="1362"/>
      <c r="CO247" s="1362"/>
      <c r="CP247" s="1362"/>
      <c r="CQ247" s="1363">
        <v>1</v>
      </c>
      <c r="CR247" s="1363">
        <v>0</v>
      </c>
      <c r="CS247" s="1363">
        <v>2</v>
      </c>
      <c r="CT247" s="1362"/>
      <c r="CU247" s="1362"/>
      <c r="CV247" s="686"/>
      <c r="CW247" s="686"/>
      <c r="CX247" s="687">
        <v>3</v>
      </c>
      <c r="CY247" s="41"/>
      <c r="DA247" s="602"/>
      <c r="DB247" s="602"/>
      <c r="DC247" s="603"/>
      <c r="DD247" s="604" t="s">
        <v>1235</v>
      </c>
      <c r="DE247" s="605"/>
      <c r="DF247" s="605"/>
      <c r="DG247" s="605"/>
      <c r="DH247" s="605"/>
      <c r="DI247" s="605"/>
      <c r="DJ247" s="606">
        <v>1</v>
      </c>
      <c r="DK247" s="606">
        <v>2</v>
      </c>
      <c r="DL247" s="606">
        <v>0</v>
      </c>
      <c r="DM247" s="602"/>
      <c r="DN247" s="602"/>
      <c r="DO247" s="607">
        <v>3</v>
      </c>
      <c r="DP247" s="105"/>
      <c r="DR247" s="608"/>
      <c r="DS247" s="608"/>
      <c r="DT247" s="608"/>
      <c r="DU247" s="620" t="s">
        <v>545</v>
      </c>
      <c r="DV247" s="621"/>
      <c r="DW247" s="622">
        <v>1</v>
      </c>
      <c r="DX247" s="622">
        <v>1</v>
      </c>
      <c r="DY247" s="621"/>
      <c r="DZ247" s="622">
        <v>1</v>
      </c>
      <c r="EA247" s="621"/>
      <c r="EB247" s="622">
        <v>12</v>
      </c>
      <c r="EC247" s="622">
        <v>5</v>
      </c>
      <c r="ED247" s="621"/>
      <c r="EE247" s="623"/>
      <c r="EF247" s="623"/>
      <c r="EG247" s="624">
        <v>20</v>
      </c>
      <c r="EH247" s="614">
        <f>+(EG246+EG245+EG243)/EG247</f>
        <v>0.5</v>
      </c>
      <c r="EJ247" s="615"/>
      <c r="EK247" s="615"/>
      <c r="FA247" s="70"/>
      <c r="FB247" s="70"/>
      <c r="FQ247" s="42"/>
      <c r="FR247" s="516"/>
      <c r="FS247" s="516"/>
      <c r="FT247" s="516"/>
      <c r="FU247" s="516"/>
      <c r="FV247" s="516"/>
      <c r="FW247" s="516"/>
      <c r="FX247" s="516"/>
      <c r="FY247" s="516"/>
      <c r="FZ247" s="516"/>
      <c r="GA247" s="516"/>
      <c r="GB247" s="516"/>
      <c r="GC247" s="516"/>
      <c r="GD247" s="516"/>
      <c r="GE247" s="516"/>
      <c r="GF247" s="516"/>
      <c r="GG247" s="517"/>
      <c r="GH247" s="516"/>
      <c r="GI247" s="516"/>
    </row>
    <row r="248" spans="2:191">
      <c r="C248" s="4800" t="s">
        <v>444</v>
      </c>
      <c r="D248" s="4800" t="s">
        <v>1231</v>
      </c>
      <c r="E248" s="4606">
        <v>0</v>
      </c>
      <c r="F248" s="4606"/>
      <c r="G248" s="4606">
        <v>2</v>
      </c>
      <c r="H248" s="4606"/>
      <c r="I248" s="4606"/>
      <c r="J248" s="4606"/>
      <c r="K248" s="4606">
        <v>9</v>
      </c>
      <c r="L248" s="4606"/>
      <c r="M248" s="4606"/>
      <c r="N248" s="2552"/>
      <c r="O248" s="2552"/>
      <c r="P248" s="2552">
        <v>11</v>
      </c>
      <c r="Q248" s="2552"/>
      <c r="R248" s="2552"/>
      <c r="V248" s="37" t="s">
        <v>1235</v>
      </c>
      <c r="W248" s="4803"/>
      <c r="X248" s="4803">
        <v>0</v>
      </c>
      <c r="Y248" s="4803"/>
      <c r="Z248" s="4803"/>
      <c r="AA248" s="4803"/>
      <c r="AB248" s="4803">
        <v>1</v>
      </c>
      <c r="AC248" s="4803"/>
      <c r="AD248" s="4803"/>
      <c r="AE248" s="1788"/>
      <c r="AF248" s="1788">
        <v>1</v>
      </c>
      <c r="AI248" s="41"/>
      <c r="AJ248" s="41"/>
      <c r="AK248" s="461"/>
      <c r="AL248" s="461" t="s">
        <v>1231</v>
      </c>
      <c r="AM248" s="2002">
        <v>4</v>
      </c>
      <c r="AN248" s="2002">
        <v>4</v>
      </c>
      <c r="AO248" s="2002">
        <v>3</v>
      </c>
      <c r="AP248" s="2002">
        <v>3</v>
      </c>
      <c r="AQ248" s="2002">
        <v>1</v>
      </c>
      <c r="AR248" s="2002">
        <v>62</v>
      </c>
      <c r="AS248" s="2002">
        <v>10</v>
      </c>
      <c r="AT248" s="2002">
        <v>0</v>
      </c>
      <c r="AU248" s="2480">
        <v>0</v>
      </c>
      <c r="AV248" s="2480"/>
      <c r="AW248" s="2480">
        <v>87</v>
      </c>
      <c r="AX248" s="41"/>
      <c r="AZ248" s="42"/>
      <c r="BA248" s="42"/>
      <c r="BB248" s="42"/>
      <c r="BC248" s="484" t="s">
        <v>15</v>
      </c>
      <c r="BD248" s="1994"/>
      <c r="BE248" s="1994"/>
      <c r="BF248" s="1994"/>
      <c r="BG248" s="1994">
        <v>1</v>
      </c>
      <c r="BH248" s="1994"/>
      <c r="BI248" s="1994">
        <v>1</v>
      </c>
      <c r="BJ248" s="1994">
        <v>9</v>
      </c>
      <c r="BK248" s="1994"/>
      <c r="BL248" s="1994"/>
      <c r="BM248" s="454"/>
      <c r="BN248" s="454"/>
      <c r="BO248" s="454">
        <v>11</v>
      </c>
      <c r="BP248" s="2485">
        <f>+BO247/BO248</f>
        <v>9.0909090909090912E-2</v>
      </c>
      <c r="BR248" s="105"/>
      <c r="BS248" s="105"/>
      <c r="BT248" s="41" t="s">
        <v>139</v>
      </c>
      <c r="BU248" s="41" t="s">
        <v>1231</v>
      </c>
      <c r="BV248" s="1659"/>
      <c r="BW248" s="1659">
        <v>0</v>
      </c>
      <c r="BX248" s="1659"/>
      <c r="BY248" s="1659"/>
      <c r="BZ248" s="1659"/>
      <c r="CA248" s="1659"/>
      <c r="CB248" s="1659">
        <v>8</v>
      </c>
      <c r="CC248" s="1659">
        <v>4</v>
      </c>
      <c r="CD248" s="1659"/>
      <c r="CE248" s="105"/>
      <c r="CF248" s="105"/>
      <c r="CG248" s="105">
        <v>12</v>
      </c>
      <c r="CH248" s="105"/>
      <c r="CJ248" s="1359"/>
      <c r="CK248" s="1359"/>
      <c r="CL248" s="1360"/>
      <c r="CM248" s="1361" t="s">
        <v>1235</v>
      </c>
      <c r="CN248" s="1362"/>
      <c r="CO248" s="1362"/>
      <c r="CP248" s="1362"/>
      <c r="CQ248" s="1363">
        <v>0</v>
      </c>
      <c r="CR248" s="1363">
        <v>0</v>
      </c>
      <c r="CS248" s="1363">
        <v>2</v>
      </c>
      <c r="CT248" s="1362"/>
      <c r="CU248" s="1362"/>
      <c r="CV248" s="686"/>
      <c r="CW248" s="686"/>
      <c r="CX248" s="687">
        <v>2</v>
      </c>
      <c r="CY248" s="41"/>
      <c r="DA248" s="602"/>
      <c r="DB248" s="602"/>
      <c r="DC248" s="603"/>
      <c r="DD248" s="604" t="s">
        <v>1239</v>
      </c>
      <c r="DE248" s="605"/>
      <c r="DF248" s="605"/>
      <c r="DG248" s="605"/>
      <c r="DH248" s="605"/>
      <c r="DI248" s="605"/>
      <c r="DJ248" s="606">
        <v>0</v>
      </c>
      <c r="DK248" s="606">
        <v>0</v>
      </c>
      <c r="DL248" s="606">
        <v>7</v>
      </c>
      <c r="DM248" s="602"/>
      <c r="DN248" s="602"/>
      <c r="DO248" s="607">
        <v>7</v>
      </c>
      <c r="DP248" s="105"/>
      <c r="DR248" s="608"/>
      <c r="DS248" s="608"/>
      <c r="DT248" s="620" t="s">
        <v>260</v>
      </c>
      <c r="DU248" s="609" t="s">
        <v>1231</v>
      </c>
      <c r="DV248" s="610"/>
      <c r="DW248" s="611">
        <v>0</v>
      </c>
      <c r="DX248" s="611">
        <v>0</v>
      </c>
      <c r="DY248" s="610"/>
      <c r="DZ248" s="611">
        <v>0</v>
      </c>
      <c r="EA248" s="610"/>
      <c r="EB248" s="611">
        <v>4</v>
      </c>
      <c r="EC248" s="611">
        <v>2</v>
      </c>
      <c r="ED248" s="610"/>
      <c r="EE248" s="612"/>
      <c r="EF248" s="612"/>
      <c r="EG248" s="613">
        <v>6</v>
      </c>
      <c r="EH248" s="614"/>
      <c r="EJ248" s="615"/>
      <c r="EK248" s="615"/>
      <c r="EN248" s="5642" t="s">
        <v>1319</v>
      </c>
      <c r="EO248" s="5642"/>
      <c r="EP248" s="5642"/>
      <c r="EQ248" s="5642"/>
      <c r="ER248" s="5642"/>
      <c r="ES248" s="5642"/>
      <c r="ET248" s="5642"/>
      <c r="EU248" s="5642"/>
      <c r="EV248" s="5642"/>
      <c r="EW248" s="5642"/>
      <c r="FA248" s="70"/>
      <c r="FB248" s="70"/>
      <c r="FE248" s="5642" t="s">
        <v>1319</v>
      </c>
      <c r="FF248" s="5642"/>
      <c r="FG248" s="5642"/>
      <c r="FH248" s="5642"/>
      <c r="FI248" s="5642"/>
      <c r="FJ248" s="5642"/>
      <c r="FK248" s="5642"/>
      <c r="FL248" s="5642"/>
      <c r="FM248" s="5642"/>
      <c r="FN248" s="5642"/>
      <c r="FQ248" s="42"/>
      <c r="FR248" s="516"/>
      <c r="FS248" s="516"/>
      <c r="FT248" s="516"/>
      <c r="FU248" s="516"/>
      <c r="FV248" s="5665" t="s">
        <v>1319</v>
      </c>
      <c r="FW248" s="5665"/>
      <c r="FX248" s="5665"/>
      <c r="FY248" s="5665"/>
      <c r="FZ248" s="5665"/>
      <c r="GA248" s="5665"/>
      <c r="GB248" s="5665"/>
      <c r="GC248" s="5665"/>
      <c r="GD248" s="5665"/>
      <c r="GE248" s="5665"/>
      <c r="GF248" s="5665"/>
      <c r="GG248" s="517"/>
      <c r="GH248" s="516"/>
      <c r="GI248" s="516"/>
    </row>
    <row r="249" spans="2:191" ht="28.2" thickBot="1">
      <c r="D249" s="4800" t="s">
        <v>2963</v>
      </c>
      <c r="E249" s="4606">
        <v>2</v>
      </c>
      <c r="F249" s="4606"/>
      <c r="G249" s="4606">
        <v>0</v>
      </c>
      <c r="H249" s="4606"/>
      <c r="I249" s="4606"/>
      <c r="J249" s="4606"/>
      <c r="K249" s="4606">
        <v>0</v>
      </c>
      <c r="L249" s="4606"/>
      <c r="M249" s="4606"/>
      <c r="N249" s="2552"/>
      <c r="O249" s="2552"/>
      <c r="P249" s="2552">
        <v>2</v>
      </c>
      <c r="Q249" s="2552"/>
      <c r="R249" s="2552"/>
      <c r="V249" s="37" t="s">
        <v>1344</v>
      </c>
      <c r="W249" s="4803"/>
      <c r="X249" s="4803">
        <v>0</v>
      </c>
      <c r="Y249" s="4803"/>
      <c r="Z249" s="4803"/>
      <c r="AA249" s="4803"/>
      <c r="AB249" s="4803">
        <v>2</v>
      </c>
      <c r="AC249" s="4803"/>
      <c r="AD249" s="4803"/>
      <c r="AE249" s="1788"/>
      <c r="AF249" s="1788">
        <v>2</v>
      </c>
      <c r="AI249" s="41"/>
      <c r="AJ249" s="41"/>
      <c r="AK249" s="461"/>
      <c r="AL249" s="461" t="s">
        <v>1233</v>
      </c>
      <c r="AM249" s="2002">
        <v>1</v>
      </c>
      <c r="AN249" s="2002">
        <v>0</v>
      </c>
      <c r="AO249" s="2002">
        <v>0</v>
      </c>
      <c r="AP249" s="2002">
        <v>1</v>
      </c>
      <c r="AQ249" s="2002">
        <v>1</v>
      </c>
      <c r="AR249" s="2002">
        <v>0</v>
      </c>
      <c r="AS249" s="2002">
        <v>0</v>
      </c>
      <c r="AT249" s="2002">
        <v>0</v>
      </c>
      <c r="AU249" s="2480">
        <v>0</v>
      </c>
      <c r="AV249" s="2480"/>
      <c r="AW249" s="2480">
        <v>3</v>
      </c>
      <c r="AX249" s="41"/>
      <c r="AZ249" s="42"/>
      <c r="BA249" s="42"/>
      <c r="BB249" s="42" t="s">
        <v>827</v>
      </c>
      <c r="BC249" s="42" t="s">
        <v>1230</v>
      </c>
      <c r="BD249" s="1993"/>
      <c r="BE249" s="1993">
        <v>0</v>
      </c>
      <c r="BF249" s="1993"/>
      <c r="BG249" s="1993"/>
      <c r="BH249" s="1993">
        <v>0</v>
      </c>
      <c r="BI249" s="1993">
        <v>1</v>
      </c>
      <c r="BJ249" s="1993">
        <v>0</v>
      </c>
      <c r="BK249" s="1993"/>
      <c r="BL249" s="1993"/>
      <c r="BM249" s="70"/>
      <c r="BN249" s="70"/>
      <c r="BO249" s="70">
        <v>1</v>
      </c>
      <c r="BR249" s="105"/>
      <c r="BS249" s="105"/>
      <c r="BT249" s="41"/>
      <c r="BU249" s="41" t="s">
        <v>1233</v>
      </c>
      <c r="BV249" s="1659"/>
      <c r="BW249" s="1659">
        <v>1</v>
      </c>
      <c r="BX249" s="1659"/>
      <c r="BY249" s="1659"/>
      <c r="BZ249" s="1659"/>
      <c r="CA249" s="1659"/>
      <c r="CB249" s="1659">
        <v>0</v>
      </c>
      <c r="CC249" s="1659">
        <v>0</v>
      </c>
      <c r="CD249" s="1659"/>
      <c r="CE249" s="105"/>
      <c r="CF249" s="105"/>
      <c r="CG249" s="105">
        <v>1</v>
      </c>
      <c r="CH249" s="105"/>
      <c r="CJ249" s="1359"/>
      <c r="CK249" s="1359"/>
      <c r="CL249" s="1360"/>
      <c r="CM249" s="1361" t="s">
        <v>1236</v>
      </c>
      <c r="CN249" s="1362"/>
      <c r="CO249" s="1362"/>
      <c r="CP249" s="1362"/>
      <c r="CQ249" s="1363">
        <v>0</v>
      </c>
      <c r="CR249" s="1363">
        <v>1</v>
      </c>
      <c r="CS249" s="1363">
        <v>0</v>
      </c>
      <c r="CT249" s="1362"/>
      <c r="CU249" s="1362"/>
      <c r="CV249" s="686"/>
      <c r="CW249" s="686"/>
      <c r="CX249" s="687">
        <v>1</v>
      </c>
      <c r="CY249" s="41"/>
      <c r="DA249" s="602"/>
      <c r="DB249" s="602"/>
      <c r="DC249" s="603"/>
      <c r="DD249" s="604" t="s">
        <v>1240</v>
      </c>
      <c r="DE249" s="605"/>
      <c r="DF249" s="605"/>
      <c r="DG249" s="605"/>
      <c r="DH249" s="605"/>
      <c r="DI249" s="605"/>
      <c r="DJ249" s="606">
        <v>1</v>
      </c>
      <c r="DK249" s="606">
        <v>2</v>
      </c>
      <c r="DL249" s="606">
        <v>1</v>
      </c>
      <c r="DM249" s="602"/>
      <c r="DN249" s="602"/>
      <c r="DO249" s="607">
        <v>4</v>
      </c>
      <c r="DP249" s="105"/>
      <c r="DR249" s="608"/>
      <c r="DS249" s="608"/>
      <c r="DT249" s="608"/>
      <c r="DU249" s="609" t="s">
        <v>1235</v>
      </c>
      <c r="DV249" s="610"/>
      <c r="DW249" s="611">
        <v>0</v>
      </c>
      <c r="DX249" s="611">
        <v>0</v>
      </c>
      <c r="DY249" s="610"/>
      <c r="DZ249" s="611">
        <v>0</v>
      </c>
      <c r="EA249" s="610"/>
      <c r="EB249" s="611">
        <v>1</v>
      </c>
      <c r="EC249" s="611">
        <v>1</v>
      </c>
      <c r="ED249" s="610"/>
      <c r="EE249" s="612"/>
      <c r="EF249" s="612"/>
      <c r="EG249" s="613">
        <v>2</v>
      </c>
      <c r="EH249" s="614"/>
      <c r="EJ249" s="615"/>
      <c r="EK249" s="615"/>
      <c r="EL249" s="54" t="s">
        <v>0</v>
      </c>
      <c r="EM249" s="54" t="s">
        <v>1229</v>
      </c>
      <c r="EN249" s="54">
        <v>1</v>
      </c>
      <c r="EO249" s="54">
        <v>2</v>
      </c>
      <c r="EP249" s="54">
        <v>3</v>
      </c>
      <c r="EQ249" s="54">
        <v>4</v>
      </c>
      <c r="ER249" s="54">
        <v>5</v>
      </c>
      <c r="ES249" s="54">
        <v>6</v>
      </c>
      <c r="ET249" s="54">
        <v>7</v>
      </c>
      <c r="EU249" s="54">
        <v>8</v>
      </c>
      <c r="EV249" s="54">
        <v>9</v>
      </c>
      <c r="EW249" s="54">
        <v>10</v>
      </c>
      <c r="EX249" s="54" t="s">
        <v>15</v>
      </c>
      <c r="EY249" s="54" t="s">
        <v>66</v>
      </c>
      <c r="FA249" s="70"/>
      <c r="FB249" s="70"/>
      <c r="FC249" s="54" t="s">
        <v>0</v>
      </c>
      <c r="FD249" s="54" t="s">
        <v>1229</v>
      </c>
      <c r="FE249" s="54">
        <v>1</v>
      </c>
      <c r="FF249" s="54">
        <v>2</v>
      </c>
      <c r="FG249" s="54">
        <v>3</v>
      </c>
      <c r="FH249" s="54">
        <v>4</v>
      </c>
      <c r="FI249" s="54">
        <v>5</v>
      </c>
      <c r="FJ249" s="54">
        <v>6</v>
      </c>
      <c r="FK249" s="54">
        <v>7</v>
      </c>
      <c r="FL249" s="54">
        <v>8</v>
      </c>
      <c r="FM249" s="54">
        <v>9</v>
      </c>
      <c r="FN249" s="54">
        <v>10</v>
      </c>
      <c r="FO249" s="54" t="s">
        <v>15</v>
      </c>
      <c r="FP249" s="54" t="s">
        <v>66</v>
      </c>
      <c r="FQ249" s="42"/>
      <c r="FR249" s="644"/>
      <c r="FS249" s="644"/>
      <c r="FT249" s="561" t="s">
        <v>0</v>
      </c>
      <c r="FU249" s="562" t="s">
        <v>1321</v>
      </c>
      <c r="FV249" s="561">
        <v>0</v>
      </c>
      <c r="FW249" s="561">
        <v>1</v>
      </c>
      <c r="FX249" s="561">
        <v>2</v>
      </c>
      <c r="FY249" s="561">
        <v>3</v>
      </c>
      <c r="FZ249" s="561">
        <v>4</v>
      </c>
      <c r="GA249" s="561">
        <v>5</v>
      </c>
      <c r="GB249" s="561">
        <v>6</v>
      </c>
      <c r="GC249" s="561">
        <v>7</v>
      </c>
      <c r="GD249" s="561">
        <v>8</v>
      </c>
      <c r="GE249" s="561">
        <v>9</v>
      </c>
      <c r="GF249" s="561">
        <v>10</v>
      </c>
      <c r="GG249" s="569" t="s">
        <v>15</v>
      </c>
      <c r="GH249" s="562" t="s">
        <v>66</v>
      </c>
      <c r="GI249" s="569" t="s">
        <v>1322</v>
      </c>
    </row>
    <row r="250" spans="2:191">
      <c r="D250" s="4800" t="s">
        <v>15</v>
      </c>
      <c r="E250" s="4606">
        <v>2</v>
      </c>
      <c r="F250" s="4606"/>
      <c r="G250" s="4606">
        <v>2</v>
      </c>
      <c r="H250" s="4606"/>
      <c r="I250" s="4606"/>
      <c r="J250" s="4606"/>
      <c r="K250" s="4606">
        <v>9</v>
      </c>
      <c r="L250" s="4606"/>
      <c r="M250" s="4606"/>
      <c r="N250" s="2552"/>
      <c r="O250" s="2552"/>
      <c r="P250" s="2552">
        <v>13</v>
      </c>
      <c r="Q250" s="1977">
        <v>0</v>
      </c>
      <c r="R250" s="1977"/>
      <c r="V250" s="1793" t="s">
        <v>15</v>
      </c>
      <c r="W250" s="4804"/>
      <c r="X250" s="4804">
        <v>1</v>
      </c>
      <c r="Y250" s="4804"/>
      <c r="Z250" s="4804"/>
      <c r="AA250" s="4804"/>
      <c r="AB250" s="4804">
        <v>10</v>
      </c>
      <c r="AC250" s="4804"/>
      <c r="AD250" s="4804"/>
      <c r="AE250" s="4702"/>
      <c r="AF250" s="4702">
        <v>11</v>
      </c>
      <c r="AG250" s="4703">
        <f>+(AF248+AF249)/AF250</f>
        <v>0.27272727272727271</v>
      </c>
      <c r="AI250" s="41"/>
      <c r="AJ250" s="41"/>
      <c r="AK250" s="461"/>
      <c r="AL250" s="461" t="s">
        <v>1235</v>
      </c>
      <c r="AM250" s="2002">
        <v>0</v>
      </c>
      <c r="AN250" s="2002">
        <v>0</v>
      </c>
      <c r="AO250" s="2002">
        <v>0</v>
      </c>
      <c r="AP250" s="2002">
        <v>0</v>
      </c>
      <c r="AQ250" s="2002">
        <v>0</v>
      </c>
      <c r="AR250" s="2002">
        <v>20</v>
      </c>
      <c r="AS250" s="2002">
        <v>5</v>
      </c>
      <c r="AT250" s="2002">
        <v>0</v>
      </c>
      <c r="AU250" s="2480">
        <v>1</v>
      </c>
      <c r="AV250" s="2480"/>
      <c r="AW250" s="2480">
        <v>26</v>
      </c>
      <c r="AX250" s="41"/>
      <c r="AZ250" s="42"/>
      <c r="BA250" s="42"/>
      <c r="BB250" s="42"/>
      <c r="BC250" s="42" t="s">
        <v>1231</v>
      </c>
      <c r="BD250" s="1993"/>
      <c r="BE250" s="1993">
        <v>1</v>
      </c>
      <c r="BF250" s="1993"/>
      <c r="BG250" s="1993"/>
      <c r="BH250" s="1993">
        <v>0</v>
      </c>
      <c r="BI250" s="1993">
        <v>0</v>
      </c>
      <c r="BJ250" s="1993">
        <v>3</v>
      </c>
      <c r="BK250" s="1993"/>
      <c r="BL250" s="1993"/>
      <c r="BM250" s="70"/>
      <c r="BN250" s="70"/>
      <c r="BO250" s="70">
        <v>4</v>
      </c>
      <c r="BR250" s="105"/>
      <c r="BS250" s="105"/>
      <c r="BT250" s="41"/>
      <c r="BU250" s="41" t="s">
        <v>1240</v>
      </c>
      <c r="BV250" s="1659"/>
      <c r="BW250" s="1659">
        <v>0</v>
      </c>
      <c r="BX250" s="1659"/>
      <c r="BY250" s="1659"/>
      <c r="BZ250" s="1659"/>
      <c r="CA250" s="1659"/>
      <c r="CB250" s="1659">
        <v>2</v>
      </c>
      <c r="CC250" s="1659">
        <v>0</v>
      </c>
      <c r="CD250" s="1659"/>
      <c r="CE250" s="105"/>
      <c r="CF250" s="105"/>
      <c r="CG250" s="105">
        <v>2</v>
      </c>
      <c r="CH250" s="105"/>
      <c r="CJ250" s="1359"/>
      <c r="CK250" s="1359"/>
      <c r="CL250" s="1360"/>
      <c r="CM250" s="1361" t="s">
        <v>1239</v>
      </c>
      <c r="CN250" s="1362"/>
      <c r="CO250" s="1362"/>
      <c r="CP250" s="1362"/>
      <c r="CQ250" s="1363">
        <v>0</v>
      </c>
      <c r="CR250" s="1363">
        <v>1</v>
      </c>
      <c r="CS250" s="1363">
        <v>0</v>
      </c>
      <c r="CT250" s="1362"/>
      <c r="CU250" s="1362"/>
      <c r="CV250" s="686"/>
      <c r="CW250" s="686"/>
      <c r="CX250" s="687">
        <v>1</v>
      </c>
      <c r="CY250" s="41"/>
      <c r="DA250" s="602"/>
      <c r="DB250" s="602"/>
      <c r="DC250" s="603"/>
      <c r="DD250" s="604" t="s">
        <v>1344</v>
      </c>
      <c r="DE250" s="605"/>
      <c r="DF250" s="605"/>
      <c r="DG250" s="605"/>
      <c r="DH250" s="605"/>
      <c r="DI250" s="605"/>
      <c r="DJ250" s="606">
        <v>2</v>
      </c>
      <c r="DK250" s="606">
        <v>1</v>
      </c>
      <c r="DL250" s="606">
        <v>0</v>
      </c>
      <c r="DM250" s="602"/>
      <c r="DN250" s="602"/>
      <c r="DO250" s="607">
        <v>3</v>
      </c>
      <c r="DP250" s="105"/>
      <c r="DR250" s="608"/>
      <c r="DS250" s="608"/>
      <c r="DT250" s="608"/>
      <c r="DU250" s="609" t="s">
        <v>1236</v>
      </c>
      <c r="DV250" s="610"/>
      <c r="DW250" s="611">
        <v>1</v>
      </c>
      <c r="DX250" s="611">
        <v>1</v>
      </c>
      <c r="DY250" s="610"/>
      <c r="DZ250" s="611">
        <v>1</v>
      </c>
      <c r="EA250" s="610"/>
      <c r="EB250" s="611">
        <v>1</v>
      </c>
      <c r="EC250" s="611">
        <v>0</v>
      </c>
      <c r="ED250" s="610"/>
      <c r="EE250" s="612"/>
      <c r="EF250" s="612"/>
      <c r="EG250" s="613">
        <v>4</v>
      </c>
      <c r="EH250" s="614"/>
      <c r="EJ250" s="615"/>
      <c r="EK250" s="615"/>
      <c r="EL250" s="615" t="s">
        <v>106</v>
      </c>
      <c r="EM250" s="616" t="s">
        <v>1230</v>
      </c>
      <c r="EN250" s="617"/>
      <c r="EO250" s="618">
        <v>0</v>
      </c>
      <c r="EP250" s="618">
        <v>0</v>
      </c>
      <c r="EQ250" s="618">
        <v>0</v>
      </c>
      <c r="ER250" s="618">
        <v>0</v>
      </c>
      <c r="ES250" s="618">
        <v>0</v>
      </c>
      <c r="ET250" s="618">
        <v>1</v>
      </c>
      <c r="EU250" s="618">
        <v>1</v>
      </c>
      <c r="EV250" s="618">
        <v>0</v>
      </c>
      <c r="EW250" s="618">
        <v>2</v>
      </c>
      <c r="EX250" s="618">
        <v>4</v>
      </c>
      <c r="EY250" s="515"/>
      <c r="FA250" s="70"/>
      <c r="FB250" s="70"/>
      <c r="FC250" s="70" t="s">
        <v>3</v>
      </c>
      <c r="FD250" s="42" t="s">
        <v>1230</v>
      </c>
      <c r="FE250" s="42">
        <v>0</v>
      </c>
      <c r="FF250" s="42">
        <v>0</v>
      </c>
      <c r="FG250" s="42">
        <v>0</v>
      </c>
      <c r="FH250" s="42">
        <v>0</v>
      </c>
      <c r="FI250" s="42">
        <v>0</v>
      </c>
      <c r="FJ250" s="42">
        <v>1</v>
      </c>
      <c r="FK250" s="42">
        <v>1</v>
      </c>
      <c r="FL250" s="42">
        <v>5</v>
      </c>
      <c r="FM250" s="42"/>
      <c r="FN250" s="42">
        <v>0</v>
      </c>
      <c r="FO250" s="42">
        <v>7</v>
      </c>
      <c r="FP250" s="42"/>
      <c r="FQ250" s="42"/>
      <c r="FR250" s="516"/>
      <c r="FS250" s="516"/>
      <c r="FT250" s="516" t="s">
        <v>3</v>
      </c>
      <c r="FU250" s="516" t="s">
        <v>1230</v>
      </c>
      <c r="FV250" s="516">
        <v>0</v>
      </c>
      <c r="FW250" s="516">
        <v>0</v>
      </c>
      <c r="FX250" s="516">
        <v>0</v>
      </c>
      <c r="FY250" s="516">
        <v>0</v>
      </c>
      <c r="FZ250" s="516">
        <v>1</v>
      </c>
      <c r="GA250" s="516">
        <v>0</v>
      </c>
      <c r="GB250" s="516">
        <v>2</v>
      </c>
      <c r="GC250" s="516">
        <v>0</v>
      </c>
      <c r="GD250" s="516">
        <v>2</v>
      </c>
      <c r="GE250" s="516">
        <v>0</v>
      </c>
      <c r="GF250" s="516">
        <v>0</v>
      </c>
      <c r="GG250" s="517">
        <v>5</v>
      </c>
      <c r="GH250" s="516"/>
      <c r="GI250" s="518"/>
    </row>
    <row r="251" spans="2:191">
      <c r="C251" s="4800" t="s">
        <v>141</v>
      </c>
      <c r="D251" s="4800" t="s">
        <v>1230</v>
      </c>
      <c r="E251" s="4606">
        <v>0</v>
      </c>
      <c r="F251" s="4606">
        <v>0</v>
      </c>
      <c r="G251" s="4606"/>
      <c r="H251" s="4606">
        <v>0</v>
      </c>
      <c r="I251" s="4606"/>
      <c r="J251" s="4606"/>
      <c r="K251" s="4606">
        <v>1</v>
      </c>
      <c r="L251" s="4606">
        <v>0</v>
      </c>
      <c r="M251" s="4606">
        <v>0</v>
      </c>
      <c r="N251" s="2552"/>
      <c r="O251" s="2552">
        <v>0</v>
      </c>
      <c r="P251" s="2552">
        <v>1</v>
      </c>
      <c r="Q251" s="2552"/>
      <c r="R251" s="2552"/>
      <c r="U251" s="37" t="s">
        <v>2539</v>
      </c>
      <c r="V251" s="37" t="s">
        <v>1230</v>
      </c>
      <c r="W251" s="4803"/>
      <c r="X251" s="4803"/>
      <c r="Y251" s="4803"/>
      <c r="Z251" s="4803"/>
      <c r="AA251" s="4803"/>
      <c r="AB251" s="4803">
        <v>1</v>
      </c>
      <c r="AC251" s="4803">
        <v>0</v>
      </c>
      <c r="AD251" s="4803"/>
      <c r="AE251" s="1788"/>
      <c r="AF251" s="1788">
        <v>1</v>
      </c>
      <c r="AI251" s="41"/>
      <c r="AJ251" s="41"/>
      <c r="AK251" s="461"/>
      <c r="AL251" s="461" t="s">
        <v>1239</v>
      </c>
      <c r="AM251" s="2002">
        <v>0</v>
      </c>
      <c r="AN251" s="2002">
        <v>0</v>
      </c>
      <c r="AO251" s="2002">
        <v>0</v>
      </c>
      <c r="AP251" s="2002">
        <v>0</v>
      </c>
      <c r="AQ251" s="2002">
        <v>0</v>
      </c>
      <c r="AR251" s="2002">
        <v>0</v>
      </c>
      <c r="AS251" s="2002">
        <v>2</v>
      </c>
      <c r="AT251" s="2002">
        <v>5</v>
      </c>
      <c r="AU251" s="2480">
        <v>1</v>
      </c>
      <c r="AV251" s="2480"/>
      <c r="AW251" s="2480">
        <v>8</v>
      </c>
      <c r="AX251" s="41"/>
      <c r="AZ251" s="42"/>
      <c r="BA251" s="42"/>
      <c r="BB251" s="42"/>
      <c r="BC251" s="42" t="s">
        <v>1236</v>
      </c>
      <c r="BD251" s="1993"/>
      <c r="BE251" s="1993">
        <v>0</v>
      </c>
      <c r="BF251" s="1993"/>
      <c r="BG251" s="1993"/>
      <c r="BH251" s="1993">
        <v>1</v>
      </c>
      <c r="BI251" s="1993">
        <v>0</v>
      </c>
      <c r="BJ251" s="1993">
        <v>0</v>
      </c>
      <c r="BK251" s="1993"/>
      <c r="BL251" s="1993"/>
      <c r="BM251" s="70"/>
      <c r="BN251" s="70"/>
      <c r="BO251" s="70">
        <v>1</v>
      </c>
      <c r="BR251" s="105"/>
      <c r="BS251" s="105"/>
      <c r="BT251" s="41"/>
      <c r="BU251" s="41" t="s">
        <v>1344</v>
      </c>
      <c r="BV251" s="1659"/>
      <c r="BW251" s="1659">
        <v>0</v>
      </c>
      <c r="BX251" s="1659"/>
      <c r="BY251" s="1659"/>
      <c r="BZ251" s="1659"/>
      <c r="CA251" s="1659"/>
      <c r="CB251" s="1659">
        <v>0</v>
      </c>
      <c r="CC251" s="1659">
        <v>1</v>
      </c>
      <c r="CD251" s="1659"/>
      <c r="CE251" s="105"/>
      <c r="CF251" s="105"/>
      <c r="CG251" s="105">
        <v>1</v>
      </c>
      <c r="CH251" s="105"/>
      <c r="CJ251" s="1359"/>
      <c r="CK251" s="1359"/>
      <c r="CL251" s="1360"/>
      <c r="CM251" s="1361" t="s">
        <v>1240</v>
      </c>
      <c r="CN251" s="1362"/>
      <c r="CO251" s="1362"/>
      <c r="CP251" s="1362"/>
      <c r="CQ251" s="1363">
        <v>0</v>
      </c>
      <c r="CR251" s="1363">
        <v>0</v>
      </c>
      <c r="CS251" s="1363">
        <v>11</v>
      </c>
      <c r="CT251" s="1362"/>
      <c r="CU251" s="1362"/>
      <c r="CV251" s="686"/>
      <c r="CW251" s="686"/>
      <c r="CX251" s="687">
        <v>11</v>
      </c>
      <c r="CY251" s="41"/>
      <c r="DA251" s="602"/>
      <c r="DB251" s="602"/>
      <c r="DC251" s="603"/>
      <c r="DD251" s="630" t="s">
        <v>15</v>
      </c>
      <c r="DE251" s="631"/>
      <c r="DF251" s="631"/>
      <c r="DG251" s="631"/>
      <c r="DH251" s="631"/>
      <c r="DI251" s="631"/>
      <c r="DJ251" s="632">
        <v>5</v>
      </c>
      <c r="DK251" s="632">
        <v>9</v>
      </c>
      <c r="DL251" s="632">
        <v>9</v>
      </c>
      <c r="DM251" s="633"/>
      <c r="DN251" s="633"/>
      <c r="DO251" s="634">
        <v>23</v>
      </c>
      <c r="DP251" s="635">
        <f>+(DO247+DO249+DO250)/DO251</f>
        <v>0.43478260869565216</v>
      </c>
      <c r="DR251" s="608"/>
      <c r="DS251" s="608"/>
      <c r="DT251" s="608"/>
      <c r="DU251" s="609" t="s">
        <v>1240</v>
      </c>
      <c r="DV251" s="610"/>
      <c r="DW251" s="611">
        <v>0</v>
      </c>
      <c r="DX251" s="611">
        <v>0</v>
      </c>
      <c r="DY251" s="610"/>
      <c r="DZ251" s="611">
        <v>0</v>
      </c>
      <c r="EA251" s="610"/>
      <c r="EB251" s="611">
        <v>2</v>
      </c>
      <c r="EC251" s="611">
        <v>1</v>
      </c>
      <c r="ED251" s="610"/>
      <c r="EE251" s="612"/>
      <c r="EF251" s="612"/>
      <c r="EG251" s="613">
        <v>3</v>
      </c>
      <c r="EH251" s="614"/>
      <c r="EJ251" s="615"/>
      <c r="EK251" s="615"/>
      <c r="EL251" s="615"/>
      <c r="EM251" s="616" t="s">
        <v>1231</v>
      </c>
      <c r="EN251" s="617"/>
      <c r="EO251" s="618">
        <v>0</v>
      </c>
      <c r="EP251" s="618">
        <v>4</v>
      </c>
      <c r="EQ251" s="618">
        <v>4</v>
      </c>
      <c r="ER251" s="618">
        <v>1</v>
      </c>
      <c r="ES251" s="618">
        <v>10</v>
      </c>
      <c r="ET251" s="618">
        <v>7</v>
      </c>
      <c r="EU251" s="618">
        <v>1</v>
      </c>
      <c r="EV251" s="618">
        <v>1</v>
      </c>
      <c r="EW251" s="618">
        <v>0</v>
      </c>
      <c r="EX251" s="618">
        <v>28</v>
      </c>
      <c r="EY251" s="515"/>
      <c r="FA251" s="70"/>
      <c r="FB251" s="70"/>
      <c r="FC251" s="70"/>
      <c r="FD251" s="42" t="s">
        <v>1231</v>
      </c>
      <c r="FE251" s="42">
        <v>1</v>
      </c>
      <c r="FF251" s="42">
        <v>5</v>
      </c>
      <c r="FG251" s="42">
        <v>1</v>
      </c>
      <c r="FH251" s="42">
        <v>2</v>
      </c>
      <c r="FI251" s="42">
        <v>1</v>
      </c>
      <c r="FJ251" s="42">
        <v>23</v>
      </c>
      <c r="FK251" s="42">
        <v>21</v>
      </c>
      <c r="FL251" s="42">
        <v>1</v>
      </c>
      <c r="FM251" s="42"/>
      <c r="FN251" s="42">
        <v>0</v>
      </c>
      <c r="FO251" s="42">
        <v>55</v>
      </c>
      <c r="FP251" s="42"/>
      <c r="FQ251" s="42"/>
      <c r="FR251" s="516"/>
      <c r="FS251" s="516"/>
      <c r="FT251" s="516"/>
      <c r="FU251" s="516" t="s">
        <v>1231</v>
      </c>
      <c r="FV251" s="516">
        <v>1</v>
      </c>
      <c r="FW251" s="516">
        <v>0</v>
      </c>
      <c r="FX251" s="516">
        <v>1</v>
      </c>
      <c r="FY251" s="516">
        <v>1</v>
      </c>
      <c r="FZ251" s="516">
        <v>4</v>
      </c>
      <c r="GA251" s="516">
        <v>0</v>
      </c>
      <c r="GB251" s="516">
        <v>4</v>
      </c>
      <c r="GC251" s="516">
        <v>5</v>
      </c>
      <c r="GD251" s="516">
        <v>0</v>
      </c>
      <c r="GE251" s="516">
        <v>0</v>
      </c>
      <c r="GF251" s="516">
        <v>0</v>
      </c>
      <c r="GG251" s="517">
        <v>16</v>
      </c>
      <c r="GH251" s="516"/>
      <c r="GI251" s="518"/>
    </row>
    <row r="252" spans="2:191">
      <c r="D252" s="4800" t="s">
        <v>1231</v>
      </c>
      <c r="E252" s="4606">
        <v>0</v>
      </c>
      <c r="F252" s="4606">
        <v>0</v>
      </c>
      <c r="G252" s="4606"/>
      <c r="H252" s="4606">
        <v>1</v>
      </c>
      <c r="I252" s="4606"/>
      <c r="J252" s="4606"/>
      <c r="K252" s="4606">
        <v>2</v>
      </c>
      <c r="L252" s="4606">
        <v>1</v>
      </c>
      <c r="M252" s="4606">
        <v>0</v>
      </c>
      <c r="N252" s="2552"/>
      <c r="O252" s="2552">
        <v>0</v>
      </c>
      <c r="P252" s="2552">
        <v>4</v>
      </c>
      <c r="Q252" s="2552"/>
      <c r="R252" s="2552"/>
      <c r="V252" s="37" t="s">
        <v>1231</v>
      </c>
      <c r="W252" s="4803"/>
      <c r="X252" s="4803"/>
      <c r="Y252" s="4803"/>
      <c r="Z252" s="4803"/>
      <c r="AA252" s="4803"/>
      <c r="AB252" s="4803">
        <v>4</v>
      </c>
      <c r="AC252" s="4803">
        <v>0</v>
      </c>
      <c r="AD252" s="4803"/>
      <c r="AE252" s="1788"/>
      <c r="AF252" s="1788">
        <v>4</v>
      </c>
      <c r="AI252" s="41"/>
      <c r="AJ252" s="41"/>
      <c r="AK252" s="461"/>
      <c r="AL252" s="461" t="s">
        <v>1240</v>
      </c>
      <c r="AM252" s="2002">
        <v>0</v>
      </c>
      <c r="AN252" s="2002">
        <v>0</v>
      </c>
      <c r="AO252" s="2002">
        <v>0</v>
      </c>
      <c r="AP252" s="2002">
        <v>0</v>
      </c>
      <c r="AQ252" s="2002">
        <v>0</v>
      </c>
      <c r="AR252" s="2002">
        <v>15</v>
      </c>
      <c r="AS252" s="2002">
        <v>1</v>
      </c>
      <c r="AT252" s="2002">
        <v>0</v>
      </c>
      <c r="AU252" s="2480">
        <v>0</v>
      </c>
      <c r="AV252" s="2480"/>
      <c r="AW252" s="2480">
        <v>16</v>
      </c>
      <c r="AX252" s="41"/>
      <c r="AZ252" s="42"/>
      <c r="BA252" s="42"/>
      <c r="BB252" s="42"/>
      <c r="BC252" s="42" t="s">
        <v>1240</v>
      </c>
      <c r="BD252" s="1993"/>
      <c r="BE252" s="1993">
        <v>0</v>
      </c>
      <c r="BF252" s="1993"/>
      <c r="BG252" s="1993"/>
      <c r="BH252" s="1993">
        <v>0</v>
      </c>
      <c r="BI252" s="1993">
        <v>0</v>
      </c>
      <c r="BJ252" s="1993">
        <v>4</v>
      </c>
      <c r="BK252" s="1993"/>
      <c r="BL252" s="1993"/>
      <c r="BM252" s="70"/>
      <c r="BN252" s="70"/>
      <c r="BO252" s="70">
        <v>4</v>
      </c>
      <c r="BR252" s="105"/>
      <c r="BS252" s="105"/>
      <c r="BT252" s="41"/>
      <c r="BU252" s="461" t="s">
        <v>15</v>
      </c>
      <c r="BV252" s="1660"/>
      <c r="BW252" s="1660">
        <v>1</v>
      </c>
      <c r="BX252" s="1660"/>
      <c r="BY252" s="1660"/>
      <c r="BZ252" s="1660"/>
      <c r="CA252" s="1660"/>
      <c r="CB252" s="1660">
        <v>10</v>
      </c>
      <c r="CC252" s="1660">
        <v>5</v>
      </c>
      <c r="CD252" s="1660"/>
      <c r="CE252" s="96"/>
      <c r="CF252" s="96"/>
      <c r="CG252" s="96">
        <v>16</v>
      </c>
      <c r="CH252" s="635">
        <f>+(CG250+CG251)/CG252</f>
        <v>0.1875</v>
      </c>
      <c r="CJ252" s="1359"/>
      <c r="CK252" s="1359"/>
      <c r="CL252" s="1360"/>
      <c r="CM252" s="1361" t="s">
        <v>1344</v>
      </c>
      <c r="CN252" s="1362"/>
      <c r="CO252" s="1362"/>
      <c r="CP252" s="1362"/>
      <c r="CQ252" s="1363">
        <v>0</v>
      </c>
      <c r="CR252" s="1363">
        <v>0</v>
      </c>
      <c r="CS252" s="1363">
        <v>5</v>
      </c>
      <c r="CT252" s="1362"/>
      <c r="CU252" s="1362"/>
      <c r="CV252" s="686"/>
      <c r="CW252" s="686"/>
      <c r="CX252" s="687">
        <v>5</v>
      </c>
      <c r="CY252" s="41"/>
      <c r="DA252" s="602"/>
      <c r="DB252" s="602"/>
      <c r="DC252" s="603" t="s">
        <v>112</v>
      </c>
      <c r="DD252" s="604" t="s">
        <v>1236</v>
      </c>
      <c r="DE252" s="606">
        <v>1</v>
      </c>
      <c r="DF252" s="605"/>
      <c r="DG252" s="606">
        <v>1</v>
      </c>
      <c r="DH252" s="606">
        <v>1</v>
      </c>
      <c r="DI252" s="605"/>
      <c r="DJ252" s="605"/>
      <c r="DK252" s="605"/>
      <c r="DL252" s="605"/>
      <c r="DM252" s="602"/>
      <c r="DN252" s="602"/>
      <c r="DO252" s="607">
        <v>3</v>
      </c>
      <c r="DP252" s="105"/>
      <c r="DR252" s="608"/>
      <c r="DS252" s="608"/>
      <c r="DT252" s="608"/>
      <c r="DU252" s="609" t="s">
        <v>1344</v>
      </c>
      <c r="DV252" s="610"/>
      <c r="DW252" s="611">
        <v>0</v>
      </c>
      <c r="DX252" s="611">
        <v>0</v>
      </c>
      <c r="DY252" s="610"/>
      <c r="DZ252" s="611">
        <v>0</v>
      </c>
      <c r="EA252" s="610"/>
      <c r="EB252" s="611">
        <v>4</v>
      </c>
      <c r="EC252" s="611">
        <v>1</v>
      </c>
      <c r="ED252" s="610"/>
      <c r="EE252" s="612"/>
      <c r="EF252" s="612"/>
      <c r="EG252" s="613">
        <v>5</v>
      </c>
      <c r="EH252" s="614"/>
      <c r="EL252" s="615"/>
      <c r="EM252" s="616" t="s">
        <v>1235</v>
      </c>
      <c r="EN252" s="617"/>
      <c r="EO252" s="618">
        <v>0</v>
      </c>
      <c r="EP252" s="618">
        <v>0</v>
      </c>
      <c r="EQ252" s="618">
        <v>0</v>
      </c>
      <c r="ER252" s="618">
        <v>1</v>
      </c>
      <c r="ES252" s="618">
        <v>1</v>
      </c>
      <c r="ET252" s="618">
        <v>0</v>
      </c>
      <c r="EU252" s="618">
        <v>1</v>
      </c>
      <c r="EV252" s="618">
        <v>0</v>
      </c>
      <c r="EW252" s="618">
        <v>0</v>
      </c>
      <c r="EX252" s="618">
        <v>3</v>
      </c>
      <c r="EY252" s="515"/>
      <c r="FA252" s="70"/>
      <c r="FB252" s="70"/>
      <c r="FC252" s="70"/>
      <c r="FD252" s="42" t="s">
        <v>1235</v>
      </c>
      <c r="FE252" s="42">
        <v>0</v>
      </c>
      <c r="FF252" s="42">
        <v>0</v>
      </c>
      <c r="FG252" s="42">
        <v>3</v>
      </c>
      <c r="FH252" s="42">
        <v>0</v>
      </c>
      <c r="FI252" s="42">
        <v>0</v>
      </c>
      <c r="FJ252" s="42">
        <v>9</v>
      </c>
      <c r="FK252" s="42">
        <v>4</v>
      </c>
      <c r="FL252" s="42">
        <v>0</v>
      </c>
      <c r="FM252" s="42"/>
      <c r="FN252" s="42">
        <v>0</v>
      </c>
      <c r="FO252" s="42">
        <v>16</v>
      </c>
      <c r="FP252" s="42"/>
      <c r="FQ252" s="42"/>
      <c r="FR252" s="516"/>
      <c r="FS252" s="516"/>
      <c r="FT252" s="516"/>
      <c r="FU252" s="516" t="s">
        <v>1235</v>
      </c>
      <c r="FV252" s="516">
        <v>0</v>
      </c>
      <c r="FW252" s="516">
        <v>0</v>
      </c>
      <c r="FX252" s="516">
        <v>0</v>
      </c>
      <c r="FY252" s="516">
        <v>1</v>
      </c>
      <c r="FZ252" s="516">
        <v>0</v>
      </c>
      <c r="GA252" s="516">
        <v>0</v>
      </c>
      <c r="GB252" s="516">
        <v>4</v>
      </c>
      <c r="GC252" s="516">
        <v>2</v>
      </c>
      <c r="GD252" s="516">
        <v>1</v>
      </c>
      <c r="GE252" s="516">
        <v>0</v>
      </c>
      <c r="GF252" s="516">
        <v>0</v>
      </c>
      <c r="GG252" s="517">
        <v>8</v>
      </c>
      <c r="GH252" s="516"/>
      <c r="GI252" s="518"/>
    </row>
    <row r="253" spans="2:191">
      <c r="D253" s="4800" t="s">
        <v>1233</v>
      </c>
      <c r="E253" s="4606">
        <v>0</v>
      </c>
      <c r="F253" s="4606">
        <v>1</v>
      </c>
      <c r="G253" s="4606"/>
      <c r="H253" s="4606">
        <v>0</v>
      </c>
      <c r="I253" s="4606"/>
      <c r="J253" s="4606"/>
      <c r="K253" s="4606">
        <v>0</v>
      </c>
      <c r="L253" s="4606">
        <v>0</v>
      </c>
      <c r="M253" s="4606">
        <v>0</v>
      </c>
      <c r="N253" s="2552"/>
      <c r="O253" s="2552">
        <v>0</v>
      </c>
      <c r="P253" s="2552">
        <v>1</v>
      </c>
      <c r="Q253" s="2552"/>
      <c r="R253" s="2552"/>
      <c r="V253" s="37" t="s">
        <v>1239</v>
      </c>
      <c r="W253" s="4803"/>
      <c r="X253" s="4803"/>
      <c r="Y253" s="4803"/>
      <c r="Z253" s="4803"/>
      <c r="AA253" s="4803"/>
      <c r="AB253" s="4803">
        <v>0</v>
      </c>
      <c r="AC253" s="4803">
        <v>1</v>
      </c>
      <c r="AD253" s="4803"/>
      <c r="AE253" s="1788"/>
      <c r="AF253" s="1788">
        <v>1</v>
      </c>
      <c r="AI253" s="41"/>
      <c r="AJ253" s="41"/>
      <c r="AK253" s="461"/>
      <c r="AL253" s="461" t="s">
        <v>1344</v>
      </c>
      <c r="AM253" s="2002">
        <v>0</v>
      </c>
      <c r="AN253" s="2002">
        <v>0</v>
      </c>
      <c r="AO253" s="2002">
        <v>1</v>
      </c>
      <c r="AP253" s="2002">
        <v>0</v>
      </c>
      <c r="AQ253" s="2002">
        <v>0</v>
      </c>
      <c r="AR253" s="2002">
        <v>11</v>
      </c>
      <c r="AS253" s="2002">
        <v>4</v>
      </c>
      <c r="AT253" s="2002">
        <v>0</v>
      </c>
      <c r="AU253" s="2480">
        <v>0</v>
      </c>
      <c r="AV253" s="2480"/>
      <c r="AW253" s="2480">
        <v>16</v>
      </c>
      <c r="AX253" s="41"/>
      <c r="AZ253" s="42"/>
      <c r="BA253" s="42"/>
      <c r="BB253" s="42"/>
      <c r="BC253" s="42" t="s">
        <v>1344</v>
      </c>
      <c r="BD253" s="1993"/>
      <c r="BE253" s="1993">
        <v>0</v>
      </c>
      <c r="BF253" s="1993"/>
      <c r="BG253" s="1993"/>
      <c r="BH253" s="1993">
        <v>0</v>
      </c>
      <c r="BI253" s="1993">
        <v>0</v>
      </c>
      <c r="BJ253" s="1993">
        <v>2</v>
      </c>
      <c r="BK253" s="1993"/>
      <c r="BL253" s="1993"/>
      <c r="BM253" s="70"/>
      <c r="BN253" s="70"/>
      <c r="BO253" s="70">
        <v>2</v>
      </c>
      <c r="BR253" s="105"/>
      <c r="BS253" s="105"/>
      <c r="BT253" s="41" t="s">
        <v>141</v>
      </c>
      <c r="BU253" s="41" t="s">
        <v>1231</v>
      </c>
      <c r="BV253" s="1659"/>
      <c r="BW253" s="1659"/>
      <c r="BX253" s="1659"/>
      <c r="BY253" s="1659"/>
      <c r="BZ253" s="1659"/>
      <c r="CA253" s="1659"/>
      <c r="CB253" s="1659">
        <v>1</v>
      </c>
      <c r="CC253" s="1659">
        <v>2</v>
      </c>
      <c r="CD253" s="1659">
        <v>0</v>
      </c>
      <c r="CE253" s="105">
        <v>0</v>
      </c>
      <c r="CF253" s="105"/>
      <c r="CG253" s="105">
        <v>3</v>
      </c>
      <c r="CH253" s="105"/>
      <c r="CJ253" s="1359"/>
      <c r="CK253" s="1359"/>
      <c r="CL253" s="1360"/>
      <c r="CM253" s="483" t="s">
        <v>15</v>
      </c>
      <c r="CN253" s="1364"/>
      <c r="CO253" s="1364"/>
      <c r="CP253" s="1364"/>
      <c r="CQ253" s="1365">
        <v>1</v>
      </c>
      <c r="CR253" s="1365">
        <v>2</v>
      </c>
      <c r="CS253" s="1365">
        <v>20</v>
      </c>
      <c r="CT253" s="1364"/>
      <c r="CU253" s="1364"/>
      <c r="CV253" s="695"/>
      <c r="CW253" s="695"/>
      <c r="CX253" s="696">
        <v>23</v>
      </c>
      <c r="CY253" s="1325">
        <f>+(CX248+CX251+CX252)/CX253</f>
        <v>0.78260869565217395</v>
      </c>
      <c r="DA253" s="602"/>
      <c r="DB253" s="602"/>
      <c r="DC253" s="603"/>
      <c r="DD253" s="604" t="s">
        <v>1344</v>
      </c>
      <c r="DE253" s="606">
        <v>0</v>
      </c>
      <c r="DF253" s="605"/>
      <c r="DG253" s="606">
        <v>1</v>
      </c>
      <c r="DH253" s="606">
        <v>4</v>
      </c>
      <c r="DI253" s="605"/>
      <c r="DJ253" s="605"/>
      <c r="DK253" s="605"/>
      <c r="DL253" s="605"/>
      <c r="DM253" s="602"/>
      <c r="DN253" s="602"/>
      <c r="DO253" s="607">
        <v>5</v>
      </c>
      <c r="DP253" s="105"/>
      <c r="DR253" s="608"/>
      <c r="DS253" s="608"/>
      <c r="DT253" s="608"/>
      <c r="DU253" s="620" t="s">
        <v>260</v>
      </c>
      <c r="DV253" s="621"/>
      <c r="DW253" s="622">
        <v>1</v>
      </c>
      <c r="DX253" s="622">
        <v>1</v>
      </c>
      <c r="DY253" s="621"/>
      <c r="DZ253" s="622">
        <v>1</v>
      </c>
      <c r="EA253" s="621"/>
      <c r="EB253" s="622">
        <v>12</v>
      </c>
      <c r="EC253" s="622">
        <v>5</v>
      </c>
      <c r="ED253" s="621"/>
      <c r="EE253" s="623"/>
      <c r="EF253" s="623"/>
      <c r="EG253" s="624">
        <v>20</v>
      </c>
      <c r="EH253" s="614">
        <f>+(EG252+EG251+EG249)/EG253</f>
        <v>0.5</v>
      </c>
      <c r="EL253" s="615"/>
      <c r="EM253" s="616" t="s">
        <v>1236</v>
      </c>
      <c r="EN253" s="617"/>
      <c r="EO253" s="618">
        <v>1</v>
      </c>
      <c r="EP253" s="618">
        <v>9</v>
      </c>
      <c r="EQ253" s="618">
        <v>1</v>
      </c>
      <c r="ER253" s="618">
        <v>2</v>
      </c>
      <c r="ES253" s="618">
        <v>0</v>
      </c>
      <c r="ET253" s="618">
        <v>0</v>
      </c>
      <c r="EU253" s="618">
        <v>0</v>
      </c>
      <c r="EV253" s="618">
        <v>0</v>
      </c>
      <c r="EW253" s="618">
        <v>0</v>
      </c>
      <c r="EX253" s="618">
        <v>13</v>
      </c>
      <c r="EY253" s="515"/>
      <c r="FA253" s="70"/>
      <c r="FB253" s="70"/>
      <c r="FC253" s="70"/>
      <c r="FD253" s="42" t="s">
        <v>1236</v>
      </c>
      <c r="FE253" s="42">
        <v>0</v>
      </c>
      <c r="FF253" s="42">
        <v>0</v>
      </c>
      <c r="FG253" s="42">
        <v>23</v>
      </c>
      <c r="FH253" s="42">
        <v>5</v>
      </c>
      <c r="FI253" s="42">
        <v>4</v>
      </c>
      <c r="FJ253" s="42">
        <v>1</v>
      </c>
      <c r="FK253" s="42">
        <v>0</v>
      </c>
      <c r="FL253" s="42">
        <v>0</v>
      </c>
      <c r="FM253" s="42"/>
      <c r="FN253" s="42">
        <v>0</v>
      </c>
      <c r="FO253" s="42">
        <v>33</v>
      </c>
      <c r="FP253" s="42"/>
      <c r="FQ253" s="73"/>
      <c r="FR253" s="516"/>
      <c r="FS253" s="516"/>
      <c r="FT253" s="516"/>
      <c r="FU253" s="516" t="s">
        <v>1236</v>
      </c>
      <c r="FV253" s="516">
        <v>0</v>
      </c>
      <c r="FW253" s="516">
        <v>0</v>
      </c>
      <c r="FX253" s="516">
        <v>3</v>
      </c>
      <c r="FY253" s="516">
        <v>3</v>
      </c>
      <c r="FZ253" s="516">
        <v>15</v>
      </c>
      <c r="GA253" s="516">
        <v>6</v>
      </c>
      <c r="GB253" s="516">
        <v>3</v>
      </c>
      <c r="GC253" s="516">
        <v>0</v>
      </c>
      <c r="GD253" s="516">
        <v>0</v>
      </c>
      <c r="GE253" s="516">
        <v>0</v>
      </c>
      <c r="GF253" s="516">
        <v>0</v>
      </c>
      <c r="GG253" s="517">
        <v>30</v>
      </c>
      <c r="GH253" s="516"/>
      <c r="GI253" s="518"/>
    </row>
    <row r="254" spans="2:191">
      <c r="D254" s="4800" t="s">
        <v>1239</v>
      </c>
      <c r="E254" s="4606">
        <v>0</v>
      </c>
      <c r="F254" s="4606">
        <v>0</v>
      </c>
      <c r="G254" s="4606"/>
      <c r="H254" s="4606">
        <v>0</v>
      </c>
      <c r="I254" s="4606"/>
      <c r="J254" s="4606"/>
      <c r="K254" s="4606">
        <v>0</v>
      </c>
      <c r="L254" s="4606">
        <v>1</v>
      </c>
      <c r="M254" s="4606">
        <v>1</v>
      </c>
      <c r="N254" s="2552"/>
      <c r="O254" s="2552">
        <v>1</v>
      </c>
      <c r="P254" s="2552">
        <v>3</v>
      </c>
      <c r="Q254" s="2552"/>
      <c r="R254" s="2552"/>
      <c r="V254" s="1793" t="s">
        <v>15</v>
      </c>
      <c r="W254" s="4804"/>
      <c r="X254" s="4804"/>
      <c r="Y254" s="4804"/>
      <c r="Z254" s="4804"/>
      <c r="AA254" s="4804"/>
      <c r="AB254" s="4804">
        <v>5</v>
      </c>
      <c r="AC254" s="4804">
        <v>1</v>
      </c>
      <c r="AD254" s="4804"/>
      <c r="AE254" s="4702"/>
      <c r="AF254" s="4702">
        <v>6</v>
      </c>
      <c r="AG254" s="4703">
        <v>0</v>
      </c>
      <c r="AI254" s="41"/>
      <c r="AJ254" s="41"/>
      <c r="AK254" s="461"/>
      <c r="AL254" s="461" t="s">
        <v>545</v>
      </c>
      <c r="AM254" s="2002">
        <v>5</v>
      </c>
      <c r="AN254" s="2002">
        <v>4</v>
      </c>
      <c r="AO254" s="2002">
        <v>5</v>
      </c>
      <c r="AP254" s="2002">
        <v>4</v>
      </c>
      <c r="AQ254" s="2002">
        <v>3</v>
      </c>
      <c r="AR254" s="2002">
        <v>108</v>
      </c>
      <c r="AS254" s="2002">
        <v>22</v>
      </c>
      <c r="AT254" s="2002">
        <v>5</v>
      </c>
      <c r="AU254" s="2480">
        <v>2</v>
      </c>
      <c r="AV254" s="2480"/>
      <c r="AW254" s="2480">
        <v>158</v>
      </c>
      <c r="AX254" s="635">
        <f>+(AW253+AW252+AW250-AU250)/AW254</f>
        <v>0.36075949367088606</v>
      </c>
      <c r="AY254" s="1977"/>
      <c r="AZ254" s="42"/>
      <c r="BA254" s="42"/>
      <c r="BB254" s="42"/>
      <c r="BC254" s="484" t="s">
        <v>15</v>
      </c>
      <c r="BD254" s="1994"/>
      <c r="BE254" s="1994">
        <v>1</v>
      </c>
      <c r="BF254" s="1994"/>
      <c r="BG254" s="1994"/>
      <c r="BH254" s="1994">
        <v>1</v>
      </c>
      <c r="BI254" s="1994">
        <v>1</v>
      </c>
      <c r="BJ254" s="1994">
        <v>9</v>
      </c>
      <c r="BK254" s="1994"/>
      <c r="BL254" s="1994"/>
      <c r="BM254" s="454"/>
      <c r="BN254" s="454"/>
      <c r="BO254" s="454">
        <v>12</v>
      </c>
      <c r="BP254" s="2485">
        <f>+(BO252+BO253)/BO254</f>
        <v>0.5</v>
      </c>
      <c r="BR254" s="105"/>
      <c r="BS254" s="105"/>
      <c r="BT254" s="41"/>
      <c r="BU254" s="41" t="s">
        <v>1235</v>
      </c>
      <c r="BV254" s="1659"/>
      <c r="BW254" s="1659"/>
      <c r="BX254" s="1659"/>
      <c r="BY254" s="1659"/>
      <c r="BZ254" s="1659"/>
      <c r="CA254" s="1659"/>
      <c r="CB254" s="1659">
        <v>2</v>
      </c>
      <c r="CC254" s="1659">
        <v>0</v>
      </c>
      <c r="CD254" s="1659">
        <v>1</v>
      </c>
      <c r="CE254" s="105">
        <v>0</v>
      </c>
      <c r="CF254" s="105"/>
      <c r="CG254" s="105">
        <v>3</v>
      </c>
      <c r="CH254" s="105"/>
      <c r="CJ254" s="1359"/>
      <c r="CK254" s="1359"/>
      <c r="CL254" s="1360" t="s">
        <v>418</v>
      </c>
      <c r="CM254" s="1361" t="s">
        <v>1231</v>
      </c>
      <c r="CN254" s="1362"/>
      <c r="CO254" s="1362"/>
      <c r="CP254" s="1362"/>
      <c r="CQ254" s="1362"/>
      <c r="CR254" s="1362"/>
      <c r="CS254" s="1363">
        <v>3</v>
      </c>
      <c r="CT254" s="1362"/>
      <c r="CU254" s="1363">
        <v>2</v>
      </c>
      <c r="CV254" s="686"/>
      <c r="CW254" s="686"/>
      <c r="CX254" s="687">
        <v>5</v>
      </c>
      <c r="CY254" s="41"/>
      <c r="DA254" s="602"/>
      <c r="DB254" s="602"/>
      <c r="DC254" s="603"/>
      <c r="DD254" s="630" t="s">
        <v>15</v>
      </c>
      <c r="DE254" s="632">
        <v>1</v>
      </c>
      <c r="DF254" s="631"/>
      <c r="DG254" s="632">
        <v>2</v>
      </c>
      <c r="DH254" s="632">
        <v>5</v>
      </c>
      <c r="DI254" s="631"/>
      <c r="DJ254" s="631"/>
      <c r="DK254" s="631"/>
      <c r="DL254" s="631"/>
      <c r="DM254" s="633"/>
      <c r="DN254" s="633"/>
      <c r="DO254" s="634">
        <v>8</v>
      </c>
      <c r="DP254" s="635">
        <f>+DO253/DO254</f>
        <v>0.625</v>
      </c>
      <c r="DR254" s="608"/>
      <c r="DS254" s="608"/>
      <c r="DT254" s="620" t="s">
        <v>113</v>
      </c>
      <c r="DU254" s="609" t="s">
        <v>1230</v>
      </c>
      <c r="DV254" s="611">
        <v>0</v>
      </c>
      <c r="DW254" s="611">
        <v>0</v>
      </c>
      <c r="DX254" s="611">
        <v>0</v>
      </c>
      <c r="DY254" s="611">
        <v>1</v>
      </c>
      <c r="DZ254" s="611">
        <v>0</v>
      </c>
      <c r="EA254" s="611">
        <v>0</v>
      </c>
      <c r="EB254" s="611">
        <v>0</v>
      </c>
      <c r="EC254" s="611">
        <v>1</v>
      </c>
      <c r="ED254" s="611">
        <v>19</v>
      </c>
      <c r="EE254" s="613">
        <v>2</v>
      </c>
      <c r="EF254" s="613">
        <v>8</v>
      </c>
      <c r="EG254" s="613">
        <v>31</v>
      </c>
      <c r="EH254" s="614"/>
      <c r="EL254" s="615"/>
      <c r="EM254" s="616" t="s">
        <v>1239</v>
      </c>
      <c r="EN254" s="617"/>
      <c r="EO254" s="618">
        <v>0</v>
      </c>
      <c r="EP254" s="618">
        <v>0</v>
      </c>
      <c r="EQ254" s="618">
        <v>3</v>
      </c>
      <c r="ER254" s="618">
        <v>0</v>
      </c>
      <c r="ES254" s="618">
        <v>2</v>
      </c>
      <c r="ET254" s="618">
        <v>2</v>
      </c>
      <c r="EU254" s="618">
        <v>9</v>
      </c>
      <c r="EV254" s="618">
        <v>0</v>
      </c>
      <c r="EW254" s="618">
        <v>2</v>
      </c>
      <c r="EX254" s="618">
        <v>18</v>
      </c>
      <c r="EY254" s="515"/>
      <c r="FA254" s="70"/>
      <c r="FB254" s="70"/>
      <c r="FC254" s="70"/>
      <c r="FD254" s="42" t="s">
        <v>1239</v>
      </c>
      <c r="FE254" s="42">
        <v>0</v>
      </c>
      <c r="FF254" s="42">
        <v>0</v>
      </c>
      <c r="FG254" s="42">
        <v>0</v>
      </c>
      <c r="FH254" s="42">
        <v>1</v>
      </c>
      <c r="FI254" s="42">
        <v>0</v>
      </c>
      <c r="FJ254" s="42">
        <v>0</v>
      </c>
      <c r="FK254" s="42">
        <v>0</v>
      </c>
      <c r="FL254" s="42">
        <v>6</v>
      </c>
      <c r="FM254" s="42"/>
      <c r="FN254" s="42">
        <v>3</v>
      </c>
      <c r="FO254" s="42">
        <v>10</v>
      </c>
      <c r="FP254" s="42"/>
      <c r="FQ254" s="42"/>
      <c r="FR254" s="516"/>
      <c r="FS254" s="516"/>
      <c r="FT254" s="516"/>
      <c r="FU254" s="516" t="s">
        <v>1239</v>
      </c>
      <c r="FV254" s="516">
        <v>0</v>
      </c>
      <c r="FW254" s="516">
        <v>0</v>
      </c>
      <c r="FX254" s="516">
        <v>0</v>
      </c>
      <c r="FY254" s="516">
        <v>0</v>
      </c>
      <c r="FZ254" s="516">
        <v>0</v>
      </c>
      <c r="GA254" s="516">
        <v>0</v>
      </c>
      <c r="GB254" s="516">
        <v>2</v>
      </c>
      <c r="GC254" s="516">
        <v>2</v>
      </c>
      <c r="GD254" s="516">
        <v>10</v>
      </c>
      <c r="GE254" s="516">
        <v>0</v>
      </c>
      <c r="GF254" s="516">
        <v>0</v>
      </c>
      <c r="GG254" s="517">
        <v>14</v>
      </c>
      <c r="GH254" s="516"/>
      <c r="GI254" s="518"/>
    </row>
    <row r="255" spans="2:191">
      <c r="D255" s="4800" t="s">
        <v>1240</v>
      </c>
      <c r="E255" s="4606">
        <v>0</v>
      </c>
      <c r="F255" s="4606">
        <v>0</v>
      </c>
      <c r="G255" s="4606"/>
      <c r="H255" s="4606">
        <v>0</v>
      </c>
      <c r="I255" s="4606"/>
      <c r="J255" s="4606"/>
      <c r="K255" s="4606">
        <v>0</v>
      </c>
      <c r="L255" s="4606">
        <v>1</v>
      </c>
      <c r="M255" s="4606">
        <v>1</v>
      </c>
      <c r="N255" s="2552"/>
      <c r="O255" s="2552">
        <v>0</v>
      </c>
      <c r="P255" s="2552">
        <v>2</v>
      </c>
      <c r="Q255" s="2552"/>
      <c r="R255" s="2552"/>
      <c r="U255" s="1793" t="s">
        <v>547</v>
      </c>
      <c r="V255" s="1793" t="s">
        <v>1230</v>
      </c>
      <c r="W255" s="4804">
        <v>0</v>
      </c>
      <c r="X255" s="4804">
        <v>0</v>
      </c>
      <c r="Y255" s="4804">
        <v>0</v>
      </c>
      <c r="Z255" s="4804">
        <v>0</v>
      </c>
      <c r="AA255" s="4804">
        <v>0</v>
      </c>
      <c r="AB255" s="4804">
        <v>1</v>
      </c>
      <c r="AC255" s="4804">
        <v>1</v>
      </c>
      <c r="AD255" s="4804">
        <v>0</v>
      </c>
      <c r="AE255" s="4702">
        <v>0</v>
      </c>
      <c r="AF255" s="4702">
        <v>2</v>
      </c>
      <c r="AG255" s="1793"/>
      <c r="AI255" s="41"/>
      <c r="AJ255" s="41" t="s">
        <v>41</v>
      </c>
      <c r="AK255" s="41" t="s">
        <v>139</v>
      </c>
      <c r="AL255" s="41" t="s">
        <v>1230</v>
      </c>
      <c r="AM255" s="2001"/>
      <c r="AN255" s="2001">
        <v>0</v>
      </c>
      <c r="AO255" s="2001"/>
      <c r="AP255" s="2001"/>
      <c r="AQ255" s="2001"/>
      <c r="AR255" s="2001">
        <v>0</v>
      </c>
      <c r="AS255" s="2001">
        <v>1</v>
      </c>
      <c r="AT255" s="2001"/>
      <c r="AU255" s="105"/>
      <c r="AV255" s="105"/>
      <c r="AW255" s="105">
        <v>1</v>
      </c>
      <c r="AX255" s="41"/>
      <c r="AZ255" s="42"/>
      <c r="BA255" s="42"/>
      <c r="BB255" s="42" t="s">
        <v>2539</v>
      </c>
      <c r="BC255" s="42" t="s">
        <v>1231</v>
      </c>
      <c r="BD255" s="1993"/>
      <c r="BE255" s="1993"/>
      <c r="BF255" s="1993"/>
      <c r="BG255" s="1993"/>
      <c r="BH255" s="1993"/>
      <c r="BI255" s="1993"/>
      <c r="BJ255" s="1993">
        <v>2</v>
      </c>
      <c r="BK255" s="1993">
        <v>5</v>
      </c>
      <c r="BL255" s="1993">
        <v>0</v>
      </c>
      <c r="BM255" s="70"/>
      <c r="BN255" s="70"/>
      <c r="BO255" s="70">
        <v>7</v>
      </c>
      <c r="BR255" s="105"/>
      <c r="BS255" s="105"/>
      <c r="BT255" s="41"/>
      <c r="BU255" s="41" t="s">
        <v>1239</v>
      </c>
      <c r="BV255" s="1659"/>
      <c r="BW255" s="1659"/>
      <c r="BX255" s="1659"/>
      <c r="BY255" s="1659"/>
      <c r="BZ255" s="1659"/>
      <c r="CA255" s="1659"/>
      <c r="CB255" s="1659">
        <v>0</v>
      </c>
      <c r="CC255" s="1659">
        <v>0</v>
      </c>
      <c r="CD255" s="1659">
        <v>2</v>
      </c>
      <c r="CE255" s="105">
        <v>2</v>
      </c>
      <c r="CF255" s="105"/>
      <c r="CG255" s="105">
        <v>4</v>
      </c>
      <c r="CH255" s="105"/>
      <c r="CJ255" s="1359"/>
      <c r="CK255" s="1359"/>
      <c r="CL255" s="1360"/>
      <c r="CM255" s="1361" t="s">
        <v>1235</v>
      </c>
      <c r="CN255" s="1362"/>
      <c r="CO255" s="1362"/>
      <c r="CP255" s="1362"/>
      <c r="CQ255" s="1362"/>
      <c r="CR255" s="1362"/>
      <c r="CS255" s="1363">
        <v>3</v>
      </c>
      <c r="CT255" s="1362"/>
      <c r="CU255" s="1363">
        <v>0</v>
      </c>
      <c r="CV255" s="686"/>
      <c r="CW255" s="686"/>
      <c r="CX255" s="687">
        <v>3</v>
      </c>
      <c r="CY255" s="41"/>
      <c r="DA255" s="602"/>
      <c r="DB255" s="602"/>
      <c r="DC255" s="603" t="s">
        <v>827</v>
      </c>
      <c r="DD255" s="604" t="s">
        <v>1231</v>
      </c>
      <c r="DE255" s="605"/>
      <c r="DF255" s="605"/>
      <c r="DG255" s="605"/>
      <c r="DH255" s="606">
        <v>2</v>
      </c>
      <c r="DI255" s="605"/>
      <c r="DJ255" s="605"/>
      <c r="DK255" s="605"/>
      <c r="DL255" s="605"/>
      <c r="DM255" s="602"/>
      <c r="DN255" s="602"/>
      <c r="DO255" s="607">
        <v>2</v>
      </c>
      <c r="DP255" s="105"/>
      <c r="DR255" s="608"/>
      <c r="DS255" s="608"/>
      <c r="DT255" s="608"/>
      <c r="DU255" s="609" t="s">
        <v>1231</v>
      </c>
      <c r="DV255" s="611">
        <v>3</v>
      </c>
      <c r="DW255" s="611">
        <v>8</v>
      </c>
      <c r="DX255" s="611">
        <v>5</v>
      </c>
      <c r="DY255" s="611">
        <v>9</v>
      </c>
      <c r="DZ255" s="611">
        <v>1</v>
      </c>
      <c r="EA255" s="611">
        <v>6</v>
      </c>
      <c r="EB255" s="611">
        <v>84</v>
      </c>
      <c r="EC255" s="611">
        <v>35</v>
      </c>
      <c r="ED255" s="611">
        <v>3</v>
      </c>
      <c r="EE255" s="613">
        <v>2</v>
      </c>
      <c r="EF255" s="613">
        <v>0</v>
      </c>
      <c r="EG255" s="613">
        <v>156</v>
      </c>
      <c r="EH255" s="614"/>
      <c r="EL255" s="615"/>
      <c r="EM255" s="616" t="s">
        <v>1240</v>
      </c>
      <c r="EN255" s="617"/>
      <c r="EO255" s="618">
        <v>0</v>
      </c>
      <c r="EP255" s="618">
        <v>1</v>
      </c>
      <c r="EQ255" s="618">
        <v>1</v>
      </c>
      <c r="ER255" s="618">
        <v>1</v>
      </c>
      <c r="ES255" s="618">
        <v>6</v>
      </c>
      <c r="ET255" s="618">
        <v>1</v>
      </c>
      <c r="EU255" s="618">
        <v>1</v>
      </c>
      <c r="EV255" s="618">
        <v>0</v>
      </c>
      <c r="EW255" s="618">
        <v>0</v>
      </c>
      <c r="EX255" s="618">
        <v>11</v>
      </c>
      <c r="EY255" s="515"/>
      <c r="FC255" s="70"/>
      <c r="FD255" s="42" t="s">
        <v>1240</v>
      </c>
      <c r="FE255" s="42">
        <v>0</v>
      </c>
      <c r="FF255" s="42">
        <v>0</v>
      </c>
      <c r="FG255" s="42">
        <v>0</v>
      </c>
      <c r="FH255" s="42">
        <v>1</v>
      </c>
      <c r="FI255" s="42">
        <v>0</v>
      </c>
      <c r="FJ255" s="42">
        <v>11</v>
      </c>
      <c r="FK255" s="42">
        <v>3</v>
      </c>
      <c r="FL255" s="42">
        <v>1</v>
      </c>
      <c r="FM255" s="42"/>
      <c r="FN255" s="42">
        <v>0</v>
      </c>
      <c r="FO255" s="42">
        <v>16</v>
      </c>
      <c r="FP255" s="42"/>
      <c r="FQ255" s="42"/>
      <c r="FR255" s="516"/>
      <c r="FS255" s="516"/>
      <c r="FT255" s="516"/>
      <c r="FU255" s="516" t="s">
        <v>1240</v>
      </c>
      <c r="FV255" s="516">
        <v>0</v>
      </c>
      <c r="FW255" s="516">
        <v>0</v>
      </c>
      <c r="FX255" s="516">
        <v>0</v>
      </c>
      <c r="FY255" s="516">
        <v>0</v>
      </c>
      <c r="FZ255" s="516">
        <v>0</v>
      </c>
      <c r="GA255" s="516">
        <v>0</v>
      </c>
      <c r="GB255" s="516">
        <v>0</v>
      </c>
      <c r="GC255" s="516">
        <v>4</v>
      </c>
      <c r="GD255" s="516">
        <v>0</v>
      </c>
      <c r="GE255" s="516">
        <v>0</v>
      </c>
      <c r="GF255" s="516">
        <v>0</v>
      </c>
      <c r="GG255" s="517">
        <v>4</v>
      </c>
      <c r="GH255" s="516"/>
      <c r="GI255" s="518"/>
    </row>
    <row r="256" spans="2:191">
      <c r="D256" s="4800" t="s">
        <v>2963</v>
      </c>
      <c r="E256" s="4606">
        <v>1</v>
      </c>
      <c r="F256" s="4606">
        <v>0</v>
      </c>
      <c r="G256" s="4606"/>
      <c r="H256" s="4606">
        <v>0</v>
      </c>
      <c r="I256" s="4606"/>
      <c r="J256" s="4606"/>
      <c r="K256" s="4606">
        <v>0</v>
      </c>
      <c r="L256" s="4606">
        <v>0</v>
      </c>
      <c r="M256" s="4606">
        <v>0</v>
      </c>
      <c r="N256" s="2552"/>
      <c r="O256" s="2552">
        <v>0</v>
      </c>
      <c r="P256" s="2552">
        <v>1</v>
      </c>
      <c r="Q256" s="2552"/>
      <c r="R256" s="2552"/>
      <c r="U256" s="1793"/>
      <c r="V256" s="1793" t="s">
        <v>1231</v>
      </c>
      <c r="W256" s="4804">
        <v>2</v>
      </c>
      <c r="X256" s="4804">
        <v>3</v>
      </c>
      <c r="Y256" s="4804">
        <v>1</v>
      </c>
      <c r="Z256" s="4804">
        <v>1</v>
      </c>
      <c r="AA256" s="4804">
        <v>1</v>
      </c>
      <c r="AB256" s="4804">
        <v>38</v>
      </c>
      <c r="AC256" s="4804">
        <v>3</v>
      </c>
      <c r="AD256" s="4804">
        <v>0</v>
      </c>
      <c r="AE256" s="4702">
        <v>0</v>
      </c>
      <c r="AF256" s="4702">
        <v>49</v>
      </c>
      <c r="AG256" s="1793"/>
      <c r="AI256" s="41"/>
      <c r="AJ256" s="41"/>
      <c r="AK256" s="41"/>
      <c r="AL256" s="41" t="s">
        <v>1231</v>
      </c>
      <c r="AM256" s="2001"/>
      <c r="AN256" s="2001">
        <v>1</v>
      </c>
      <c r="AO256" s="2001"/>
      <c r="AP256" s="2001"/>
      <c r="AQ256" s="2001"/>
      <c r="AR256" s="2001">
        <v>1</v>
      </c>
      <c r="AS256" s="2001">
        <v>0</v>
      </c>
      <c r="AT256" s="2001"/>
      <c r="AU256" s="105"/>
      <c r="AV256" s="105"/>
      <c r="AW256" s="105">
        <v>2</v>
      </c>
      <c r="AX256" s="41"/>
      <c r="AZ256" s="42"/>
      <c r="BA256" s="42"/>
      <c r="BB256" s="42"/>
      <c r="BC256" s="42" t="s">
        <v>1239</v>
      </c>
      <c r="BD256" s="1993"/>
      <c r="BE256" s="1993"/>
      <c r="BF256" s="1993"/>
      <c r="BG256" s="1993"/>
      <c r="BH256" s="1993"/>
      <c r="BI256" s="1993"/>
      <c r="BJ256" s="1993">
        <v>0</v>
      </c>
      <c r="BK256" s="1993">
        <v>0</v>
      </c>
      <c r="BL256" s="1993">
        <v>3</v>
      </c>
      <c r="BM256" s="70"/>
      <c r="BN256" s="70"/>
      <c r="BO256" s="70">
        <v>3</v>
      </c>
      <c r="BR256" s="105"/>
      <c r="BS256" s="105"/>
      <c r="BT256" s="41"/>
      <c r="BU256" s="41" t="s">
        <v>1240</v>
      </c>
      <c r="BV256" s="1659"/>
      <c r="BW256" s="1659"/>
      <c r="BX256" s="1659"/>
      <c r="BY256" s="1659"/>
      <c r="BZ256" s="1659"/>
      <c r="CA256" s="1659"/>
      <c r="CB256" s="1659">
        <v>0</v>
      </c>
      <c r="CC256" s="1659">
        <v>2</v>
      </c>
      <c r="CD256" s="1659">
        <v>0</v>
      </c>
      <c r="CE256" s="105">
        <v>0</v>
      </c>
      <c r="CF256" s="105"/>
      <c r="CG256" s="105">
        <v>2</v>
      </c>
      <c r="CH256" s="105"/>
      <c r="CJ256" s="1359"/>
      <c r="CK256" s="1359"/>
      <c r="CL256" s="1360"/>
      <c r="CM256" s="1361" t="s">
        <v>1240</v>
      </c>
      <c r="CN256" s="1362"/>
      <c r="CO256" s="1362"/>
      <c r="CP256" s="1362"/>
      <c r="CQ256" s="1362"/>
      <c r="CR256" s="1362"/>
      <c r="CS256" s="1363">
        <v>5</v>
      </c>
      <c r="CT256" s="1362"/>
      <c r="CU256" s="1363">
        <v>0</v>
      </c>
      <c r="CV256" s="686"/>
      <c r="CW256" s="686"/>
      <c r="CX256" s="687">
        <v>5</v>
      </c>
      <c r="CY256" s="41"/>
      <c r="DA256" s="602"/>
      <c r="DB256" s="602"/>
      <c r="DC256" s="603"/>
      <c r="DD256" s="630" t="s">
        <v>15</v>
      </c>
      <c r="DE256" s="631"/>
      <c r="DF256" s="631"/>
      <c r="DG256" s="631"/>
      <c r="DH256" s="632">
        <v>2</v>
      </c>
      <c r="DI256" s="631"/>
      <c r="DJ256" s="631"/>
      <c r="DK256" s="631"/>
      <c r="DL256" s="631"/>
      <c r="DM256" s="633"/>
      <c r="DN256" s="633"/>
      <c r="DO256" s="634">
        <v>2</v>
      </c>
      <c r="DP256" s="635">
        <v>0</v>
      </c>
      <c r="DR256" s="608"/>
      <c r="DS256" s="608"/>
      <c r="DT256" s="608"/>
      <c r="DU256" s="609" t="s">
        <v>1233</v>
      </c>
      <c r="DV256" s="611">
        <v>0</v>
      </c>
      <c r="DW256" s="611">
        <v>3</v>
      </c>
      <c r="DX256" s="611">
        <v>1</v>
      </c>
      <c r="DY256" s="611">
        <v>2</v>
      </c>
      <c r="DZ256" s="611">
        <v>0</v>
      </c>
      <c r="EA256" s="611">
        <v>0</v>
      </c>
      <c r="EB256" s="611">
        <v>0</v>
      </c>
      <c r="EC256" s="611">
        <v>0</v>
      </c>
      <c r="ED256" s="611">
        <v>0</v>
      </c>
      <c r="EE256" s="613">
        <v>0</v>
      </c>
      <c r="EF256" s="613">
        <v>0</v>
      </c>
      <c r="EG256" s="613">
        <v>6</v>
      </c>
      <c r="EH256" s="614"/>
      <c r="EL256" s="615"/>
      <c r="EM256" s="616" t="s">
        <v>1344</v>
      </c>
      <c r="EN256" s="617"/>
      <c r="EO256" s="618">
        <v>0</v>
      </c>
      <c r="EP256" s="618">
        <v>1</v>
      </c>
      <c r="EQ256" s="618">
        <v>0</v>
      </c>
      <c r="ER256" s="618">
        <v>0</v>
      </c>
      <c r="ES256" s="618">
        <v>2</v>
      </c>
      <c r="ET256" s="618">
        <v>2</v>
      </c>
      <c r="EU256" s="618">
        <v>0</v>
      </c>
      <c r="EV256" s="618">
        <v>0</v>
      </c>
      <c r="EW256" s="618">
        <v>0</v>
      </c>
      <c r="EX256" s="618">
        <v>5</v>
      </c>
      <c r="EY256" s="515"/>
      <c r="FC256" s="70"/>
      <c r="FD256" s="42" t="s">
        <v>1344</v>
      </c>
      <c r="FE256" s="42">
        <v>0</v>
      </c>
      <c r="FF256" s="42">
        <v>0</v>
      </c>
      <c r="FG256" s="42">
        <v>2</v>
      </c>
      <c r="FH256" s="42">
        <v>1</v>
      </c>
      <c r="FI256" s="42">
        <v>1</v>
      </c>
      <c r="FJ256" s="42">
        <v>1</v>
      </c>
      <c r="FK256" s="42">
        <v>1</v>
      </c>
      <c r="FL256" s="42">
        <v>1</v>
      </c>
      <c r="FM256" s="42"/>
      <c r="FN256" s="42">
        <v>0</v>
      </c>
      <c r="FO256" s="42">
        <v>7</v>
      </c>
      <c r="FP256" s="42"/>
      <c r="FQ256" s="42"/>
      <c r="FR256" s="516"/>
      <c r="FS256" s="516"/>
      <c r="FT256" s="516"/>
      <c r="FU256" s="516" t="s">
        <v>1344</v>
      </c>
      <c r="FV256" s="516">
        <v>0</v>
      </c>
      <c r="FW256" s="516">
        <v>0</v>
      </c>
      <c r="FX256" s="516">
        <v>0</v>
      </c>
      <c r="FY256" s="516">
        <v>1</v>
      </c>
      <c r="FZ256" s="516">
        <v>0</v>
      </c>
      <c r="GA256" s="516">
        <v>0</v>
      </c>
      <c r="GB256" s="516">
        <v>10</v>
      </c>
      <c r="GC256" s="516">
        <v>2</v>
      </c>
      <c r="GD256" s="516">
        <v>0</v>
      </c>
      <c r="GE256" s="516">
        <v>0</v>
      </c>
      <c r="GF256" s="516">
        <v>0</v>
      </c>
      <c r="GG256" s="517">
        <v>13</v>
      </c>
      <c r="GH256" s="516"/>
      <c r="GI256" s="518"/>
    </row>
    <row r="257" spans="3:191">
      <c r="D257" s="4800" t="s">
        <v>1344</v>
      </c>
      <c r="E257" s="4606">
        <v>0</v>
      </c>
      <c r="F257" s="4606">
        <v>0</v>
      </c>
      <c r="G257" s="4606"/>
      <c r="H257" s="4606">
        <v>0</v>
      </c>
      <c r="I257" s="4606"/>
      <c r="J257" s="4606"/>
      <c r="K257" s="4606">
        <v>0</v>
      </c>
      <c r="L257" s="4606">
        <v>3</v>
      </c>
      <c r="M257" s="4606">
        <v>3</v>
      </c>
      <c r="N257" s="2552"/>
      <c r="O257" s="2552">
        <v>0</v>
      </c>
      <c r="P257" s="2552">
        <v>6</v>
      </c>
      <c r="Q257" s="2552"/>
      <c r="R257" s="2552"/>
      <c r="U257" s="1793"/>
      <c r="V257" s="1793" t="s">
        <v>1233</v>
      </c>
      <c r="W257" s="4804">
        <v>2</v>
      </c>
      <c r="X257" s="4804">
        <v>0</v>
      </c>
      <c r="Y257" s="4804">
        <v>0</v>
      </c>
      <c r="Z257" s="4804">
        <v>0</v>
      </c>
      <c r="AA257" s="4804">
        <v>0</v>
      </c>
      <c r="AB257" s="4804">
        <v>0</v>
      </c>
      <c r="AC257" s="4804">
        <v>0</v>
      </c>
      <c r="AD257" s="4804">
        <v>0</v>
      </c>
      <c r="AE257" s="4702">
        <v>0</v>
      </c>
      <c r="AF257" s="4702">
        <v>2</v>
      </c>
      <c r="AG257" s="1793"/>
      <c r="AI257" s="41"/>
      <c r="AJ257" s="41"/>
      <c r="AK257" s="41"/>
      <c r="AL257" s="41" t="s">
        <v>1235</v>
      </c>
      <c r="AM257" s="2001"/>
      <c r="AN257" s="2001">
        <v>0</v>
      </c>
      <c r="AO257" s="2001"/>
      <c r="AP257" s="2001"/>
      <c r="AQ257" s="2001"/>
      <c r="AR257" s="2001">
        <v>0</v>
      </c>
      <c r="AS257" s="2001">
        <v>5</v>
      </c>
      <c r="AT257" s="2001"/>
      <c r="AU257" s="105"/>
      <c r="AV257" s="105"/>
      <c r="AW257" s="105">
        <v>5</v>
      </c>
      <c r="AX257" s="41"/>
      <c r="AZ257" s="42"/>
      <c r="BA257" s="42"/>
      <c r="BB257" s="42"/>
      <c r="BC257" s="42" t="s">
        <v>1240</v>
      </c>
      <c r="BD257" s="1993"/>
      <c r="BE257" s="1993"/>
      <c r="BF257" s="1993"/>
      <c r="BG257" s="1993"/>
      <c r="BH257" s="1993"/>
      <c r="BI257" s="1993"/>
      <c r="BJ257" s="1993">
        <v>0</v>
      </c>
      <c r="BK257" s="1993">
        <v>1</v>
      </c>
      <c r="BL257" s="1993">
        <v>0</v>
      </c>
      <c r="BM257" s="70"/>
      <c r="BN257" s="70"/>
      <c r="BO257" s="70">
        <v>1</v>
      </c>
      <c r="BR257" s="105"/>
      <c r="BS257" s="105"/>
      <c r="BT257" s="41"/>
      <c r="BU257" s="41" t="s">
        <v>1344</v>
      </c>
      <c r="BV257" s="1659"/>
      <c r="BW257" s="1659"/>
      <c r="BX257" s="1659"/>
      <c r="BY257" s="1659"/>
      <c r="BZ257" s="1659"/>
      <c r="CA257" s="1659"/>
      <c r="CB257" s="1659">
        <v>2</v>
      </c>
      <c r="CC257" s="1659">
        <v>3</v>
      </c>
      <c r="CD257" s="1659">
        <v>0</v>
      </c>
      <c r="CE257" s="105">
        <v>0</v>
      </c>
      <c r="CF257" s="105"/>
      <c r="CG257" s="105">
        <v>5</v>
      </c>
      <c r="CH257" s="105"/>
      <c r="CJ257" s="1359"/>
      <c r="CK257" s="1359"/>
      <c r="CL257" s="1360"/>
      <c r="CM257" s="1361" t="s">
        <v>1344</v>
      </c>
      <c r="CN257" s="1362"/>
      <c r="CO257" s="1362"/>
      <c r="CP257" s="1362"/>
      <c r="CQ257" s="1362"/>
      <c r="CR257" s="1362"/>
      <c r="CS257" s="1363">
        <v>7</v>
      </c>
      <c r="CT257" s="1362"/>
      <c r="CU257" s="1363">
        <v>0</v>
      </c>
      <c r="CV257" s="686"/>
      <c r="CW257" s="686"/>
      <c r="CX257" s="687">
        <v>7</v>
      </c>
      <c r="CY257" s="41"/>
      <c r="DA257" s="602"/>
      <c r="DB257" s="602"/>
      <c r="DC257" s="603" t="s">
        <v>547</v>
      </c>
      <c r="DD257" s="604" t="s">
        <v>1230</v>
      </c>
      <c r="DE257" s="606">
        <v>0</v>
      </c>
      <c r="DF257" s="606">
        <v>0</v>
      </c>
      <c r="DG257" s="606">
        <v>0</v>
      </c>
      <c r="DH257" s="606">
        <v>0</v>
      </c>
      <c r="DI257" s="605"/>
      <c r="DJ257" s="606">
        <v>0</v>
      </c>
      <c r="DK257" s="606">
        <v>1</v>
      </c>
      <c r="DL257" s="606">
        <v>1</v>
      </c>
      <c r="DM257" s="607">
        <v>0</v>
      </c>
      <c r="DN257" s="602"/>
      <c r="DO257" s="607">
        <v>2</v>
      </c>
      <c r="DP257" s="105"/>
      <c r="DR257" s="608"/>
      <c r="DS257" s="608"/>
      <c r="DT257" s="608"/>
      <c r="DU257" s="609" t="s">
        <v>1235</v>
      </c>
      <c r="DV257" s="611">
        <v>0</v>
      </c>
      <c r="DW257" s="611">
        <v>0</v>
      </c>
      <c r="DX257" s="611">
        <v>0</v>
      </c>
      <c r="DY257" s="611">
        <v>4</v>
      </c>
      <c r="DZ257" s="611">
        <v>1</v>
      </c>
      <c r="EA257" s="611">
        <v>1</v>
      </c>
      <c r="EB257" s="611">
        <v>23</v>
      </c>
      <c r="EC257" s="611">
        <v>37</v>
      </c>
      <c r="ED257" s="611">
        <v>6</v>
      </c>
      <c r="EE257" s="613">
        <v>3</v>
      </c>
      <c r="EF257" s="613">
        <v>1</v>
      </c>
      <c r="EG257" s="613">
        <v>76</v>
      </c>
      <c r="EH257" s="614"/>
      <c r="EL257" s="615"/>
      <c r="EM257" s="625" t="s">
        <v>106</v>
      </c>
      <c r="EN257" s="626"/>
      <c r="EO257" s="627">
        <v>1</v>
      </c>
      <c r="EP257" s="627">
        <v>15</v>
      </c>
      <c r="EQ257" s="627">
        <v>9</v>
      </c>
      <c r="ER257" s="627">
        <v>5</v>
      </c>
      <c r="ES257" s="627">
        <v>21</v>
      </c>
      <c r="ET257" s="627">
        <v>13</v>
      </c>
      <c r="EU257" s="627">
        <v>13</v>
      </c>
      <c r="EV257" s="627">
        <v>1</v>
      </c>
      <c r="EW257" s="627">
        <v>4</v>
      </c>
      <c r="EX257" s="627">
        <v>82</v>
      </c>
      <c r="EY257" s="628">
        <f>+(EX256+EX255+EX252)/EX257</f>
        <v>0.23170731707317074</v>
      </c>
      <c r="FC257" s="70"/>
      <c r="FD257" s="484" t="s">
        <v>15</v>
      </c>
      <c r="FE257" s="484">
        <v>1</v>
      </c>
      <c r="FF257" s="484">
        <v>5</v>
      </c>
      <c r="FG257" s="484">
        <v>29</v>
      </c>
      <c r="FH257" s="484">
        <v>10</v>
      </c>
      <c r="FI257" s="484">
        <v>6</v>
      </c>
      <c r="FJ257" s="484">
        <v>46</v>
      </c>
      <c r="FK257" s="484">
        <v>30</v>
      </c>
      <c r="FL257" s="484">
        <v>14</v>
      </c>
      <c r="FM257" s="484"/>
      <c r="FN257" s="484">
        <v>3</v>
      </c>
      <c r="FO257" s="484">
        <v>144</v>
      </c>
      <c r="FP257" s="536">
        <f>+(FO252+FO255+FO256)/FO257</f>
        <v>0.27083333333333331</v>
      </c>
      <c r="FQ257" s="42"/>
      <c r="FR257" s="516"/>
      <c r="FS257" s="516"/>
      <c r="FT257" s="516"/>
      <c r="FU257" s="519" t="s">
        <v>15</v>
      </c>
      <c r="FV257" s="519">
        <v>1</v>
      </c>
      <c r="FW257" s="519">
        <v>0</v>
      </c>
      <c r="FX257" s="519">
        <v>4</v>
      </c>
      <c r="FY257" s="519">
        <v>6</v>
      </c>
      <c r="FZ257" s="519">
        <v>20</v>
      </c>
      <c r="GA257" s="519">
        <v>6</v>
      </c>
      <c r="GB257" s="519">
        <v>25</v>
      </c>
      <c r="GC257" s="519">
        <v>15</v>
      </c>
      <c r="GD257" s="519">
        <v>13</v>
      </c>
      <c r="GE257" s="519">
        <v>0</v>
      </c>
      <c r="GF257" s="519">
        <v>0</v>
      </c>
      <c r="GG257" s="579">
        <v>90</v>
      </c>
      <c r="GH257" s="520">
        <f>+(GG256+GG255+GG252)/GG257</f>
        <v>0.27777777777777779</v>
      </c>
      <c r="GI257" s="518">
        <f>+GG252+GG255+GG256</f>
        <v>25</v>
      </c>
    </row>
    <row r="258" spans="3:191">
      <c r="D258" s="4800" t="s">
        <v>15</v>
      </c>
      <c r="E258" s="4606">
        <v>1</v>
      </c>
      <c r="F258" s="4606">
        <v>1</v>
      </c>
      <c r="G258" s="4606"/>
      <c r="H258" s="4606">
        <v>1</v>
      </c>
      <c r="I258" s="4606"/>
      <c r="J258" s="4606"/>
      <c r="K258" s="4606">
        <v>3</v>
      </c>
      <c r="L258" s="4606">
        <v>6</v>
      </c>
      <c r="M258" s="4606">
        <v>5</v>
      </c>
      <c r="N258" s="2552"/>
      <c r="O258" s="2552">
        <v>1</v>
      </c>
      <c r="P258" s="2552">
        <v>18</v>
      </c>
      <c r="Q258" s="1977">
        <f>+(P255+P257)/(P258-P256)</f>
        <v>0.47058823529411764</v>
      </c>
      <c r="R258" s="1977"/>
      <c r="U258" s="1793"/>
      <c r="V258" s="1793" t="s">
        <v>1235</v>
      </c>
      <c r="W258" s="4804">
        <v>0</v>
      </c>
      <c r="X258" s="4804">
        <v>0</v>
      </c>
      <c r="Y258" s="4804">
        <v>0</v>
      </c>
      <c r="Z258" s="4804">
        <v>0</v>
      </c>
      <c r="AA258" s="4804">
        <v>0</v>
      </c>
      <c r="AB258" s="4804">
        <v>2</v>
      </c>
      <c r="AC258" s="4804">
        <v>2</v>
      </c>
      <c r="AD258" s="4804">
        <v>2</v>
      </c>
      <c r="AE258" s="4702">
        <v>0</v>
      </c>
      <c r="AF258" s="4702">
        <v>6</v>
      </c>
      <c r="AG258" s="1793"/>
      <c r="AI258" s="41"/>
      <c r="AJ258" s="41"/>
      <c r="AK258" s="41"/>
      <c r="AL258" s="41" t="s">
        <v>1240</v>
      </c>
      <c r="AM258" s="2001"/>
      <c r="AN258" s="2001">
        <v>0</v>
      </c>
      <c r="AO258" s="2001"/>
      <c r="AP258" s="2001"/>
      <c r="AQ258" s="2001"/>
      <c r="AR258" s="2001">
        <v>0</v>
      </c>
      <c r="AS258" s="2001">
        <v>4</v>
      </c>
      <c r="AT258" s="2001"/>
      <c r="AU258" s="105"/>
      <c r="AV258" s="105"/>
      <c r="AW258" s="105">
        <v>4</v>
      </c>
      <c r="AX258" s="41"/>
      <c r="AZ258" s="42"/>
      <c r="BA258" s="42"/>
      <c r="BB258" s="42"/>
      <c r="BC258" s="484" t="s">
        <v>15</v>
      </c>
      <c r="BD258" s="1994"/>
      <c r="BE258" s="1994"/>
      <c r="BF258" s="1994"/>
      <c r="BG258" s="1994"/>
      <c r="BH258" s="1994"/>
      <c r="BI258" s="1994"/>
      <c r="BJ258" s="1994">
        <v>2</v>
      </c>
      <c r="BK258" s="1994">
        <v>6</v>
      </c>
      <c r="BL258" s="1994">
        <v>3</v>
      </c>
      <c r="BM258" s="454"/>
      <c r="BN258" s="454"/>
      <c r="BO258" s="454">
        <v>11</v>
      </c>
      <c r="BP258" s="2485">
        <f>+BO257/BO258</f>
        <v>9.0909090909090912E-2</v>
      </c>
      <c r="BR258" s="105"/>
      <c r="BS258" s="105"/>
      <c r="BT258" s="41"/>
      <c r="BU258" s="461" t="s">
        <v>15</v>
      </c>
      <c r="BV258" s="1660"/>
      <c r="BW258" s="1660"/>
      <c r="BX258" s="1660"/>
      <c r="BY258" s="1660"/>
      <c r="BZ258" s="1660"/>
      <c r="CA258" s="1660"/>
      <c r="CB258" s="1660">
        <v>5</v>
      </c>
      <c r="CC258" s="1660">
        <v>7</v>
      </c>
      <c r="CD258" s="1660">
        <v>3</v>
      </c>
      <c r="CE258" s="96">
        <v>2</v>
      </c>
      <c r="CF258" s="96"/>
      <c r="CG258" s="96">
        <v>17</v>
      </c>
      <c r="CH258" s="635">
        <f>+(CG254+CG256+CG257)/CG258</f>
        <v>0.58823529411764708</v>
      </c>
      <c r="CJ258" s="1359"/>
      <c r="CK258" s="1359"/>
      <c r="CL258" s="1360"/>
      <c r="CM258" s="483" t="s">
        <v>15</v>
      </c>
      <c r="CN258" s="1364"/>
      <c r="CO258" s="1364"/>
      <c r="CP258" s="1364"/>
      <c r="CQ258" s="1364"/>
      <c r="CR258" s="1364"/>
      <c r="CS258" s="1365">
        <v>18</v>
      </c>
      <c r="CT258" s="1364"/>
      <c r="CU258" s="1365">
        <v>2</v>
      </c>
      <c r="CV258" s="695"/>
      <c r="CW258" s="695"/>
      <c r="CX258" s="696">
        <v>20</v>
      </c>
      <c r="CY258" s="1325">
        <f>+(CX255+CX256+CX257)/CX258</f>
        <v>0.75</v>
      </c>
      <c r="DA258" s="602"/>
      <c r="DB258" s="602"/>
      <c r="DC258" s="603"/>
      <c r="DD258" s="604" t="s">
        <v>1231</v>
      </c>
      <c r="DE258" s="606">
        <v>1</v>
      </c>
      <c r="DF258" s="606">
        <v>1</v>
      </c>
      <c r="DG258" s="606">
        <v>20</v>
      </c>
      <c r="DH258" s="606">
        <v>2</v>
      </c>
      <c r="DI258" s="605"/>
      <c r="DJ258" s="606">
        <v>9</v>
      </c>
      <c r="DK258" s="606">
        <v>11</v>
      </c>
      <c r="DL258" s="606">
        <v>1</v>
      </c>
      <c r="DM258" s="607">
        <v>0</v>
      </c>
      <c r="DN258" s="602"/>
      <c r="DO258" s="607">
        <v>45</v>
      </c>
      <c r="DP258" s="105"/>
      <c r="DR258" s="608"/>
      <c r="DS258" s="608"/>
      <c r="DT258" s="608"/>
      <c r="DU258" s="609" t="s">
        <v>1236</v>
      </c>
      <c r="DV258" s="611">
        <v>0</v>
      </c>
      <c r="DW258" s="611">
        <v>2</v>
      </c>
      <c r="DX258" s="611">
        <v>4</v>
      </c>
      <c r="DY258" s="611">
        <v>17</v>
      </c>
      <c r="DZ258" s="611">
        <v>11</v>
      </c>
      <c r="EA258" s="611">
        <v>10</v>
      </c>
      <c r="EB258" s="611">
        <v>6</v>
      </c>
      <c r="EC258" s="611">
        <v>0</v>
      </c>
      <c r="ED258" s="611">
        <v>0</v>
      </c>
      <c r="EE258" s="613">
        <v>0</v>
      </c>
      <c r="EF258" s="613">
        <v>0</v>
      </c>
      <c r="EG258" s="613">
        <v>50</v>
      </c>
      <c r="EH258" s="614"/>
      <c r="EL258" s="615" t="s">
        <v>110</v>
      </c>
      <c r="EM258" s="616" t="s">
        <v>1230</v>
      </c>
      <c r="EN258" s="618">
        <v>0</v>
      </c>
      <c r="EO258" s="618">
        <v>0</v>
      </c>
      <c r="EP258" s="618">
        <v>0</v>
      </c>
      <c r="EQ258" s="618">
        <v>0</v>
      </c>
      <c r="ER258" s="618">
        <v>0</v>
      </c>
      <c r="ES258" s="618">
        <v>0</v>
      </c>
      <c r="ET258" s="618">
        <v>1</v>
      </c>
      <c r="EU258" s="618">
        <v>10</v>
      </c>
      <c r="EV258" s="618">
        <v>4</v>
      </c>
      <c r="EW258" s="618">
        <v>11</v>
      </c>
      <c r="EX258" s="618">
        <v>26</v>
      </c>
      <c r="EY258" s="515"/>
      <c r="FC258" s="70" t="s">
        <v>25</v>
      </c>
      <c r="FD258" s="42" t="s">
        <v>1230</v>
      </c>
      <c r="FE258" s="42">
        <v>0</v>
      </c>
      <c r="FF258" s="42">
        <v>0</v>
      </c>
      <c r="FG258" s="42">
        <v>0</v>
      </c>
      <c r="FH258" s="42"/>
      <c r="FI258" s="42">
        <v>0</v>
      </c>
      <c r="FJ258" s="42">
        <v>0</v>
      </c>
      <c r="FK258" s="42">
        <v>2</v>
      </c>
      <c r="FL258" s="42">
        <v>19</v>
      </c>
      <c r="FM258" s="42">
        <v>2</v>
      </c>
      <c r="FN258" s="42">
        <v>2</v>
      </c>
      <c r="FO258" s="42">
        <v>25</v>
      </c>
      <c r="FP258" s="42"/>
      <c r="FQ258" s="42"/>
      <c r="FR258" s="516"/>
      <c r="FS258" s="516"/>
      <c r="FT258" s="516" t="s">
        <v>25</v>
      </c>
      <c r="FU258" s="516" t="s">
        <v>1230</v>
      </c>
      <c r="FV258" s="516">
        <v>0</v>
      </c>
      <c r="FW258" s="516">
        <v>0</v>
      </c>
      <c r="FX258" s="516">
        <v>0</v>
      </c>
      <c r="FY258" s="516">
        <v>0</v>
      </c>
      <c r="FZ258" s="516">
        <v>0</v>
      </c>
      <c r="GA258" s="516">
        <v>0</v>
      </c>
      <c r="GB258" s="516">
        <v>0</v>
      </c>
      <c r="GC258" s="516">
        <v>1</v>
      </c>
      <c r="GD258" s="516">
        <v>15</v>
      </c>
      <c r="GE258" s="516">
        <v>2</v>
      </c>
      <c r="GF258" s="516">
        <v>5</v>
      </c>
      <c r="GG258" s="517">
        <v>23</v>
      </c>
      <c r="GH258" s="516"/>
      <c r="GI258" s="518"/>
    </row>
    <row r="259" spans="3:191">
      <c r="C259" s="4800" t="s">
        <v>142</v>
      </c>
      <c r="D259" s="4800" t="s">
        <v>1230</v>
      </c>
      <c r="E259" s="4606">
        <v>0</v>
      </c>
      <c r="F259" s="4606"/>
      <c r="G259" s="4606"/>
      <c r="H259" s="4606"/>
      <c r="I259" s="4606">
        <v>0</v>
      </c>
      <c r="J259" s="4606"/>
      <c r="K259" s="4606">
        <v>0</v>
      </c>
      <c r="L259" s="4606">
        <v>0</v>
      </c>
      <c r="M259" s="4606">
        <v>1</v>
      </c>
      <c r="N259" s="2552"/>
      <c r="O259" s="2552"/>
      <c r="P259" s="2552">
        <v>1</v>
      </c>
      <c r="Q259" s="2552"/>
      <c r="R259" s="2552"/>
      <c r="U259" s="1793"/>
      <c r="V259" s="1793" t="s">
        <v>1239</v>
      </c>
      <c r="W259" s="4804">
        <v>0</v>
      </c>
      <c r="X259" s="4804">
        <v>0</v>
      </c>
      <c r="Y259" s="4804">
        <v>0</v>
      </c>
      <c r="Z259" s="4804">
        <v>0</v>
      </c>
      <c r="AA259" s="4804">
        <v>0</v>
      </c>
      <c r="AB259" s="4804">
        <v>0</v>
      </c>
      <c r="AC259" s="4804">
        <v>12</v>
      </c>
      <c r="AD259" s="4804">
        <v>7</v>
      </c>
      <c r="AE259" s="4702">
        <v>1</v>
      </c>
      <c r="AF259" s="4702">
        <v>20</v>
      </c>
      <c r="AG259" s="1793"/>
      <c r="AI259" s="41"/>
      <c r="AJ259" s="41"/>
      <c r="AK259" s="41"/>
      <c r="AL259" s="461" t="s">
        <v>15</v>
      </c>
      <c r="AM259" s="2002"/>
      <c r="AN259" s="2002">
        <v>1</v>
      </c>
      <c r="AO259" s="2002"/>
      <c r="AP259" s="2002"/>
      <c r="AQ259" s="2002"/>
      <c r="AR259" s="2002">
        <v>1</v>
      </c>
      <c r="AS259" s="2002">
        <v>10</v>
      </c>
      <c r="AT259" s="2002"/>
      <c r="AU259" s="2480"/>
      <c r="AV259" s="2480"/>
      <c r="AW259" s="2480">
        <v>12</v>
      </c>
      <c r="AX259" s="635">
        <f>+(AW258+AW257)/AW259</f>
        <v>0.75</v>
      </c>
      <c r="AY259" s="1977"/>
      <c r="AZ259" s="42"/>
      <c r="BA259" s="42"/>
      <c r="BB259" s="42" t="s">
        <v>547</v>
      </c>
      <c r="BC259" s="42" t="s">
        <v>1230</v>
      </c>
      <c r="BD259" s="1993"/>
      <c r="BE259" s="1993">
        <v>0</v>
      </c>
      <c r="BF259" s="1993">
        <v>0</v>
      </c>
      <c r="BG259" s="1993">
        <v>0</v>
      </c>
      <c r="BH259" s="1993">
        <v>0</v>
      </c>
      <c r="BI259" s="1993">
        <v>1</v>
      </c>
      <c r="BJ259" s="1993">
        <v>0</v>
      </c>
      <c r="BK259" s="1993">
        <v>0</v>
      </c>
      <c r="BL259" s="1993">
        <v>0</v>
      </c>
      <c r="BM259" s="70"/>
      <c r="BN259" s="70"/>
      <c r="BO259" s="70">
        <v>1</v>
      </c>
      <c r="BR259" s="105"/>
      <c r="BS259" s="105"/>
      <c r="BT259" s="41" t="s">
        <v>142</v>
      </c>
      <c r="BU259" s="41" t="s">
        <v>1231</v>
      </c>
      <c r="BV259" s="1659"/>
      <c r="BW259" s="1659">
        <v>1</v>
      </c>
      <c r="BX259" s="1659"/>
      <c r="BY259" s="1659"/>
      <c r="BZ259" s="1659"/>
      <c r="CA259" s="1659"/>
      <c r="CB259" s="1659">
        <v>9</v>
      </c>
      <c r="CC259" s="1659">
        <v>1</v>
      </c>
      <c r="CD259" s="1659">
        <v>2</v>
      </c>
      <c r="CE259" s="105"/>
      <c r="CF259" s="105"/>
      <c r="CG259" s="105">
        <v>13</v>
      </c>
      <c r="CH259" s="105"/>
      <c r="CJ259" s="1359"/>
      <c r="CK259" s="1359"/>
      <c r="CL259" s="1360" t="s">
        <v>419</v>
      </c>
      <c r="CM259" s="1361" t="s">
        <v>1230</v>
      </c>
      <c r="CN259" s="1362"/>
      <c r="CO259" s="1363">
        <v>0</v>
      </c>
      <c r="CP259" s="1363">
        <v>0</v>
      </c>
      <c r="CQ259" s="1362"/>
      <c r="CR259" s="1363">
        <v>1</v>
      </c>
      <c r="CS259" s="1363">
        <v>0</v>
      </c>
      <c r="CT259" s="1362"/>
      <c r="CU259" s="1362"/>
      <c r="CV259" s="686"/>
      <c r="CW259" s="686"/>
      <c r="CX259" s="687">
        <v>1</v>
      </c>
      <c r="CY259" s="41"/>
      <c r="DA259" s="602"/>
      <c r="DB259" s="602"/>
      <c r="DC259" s="603"/>
      <c r="DD259" s="604" t="s">
        <v>1235</v>
      </c>
      <c r="DE259" s="606">
        <v>0</v>
      </c>
      <c r="DF259" s="606">
        <v>0</v>
      </c>
      <c r="DG259" s="606">
        <v>0</v>
      </c>
      <c r="DH259" s="606">
        <v>0</v>
      </c>
      <c r="DI259" s="605"/>
      <c r="DJ259" s="606">
        <v>1</v>
      </c>
      <c r="DK259" s="606">
        <v>7</v>
      </c>
      <c r="DL259" s="606">
        <v>0</v>
      </c>
      <c r="DM259" s="607">
        <v>0</v>
      </c>
      <c r="DN259" s="602"/>
      <c r="DO259" s="607">
        <v>8</v>
      </c>
      <c r="DP259" s="105"/>
      <c r="DR259" s="608"/>
      <c r="DS259" s="608"/>
      <c r="DT259" s="608"/>
      <c r="DU259" s="609" t="s">
        <v>1239</v>
      </c>
      <c r="DV259" s="611">
        <v>0</v>
      </c>
      <c r="DW259" s="611">
        <v>0</v>
      </c>
      <c r="DX259" s="611">
        <v>0</v>
      </c>
      <c r="DY259" s="611">
        <v>0</v>
      </c>
      <c r="DZ259" s="611">
        <v>0</v>
      </c>
      <c r="EA259" s="611">
        <v>3</v>
      </c>
      <c r="EB259" s="611">
        <v>0</v>
      </c>
      <c r="EC259" s="611">
        <v>0</v>
      </c>
      <c r="ED259" s="611">
        <v>79</v>
      </c>
      <c r="EE259" s="613">
        <v>8</v>
      </c>
      <c r="EF259" s="613">
        <v>3</v>
      </c>
      <c r="EG259" s="613">
        <v>93</v>
      </c>
      <c r="EH259" s="614"/>
      <c r="EL259" s="615"/>
      <c r="EM259" s="616" t="s">
        <v>1231</v>
      </c>
      <c r="EN259" s="618">
        <v>1</v>
      </c>
      <c r="EO259" s="618">
        <v>0</v>
      </c>
      <c r="EP259" s="618">
        <v>0</v>
      </c>
      <c r="EQ259" s="618">
        <v>2</v>
      </c>
      <c r="ER259" s="618">
        <v>1</v>
      </c>
      <c r="ES259" s="618">
        <v>9</v>
      </c>
      <c r="ET259" s="618">
        <v>27</v>
      </c>
      <c r="EU259" s="618">
        <v>6</v>
      </c>
      <c r="EV259" s="618">
        <v>3</v>
      </c>
      <c r="EW259" s="618">
        <v>0</v>
      </c>
      <c r="EX259" s="618">
        <v>49</v>
      </c>
      <c r="EY259" s="515"/>
      <c r="FC259" s="70"/>
      <c r="FD259" s="42" t="s">
        <v>1231</v>
      </c>
      <c r="FE259" s="42">
        <v>2</v>
      </c>
      <c r="FF259" s="42">
        <v>3</v>
      </c>
      <c r="FG259" s="42">
        <v>2</v>
      </c>
      <c r="FH259" s="42"/>
      <c r="FI259" s="42">
        <v>0</v>
      </c>
      <c r="FJ259" s="42">
        <v>4</v>
      </c>
      <c r="FK259" s="42">
        <v>14</v>
      </c>
      <c r="FL259" s="42">
        <v>2</v>
      </c>
      <c r="FM259" s="42">
        <v>0</v>
      </c>
      <c r="FN259" s="42">
        <v>0</v>
      </c>
      <c r="FO259" s="42">
        <v>27</v>
      </c>
      <c r="FP259" s="42"/>
      <c r="FQ259" s="42"/>
      <c r="FR259" s="516"/>
      <c r="FS259" s="516"/>
      <c r="FT259" s="516"/>
      <c r="FU259" s="516" t="s">
        <v>1231</v>
      </c>
      <c r="FV259" s="516">
        <v>0</v>
      </c>
      <c r="FW259" s="516">
        <v>1</v>
      </c>
      <c r="FX259" s="516">
        <v>2</v>
      </c>
      <c r="FY259" s="516">
        <v>3</v>
      </c>
      <c r="FZ259" s="516">
        <v>1</v>
      </c>
      <c r="GA259" s="516">
        <v>0</v>
      </c>
      <c r="GB259" s="516">
        <v>8</v>
      </c>
      <c r="GC259" s="516">
        <v>7</v>
      </c>
      <c r="GD259" s="516">
        <v>0</v>
      </c>
      <c r="GE259" s="516">
        <v>0</v>
      </c>
      <c r="GF259" s="516">
        <v>0</v>
      </c>
      <c r="GG259" s="517">
        <v>22</v>
      </c>
      <c r="GH259" s="516"/>
      <c r="GI259" s="518"/>
    </row>
    <row r="260" spans="3:191">
      <c r="D260" s="4800" t="s">
        <v>1231</v>
      </c>
      <c r="E260" s="4606">
        <v>0</v>
      </c>
      <c r="F260" s="4606"/>
      <c r="G260" s="4606"/>
      <c r="H260" s="4606"/>
      <c r="I260" s="4606">
        <v>1</v>
      </c>
      <c r="J260" s="4606"/>
      <c r="K260" s="4606">
        <v>3</v>
      </c>
      <c r="L260" s="4606">
        <v>2</v>
      </c>
      <c r="M260" s="4606">
        <v>0</v>
      </c>
      <c r="N260" s="2552"/>
      <c r="O260" s="2552"/>
      <c r="P260" s="2552">
        <v>6</v>
      </c>
      <c r="Q260" s="2552"/>
      <c r="R260" s="2552"/>
      <c r="U260" s="1793"/>
      <c r="V260" s="1793" t="s">
        <v>1240</v>
      </c>
      <c r="W260" s="4804">
        <v>0</v>
      </c>
      <c r="X260" s="4804">
        <v>0</v>
      </c>
      <c r="Y260" s="4804">
        <v>0</v>
      </c>
      <c r="Z260" s="4804">
        <v>0</v>
      </c>
      <c r="AA260" s="4804">
        <v>0</v>
      </c>
      <c r="AB260" s="4804">
        <v>2</v>
      </c>
      <c r="AC260" s="4804">
        <v>4</v>
      </c>
      <c r="AD260" s="4804">
        <v>1</v>
      </c>
      <c r="AE260" s="4702">
        <v>0</v>
      </c>
      <c r="AF260" s="4702">
        <v>7</v>
      </c>
      <c r="AG260" s="1793"/>
      <c r="AI260" s="41"/>
      <c r="AJ260" s="41"/>
      <c r="AK260" s="41" t="s">
        <v>140</v>
      </c>
      <c r="AL260" s="41" t="s">
        <v>1231</v>
      </c>
      <c r="AM260" s="2001"/>
      <c r="AN260" s="2001">
        <v>1</v>
      </c>
      <c r="AO260" s="2001"/>
      <c r="AP260" s="2001"/>
      <c r="AQ260" s="2001">
        <v>3</v>
      </c>
      <c r="AR260" s="2001">
        <v>5</v>
      </c>
      <c r="AS260" s="2001"/>
      <c r="AT260" s="2001"/>
      <c r="AU260" s="105"/>
      <c r="AV260" s="105"/>
      <c r="AW260" s="105">
        <v>9</v>
      </c>
      <c r="AX260" s="41"/>
      <c r="AZ260" s="42"/>
      <c r="BA260" s="42"/>
      <c r="BB260" s="42"/>
      <c r="BC260" s="42" t="s">
        <v>1231</v>
      </c>
      <c r="BD260" s="1993"/>
      <c r="BE260" s="1993">
        <v>2</v>
      </c>
      <c r="BF260" s="1993">
        <v>2</v>
      </c>
      <c r="BG260" s="1993">
        <v>0</v>
      </c>
      <c r="BH260" s="1993">
        <v>0</v>
      </c>
      <c r="BI260" s="1993">
        <v>2</v>
      </c>
      <c r="BJ260" s="1993">
        <v>38</v>
      </c>
      <c r="BK260" s="1993">
        <v>10</v>
      </c>
      <c r="BL260" s="1993">
        <v>2</v>
      </c>
      <c r="BM260" s="70"/>
      <c r="BN260" s="70"/>
      <c r="BO260" s="70">
        <v>56</v>
      </c>
      <c r="BR260" s="105"/>
      <c r="BS260" s="105"/>
      <c r="BT260" s="41"/>
      <c r="BU260" s="41" t="s">
        <v>1235</v>
      </c>
      <c r="BV260" s="1659"/>
      <c r="BW260" s="1659">
        <v>0</v>
      </c>
      <c r="BX260" s="1659"/>
      <c r="BY260" s="1659"/>
      <c r="BZ260" s="1659"/>
      <c r="CA260" s="1659"/>
      <c r="CB260" s="1659">
        <v>2</v>
      </c>
      <c r="CC260" s="1659">
        <v>0</v>
      </c>
      <c r="CD260" s="1659">
        <v>0</v>
      </c>
      <c r="CE260" s="105"/>
      <c r="CF260" s="105"/>
      <c r="CG260" s="105">
        <v>2</v>
      </c>
      <c r="CH260" s="105"/>
      <c r="CJ260" s="1359"/>
      <c r="CK260" s="1359"/>
      <c r="CL260" s="1360"/>
      <c r="CM260" s="1361" t="s">
        <v>1231</v>
      </c>
      <c r="CN260" s="1362"/>
      <c r="CO260" s="1363">
        <v>1</v>
      </c>
      <c r="CP260" s="1363">
        <v>2</v>
      </c>
      <c r="CQ260" s="1362"/>
      <c r="CR260" s="1363">
        <v>0</v>
      </c>
      <c r="CS260" s="1363">
        <v>17</v>
      </c>
      <c r="CT260" s="1362"/>
      <c r="CU260" s="1362"/>
      <c r="CV260" s="686"/>
      <c r="CW260" s="686"/>
      <c r="CX260" s="687">
        <v>20</v>
      </c>
      <c r="CY260" s="41"/>
      <c r="DA260" s="602"/>
      <c r="DB260" s="602"/>
      <c r="DC260" s="603"/>
      <c r="DD260" s="604" t="s">
        <v>1236</v>
      </c>
      <c r="DE260" s="606">
        <v>1</v>
      </c>
      <c r="DF260" s="606">
        <v>0</v>
      </c>
      <c r="DG260" s="606">
        <v>1</v>
      </c>
      <c r="DH260" s="606">
        <v>1</v>
      </c>
      <c r="DI260" s="605"/>
      <c r="DJ260" s="606">
        <v>0</v>
      </c>
      <c r="DK260" s="606">
        <v>0</v>
      </c>
      <c r="DL260" s="606">
        <v>0</v>
      </c>
      <c r="DM260" s="607">
        <v>0</v>
      </c>
      <c r="DN260" s="602"/>
      <c r="DO260" s="607">
        <v>3</v>
      </c>
      <c r="DP260" s="105"/>
      <c r="DR260" s="608"/>
      <c r="DS260" s="608"/>
      <c r="DT260" s="608"/>
      <c r="DU260" s="609" t="s">
        <v>1240</v>
      </c>
      <c r="DV260" s="611">
        <v>0</v>
      </c>
      <c r="DW260" s="611">
        <v>0</v>
      </c>
      <c r="DX260" s="611">
        <v>0</v>
      </c>
      <c r="DY260" s="611">
        <v>5</v>
      </c>
      <c r="DZ260" s="611">
        <v>1</v>
      </c>
      <c r="EA260" s="611">
        <v>5</v>
      </c>
      <c r="EB260" s="611">
        <v>20</v>
      </c>
      <c r="EC260" s="611">
        <v>4</v>
      </c>
      <c r="ED260" s="611">
        <v>3</v>
      </c>
      <c r="EE260" s="613">
        <v>1</v>
      </c>
      <c r="EF260" s="613">
        <v>1</v>
      </c>
      <c r="EG260" s="613">
        <v>40</v>
      </c>
      <c r="EH260" s="614"/>
      <c r="EL260" s="615"/>
      <c r="EM260" s="616" t="s">
        <v>1233</v>
      </c>
      <c r="EN260" s="618">
        <v>0</v>
      </c>
      <c r="EO260" s="618">
        <v>1</v>
      </c>
      <c r="EP260" s="618">
        <v>0</v>
      </c>
      <c r="EQ260" s="618">
        <v>0</v>
      </c>
      <c r="ER260" s="618">
        <v>0</v>
      </c>
      <c r="ES260" s="618">
        <v>0</v>
      </c>
      <c r="ET260" s="618">
        <v>0</v>
      </c>
      <c r="EU260" s="618">
        <v>0</v>
      </c>
      <c r="EV260" s="618">
        <v>0</v>
      </c>
      <c r="EW260" s="618">
        <v>0</v>
      </c>
      <c r="EX260" s="618">
        <v>1</v>
      </c>
      <c r="EY260" s="515"/>
      <c r="FC260" s="70"/>
      <c r="FD260" s="42" t="s">
        <v>1235</v>
      </c>
      <c r="FE260" s="42">
        <v>0</v>
      </c>
      <c r="FF260" s="42">
        <v>0</v>
      </c>
      <c r="FG260" s="42">
        <v>0</v>
      </c>
      <c r="FH260" s="42"/>
      <c r="FI260" s="42">
        <v>0</v>
      </c>
      <c r="FJ260" s="42">
        <v>8</v>
      </c>
      <c r="FK260" s="42">
        <v>24</v>
      </c>
      <c r="FL260" s="42">
        <v>2</v>
      </c>
      <c r="FM260" s="42">
        <v>0</v>
      </c>
      <c r="FN260" s="42">
        <v>0</v>
      </c>
      <c r="FO260" s="42">
        <v>34</v>
      </c>
      <c r="FP260" s="42"/>
      <c r="FQ260" s="42"/>
      <c r="FR260" s="516"/>
      <c r="FS260" s="516"/>
      <c r="FT260" s="516"/>
      <c r="FU260" s="516" t="s">
        <v>1233</v>
      </c>
      <c r="FV260" s="516">
        <v>0</v>
      </c>
      <c r="FW260" s="516">
        <v>1</v>
      </c>
      <c r="FX260" s="516">
        <v>1</v>
      </c>
      <c r="FY260" s="516">
        <v>1</v>
      </c>
      <c r="FZ260" s="516">
        <v>0</v>
      </c>
      <c r="GA260" s="516">
        <v>0</v>
      </c>
      <c r="GB260" s="516">
        <v>0</v>
      </c>
      <c r="GC260" s="516">
        <v>0</v>
      </c>
      <c r="GD260" s="516">
        <v>0</v>
      </c>
      <c r="GE260" s="516">
        <v>0</v>
      </c>
      <c r="GF260" s="516">
        <v>0</v>
      </c>
      <c r="GG260" s="517">
        <v>3</v>
      </c>
      <c r="GH260" s="516"/>
      <c r="GI260" s="518"/>
    </row>
    <row r="261" spans="3:191">
      <c r="D261" s="4800" t="s">
        <v>1235</v>
      </c>
      <c r="E261" s="4606">
        <v>0</v>
      </c>
      <c r="F261" s="4606"/>
      <c r="G261" s="4606"/>
      <c r="H261" s="4606"/>
      <c r="I261" s="4606">
        <v>0</v>
      </c>
      <c r="J261" s="4606"/>
      <c r="K261" s="4606">
        <v>2</v>
      </c>
      <c r="L261" s="4606">
        <v>3</v>
      </c>
      <c r="M261" s="4606">
        <v>0</v>
      </c>
      <c r="N261" s="2552"/>
      <c r="O261" s="2552"/>
      <c r="P261" s="2552">
        <v>5</v>
      </c>
      <c r="Q261" s="2552"/>
      <c r="R261" s="2552"/>
      <c r="U261" s="1793"/>
      <c r="V261" s="1793" t="s">
        <v>1344</v>
      </c>
      <c r="W261" s="4804">
        <v>0</v>
      </c>
      <c r="X261" s="4804">
        <v>0</v>
      </c>
      <c r="Y261" s="4804">
        <v>0</v>
      </c>
      <c r="Z261" s="4804">
        <v>0</v>
      </c>
      <c r="AA261" s="4804">
        <v>0</v>
      </c>
      <c r="AB261" s="4804">
        <v>3</v>
      </c>
      <c r="AC261" s="4804">
        <v>3</v>
      </c>
      <c r="AD261" s="4804">
        <v>0</v>
      </c>
      <c r="AE261" s="4702">
        <v>0</v>
      </c>
      <c r="AF261" s="4702">
        <v>6</v>
      </c>
      <c r="AG261" s="1793"/>
      <c r="AI261" s="41"/>
      <c r="AJ261" s="41"/>
      <c r="AK261" s="41"/>
      <c r="AL261" s="41" t="s">
        <v>1235</v>
      </c>
      <c r="AM261" s="2001"/>
      <c r="AN261" s="2001">
        <v>0</v>
      </c>
      <c r="AO261" s="2001"/>
      <c r="AP261" s="2001"/>
      <c r="AQ261" s="2001">
        <v>1</v>
      </c>
      <c r="AR261" s="2001">
        <v>0</v>
      </c>
      <c r="AS261" s="2001"/>
      <c r="AT261" s="2001"/>
      <c r="AU261" s="105"/>
      <c r="AV261" s="105"/>
      <c r="AW261" s="105">
        <v>1</v>
      </c>
      <c r="AX261" s="41"/>
      <c r="AZ261" s="42"/>
      <c r="BA261" s="42"/>
      <c r="BB261" s="42"/>
      <c r="BC261" s="42" t="s">
        <v>1233</v>
      </c>
      <c r="BD261" s="1993"/>
      <c r="BE261" s="1993">
        <v>1</v>
      </c>
      <c r="BF261" s="1993">
        <v>0</v>
      </c>
      <c r="BG261" s="1993">
        <v>1</v>
      </c>
      <c r="BH261" s="1993">
        <v>0</v>
      </c>
      <c r="BI261" s="1993">
        <v>0</v>
      </c>
      <c r="BJ261" s="1993">
        <v>0</v>
      </c>
      <c r="BK261" s="1993">
        <v>0</v>
      </c>
      <c r="BL261" s="1993">
        <v>0</v>
      </c>
      <c r="BM261" s="70"/>
      <c r="BN261" s="70"/>
      <c r="BO261" s="70">
        <v>2</v>
      </c>
      <c r="BR261" s="105"/>
      <c r="BS261" s="105"/>
      <c r="BT261" s="41"/>
      <c r="BU261" s="41" t="s">
        <v>1239</v>
      </c>
      <c r="BV261" s="1659"/>
      <c r="BW261" s="1659">
        <v>0</v>
      </c>
      <c r="BX261" s="1659"/>
      <c r="BY261" s="1659"/>
      <c r="BZ261" s="1659"/>
      <c r="CA261" s="1659"/>
      <c r="CB261" s="1659">
        <v>0</v>
      </c>
      <c r="CC261" s="1659">
        <v>0</v>
      </c>
      <c r="CD261" s="1659">
        <v>1</v>
      </c>
      <c r="CE261" s="105"/>
      <c r="CF261" s="105"/>
      <c r="CG261" s="105">
        <v>1</v>
      </c>
      <c r="CH261" s="105"/>
      <c r="CJ261" s="1359"/>
      <c r="CK261" s="1359"/>
      <c r="CL261" s="1360"/>
      <c r="CM261" s="1361" t="s">
        <v>1233</v>
      </c>
      <c r="CN261" s="1362"/>
      <c r="CO261" s="1363">
        <v>0</v>
      </c>
      <c r="CP261" s="1363">
        <v>1</v>
      </c>
      <c r="CQ261" s="1362"/>
      <c r="CR261" s="1363">
        <v>0</v>
      </c>
      <c r="CS261" s="1363">
        <v>0</v>
      </c>
      <c r="CT261" s="1362"/>
      <c r="CU261" s="1362"/>
      <c r="CV261" s="686"/>
      <c r="CW261" s="686"/>
      <c r="CX261" s="687">
        <v>1</v>
      </c>
      <c r="CY261" s="41"/>
      <c r="DA261" s="602"/>
      <c r="DB261" s="602"/>
      <c r="DC261" s="603"/>
      <c r="DD261" s="604" t="s">
        <v>1239</v>
      </c>
      <c r="DE261" s="606">
        <v>0</v>
      </c>
      <c r="DF261" s="606">
        <v>0</v>
      </c>
      <c r="DG261" s="606">
        <v>0</v>
      </c>
      <c r="DH261" s="606">
        <v>0</v>
      </c>
      <c r="DI261" s="605"/>
      <c r="DJ261" s="606">
        <v>0</v>
      </c>
      <c r="DK261" s="606">
        <v>0</v>
      </c>
      <c r="DL261" s="606">
        <v>8</v>
      </c>
      <c r="DM261" s="607">
        <v>2</v>
      </c>
      <c r="DN261" s="602"/>
      <c r="DO261" s="607">
        <v>10</v>
      </c>
      <c r="DP261" s="105"/>
      <c r="DR261" s="608"/>
      <c r="DS261" s="608"/>
      <c r="DT261" s="608"/>
      <c r="DU261" s="609" t="s">
        <v>1344</v>
      </c>
      <c r="DV261" s="611">
        <v>1</v>
      </c>
      <c r="DW261" s="611">
        <v>0</v>
      </c>
      <c r="DX261" s="611">
        <v>0</v>
      </c>
      <c r="DY261" s="611">
        <v>6</v>
      </c>
      <c r="DZ261" s="611">
        <v>4</v>
      </c>
      <c r="EA261" s="611">
        <v>5</v>
      </c>
      <c r="EB261" s="611">
        <v>34</v>
      </c>
      <c r="EC261" s="611">
        <v>8</v>
      </c>
      <c r="ED261" s="611">
        <v>2</v>
      </c>
      <c r="EE261" s="613">
        <v>0</v>
      </c>
      <c r="EF261" s="613">
        <v>0</v>
      </c>
      <c r="EG261" s="613">
        <v>60</v>
      </c>
      <c r="EH261" s="614"/>
      <c r="EL261" s="615"/>
      <c r="EM261" s="616" t="s">
        <v>1235</v>
      </c>
      <c r="EN261" s="618">
        <v>0</v>
      </c>
      <c r="EO261" s="618">
        <v>0</v>
      </c>
      <c r="EP261" s="618">
        <v>9</v>
      </c>
      <c r="EQ261" s="618">
        <v>0</v>
      </c>
      <c r="ER261" s="618">
        <v>0</v>
      </c>
      <c r="ES261" s="618">
        <v>13</v>
      </c>
      <c r="ET261" s="618">
        <v>48</v>
      </c>
      <c r="EU261" s="618">
        <v>1</v>
      </c>
      <c r="EV261" s="618">
        <v>1</v>
      </c>
      <c r="EW261" s="618">
        <v>0</v>
      </c>
      <c r="EX261" s="618">
        <v>72</v>
      </c>
      <c r="EY261" s="515"/>
      <c r="FC261" s="70"/>
      <c r="FD261" s="42" t="s">
        <v>1236</v>
      </c>
      <c r="FE261" s="42">
        <v>0</v>
      </c>
      <c r="FF261" s="42">
        <v>1</v>
      </c>
      <c r="FG261" s="42">
        <v>0</v>
      </c>
      <c r="FH261" s="42"/>
      <c r="FI261" s="42">
        <v>1</v>
      </c>
      <c r="FJ261" s="42">
        <v>0</v>
      </c>
      <c r="FK261" s="42">
        <v>0</v>
      </c>
      <c r="FL261" s="42">
        <v>0</v>
      </c>
      <c r="FM261" s="42">
        <v>0</v>
      </c>
      <c r="FN261" s="42">
        <v>0</v>
      </c>
      <c r="FO261" s="42">
        <v>2</v>
      </c>
      <c r="FP261" s="42"/>
      <c r="FQ261" s="42"/>
      <c r="FR261" s="516"/>
      <c r="FS261" s="516"/>
      <c r="FT261" s="516"/>
      <c r="FU261" s="516" t="s">
        <v>1235</v>
      </c>
      <c r="FV261" s="516">
        <v>0</v>
      </c>
      <c r="FW261" s="516">
        <v>0</v>
      </c>
      <c r="FX261" s="516">
        <v>0</v>
      </c>
      <c r="FY261" s="516">
        <v>10</v>
      </c>
      <c r="FZ261" s="516">
        <v>2</v>
      </c>
      <c r="GA261" s="516">
        <v>0</v>
      </c>
      <c r="GB261" s="516">
        <v>14</v>
      </c>
      <c r="GC261" s="516">
        <v>17</v>
      </c>
      <c r="GD261" s="516">
        <v>0</v>
      </c>
      <c r="GE261" s="516">
        <v>1</v>
      </c>
      <c r="GF261" s="516">
        <v>0</v>
      </c>
      <c r="GG261" s="517">
        <v>44</v>
      </c>
      <c r="GH261" s="516"/>
      <c r="GI261" s="518"/>
    </row>
    <row r="262" spans="3:191" ht="15" thickBot="1">
      <c r="D262" s="4800" t="s">
        <v>1239</v>
      </c>
      <c r="E262" s="4606">
        <v>0</v>
      </c>
      <c r="F262" s="4606"/>
      <c r="G262" s="4606"/>
      <c r="H262" s="4606"/>
      <c r="I262" s="4606">
        <v>0</v>
      </c>
      <c r="J262" s="4606"/>
      <c r="K262" s="4606">
        <v>0</v>
      </c>
      <c r="L262" s="4606">
        <v>3</v>
      </c>
      <c r="M262" s="4606">
        <v>5</v>
      </c>
      <c r="N262" s="2552"/>
      <c r="O262" s="2552"/>
      <c r="P262" s="2552">
        <v>8</v>
      </c>
      <c r="Q262" s="2552"/>
      <c r="R262" s="2552"/>
      <c r="U262" s="1793"/>
      <c r="V262" s="1793" t="s">
        <v>547</v>
      </c>
      <c r="W262" s="4804">
        <v>4</v>
      </c>
      <c r="X262" s="4804">
        <v>3</v>
      </c>
      <c r="Y262" s="4804">
        <v>1</v>
      </c>
      <c r="Z262" s="4804">
        <v>1</v>
      </c>
      <c r="AA262" s="4804">
        <v>1</v>
      </c>
      <c r="AB262" s="4804">
        <v>46</v>
      </c>
      <c r="AC262" s="4804">
        <v>25</v>
      </c>
      <c r="AD262" s="4804">
        <v>10</v>
      </c>
      <c r="AE262" s="4702">
        <v>1</v>
      </c>
      <c r="AF262" s="4702">
        <v>92</v>
      </c>
      <c r="AG262" s="4703">
        <f>+(AF258+AF260+AF261)/AF262</f>
        <v>0.20652173913043478</v>
      </c>
      <c r="AI262" s="41"/>
      <c r="AJ262" s="41"/>
      <c r="AK262" s="41"/>
      <c r="AL262" s="41" t="s">
        <v>1240</v>
      </c>
      <c r="AM262" s="2001"/>
      <c r="AN262" s="2001">
        <v>0</v>
      </c>
      <c r="AO262" s="2001"/>
      <c r="AP262" s="2001"/>
      <c r="AQ262" s="2001">
        <v>3</v>
      </c>
      <c r="AR262" s="2001">
        <v>1</v>
      </c>
      <c r="AS262" s="2001"/>
      <c r="AT262" s="2001"/>
      <c r="AU262" s="105"/>
      <c r="AV262" s="105"/>
      <c r="AW262" s="105">
        <v>4</v>
      </c>
      <c r="AX262" s="41"/>
      <c r="AZ262" s="42"/>
      <c r="BA262" s="42"/>
      <c r="BB262" s="42"/>
      <c r="BC262" s="42" t="s">
        <v>1235</v>
      </c>
      <c r="BD262" s="1993"/>
      <c r="BE262" s="1993">
        <v>0</v>
      </c>
      <c r="BF262" s="1993">
        <v>0</v>
      </c>
      <c r="BG262" s="1993">
        <v>0</v>
      </c>
      <c r="BH262" s="1993">
        <v>0</v>
      </c>
      <c r="BI262" s="1993">
        <v>0</v>
      </c>
      <c r="BJ262" s="1993">
        <v>6</v>
      </c>
      <c r="BK262" s="1993">
        <v>1</v>
      </c>
      <c r="BL262" s="1993">
        <v>0</v>
      </c>
      <c r="BM262" s="70"/>
      <c r="BN262" s="70"/>
      <c r="BO262" s="70">
        <v>7</v>
      </c>
      <c r="BR262" s="105"/>
      <c r="BS262" s="105"/>
      <c r="BT262" s="41"/>
      <c r="BU262" s="41" t="s">
        <v>1240</v>
      </c>
      <c r="BV262" s="1659"/>
      <c r="BW262" s="1659">
        <v>0</v>
      </c>
      <c r="BX262" s="1659"/>
      <c r="BY262" s="1659"/>
      <c r="BZ262" s="1659"/>
      <c r="CA262" s="1659"/>
      <c r="CB262" s="1659">
        <v>2</v>
      </c>
      <c r="CC262" s="1659">
        <v>4</v>
      </c>
      <c r="CD262" s="1659">
        <v>0</v>
      </c>
      <c r="CE262" s="105"/>
      <c r="CF262" s="105"/>
      <c r="CG262" s="105">
        <v>6</v>
      </c>
      <c r="CH262" s="105"/>
      <c r="CJ262" s="1359"/>
      <c r="CK262" s="1359"/>
      <c r="CL262" s="1360"/>
      <c r="CM262" s="1361" t="s">
        <v>1239</v>
      </c>
      <c r="CN262" s="1362"/>
      <c r="CO262" s="1363">
        <v>0</v>
      </c>
      <c r="CP262" s="1363">
        <v>0</v>
      </c>
      <c r="CQ262" s="1362"/>
      <c r="CR262" s="1363">
        <v>1</v>
      </c>
      <c r="CS262" s="1363">
        <v>0</v>
      </c>
      <c r="CT262" s="1362"/>
      <c r="CU262" s="1362"/>
      <c r="CV262" s="686"/>
      <c r="CW262" s="686"/>
      <c r="CX262" s="687">
        <v>1</v>
      </c>
      <c r="CY262" s="41"/>
      <c r="DA262" s="602"/>
      <c r="DB262" s="602"/>
      <c r="DC262" s="603"/>
      <c r="DD262" s="604" t="s">
        <v>1240</v>
      </c>
      <c r="DE262" s="606">
        <v>0</v>
      </c>
      <c r="DF262" s="606">
        <v>0</v>
      </c>
      <c r="DG262" s="606">
        <v>1</v>
      </c>
      <c r="DH262" s="606">
        <v>0</v>
      </c>
      <c r="DI262" s="605"/>
      <c r="DJ262" s="606">
        <v>2</v>
      </c>
      <c r="DK262" s="606">
        <v>3</v>
      </c>
      <c r="DL262" s="606">
        <v>1</v>
      </c>
      <c r="DM262" s="607">
        <v>0</v>
      </c>
      <c r="DN262" s="602"/>
      <c r="DO262" s="607">
        <v>7</v>
      </c>
      <c r="DP262" s="105"/>
      <c r="DR262" s="645"/>
      <c r="DS262" s="645"/>
      <c r="DT262" s="645"/>
      <c r="DU262" s="646" t="s">
        <v>113</v>
      </c>
      <c r="DV262" s="647">
        <v>4</v>
      </c>
      <c r="DW262" s="647">
        <v>13</v>
      </c>
      <c r="DX262" s="647">
        <v>10</v>
      </c>
      <c r="DY262" s="647">
        <v>44</v>
      </c>
      <c r="DZ262" s="647">
        <v>18</v>
      </c>
      <c r="EA262" s="647">
        <v>30</v>
      </c>
      <c r="EB262" s="647">
        <v>167</v>
      </c>
      <c r="EC262" s="647">
        <v>85</v>
      </c>
      <c r="ED262" s="647">
        <v>112</v>
      </c>
      <c r="EE262" s="648">
        <v>16</v>
      </c>
      <c r="EF262" s="648">
        <v>13</v>
      </c>
      <c r="EG262" s="648">
        <v>512</v>
      </c>
      <c r="EH262" s="649">
        <f>+(EG261+EG260+EG257-EF260-EE260-EF257-EE257)/EG262</f>
        <v>0.33203125</v>
      </c>
      <c r="EL262" s="615"/>
      <c r="EM262" s="616" t="s">
        <v>1236</v>
      </c>
      <c r="EN262" s="618">
        <v>0</v>
      </c>
      <c r="EO262" s="618">
        <v>0</v>
      </c>
      <c r="EP262" s="618">
        <v>1</v>
      </c>
      <c r="EQ262" s="618">
        <v>0</v>
      </c>
      <c r="ER262" s="618">
        <v>3</v>
      </c>
      <c r="ES262" s="618">
        <v>3</v>
      </c>
      <c r="ET262" s="618">
        <v>1</v>
      </c>
      <c r="EU262" s="618">
        <v>0</v>
      </c>
      <c r="EV262" s="618">
        <v>0</v>
      </c>
      <c r="EW262" s="618">
        <v>0</v>
      </c>
      <c r="EX262" s="618">
        <v>8</v>
      </c>
      <c r="EY262" s="515"/>
      <c r="FC262" s="70"/>
      <c r="FD262" s="42" t="s">
        <v>1239</v>
      </c>
      <c r="FE262" s="42">
        <v>0</v>
      </c>
      <c r="FF262" s="42">
        <v>0</v>
      </c>
      <c r="FG262" s="42">
        <v>0</v>
      </c>
      <c r="FH262" s="42"/>
      <c r="FI262" s="42">
        <v>0</v>
      </c>
      <c r="FJ262" s="42">
        <v>0</v>
      </c>
      <c r="FK262" s="42">
        <v>1</v>
      </c>
      <c r="FL262" s="42">
        <v>55</v>
      </c>
      <c r="FM262" s="42">
        <v>1</v>
      </c>
      <c r="FN262" s="42">
        <v>3</v>
      </c>
      <c r="FO262" s="42">
        <v>60</v>
      </c>
      <c r="FP262" s="42"/>
      <c r="FQ262" s="42"/>
      <c r="FR262" s="516"/>
      <c r="FS262" s="516"/>
      <c r="FT262" s="516"/>
      <c r="FU262" s="516" t="s">
        <v>1236</v>
      </c>
      <c r="FV262" s="516">
        <v>0</v>
      </c>
      <c r="FW262" s="516">
        <v>0</v>
      </c>
      <c r="FX262" s="516">
        <v>1</v>
      </c>
      <c r="FY262" s="516">
        <v>1</v>
      </c>
      <c r="FZ262" s="516">
        <v>2</v>
      </c>
      <c r="GA262" s="516">
        <v>1</v>
      </c>
      <c r="GB262" s="516">
        <v>2</v>
      </c>
      <c r="GC262" s="516">
        <v>0</v>
      </c>
      <c r="GD262" s="516">
        <v>0</v>
      </c>
      <c r="GE262" s="516">
        <v>0</v>
      </c>
      <c r="GF262" s="516">
        <v>0</v>
      </c>
      <c r="GG262" s="517">
        <v>7</v>
      </c>
      <c r="GH262" s="516"/>
      <c r="GI262" s="518"/>
    </row>
    <row r="263" spans="3:191">
      <c r="D263" s="4800" t="s">
        <v>2963</v>
      </c>
      <c r="E263" s="4606">
        <v>1</v>
      </c>
      <c r="F263" s="4606"/>
      <c r="G263" s="4606"/>
      <c r="H263" s="4606"/>
      <c r="I263" s="4606">
        <v>0</v>
      </c>
      <c r="J263" s="4606"/>
      <c r="K263" s="4606">
        <v>0</v>
      </c>
      <c r="L263" s="4606">
        <v>0</v>
      </c>
      <c r="M263" s="4606">
        <v>0</v>
      </c>
      <c r="N263" s="2552"/>
      <c r="O263" s="2552"/>
      <c r="P263" s="2552">
        <v>1</v>
      </c>
      <c r="Q263" s="2552"/>
      <c r="R263" s="2552"/>
      <c r="T263" s="37" t="s">
        <v>21</v>
      </c>
      <c r="U263" s="37" t="s">
        <v>143</v>
      </c>
      <c r="V263" s="37" t="s">
        <v>1231</v>
      </c>
      <c r="W263" s="4803"/>
      <c r="X263" s="4803"/>
      <c r="Y263" s="4803"/>
      <c r="Z263" s="4803"/>
      <c r="AA263" s="4803">
        <v>1</v>
      </c>
      <c r="AB263" s="4803">
        <v>22</v>
      </c>
      <c r="AC263" s="4803"/>
      <c r="AD263" s="4803"/>
      <c r="AE263" s="1788"/>
      <c r="AF263" s="1788">
        <v>23</v>
      </c>
      <c r="AI263" s="41"/>
      <c r="AJ263" s="41"/>
      <c r="AK263" s="41"/>
      <c r="AL263" s="461" t="s">
        <v>15</v>
      </c>
      <c r="AM263" s="2002"/>
      <c r="AN263" s="2002">
        <v>1</v>
      </c>
      <c r="AO263" s="2002"/>
      <c r="AP263" s="2002"/>
      <c r="AQ263" s="2002">
        <v>7</v>
      </c>
      <c r="AR263" s="2002">
        <v>6</v>
      </c>
      <c r="AS263" s="2002"/>
      <c r="AT263" s="2002"/>
      <c r="AU263" s="2480"/>
      <c r="AV263" s="2480"/>
      <c r="AW263" s="2480">
        <v>14</v>
      </c>
      <c r="AX263" s="635">
        <f>+(AW262+AW261)/AW263</f>
        <v>0.35714285714285715</v>
      </c>
      <c r="AY263" s="1977"/>
      <c r="AZ263" s="42"/>
      <c r="BA263" s="42"/>
      <c r="BB263" s="42"/>
      <c r="BC263" s="42" t="s">
        <v>1236</v>
      </c>
      <c r="BD263" s="1993"/>
      <c r="BE263" s="1993">
        <v>0</v>
      </c>
      <c r="BF263" s="1993">
        <v>0</v>
      </c>
      <c r="BG263" s="1993">
        <v>0</v>
      </c>
      <c r="BH263" s="1993">
        <v>1</v>
      </c>
      <c r="BI263" s="1993">
        <v>0</v>
      </c>
      <c r="BJ263" s="1993">
        <v>0</v>
      </c>
      <c r="BK263" s="1993">
        <v>0</v>
      </c>
      <c r="BL263" s="1993">
        <v>0</v>
      </c>
      <c r="BM263" s="70"/>
      <c r="BN263" s="70"/>
      <c r="BO263" s="70">
        <v>1</v>
      </c>
      <c r="BR263" s="105"/>
      <c r="BS263" s="105"/>
      <c r="BT263" s="41"/>
      <c r="BU263" s="41" t="s">
        <v>1344</v>
      </c>
      <c r="BV263" s="1659"/>
      <c r="BW263" s="1659">
        <v>0</v>
      </c>
      <c r="BX263" s="1659"/>
      <c r="BY263" s="1659"/>
      <c r="BZ263" s="1659"/>
      <c r="CA263" s="1659"/>
      <c r="CB263" s="1659">
        <v>2</v>
      </c>
      <c r="CC263" s="1659">
        <v>0</v>
      </c>
      <c r="CD263" s="1659">
        <v>0</v>
      </c>
      <c r="CE263" s="105"/>
      <c r="CF263" s="105"/>
      <c r="CG263" s="105">
        <v>2</v>
      </c>
      <c r="CH263" s="105"/>
      <c r="CJ263" s="1359"/>
      <c r="CK263" s="1359"/>
      <c r="CL263" s="1360"/>
      <c r="CM263" s="483" t="s">
        <v>15</v>
      </c>
      <c r="CN263" s="1364"/>
      <c r="CO263" s="1365">
        <v>1</v>
      </c>
      <c r="CP263" s="1365">
        <v>3</v>
      </c>
      <c r="CQ263" s="1364"/>
      <c r="CR263" s="1365">
        <v>2</v>
      </c>
      <c r="CS263" s="1365">
        <v>17</v>
      </c>
      <c r="CT263" s="1364"/>
      <c r="CU263" s="1364"/>
      <c r="CV263" s="695"/>
      <c r="CW263" s="695"/>
      <c r="CX263" s="696">
        <v>23</v>
      </c>
      <c r="CY263" s="1325">
        <v>0</v>
      </c>
      <c r="DA263" s="602"/>
      <c r="DB263" s="602"/>
      <c r="DC263" s="603"/>
      <c r="DD263" s="604" t="s">
        <v>1344</v>
      </c>
      <c r="DE263" s="606">
        <v>0</v>
      </c>
      <c r="DF263" s="606">
        <v>0</v>
      </c>
      <c r="DG263" s="606">
        <v>1</v>
      </c>
      <c r="DH263" s="606">
        <v>5</v>
      </c>
      <c r="DI263" s="605"/>
      <c r="DJ263" s="606">
        <v>4</v>
      </c>
      <c r="DK263" s="606">
        <v>2</v>
      </c>
      <c r="DL263" s="606">
        <v>2</v>
      </c>
      <c r="DM263" s="607">
        <v>0</v>
      </c>
      <c r="DN263" s="602"/>
      <c r="DO263" s="607">
        <v>14</v>
      </c>
      <c r="DP263" s="105"/>
      <c r="EL263" s="615"/>
      <c r="EM263" s="616" t="s">
        <v>1239</v>
      </c>
      <c r="EN263" s="618">
        <v>0</v>
      </c>
      <c r="EO263" s="618">
        <v>0</v>
      </c>
      <c r="EP263" s="618">
        <v>0</v>
      </c>
      <c r="EQ263" s="618">
        <v>0</v>
      </c>
      <c r="ER263" s="618">
        <v>0</v>
      </c>
      <c r="ES263" s="618">
        <v>0</v>
      </c>
      <c r="ET263" s="618">
        <v>2</v>
      </c>
      <c r="EU263" s="618">
        <v>75</v>
      </c>
      <c r="EV263" s="618">
        <v>5</v>
      </c>
      <c r="EW263" s="618">
        <v>2</v>
      </c>
      <c r="EX263" s="618">
        <v>84</v>
      </c>
      <c r="EY263" s="515"/>
      <c r="FC263" s="70"/>
      <c r="FD263" s="42" t="s">
        <v>1240</v>
      </c>
      <c r="FE263" s="42">
        <v>0</v>
      </c>
      <c r="FF263" s="42">
        <v>0</v>
      </c>
      <c r="FG263" s="42">
        <v>0</v>
      </c>
      <c r="FH263" s="42"/>
      <c r="FI263" s="42">
        <v>0</v>
      </c>
      <c r="FJ263" s="42">
        <v>0</v>
      </c>
      <c r="FK263" s="42">
        <v>4</v>
      </c>
      <c r="FL263" s="42">
        <v>0</v>
      </c>
      <c r="FM263" s="42">
        <v>0</v>
      </c>
      <c r="FN263" s="42">
        <v>0</v>
      </c>
      <c r="FO263" s="42">
        <v>4</v>
      </c>
      <c r="FP263" s="42"/>
      <c r="FQ263" s="42"/>
      <c r="FR263" s="516"/>
      <c r="FS263" s="516"/>
      <c r="FT263" s="516"/>
      <c r="FU263" s="516" t="s">
        <v>1239</v>
      </c>
      <c r="FV263" s="516">
        <v>0</v>
      </c>
      <c r="FW263" s="516">
        <v>0</v>
      </c>
      <c r="FX263" s="516">
        <v>0</v>
      </c>
      <c r="FY263" s="516">
        <v>0</v>
      </c>
      <c r="FZ263" s="516">
        <v>0</v>
      </c>
      <c r="GA263" s="516">
        <v>0</v>
      </c>
      <c r="GB263" s="516">
        <v>0</v>
      </c>
      <c r="GC263" s="516">
        <v>29</v>
      </c>
      <c r="GD263" s="516">
        <v>109</v>
      </c>
      <c r="GE263" s="516">
        <v>5</v>
      </c>
      <c r="GF263" s="516">
        <v>2</v>
      </c>
      <c r="GG263" s="517">
        <v>145</v>
      </c>
      <c r="GH263" s="516"/>
      <c r="GI263" s="518"/>
    </row>
    <row r="264" spans="3:191">
      <c r="D264" s="4800" t="s">
        <v>1344</v>
      </c>
      <c r="E264" s="4606">
        <v>0</v>
      </c>
      <c r="F264" s="4606"/>
      <c r="G264" s="4606"/>
      <c r="H264" s="4606"/>
      <c r="I264" s="4606">
        <v>0</v>
      </c>
      <c r="J264" s="4606"/>
      <c r="K264" s="4606">
        <v>1</v>
      </c>
      <c r="L264" s="4606">
        <v>1</v>
      </c>
      <c r="M264" s="4606">
        <v>0</v>
      </c>
      <c r="N264" s="2552"/>
      <c r="O264" s="2552"/>
      <c r="P264" s="2552">
        <v>2</v>
      </c>
      <c r="Q264" s="2552"/>
      <c r="R264" s="2552"/>
      <c r="V264" s="1793" t="s">
        <v>15</v>
      </c>
      <c r="W264" s="4804"/>
      <c r="X264" s="4804"/>
      <c r="Y264" s="4804"/>
      <c r="Z264" s="4804"/>
      <c r="AA264" s="4804">
        <v>1</v>
      </c>
      <c r="AB264" s="4804">
        <v>22</v>
      </c>
      <c r="AC264" s="4804"/>
      <c r="AD264" s="4804"/>
      <c r="AE264" s="4702"/>
      <c r="AF264" s="4702">
        <v>23</v>
      </c>
      <c r="AG264" s="4703">
        <v>0</v>
      </c>
      <c r="AI264" s="41"/>
      <c r="AJ264" s="41"/>
      <c r="AK264" s="41" t="s">
        <v>141</v>
      </c>
      <c r="AL264" s="41" t="s">
        <v>1231</v>
      </c>
      <c r="AM264" s="2001"/>
      <c r="AN264" s="2001">
        <v>1</v>
      </c>
      <c r="AO264" s="2001"/>
      <c r="AP264" s="2001"/>
      <c r="AQ264" s="2001"/>
      <c r="AR264" s="2001">
        <v>3</v>
      </c>
      <c r="AS264" s="2001">
        <v>1</v>
      </c>
      <c r="AT264" s="2001">
        <v>1</v>
      </c>
      <c r="AU264" s="105"/>
      <c r="AV264" s="105"/>
      <c r="AW264" s="105">
        <v>6</v>
      </c>
      <c r="AX264" s="41"/>
      <c r="AZ264" s="42"/>
      <c r="BA264" s="42"/>
      <c r="BB264" s="42"/>
      <c r="BC264" s="42" t="s">
        <v>1239</v>
      </c>
      <c r="BD264" s="1993"/>
      <c r="BE264" s="1993">
        <v>0</v>
      </c>
      <c r="BF264" s="1993">
        <v>0</v>
      </c>
      <c r="BG264" s="1993">
        <v>0</v>
      </c>
      <c r="BH264" s="1993">
        <v>0</v>
      </c>
      <c r="BI264" s="1993">
        <v>0</v>
      </c>
      <c r="BJ264" s="1993">
        <v>0</v>
      </c>
      <c r="BK264" s="1993">
        <v>1</v>
      </c>
      <c r="BL264" s="1993">
        <v>9</v>
      </c>
      <c r="BM264" s="70"/>
      <c r="BN264" s="70"/>
      <c r="BO264" s="70">
        <v>10</v>
      </c>
      <c r="BR264" s="105"/>
      <c r="BS264" s="105"/>
      <c r="BT264" s="41"/>
      <c r="BU264" s="461" t="s">
        <v>15</v>
      </c>
      <c r="BV264" s="1660"/>
      <c r="BW264" s="1660">
        <v>1</v>
      </c>
      <c r="BX264" s="1660"/>
      <c r="BY264" s="1660"/>
      <c r="BZ264" s="1660"/>
      <c r="CA264" s="1660"/>
      <c r="CB264" s="1660">
        <v>15</v>
      </c>
      <c r="CC264" s="1660">
        <v>5</v>
      </c>
      <c r="CD264" s="1660">
        <v>3</v>
      </c>
      <c r="CE264" s="96"/>
      <c r="CF264" s="96"/>
      <c r="CG264" s="96">
        <v>24</v>
      </c>
      <c r="CH264" s="635">
        <f>+(CG262+CG263)/CG264</f>
        <v>0.33333333333333331</v>
      </c>
      <c r="CJ264" s="1359"/>
      <c r="CK264" s="1359"/>
      <c r="CL264" s="1360" t="s">
        <v>844</v>
      </c>
      <c r="CM264" s="1361" t="s">
        <v>1230</v>
      </c>
      <c r="CN264" s="1362"/>
      <c r="CO264" s="1363">
        <v>0</v>
      </c>
      <c r="CP264" s="1363">
        <v>0</v>
      </c>
      <c r="CQ264" s="1363">
        <v>0</v>
      </c>
      <c r="CR264" s="1363">
        <v>1</v>
      </c>
      <c r="CS264" s="1363">
        <v>0</v>
      </c>
      <c r="CT264" s="1362"/>
      <c r="CU264" s="1363">
        <v>0</v>
      </c>
      <c r="CV264" s="686"/>
      <c r="CW264" s="686"/>
      <c r="CX264" s="687">
        <v>1</v>
      </c>
      <c r="CY264" s="41"/>
      <c r="DA264" s="602"/>
      <c r="DB264" s="602"/>
      <c r="DC264" s="603"/>
      <c r="DD264" s="630" t="s">
        <v>547</v>
      </c>
      <c r="DE264" s="632">
        <v>2</v>
      </c>
      <c r="DF264" s="632">
        <v>1</v>
      </c>
      <c r="DG264" s="632">
        <v>23</v>
      </c>
      <c r="DH264" s="632">
        <v>8</v>
      </c>
      <c r="DI264" s="631"/>
      <c r="DJ264" s="632">
        <v>16</v>
      </c>
      <c r="DK264" s="632">
        <v>24</v>
      </c>
      <c r="DL264" s="632">
        <v>13</v>
      </c>
      <c r="DM264" s="634">
        <v>2</v>
      </c>
      <c r="DN264" s="633"/>
      <c r="DO264" s="634">
        <v>89</v>
      </c>
      <c r="DP264" s="635">
        <f>+(DO259+DO262+DO263)/DO264</f>
        <v>0.3258426966292135</v>
      </c>
      <c r="EL264" s="615"/>
      <c r="EM264" s="616" t="s">
        <v>1240</v>
      </c>
      <c r="EN264" s="618">
        <v>0</v>
      </c>
      <c r="EO264" s="618">
        <v>0</v>
      </c>
      <c r="EP264" s="618">
        <v>0</v>
      </c>
      <c r="EQ264" s="618">
        <v>0</v>
      </c>
      <c r="ER264" s="618">
        <v>0</v>
      </c>
      <c r="ES264" s="618">
        <v>0</v>
      </c>
      <c r="ET264" s="618">
        <v>3</v>
      </c>
      <c r="EU264" s="618">
        <v>0</v>
      </c>
      <c r="EV264" s="618">
        <v>0</v>
      </c>
      <c r="EW264" s="618">
        <v>0</v>
      </c>
      <c r="EX264" s="618">
        <v>3</v>
      </c>
      <c r="EY264" s="515"/>
      <c r="FC264" s="70"/>
      <c r="FD264" s="42" t="s">
        <v>1344</v>
      </c>
      <c r="FE264" s="42">
        <v>0</v>
      </c>
      <c r="FF264" s="42">
        <v>0</v>
      </c>
      <c r="FG264" s="42">
        <v>0</v>
      </c>
      <c r="FH264" s="42"/>
      <c r="FI264" s="42">
        <v>0</v>
      </c>
      <c r="FJ264" s="42">
        <v>11</v>
      </c>
      <c r="FK264" s="42">
        <v>7</v>
      </c>
      <c r="FL264" s="42">
        <v>0</v>
      </c>
      <c r="FM264" s="42">
        <v>0</v>
      </c>
      <c r="FN264" s="42">
        <v>0</v>
      </c>
      <c r="FO264" s="42">
        <v>18</v>
      </c>
      <c r="FP264" s="42"/>
      <c r="FQ264" s="42"/>
      <c r="FR264" s="516"/>
      <c r="FS264" s="516"/>
      <c r="FT264" s="516"/>
      <c r="FU264" s="516" t="s">
        <v>1344</v>
      </c>
      <c r="FV264" s="516">
        <v>0</v>
      </c>
      <c r="FW264" s="516">
        <v>0</v>
      </c>
      <c r="FX264" s="516">
        <v>0</v>
      </c>
      <c r="FY264" s="516">
        <v>3</v>
      </c>
      <c r="FZ264" s="516">
        <v>0</v>
      </c>
      <c r="GA264" s="516">
        <v>0</v>
      </c>
      <c r="GB264" s="516">
        <v>29</v>
      </c>
      <c r="GC264" s="516">
        <v>11</v>
      </c>
      <c r="GD264" s="516">
        <v>2</v>
      </c>
      <c r="GE264" s="516">
        <v>0</v>
      </c>
      <c r="GF264" s="516">
        <v>0</v>
      </c>
      <c r="GG264" s="517">
        <v>45</v>
      </c>
      <c r="GH264" s="516"/>
      <c r="GI264" s="518"/>
    </row>
    <row r="265" spans="3:191">
      <c r="D265" s="4800" t="s">
        <v>15</v>
      </c>
      <c r="E265" s="4606">
        <v>1</v>
      </c>
      <c r="F265" s="4606"/>
      <c r="G265" s="4606"/>
      <c r="H265" s="4606"/>
      <c r="I265" s="4606">
        <v>1</v>
      </c>
      <c r="J265" s="4606"/>
      <c r="K265" s="4606">
        <v>6</v>
      </c>
      <c r="L265" s="4606">
        <v>9</v>
      </c>
      <c r="M265" s="4606">
        <v>6</v>
      </c>
      <c r="N265" s="2552"/>
      <c r="O265" s="2552"/>
      <c r="P265" s="2552">
        <v>23</v>
      </c>
      <c r="Q265" s="1977">
        <f>+(P261+P264)/(P265-P263)</f>
        <v>0.31818181818181818</v>
      </c>
      <c r="R265" s="1977"/>
      <c r="U265" s="37" t="s">
        <v>418</v>
      </c>
      <c r="V265" s="37" t="s">
        <v>1230</v>
      </c>
      <c r="W265" s="4803">
        <v>0</v>
      </c>
      <c r="X265" s="4803"/>
      <c r="Y265" s="4803"/>
      <c r="Z265" s="4803"/>
      <c r="AA265" s="4803"/>
      <c r="AB265" s="4803">
        <v>0</v>
      </c>
      <c r="AC265" s="4803"/>
      <c r="AD265" s="4803">
        <v>2</v>
      </c>
      <c r="AE265" s="1788"/>
      <c r="AF265" s="1788">
        <v>2</v>
      </c>
      <c r="AI265" s="41"/>
      <c r="AJ265" s="41"/>
      <c r="AK265" s="41"/>
      <c r="AL265" s="41" t="s">
        <v>1235</v>
      </c>
      <c r="AM265" s="2001"/>
      <c r="AN265" s="2001">
        <v>0</v>
      </c>
      <c r="AO265" s="2001"/>
      <c r="AP265" s="2001"/>
      <c r="AQ265" s="2001"/>
      <c r="AR265" s="2001">
        <v>2</v>
      </c>
      <c r="AS265" s="2001">
        <v>2</v>
      </c>
      <c r="AT265" s="2001">
        <v>1</v>
      </c>
      <c r="AU265" s="105"/>
      <c r="AV265" s="105"/>
      <c r="AW265" s="105">
        <v>5</v>
      </c>
      <c r="AX265" s="41"/>
      <c r="AZ265" s="42"/>
      <c r="BA265" s="42"/>
      <c r="BB265" s="42"/>
      <c r="BC265" s="42" t="s">
        <v>1240</v>
      </c>
      <c r="BD265" s="1993"/>
      <c r="BE265" s="1993">
        <v>0</v>
      </c>
      <c r="BF265" s="1993">
        <v>0</v>
      </c>
      <c r="BG265" s="1993">
        <v>0</v>
      </c>
      <c r="BH265" s="1993">
        <v>0</v>
      </c>
      <c r="BI265" s="1993">
        <v>2</v>
      </c>
      <c r="BJ265" s="1993">
        <v>9</v>
      </c>
      <c r="BK265" s="1993">
        <v>2</v>
      </c>
      <c r="BL265" s="1993">
        <v>0</v>
      </c>
      <c r="BM265" s="70"/>
      <c r="BN265" s="70"/>
      <c r="BO265" s="70">
        <v>13</v>
      </c>
      <c r="BR265" s="105"/>
      <c r="BS265" s="105"/>
      <c r="BT265" s="41" t="s">
        <v>1937</v>
      </c>
      <c r="BU265" s="41" t="s">
        <v>1231</v>
      </c>
      <c r="BV265" s="1659"/>
      <c r="BW265" s="1659">
        <v>1</v>
      </c>
      <c r="BX265" s="1659"/>
      <c r="BY265" s="1659"/>
      <c r="BZ265" s="1659"/>
      <c r="CA265" s="1659"/>
      <c r="CB265" s="1659">
        <v>6</v>
      </c>
      <c r="CC265" s="1659"/>
      <c r="CD265" s="1659"/>
      <c r="CE265" s="105"/>
      <c r="CF265" s="105"/>
      <c r="CG265" s="105">
        <v>7</v>
      </c>
      <c r="CH265" s="105"/>
      <c r="CJ265" s="1359"/>
      <c r="CK265" s="1359"/>
      <c r="CL265" s="1360"/>
      <c r="CM265" s="1361" t="s">
        <v>1231</v>
      </c>
      <c r="CN265" s="1362"/>
      <c r="CO265" s="1363">
        <v>1</v>
      </c>
      <c r="CP265" s="1363">
        <v>2</v>
      </c>
      <c r="CQ265" s="1363">
        <v>1</v>
      </c>
      <c r="CR265" s="1363">
        <v>0</v>
      </c>
      <c r="CS265" s="1363">
        <v>22</v>
      </c>
      <c r="CT265" s="1362"/>
      <c r="CU265" s="1363">
        <v>2</v>
      </c>
      <c r="CV265" s="686"/>
      <c r="CW265" s="686"/>
      <c r="CX265" s="687">
        <v>28</v>
      </c>
      <c r="CY265" s="41"/>
      <c r="DA265" s="602"/>
      <c r="DB265" s="602" t="s">
        <v>104</v>
      </c>
      <c r="DC265" s="603" t="s">
        <v>143</v>
      </c>
      <c r="DD265" s="604" t="s">
        <v>1231</v>
      </c>
      <c r="DE265" s="605"/>
      <c r="DF265" s="605"/>
      <c r="DG265" s="605"/>
      <c r="DH265" s="605"/>
      <c r="DI265" s="605"/>
      <c r="DJ265" s="606">
        <v>3</v>
      </c>
      <c r="DK265" s="605"/>
      <c r="DL265" s="605"/>
      <c r="DM265" s="602"/>
      <c r="DN265" s="602"/>
      <c r="DO265" s="607">
        <v>3</v>
      </c>
      <c r="DP265" s="105"/>
      <c r="EL265" s="615"/>
      <c r="EM265" s="616" t="s">
        <v>1344</v>
      </c>
      <c r="EN265" s="618">
        <v>0</v>
      </c>
      <c r="EO265" s="618">
        <v>0</v>
      </c>
      <c r="EP265" s="618">
        <v>3</v>
      </c>
      <c r="EQ265" s="618">
        <v>2</v>
      </c>
      <c r="ER265" s="618">
        <v>0</v>
      </c>
      <c r="ES265" s="618">
        <v>7</v>
      </c>
      <c r="ET265" s="618">
        <v>10</v>
      </c>
      <c r="EU265" s="618">
        <v>1</v>
      </c>
      <c r="EV265" s="618">
        <v>0</v>
      </c>
      <c r="EW265" s="618">
        <v>0</v>
      </c>
      <c r="EX265" s="618">
        <v>23</v>
      </c>
      <c r="EY265" s="515"/>
      <c r="FC265" s="70"/>
      <c r="FD265" s="484" t="s">
        <v>15</v>
      </c>
      <c r="FE265" s="484">
        <v>2</v>
      </c>
      <c r="FF265" s="484">
        <v>4</v>
      </c>
      <c r="FG265" s="484">
        <v>2</v>
      </c>
      <c r="FH265" s="484"/>
      <c r="FI265" s="484">
        <v>1</v>
      </c>
      <c r="FJ265" s="484">
        <v>23</v>
      </c>
      <c r="FK265" s="484">
        <v>52</v>
      </c>
      <c r="FL265" s="484">
        <v>78</v>
      </c>
      <c r="FM265" s="484">
        <v>3</v>
      </c>
      <c r="FN265" s="484">
        <v>5</v>
      </c>
      <c r="FO265" s="484">
        <v>170</v>
      </c>
      <c r="FP265" s="536">
        <f>+(FO260+FO263+FO264)/FO265</f>
        <v>0.32941176470588235</v>
      </c>
      <c r="FQ265" s="42"/>
      <c r="FR265" s="516"/>
      <c r="FS265" s="516"/>
      <c r="FT265" s="516"/>
      <c r="FU265" s="519" t="s">
        <v>15</v>
      </c>
      <c r="FV265" s="519">
        <v>0</v>
      </c>
      <c r="FW265" s="519">
        <v>2</v>
      </c>
      <c r="FX265" s="519">
        <v>4</v>
      </c>
      <c r="FY265" s="519">
        <v>18</v>
      </c>
      <c r="FZ265" s="519">
        <v>5</v>
      </c>
      <c r="GA265" s="519">
        <v>1</v>
      </c>
      <c r="GB265" s="519">
        <v>53</v>
      </c>
      <c r="GC265" s="519">
        <v>65</v>
      </c>
      <c r="GD265" s="519">
        <v>126</v>
      </c>
      <c r="GE265" s="519">
        <v>8</v>
      </c>
      <c r="GF265" s="519">
        <v>7</v>
      </c>
      <c r="GG265" s="579">
        <v>289</v>
      </c>
      <c r="GH265" s="520">
        <f>+(GG264+GG261-GE261)/GG265</f>
        <v>0.30449826989619377</v>
      </c>
      <c r="GI265" s="518">
        <f>+GG261+GG264-GE261</f>
        <v>88</v>
      </c>
    </row>
    <row r="266" spans="3:191">
      <c r="C266" s="4800" t="s">
        <v>1937</v>
      </c>
      <c r="D266" s="4800" t="s">
        <v>1233</v>
      </c>
      <c r="E266" s="4606"/>
      <c r="F266" s="4606">
        <v>2</v>
      </c>
      <c r="G266" s="4606"/>
      <c r="H266" s="4606"/>
      <c r="I266" s="4606"/>
      <c r="J266" s="4606"/>
      <c r="K266" s="4606"/>
      <c r="L266" s="4606">
        <v>0</v>
      </c>
      <c r="M266" s="4606">
        <v>0</v>
      </c>
      <c r="N266" s="2552">
        <v>0</v>
      </c>
      <c r="O266" s="2552"/>
      <c r="P266" s="2552">
        <v>2</v>
      </c>
      <c r="Q266" s="2552"/>
      <c r="R266" s="2552"/>
      <c r="V266" s="37" t="s">
        <v>1231</v>
      </c>
      <c r="W266" s="4803">
        <v>0</v>
      </c>
      <c r="X266" s="4803"/>
      <c r="Y266" s="4803"/>
      <c r="Z266" s="4803"/>
      <c r="AA266" s="4803"/>
      <c r="AB266" s="4803">
        <v>11</v>
      </c>
      <c r="AC266" s="4803"/>
      <c r="AD266" s="4803">
        <v>0</v>
      </c>
      <c r="AE266" s="1788"/>
      <c r="AF266" s="1788">
        <v>11</v>
      </c>
      <c r="AI266" s="41"/>
      <c r="AJ266" s="41"/>
      <c r="AK266" s="41"/>
      <c r="AL266" s="41" t="s">
        <v>1239</v>
      </c>
      <c r="AM266" s="2001"/>
      <c r="AN266" s="2001">
        <v>0</v>
      </c>
      <c r="AO266" s="2001"/>
      <c r="AP266" s="2001"/>
      <c r="AQ266" s="2001"/>
      <c r="AR266" s="2001">
        <v>0</v>
      </c>
      <c r="AS266" s="2001">
        <v>0</v>
      </c>
      <c r="AT266" s="2001">
        <v>1</v>
      </c>
      <c r="AU266" s="105"/>
      <c r="AV266" s="105"/>
      <c r="AW266" s="105">
        <v>1</v>
      </c>
      <c r="AX266" s="41"/>
      <c r="AZ266" s="42"/>
      <c r="BA266" s="42"/>
      <c r="BB266" s="42"/>
      <c r="BC266" s="42" t="s">
        <v>1344</v>
      </c>
      <c r="BD266" s="1993"/>
      <c r="BE266" s="1993">
        <v>0</v>
      </c>
      <c r="BF266" s="1993">
        <v>0</v>
      </c>
      <c r="BG266" s="1993">
        <v>0</v>
      </c>
      <c r="BH266" s="1993">
        <v>1</v>
      </c>
      <c r="BI266" s="1993">
        <v>2</v>
      </c>
      <c r="BJ266" s="1993">
        <v>14</v>
      </c>
      <c r="BK266" s="1993">
        <v>1</v>
      </c>
      <c r="BL266" s="1993">
        <v>0</v>
      </c>
      <c r="BM266" s="70"/>
      <c r="BN266" s="70"/>
      <c r="BO266" s="70">
        <v>18</v>
      </c>
      <c r="BR266" s="105"/>
      <c r="BS266" s="105"/>
      <c r="BT266" s="41"/>
      <c r="BU266" s="41" t="s">
        <v>1240</v>
      </c>
      <c r="BV266" s="1659"/>
      <c r="BW266" s="1659">
        <v>0</v>
      </c>
      <c r="BX266" s="1659"/>
      <c r="BY266" s="1659"/>
      <c r="BZ266" s="1659"/>
      <c r="CA266" s="1659"/>
      <c r="CB266" s="1659">
        <v>2</v>
      </c>
      <c r="CC266" s="1659"/>
      <c r="CD266" s="1659"/>
      <c r="CE266" s="105"/>
      <c r="CF266" s="105"/>
      <c r="CG266" s="105">
        <v>2</v>
      </c>
      <c r="CH266" s="105"/>
      <c r="CJ266" s="1359"/>
      <c r="CK266" s="1359"/>
      <c r="CL266" s="1360"/>
      <c r="CM266" s="1361" t="s">
        <v>1233</v>
      </c>
      <c r="CN266" s="1362"/>
      <c r="CO266" s="1363">
        <v>0</v>
      </c>
      <c r="CP266" s="1363">
        <v>1</v>
      </c>
      <c r="CQ266" s="1363">
        <v>0</v>
      </c>
      <c r="CR266" s="1363">
        <v>0</v>
      </c>
      <c r="CS266" s="1363">
        <v>0</v>
      </c>
      <c r="CT266" s="1362"/>
      <c r="CU266" s="1363">
        <v>0</v>
      </c>
      <c r="CV266" s="686"/>
      <c r="CW266" s="686"/>
      <c r="CX266" s="687">
        <v>1</v>
      </c>
      <c r="CY266" s="41"/>
      <c r="DA266" s="602"/>
      <c r="DB266" s="602"/>
      <c r="DC266" s="603"/>
      <c r="DD266" s="604" t="s">
        <v>1235</v>
      </c>
      <c r="DE266" s="605"/>
      <c r="DF266" s="605"/>
      <c r="DG266" s="605"/>
      <c r="DH266" s="605"/>
      <c r="DI266" s="605"/>
      <c r="DJ266" s="606">
        <v>3</v>
      </c>
      <c r="DK266" s="605"/>
      <c r="DL266" s="605"/>
      <c r="DM266" s="602"/>
      <c r="DN266" s="602"/>
      <c r="DO266" s="607">
        <v>3</v>
      </c>
      <c r="DP266" s="105"/>
      <c r="EL266" s="615"/>
      <c r="EM266" s="625" t="s">
        <v>110</v>
      </c>
      <c r="EN266" s="627">
        <v>1</v>
      </c>
      <c r="EO266" s="627">
        <v>1</v>
      </c>
      <c r="EP266" s="627">
        <v>13</v>
      </c>
      <c r="EQ266" s="627">
        <v>4</v>
      </c>
      <c r="ER266" s="627">
        <v>4</v>
      </c>
      <c r="ES266" s="627">
        <v>32</v>
      </c>
      <c r="ET266" s="627">
        <v>92</v>
      </c>
      <c r="EU266" s="627">
        <v>93</v>
      </c>
      <c r="EV266" s="627">
        <v>13</v>
      </c>
      <c r="EW266" s="627">
        <v>13</v>
      </c>
      <c r="EX266" s="627">
        <v>266</v>
      </c>
      <c r="EY266" s="628">
        <f>+(EX265+EX264+EX261-EV261)/EX266</f>
        <v>0.36466165413533835</v>
      </c>
      <c r="FC266" s="70" t="s">
        <v>48</v>
      </c>
      <c r="FD266" s="42" t="s">
        <v>1230</v>
      </c>
      <c r="FE266" s="42"/>
      <c r="FF266" s="42">
        <v>0</v>
      </c>
      <c r="FG266" s="42">
        <v>0</v>
      </c>
      <c r="FH266" s="42">
        <v>0</v>
      </c>
      <c r="FI266" s="42">
        <v>0</v>
      </c>
      <c r="FJ266" s="42">
        <v>0</v>
      </c>
      <c r="FK266" s="42">
        <v>1</v>
      </c>
      <c r="FL266" s="42">
        <v>2</v>
      </c>
      <c r="FM266" s="42"/>
      <c r="FN266" s="42">
        <v>0</v>
      </c>
      <c r="FO266" s="42">
        <v>3</v>
      </c>
      <c r="FP266" s="42"/>
      <c r="FQ266" s="42"/>
      <c r="FR266" s="516"/>
      <c r="FS266" s="516"/>
      <c r="FT266" s="516" t="s">
        <v>48</v>
      </c>
      <c r="FU266" s="516" t="s">
        <v>1230</v>
      </c>
      <c r="FV266" s="516">
        <v>0</v>
      </c>
      <c r="FW266" s="516">
        <v>0</v>
      </c>
      <c r="FX266" s="516">
        <v>0</v>
      </c>
      <c r="FY266" s="516">
        <v>1</v>
      </c>
      <c r="FZ266" s="516">
        <v>0</v>
      </c>
      <c r="GA266" s="516">
        <v>0</v>
      </c>
      <c r="GB266" s="516">
        <v>3</v>
      </c>
      <c r="GC266" s="516">
        <v>1</v>
      </c>
      <c r="GD266" s="516">
        <v>1</v>
      </c>
      <c r="GE266" s="516">
        <v>0</v>
      </c>
      <c r="GF266" s="516">
        <v>0</v>
      </c>
      <c r="GG266" s="517">
        <v>6</v>
      </c>
      <c r="GH266" s="516"/>
      <c r="GI266" s="518"/>
    </row>
    <row r="267" spans="3:191">
      <c r="D267" s="4800" t="s">
        <v>1235</v>
      </c>
      <c r="E267" s="4606"/>
      <c r="F267" s="4606">
        <v>0</v>
      </c>
      <c r="G267" s="4606"/>
      <c r="H267" s="4606"/>
      <c r="I267" s="4606"/>
      <c r="J267" s="4606"/>
      <c r="K267" s="4606"/>
      <c r="L267" s="4606">
        <v>1</v>
      </c>
      <c r="M267" s="4606">
        <v>0</v>
      </c>
      <c r="N267" s="2552">
        <v>0</v>
      </c>
      <c r="O267" s="2552"/>
      <c r="P267" s="2552">
        <v>1</v>
      </c>
      <c r="Q267" s="2552"/>
      <c r="R267" s="2552"/>
      <c r="V267" s="37" t="s">
        <v>1233</v>
      </c>
      <c r="W267" s="4803">
        <v>1</v>
      </c>
      <c r="X267" s="4803"/>
      <c r="Y267" s="4803"/>
      <c r="Z267" s="4803"/>
      <c r="AA267" s="4803"/>
      <c r="AB267" s="4803">
        <v>0</v>
      </c>
      <c r="AC267" s="4803"/>
      <c r="AD267" s="4803">
        <v>0</v>
      </c>
      <c r="AE267" s="1788"/>
      <c r="AF267" s="1788">
        <v>1</v>
      </c>
      <c r="AI267" s="41"/>
      <c r="AJ267" s="41"/>
      <c r="AK267" s="41"/>
      <c r="AL267" s="41" t="s">
        <v>1240</v>
      </c>
      <c r="AM267" s="2001"/>
      <c r="AN267" s="2001">
        <v>0</v>
      </c>
      <c r="AO267" s="2001"/>
      <c r="AP267" s="2001"/>
      <c r="AQ267" s="2001"/>
      <c r="AR267" s="2001">
        <v>0</v>
      </c>
      <c r="AS267" s="2001">
        <v>2</v>
      </c>
      <c r="AT267" s="2001">
        <v>1</v>
      </c>
      <c r="AU267" s="105"/>
      <c r="AV267" s="105"/>
      <c r="AW267" s="105">
        <v>3</v>
      </c>
      <c r="AX267" s="41"/>
      <c r="AZ267" s="42"/>
      <c r="BA267" s="42"/>
      <c r="BB267" s="42"/>
      <c r="BC267" s="484" t="s">
        <v>547</v>
      </c>
      <c r="BD267" s="1994"/>
      <c r="BE267" s="1994">
        <v>3</v>
      </c>
      <c r="BF267" s="1994">
        <v>2</v>
      </c>
      <c r="BG267" s="1994">
        <v>1</v>
      </c>
      <c r="BH267" s="1994">
        <v>2</v>
      </c>
      <c r="BI267" s="1994">
        <v>7</v>
      </c>
      <c r="BJ267" s="1994">
        <v>67</v>
      </c>
      <c r="BK267" s="1994">
        <v>15</v>
      </c>
      <c r="BL267" s="1994">
        <v>11</v>
      </c>
      <c r="BM267" s="454"/>
      <c r="BN267" s="454"/>
      <c r="BO267" s="454">
        <v>108</v>
      </c>
      <c r="BP267" s="2485">
        <f>+(BO262+BO265+BO266)/BO267</f>
        <v>0.35185185185185186</v>
      </c>
      <c r="BR267" s="105"/>
      <c r="BS267" s="105"/>
      <c r="BT267" s="41"/>
      <c r="BU267" s="41" t="s">
        <v>1344</v>
      </c>
      <c r="BV267" s="1659"/>
      <c r="BW267" s="1659">
        <v>0</v>
      </c>
      <c r="BX267" s="1659"/>
      <c r="BY267" s="1659"/>
      <c r="BZ267" s="1659"/>
      <c r="CA267" s="1659"/>
      <c r="CB267" s="1659">
        <v>1</v>
      </c>
      <c r="CC267" s="1659"/>
      <c r="CD267" s="1659"/>
      <c r="CE267" s="105"/>
      <c r="CF267" s="105"/>
      <c r="CG267" s="105">
        <v>1</v>
      </c>
      <c r="CH267" s="105"/>
      <c r="CJ267" s="1359"/>
      <c r="CK267" s="1359"/>
      <c r="CL267" s="1360"/>
      <c r="CM267" s="1361" t="s">
        <v>1235</v>
      </c>
      <c r="CN267" s="1362"/>
      <c r="CO267" s="1363">
        <v>0</v>
      </c>
      <c r="CP267" s="1363">
        <v>0</v>
      </c>
      <c r="CQ267" s="1363">
        <v>0</v>
      </c>
      <c r="CR267" s="1363">
        <v>0</v>
      </c>
      <c r="CS267" s="1363">
        <v>5</v>
      </c>
      <c r="CT267" s="1362"/>
      <c r="CU267" s="1363">
        <v>0</v>
      </c>
      <c r="CV267" s="686"/>
      <c r="CW267" s="686"/>
      <c r="CX267" s="687">
        <v>5</v>
      </c>
      <c r="CY267" s="41"/>
      <c r="DA267" s="602"/>
      <c r="DB267" s="602"/>
      <c r="DC267" s="603"/>
      <c r="DD267" s="604" t="s">
        <v>1240</v>
      </c>
      <c r="DE267" s="605"/>
      <c r="DF267" s="605"/>
      <c r="DG267" s="605"/>
      <c r="DH267" s="605"/>
      <c r="DI267" s="605"/>
      <c r="DJ267" s="606">
        <v>3</v>
      </c>
      <c r="DK267" s="605"/>
      <c r="DL267" s="605"/>
      <c r="DM267" s="602"/>
      <c r="DN267" s="602"/>
      <c r="DO267" s="607">
        <v>3</v>
      </c>
      <c r="DP267" s="105"/>
      <c r="EL267" s="615" t="s">
        <v>442</v>
      </c>
      <c r="EM267" s="616" t="s">
        <v>1231</v>
      </c>
      <c r="EN267" s="617"/>
      <c r="EO267" s="618">
        <v>1</v>
      </c>
      <c r="EP267" s="618">
        <v>23</v>
      </c>
      <c r="EQ267" s="618">
        <v>5</v>
      </c>
      <c r="ER267" s="618">
        <v>2</v>
      </c>
      <c r="ES267" s="618">
        <v>57</v>
      </c>
      <c r="ET267" s="618">
        <v>13</v>
      </c>
      <c r="EU267" s="618">
        <v>1</v>
      </c>
      <c r="EV267" s="617"/>
      <c r="EW267" s="618">
        <v>0</v>
      </c>
      <c r="EX267" s="618">
        <v>102</v>
      </c>
      <c r="EY267" s="515"/>
      <c r="FC267" s="70"/>
      <c r="FD267" s="42" t="s">
        <v>1231</v>
      </c>
      <c r="FE267" s="42"/>
      <c r="FF267" s="42">
        <v>1</v>
      </c>
      <c r="FG267" s="42">
        <v>1</v>
      </c>
      <c r="FH267" s="42">
        <v>0</v>
      </c>
      <c r="FI267" s="42">
        <v>3</v>
      </c>
      <c r="FJ267" s="42">
        <v>64</v>
      </c>
      <c r="FK267" s="42">
        <v>4</v>
      </c>
      <c r="FL267" s="42">
        <v>1</v>
      </c>
      <c r="FM267" s="42"/>
      <c r="FN267" s="42">
        <v>0</v>
      </c>
      <c r="FO267" s="42">
        <v>74</v>
      </c>
      <c r="FP267" s="42"/>
      <c r="FQ267" s="42"/>
      <c r="FR267" s="516"/>
      <c r="FS267" s="516"/>
      <c r="FT267" s="516"/>
      <c r="FU267" s="516" t="s">
        <v>1231</v>
      </c>
      <c r="FV267" s="516">
        <v>0</v>
      </c>
      <c r="FW267" s="516">
        <v>1</v>
      </c>
      <c r="FX267" s="516">
        <v>4</v>
      </c>
      <c r="FY267" s="516">
        <v>2</v>
      </c>
      <c r="FZ267" s="516">
        <v>4</v>
      </c>
      <c r="GA267" s="516">
        <v>1</v>
      </c>
      <c r="GB267" s="516">
        <v>75</v>
      </c>
      <c r="GC267" s="516">
        <v>4</v>
      </c>
      <c r="GD267" s="516">
        <v>0</v>
      </c>
      <c r="GE267" s="516">
        <v>0</v>
      </c>
      <c r="GF267" s="516">
        <v>0</v>
      </c>
      <c r="GG267" s="517">
        <v>91</v>
      </c>
      <c r="GH267" s="516"/>
      <c r="GI267" s="518"/>
    </row>
    <row r="268" spans="3:191">
      <c r="D268" s="4800" t="s">
        <v>1239</v>
      </c>
      <c r="E268" s="4606"/>
      <c r="F268" s="4606">
        <v>0</v>
      </c>
      <c r="G268" s="4606"/>
      <c r="H268" s="4606"/>
      <c r="I268" s="4606"/>
      <c r="J268" s="4606"/>
      <c r="K268" s="4606"/>
      <c r="L268" s="4606">
        <v>0</v>
      </c>
      <c r="M268" s="4606">
        <v>1</v>
      </c>
      <c r="N268" s="2552">
        <v>4</v>
      </c>
      <c r="O268" s="2552"/>
      <c r="P268" s="2552">
        <v>5</v>
      </c>
      <c r="Q268" s="2552"/>
      <c r="R268" s="2552"/>
      <c r="V268" s="37" t="s">
        <v>1235</v>
      </c>
      <c r="W268" s="4803">
        <v>0</v>
      </c>
      <c r="X268" s="4803"/>
      <c r="Y268" s="4803"/>
      <c r="Z268" s="4803"/>
      <c r="AA268" s="4803"/>
      <c r="AB268" s="4803">
        <v>2</v>
      </c>
      <c r="AC268" s="4803"/>
      <c r="AD268" s="4803">
        <v>0</v>
      </c>
      <c r="AE268" s="1788"/>
      <c r="AF268" s="1788">
        <v>2</v>
      </c>
      <c r="AI268" s="41"/>
      <c r="AJ268" s="41"/>
      <c r="AK268" s="41"/>
      <c r="AL268" s="41" t="s">
        <v>1344</v>
      </c>
      <c r="AM268" s="2001"/>
      <c r="AN268" s="2001">
        <v>0</v>
      </c>
      <c r="AO268" s="2001"/>
      <c r="AP268" s="2001"/>
      <c r="AQ268" s="2001"/>
      <c r="AR268" s="2001">
        <v>3</v>
      </c>
      <c r="AS268" s="2001">
        <v>1</v>
      </c>
      <c r="AT268" s="2001">
        <v>0</v>
      </c>
      <c r="AU268" s="105"/>
      <c r="AV268" s="105"/>
      <c r="AW268" s="105">
        <v>4</v>
      </c>
      <c r="AX268" s="41"/>
      <c r="AZ268" s="42"/>
      <c r="BA268" s="42" t="s">
        <v>21</v>
      </c>
      <c r="BB268" s="42" t="s">
        <v>143</v>
      </c>
      <c r="BC268" s="42" t="s">
        <v>1230</v>
      </c>
      <c r="BD268" s="1993"/>
      <c r="BE268" s="1993">
        <v>0</v>
      </c>
      <c r="BF268" s="1993">
        <v>0</v>
      </c>
      <c r="BG268" s="1993"/>
      <c r="BH268" s="1993">
        <v>0</v>
      </c>
      <c r="BI268" s="1993">
        <v>0</v>
      </c>
      <c r="BJ268" s="1993">
        <v>0</v>
      </c>
      <c r="BK268" s="1993">
        <v>1</v>
      </c>
      <c r="BL268" s="1993"/>
      <c r="BM268" s="70"/>
      <c r="BN268" s="70"/>
      <c r="BO268" s="70">
        <v>1</v>
      </c>
      <c r="BR268" s="105"/>
      <c r="BS268" s="105"/>
      <c r="BT268" s="41"/>
      <c r="BU268" s="461" t="s">
        <v>15</v>
      </c>
      <c r="BV268" s="1660"/>
      <c r="BW268" s="1660">
        <v>1</v>
      </c>
      <c r="BX268" s="1660"/>
      <c r="BY268" s="1660"/>
      <c r="BZ268" s="1660"/>
      <c r="CA268" s="1660"/>
      <c r="CB268" s="1660">
        <v>9</v>
      </c>
      <c r="CC268" s="1660"/>
      <c r="CD268" s="1660"/>
      <c r="CE268" s="96"/>
      <c r="CF268" s="96"/>
      <c r="CG268" s="96">
        <v>10</v>
      </c>
      <c r="CH268" s="635">
        <f>+(CG266+CG267)/CG268</f>
        <v>0.3</v>
      </c>
      <c r="CJ268" s="1359"/>
      <c r="CK268" s="1359"/>
      <c r="CL268" s="1360"/>
      <c r="CM268" s="1361" t="s">
        <v>1236</v>
      </c>
      <c r="CN268" s="1362"/>
      <c r="CO268" s="1363">
        <v>0</v>
      </c>
      <c r="CP268" s="1363">
        <v>0</v>
      </c>
      <c r="CQ268" s="1363">
        <v>0</v>
      </c>
      <c r="CR268" s="1363">
        <v>1</v>
      </c>
      <c r="CS268" s="1363">
        <v>0</v>
      </c>
      <c r="CT268" s="1362"/>
      <c r="CU268" s="1363">
        <v>0</v>
      </c>
      <c r="CV268" s="686"/>
      <c r="CW268" s="686"/>
      <c r="CX268" s="687">
        <v>1</v>
      </c>
      <c r="CY268" s="41"/>
      <c r="DA268" s="602"/>
      <c r="DB268" s="602"/>
      <c r="DC268" s="603"/>
      <c r="DD268" s="604" t="s">
        <v>1344</v>
      </c>
      <c r="DE268" s="605"/>
      <c r="DF268" s="605"/>
      <c r="DG268" s="605"/>
      <c r="DH268" s="605"/>
      <c r="DI268" s="605"/>
      <c r="DJ268" s="606">
        <v>10</v>
      </c>
      <c r="DK268" s="605"/>
      <c r="DL268" s="605"/>
      <c r="DM268" s="602"/>
      <c r="DN268" s="602"/>
      <c r="DO268" s="607">
        <v>10</v>
      </c>
      <c r="DP268" s="105"/>
      <c r="EJ268" s="615"/>
      <c r="EK268" s="615"/>
      <c r="EL268" s="615"/>
      <c r="EM268" s="616" t="s">
        <v>1233</v>
      </c>
      <c r="EN268" s="617"/>
      <c r="EO268" s="618">
        <v>1</v>
      </c>
      <c r="EP268" s="618">
        <v>0</v>
      </c>
      <c r="EQ268" s="618">
        <v>1</v>
      </c>
      <c r="ER268" s="618">
        <v>0</v>
      </c>
      <c r="ES268" s="618">
        <v>0</v>
      </c>
      <c r="ET268" s="618">
        <v>0</v>
      </c>
      <c r="EU268" s="618">
        <v>0</v>
      </c>
      <c r="EV268" s="617"/>
      <c r="EW268" s="618">
        <v>0</v>
      </c>
      <c r="EX268" s="618">
        <v>2</v>
      </c>
      <c r="EY268" s="515"/>
      <c r="FA268" s="70"/>
      <c r="FB268" s="70"/>
      <c r="FC268" s="70"/>
      <c r="FD268" s="42" t="s">
        <v>1233</v>
      </c>
      <c r="FE268" s="42"/>
      <c r="FF268" s="42">
        <v>0</v>
      </c>
      <c r="FG268" s="42">
        <v>1</v>
      </c>
      <c r="FH268" s="42">
        <v>0</v>
      </c>
      <c r="FI268" s="42">
        <v>0</v>
      </c>
      <c r="FJ268" s="42">
        <v>0</v>
      </c>
      <c r="FK268" s="42">
        <v>0</v>
      </c>
      <c r="FL268" s="42">
        <v>0</v>
      </c>
      <c r="FM268" s="42"/>
      <c r="FN268" s="42">
        <v>0</v>
      </c>
      <c r="FO268" s="42">
        <v>1</v>
      </c>
      <c r="FP268" s="42"/>
      <c r="FQ268" s="42"/>
      <c r="FR268" s="516"/>
      <c r="FS268" s="516"/>
      <c r="FT268" s="516"/>
      <c r="FU268" s="516" t="s">
        <v>1235</v>
      </c>
      <c r="FV268" s="516">
        <v>0</v>
      </c>
      <c r="FW268" s="516">
        <v>0</v>
      </c>
      <c r="FX268" s="516">
        <v>0</v>
      </c>
      <c r="FY268" s="516">
        <v>2</v>
      </c>
      <c r="FZ268" s="516">
        <v>0</v>
      </c>
      <c r="GA268" s="516">
        <v>0</v>
      </c>
      <c r="GB268" s="516">
        <v>12</v>
      </c>
      <c r="GC268" s="516">
        <v>2</v>
      </c>
      <c r="GD268" s="516">
        <v>1</v>
      </c>
      <c r="GE268" s="516">
        <v>0</v>
      </c>
      <c r="GF268" s="516">
        <v>0</v>
      </c>
      <c r="GG268" s="517">
        <v>17</v>
      </c>
      <c r="GH268" s="516"/>
      <c r="GI268" s="518"/>
    </row>
    <row r="269" spans="3:191">
      <c r="D269" s="4800" t="s">
        <v>1344</v>
      </c>
      <c r="E269" s="4606"/>
      <c r="F269" s="4606">
        <v>0</v>
      </c>
      <c r="G269" s="4606"/>
      <c r="H269" s="4606"/>
      <c r="I269" s="4606"/>
      <c r="J269" s="4606"/>
      <c r="K269" s="4606"/>
      <c r="L269" s="4606">
        <v>1</v>
      </c>
      <c r="M269" s="4606">
        <v>0</v>
      </c>
      <c r="N269" s="2552">
        <v>0</v>
      </c>
      <c r="O269" s="2552"/>
      <c r="P269" s="2552">
        <v>1</v>
      </c>
      <c r="Q269" s="2552"/>
      <c r="R269" s="2552"/>
      <c r="V269" s="1793" t="s">
        <v>15</v>
      </c>
      <c r="W269" s="4804">
        <v>1</v>
      </c>
      <c r="X269" s="4804"/>
      <c r="Y269" s="4804"/>
      <c r="Z269" s="4804"/>
      <c r="AA269" s="4804"/>
      <c r="AB269" s="4804">
        <v>13</v>
      </c>
      <c r="AC269" s="4804"/>
      <c r="AD269" s="4804">
        <v>2</v>
      </c>
      <c r="AE269" s="4702"/>
      <c r="AF269" s="4702">
        <v>16</v>
      </c>
      <c r="AG269" s="4703">
        <f>+AF268/AF269</f>
        <v>0.125</v>
      </c>
      <c r="AI269" s="41"/>
      <c r="AJ269" s="41"/>
      <c r="AK269" s="41"/>
      <c r="AL269" s="461" t="s">
        <v>15</v>
      </c>
      <c r="AM269" s="2002"/>
      <c r="AN269" s="2002">
        <v>1</v>
      </c>
      <c r="AO269" s="2002"/>
      <c r="AP269" s="2002"/>
      <c r="AQ269" s="2002"/>
      <c r="AR269" s="2002">
        <v>8</v>
      </c>
      <c r="AS269" s="2002">
        <v>6</v>
      </c>
      <c r="AT269" s="2002">
        <v>4</v>
      </c>
      <c r="AU269" s="2480"/>
      <c r="AV269" s="2480"/>
      <c r="AW269" s="2480">
        <v>19</v>
      </c>
      <c r="AX269" s="635">
        <f>+(AW268+AW267+AW265)/AW269</f>
        <v>0.63157894736842102</v>
      </c>
      <c r="AY269" s="1977"/>
      <c r="AZ269" s="42"/>
      <c r="BA269" s="42"/>
      <c r="BB269" s="42"/>
      <c r="BC269" s="42" t="s">
        <v>1231</v>
      </c>
      <c r="BD269" s="1993"/>
      <c r="BE269" s="1993">
        <v>1</v>
      </c>
      <c r="BF269" s="1993">
        <v>1</v>
      </c>
      <c r="BG269" s="1993"/>
      <c r="BH269" s="1993">
        <v>1</v>
      </c>
      <c r="BI269" s="1993">
        <v>1</v>
      </c>
      <c r="BJ269" s="1993">
        <v>8</v>
      </c>
      <c r="BK269" s="1993">
        <v>0</v>
      </c>
      <c r="BL269" s="1993"/>
      <c r="BM269" s="70"/>
      <c r="BN269" s="70"/>
      <c r="BO269" s="70">
        <v>12</v>
      </c>
      <c r="BR269" s="105"/>
      <c r="BS269" s="105"/>
      <c r="BT269" s="41" t="s">
        <v>547</v>
      </c>
      <c r="BU269" s="41" t="s">
        <v>1231</v>
      </c>
      <c r="BV269" s="1659"/>
      <c r="BW269" s="1659">
        <v>2</v>
      </c>
      <c r="BX269" s="1659"/>
      <c r="BY269" s="1659">
        <v>0</v>
      </c>
      <c r="BZ269" s="1659"/>
      <c r="CA269" s="1659"/>
      <c r="CB269" s="1659">
        <v>24</v>
      </c>
      <c r="CC269" s="1659">
        <v>7</v>
      </c>
      <c r="CD269" s="1659">
        <v>2</v>
      </c>
      <c r="CE269" s="105">
        <v>0</v>
      </c>
      <c r="CF269" s="105"/>
      <c r="CG269" s="105">
        <v>35</v>
      </c>
      <c r="CH269" s="105"/>
      <c r="CJ269" s="1359"/>
      <c r="CK269" s="1359"/>
      <c r="CL269" s="1360"/>
      <c r="CM269" s="1361" t="s">
        <v>1239</v>
      </c>
      <c r="CN269" s="1362"/>
      <c r="CO269" s="1363">
        <v>0</v>
      </c>
      <c r="CP269" s="1363">
        <v>0</v>
      </c>
      <c r="CQ269" s="1363">
        <v>0</v>
      </c>
      <c r="CR269" s="1363">
        <v>2</v>
      </c>
      <c r="CS269" s="1363">
        <v>0</v>
      </c>
      <c r="CT269" s="1362"/>
      <c r="CU269" s="1363">
        <v>0</v>
      </c>
      <c r="CV269" s="686"/>
      <c r="CW269" s="686"/>
      <c r="CX269" s="687">
        <v>2</v>
      </c>
      <c r="CY269" s="41"/>
      <c r="DA269" s="602"/>
      <c r="DB269" s="602"/>
      <c r="DC269" s="603"/>
      <c r="DD269" s="630" t="s">
        <v>15</v>
      </c>
      <c r="DE269" s="631"/>
      <c r="DF269" s="631"/>
      <c r="DG269" s="631"/>
      <c r="DH269" s="631"/>
      <c r="DI269" s="631"/>
      <c r="DJ269" s="632">
        <v>19</v>
      </c>
      <c r="DK269" s="631"/>
      <c r="DL269" s="631"/>
      <c r="DM269" s="633"/>
      <c r="DN269" s="633"/>
      <c r="DO269" s="634">
        <v>19</v>
      </c>
      <c r="DP269" s="635">
        <f>+(DO266+DO267+DO268)/DO269</f>
        <v>0.84210526315789469</v>
      </c>
      <c r="EJ269" s="615"/>
      <c r="EK269" s="615"/>
      <c r="EL269" s="615"/>
      <c r="EM269" s="616" t="s">
        <v>1235</v>
      </c>
      <c r="EN269" s="617"/>
      <c r="EO269" s="618">
        <v>0</v>
      </c>
      <c r="EP269" s="618">
        <v>3</v>
      </c>
      <c r="EQ269" s="618">
        <v>1</v>
      </c>
      <c r="ER269" s="618">
        <v>0</v>
      </c>
      <c r="ES269" s="618">
        <v>13</v>
      </c>
      <c r="ET269" s="618">
        <v>1</v>
      </c>
      <c r="EU269" s="618">
        <v>1</v>
      </c>
      <c r="EV269" s="617"/>
      <c r="EW269" s="618">
        <v>0</v>
      </c>
      <c r="EX269" s="618">
        <v>19</v>
      </c>
      <c r="EY269" s="515"/>
      <c r="FA269" s="70"/>
      <c r="FB269" s="70"/>
      <c r="FC269" s="70"/>
      <c r="FD269" s="42" t="s">
        <v>1235</v>
      </c>
      <c r="FE269" s="42"/>
      <c r="FF269" s="42">
        <v>0</v>
      </c>
      <c r="FG269" s="42">
        <v>1</v>
      </c>
      <c r="FH269" s="42">
        <v>0</v>
      </c>
      <c r="FI269" s="42">
        <v>0</v>
      </c>
      <c r="FJ269" s="42">
        <v>8</v>
      </c>
      <c r="FK269" s="42">
        <v>4</v>
      </c>
      <c r="FL269" s="42">
        <v>0</v>
      </c>
      <c r="FM269" s="42"/>
      <c r="FN269" s="42">
        <v>0</v>
      </c>
      <c r="FO269" s="42">
        <v>13</v>
      </c>
      <c r="FP269" s="42"/>
      <c r="FQ269" s="42"/>
      <c r="FR269" s="516"/>
      <c r="FS269" s="516"/>
      <c r="FT269" s="516"/>
      <c r="FU269" s="516" t="s">
        <v>1236</v>
      </c>
      <c r="FV269" s="516">
        <v>0</v>
      </c>
      <c r="FW269" s="516">
        <v>0</v>
      </c>
      <c r="FX269" s="516">
        <v>1</v>
      </c>
      <c r="FY269" s="516">
        <v>0</v>
      </c>
      <c r="FZ269" s="516">
        <v>0</v>
      </c>
      <c r="GA269" s="516">
        <v>0</v>
      </c>
      <c r="GB269" s="516">
        <v>1</v>
      </c>
      <c r="GC269" s="516">
        <v>0</v>
      </c>
      <c r="GD269" s="516">
        <v>0</v>
      </c>
      <c r="GE269" s="516">
        <v>0</v>
      </c>
      <c r="GF269" s="516">
        <v>0</v>
      </c>
      <c r="GG269" s="517">
        <v>2</v>
      </c>
      <c r="GH269" s="516"/>
      <c r="GI269" s="518"/>
    </row>
    <row r="270" spans="3:191">
      <c r="D270" s="4800" t="s">
        <v>15</v>
      </c>
      <c r="E270" s="4606"/>
      <c r="F270" s="4606">
        <v>2</v>
      </c>
      <c r="G270" s="4606"/>
      <c r="H270" s="4606"/>
      <c r="I270" s="4606"/>
      <c r="J270" s="4606"/>
      <c r="K270" s="4606"/>
      <c r="L270" s="4606">
        <v>2</v>
      </c>
      <c r="M270" s="4606">
        <v>1</v>
      </c>
      <c r="N270" s="2552">
        <v>4</v>
      </c>
      <c r="O270" s="2552"/>
      <c r="P270" s="2552">
        <v>9</v>
      </c>
      <c r="Q270" s="1977">
        <f>+(P267)/(P270)</f>
        <v>0.1111111111111111</v>
      </c>
      <c r="R270" s="1977"/>
      <c r="U270" s="37" t="s">
        <v>419</v>
      </c>
      <c r="V270" s="37" t="s">
        <v>1231</v>
      </c>
      <c r="W270" s="4803"/>
      <c r="X270" s="4803">
        <v>0</v>
      </c>
      <c r="Y270" s="4803"/>
      <c r="Z270" s="4803">
        <v>3</v>
      </c>
      <c r="AA270" s="4803">
        <v>1</v>
      </c>
      <c r="AB270" s="4803">
        <v>18</v>
      </c>
      <c r="AC270" s="4803">
        <v>1</v>
      </c>
      <c r="AD270" s="4803"/>
      <c r="AE270" s="1788"/>
      <c r="AF270" s="1788">
        <v>23</v>
      </c>
      <c r="AI270" s="41"/>
      <c r="AJ270" s="41"/>
      <c r="AK270" s="41" t="s">
        <v>142</v>
      </c>
      <c r="AL270" s="41" t="s">
        <v>1231</v>
      </c>
      <c r="AM270" s="2001"/>
      <c r="AN270" s="2001"/>
      <c r="AO270" s="2001"/>
      <c r="AP270" s="2001"/>
      <c r="AQ270" s="2001"/>
      <c r="AR270" s="2001">
        <v>0</v>
      </c>
      <c r="AS270" s="2001">
        <v>1</v>
      </c>
      <c r="AT270" s="2001">
        <v>4</v>
      </c>
      <c r="AU270" s="105">
        <v>0</v>
      </c>
      <c r="AV270" s="105"/>
      <c r="AW270" s="105">
        <v>5</v>
      </c>
      <c r="AX270" s="41"/>
      <c r="AZ270" s="42"/>
      <c r="BA270" s="42"/>
      <c r="BB270" s="42"/>
      <c r="BC270" s="42" t="s">
        <v>1235</v>
      </c>
      <c r="BD270" s="1993"/>
      <c r="BE270" s="1993">
        <v>0</v>
      </c>
      <c r="BF270" s="1993">
        <v>0</v>
      </c>
      <c r="BG270" s="1993"/>
      <c r="BH270" s="1993">
        <v>0</v>
      </c>
      <c r="BI270" s="1993">
        <v>0</v>
      </c>
      <c r="BJ270" s="1993">
        <v>4</v>
      </c>
      <c r="BK270" s="1993">
        <v>0</v>
      </c>
      <c r="BL270" s="1993"/>
      <c r="BM270" s="70"/>
      <c r="BN270" s="70"/>
      <c r="BO270" s="70">
        <v>4</v>
      </c>
      <c r="BR270" s="105"/>
      <c r="BS270" s="105"/>
      <c r="BT270" s="41"/>
      <c r="BU270" s="41" t="s">
        <v>1233</v>
      </c>
      <c r="BV270" s="1659"/>
      <c r="BW270" s="1659">
        <v>1</v>
      </c>
      <c r="BX270" s="1659"/>
      <c r="BY270" s="1659">
        <v>0</v>
      </c>
      <c r="BZ270" s="1659"/>
      <c r="CA270" s="1659"/>
      <c r="CB270" s="1659">
        <v>0</v>
      </c>
      <c r="CC270" s="1659">
        <v>0</v>
      </c>
      <c r="CD270" s="1659">
        <v>0</v>
      </c>
      <c r="CE270" s="105">
        <v>0</v>
      </c>
      <c r="CF270" s="105"/>
      <c r="CG270" s="105">
        <v>1</v>
      </c>
      <c r="CH270" s="105"/>
      <c r="CJ270" s="1359"/>
      <c r="CK270" s="1359"/>
      <c r="CL270" s="1360"/>
      <c r="CM270" s="1361" t="s">
        <v>1240</v>
      </c>
      <c r="CN270" s="1362"/>
      <c r="CO270" s="1363">
        <v>0</v>
      </c>
      <c r="CP270" s="1363">
        <v>0</v>
      </c>
      <c r="CQ270" s="1363">
        <v>0</v>
      </c>
      <c r="CR270" s="1363">
        <v>0</v>
      </c>
      <c r="CS270" s="1363">
        <v>16</v>
      </c>
      <c r="CT270" s="1362"/>
      <c r="CU270" s="1363">
        <v>0</v>
      </c>
      <c r="CV270" s="686"/>
      <c r="CW270" s="686"/>
      <c r="CX270" s="687">
        <v>16</v>
      </c>
      <c r="CY270" s="41"/>
      <c r="DA270" s="602"/>
      <c r="DB270" s="602"/>
      <c r="DC270" s="603" t="s">
        <v>844</v>
      </c>
      <c r="DD270" s="604" t="s">
        <v>1231</v>
      </c>
      <c r="DE270" s="605"/>
      <c r="DF270" s="605"/>
      <c r="DG270" s="605"/>
      <c r="DH270" s="605"/>
      <c r="DI270" s="605"/>
      <c r="DJ270" s="606">
        <v>3</v>
      </c>
      <c r="DK270" s="605"/>
      <c r="DL270" s="605"/>
      <c r="DM270" s="602"/>
      <c r="DN270" s="602"/>
      <c r="DO270" s="607">
        <v>3</v>
      </c>
      <c r="DP270" s="105"/>
      <c r="EJ270" s="615"/>
      <c r="EK270" s="615"/>
      <c r="EL270" s="615"/>
      <c r="EM270" s="616" t="s">
        <v>1236</v>
      </c>
      <c r="EN270" s="617"/>
      <c r="EO270" s="618">
        <v>0</v>
      </c>
      <c r="EP270" s="618">
        <v>2</v>
      </c>
      <c r="EQ270" s="618">
        <v>0</v>
      </c>
      <c r="ER270" s="618">
        <v>0</v>
      </c>
      <c r="ES270" s="618">
        <v>1</v>
      </c>
      <c r="ET270" s="618">
        <v>0</v>
      </c>
      <c r="EU270" s="618">
        <v>0</v>
      </c>
      <c r="EV270" s="617"/>
      <c r="EW270" s="618">
        <v>0</v>
      </c>
      <c r="EX270" s="618">
        <v>3</v>
      </c>
      <c r="EY270" s="515"/>
      <c r="FA270" s="70"/>
      <c r="FB270" s="70"/>
      <c r="FC270" s="70"/>
      <c r="FD270" s="42" t="s">
        <v>1236</v>
      </c>
      <c r="FE270" s="42"/>
      <c r="FF270" s="42">
        <v>0</v>
      </c>
      <c r="FG270" s="42">
        <v>3</v>
      </c>
      <c r="FH270" s="42">
        <v>1</v>
      </c>
      <c r="FI270" s="42">
        <v>0</v>
      </c>
      <c r="FJ270" s="42">
        <v>0</v>
      </c>
      <c r="FK270" s="42">
        <v>0</v>
      </c>
      <c r="FL270" s="42">
        <v>0</v>
      </c>
      <c r="FM270" s="42"/>
      <c r="FN270" s="42">
        <v>0</v>
      </c>
      <c r="FO270" s="42">
        <v>4</v>
      </c>
      <c r="FP270" s="42"/>
      <c r="FQ270" s="42"/>
      <c r="FR270" s="516"/>
      <c r="FS270" s="516"/>
      <c r="FT270" s="516"/>
      <c r="FU270" s="516" t="s">
        <v>1239</v>
      </c>
      <c r="FV270" s="516">
        <v>0</v>
      </c>
      <c r="FW270" s="516">
        <v>0</v>
      </c>
      <c r="FX270" s="516">
        <v>0</v>
      </c>
      <c r="FY270" s="516">
        <v>0</v>
      </c>
      <c r="FZ270" s="516">
        <v>0</v>
      </c>
      <c r="GA270" s="516">
        <v>1</v>
      </c>
      <c r="GB270" s="516">
        <v>1</v>
      </c>
      <c r="GC270" s="516">
        <v>9</v>
      </c>
      <c r="GD270" s="516">
        <v>15</v>
      </c>
      <c r="GE270" s="516">
        <v>1</v>
      </c>
      <c r="GF270" s="516">
        <v>1</v>
      </c>
      <c r="GG270" s="517">
        <v>28</v>
      </c>
      <c r="GH270" s="516"/>
      <c r="GI270" s="518"/>
    </row>
    <row r="271" spans="3:191">
      <c r="C271" s="4800" t="s">
        <v>827</v>
      </c>
      <c r="D271" s="4800" t="s">
        <v>1231</v>
      </c>
      <c r="E271" s="4606"/>
      <c r="F271" s="4606"/>
      <c r="G271" s="4606">
        <v>1</v>
      </c>
      <c r="H271" s="4606"/>
      <c r="I271" s="4606"/>
      <c r="J271" s="4606"/>
      <c r="K271" s="4606">
        <v>7</v>
      </c>
      <c r="L271" s="4606"/>
      <c r="M271" s="4606"/>
      <c r="N271" s="2552"/>
      <c r="O271" s="2552"/>
      <c r="P271" s="2552">
        <v>8</v>
      </c>
      <c r="Q271" s="2552"/>
      <c r="R271" s="2552"/>
      <c r="V271" s="37" t="s">
        <v>1233</v>
      </c>
      <c r="W271" s="4803"/>
      <c r="X271" s="4803">
        <v>1</v>
      </c>
      <c r="Y271" s="4803"/>
      <c r="Z271" s="4803">
        <v>0</v>
      </c>
      <c r="AA271" s="4803">
        <v>0</v>
      </c>
      <c r="AB271" s="4803">
        <v>0</v>
      </c>
      <c r="AC271" s="4803">
        <v>0</v>
      </c>
      <c r="AD271" s="4803"/>
      <c r="AE271" s="1788"/>
      <c r="AF271" s="1788">
        <v>1</v>
      </c>
      <c r="AI271" s="41"/>
      <c r="AJ271" s="41"/>
      <c r="AK271" s="41"/>
      <c r="AL271" s="41" t="s">
        <v>1235</v>
      </c>
      <c r="AM271" s="2001"/>
      <c r="AN271" s="2001"/>
      <c r="AO271" s="2001"/>
      <c r="AP271" s="2001"/>
      <c r="AQ271" s="2001"/>
      <c r="AR271" s="2001">
        <v>0</v>
      </c>
      <c r="AS271" s="2001">
        <v>4</v>
      </c>
      <c r="AT271" s="2001">
        <v>0</v>
      </c>
      <c r="AU271" s="105">
        <v>0</v>
      </c>
      <c r="AV271" s="105"/>
      <c r="AW271" s="105">
        <v>4</v>
      </c>
      <c r="AX271" s="41"/>
      <c r="AZ271" s="42"/>
      <c r="BA271" s="42"/>
      <c r="BB271" s="42"/>
      <c r="BC271" s="42" t="s">
        <v>1240</v>
      </c>
      <c r="BD271" s="1993"/>
      <c r="BE271" s="1993">
        <v>0</v>
      </c>
      <c r="BF271" s="1993">
        <v>0</v>
      </c>
      <c r="BG271" s="1993"/>
      <c r="BH271" s="1993">
        <v>0</v>
      </c>
      <c r="BI271" s="1993">
        <v>0</v>
      </c>
      <c r="BJ271" s="1993">
        <v>7</v>
      </c>
      <c r="BK271" s="1993">
        <v>0</v>
      </c>
      <c r="BL271" s="1993"/>
      <c r="BM271" s="70"/>
      <c r="BN271" s="70"/>
      <c r="BO271" s="70">
        <v>7</v>
      </c>
      <c r="BR271" s="105"/>
      <c r="BS271" s="105"/>
      <c r="BT271" s="41"/>
      <c r="BU271" s="41" t="s">
        <v>1235</v>
      </c>
      <c r="BV271" s="1659"/>
      <c r="BW271" s="1659">
        <v>0</v>
      </c>
      <c r="BX271" s="1659"/>
      <c r="BY271" s="1659">
        <v>0</v>
      </c>
      <c r="BZ271" s="1659"/>
      <c r="CA271" s="1659"/>
      <c r="CB271" s="1659">
        <v>4</v>
      </c>
      <c r="CC271" s="1659">
        <v>0</v>
      </c>
      <c r="CD271" s="1659">
        <v>1</v>
      </c>
      <c r="CE271" s="105">
        <v>0</v>
      </c>
      <c r="CF271" s="105"/>
      <c r="CG271" s="105">
        <v>5</v>
      </c>
      <c r="CH271" s="105"/>
      <c r="CJ271" s="1359"/>
      <c r="CK271" s="1359"/>
      <c r="CL271" s="1360"/>
      <c r="CM271" s="1361" t="s">
        <v>1344</v>
      </c>
      <c r="CN271" s="1362"/>
      <c r="CO271" s="1363">
        <v>0</v>
      </c>
      <c r="CP271" s="1363">
        <v>0</v>
      </c>
      <c r="CQ271" s="1363">
        <v>0</v>
      </c>
      <c r="CR271" s="1363">
        <v>0</v>
      </c>
      <c r="CS271" s="1363">
        <v>12</v>
      </c>
      <c r="CT271" s="1362"/>
      <c r="CU271" s="1363">
        <v>0</v>
      </c>
      <c r="CV271" s="686"/>
      <c r="CW271" s="686"/>
      <c r="CX271" s="687">
        <v>12</v>
      </c>
      <c r="CY271" s="41"/>
      <c r="DA271" s="602"/>
      <c r="DB271" s="602"/>
      <c r="DC271" s="603"/>
      <c r="DD271" s="604" t="s">
        <v>1235</v>
      </c>
      <c r="DE271" s="605"/>
      <c r="DF271" s="605"/>
      <c r="DG271" s="605"/>
      <c r="DH271" s="605"/>
      <c r="DI271" s="605"/>
      <c r="DJ271" s="606">
        <v>3</v>
      </c>
      <c r="DK271" s="605"/>
      <c r="DL271" s="605"/>
      <c r="DM271" s="602"/>
      <c r="DN271" s="602"/>
      <c r="DO271" s="607">
        <v>3</v>
      </c>
      <c r="DP271" s="105"/>
      <c r="EJ271" s="615"/>
      <c r="EK271" s="615"/>
      <c r="EL271" s="615"/>
      <c r="EM271" s="616" t="s">
        <v>1239</v>
      </c>
      <c r="EN271" s="617"/>
      <c r="EO271" s="618">
        <v>0</v>
      </c>
      <c r="EP271" s="618">
        <v>0</v>
      </c>
      <c r="EQ271" s="618">
        <v>0</v>
      </c>
      <c r="ER271" s="618">
        <v>0</v>
      </c>
      <c r="ES271" s="618">
        <v>0</v>
      </c>
      <c r="ET271" s="618">
        <v>2</v>
      </c>
      <c r="EU271" s="618">
        <v>33</v>
      </c>
      <c r="EV271" s="617"/>
      <c r="EW271" s="618">
        <v>1</v>
      </c>
      <c r="EX271" s="618">
        <v>36</v>
      </c>
      <c r="EY271" s="515"/>
      <c r="FA271" s="70"/>
      <c r="FB271" s="70"/>
      <c r="FC271" s="70"/>
      <c r="FD271" s="42" t="s">
        <v>1239</v>
      </c>
      <c r="FE271" s="42"/>
      <c r="FF271" s="42">
        <v>0</v>
      </c>
      <c r="FG271" s="42">
        <v>0</v>
      </c>
      <c r="FH271" s="42">
        <v>0</v>
      </c>
      <c r="FI271" s="42">
        <v>0</v>
      </c>
      <c r="FJ271" s="42">
        <v>0</v>
      </c>
      <c r="FK271" s="42">
        <v>1</v>
      </c>
      <c r="FL271" s="42">
        <v>4</v>
      </c>
      <c r="FM271" s="42"/>
      <c r="FN271" s="42">
        <v>2</v>
      </c>
      <c r="FO271" s="42">
        <v>7</v>
      </c>
      <c r="FP271" s="42"/>
      <c r="FQ271" s="42"/>
      <c r="FR271" s="516"/>
      <c r="FS271" s="516"/>
      <c r="FT271" s="516"/>
      <c r="FU271" s="516" t="s">
        <v>1240</v>
      </c>
      <c r="FV271" s="516">
        <v>0</v>
      </c>
      <c r="FW271" s="516">
        <v>0</v>
      </c>
      <c r="FX271" s="516">
        <v>0</v>
      </c>
      <c r="FY271" s="516">
        <v>3</v>
      </c>
      <c r="FZ271" s="516">
        <v>0</v>
      </c>
      <c r="GA271" s="516">
        <v>1</v>
      </c>
      <c r="GB271" s="516">
        <v>20</v>
      </c>
      <c r="GC271" s="516">
        <v>3</v>
      </c>
      <c r="GD271" s="516">
        <v>0</v>
      </c>
      <c r="GE271" s="516">
        <v>0</v>
      </c>
      <c r="GF271" s="516">
        <v>0</v>
      </c>
      <c r="GG271" s="517">
        <v>27</v>
      </c>
      <c r="GH271" s="516"/>
      <c r="GI271" s="518"/>
    </row>
    <row r="272" spans="3:191">
      <c r="D272" s="4800" t="s">
        <v>1344</v>
      </c>
      <c r="E272" s="4606"/>
      <c r="F272" s="4606"/>
      <c r="G272" s="4606">
        <v>0</v>
      </c>
      <c r="H272" s="4606"/>
      <c r="I272" s="4606"/>
      <c r="J272" s="4606"/>
      <c r="K272" s="4606">
        <v>3</v>
      </c>
      <c r="L272" s="4606"/>
      <c r="M272" s="4606"/>
      <c r="N272" s="2552"/>
      <c r="O272" s="2552"/>
      <c r="P272" s="2552">
        <v>3</v>
      </c>
      <c r="Q272" s="2552"/>
      <c r="R272" s="2552"/>
      <c r="V272" s="1793" t="s">
        <v>15</v>
      </c>
      <c r="W272" s="4804"/>
      <c r="X272" s="4804">
        <v>1</v>
      </c>
      <c r="Y272" s="4804"/>
      <c r="Z272" s="4804">
        <v>3</v>
      </c>
      <c r="AA272" s="4804">
        <v>1</v>
      </c>
      <c r="AB272" s="4804">
        <v>18</v>
      </c>
      <c r="AC272" s="4804">
        <v>1</v>
      </c>
      <c r="AD272" s="4804"/>
      <c r="AE272" s="4702"/>
      <c r="AF272" s="4702">
        <v>24</v>
      </c>
      <c r="AG272" s="4703">
        <v>0</v>
      </c>
      <c r="AI272" s="41"/>
      <c r="AJ272" s="41"/>
      <c r="AK272" s="41"/>
      <c r="AL272" s="41" t="s">
        <v>1239</v>
      </c>
      <c r="AM272" s="2001"/>
      <c r="AN272" s="2001"/>
      <c r="AO272" s="2001"/>
      <c r="AP272" s="2001"/>
      <c r="AQ272" s="2001"/>
      <c r="AR272" s="2001">
        <v>0</v>
      </c>
      <c r="AS272" s="2001">
        <v>0</v>
      </c>
      <c r="AT272" s="2001">
        <v>7</v>
      </c>
      <c r="AU272" s="105">
        <v>1</v>
      </c>
      <c r="AV272" s="105"/>
      <c r="AW272" s="105">
        <v>8</v>
      </c>
      <c r="AX272" s="41"/>
      <c r="AZ272" s="42"/>
      <c r="BA272" s="42"/>
      <c r="BB272" s="42"/>
      <c r="BC272" s="484" t="s">
        <v>15</v>
      </c>
      <c r="BD272" s="1994"/>
      <c r="BE272" s="1994">
        <v>1</v>
      </c>
      <c r="BF272" s="1994">
        <v>1</v>
      </c>
      <c r="BG272" s="1994"/>
      <c r="BH272" s="1994">
        <v>1</v>
      </c>
      <c r="BI272" s="1994">
        <v>1</v>
      </c>
      <c r="BJ272" s="1994">
        <v>19</v>
      </c>
      <c r="BK272" s="1994">
        <v>1</v>
      </c>
      <c r="BL272" s="1994"/>
      <c r="BM272" s="454"/>
      <c r="BN272" s="454"/>
      <c r="BO272" s="454">
        <v>24</v>
      </c>
      <c r="BP272" s="2485">
        <f>+(BO270+BO271)/BO272</f>
        <v>0.45833333333333331</v>
      </c>
      <c r="BR272" s="105"/>
      <c r="BS272" s="105"/>
      <c r="BT272" s="41"/>
      <c r="BU272" s="41" t="s">
        <v>1239</v>
      </c>
      <c r="BV272" s="1659"/>
      <c r="BW272" s="1659">
        <v>0</v>
      </c>
      <c r="BX272" s="1659"/>
      <c r="BY272" s="1659">
        <v>0</v>
      </c>
      <c r="BZ272" s="1659"/>
      <c r="CA272" s="1659"/>
      <c r="CB272" s="1659">
        <v>0</v>
      </c>
      <c r="CC272" s="1659">
        <v>0</v>
      </c>
      <c r="CD272" s="1659">
        <v>3</v>
      </c>
      <c r="CE272" s="105">
        <v>2</v>
      </c>
      <c r="CF272" s="105"/>
      <c r="CG272" s="105">
        <v>5</v>
      </c>
      <c r="CH272" s="105"/>
      <c r="CJ272" s="1359"/>
      <c r="CK272" s="1359"/>
      <c r="CL272" s="1360"/>
      <c r="CM272" s="483" t="s">
        <v>844</v>
      </c>
      <c r="CN272" s="1364"/>
      <c r="CO272" s="1365">
        <v>1</v>
      </c>
      <c r="CP272" s="1365">
        <v>3</v>
      </c>
      <c r="CQ272" s="1365">
        <v>1</v>
      </c>
      <c r="CR272" s="1365">
        <v>4</v>
      </c>
      <c r="CS272" s="1365">
        <v>55</v>
      </c>
      <c r="CT272" s="1364"/>
      <c r="CU272" s="1365">
        <v>2</v>
      </c>
      <c r="CV272" s="695"/>
      <c r="CW272" s="695"/>
      <c r="CX272" s="696">
        <v>66</v>
      </c>
      <c r="CY272" s="1325">
        <f>+(CX267+CX270+CX271)/CX272</f>
        <v>0.5</v>
      </c>
      <c r="DA272" s="602"/>
      <c r="DB272" s="602"/>
      <c r="DC272" s="603"/>
      <c r="DD272" s="604" t="s">
        <v>1240</v>
      </c>
      <c r="DE272" s="605"/>
      <c r="DF272" s="605"/>
      <c r="DG272" s="605"/>
      <c r="DH272" s="605"/>
      <c r="DI272" s="605"/>
      <c r="DJ272" s="606">
        <v>3</v>
      </c>
      <c r="DK272" s="605"/>
      <c r="DL272" s="605"/>
      <c r="DM272" s="602"/>
      <c r="DN272" s="602"/>
      <c r="DO272" s="607">
        <v>3</v>
      </c>
      <c r="DP272" s="105"/>
      <c r="EJ272" s="615"/>
      <c r="EK272" s="615"/>
      <c r="EL272" s="615"/>
      <c r="EM272" s="616" t="s">
        <v>1240</v>
      </c>
      <c r="EN272" s="617"/>
      <c r="EO272" s="618">
        <v>0</v>
      </c>
      <c r="EP272" s="618">
        <v>5</v>
      </c>
      <c r="EQ272" s="618">
        <v>4</v>
      </c>
      <c r="ER272" s="618">
        <v>2</v>
      </c>
      <c r="ES272" s="618">
        <v>6</v>
      </c>
      <c r="ET272" s="618">
        <v>3</v>
      </c>
      <c r="EU272" s="618">
        <v>0</v>
      </c>
      <c r="EV272" s="617"/>
      <c r="EW272" s="618">
        <v>0</v>
      </c>
      <c r="EX272" s="618">
        <v>20</v>
      </c>
      <c r="EY272" s="515"/>
      <c r="FA272" s="70"/>
      <c r="FB272" s="70"/>
      <c r="FC272" s="70"/>
      <c r="FD272" s="42" t="s">
        <v>1240</v>
      </c>
      <c r="FE272" s="42"/>
      <c r="FF272" s="42">
        <v>0</v>
      </c>
      <c r="FG272" s="42">
        <v>2</v>
      </c>
      <c r="FH272" s="42">
        <v>1</v>
      </c>
      <c r="FI272" s="42">
        <v>0</v>
      </c>
      <c r="FJ272" s="42">
        <v>14</v>
      </c>
      <c r="FK272" s="42">
        <v>2</v>
      </c>
      <c r="FL272" s="42">
        <v>0</v>
      </c>
      <c r="FM272" s="42"/>
      <c r="FN272" s="42">
        <v>0</v>
      </c>
      <c r="FO272" s="42">
        <v>19</v>
      </c>
      <c r="FP272" s="42"/>
      <c r="FQ272" s="42"/>
      <c r="FR272" s="516"/>
      <c r="FS272" s="516"/>
      <c r="FT272" s="516"/>
      <c r="FU272" s="516" t="s">
        <v>1344</v>
      </c>
      <c r="FV272" s="516">
        <v>0</v>
      </c>
      <c r="FW272" s="516">
        <v>0</v>
      </c>
      <c r="FX272" s="516">
        <v>0</v>
      </c>
      <c r="FY272" s="516">
        <v>3</v>
      </c>
      <c r="FZ272" s="516">
        <v>0</v>
      </c>
      <c r="GA272" s="516">
        <v>3</v>
      </c>
      <c r="GB272" s="516">
        <v>18</v>
      </c>
      <c r="GC272" s="516">
        <v>3</v>
      </c>
      <c r="GD272" s="516">
        <v>1</v>
      </c>
      <c r="GE272" s="516">
        <v>0</v>
      </c>
      <c r="GF272" s="516">
        <v>0</v>
      </c>
      <c r="GG272" s="517">
        <v>28</v>
      </c>
      <c r="GH272" s="516"/>
      <c r="GI272" s="518"/>
    </row>
    <row r="273" spans="2:191" ht="15" thickBot="1">
      <c r="D273" s="4800" t="s">
        <v>15</v>
      </c>
      <c r="E273" s="4606"/>
      <c r="F273" s="4606"/>
      <c r="G273" s="4606">
        <v>1</v>
      </c>
      <c r="H273" s="4606"/>
      <c r="I273" s="4606"/>
      <c r="J273" s="4606"/>
      <c r="K273" s="4606">
        <v>10</v>
      </c>
      <c r="L273" s="4606"/>
      <c r="M273" s="4606"/>
      <c r="N273" s="2552"/>
      <c r="O273" s="2552"/>
      <c r="P273" s="2552">
        <v>11</v>
      </c>
      <c r="Q273" s="1977">
        <f>+(P272)/(P273)</f>
        <v>0.27272727272727271</v>
      </c>
      <c r="R273" s="1977"/>
      <c r="U273" s="1793" t="s">
        <v>546</v>
      </c>
      <c r="V273" s="1793" t="s">
        <v>1230</v>
      </c>
      <c r="W273" s="4804">
        <v>0</v>
      </c>
      <c r="X273" s="4804">
        <v>0</v>
      </c>
      <c r="Y273" s="4804"/>
      <c r="Z273" s="4804">
        <v>0</v>
      </c>
      <c r="AA273" s="4804">
        <v>0</v>
      </c>
      <c r="AB273" s="4804">
        <v>0</v>
      </c>
      <c r="AC273" s="4804">
        <v>0</v>
      </c>
      <c r="AD273" s="4804">
        <v>2</v>
      </c>
      <c r="AE273" s="4702"/>
      <c r="AF273" s="4702">
        <v>2</v>
      </c>
      <c r="AG273" s="1793"/>
      <c r="AI273" s="41"/>
      <c r="AJ273" s="41"/>
      <c r="AK273" s="41"/>
      <c r="AL273" s="41" t="s">
        <v>1240</v>
      </c>
      <c r="AM273" s="2001"/>
      <c r="AN273" s="2001"/>
      <c r="AO273" s="2001"/>
      <c r="AP273" s="2001"/>
      <c r="AQ273" s="2001"/>
      <c r="AR273" s="2001">
        <v>0</v>
      </c>
      <c r="AS273" s="2001">
        <v>1</v>
      </c>
      <c r="AT273" s="2001">
        <v>1</v>
      </c>
      <c r="AU273" s="105">
        <v>0</v>
      </c>
      <c r="AV273" s="105"/>
      <c r="AW273" s="105">
        <v>2</v>
      </c>
      <c r="AX273" s="41"/>
      <c r="AZ273" s="42"/>
      <c r="BA273" s="42"/>
      <c r="BB273" s="42" t="s">
        <v>418</v>
      </c>
      <c r="BC273" s="42" t="s">
        <v>1231</v>
      </c>
      <c r="BD273" s="1993"/>
      <c r="BE273" s="1993"/>
      <c r="BF273" s="1993"/>
      <c r="BG273" s="1993"/>
      <c r="BH273" s="1993"/>
      <c r="BI273" s="1993"/>
      <c r="BJ273" s="1993">
        <v>4</v>
      </c>
      <c r="BK273" s="1993">
        <v>1</v>
      </c>
      <c r="BL273" s="1993">
        <v>1</v>
      </c>
      <c r="BM273" s="70"/>
      <c r="BN273" s="70"/>
      <c r="BO273" s="70">
        <v>6</v>
      </c>
      <c r="BR273" s="105"/>
      <c r="BS273" s="105"/>
      <c r="BT273" s="41"/>
      <c r="BU273" s="41" t="s">
        <v>1240</v>
      </c>
      <c r="BV273" s="1659"/>
      <c r="BW273" s="1659">
        <v>0</v>
      </c>
      <c r="BX273" s="1659"/>
      <c r="BY273" s="1659">
        <v>0</v>
      </c>
      <c r="BZ273" s="1659"/>
      <c r="CA273" s="1659"/>
      <c r="CB273" s="1659">
        <v>6</v>
      </c>
      <c r="CC273" s="1659">
        <v>6</v>
      </c>
      <c r="CD273" s="1659">
        <v>0</v>
      </c>
      <c r="CE273" s="105">
        <v>0</v>
      </c>
      <c r="CF273" s="105"/>
      <c r="CG273" s="105">
        <v>12</v>
      </c>
      <c r="CH273" s="105"/>
      <c r="CJ273" s="1359"/>
      <c r="CK273" s="1359"/>
      <c r="CL273" s="1360" t="s">
        <v>442</v>
      </c>
      <c r="CM273" s="1361" t="s">
        <v>1230</v>
      </c>
      <c r="CN273" s="1363">
        <v>0</v>
      </c>
      <c r="CO273" s="1363">
        <v>0</v>
      </c>
      <c r="CP273" s="1363">
        <v>0</v>
      </c>
      <c r="CQ273" s="1363">
        <v>0</v>
      </c>
      <c r="CR273" s="1363">
        <v>1</v>
      </c>
      <c r="CS273" s="1363">
        <v>0</v>
      </c>
      <c r="CT273" s="1363">
        <v>0</v>
      </c>
      <c r="CU273" s="1363">
        <v>0</v>
      </c>
      <c r="CV273" s="687">
        <v>0</v>
      </c>
      <c r="CW273" s="686"/>
      <c r="CX273" s="687">
        <v>1</v>
      </c>
      <c r="CY273" s="41"/>
      <c r="DA273" s="602"/>
      <c r="DB273" s="602"/>
      <c r="DC273" s="603"/>
      <c r="DD273" s="604" t="s">
        <v>1344</v>
      </c>
      <c r="DE273" s="605"/>
      <c r="DF273" s="605"/>
      <c r="DG273" s="605"/>
      <c r="DH273" s="605"/>
      <c r="DI273" s="605"/>
      <c r="DJ273" s="606">
        <v>10</v>
      </c>
      <c r="DK273" s="605"/>
      <c r="DL273" s="605"/>
      <c r="DM273" s="602"/>
      <c r="DN273" s="602"/>
      <c r="DO273" s="607">
        <v>10</v>
      </c>
      <c r="DP273" s="105"/>
      <c r="EJ273" s="615"/>
      <c r="EK273" s="615"/>
      <c r="EL273" s="615"/>
      <c r="EM273" s="616" t="s">
        <v>1344</v>
      </c>
      <c r="EN273" s="617"/>
      <c r="EO273" s="618">
        <v>0</v>
      </c>
      <c r="EP273" s="618">
        <v>11</v>
      </c>
      <c r="EQ273" s="618">
        <v>0</v>
      </c>
      <c r="ER273" s="618">
        <v>3</v>
      </c>
      <c r="ES273" s="618">
        <v>13</v>
      </c>
      <c r="ET273" s="618">
        <v>9</v>
      </c>
      <c r="EU273" s="618">
        <v>0</v>
      </c>
      <c r="EV273" s="617"/>
      <c r="EW273" s="618">
        <v>0</v>
      </c>
      <c r="EX273" s="618">
        <v>36</v>
      </c>
      <c r="EY273" s="515"/>
      <c r="FA273" s="70"/>
      <c r="FB273" s="70"/>
      <c r="FC273" s="42"/>
      <c r="FD273" s="42" t="s">
        <v>1344</v>
      </c>
      <c r="FE273" s="42"/>
      <c r="FF273" s="42">
        <v>0</v>
      </c>
      <c r="FG273" s="42">
        <v>9</v>
      </c>
      <c r="FH273" s="42">
        <v>1</v>
      </c>
      <c r="FI273" s="42">
        <v>0</v>
      </c>
      <c r="FJ273" s="42">
        <v>15</v>
      </c>
      <c r="FK273" s="42">
        <v>4</v>
      </c>
      <c r="FL273" s="42">
        <v>0</v>
      </c>
      <c r="FM273" s="42"/>
      <c r="FN273" s="42">
        <v>0</v>
      </c>
      <c r="FO273" s="42">
        <v>29</v>
      </c>
      <c r="FP273" s="42"/>
      <c r="FQ273" s="42"/>
      <c r="FR273" s="516"/>
      <c r="FS273" s="516"/>
      <c r="FT273" s="539"/>
      <c r="FU273" s="539" t="s">
        <v>15</v>
      </c>
      <c r="FV273" s="539">
        <v>0</v>
      </c>
      <c r="FW273" s="539">
        <v>1</v>
      </c>
      <c r="FX273" s="539">
        <v>5</v>
      </c>
      <c r="FY273" s="539">
        <v>11</v>
      </c>
      <c r="FZ273" s="539">
        <v>4</v>
      </c>
      <c r="GA273" s="539">
        <v>6</v>
      </c>
      <c r="GB273" s="539">
        <v>130</v>
      </c>
      <c r="GC273" s="539">
        <v>22</v>
      </c>
      <c r="GD273" s="539">
        <v>18</v>
      </c>
      <c r="GE273" s="539">
        <v>1</v>
      </c>
      <c r="GF273" s="539">
        <v>1</v>
      </c>
      <c r="GG273" s="540">
        <v>199</v>
      </c>
      <c r="GH273" s="541">
        <f>+(GG272+GG271+GG268)/GG273</f>
        <v>0.36180904522613067</v>
      </c>
      <c r="GI273" s="493">
        <f>+GG268+GG271+GG272</f>
        <v>72</v>
      </c>
    </row>
    <row r="274" spans="2:191" ht="15" thickBot="1">
      <c r="C274" s="4800" t="s">
        <v>2539</v>
      </c>
      <c r="D274" s="4800" t="s">
        <v>1231</v>
      </c>
      <c r="E274" s="4606"/>
      <c r="F274" s="4606"/>
      <c r="G274" s="4606"/>
      <c r="H274" s="4606"/>
      <c r="I274" s="4606"/>
      <c r="J274" s="4606"/>
      <c r="K274" s="4606">
        <v>2</v>
      </c>
      <c r="L274" s="4606">
        <v>0</v>
      </c>
      <c r="M274" s="4606"/>
      <c r="N274" s="2552"/>
      <c r="O274" s="2552"/>
      <c r="P274" s="2552">
        <v>2</v>
      </c>
      <c r="Q274" s="2552"/>
      <c r="R274" s="2552"/>
      <c r="U274" s="1793"/>
      <c r="V274" s="1793" t="s">
        <v>1231</v>
      </c>
      <c r="W274" s="4804">
        <v>0</v>
      </c>
      <c r="X274" s="4804">
        <v>0</v>
      </c>
      <c r="Y274" s="4804"/>
      <c r="Z274" s="4804">
        <v>3</v>
      </c>
      <c r="AA274" s="4804">
        <v>2</v>
      </c>
      <c r="AB274" s="4804">
        <v>51</v>
      </c>
      <c r="AC274" s="4804">
        <v>1</v>
      </c>
      <c r="AD274" s="4804">
        <v>0</v>
      </c>
      <c r="AE274" s="4702"/>
      <c r="AF274" s="4702">
        <v>57</v>
      </c>
      <c r="AG274" s="1793"/>
      <c r="AI274" s="41"/>
      <c r="AJ274" s="41"/>
      <c r="AK274" s="41"/>
      <c r="AL274" s="41" t="s">
        <v>1344</v>
      </c>
      <c r="AM274" s="2001"/>
      <c r="AN274" s="2001"/>
      <c r="AO274" s="2001"/>
      <c r="AP274" s="2001"/>
      <c r="AQ274" s="2001"/>
      <c r="AR274" s="2001">
        <v>2</v>
      </c>
      <c r="AS274" s="2001">
        <v>1</v>
      </c>
      <c r="AT274" s="2001">
        <v>0</v>
      </c>
      <c r="AU274" s="105">
        <v>0</v>
      </c>
      <c r="AV274" s="105"/>
      <c r="AW274" s="105">
        <v>3</v>
      </c>
      <c r="AX274" s="41"/>
      <c r="AZ274" s="42"/>
      <c r="BA274" s="42"/>
      <c r="BB274" s="42"/>
      <c r="BC274" s="42" t="s">
        <v>1235</v>
      </c>
      <c r="BD274" s="1993"/>
      <c r="BE274" s="1993"/>
      <c r="BF274" s="1993"/>
      <c r="BG274" s="1993"/>
      <c r="BH274" s="1993"/>
      <c r="BI274" s="1993"/>
      <c r="BJ274" s="1993">
        <v>1</v>
      </c>
      <c r="BK274" s="1993">
        <v>0</v>
      </c>
      <c r="BL274" s="1993">
        <v>0</v>
      </c>
      <c r="BM274" s="70"/>
      <c r="BN274" s="70"/>
      <c r="BO274" s="70">
        <v>1</v>
      </c>
      <c r="BR274" s="105"/>
      <c r="BS274" s="105"/>
      <c r="BT274" s="41"/>
      <c r="BU274" s="41" t="s">
        <v>1344</v>
      </c>
      <c r="BV274" s="1659"/>
      <c r="BW274" s="1659">
        <v>0</v>
      </c>
      <c r="BX274" s="1659"/>
      <c r="BY274" s="1659">
        <v>1</v>
      </c>
      <c r="BZ274" s="1659"/>
      <c r="CA274" s="1659"/>
      <c r="CB274" s="1659">
        <v>5</v>
      </c>
      <c r="CC274" s="1659">
        <v>4</v>
      </c>
      <c r="CD274" s="1659">
        <v>0</v>
      </c>
      <c r="CE274" s="105">
        <v>0</v>
      </c>
      <c r="CF274" s="105"/>
      <c r="CG274" s="105">
        <v>10</v>
      </c>
      <c r="CH274" s="105"/>
      <c r="CJ274" s="1359"/>
      <c r="CK274" s="1359"/>
      <c r="CL274" s="1360"/>
      <c r="CM274" s="1361" t="s">
        <v>1231</v>
      </c>
      <c r="CN274" s="1363">
        <v>4</v>
      </c>
      <c r="CO274" s="1363">
        <v>2</v>
      </c>
      <c r="CP274" s="1363">
        <v>2</v>
      </c>
      <c r="CQ274" s="1363">
        <v>4</v>
      </c>
      <c r="CR274" s="1363">
        <v>1</v>
      </c>
      <c r="CS274" s="1363">
        <v>46</v>
      </c>
      <c r="CT274" s="1363">
        <v>9</v>
      </c>
      <c r="CU274" s="1363">
        <v>5</v>
      </c>
      <c r="CV274" s="687">
        <v>0</v>
      </c>
      <c r="CW274" s="686"/>
      <c r="CX274" s="687">
        <v>73</v>
      </c>
      <c r="CY274" s="41"/>
      <c r="DA274" s="602"/>
      <c r="DB274" s="602"/>
      <c r="DC274" s="603"/>
      <c r="DD274" s="630" t="s">
        <v>844</v>
      </c>
      <c r="DE274" s="631"/>
      <c r="DF274" s="631"/>
      <c r="DG274" s="631"/>
      <c r="DH274" s="631"/>
      <c r="DI274" s="631"/>
      <c r="DJ274" s="632">
        <v>19</v>
      </c>
      <c r="DK274" s="631"/>
      <c r="DL274" s="631"/>
      <c r="DM274" s="633"/>
      <c r="DN274" s="633"/>
      <c r="DO274" s="634">
        <v>19</v>
      </c>
      <c r="DP274" s="635">
        <f>+(DO271+DO272+DO273)/DO274</f>
        <v>0.84210526315789469</v>
      </c>
      <c r="EJ274" s="615"/>
      <c r="EK274" s="615"/>
      <c r="EL274" s="638"/>
      <c r="EM274" s="639" t="s">
        <v>442</v>
      </c>
      <c r="EN274" s="640"/>
      <c r="EO274" s="641">
        <v>2</v>
      </c>
      <c r="EP274" s="641">
        <v>44</v>
      </c>
      <c r="EQ274" s="641">
        <v>11</v>
      </c>
      <c r="ER274" s="641">
        <v>7</v>
      </c>
      <c r="ES274" s="641">
        <v>90</v>
      </c>
      <c r="ET274" s="641">
        <v>28</v>
      </c>
      <c r="EU274" s="641">
        <v>35</v>
      </c>
      <c r="EV274" s="640"/>
      <c r="EW274" s="641">
        <v>1</v>
      </c>
      <c r="EX274" s="641">
        <v>218</v>
      </c>
      <c r="EY274" s="642">
        <f>+(EX273+EX272+EX269)/EX274</f>
        <v>0.34403669724770641</v>
      </c>
      <c r="FA274" s="70"/>
      <c r="FB274" s="70"/>
      <c r="FC274" s="543"/>
      <c r="FD274" s="544" t="s">
        <v>15</v>
      </c>
      <c r="FE274" s="544"/>
      <c r="FF274" s="544">
        <v>1</v>
      </c>
      <c r="FG274" s="544">
        <v>17</v>
      </c>
      <c r="FH274" s="544">
        <v>3</v>
      </c>
      <c r="FI274" s="544">
        <v>3</v>
      </c>
      <c r="FJ274" s="544">
        <v>101</v>
      </c>
      <c r="FK274" s="544">
        <v>16</v>
      </c>
      <c r="FL274" s="544">
        <v>7</v>
      </c>
      <c r="FM274" s="544"/>
      <c r="FN274" s="544">
        <v>2</v>
      </c>
      <c r="FO274" s="544">
        <v>150</v>
      </c>
      <c r="FP274" s="643">
        <f>+(FO269+FO272+FO273)/FO274</f>
        <v>0.40666666666666668</v>
      </c>
      <c r="FQ274" s="42"/>
      <c r="FR274" s="516"/>
      <c r="FS274" s="516"/>
      <c r="FT274" s="516"/>
      <c r="FU274" s="516"/>
      <c r="FV274" s="516"/>
      <c r="FW274" s="516"/>
      <c r="FX274" s="516"/>
      <c r="FY274" s="516"/>
      <c r="FZ274" s="516"/>
      <c r="GA274" s="516"/>
      <c r="GB274" s="516"/>
      <c r="GC274" s="516"/>
      <c r="GD274" s="516"/>
      <c r="GE274" s="516"/>
      <c r="GF274" s="516"/>
      <c r="GG274" s="517"/>
      <c r="GH274" s="516"/>
      <c r="GI274" s="516"/>
    </row>
    <row r="275" spans="2:191">
      <c r="D275" s="4800" t="s">
        <v>1239</v>
      </c>
      <c r="E275" s="4606"/>
      <c r="F275" s="4606"/>
      <c r="G275" s="4606"/>
      <c r="H275" s="4606"/>
      <c r="I275" s="4606"/>
      <c r="J275" s="4606"/>
      <c r="K275" s="4606">
        <v>0</v>
      </c>
      <c r="L275" s="4606">
        <v>1</v>
      </c>
      <c r="M275" s="4606"/>
      <c r="N275" s="2552"/>
      <c r="O275" s="2552"/>
      <c r="P275" s="2552">
        <v>1</v>
      </c>
      <c r="Q275" s="2552"/>
      <c r="R275" s="2552"/>
      <c r="U275" s="1793"/>
      <c r="V275" s="1793" t="s">
        <v>1233</v>
      </c>
      <c r="W275" s="4804">
        <v>1</v>
      </c>
      <c r="X275" s="4804">
        <v>1</v>
      </c>
      <c r="Y275" s="4804"/>
      <c r="Z275" s="4804">
        <v>0</v>
      </c>
      <c r="AA275" s="4804">
        <v>0</v>
      </c>
      <c r="AB275" s="4804">
        <v>0</v>
      </c>
      <c r="AC275" s="4804">
        <v>0</v>
      </c>
      <c r="AD275" s="4804">
        <v>0</v>
      </c>
      <c r="AE275" s="4702"/>
      <c r="AF275" s="4702">
        <v>2</v>
      </c>
      <c r="AG275" s="1793"/>
      <c r="AI275" s="41"/>
      <c r="AJ275" s="41"/>
      <c r="AK275" s="41"/>
      <c r="AL275" s="461" t="s">
        <v>15</v>
      </c>
      <c r="AM275" s="2002"/>
      <c r="AN275" s="2002"/>
      <c r="AO275" s="2002"/>
      <c r="AP275" s="2002"/>
      <c r="AQ275" s="2002"/>
      <c r="AR275" s="2002">
        <v>2</v>
      </c>
      <c r="AS275" s="2002">
        <v>7</v>
      </c>
      <c r="AT275" s="2002">
        <v>12</v>
      </c>
      <c r="AU275" s="2480">
        <v>1</v>
      </c>
      <c r="AV275" s="2480"/>
      <c r="AW275" s="2480">
        <v>22</v>
      </c>
      <c r="AX275" s="635">
        <f>+(AW274+AW273+AW271)/AW275</f>
        <v>0.40909090909090912</v>
      </c>
      <c r="AY275" s="1977"/>
      <c r="AZ275" s="42"/>
      <c r="BA275" s="42"/>
      <c r="BB275" s="42"/>
      <c r="BC275" s="42" t="s">
        <v>1240</v>
      </c>
      <c r="BD275" s="1993"/>
      <c r="BE275" s="1993"/>
      <c r="BF275" s="1993"/>
      <c r="BG275" s="1993"/>
      <c r="BH275" s="1993"/>
      <c r="BI275" s="1993"/>
      <c r="BJ275" s="1993">
        <v>14</v>
      </c>
      <c r="BK275" s="1993">
        <v>0</v>
      </c>
      <c r="BL275" s="1993">
        <v>0</v>
      </c>
      <c r="BM275" s="70"/>
      <c r="BN275" s="70"/>
      <c r="BO275" s="70">
        <v>14</v>
      </c>
      <c r="BR275" s="105"/>
      <c r="BS275" s="105"/>
      <c r="BT275" s="41"/>
      <c r="BU275" s="461" t="s">
        <v>547</v>
      </c>
      <c r="BV275" s="1660"/>
      <c r="BW275" s="1660">
        <v>3</v>
      </c>
      <c r="BX275" s="1660"/>
      <c r="BY275" s="1660">
        <v>1</v>
      </c>
      <c r="BZ275" s="1660"/>
      <c r="CA275" s="1660"/>
      <c r="CB275" s="1660">
        <v>39</v>
      </c>
      <c r="CC275" s="1660">
        <v>17</v>
      </c>
      <c r="CD275" s="1660">
        <v>6</v>
      </c>
      <c r="CE275" s="96">
        <v>2</v>
      </c>
      <c r="CF275" s="96"/>
      <c r="CG275" s="96">
        <v>68</v>
      </c>
      <c r="CH275" s="635">
        <f>+(CG271+CG273+CG274)/CG275</f>
        <v>0.39705882352941174</v>
      </c>
      <c r="CJ275" s="1359"/>
      <c r="CK275" s="1359"/>
      <c r="CL275" s="1360"/>
      <c r="CM275" s="1361" t="s">
        <v>1233</v>
      </c>
      <c r="CN275" s="1363">
        <v>0</v>
      </c>
      <c r="CO275" s="1363">
        <v>1</v>
      </c>
      <c r="CP275" s="1363">
        <v>1</v>
      </c>
      <c r="CQ275" s="1363">
        <v>0</v>
      </c>
      <c r="CR275" s="1363">
        <v>0</v>
      </c>
      <c r="CS275" s="1363">
        <v>0</v>
      </c>
      <c r="CT275" s="1363">
        <v>0</v>
      </c>
      <c r="CU275" s="1363">
        <v>0</v>
      </c>
      <c r="CV275" s="687">
        <v>0</v>
      </c>
      <c r="CW275" s="686"/>
      <c r="CX275" s="687">
        <v>2</v>
      </c>
      <c r="CY275" s="41"/>
      <c r="DA275" s="602"/>
      <c r="DB275" s="602"/>
      <c r="DC275" s="630" t="s">
        <v>442</v>
      </c>
      <c r="DD275" s="604" t="s">
        <v>1230</v>
      </c>
      <c r="DE275" s="606">
        <v>0</v>
      </c>
      <c r="DF275" s="606">
        <v>0</v>
      </c>
      <c r="DG275" s="606">
        <v>1</v>
      </c>
      <c r="DH275" s="606">
        <v>1</v>
      </c>
      <c r="DI275" s="606">
        <v>0</v>
      </c>
      <c r="DJ275" s="606">
        <v>0</v>
      </c>
      <c r="DK275" s="606">
        <v>1</v>
      </c>
      <c r="DL275" s="606">
        <v>1</v>
      </c>
      <c r="DM275" s="607">
        <v>0</v>
      </c>
      <c r="DN275" s="602"/>
      <c r="DO275" s="607">
        <v>4</v>
      </c>
      <c r="DP275" s="105"/>
      <c r="EJ275" s="615"/>
      <c r="EK275" s="615"/>
      <c r="EL275" s="615"/>
      <c r="EM275" s="616"/>
      <c r="EN275" s="617"/>
      <c r="EO275" s="618"/>
      <c r="EP275" s="618"/>
      <c r="EQ275" s="618"/>
      <c r="ER275" s="618"/>
      <c r="ES275" s="618"/>
      <c r="ET275" s="618"/>
      <c r="EU275" s="618"/>
      <c r="EV275" s="617"/>
      <c r="EW275" s="617"/>
      <c r="EX275" s="618"/>
      <c r="FA275" s="70"/>
      <c r="FB275" s="70"/>
      <c r="FC275" s="42"/>
      <c r="FD275" s="42"/>
      <c r="FE275" s="42"/>
      <c r="FF275" s="42"/>
      <c r="FG275" s="42"/>
      <c r="FH275" s="42"/>
      <c r="FI275" s="42"/>
      <c r="FJ275" s="42"/>
      <c r="FK275" s="42"/>
      <c r="FL275" s="42"/>
      <c r="FM275" s="42"/>
      <c r="FN275" s="42"/>
      <c r="FO275" s="42"/>
      <c r="FP275" s="42"/>
      <c r="FQ275" s="42"/>
      <c r="FR275" s="516"/>
      <c r="FS275" s="516"/>
      <c r="FT275" s="516"/>
      <c r="FU275" s="516"/>
      <c r="FV275" s="516"/>
      <c r="FW275" s="516"/>
      <c r="FX275" s="516"/>
      <c r="FY275" s="516"/>
      <c r="FZ275" s="516"/>
      <c r="GA275" s="516"/>
      <c r="GB275" s="516"/>
      <c r="GC275" s="516"/>
      <c r="GD275" s="516"/>
      <c r="GE275" s="516"/>
      <c r="GF275" s="516"/>
      <c r="GG275" s="517"/>
      <c r="GH275" s="516"/>
      <c r="GI275" s="516"/>
    </row>
    <row r="276" spans="2:191">
      <c r="D276" s="4800" t="s">
        <v>1240</v>
      </c>
      <c r="E276" s="4606"/>
      <c r="F276" s="4606"/>
      <c r="G276" s="4606"/>
      <c r="H276" s="4606"/>
      <c r="I276" s="4606"/>
      <c r="J276" s="4606"/>
      <c r="K276" s="4606">
        <v>2</v>
      </c>
      <c r="L276" s="4606">
        <v>0</v>
      </c>
      <c r="M276" s="4606"/>
      <c r="N276" s="2552"/>
      <c r="O276" s="2552"/>
      <c r="P276" s="2552">
        <v>2</v>
      </c>
      <c r="Q276" s="2552"/>
      <c r="R276" s="2552"/>
      <c r="U276" s="1793"/>
      <c r="V276" s="1793" t="s">
        <v>1235</v>
      </c>
      <c r="W276" s="4804">
        <v>0</v>
      </c>
      <c r="X276" s="4804">
        <v>0</v>
      </c>
      <c r="Y276" s="4804"/>
      <c r="Z276" s="4804">
        <v>0</v>
      </c>
      <c r="AA276" s="4804">
        <v>0</v>
      </c>
      <c r="AB276" s="4804">
        <v>2</v>
      </c>
      <c r="AC276" s="4804">
        <v>0</v>
      </c>
      <c r="AD276" s="4804">
        <v>0</v>
      </c>
      <c r="AE276" s="4702"/>
      <c r="AF276" s="4702">
        <v>2</v>
      </c>
      <c r="AG276" s="1793"/>
      <c r="AI276" s="41"/>
      <c r="AJ276" s="41"/>
      <c r="AK276" s="41" t="s">
        <v>1937</v>
      </c>
      <c r="AL276" s="41" t="s">
        <v>1231</v>
      </c>
      <c r="AM276" s="2001"/>
      <c r="AN276" s="2001"/>
      <c r="AO276" s="2001"/>
      <c r="AP276" s="2001">
        <v>1</v>
      </c>
      <c r="AQ276" s="2001"/>
      <c r="AR276" s="2001">
        <v>5</v>
      </c>
      <c r="AS276" s="2001">
        <v>1</v>
      </c>
      <c r="AT276" s="2001"/>
      <c r="AU276" s="105"/>
      <c r="AV276" s="105"/>
      <c r="AW276" s="105">
        <v>7</v>
      </c>
      <c r="AX276" s="41"/>
      <c r="AZ276" s="42"/>
      <c r="BA276" s="42"/>
      <c r="BB276" s="42"/>
      <c r="BC276" s="484" t="s">
        <v>15</v>
      </c>
      <c r="BD276" s="1994"/>
      <c r="BE276" s="1994"/>
      <c r="BF276" s="1994"/>
      <c r="BG276" s="1994"/>
      <c r="BH276" s="1994"/>
      <c r="BI276" s="1994"/>
      <c r="BJ276" s="1994">
        <v>19</v>
      </c>
      <c r="BK276" s="1994">
        <v>1</v>
      </c>
      <c r="BL276" s="1994">
        <v>1</v>
      </c>
      <c r="BM276" s="454"/>
      <c r="BN276" s="454"/>
      <c r="BO276" s="454">
        <v>21</v>
      </c>
      <c r="BP276" s="2485">
        <f>+(BO274+BO275)/BO276</f>
        <v>0.7142857142857143</v>
      </c>
      <c r="BR276" s="105"/>
      <c r="BS276" s="105" t="s">
        <v>104</v>
      </c>
      <c r="BT276" s="41" t="s">
        <v>143</v>
      </c>
      <c r="BU276" s="41" t="s">
        <v>1231</v>
      </c>
      <c r="BV276" s="1659"/>
      <c r="BW276" s="1659"/>
      <c r="BX276" s="1659"/>
      <c r="BY276" s="1659"/>
      <c r="BZ276" s="1659"/>
      <c r="CA276" s="1659"/>
      <c r="CB276" s="1659">
        <v>2</v>
      </c>
      <c r="CC276" s="1659"/>
      <c r="CD276" s="1659"/>
      <c r="CE276" s="105"/>
      <c r="CF276" s="105"/>
      <c r="CG276" s="105">
        <v>2</v>
      </c>
      <c r="CH276" s="105"/>
      <c r="CJ276" s="1359"/>
      <c r="CK276" s="1359"/>
      <c r="CL276" s="1360"/>
      <c r="CM276" s="1361" t="s">
        <v>1235</v>
      </c>
      <c r="CN276" s="1363">
        <v>0</v>
      </c>
      <c r="CO276" s="1363">
        <v>0</v>
      </c>
      <c r="CP276" s="1363">
        <v>0</v>
      </c>
      <c r="CQ276" s="1363">
        <v>1</v>
      </c>
      <c r="CR276" s="1363">
        <v>2</v>
      </c>
      <c r="CS276" s="1363">
        <v>11</v>
      </c>
      <c r="CT276" s="1363">
        <v>2</v>
      </c>
      <c r="CU276" s="1363">
        <v>0</v>
      </c>
      <c r="CV276" s="687">
        <v>0</v>
      </c>
      <c r="CW276" s="686"/>
      <c r="CX276" s="687">
        <v>16</v>
      </c>
      <c r="CY276" s="41"/>
      <c r="DA276" s="602"/>
      <c r="DB276" s="602"/>
      <c r="DC276" s="603"/>
      <c r="DD276" s="604" t="s">
        <v>1231</v>
      </c>
      <c r="DE276" s="606">
        <v>7</v>
      </c>
      <c r="DF276" s="606">
        <v>4</v>
      </c>
      <c r="DG276" s="606">
        <v>40</v>
      </c>
      <c r="DH276" s="606">
        <v>5</v>
      </c>
      <c r="DI276" s="606">
        <v>2</v>
      </c>
      <c r="DJ276" s="606">
        <v>95</v>
      </c>
      <c r="DK276" s="606">
        <v>22</v>
      </c>
      <c r="DL276" s="606">
        <v>1</v>
      </c>
      <c r="DM276" s="607">
        <v>0</v>
      </c>
      <c r="DN276" s="602"/>
      <c r="DO276" s="607">
        <v>176</v>
      </c>
      <c r="DP276" s="105"/>
      <c r="EN276" s="5661" t="s">
        <v>1318</v>
      </c>
      <c r="EO276" s="5661"/>
      <c r="EP276" s="5661"/>
      <c r="EQ276" s="5661"/>
      <c r="ER276" s="5661"/>
      <c r="ES276" s="5661"/>
      <c r="ET276" s="5661"/>
      <c r="EU276" s="5661"/>
      <c r="EV276" s="5661"/>
      <c r="EW276" s="5661"/>
      <c r="FE276" s="5642" t="s">
        <v>1319</v>
      </c>
      <c r="FF276" s="5642"/>
      <c r="FG276" s="5642"/>
      <c r="FH276" s="5642"/>
      <c r="FI276" s="5642"/>
      <c r="FJ276" s="5642"/>
      <c r="FK276" s="5642"/>
      <c r="FL276" s="5642"/>
      <c r="FM276" s="5642"/>
      <c r="FN276" s="5642"/>
      <c r="FQ276" s="42"/>
      <c r="FR276" s="516"/>
      <c r="FS276" s="516"/>
      <c r="FT276" s="516"/>
      <c r="FU276" s="516"/>
      <c r="FV276" s="5665" t="s">
        <v>1319</v>
      </c>
      <c r="FW276" s="5665"/>
      <c r="FX276" s="5665"/>
      <c r="FY276" s="5665"/>
      <c r="FZ276" s="5665"/>
      <c r="GA276" s="5665"/>
      <c r="GB276" s="5665"/>
      <c r="GC276" s="5665"/>
      <c r="GD276" s="5665"/>
      <c r="GE276" s="5665"/>
      <c r="GF276" s="5665"/>
      <c r="GG276" s="517"/>
      <c r="GH276" s="516"/>
      <c r="GI276" s="516"/>
    </row>
    <row r="277" spans="2:191" ht="28.2" thickBot="1">
      <c r="D277" s="4800" t="s">
        <v>1344</v>
      </c>
      <c r="E277" s="4606"/>
      <c r="F277" s="4606"/>
      <c r="G277" s="4606"/>
      <c r="H277" s="4606"/>
      <c r="I277" s="4606"/>
      <c r="J277" s="4606"/>
      <c r="K277" s="4606">
        <v>1</v>
      </c>
      <c r="L277" s="4606">
        <v>0</v>
      </c>
      <c r="M277" s="4606"/>
      <c r="N277" s="2552"/>
      <c r="O277" s="2552"/>
      <c r="P277" s="2552">
        <v>1</v>
      </c>
      <c r="Q277" s="2552"/>
      <c r="R277" s="2552"/>
      <c r="U277" s="1793"/>
      <c r="V277" s="1793" t="s">
        <v>546</v>
      </c>
      <c r="W277" s="4804">
        <v>1</v>
      </c>
      <c r="X277" s="4804">
        <v>1</v>
      </c>
      <c r="Y277" s="4804"/>
      <c r="Z277" s="4804">
        <v>3</v>
      </c>
      <c r="AA277" s="4804">
        <v>2</v>
      </c>
      <c r="AB277" s="4804">
        <v>53</v>
      </c>
      <c r="AC277" s="4804">
        <v>1</v>
      </c>
      <c r="AD277" s="4804">
        <v>2</v>
      </c>
      <c r="AE277" s="4702"/>
      <c r="AF277" s="4702">
        <v>63</v>
      </c>
      <c r="AG277" s="4703">
        <f>+AF276/AF277</f>
        <v>3.1746031746031744E-2</v>
      </c>
      <c r="AI277" s="41"/>
      <c r="AJ277" s="41"/>
      <c r="AK277" s="41"/>
      <c r="AL277" s="41" t="s">
        <v>1235</v>
      </c>
      <c r="AM277" s="2001"/>
      <c r="AN277" s="2001"/>
      <c r="AO277" s="2001"/>
      <c r="AP277" s="2001">
        <v>0</v>
      </c>
      <c r="AQ277" s="2001"/>
      <c r="AR277" s="2001">
        <v>2</v>
      </c>
      <c r="AS277" s="2001">
        <v>0</v>
      </c>
      <c r="AT277" s="2001"/>
      <c r="AU277" s="105"/>
      <c r="AV277" s="105"/>
      <c r="AW277" s="105">
        <v>2</v>
      </c>
      <c r="AX277" s="41"/>
      <c r="AZ277" s="42"/>
      <c r="BA277" s="42"/>
      <c r="BB277" s="42" t="s">
        <v>419</v>
      </c>
      <c r="BC277" s="42" t="s">
        <v>1231</v>
      </c>
      <c r="BD277" s="1993"/>
      <c r="BE277" s="1993"/>
      <c r="BF277" s="1993">
        <v>2</v>
      </c>
      <c r="BG277" s="1993"/>
      <c r="BH277" s="1993"/>
      <c r="BI277" s="1993"/>
      <c r="BJ277" s="1993">
        <v>22</v>
      </c>
      <c r="BK277" s="1993"/>
      <c r="BL277" s="1993"/>
      <c r="BM277" s="70"/>
      <c r="BN277" s="70"/>
      <c r="BO277" s="70">
        <v>24</v>
      </c>
      <c r="BR277" s="105"/>
      <c r="BS277" s="105"/>
      <c r="BT277" s="41"/>
      <c r="BU277" s="41" t="s">
        <v>1235</v>
      </c>
      <c r="BV277" s="1659"/>
      <c r="BW277" s="1659"/>
      <c r="BX277" s="1659"/>
      <c r="BY277" s="1659"/>
      <c r="BZ277" s="1659"/>
      <c r="CA277" s="1659"/>
      <c r="CB277" s="1659">
        <v>10</v>
      </c>
      <c r="CC277" s="1659"/>
      <c r="CD277" s="1659"/>
      <c r="CE277" s="105"/>
      <c r="CF277" s="105"/>
      <c r="CG277" s="105">
        <v>10</v>
      </c>
      <c r="CH277" s="105"/>
      <c r="CJ277" s="1359"/>
      <c r="CK277" s="1359"/>
      <c r="CL277" s="1360"/>
      <c r="CM277" s="1361" t="s">
        <v>1236</v>
      </c>
      <c r="CN277" s="1363">
        <v>0</v>
      </c>
      <c r="CO277" s="1363">
        <v>0</v>
      </c>
      <c r="CP277" s="1363">
        <v>0</v>
      </c>
      <c r="CQ277" s="1363">
        <v>0</v>
      </c>
      <c r="CR277" s="1363">
        <v>1</v>
      </c>
      <c r="CS277" s="1363">
        <v>0</v>
      </c>
      <c r="CT277" s="1363">
        <v>0</v>
      </c>
      <c r="CU277" s="1363">
        <v>0</v>
      </c>
      <c r="CV277" s="687">
        <v>0</v>
      </c>
      <c r="CW277" s="686"/>
      <c r="CX277" s="687">
        <v>1</v>
      </c>
      <c r="CY277" s="41"/>
      <c r="DA277" s="602"/>
      <c r="DB277" s="602"/>
      <c r="DC277" s="603"/>
      <c r="DD277" s="604" t="s">
        <v>1233</v>
      </c>
      <c r="DE277" s="606">
        <v>3</v>
      </c>
      <c r="DF277" s="606">
        <v>0</v>
      </c>
      <c r="DG277" s="606">
        <v>0</v>
      </c>
      <c r="DH277" s="606">
        <v>0</v>
      </c>
      <c r="DI277" s="606">
        <v>0</v>
      </c>
      <c r="DJ277" s="606">
        <v>0</v>
      </c>
      <c r="DK277" s="606">
        <v>0</v>
      </c>
      <c r="DL277" s="606">
        <v>0</v>
      </c>
      <c r="DM277" s="607">
        <v>0</v>
      </c>
      <c r="DN277" s="602"/>
      <c r="DO277" s="607">
        <v>3</v>
      </c>
      <c r="DP277" s="105"/>
      <c r="EJ277" s="45"/>
      <c r="EK277" s="45"/>
      <c r="EL277" s="650" t="s">
        <v>0</v>
      </c>
      <c r="EM277" s="650" t="s">
        <v>1229</v>
      </c>
      <c r="EN277" s="650">
        <v>1</v>
      </c>
      <c r="EO277" s="650">
        <v>2</v>
      </c>
      <c r="EP277" s="650">
        <v>3</v>
      </c>
      <c r="EQ277" s="650">
        <v>4</v>
      </c>
      <c r="ER277" s="650">
        <v>5</v>
      </c>
      <c r="ES277" s="650">
        <v>6</v>
      </c>
      <c r="ET277" s="650">
        <v>7</v>
      </c>
      <c r="EU277" s="650">
        <v>8</v>
      </c>
      <c r="EV277" s="650">
        <v>9</v>
      </c>
      <c r="EW277" s="650">
        <v>10</v>
      </c>
      <c r="EX277" s="650" t="s">
        <v>15</v>
      </c>
      <c r="EY277" s="559" t="s">
        <v>66</v>
      </c>
      <c r="EZ277" s="45"/>
      <c r="FA277" s="53"/>
      <c r="FB277" s="53"/>
      <c r="FC277" s="54" t="s">
        <v>147</v>
      </c>
      <c r="FD277" s="651" t="s">
        <v>1229</v>
      </c>
      <c r="FE277" s="54">
        <v>1</v>
      </c>
      <c r="FF277" s="54">
        <v>2</v>
      </c>
      <c r="FG277" s="54">
        <v>3</v>
      </c>
      <c r="FH277" s="54">
        <v>4</v>
      </c>
      <c r="FI277" s="54">
        <v>5</v>
      </c>
      <c r="FJ277" s="54">
        <v>6</v>
      </c>
      <c r="FK277" s="54">
        <v>7</v>
      </c>
      <c r="FL277" s="54">
        <v>8</v>
      </c>
      <c r="FM277" s="54">
        <v>9</v>
      </c>
      <c r="FN277" s="54">
        <v>10</v>
      </c>
      <c r="FO277" s="54" t="s">
        <v>15</v>
      </c>
      <c r="FP277" s="651" t="s">
        <v>66</v>
      </c>
      <c r="FQ277" s="42"/>
      <c r="FR277" s="516"/>
      <c r="FS277" s="516"/>
      <c r="FT277" s="570" t="s">
        <v>0</v>
      </c>
      <c r="FU277" s="570" t="s">
        <v>1321</v>
      </c>
      <c r="FV277" s="569">
        <v>0</v>
      </c>
      <c r="FW277" s="569">
        <v>1</v>
      </c>
      <c r="FX277" s="569">
        <v>2</v>
      </c>
      <c r="FY277" s="569">
        <v>3</v>
      </c>
      <c r="FZ277" s="569">
        <v>4</v>
      </c>
      <c r="GA277" s="569">
        <v>5</v>
      </c>
      <c r="GB277" s="569">
        <v>6</v>
      </c>
      <c r="GC277" s="569">
        <v>7</v>
      </c>
      <c r="GD277" s="569">
        <v>8</v>
      </c>
      <c r="GE277" s="569">
        <v>9</v>
      </c>
      <c r="GF277" s="569">
        <v>10</v>
      </c>
      <c r="GG277" s="569" t="s">
        <v>15</v>
      </c>
      <c r="GH277" s="570" t="s">
        <v>66</v>
      </c>
      <c r="GI277" s="569" t="s">
        <v>1322</v>
      </c>
    </row>
    <row r="278" spans="2:191">
      <c r="D278" s="4800" t="s">
        <v>15</v>
      </c>
      <c r="E278" s="4606"/>
      <c r="F278" s="4606"/>
      <c r="G278" s="4606"/>
      <c r="H278" s="4606"/>
      <c r="I278" s="4606"/>
      <c r="J278" s="4606"/>
      <c r="K278" s="4606">
        <v>5</v>
      </c>
      <c r="L278" s="4606">
        <v>1</v>
      </c>
      <c r="M278" s="4606"/>
      <c r="N278" s="2552"/>
      <c r="O278" s="2552"/>
      <c r="P278" s="2552">
        <v>6</v>
      </c>
      <c r="Q278" s="1977">
        <f>+(P276+P277)/(P278)</f>
        <v>0.5</v>
      </c>
      <c r="R278" s="1977"/>
      <c r="U278" s="1793" t="s">
        <v>442</v>
      </c>
      <c r="V278" s="1793" t="s">
        <v>1230</v>
      </c>
      <c r="W278" s="4804">
        <v>0</v>
      </c>
      <c r="X278" s="4804">
        <v>0</v>
      </c>
      <c r="Y278" s="4804">
        <v>0</v>
      </c>
      <c r="Z278" s="4804">
        <v>1</v>
      </c>
      <c r="AA278" s="4804">
        <v>0</v>
      </c>
      <c r="AB278" s="4804">
        <v>1</v>
      </c>
      <c r="AC278" s="4804">
        <v>1</v>
      </c>
      <c r="AD278" s="4804">
        <v>2</v>
      </c>
      <c r="AE278" s="4702">
        <v>0</v>
      </c>
      <c r="AF278" s="4702">
        <v>5</v>
      </c>
      <c r="AG278" s="1793"/>
      <c r="AI278" s="41"/>
      <c r="AJ278" s="41"/>
      <c r="AK278" s="41"/>
      <c r="AL278" s="41" t="s">
        <v>1344</v>
      </c>
      <c r="AM278" s="2001"/>
      <c r="AN278" s="2001"/>
      <c r="AO278" s="2001"/>
      <c r="AP278" s="2001">
        <v>0</v>
      </c>
      <c r="AQ278" s="2001"/>
      <c r="AR278" s="2001">
        <v>1</v>
      </c>
      <c r="AS278" s="2001">
        <v>0</v>
      </c>
      <c r="AT278" s="2001"/>
      <c r="AU278" s="105"/>
      <c r="AV278" s="105"/>
      <c r="AW278" s="105">
        <v>1</v>
      </c>
      <c r="AX278" s="41"/>
      <c r="AZ278" s="42"/>
      <c r="BA278" s="42"/>
      <c r="BB278" s="42"/>
      <c r="BC278" s="484" t="s">
        <v>15</v>
      </c>
      <c r="BD278" s="1994"/>
      <c r="BE278" s="1994"/>
      <c r="BF278" s="1994">
        <v>2</v>
      </c>
      <c r="BG278" s="1994"/>
      <c r="BH278" s="1994"/>
      <c r="BI278" s="1994"/>
      <c r="BJ278" s="1994">
        <v>22</v>
      </c>
      <c r="BK278" s="1994"/>
      <c r="BL278" s="1994"/>
      <c r="BM278" s="454"/>
      <c r="BN278" s="454"/>
      <c r="BO278" s="454">
        <v>24</v>
      </c>
      <c r="BP278" s="2485">
        <v>0</v>
      </c>
      <c r="BR278" s="105"/>
      <c r="BS278" s="105"/>
      <c r="BT278" s="41"/>
      <c r="BU278" s="41" t="s">
        <v>1240</v>
      </c>
      <c r="BV278" s="1659"/>
      <c r="BW278" s="1659"/>
      <c r="BX278" s="1659"/>
      <c r="BY278" s="1659"/>
      <c r="BZ278" s="1659"/>
      <c r="CA278" s="1659"/>
      <c r="CB278" s="1659">
        <v>9</v>
      </c>
      <c r="CC278" s="1659"/>
      <c r="CD278" s="1659"/>
      <c r="CE278" s="105"/>
      <c r="CF278" s="105"/>
      <c r="CG278" s="105">
        <v>9</v>
      </c>
      <c r="CH278" s="105"/>
      <c r="CJ278" s="1359"/>
      <c r="CK278" s="1359"/>
      <c r="CL278" s="1360"/>
      <c r="CM278" s="1361" t="s">
        <v>1239</v>
      </c>
      <c r="CN278" s="1363">
        <v>0</v>
      </c>
      <c r="CO278" s="1363">
        <v>0</v>
      </c>
      <c r="CP278" s="1363">
        <v>0</v>
      </c>
      <c r="CQ278" s="1363">
        <v>0</v>
      </c>
      <c r="CR278" s="1363">
        <v>2</v>
      </c>
      <c r="CS278" s="1363">
        <v>1</v>
      </c>
      <c r="CT278" s="1363">
        <v>1</v>
      </c>
      <c r="CU278" s="1363">
        <v>5</v>
      </c>
      <c r="CV278" s="687">
        <v>2</v>
      </c>
      <c r="CW278" s="686"/>
      <c r="CX278" s="687">
        <v>11</v>
      </c>
      <c r="CY278" s="41"/>
      <c r="DA278" s="602"/>
      <c r="DB278" s="602"/>
      <c r="DC278" s="603"/>
      <c r="DD278" s="604" t="s">
        <v>1235</v>
      </c>
      <c r="DE278" s="606">
        <v>0</v>
      </c>
      <c r="DF278" s="606">
        <v>0</v>
      </c>
      <c r="DG278" s="606">
        <v>1</v>
      </c>
      <c r="DH278" s="606">
        <v>0</v>
      </c>
      <c r="DI278" s="606">
        <v>0</v>
      </c>
      <c r="DJ278" s="606">
        <v>8</v>
      </c>
      <c r="DK278" s="606">
        <v>8</v>
      </c>
      <c r="DL278" s="606">
        <v>0</v>
      </c>
      <c r="DM278" s="607">
        <v>0</v>
      </c>
      <c r="DN278" s="602"/>
      <c r="DO278" s="607">
        <v>17</v>
      </c>
      <c r="DP278" s="105"/>
      <c r="EJ278" s="615"/>
      <c r="EK278" s="615"/>
      <c r="EL278" s="652" t="s">
        <v>75</v>
      </c>
      <c r="EM278" s="616" t="s">
        <v>1230</v>
      </c>
      <c r="EN278" s="618">
        <v>0</v>
      </c>
      <c r="EO278" s="618">
        <v>0</v>
      </c>
      <c r="EP278" s="618">
        <v>0</v>
      </c>
      <c r="EQ278" s="618">
        <v>0</v>
      </c>
      <c r="ER278" s="618">
        <v>0</v>
      </c>
      <c r="ES278" s="618">
        <v>0</v>
      </c>
      <c r="ET278" s="618">
        <v>2</v>
      </c>
      <c r="EU278" s="618">
        <v>11</v>
      </c>
      <c r="EV278" s="618">
        <v>4</v>
      </c>
      <c r="EW278" s="618">
        <v>13</v>
      </c>
      <c r="EX278" s="618">
        <v>30</v>
      </c>
      <c r="EY278" s="515"/>
      <c r="FA278" s="70"/>
      <c r="FB278" s="70"/>
      <c r="FC278" s="454" t="s">
        <v>75</v>
      </c>
      <c r="FD278" s="42" t="s">
        <v>1230</v>
      </c>
      <c r="FE278" s="42">
        <v>0</v>
      </c>
      <c r="FF278" s="42">
        <v>0</v>
      </c>
      <c r="FG278" s="42">
        <v>0</v>
      </c>
      <c r="FH278" s="42">
        <v>0</v>
      </c>
      <c r="FI278" s="42">
        <v>0</v>
      </c>
      <c r="FJ278" s="42">
        <v>1</v>
      </c>
      <c r="FK278" s="42">
        <v>4</v>
      </c>
      <c r="FL278" s="42">
        <v>26</v>
      </c>
      <c r="FM278" s="42">
        <v>2</v>
      </c>
      <c r="FN278" s="42">
        <v>2</v>
      </c>
      <c r="FO278" s="42">
        <v>35</v>
      </c>
      <c r="FP278" s="42"/>
      <c r="FQ278" s="42"/>
      <c r="FR278" s="516"/>
      <c r="FS278" s="516"/>
      <c r="FT278" s="517" t="s">
        <v>75</v>
      </c>
      <c r="FU278" s="516" t="s">
        <v>1230</v>
      </c>
      <c r="FV278" s="516">
        <v>0</v>
      </c>
      <c r="FW278" s="516">
        <v>0</v>
      </c>
      <c r="FX278" s="516">
        <v>0</v>
      </c>
      <c r="FY278" s="516">
        <v>1</v>
      </c>
      <c r="FZ278" s="516">
        <v>1</v>
      </c>
      <c r="GA278" s="516">
        <v>0</v>
      </c>
      <c r="GB278" s="516">
        <v>5</v>
      </c>
      <c r="GC278" s="516">
        <v>2</v>
      </c>
      <c r="GD278" s="516">
        <v>18</v>
      </c>
      <c r="GE278" s="516">
        <v>2</v>
      </c>
      <c r="GF278" s="516">
        <v>5</v>
      </c>
      <c r="GG278" s="517">
        <v>34</v>
      </c>
      <c r="GH278" s="516"/>
      <c r="GI278" s="518"/>
    </row>
    <row r="279" spans="2:191">
      <c r="C279" s="32" t="s">
        <v>547</v>
      </c>
      <c r="D279" s="32" t="s">
        <v>1230</v>
      </c>
      <c r="E279" s="4607">
        <v>0</v>
      </c>
      <c r="F279" s="4607">
        <v>0</v>
      </c>
      <c r="G279" s="4607">
        <v>0</v>
      </c>
      <c r="H279" s="4607">
        <v>0</v>
      </c>
      <c r="I279" s="4607">
        <v>0</v>
      </c>
      <c r="J279" s="4607"/>
      <c r="K279" s="4607">
        <v>1</v>
      </c>
      <c r="L279" s="4607">
        <v>0</v>
      </c>
      <c r="M279" s="4607">
        <v>1</v>
      </c>
      <c r="N279" s="4583">
        <v>0</v>
      </c>
      <c r="O279" s="4583">
        <v>0</v>
      </c>
      <c r="P279" s="4583">
        <v>2</v>
      </c>
      <c r="Q279" s="4583"/>
      <c r="R279" s="4583"/>
      <c r="U279" s="1793"/>
      <c r="V279" s="1793" t="s">
        <v>1231</v>
      </c>
      <c r="W279" s="4804">
        <v>5</v>
      </c>
      <c r="X279" s="4804">
        <v>3</v>
      </c>
      <c r="Y279" s="4804">
        <v>1</v>
      </c>
      <c r="Z279" s="4804">
        <v>4</v>
      </c>
      <c r="AA279" s="4804">
        <v>3</v>
      </c>
      <c r="AB279" s="4804">
        <v>102</v>
      </c>
      <c r="AC279" s="4804">
        <v>4</v>
      </c>
      <c r="AD279" s="4804">
        <v>0</v>
      </c>
      <c r="AE279" s="4702">
        <v>0</v>
      </c>
      <c r="AF279" s="4702">
        <v>122</v>
      </c>
      <c r="AG279" s="1793"/>
      <c r="AI279" s="41"/>
      <c r="AJ279" s="41"/>
      <c r="AK279" s="41"/>
      <c r="AL279" s="461" t="s">
        <v>15</v>
      </c>
      <c r="AM279" s="2002"/>
      <c r="AN279" s="2002"/>
      <c r="AO279" s="2002"/>
      <c r="AP279" s="2002">
        <v>1</v>
      </c>
      <c r="AQ279" s="2002"/>
      <c r="AR279" s="2002">
        <v>8</v>
      </c>
      <c r="AS279" s="2002">
        <v>1</v>
      </c>
      <c r="AT279" s="2002"/>
      <c r="AU279" s="2480"/>
      <c r="AV279" s="2480"/>
      <c r="AW279" s="2480">
        <v>10</v>
      </c>
      <c r="AX279" s="635">
        <f>+(AW278+AW277)/AW279</f>
        <v>0.3</v>
      </c>
      <c r="AY279" s="1977"/>
      <c r="AZ279" s="42"/>
      <c r="BA279" s="42"/>
      <c r="BB279" s="42" t="s">
        <v>546</v>
      </c>
      <c r="BC279" s="42" t="s">
        <v>1230</v>
      </c>
      <c r="BD279" s="1993"/>
      <c r="BE279" s="1993">
        <v>0</v>
      </c>
      <c r="BF279" s="1993">
        <v>0</v>
      </c>
      <c r="BG279" s="1993"/>
      <c r="BH279" s="1993">
        <v>0</v>
      </c>
      <c r="BI279" s="1993">
        <v>0</v>
      </c>
      <c r="BJ279" s="1993">
        <v>0</v>
      </c>
      <c r="BK279" s="1993">
        <v>1</v>
      </c>
      <c r="BL279" s="1993">
        <v>0</v>
      </c>
      <c r="BM279" s="70"/>
      <c r="BN279" s="70"/>
      <c r="BO279" s="70">
        <v>1</v>
      </c>
      <c r="BR279" s="105"/>
      <c r="BS279" s="105"/>
      <c r="BT279" s="41"/>
      <c r="BU279" s="41" t="s">
        <v>1344</v>
      </c>
      <c r="BV279" s="1659"/>
      <c r="BW279" s="1659"/>
      <c r="BX279" s="1659"/>
      <c r="BY279" s="1659"/>
      <c r="BZ279" s="1659"/>
      <c r="CA279" s="1659"/>
      <c r="CB279" s="1659">
        <v>4</v>
      </c>
      <c r="CC279" s="1659"/>
      <c r="CD279" s="1659"/>
      <c r="CE279" s="105"/>
      <c r="CF279" s="105"/>
      <c r="CG279" s="105">
        <v>4</v>
      </c>
      <c r="CH279" s="105"/>
      <c r="CJ279" s="1359"/>
      <c r="CK279" s="1359"/>
      <c r="CL279" s="1360"/>
      <c r="CM279" s="1361" t="s">
        <v>1240</v>
      </c>
      <c r="CN279" s="1363">
        <v>0</v>
      </c>
      <c r="CO279" s="1363">
        <v>0</v>
      </c>
      <c r="CP279" s="1363">
        <v>0</v>
      </c>
      <c r="CQ279" s="1363">
        <v>1</v>
      </c>
      <c r="CR279" s="1363">
        <v>1</v>
      </c>
      <c r="CS279" s="1363">
        <v>20</v>
      </c>
      <c r="CT279" s="1363">
        <v>4</v>
      </c>
      <c r="CU279" s="1363">
        <v>0</v>
      </c>
      <c r="CV279" s="687">
        <v>0</v>
      </c>
      <c r="CW279" s="686"/>
      <c r="CX279" s="687">
        <v>26</v>
      </c>
      <c r="CY279" s="41"/>
      <c r="DA279" s="602"/>
      <c r="DB279" s="602"/>
      <c r="DC279" s="603"/>
      <c r="DD279" s="604" t="s">
        <v>1236</v>
      </c>
      <c r="DE279" s="606">
        <v>1</v>
      </c>
      <c r="DF279" s="606">
        <v>1</v>
      </c>
      <c r="DG279" s="606">
        <v>1</v>
      </c>
      <c r="DH279" s="606">
        <v>1</v>
      </c>
      <c r="DI279" s="606">
        <v>0</v>
      </c>
      <c r="DJ279" s="606">
        <v>0</v>
      </c>
      <c r="DK279" s="606">
        <v>0</v>
      </c>
      <c r="DL279" s="606">
        <v>0</v>
      </c>
      <c r="DM279" s="607">
        <v>0</v>
      </c>
      <c r="DN279" s="602"/>
      <c r="DO279" s="607">
        <v>4</v>
      </c>
      <c r="DP279" s="105"/>
      <c r="EJ279" s="615"/>
      <c r="EK279" s="615"/>
      <c r="EL279" s="615"/>
      <c r="EM279" s="616" t="s">
        <v>1231</v>
      </c>
      <c r="EN279" s="618">
        <v>1</v>
      </c>
      <c r="EO279" s="618">
        <v>1</v>
      </c>
      <c r="EP279" s="618">
        <v>27</v>
      </c>
      <c r="EQ279" s="618">
        <v>11</v>
      </c>
      <c r="ER279" s="618">
        <v>4</v>
      </c>
      <c r="ES279" s="618">
        <v>76</v>
      </c>
      <c r="ET279" s="618">
        <v>47</v>
      </c>
      <c r="EU279" s="618">
        <v>8</v>
      </c>
      <c r="EV279" s="618">
        <v>4</v>
      </c>
      <c r="EW279" s="618">
        <v>0</v>
      </c>
      <c r="EX279" s="618">
        <v>179</v>
      </c>
      <c r="EY279" s="515"/>
      <c r="FA279" s="70"/>
      <c r="FB279" s="70"/>
      <c r="FC279" s="42"/>
      <c r="FD279" s="42" t="s">
        <v>1231</v>
      </c>
      <c r="FE279" s="42">
        <v>3</v>
      </c>
      <c r="FF279" s="42">
        <v>9</v>
      </c>
      <c r="FG279" s="42">
        <v>4</v>
      </c>
      <c r="FH279" s="42">
        <v>2</v>
      </c>
      <c r="FI279" s="42">
        <v>4</v>
      </c>
      <c r="FJ279" s="42">
        <v>91</v>
      </c>
      <c r="FK279" s="42">
        <v>39</v>
      </c>
      <c r="FL279" s="42">
        <v>4</v>
      </c>
      <c r="FM279" s="42">
        <v>0</v>
      </c>
      <c r="FN279" s="42">
        <v>0</v>
      </c>
      <c r="FO279" s="42">
        <v>156</v>
      </c>
      <c r="FP279" s="42"/>
      <c r="FQ279" s="42"/>
      <c r="FR279" s="516"/>
      <c r="FS279" s="516"/>
      <c r="FT279" s="516"/>
      <c r="FU279" s="516" t="s">
        <v>1231</v>
      </c>
      <c r="FV279" s="516">
        <v>1</v>
      </c>
      <c r="FW279" s="516">
        <v>2</v>
      </c>
      <c r="FX279" s="516">
        <v>7</v>
      </c>
      <c r="FY279" s="516">
        <v>6</v>
      </c>
      <c r="FZ279" s="516">
        <v>9</v>
      </c>
      <c r="GA279" s="516">
        <v>1</v>
      </c>
      <c r="GB279" s="516">
        <v>87</v>
      </c>
      <c r="GC279" s="516">
        <v>16</v>
      </c>
      <c r="GD279" s="516">
        <v>0</v>
      </c>
      <c r="GE279" s="516">
        <v>0</v>
      </c>
      <c r="GF279" s="516">
        <v>0</v>
      </c>
      <c r="GG279" s="517">
        <v>129</v>
      </c>
      <c r="GH279" s="516"/>
      <c r="GI279" s="518"/>
    </row>
    <row r="280" spans="2:191">
      <c r="C280" s="32"/>
      <c r="D280" s="32" t="s">
        <v>1231</v>
      </c>
      <c r="E280" s="4607">
        <v>0</v>
      </c>
      <c r="F280" s="4607">
        <v>1</v>
      </c>
      <c r="G280" s="4607">
        <v>3</v>
      </c>
      <c r="H280" s="4607">
        <v>1</v>
      </c>
      <c r="I280" s="4607">
        <v>1</v>
      </c>
      <c r="J280" s="4607"/>
      <c r="K280" s="4607">
        <v>31</v>
      </c>
      <c r="L280" s="4607">
        <v>3</v>
      </c>
      <c r="M280" s="4607">
        <v>0</v>
      </c>
      <c r="N280" s="4583">
        <v>0</v>
      </c>
      <c r="O280" s="4583">
        <v>0</v>
      </c>
      <c r="P280" s="4583">
        <v>40</v>
      </c>
      <c r="Q280" s="4583"/>
      <c r="R280" s="4583"/>
      <c r="U280" s="1793"/>
      <c r="V280" s="1793" t="s">
        <v>1233</v>
      </c>
      <c r="W280" s="4804">
        <v>3</v>
      </c>
      <c r="X280" s="4804">
        <v>1</v>
      </c>
      <c r="Y280" s="4804">
        <v>0</v>
      </c>
      <c r="Z280" s="4804">
        <v>0</v>
      </c>
      <c r="AA280" s="4804">
        <v>0</v>
      </c>
      <c r="AB280" s="4804">
        <v>0</v>
      </c>
      <c r="AC280" s="4804">
        <v>0</v>
      </c>
      <c r="AD280" s="4804">
        <v>0</v>
      </c>
      <c r="AE280" s="4702">
        <v>0</v>
      </c>
      <c r="AF280" s="4702">
        <v>4</v>
      </c>
      <c r="AG280" s="1793"/>
      <c r="AI280" s="41"/>
      <c r="AJ280" s="41"/>
      <c r="AK280" s="461" t="s">
        <v>547</v>
      </c>
      <c r="AL280" s="461" t="s">
        <v>1230</v>
      </c>
      <c r="AM280" s="2002"/>
      <c r="AN280" s="2002">
        <v>0</v>
      </c>
      <c r="AO280" s="2002"/>
      <c r="AP280" s="2002">
        <v>0</v>
      </c>
      <c r="AQ280" s="2002">
        <v>0</v>
      </c>
      <c r="AR280" s="2002">
        <v>0</v>
      </c>
      <c r="AS280" s="2002">
        <v>1</v>
      </c>
      <c r="AT280" s="2002">
        <v>0</v>
      </c>
      <c r="AU280" s="2480">
        <v>0</v>
      </c>
      <c r="AV280" s="2480"/>
      <c r="AW280" s="2480">
        <v>1</v>
      </c>
      <c r="AX280" s="41"/>
      <c r="AZ280" s="42"/>
      <c r="BA280" s="42"/>
      <c r="BB280" s="42"/>
      <c r="BC280" s="42" t="s">
        <v>1231</v>
      </c>
      <c r="BD280" s="1993"/>
      <c r="BE280" s="1993">
        <v>1</v>
      </c>
      <c r="BF280" s="1993">
        <v>3</v>
      </c>
      <c r="BG280" s="1993"/>
      <c r="BH280" s="1993">
        <v>1</v>
      </c>
      <c r="BI280" s="1993">
        <v>1</v>
      </c>
      <c r="BJ280" s="1993">
        <v>34</v>
      </c>
      <c r="BK280" s="1993">
        <v>1</v>
      </c>
      <c r="BL280" s="1993">
        <v>1</v>
      </c>
      <c r="BM280" s="70"/>
      <c r="BN280" s="70"/>
      <c r="BO280" s="70">
        <v>42</v>
      </c>
      <c r="BR280" s="105"/>
      <c r="BS280" s="105"/>
      <c r="BT280" s="41"/>
      <c r="BU280" s="461" t="s">
        <v>15</v>
      </c>
      <c r="BV280" s="1660"/>
      <c r="BW280" s="1660"/>
      <c r="BX280" s="1660"/>
      <c r="BY280" s="1660"/>
      <c r="BZ280" s="1660"/>
      <c r="CA280" s="1660"/>
      <c r="CB280" s="1660">
        <v>25</v>
      </c>
      <c r="CC280" s="1660"/>
      <c r="CD280" s="1660"/>
      <c r="CE280" s="96"/>
      <c r="CF280" s="96"/>
      <c r="CG280" s="96">
        <v>25</v>
      </c>
      <c r="CH280" s="635">
        <f>+(CG277+CG278+CG279)/CG280</f>
        <v>0.92</v>
      </c>
      <c r="CJ280" s="1359"/>
      <c r="CK280" s="1359"/>
      <c r="CL280" s="1360"/>
      <c r="CM280" s="1361" t="s">
        <v>1344</v>
      </c>
      <c r="CN280" s="1363">
        <v>0</v>
      </c>
      <c r="CO280" s="1363">
        <v>0</v>
      </c>
      <c r="CP280" s="1363">
        <v>0</v>
      </c>
      <c r="CQ280" s="1363">
        <v>2</v>
      </c>
      <c r="CR280" s="1363">
        <v>2</v>
      </c>
      <c r="CS280" s="1363">
        <v>18</v>
      </c>
      <c r="CT280" s="1363">
        <v>3</v>
      </c>
      <c r="CU280" s="1363">
        <v>0</v>
      </c>
      <c r="CV280" s="687">
        <v>0</v>
      </c>
      <c r="CW280" s="686"/>
      <c r="CX280" s="687">
        <v>25</v>
      </c>
      <c r="CY280" s="41"/>
      <c r="DA280" s="602"/>
      <c r="DB280" s="602"/>
      <c r="DC280" s="603"/>
      <c r="DD280" s="604" t="s">
        <v>1239</v>
      </c>
      <c r="DE280" s="606">
        <v>0</v>
      </c>
      <c r="DF280" s="606">
        <v>0</v>
      </c>
      <c r="DG280" s="606">
        <v>0</v>
      </c>
      <c r="DH280" s="606">
        <v>0</v>
      </c>
      <c r="DI280" s="606">
        <v>0</v>
      </c>
      <c r="DJ280" s="606">
        <v>0</v>
      </c>
      <c r="DK280" s="606">
        <v>1</v>
      </c>
      <c r="DL280" s="606">
        <v>19</v>
      </c>
      <c r="DM280" s="607">
        <v>2</v>
      </c>
      <c r="DN280" s="602"/>
      <c r="DO280" s="607">
        <v>22</v>
      </c>
      <c r="DP280" s="105"/>
      <c r="EJ280" s="615"/>
      <c r="EK280" s="615"/>
      <c r="EL280" s="615"/>
      <c r="EM280" s="616" t="s">
        <v>1233</v>
      </c>
      <c r="EN280" s="618">
        <v>0</v>
      </c>
      <c r="EO280" s="618">
        <v>2</v>
      </c>
      <c r="EP280" s="618">
        <v>0</v>
      </c>
      <c r="EQ280" s="618">
        <v>1</v>
      </c>
      <c r="ER280" s="618">
        <v>0</v>
      </c>
      <c r="ES280" s="618">
        <v>0</v>
      </c>
      <c r="ET280" s="618">
        <v>0</v>
      </c>
      <c r="EU280" s="618">
        <v>0</v>
      </c>
      <c r="EV280" s="618">
        <v>0</v>
      </c>
      <c r="EW280" s="618">
        <v>0</v>
      </c>
      <c r="EX280" s="618">
        <v>3</v>
      </c>
      <c r="EY280" s="515"/>
      <c r="FA280" s="70"/>
      <c r="FB280" s="70"/>
      <c r="FC280" s="42"/>
      <c r="FD280" s="42" t="s">
        <v>1233</v>
      </c>
      <c r="FE280" s="42">
        <v>0</v>
      </c>
      <c r="FF280" s="42">
        <v>0</v>
      </c>
      <c r="FG280" s="42">
        <v>1</v>
      </c>
      <c r="FH280" s="42">
        <v>0</v>
      </c>
      <c r="FI280" s="42">
        <v>0</v>
      </c>
      <c r="FJ280" s="42">
        <v>0</v>
      </c>
      <c r="FK280" s="42">
        <v>0</v>
      </c>
      <c r="FL280" s="42">
        <v>0</v>
      </c>
      <c r="FM280" s="42">
        <v>0</v>
      </c>
      <c r="FN280" s="42">
        <v>0</v>
      </c>
      <c r="FO280" s="42">
        <v>1</v>
      </c>
      <c r="FP280" s="42"/>
      <c r="FQ280" s="42"/>
      <c r="FR280" s="516"/>
      <c r="FS280" s="516"/>
      <c r="FT280" s="516"/>
      <c r="FU280" s="516" t="s">
        <v>1233</v>
      </c>
      <c r="FV280" s="516">
        <v>0</v>
      </c>
      <c r="FW280" s="516">
        <v>1</v>
      </c>
      <c r="FX280" s="516">
        <v>1</v>
      </c>
      <c r="FY280" s="516">
        <v>1</v>
      </c>
      <c r="FZ280" s="516">
        <v>0</v>
      </c>
      <c r="GA280" s="516">
        <v>0</v>
      </c>
      <c r="GB280" s="516">
        <v>0</v>
      </c>
      <c r="GC280" s="516">
        <v>0</v>
      </c>
      <c r="GD280" s="516">
        <v>0</v>
      </c>
      <c r="GE280" s="516">
        <v>0</v>
      </c>
      <c r="GF280" s="516">
        <v>0</v>
      </c>
      <c r="GG280" s="517">
        <v>3</v>
      </c>
      <c r="GH280" s="516"/>
      <c r="GI280" s="518"/>
    </row>
    <row r="281" spans="2:191">
      <c r="C281" s="32"/>
      <c r="D281" s="32" t="s">
        <v>1233</v>
      </c>
      <c r="E281" s="4607">
        <v>0</v>
      </c>
      <c r="F281" s="4607">
        <v>3</v>
      </c>
      <c r="G281" s="4607">
        <v>0</v>
      </c>
      <c r="H281" s="4607">
        <v>0</v>
      </c>
      <c r="I281" s="4607">
        <v>0</v>
      </c>
      <c r="J281" s="4607"/>
      <c r="K281" s="4607">
        <v>0</v>
      </c>
      <c r="L281" s="4607">
        <v>0</v>
      </c>
      <c r="M281" s="4607">
        <v>0</v>
      </c>
      <c r="N281" s="4583">
        <v>0</v>
      </c>
      <c r="O281" s="4583">
        <v>0</v>
      </c>
      <c r="P281" s="4583">
        <v>3</v>
      </c>
      <c r="Q281" s="4583"/>
      <c r="R281" s="4583"/>
      <c r="U281" s="1793"/>
      <c r="V281" s="1793" t="s">
        <v>1235</v>
      </c>
      <c r="W281" s="4804">
        <v>0</v>
      </c>
      <c r="X281" s="4804">
        <v>0</v>
      </c>
      <c r="Y281" s="4804">
        <v>0</v>
      </c>
      <c r="Z281" s="4804">
        <v>0</v>
      </c>
      <c r="AA281" s="4804">
        <v>0</v>
      </c>
      <c r="AB281" s="4804">
        <v>13</v>
      </c>
      <c r="AC281" s="4804">
        <v>3</v>
      </c>
      <c r="AD281" s="4804">
        <v>2</v>
      </c>
      <c r="AE281" s="4702">
        <v>0</v>
      </c>
      <c r="AF281" s="4702">
        <v>18</v>
      </c>
      <c r="AG281" s="1793"/>
      <c r="AI281" s="41"/>
      <c r="AJ281" s="41"/>
      <c r="AK281" s="461"/>
      <c r="AL281" s="461" t="s">
        <v>1231</v>
      </c>
      <c r="AM281" s="2002"/>
      <c r="AN281" s="2002">
        <v>3</v>
      </c>
      <c r="AO281" s="2002"/>
      <c r="AP281" s="2002">
        <v>1</v>
      </c>
      <c r="AQ281" s="2002">
        <v>3</v>
      </c>
      <c r="AR281" s="2002">
        <v>14</v>
      </c>
      <c r="AS281" s="2002">
        <v>3</v>
      </c>
      <c r="AT281" s="2002">
        <v>5</v>
      </c>
      <c r="AU281" s="2480">
        <v>0</v>
      </c>
      <c r="AV281" s="2480"/>
      <c r="AW281" s="2480">
        <v>29</v>
      </c>
      <c r="AX281" s="41"/>
      <c r="AZ281" s="42"/>
      <c r="BA281" s="42"/>
      <c r="BB281" s="42"/>
      <c r="BC281" s="42" t="s">
        <v>1235</v>
      </c>
      <c r="BD281" s="1993"/>
      <c r="BE281" s="1993">
        <v>0</v>
      </c>
      <c r="BF281" s="1993">
        <v>0</v>
      </c>
      <c r="BG281" s="1993"/>
      <c r="BH281" s="1993">
        <v>0</v>
      </c>
      <c r="BI281" s="1993">
        <v>0</v>
      </c>
      <c r="BJ281" s="1993">
        <v>5</v>
      </c>
      <c r="BK281" s="1993">
        <v>0</v>
      </c>
      <c r="BL281" s="1993">
        <v>0</v>
      </c>
      <c r="BM281" s="70"/>
      <c r="BN281" s="70"/>
      <c r="BO281" s="70">
        <v>5</v>
      </c>
      <c r="BR281" s="105"/>
      <c r="BS281" s="105"/>
      <c r="BT281" s="41" t="s">
        <v>844</v>
      </c>
      <c r="BU281" s="41" t="s">
        <v>1231</v>
      </c>
      <c r="BV281" s="1659"/>
      <c r="BW281" s="1659"/>
      <c r="BX281" s="1659"/>
      <c r="BY281" s="1659"/>
      <c r="BZ281" s="1659"/>
      <c r="CA281" s="1659"/>
      <c r="CB281" s="1659">
        <v>2</v>
      </c>
      <c r="CC281" s="1659"/>
      <c r="CD281" s="1659"/>
      <c r="CE281" s="105"/>
      <c r="CF281" s="105"/>
      <c r="CG281" s="105">
        <v>2</v>
      </c>
      <c r="CH281" s="105"/>
      <c r="CJ281" s="1359"/>
      <c r="CK281" s="1359"/>
      <c r="CL281" s="1360"/>
      <c r="CM281" s="483" t="s">
        <v>442</v>
      </c>
      <c r="CN281" s="1365">
        <v>4</v>
      </c>
      <c r="CO281" s="1365">
        <v>3</v>
      </c>
      <c r="CP281" s="1365">
        <v>3</v>
      </c>
      <c r="CQ281" s="1365">
        <v>8</v>
      </c>
      <c r="CR281" s="1365">
        <v>10</v>
      </c>
      <c r="CS281" s="1365">
        <v>96</v>
      </c>
      <c r="CT281" s="1365">
        <v>19</v>
      </c>
      <c r="CU281" s="1365">
        <v>10</v>
      </c>
      <c r="CV281" s="696">
        <v>2</v>
      </c>
      <c r="CW281" s="695"/>
      <c r="CX281" s="696">
        <v>155</v>
      </c>
      <c r="CY281" s="1325">
        <f>+(CX276+CX279+CX280)/CX281</f>
        <v>0.43225806451612903</v>
      </c>
      <c r="DA281" s="602"/>
      <c r="DB281" s="602"/>
      <c r="DC281" s="603"/>
      <c r="DD281" s="604" t="s">
        <v>1240</v>
      </c>
      <c r="DE281" s="606">
        <v>0</v>
      </c>
      <c r="DF281" s="606">
        <v>0</v>
      </c>
      <c r="DG281" s="606">
        <v>7</v>
      </c>
      <c r="DH281" s="606">
        <v>0</v>
      </c>
      <c r="DI281" s="606">
        <v>0</v>
      </c>
      <c r="DJ281" s="606">
        <v>17</v>
      </c>
      <c r="DK281" s="606">
        <v>4</v>
      </c>
      <c r="DL281" s="606">
        <v>1</v>
      </c>
      <c r="DM281" s="607">
        <v>0</v>
      </c>
      <c r="DN281" s="602"/>
      <c r="DO281" s="607">
        <v>29</v>
      </c>
      <c r="DP281" s="105"/>
      <c r="EJ281" s="615"/>
      <c r="EK281" s="615"/>
      <c r="EL281" s="615"/>
      <c r="EM281" s="616" t="s">
        <v>1235</v>
      </c>
      <c r="EN281" s="618">
        <v>0</v>
      </c>
      <c r="EO281" s="618">
        <v>0</v>
      </c>
      <c r="EP281" s="618">
        <v>12</v>
      </c>
      <c r="EQ281" s="618">
        <v>1</v>
      </c>
      <c r="ER281" s="618">
        <v>1</v>
      </c>
      <c r="ES281" s="618">
        <v>27</v>
      </c>
      <c r="ET281" s="618">
        <v>49</v>
      </c>
      <c r="EU281" s="618">
        <v>3</v>
      </c>
      <c r="EV281" s="618">
        <v>1</v>
      </c>
      <c r="EW281" s="618">
        <v>0</v>
      </c>
      <c r="EX281" s="618">
        <v>94</v>
      </c>
      <c r="EY281" s="515"/>
      <c r="FA281" s="70"/>
      <c r="FB281" s="70"/>
      <c r="FC281" s="42"/>
      <c r="FD281" s="42" t="s">
        <v>1235</v>
      </c>
      <c r="FE281" s="42">
        <v>0</v>
      </c>
      <c r="FF281" s="42">
        <v>0</v>
      </c>
      <c r="FG281" s="42">
        <v>4</v>
      </c>
      <c r="FH281" s="42">
        <v>0</v>
      </c>
      <c r="FI281" s="42">
        <v>0</v>
      </c>
      <c r="FJ281" s="42">
        <v>25</v>
      </c>
      <c r="FK281" s="42">
        <v>32</v>
      </c>
      <c r="FL281" s="42">
        <v>2</v>
      </c>
      <c r="FM281" s="42">
        <v>0</v>
      </c>
      <c r="FN281" s="42">
        <v>0</v>
      </c>
      <c r="FO281" s="42">
        <v>63</v>
      </c>
      <c r="FP281" s="42"/>
      <c r="FQ281" s="42"/>
      <c r="FR281" s="516"/>
      <c r="FS281" s="516"/>
      <c r="FT281" s="516"/>
      <c r="FU281" s="516" t="s">
        <v>1235</v>
      </c>
      <c r="FV281" s="516">
        <v>0</v>
      </c>
      <c r="FW281" s="516">
        <v>0</v>
      </c>
      <c r="FX281" s="516">
        <v>0</v>
      </c>
      <c r="FY281" s="516">
        <v>13</v>
      </c>
      <c r="FZ281" s="516">
        <v>2</v>
      </c>
      <c r="GA281" s="516">
        <v>0</v>
      </c>
      <c r="GB281" s="516">
        <v>30</v>
      </c>
      <c r="GC281" s="516">
        <v>21</v>
      </c>
      <c r="GD281" s="516">
        <v>2</v>
      </c>
      <c r="GE281" s="516">
        <v>1</v>
      </c>
      <c r="GF281" s="516">
        <v>0</v>
      </c>
      <c r="GG281" s="517">
        <v>69</v>
      </c>
      <c r="GH281" s="516"/>
      <c r="GI281" s="518"/>
    </row>
    <row r="282" spans="2:191">
      <c r="C282" s="32"/>
      <c r="D282" s="32" t="s">
        <v>1235</v>
      </c>
      <c r="E282" s="4607">
        <v>0</v>
      </c>
      <c r="F282" s="4607">
        <v>0</v>
      </c>
      <c r="G282" s="4607">
        <v>0</v>
      </c>
      <c r="H282" s="4607">
        <v>0</v>
      </c>
      <c r="I282" s="4607">
        <v>0</v>
      </c>
      <c r="J282" s="4607"/>
      <c r="K282" s="4607">
        <v>6</v>
      </c>
      <c r="L282" s="4607">
        <v>4</v>
      </c>
      <c r="M282" s="4607">
        <v>0</v>
      </c>
      <c r="N282" s="4583">
        <v>0</v>
      </c>
      <c r="O282" s="4583">
        <v>0</v>
      </c>
      <c r="P282" s="4583">
        <v>10</v>
      </c>
      <c r="Q282" s="4583"/>
      <c r="R282" s="4583"/>
      <c r="U282" s="1793"/>
      <c r="V282" s="1793" t="s">
        <v>1239</v>
      </c>
      <c r="W282" s="4804">
        <v>0</v>
      </c>
      <c r="X282" s="4804">
        <v>0</v>
      </c>
      <c r="Y282" s="4804">
        <v>0</v>
      </c>
      <c r="Z282" s="4804">
        <v>0</v>
      </c>
      <c r="AA282" s="4804">
        <v>0</v>
      </c>
      <c r="AB282" s="4804">
        <v>0</v>
      </c>
      <c r="AC282" s="4804">
        <v>12</v>
      </c>
      <c r="AD282" s="4804">
        <v>7</v>
      </c>
      <c r="AE282" s="4702">
        <v>1</v>
      </c>
      <c r="AF282" s="4702">
        <v>20</v>
      </c>
      <c r="AG282" s="1793"/>
      <c r="AI282" s="41"/>
      <c r="AJ282" s="41"/>
      <c r="AK282" s="461"/>
      <c r="AL282" s="461" t="s">
        <v>1235</v>
      </c>
      <c r="AM282" s="2002"/>
      <c r="AN282" s="2002">
        <v>0</v>
      </c>
      <c r="AO282" s="2002"/>
      <c r="AP282" s="2002">
        <v>0</v>
      </c>
      <c r="AQ282" s="2002">
        <v>1</v>
      </c>
      <c r="AR282" s="2002">
        <v>4</v>
      </c>
      <c r="AS282" s="2002">
        <v>11</v>
      </c>
      <c r="AT282" s="2002">
        <v>1</v>
      </c>
      <c r="AU282" s="2480">
        <v>0</v>
      </c>
      <c r="AV282" s="2480"/>
      <c r="AW282" s="2480">
        <v>17</v>
      </c>
      <c r="AX282" s="41"/>
      <c r="AZ282" s="42"/>
      <c r="BA282" s="42"/>
      <c r="BB282" s="42"/>
      <c r="BC282" s="42" t="s">
        <v>1240</v>
      </c>
      <c r="BD282" s="1993"/>
      <c r="BE282" s="1993">
        <v>0</v>
      </c>
      <c r="BF282" s="1993">
        <v>0</v>
      </c>
      <c r="BG282" s="1993"/>
      <c r="BH282" s="1993">
        <v>0</v>
      </c>
      <c r="BI282" s="1993">
        <v>0</v>
      </c>
      <c r="BJ282" s="1993">
        <v>21</v>
      </c>
      <c r="BK282" s="1993">
        <v>0</v>
      </c>
      <c r="BL282" s="1993">
        <v>0</v>
      </c>
      <c r="BM282" s="70"/>
      <c r="BN282" s="70"/>
      <c r="BO282" s="70">
        <v>21</v>
      </c>
      <c r="BR282" s="105"/>
      <c r="BS282" s="105"/>
      <c r="BT282" s="41"/>
      <c r="BU282" s="41" t="s">
        <v>1235</v>
      </c>
      <c r="BV282" s="1659"/>
      <c r="BW282" s="1659"/>
      <c r="BX282" s="1659"/>
      <c r="BY282" s="1659"/>
      <c r="BZ282" s="1659"/>
      <c r="CA282" s="1659"/>
      <c r="CB282" s="1659">
        <v>10</v>
      </c>
      <c r="CC282" s="1659"/>
      <c r="CD282" s="1659"/>
      <c r="CE282" s="105"/>
      <c r="CF282" s="105"/>
      <c r="CG282" s="105">
        <v>10</v>
      </c>
      <c r="CH282" s="105"/>
      <c r="CJ282" s="1359" t="s">
        <v>59</v>
      </c>
      <c r="CK282" s="1359" t="s">
        <v>16</v>
      </c>
      <c r="CL282" s="1360" t="s">
        <v>670</v>
      </c>
      <c r="CM282" s="1361" t="s">
        <v>1231</v>
      </c>
      <c r="CN282" s="1363">
        <v>0</v>
      </c>
      <c r="CO282" s="1363">
        <v>0</v>
      </c>
      <c r="CP282" s="1363">
        <v>0</v>
      </c>
      <c r="CQ282" s="1362"/>
      <c r="CR282" s="1362"/>
      <c r="CS282" s="1363">
        <v>10</v>
      </c>
      <c r="CT282" s="1363">
        <v>1</v>
      </c>
      <c r="CU282" s="1363">
        <v>1</v>
      </c>
      <c r="CV282" s="686"/>
      <c r="CW282" s="686"/>
      <c r="CX282" s="687">
        <v>12</v>
      </c>
      <c r="CY282" s="41"/>
      <c r="DA282" s="602"/>
      <c r="DB282" s="602"/>
      <c r="DC282" s="603"/>
      <c r="DD282" s="604" t="s">
        <v>1344</v>
      </c>
      <c r="DE282" s="606">
        <v>0</v>
      </c>
      <c r="DF282" s="606">
        <v>0</v>
      </c>
      <c r="DG282" s="606">
        <v>10</v>
      </c>
      <c r="DH282" s="606">
        <v>6</v>
      </c>
      <c r="DI282" s="606">
        <v>0</v>
      </c>
      <c r="DJ282" s="606">
        <v>27</v>
      </c>
      <c r="DK282" s="606">
        <v>2</v>
      </c>
      <c r="DL282" s="606">
        <v>2</v>
      </c>
      <c r="DM282" s="607">
        <v>0</v>
      </c>
      <c r="DN282" s="602"/>
      <c r="DO282" s="607">
        <v>47</v>
      </c>
      <c r="DP282" s="105"/>
      <c r="EJ282" s="615"/>
      <c r="EK282" s="615"/>
      <c r="EL282" s="615"/>
      <c r="EM282" s="616" t="s">
        <v>1236</v>
      </c>
      <c r="EN282" s="618">
        <v>0</v>
      </c>
      <c r="EO282" s="618">
        <v>1</v>
      </c>
      <c r="EP282" s="618">
        <v>12</v>
      </c>
      <c r="EQ282" s="618">
        <v>1</v>
      </c>
      <c r="ER282" s="618">
        <v>5</v>
      </c>
      <c r="ES282" s="618">
        <v>4</v>
      </c>
      <c r="ET282" s="618">
        <v>1</v>
      </c>
      <c r="EU282" s="618">
        <v>0</v>
      </c>
      <c r="EV282" s="618">
        <v>0</v>
      </c>
      <c r="EW282" s="618">
        <v>0</v>
      </c>
      <c r="EX282" s="618">
        <v>24</v>
      </c>
      <c r="EY282" s="515"/>
      <c r="FA282" s="70"/>
      <c r="FB282" s="70"/>
      <c r="FC282" s="42"/>
      <c r="FD282" s="42" t="s">
        <v>1236</v>
      </c>
      <c r="FE282" s="42">
        <v>0</v>
      </c>
      <c r="FF282" s="42">
        <v>1</v>
      </c>
      <c r="FG282" s="42">
        <v>26</v>
      </c>
      <c r="FH282" s="42">
        <v>6</v>
      </c>
      <c r="FI282" s="42">
        <v>5</v>
      </c>
      <c r="FJ282" s="42">
        <v>1</v>
      </c>
      <c r="FK282" s="42">
        <v>0</v>
      </c>
      <c r="FL282" s="42">
        <v>0</v>
      </c>
      <c r="FM282" s="42">
        <v>0</v>
      </c>
      <c r="FN282" s="42">
        <v>0</v>
      </c>
      <c r="FO282" s="42">
        <v>39</v>
      </c>
      <c r="FP282" s="42"/>
      <c r="FQ282" s="42"/>
      <c r="FR282" s="516"/>
      <c r="FS282" s="516"/>
      <c r="FT282" s="516"/>
      <c r="FU282" s="516" t="s">
        <v>1236</v>
      </c>
      <c r="FV282" s="516">
        <v>0</v>
      </c>
      <c r="FW282" s="516">
        <v>0</v>
      </c>
      <c r="FX282" s="516">
        <v>5</v>
      </c>
      <c r="FY282" s="516">
        <v>4</v>
      </c>
      <c r="FZ282" s="516">
        <v>17</v>
      </c>
      <c r="GA282" s="516">
        <v>7</v>
      </c>
      <c r="GB282" s="516">
        <v>6</v>
      </c>
      <c r="GC282" s="516">
        <v>0</v>
      </c>
      <c r="GD282" s="516">
        <v>0</v>
      </c>
      <c r="GE282" s="516">
        <v>0</v>
      </c>
      <c r="GF282" s="516">
        <v>0</v>
      </c>
      <c r="GG282" s="517">
        <v>39</v>
      </c>
      <c r="GH282" s="516"/>
      <c r="GI282" s="518"/>
    </row>
    <row r="283" spans="2:191">
      <c r="C283" s="32"/>
      <c r="D283" s="32" t="s">
        <v>1239</v>
      </c>
      <c r="E283" s="4607">
        <v>0</v>
      </c>
      <c r="F283" s="4607">
        <v>0</v>
      </c>
      <c r="G283" s="4607">
        <v>0</v>
      </c>
      <c r="H283" s="4607">
        <v>0</v>
      </c>
      <c r="I283" s="4607">
        <v>0</v>
      </c>
      <c r="J283" s="4607"/>
      <c r="K283" s="4607">
        <v>0</v>
      </c>
      <c r="L283" s="4607">
        <v>8</v>
      </c>
      <c r="M283" s="4607">
        <v>7</v>
      </c>
      <c r="N283" s="4583">
        <v>4</v>
      </c>
      <c r="O283" s="4583">
        <v>1</v>
      </c>
      <c r="P283" s="4583">
        <v>20</v>
      </c>
      <c r="Q283" s="4583"/>
      <c r="R283" s="4583"/>
      <c r="U283" s="1793"/>
      <c r="V283" s="1793" t="s">
        <v>1240</v>
      </c>
      <c r="W283" s="4804">
        <v>0</v>
      </c>
      <c r="X283" s="4804">
        <v>0</v>
      </c>
      <c r="Y283" s="4804">
        <v>0</v>
      </c>
      <c r="Z283" s="4804">
        <v>0</v>
      </c>
      <c r="AA283" s="4804">
        <v>0</v>
      </c>
      <c r="AB283" s="4804">
        <v>5</v>
      </c>
      <c r="AC283" s="4804">
        <v>4</v>
      </c>
      <c r="AD283" s="4804">
        <v>1</v>
      </c>
      <c r="AE283" s="4702">
        <v>0</v>
      </c>
      <c r="AF283" s="4702">
        <v>10</v>
      </c>
      <c r="AG283" s="1793"/>
      <c r="AI283" s="41"/>
      <c r="AJ283" s="41"/>
      <c r="AK283" s="461"/>
      <c r="AL283" s="461" t="s">
        <v>1239</v>
      </c>
      <c r="AM283" s="2002"/>
      <c r="AN283" s="2002">
        <v>0</v>
      </c>
      <c r="AO283" s="2002"/>
      <c r="AP283" s="2002">
        <v>0</v>
      </c>
      <c r="AQ283" s="2002">
        <v>0</v>
      </c>
      <c r="AR283" s="2002">
        <v>0</v>
      </c>
      <c r="AS283" s="2002">
        <v>0</v>
      </c>
      <c r="AT283" s="2002">
        <v>8</v>
      </c>
      <c r="AU283" s="2480">
        <v>1</v>
      </c>
      <c r="AV283" s="2480"/>
      <c r="AW283" s="2480">
        <v>9</v>
      </c>
      <c r="AX283" s="41"/>
      <c r="AZ283" s="42"/>
      <c r="BA283" s="42"/>
      <c r="BB283" s="42"/>
      <c r="BC283" s="484" t="s">
        <v>546</v>
      </c>
      <c r="BD283" s="1994"/>
      <c r="BE283" s="1994">
        <v>1</v>
      </c>
      <c r="BF283" s="1994">
        <v>3</v>
      </c>
      <c r="BG283" s="1994"/>
      <c r="BH283" s="1994">
        <v>1</v>
      </c>
      <c r="BI283" s="1994">
        <v>1</v>
      </c>
      <c r="BJ283" s="1994">
        <v>60</v>
      </c>
      <c r="BK283" s="1994">
        <v>2</v>
      </c>
      <c r="BL283" s="1994">
        <v>1</v>
      </c>
      <c r="BM283" s="454"/>
      <c r="BN283" s="454"/>
      <c r="BO283" s="454">
        <v>69</v>
      </c>
      <c r="BP283" s="2485">
        <f>+(BO281+BO282)/BO283</f>
        <v>0.37681159420289856</v>
      </c>
      <c r="BR283" s="105"/>
      <c r="BS283" s="105"/>
      <c r="BT283" s="41"/>
      <c r="BU283" s="41" t="s">
        <v>1240</v>
      </c>
      <c r="BV283" s="1659"/>
      <c r="BW283" s="1659"/>
      <c r="BX283" s="1659"/>
      <c r="BY283" s="1659"/>
      <c r="BZ283" s="1659"/>
      <c r="CA283" s="1659"/>
      <c r="CB283" s="1659">
        <v>9</v>
      </c>
      <c r="CC283" s="1659"/>
      <c r="CD283" s="1659"/>
      <c r="CE283" s="105"/>
      <c r="CF283" s="105"/>
      <c r="CG283" s="105">
        <v>9</v>
      </c>
      <c r="CH283" s="105"/>
      <c r="CJ283" s="1359"/>
      <c r="CK283" s="1359"/>
      <c r="CL283" s="1360"/>
      <c r="CM283" s="1361" t="s">
        <v>1233</v>
      </c>
      <c r="CN283" s="1363">
        <v>1</v>
      </c>
      <c r="CO283" s="1363">
        <v>0</v>
      </c>
      <c r="CP283" s="1363">
        <v>0</v>
      </c>
      <c r="CQ283" s="1362"/>
      <c r="CR283" s="1362"/>
      <c r="CS283" s="1363">
        <v>0</v>
      </c>
      <c r="CT283" s="1363">
        <v>0</v>
      </c>
      <c r="CU283" s="1363">
        <v>0</v>
      </c>
      <c r="CV283" s="686"/>
      <c r="CW283" s="686"/>
      <c r="CX283" s="687">
        <v>1</v>
      </c>
      <c r="CY283" s="41"/>
      <c r="DA283" s="602"/>
      <c r="DB283" s="602"/>
      <c r="DC283" s="603"/>
      <c r="DD283" s="630" t="s">
        <v>442</v>
      </c>
      <c r="DE283" s="632">
        <v>11</v>
      </c>
      <c r="DF283" s="632">
        <v>5</v>
      </c>
      <c r="DG283" s="632">
        <v>60</v>
      </c>
      <c r="DH283" s="632">
        <v>13</v>
      </c>
      <c r="DI283" s="632">
        <v>2</v>
      </c>
      <c r="DJ283" s="632">
        <v>147</v>
      </c>
      <c r="DK283" s="632">
        <v>38</v>
      </c>
      <c r="DL283" s="632">
        <v>24</v>
      </c>
      <c r="DM283" s="634">
        <v>2</v>
      </c>
      <c r="DN283" s="633"/>
      <c r="DO283" s="634">
        <v>302</v>
      </c>
      <c r="DP283" s="635">
        <f>+(DO278+DO281+DO282)/DO283</f>
        <v>0.30794701986754969</v>
      </c>
      <c r="EJ283" s="615"/>
      <c r="EK283" s="615"/>
      <c r="EL283" s="615"/>
      <c r="EM283" s="616" t="s">
        <v>1239</v>
      </c>
      <c r="EN283" s="618">
        <v>0</v>
      </c>
      <c r="EO283" s="618">
        <v>0</v>
      </c>
      <c r="EP283" s="618">
        <v>0</v>
      </c>
      <c r="EQ283" s="618">
        <v>3</v>
      </c>
      <c r="ER283" s="618">
        <v>0</v>
      </c>
      <c r="ES283" s="618">
        <v>2</v>
      </c>
      <c r="ET283" s="618">
        <v>6</v>
      </c>
      <c r="EU283" s="618">
        <v>117</v>
      </c>
      <c r="EV283" s="618">
        <v>5</v>
      </c>
      <c r="EW283" s="618">
        <v>5</v>
      </c>
      <c r="EX283" s="618">
        <v>138</v>
      </c>
      <c r="EY283" s="515"/>
      <c r="FA283" s="70"/>
      <c r="FB283" s="70"/>
      <c r="FC283" s="42"/>
      <c r="FD283" s="42" t="s">
        <v>1239</v>
      </c>
      <c r="FE283" s="42">
        <v>0</v>
      </c>
      <c r="FF283" s="42">
        <v>0</v>
      </c>
      <c r="FG283" s="42">
        <v>0</v>
      </c>
      <c r="FH283" s="42">
        <v>1</v>
      </c>
      <c r="FI283" s="42">
        <v>0</v>
      </c>
      <c r="FJ283" s="42">
        <v>0</v>
      </c>
      <c r="FK283" s="42">
        <v>2</v>
      </c>
      <c r="FL283" s="42">
        <v>65</v>
      </c>
      <c r="FM283" s="42">
        <v>1</v>
      </c>
      <c r="FN283" s="42">
        <v>8</v>
      </c>
      <c r="FO283" s="42">
        <v>77</v>
      </c>
      <c r="FP283" s="42"/>
      <c r="FQ283" s="42"/>
      <c r="FR283" s="516"/>
      <c r="FS283" s="516"/>
      <c r="FT283" s="516"/>
      <c r="FU283" s="516" t="s">
        <v>1239</v>
      </c>
      <c r="FV283" s="516">
        <v>0</v>
      </c>
      <c r="FW283" s="516">
        <v>0</v>
      </c>
      <c r="FX283" s="516">
        <v>0</v>
      </c>
      <c r="FY283" s="516">
        <v>0</v>
      </c>
      <c r="FZ283" s="516">
        <v>0</v>
      </c>
      <c r="GA283" s="516">
        <v>1</v>
      </c>
      <c r="GB283" s="516">
        <v>3</v>
      </c>
      <c r="GC283" s="516">
        <v>40</v>
      </c>
      <c r="GD283" s="516">
        <v>134</v>
      </c>
      <c r="GE283" s="516">
        <v>6</v>
      </c>
      <c r="GF283" s="516">
        <v>3</v>
      </c>
      <c r="GG283" s="517">
        <v>187</v>
      </c>
      <c r="GH283" s="516"/>
      <c r="GI283" s="518"/>
    </row>
    <row r="284" spans="2:191">
      <c r="C284" s="32"/>
      <c r="D284" s="32" t="s">
        <v>1240</v>
      </c>
      <c r="E284" s="4607">
        <v>0</v>
      </c>
      <c r="F284" s="4607">
        <v>0</v>
      </c>
      <c r="G284" s="4607">
        <v>0</v>
      </c>
      <c r="H284" s="4607">
        <v>0</v>
      </c>
      <c r="I284" s="4607">
        <v>0</v>
      </c>
      <c r="J284" s="4607"/>
      <c r="K284" s="4607">
        <v>2</v>
      </c>
      <c r="L284" s="4607">
        <v>1</v>
      </c>
      <c r="M284" s="4607">
        <v>1</v>
      </c>
      <c r="N284" s="4583">
        <v>0</v>
      </c>
      <c r="O284" s="4583">
        <v>0</v>
      </c>
      <c r="P284" s="4583">
        <v>4</v>
      </c>
      <c r="Q284" s="4583"/>
      <c r="R284" s="4583"/>
      <c r="U284" s="1793"/>
      <c r="V284" s="1793" t="s">
        <v>1344</v>
      </c>
      <c r="W284" s="4804">
        <v>0</v>
      </c>
      <c r="X284" s="4804">
        <v>0</v>
      </c>
      <c r="Y284" s="4804">
        <v>0</v>
      </c>
      <c r="Z284" s="4804">
        <v>0</v>
      </c>
      <c r="AA284" s="4804">
        <v>0</v>
      </c>
      <c r="AB284" s="4804">
        <v>10</v>
      </c>
      <c r="AC284" s="4804">
        <v>4</v>
      </c>
      <c r="AD284" s="4804">
        <v>0</v>
      </c>
      <c r="AE284" s="4702">
        <v>0</v>
      </c>
      <c r="AF284" s="4702">
        <v>14</v>
      </c>
      <c r="AG284" s="1793"/>
      <c r="AI284" s="41"/>
      <c r="AJ284" s="41"/>
      <c r="AK284" s="461"/>
      <c r="AL284" s="461" t="s">
        <v>1240</v>
      </c>
      <c r="AM284" s="2002"/>
      <c r="AN284" s="2002">
        <v>0</v>
      </c>
      <c r="AO284" s="2002"/>
      <c r="AP284" s="2002">
        <v>0</v>
      </c>
      <c r="AQ284" s="2002">
        <v>3</v>
      </c>
      <c r="AR284" s="2002">
        <v>1</v>
      </c>
      <c r="AS284" s="2002">
        <v>7</v>
      </c>
      <c r="AT284" s="2002">
        <v>2</v>
      </c>
      <c r="AU284" s="2480">
        <v>0</v>
      </c>
      <c r="AV284" s="2480"/>
      <c r="AW284" s="2480">
        <v>13</v>
      </c>
      <c r="AX284" s="41"/>
      <c r="AZ284" s="42"/>
      <c r="BA284" s="42"/>
      <c r="BB284" s="42" t="s">
        <v>442</v>
      </c>
      <c r="BC284" s="42" t="s">
        <v>1230</v>
      </c>
      <c r="BD284" s="1993"/>
      <c r="BE284" s="1993">
        <v>0</v>
      </c>
      <c r="BF284" s="1993">
        <v>0</v>
      </c>
      <c r="BG284" s="1993">
        <v>0</v>
      </c>
      <c r="BH284" s="1993">
        <v>0</v>
      </c>
      <c r="BI284" s="1993">
        <v>1</v>
      </c>
      <c r="BJ284" s="1993">
        <v>0</v>
      </c>
      <c r="BK284" s="1993">
        <v>1</v>
      </c>
      <c r="BL284" s="1993">
        <v>0</v>
      </c>
      <c r="BM284" s="70"/>
      <c r="BN284" s="70"/>
      <c r="BO284" s="70">
        <v>2</v>
      </c>
      <c r="BR284" s="105"/>
      <c r="BS284" s="105"/>
      <c r="BT284" s="41"/>
      <c r="BU284" s="41" t="s">
        <v>1344</v>
      </c>
      <c r="BV284" s="1659"/>
      <c r="BW284" s="1659"/>
      <c r="BX284" s="1659"/>
      <c r="BY284" s="1659"/>
      <c r="BZ284" s="1659"/>
      <c r="CA284" s="1659"/>
      <c r="CB284" s="1659">
        <v>4</v>
      </c>
      <c r="CC284" s="1659"/>
      <c r="CD284" s="1659"/>
      <c r="CE284" s="105"/>
      <c r="CF284" s="105"/>
      <c r="CG284" s="105">
        <v>4</v>
      </c>
      <c r="CH284" s="105"/>
      <c r="CJ284" s="1359"/>
      <c r="CK284" s="1359"/>
      <c r="CL284" s="1360"/>
      <c r="CM284" s="1361" t="s">
        <v>1235</v>
      </c>
      <c r="CN284" s="1363">
        <v>0</v>
      </c>
      <c r="CO284" s="1363">
        <v>0</v>
      </c>
      <c r="CP284" s="1363">
        <v>0</v>
      </c>
      <c r="CQ284" s="1362"/>
      <c r="CR284" s="1362"/>
      <c r="CS284" s="1363">
        <v>3</v>
      </c>
      <c r="CT284" s="1363">
        <v>0</v>
      </c>
      <c r="CU284" s="1363">
        <v>0</v>
      </c>
      <c r="CV284" s="686"/>
      <c r="CW284" s="686"/>
      <c r="CX284" s="687">
        <v>3</v>
      </c>
      <c r="CY284" s="41"/>
      <c r="DA284" s="602" t="s">
        <v>59</v>
      </c>
      <c r="DB284" s="602" t="s">
        <v>16</v>
      </c>
      <c r="DC284" s="603" t="s">
        <v>670</v>
      </c>
      <c r="DD284" s="604" t="s">
        <v>1231</v>
      </c>
      <c r="DE284" s="606">
        <v>0</v>
      </c>
      <c r="DF284" s="606">
        <v>0</v>
      </c>
      <c r="DG284" s="605"/>
      <c r="DH284" s="605"/>
      <c r="DI284" s="605"/>
      <c r="DJ284" s="606">
        <v>5</v>
      </c>
      <c r="DK284" s="606">
        <v>0</v>
      </c>
      <c r="DL284" s="605"/>
      <c r="DM284" s="602"/>
      <c r="DN284" s="602"/>
      <c r="DO284" s="607">
        <v>5</v>
      </c>
      <c r="DP284" s="105"/>
      <c r="EJ284" s="615"/>
      <c r="EK284" s="615"/>
      <c r="EL284" s="615"/>
      <c r="EM284" s="616" t="s">
        <v>1240</v>
      </c>
      <c r="EN284" s="618">
        <v>0</v>
      </c>
      <c r="EO284" s="618">
        <v>0</v>
      </c>
      <c r="EP284" s="618">
        <v>6</v>
      </c>
      <c r="EQ284" s="618">
        <v>5</v>
      </c>
      <c r="ER284" s="618">
        <v>3</v>
      </c>
      <c r="ES284" s="618">
        <v>12</v>
      </c>
      <c r="ET284" s="618">
        <v>7</v>
      </c>
      <c r="EU284" s="618">
        <v>1</v>
      </c>
      <c r="EV284" s="618">
        <v>0</v>
      </c>
      <c r="EW284" s="618">
        <v>0</v>
      </c>
      <c r="EX284" s="618">
        <v>34</v>
      </c>
      <c r="EY284" s="515"/>
      <c r="FA284" s="70"/>
      <c r="FB284" s="70"/>
      <c r="FC284" s="42"/>
      <c r="FD284" s="42" t="s">
        <v>1240</v>
      </c>
      <c r="FE284" s="42">
        <v>0</v>
      </c>
      <c r="FF284" s="42">
        <v>0</v>
      </c>
      <c r="FG284" s="42">
        <v>2</v>
      </c>
      <c r="FH284" s="42">
        <v>2</v>
      </c>
      <c r="FI284" s="42">
        <v>0</v>
      </c>
      <c r="FJ284" s="42">
        <v>25</v>
      </c>
      <c r="FK284" s="42">
        <v>9</v>
      </c>
      <c r="FL284" s="42">
        <v>1</v>
      </c>
      <c r="FM284" s="42">
        <v>0</v>
      </c>
      <c r="FN284" s="42">
        <v>0</v>
      </c>
      <c r="FO284" s="42">
        <v>39</v>
      </c>
      <c r="FP284" s="42"/>
      <c r="FQ284" s="42"/>
      <c r="FR284" s="516"/>
      <c r="FS284" s="516"/>
      <c r="FT284" s="516"/>
      <c r="FU284" s="516" t="s">
        <v>1240</v>
      </c>
      <c r="FV284" s="516">
        <v>0</v>
      </c>
      <c r="FW284" s="516">
        <v>0</v>
      </c>
      <c r="FX284" s="516">
        <v>0</v>
      </c>
      <c r="FY284" s="516">
        <v>3</v>
      </c>
      <c r="FZ284" s="516">
        <v>0</v>
      </c>
      <c r="GA284" s="516">
        <v>1</v>
      </c>
      <c r="GB284" s="516">
        <v>20</v>
      </c>
      <c r="GC284" s="516">
        <v>7</v>
      </c>
      <c r="GD284" s="516">
        <v>0</v>
      </c>
      <c r="GE284" s="516">
        <v>0</v>
      </c>
      <c r="GF284" s="516">
        <v>0</v>
      </c>
      <c r="GG284" s="517">
        <v>31</v>
      </c>
      <c r="GH284" s="516"/>
      <c r="GI284" s="518"/>
    </row>
    <row r="285" spans="2:191">
      <c r="C285" s="32"/>
      <c r="D285" s="32" t="s">
        <v>2963</v>
      </c>
      <c r="E285" s="4607">
        <v>5</v>
      </c>
      <c r="F285" s="4607">
        <v>0</v>
      </c>
      <c r="G285" s="4607">
        <v>0</v>
      </c>
      <c r="H285" s="4607">
        <v>0</v>
      </c>
      <c r="I285" s="4607">
        <v>0</v>
      </c>
      <c r="J285" s="4607"/>
      <c r="K285" s="4607">
        <v>0</v>
      </c>
      <c r="L285" s="4607">
        <v>0</v>
      </c>
      <c r="M285" s="4607">
        <v>0</v>
      </c>
      <c r="N285" s="4583">
        <v>0</v>
      </c>
      <c r="O285" s="4583">
        <v>0</v>
      </c>
      <c r="P285" s="4583">
        <v>5</v>
      </c>
      <c r="Q285" s="4583"/>
      <c r="R285" s="4583"/>
      <c r="U285" s="1793"/>
      <c r="V285" s="1793" t="s">
        <v>442</v>
      </c>
      <c r="W285" s="4804">
        <v>8</v>
      </c>
      <c r="X285" s="4804">
        <v>4</v>
      </c>
      <c r="Y285" s="4804">
        <v>1</v>
      </c>
      <c r="Z285" s="4804">
        <v>5</v>
      </c>
      <c r="AA285" s="4804">
        <v>3</v>
      </c>
      <c r="AB285" s="4804">
        <v>131</v>
      </c>
      <c r="AC285" s="4804">
        <v>28</v>
      </c>
      <c r="AD285" s="4804">
        <v>12</v>
      </c>
      <c r="AE285" s="4702">
        <v>1</v>
      </c>
      <c r="AF285" s="4702">
        <v>193</v>
      </c>
      <c r="AG285" s="4703">
        <f>+(AF281+AF283+AF284)/AF285</f>
        <v>0.21761658031088082</v>
      </c>
      <c r="AI285" s="41"/>
      <c r="AJ285" s="41"/>
      <c r="AK285" s="461"/>
      <c r="AL285" s="461" t="s">
        <v>1344</v>
      </c>
      <c r="AM285" s="2002"/>
      <c r="AN285" s="2002">
        <v>0</v>
      </c>
      <c r="AO285" s="2002"/>
      <c r="AP285" s="2002">
        <v>0</v>
      </c>
      <c r="AQ285" s="2002">
        <v>0</v>
      </c>
      <c r="AR285" s="2002">
        <v>6</v>
      </c>
      <c r="AS285" s="2002">
        <v>2</v>
      </c>
      <c r="AT285" s="2002">
        <v>0</v>
      </c>
      <c r="AU285" s="2480">
        <v>0</v>
      </c>
      <c r="AV285" s="2480"/>
      <c r="AW285" s="2480">
        <v>8</v>
      </c>
      <c r="AX285" s="41"/>
      <c r="AZ285" s="42"/>
      <c r="BA285" s="42"/>
      <c r="BB285" s="42"/>
      <c r="BC285" s="42" t="s">
        <v>1231</v>
      </c>
      <c r="BD285" s="1993"/>
      <c r="BE285" s="1993">
        <v>3</v>
      </c>
      <c r="BF285" s="1993">
        <v>5</v>
      </c>
      <c r="BG285" s="1993">
        <v>1</v>
      </c>
      <c r="BH285" s="1993">
        <v>2</v>
      </c>
      <c r="BI285" s="1993">
        <v>3</v>
      </c>
      <c r="BJ285" s="1993">
        <v>86</v>
      </c>
      <c r="BK285" s="1993">
        <v>11</v>
      </c>
      <c r="BL285" s="1993">
        <v>3</v>
      </c>
      <c r="BM285" s="70"/>
      <c r="BN285" s="70"/>
      <c r="BO285" s="70">
        <v>114</v>
      </c>
      <c r="BR285" s="105"/>
      <c r="BS285" s="105"/>
      <c r="BT285" s="41"/>
      <c r="BU285" s="461" t="s">
        <v>844</v>
      </c>
      <c r="BV285" s="1660"/>
      <c r="BW285" s="1660"/>
      <c r="BX285" s="1660"/>
      <c r="BY285" s="1660"/>
      <c r="BZ285" s="1660"/>
      <c r="CA285" s="1660"/>
      <c r="CB285" s="1660">
        <v>25</v>
      </c>
      <c r="CC285" s="1660"/>
      <c r="CD285" s="1660"/>
      <c r="CE285" s="96"/>
      <c r="CF285" s="96"/>
      <c r="CG285" s="96">
        <v>25</v>
      </c>
      <c r="CH285" s="635">
        <f>+(CG282+CG283+CG284)/CG285</f>
        <v>0.92</v>
      </c>
      <c r="CJ285" s="1359"/>
      <c r="CK285" s="1359"/>
      <c r="CL285" s="1360"/>
      <c r="CM285" s="1361" t="s">
        <v>1236</v>
      </c>
      <c r="CN285" s="1363">
        <v>0</v>
      </c>
      <c r="CO285" s="1363">
        <v>1</v>
      </c>
      <c r="CP285" s="1363">
        <v>1</v>
      </c>
      <c r="CQ285" s="1362"/>
      <c r="CR285" s="1362"/>
      <c r="CS285" s="1363">
        <v>0</v>
      </c>
      <c r="CT285" s="1363">
        <v>0</v>
      </c>
      <c r="CU285" s="1363">
        <v>0</v>
      </c>
      <c r="CV285" s="686"/>
      <c r="CW285" s="686"/>
      <c r="CX285" s="687">
        <v>2</v>
      </c>
      <c r="CY285" s="41"/>
      <c r="DA285" s="602"/>
      <c r="DB285" s="602"/>
      <c r="DC285" s="603"/>
      <c r="DD285" s="604" t="s">
        <v>1233</v>
      </c>
      <c r="DE285" s="606">
        <v>1</v>
      </c>
      <c r="DF285" s="606">
        <v>1</v>
      </c>
      <c r="DG285" s="605"/>
      <c r="DH285" s="605"/>
      <c r="DI285" s="605"/>
      <c r="DJ285" s="606">
        <v>0</v>
      </c>
      <c r="DK285" s="606">
        <v>0</v>
      </c>
      <c r="DL285" s="605"/>
      <c r="DM285" s="602"/>
      <c r="DN285" s="602"/>
      <c r="DO285" s="607">
        <v>2</v>
      </c>
      <c r="DP285" s="105"/>
      <c r="EJ285" s="615"/>
      <c r="EK285" s="615"/>
      <c r="EL285" s="615"/>
      <c r="EM285" s="616" t="s">
        <v>1344</v>
      </c>
      <c r="EN285" s="618">
        <v>0</v>
      </c>
      <c r="EO285" s="618">
        <v>0</v>
      </c>
      <c r="EP285" s="618">
        <v>15</v>
      </c>
      <c r="EQ285" s="618">
        <v>2</v>
      </c>
      <c r="ER285" s="618">
        <v>3</v>
      </c>
      <c r="ES285" s="618">
        <v>22</v>
      </c>
      <c r="ET285" s="618">
        <v>21</v>
      </c>
      <c r="EU285" s="618">
        <v>1</v>
      </c>
      <c r="EV285" s="618">
        <v>0</v>
      </c>
      <c r="EW285" s="618">
        <v>0</v>
      </c>
      <c r="EX285" s="618">
        <v>64</v>
      </c>
      <c r="EY285" s="515"/>
      <c r="FA285" s="70"/>
      <c r="FB285" s="70"/>
      <c r="FC285" s="42"/>
      <c r="FD285" s="42" t="s">
        <v>1344</v>
      </c>
      <c r="FE285" s="42">
        <v>0</v>
      </c>
      <c r="FF285" s="42">
        <v>0</v>
      </c>
      <c r="FG285" s="42">
        <v>11</v>
      </c>
      <c r="FH285" s="42">
        <v>2</v>
      </c>
      <c r="FI285" s="42">
        <v>1</v>
      </c>
      <c r="FJ285" s="42">
        <v>27</v>
      </c>
      <c r="FK285" s="42">
        <v>12</v>
      </c>
      <c r="FL285" s="42">
        <v>1</v>
      </c>
      <c r="FM285" s="42">
        <v>0</v>
      </c>
      <c r="FN285" s="42">
        <v>0</v>
      </c>
      <c r="FO285" s="42">
        <v>54</v>
      </c>
      <c r="FP285" s="42"/>
      <c r="FQ285" s="42"/>
      <c r="FR285" s="516"/>
      <c r="FS285" s="516"/>
      <c r="FT285" s="516"/>
      <c r="FU285" s="516" t="s">
        <v>1344</v>
      </c>
      <c r="FV285" s="516">
        <v>0</v>
      </c>
      <c r="FW285" s="516">
        <v>0</v>
      </c>
      <c r="FX285" s="516">
        <v>0</v>
      </c>
      <c r="FY285" s="516">
        <v>7</v>
      </c>
      <c r="FZ285" s="516">
        <v>0</v>
      </c>
      <c r="GA285" s="516">
        <v>3</v>
      </c>
      <c r="GB285" s="516">
        <v>57</v>
      </c>
      <c r="GC285" s="516">
        <v>16</v>
      </c>
      <c r="GD285" s="516">
        <v>3</v>
      </c>
      <c r="GE285" s="516">
        <v>0</v>
      </c>
      <c r="GF285" s="516">
        <v>0</v>
      </c>
      <c r="GG285" s="517">
        <v>86</v>
      </c>
      <c r="GH285" s="516"/>
      <c r="GI285" s="518"/>
    </row>
    <row r="286" spans="2:191" ht="15" thickBot="1">
      <c r="C286" s="32"/>
      <c r="D286" s="32" t="s">
        <v>1344</v>
      </c>
      <c r="E286" s="4607">
        <v>0</v>
      </c>
      <c r="F286" s="4607">
        <v>0</v>
      </c>
      <c r="G286" s="4607">
        <v>0</v>
      </c>
      <c r="H286" s="4607">
        <v>0</v>
      </c>
      <c r="I286" s="4607">
        <v>0</v>
      </c>
      <c r="J286" s="4607"/>
      <c r="K286" s="4607">
        <v>5</v>
      </c>
      <c r="L286" s="4607">
        <v>5</v>
      </c>
      <c r="M286" s="4607">
        <v>3</v>
      </c>
      <c r="N286" s="4583">
        <v>0</v>
      </c>
      <c r="O286" s="4583">
        <v>0</v>
      </c>
      <c r="P286" s="4583">
        <v>13</v>
      </c>
      <c r="Q286" s="4583"/>
      <c r="R286" s="4583"/>
      <c r="S286" s="37" t="s">
        <v>59</v>
      </c>
      <c r="T286" s="37" t="s">
        <v>16</v>
      </c>
      <c r="U286" s="37" t="s">
        <v>670</v>
      </c>
      <c r="V286" s="37" t="s">
        <v>1231</v>
      </c>
      <c r="W286" s="4803"/>
      <c r="X286" s="4803"/>
      <c r="Y286" s="4803">
        <v>0</v>
      </c>
      <c r="Z286" s="4803">
        <v>1</v>
      </c>
      <c r="AA286" s="4803"/>
      <c r="AB286" s="4803">
        <v>6</v>
      </c>
      <c r="AC286" s="4803">
        <v>0</v>
      </c>
      <c r="AD286" s="4803"/>
      <c r="AE286" s="1788"/>
      <c r="AF286" s="1788">
        <v>7</v>
      </c>
      <c r="AI286" s="41"/>
      <c r="AJ286" s="41"/>
      <c r="AK286" s="461"/>
      <c r="AL286" s="461" t="s">
        <v>547</v>
      </c>
      <c r="AM286" s="2002"/>
      <c r="AN286" s="2002">
        <v>3</v>
      </c>
      <c r="AO286" s="2002"/>
      <c r="AP286" s="2002">
        <v>1</v>
      </c>
      <c r="AQ286" s="2002">
        <v>7</v>
      </c>
      <c r="AR286" s="2002">
        <v>25</v>
      </c>
      <c r="AS286" s="2002">
        <v>24</v>
      </c>
      <c r="AT286" s="2002">
        <v>16</v>
      </c>
      <c r="AU286" s="2480">
        <v>1</v>
      </c>
      <c r="AV286" s="2480"/>
      <c r="AW286" s="2480">
        <v>77</v>
      </c>
      <c r="AX286" s="635">
        <f>+(AW285+AW284+AW282)/AW286</f>
        <v>0.4935064935064935</v>
      </c>
      <c r="AY286" s="1977"/>
      <c r="AZ286" s="42"/>
      <c r="BA286" s="42"/>
      <c r="BB286" s="42"/>
      <c r="BC286" s="42" t="s">
        <v>1233</v>
      </c>
      <c r="BD286" s="1993"/>
      <c r="BE286" s="1993">
        <v>1</v>
      </c>
      <c r="BF286" s="1993">
        <v>0</v>
      </c>
      <c r="BG286" s="1993">
        <v>1</v>
      </c>
      <c r="BH286" s="1993">
        <v>0</v>
      </c>
      <c r="BI286" s="1993">
        <v>0</v>
      </c>
      <c r="BJ286" s="1993">
        <v>0</v>
      </c>
      <c r="BK286" s="1993">
        <v>0</v>
      </c>
      <c r="BL286" s="1993">
        <v>0</v>
      </c>
      <c r="BM286" s="70"/>
      <c r="BN286" s="70"/>
      <c r="BO286" s="70">
        <v>2</v>
      </c>
      <c r="BR286" s="105"/>
      <c r="BS286" s="105"/>
      <c r="BT286" s="41" t="s">
        <v>442</v>
      </c>
      <c r="BU286" s="41" t="s">
        <v>1231</v>
      </c>
      <c r="BV286" s="1659"/>
      <c r="BW286" s="1659">
        <v>4</v>
      </c>
      <c r="BX286" s="1659">
        <v>4</v>
      </c>
      <c r="BY286" s="1659">
        <v>13</v>
      </c>
      <c r="BZ286" s="1659">
        <v>1</v>
      </c>
      <c r="CA286" s="1659">
        <v>1</v>
      </c>
      <c r="CB286" s="1659">
        <v>109</v>
      </c>
      <c r="CC286" s="1659">
        <v>14</v>
      </c>
      <c r="CD286" s="1659">
        <v>2</v>
      </c>
      <c r="CE286" s="105">
        <v>0</v>
      </c>
      <c r="CF286" s="105"/>
      <c r="CG286" s="105">
        <v>148</v>
      </c>
      <c r="CH286" s="105"/>
      <c r="CJ286" s="1359"/>
      <c r="CK286" s="1359"/>
      <c r="CL286" s="1360"/>
      <c r="CM286" s="1361" t="s">
        <v>1240</v>
      </c>
      <c r="CN286" s="1363">
        <v>0</v>
      </c>
      <c r="CO286" s="1363">
        <v>0</v>
      </c>
      <c r="CP286" s="1363">
        <v>0</v>
      </c>
      <c r="CQ286" s="1362"/>
      <c r="CR286" s="1362"/>
      <c r="CS286" s="1363">
        <v>3</v>
      </c>
      <c r="CT286" s="1363">
        <v>0</v>
      </c>
      <c r="CU286" s="1363">
        <v>0</v>
      </c>
      <c r="CV286" s="686"/>
      <c r="CW286" s="686"/>
      <c r="CX286" s="687">
        <v>3</v>
      </c>
      <c r="CY286" s="41"/>
      <c r="DA286" s="602"/>
      <c r="DB286" s="602"/>
      <c r="DC286" s="603"/>
      <c r="DD286" s="604" t="s">
        <v>1236</v>
      </c>
      <c r="DE286" s="606">
        <v>0</v>
      </c>
      <c r="DF286" s="606">
        <v>0</v>
      </c>
      <c r="DG286" s="605"/>
      <c r="DH286" s="605"/>
      <c r="DI286" s="605"/>
      <c r="DJ286" s="606">
        <v>0</v>
      </c>
      <c r="DK286" s="606">
        <v>1</v>
      </c>
      <c r="DL286" s="605"/>
      <c r="DM286" s="602"/>
      <c r="DN286" s="602"/>
      <c r="DO286" s="607">
        <v>1</v>
      </c>
      <c r="DP286" s="105"/>
      <c r="EJ286" s="638"/>
      <c r="EK286" s="638"/>
      <c r="EL286" s="638"/>
      <c r="EM286" s="639" t="s">
        <v>113</v>
      </c>
      <c r="EN286" s="641">
        <v>1</v>
      </c>
      <c r="EO286" s="641">
        <v>4</v>
      </c>
      <c r="EP286" s="641">
        <v>72</v>
      </c>
      <c r="EQ286" s="641">
        <v>24</v>
      </c>
      <c r="ER286" s="641">
        <v>16</v>
      </c>
      <c r="ES286" s="641">
        <v>143</v>
      </c>
      <c r="ET286" s="641">
        <v>133</v>
      </c>
      <c r="EU286" s="641">
        <v>141</v>
      </c>
      <c r="EV286" s="641">
        <v>14</v>
      </c>
      <c r="EW286" s="641">
        <v>18</v>
      </c>
      <c r="EX286" s="641">
        <v>566</v>
      </c>
      <c r="EY286" s="642">
        <f>+(EX285+EX284+EX281-EV281)/EX286</f>
        <v>0.33745583038869259</v>
      </c>
      <c r="FA286" s="491"/>
      <c r="FB286" s="491"/>
      <c r="FC286" s="544"/>
      <c r="FD286" s="544" t="s">
        <v>15</v>
      </c>
      <c r="FE286" s="544">
        <v>3</v>
      </c>
      <c r="FF286" s="544">
        <v>10</v>
      </c>
      <c r="FG286" s="544">
        <v>48</v>
      </c>
      <c r="FH286" s="544">
        <v>13</v>
      </c>
      <c r="FI286" s="544">
        <v>10</v>
      </c>
      <c r="FJ286" s="544">
        <v>170</v>
      </c>
      <c r="FK286" s="544">
        <v>98</v>
      </c>
      <c r="FL286" s="544">
        <v>99</v>
      </c>
      <c r="FM286" s="544">
        <v>3</v>
      </c>
      <c r="FN286" s="544">
        <v>10</v>
      </c>
      <c r="FO286" s="544">
        <v>464</v>
      </c>
      <c r="FP286" s="582">
        <f>+(FO281+FO284+FO285)/FO286</f>
        <v>0.33620689655172414</v>
      </c>
      <c r="FQ286" s="42"/>
      <c r="FR286" s="516"/>
      <c r="FS286" s="516"/>
      <c r="FT286" s="516"/>
      <c r="FU286" s="539" t="s">
        <v>15</v>
      </c>
      <c r="FV286" s="539">
        <v>1</v>
      </c>
      <c r="FW286" s="539">
        <v>3</v>
      </c>
      <c r="FX286" s="539">
        <v>13</v>
      </c>
      <c r="FY286" s="539">
        <v>35</v>
      </c>
      <c r="FZ286" s="539">
        <v>29</v>
      </c>
      <c r="GA286" s="539">
        <v>13</v>
      </c>
      <c r="GB286" s="539">
        <v>208</v>
      </c>
      <c r="GC286" s="539">
        <v>102</v>
      </c>
      <c r="GD286" s="539">
        <v>157</v>
      </c>
      <c r="GE286" s="539">
        <v>9</v>
      </c>
      <c r="GF286" s="539">
        <v>8</v>
      </c>
      <c r="GG286" s="540">
        <v>578</v>
      </c>
      <c r="GH286" s="583">
        <f>+(GG285+GG284+GG281-GE281)/GG286</f>
        <v>0.32006920415224915</v>
      </c>
      <c r="GI286" s="584">
        <f>+GG281+GG284+GG285-GE281</f>
        <v>185</v>
      </c>
    </row>
    <row r="287" spans="2:191">
      <c r="C287" s="32"/>
      <c r="D287" s="4800" t="s">
        <v>15</v>
      </c>
      <c r="E287" s="4607">
        <v>5</v>
      </c>
      <c r="F287" s="4607">
        <v>4</v>
      </c>
      <c r="G287" s="4607">
        <v>3</v>
      </c>
      <c r="H287" s="4607">
        <v>1</v>
      </c>
      <c r="I287" s="4607">
        <v>1</v>
      </c>
      <c r="J287" s="4607"/>
      <c r="K287" s="4607">
        <v>45</v>
      </c>
      <c r="L287" s="4607">
        <v>21</v>
      </c>
      <c r="M287" s="4607">
        <v>12</v>
      </c>
      <c r="N287" s="4583">
        <v>4</v>
      </c>
      <c r="O287" s="4583">
        <v>1</v>
      </c>
      <c r="P287" s="4583">
        <v>97</v>
      </c>
      <c r="Q287" s="1977">
        <f>+(P282+P284+P286)/(P287-P285)</f>
        <v>0.29347826086956524</v>
      </c>
      <c r="R287" s="1977"/>
      <c r="V287" s="37" t="s">
        <v>1235</v>
      </c>
      <c r="W287" s="4803"/>
      <c r="X287" s="4803"/>
      <c r="Y287" s="4803">
        <v>0</v>
      </c>
      <c r="Z287" s="4803">
        <v>0</v>
      </c>
      <c r="AA287" s="4803"/>
      <c r="AB287" s="4803">
        <v>1</v>
      </c>
      <c r="AC287" s="4803">
        <v>0</v>
      </c>
      <c r="AD287" s="4803"/>
      <c r="AE287" s="1788"/>
      <c r="AF287" s="1788">
        <v>1</v>
      </c>
      <c r="AI287" s="41"/>
      <c r="AJ287" s="41" t="s">
        <v>21</v>
      </c>
      <c r="AK287" s="41" t="s">
        <v>143</v>
      </c>
      <c r="AL287" s="41" t="s">
        <v>1230</v>
      </c>
      <c r="AM287" s="2001"/>
      <c r="AN287" s="2001">
        <v>0</v>
      </c>
      <c r="AO287" s="2001"/>
      <c r="AP287" s="2001"/>
      <c r="AQ287" s="2001"/>
      <c r="AR287" s="2001">
        <v>1</v>
      </c>
      <c r="AS287" s="2001">
        <v>1</v>
      </c>
      <c r="AT287" s="2001"/>
      <c r="AU287" s="105"/>
      <c r="AV287" s="105"/>
      <c r="AW287" s="105">
        <v>2</v>
      </c>
      <c r="AX287" s="41"/>
      <c r="AZ287" s="42"/>
      <c r="BA287" s="42"/>
      <c r="BB287" s="42"/>
      <c r="BC287" s="42" t="s">
        <v>1235</v>
      </c>
      <c r="BD287" s="1993"/>
      <c r="BE287" s="1993">
        <v>0</v>
      </c>
      <c r="BF287" s="1993">
        <v>0</v>
      </c>
      <c r="BG287" s="1993">
        <v>0</v>
      </c>
      <c r="BH287" s="1993">
        <v>0</v>
      </c>
      <c r="BI287" s="1993">
        <v>0</v>
      </c>
      <c r="BJ287" s="1993">
        <v>13</v>
      </c>
      <c r="BK287" s="1993">
        <v>3</v>
      </c>
      <c r="BL287" s="1993">
        <v>0</v>
      </c>
      <c r="BM287" s="70"/>
      <c r="BN287" s="70"/>
      <c r="BO287" s="70">
        <v>16</v>
      </c>
      <c r="BR287" s="105"/>
      <c r="BS287" s="105"/>
      <c r="BT287" s="41"/>
      <c r="BU287" s="41" t="s">
        <v>1233</v>
      </c>
      <c r="BV287" s="1659"/>
      <c r="BW287" s="1659">
        <v>1</v>
      </c>
      <c r="BX287" s="1659">
        <v>0</v>
      </c>
      <c r="BY287" s="1659">
        <v>0</v>
      </c>
      <c r="BZ287" s="1659">
        <v>0</v>
      </c>
      <c r="CA287" s="1659">
        <v>0</v>
      </c>
      <c r="CB287" s="1659">
        <v>0</v>
      </c>
      <c r="CC287" s="1659">
        <v>0</v>
      </c>
      <c r="CD287" s="1659">
        <v>0</v>
      </c>
      <c r="CE287" s="105">
        <v>0</v>
      </c>
      <c r="CF287" s="105"/>
      <c r="CG287" s="105">
        <v>1</v>
      </c>
      <c r="CH287" s="105"/>
      <c r="CJ287" s="1359"/>
      <c r="CK287" s="1359"/>
      <c r="CL287" s="1360"/>
      <c r="CM287" s="1361" t="s">
        <v>1344</v>
      </c>
      <c r="CN287" s="1363">
        <v>0</v>
      </c>
      <c r="CO287" s="1363">
        <v>0</v>
      </c>
      <c r="CP287" s="1363">
        <v>0</v>
      </c>
      <c r="CQ287" s="1362"/>
      <c r="CR287" s="1362"/>
      <c r="CS287" s="1363">
        <v>2</v>
      </c>
      <c r="CT287" s="1363">
        <v>0</v>
      </c>
      <c r="CU287" s="1363">
        <v>0</v>
      </c>
      <c r="CV287" s="686"/>
      <c r="CW287" s="686"/>
      <c r="CX287" s="687">
        <v>2</v>
      </c>
      <c r="CY287" s="41"/>
      <c r="DA287" s="602"/>
      <c r="DB287" s="602"/>
      <c r="DC287" s="603"/>
      <c r="DD287" s="604" t="s">
        <v>1239</v>
      </c>
      <c r="DE287" s="606">
        <v>0</v>
      </c>
      <c r="DF287" s="606">
        <v>0</v>
      </c>
      <c r="DG287" s="605"/>
      <c r="DH287" s="605"/>
      <c r="DI287" s="605"/>
      <c r="DJ287" s="606">
        <v>0</v>
      </c>
      <c r="DK287" s="606">
        <v>1</v>
      </c>
      <c r="DL287" s="605"/>
      <c r="DM287" s="602"/>
      <c r="DN287" s="602"/>
      <c r="DO287" s="607">
        <v>1</v>
      </c>
      <c r="DP287" s="105"/>
      <c r="EJ287" s="511" t="s">
        <v>1347</v>
      </c>
      <c r="FA287" s="42" t="s">
        <v>1305</v>
      </c>
      <c r="FB287" s="70"/>
      <c r="FC287" s="42"/>
      <c r="FD287" s="42"/>
      <c r="FE287" s="42"/>
      <c r="FF287" s="42"/>
      <c r="FG287" s="42"/>
      <c r="FH287" s="42"/>
      <c r="FI287" s="42"/>
      <c r="FJ287" s="42"/>
      <c r="FK287" s="42"/>
      <c r="FL287" s="42"/>
      <c r="FM287" s="42"/>
      <c r="FN287" s="42"/>
      <c r="FO287" s="42"/>
      <c r="FP287" s="42"/>
      <c r="FQ287" s="42"/>
      <c r="FR287" s="516"/>
      <c r="FS287" s="516"/>
      <c r="FT287" s="516"/>
      <c r="FU287" s="516"/>
      <c r="FV287" s="516"/>
      <c r="FW287" s="516"/>
      <c r="FX287" s="516"/>
      <c r="FY287" s="516"/>
      <c r="FZ287" s="516"/>
      <c r="GA287" s="516"/>
      <c r="GB287" s="516"/>
      <c r="GC287" s="516"/>
      <c r="GD287" s="516"/>
      <c r="GE287" s="516"/>
      <c r="GF287" s="516"/>
      <c r="GG287" s="517"/>
      <c r="GH287" s="516"/>
      <c r="GI287" s="516"/>
    </row>
    <row r="288" spans="2:191">
      <c r="B288" s="167" t="s">
        <v>21</v>
      </c>
      <c r="C288" s="4800" t="s">
        <v>143</v>
      </c>
      <c r="D288" s="4800" t="s">
        <v>1231</v>
      </c>
      <c r="E288" s="4606">
        <v>0</v>
      </c>
      <c r="F288" s="4606"/>
      <c r="G288" s="4606"/>
      <c r="H288" s="4606"/>
      <c r="I288" s="4606"/>
      <c r="J288" s="4606">
        <v>1</v>
      </c>
      <c r="K288" s="4606">
        <v>6</v>
      </c>
      <c r="L288" s="4606"/>
      <c r="M288" s="4606"/>
      <c r="N288" s="2552"/>
      <c r="O288" s="2552"/>
      <c r="P288" s="2552">
        <v>7</v>
      </c>
      <c r="Q288" s="2552"/>
      <c r="R288" s="2552"/>
      <c r="V288" s="37" t="s">
        <v>1236</v>
      </c>
      <c r="W288" s="4803"/>
      <c r="X288" s="4803"/>
      <c r="Y288" s="4803">
        <v>1</v>
      </c>
      <c r="Z288" s="4803">
        <v>0</v>
      </c>
      <c r="AA288" s="4803"/>
      <c r="AB288" s="4803">
        <v>0</v>
      </c>
      <c r="AC288" s="4803">
        <v>0</v>
      </c>
      <c r="AD288" s="4803"/>
      <c r="AE288" s="1788"/>
      <c r="AF288" s="1788">
        <v>1</v>
      </c>
      <c r="AI288" s="41"/>
      <c r="AJ288" s="41"/>
      <c r="AK288" s="41"/>
      <c r="AL288" s="41" t="s">
        <v>1231</v>
      </c>
      <c r="AM288" s="2001"/>
      <c r="AN288" s="2001">
        <v>1</v>
      </c>
      <c r="AO288" s="2001"/>
      <c r="AP288" s="2001"/>
      <c r="AQ288" s="2001"/>
      <c r="AR288" s="2001">
        <v>3</v>
      </c>
      <c r="AS288" s="2001">
        <v>0</v>
      </c>
      <c r="AT288" s="2001"/>
      <c r="AU288" s="105"/>
      <c r="AV288" s="105"/>
      <c r="AW288" s="105">
        <v>4</v>
      </c>
      <c r="AX288" s="41"/>
      <c r="AZ288" s="42"/>
      <c r="BA288" s="42"/>
      <c r="BB288" s="42"/>
      <c r="BC288" s="42" t="s">
        <v>1236</v>
      </c>
      <c r="BD288" s="1993"/>
      <c r="BE288" s="1993">
        <v>0</v>
      </c>
      <c r="BF288" s="1993">
        <v>0</v>
      </c>
      <c r="BG288" s="1993">
        <v>0</v>
      </c>
      <c r="BH288" s="1993">
        <v>1</v>
      </c>
      <c r="BI288" s="1993">
        <v>0</v>
      </c>
      <c r="BJ288" s="1993">
        <v>0</v>
      </c>
      <c r="BK288" s="1993">
        <v>0</v>
      </c>
      <c r="BL288" s="1993">
        <v>0</v>
      </c>
      <c r="BM288" s="70"/>
      <c r="BN288" s="70"/>
      <c r="BO288" s="70">
        <v>1</v>
      </c>
      <c r="BR288" s="105"/>
      <c r="BS288" s="105"/>
      <c r="BT288" s="41"/>
      <c r="BU288" s="41" t="s">
        <v>1235</v>
      </c>
      <c r="BV288" s="1659"/>
      <c r="BW288" s="1659">
        <v>0</v>
      </c>
      <c r="BX288" s="1659">
        <v>0</v>
      </c>
      <c r="BY288" s="1659">
        <v>3</v>
      </c>
      <c r="BZ288" s="1659">
        <v>3</v>
      </c>
      <c r="CA288" s="1659">
        <v>0</v>
      </c>
      <c r="CB288" s="1659">
        <v>23</v>
      </c>
      <c r="CC288" s="1659">
        <v>1</v>
      </c>
      <c r="CD288" s="1659">
        <v>1</v>
      </c>
      <c r="CE288" s="105">
        <v>0</v>
      </c>
      <c r="CF288" s="105"/>
      <c r="CG288" s="105">
        <v>31</v>
      </c>
      <c r="CH288" s="105"/>
      <c r="CJ288" s="1359"/>
      <c r="CK288" s="1359"/>
      <c r="CL288" s="1360"/>
      <c r="CM288" s="483" t="s">
        <v>15</v>
      </c>
      <c r="CN288" s="1365">
        <v>1</v>
      </c>
      <c r="CO288" s="1365">
        <v>1</v>
      </c>
      <c r="CP288" s="1365">
        <v>1</v>
      </c>
      <c r="CQ288" s="1364"/>
      <c r="CR288" s="1364"/>
      <c r="CS288" s="1365">
        <v>18</v>
      </c>
      <c r="CT288" s="1365">
        <v>1</v>
      </c>
      <c r="CU288" s="1365">
        <v>1</v>
      </c>
      <c r="CV288" s="695"/>
      <c r="CW288" s="695"/>
      <c r="CX288" s="696">
        <v>23</v>
      </c>
      <c r="CY288" s="1325">
        <f>+(CX284+CX286+CX287)/CX288</f>
        <v>0.34782608695652173</v>
      </c>
      <c r="DA288" s="602"/>
      <c r="DB288" s="602"/>
      <c r="DC288" s="603"/>
      <c r="DD288" s="604" t="s">
        <v>1344</v>
      </c>
      <c r="DE288" s="606">
        <v>0</v>
      </c>
      <c r="DF288" s="606">
        <v>0</v>
      </c>
      <c r="DG288" s="605"/>
      <c r="DH288" s="605"/>
      <c r="DI288" s="605"/>
      <c r="DJ288" s="606">
        <v>3</v>
      </c>
      <c r="DK288" s="606">
        <v>1</v>
      </c>
      <c r="DL288" s="605"/>
      <c r="DM288" s="602"/>
      <c r="DN288" s="602"/>
      <c r="DO288" s="607">
        <v>4</v>
      </c>
      <c r="DP288" s="105"/>
      <c r="EJ288" s="653" t="s">
        <v>1348</v>
      </c>
      <c r="FA288" s="70"/>
      <c r="FB288" s="70"/>
      <c r="FC288" s="42"/>
      <c r="FD288" s="42"/>
      <c r="FE288" s="42"/>
      <c r="FF288" s="42"/>
      <c r="FG288" s="42"/>
      <c r="FH288" s="42"/>
      <c r="FI288" s="42"/>
      <c r="FJ288" s="42"/>
      <c r="FK288" s="42"/>
      <c r="FL288" s="42"/>
      <c r="FM288" s="42"/>
      <c r="FN288" s="42"/>
      <c r="FO288" s="42"/>
      <c r="FP288" s="42"/>
      <c r="FQ288" s="42"/>
      <c r="FR288" s="516"/>
      <c r="FS288" s="516"/>
      <c r="FT288" s="516"/>
      <c r="FU288" s="516"/>
      <c r="FV288" s="516"/>
      <c r="FW288" s="516"/>
      <c r="FX288" s="516"/>
      <c r="FY288" s="516"/>
      <c r="FZ288" s="516"/>
      <c r="GA288" s="516"/>
      <c r="GB288" s="516"/>
      <c r="GC288" s="516"/>
      <c r="GD288" s="516"/>
      <c r="GE288" s="516"/>
      <c r="GF288" s="516"/>
      <c r="GG288" s="517"/>
      <c r="GH288" s="516"/>
      <c r="GI288" s="516"/>
    </row>
    <row r="289" spans="3:191">
      <c r="D289" s="4800" t="s">
        <v>1235</v>
      </c>
      <c r="E289" s="4606">
        <v>0</v>
      </c>
      <c r="F289" s="4606"/>
      <c r="G289" s="4606"/>
      <c r="H289" s="4606"/>
      <c r="I289" s="4606"/>
      <c r="J289" s="4606">
        <v>0</v>
      </c>
      <c r="K289" s="4606">
        <v>6</v>
      </c>
      <c r="L289" s="4606"/>
      <c r="M289" s="4606"/>
      <c r="N289" s="2552"/>
      <c r="O289" s="2552"/>
      <c r="P289" s="2552">
        <v>6</v>
      </c>
      <c r="Q289" s="2552"/>
      <c r="R289" s="2552"/>
      <c r="V289" s="37" t="s">
        <v>1239</v>
      </c>
      <c r="W289" s="4803"/>
      <c r="X289" s="4803"/>
      <c r="Y289" s="4803">
        <v>0</v>
      </c>
      <c r="Z289" s="4803">
        <v>0</v>
      </c>
      <c r="AA289" s="4803"/>
      <c r="AB289" s="4803">
        <v>0</v>
      </c>
      <c r="AC289" s="4803">
        <v>3</v>
      </c>
      <c r="AD289" s="4803"/>
      <c r="AE289" s="1788"/>
      <c r="AF289" s="1788">
        <v>3</v>
      </c>
      <c r="AI289" s="41"/>
      <c r="AJ289" s="41"/>
      <c r="AK289" s="41"/>
      <c r="AL289" s="41" t="s">
        <v>1235</v>
      </c>
      <c r="AM289" s="2001"/>
      <c r="AN289" s="2001">
        <v>0</v>
      </c>
      <c r="AO289" s="2001"/>
      <c r="AP289" s="2001"/>
      <c r="AQ289" s="2001"/>
      <c r="AR289" s="2001">
        <v>9</v>
      </c>
      <c r="AS289" s="2001">
        <v>0</v>
      </c>
      <c r="AT289" s="2001"/>
      <c r="AU289" s="105"/>
      <c r="AV289" s="105"/>
      <c r="AW289" s="105">
        <v>9</v>
      </c>
      <c r="AX289" s="41"/>
      <c r="AZ289" s="42"/>
      <c r="BA289" s="42"/>
      <c r="BB289" s="42"/>
      <c r="BC289" s="42" t="s">
        <v>1239</v>
      </c>
      <c r="BD289" s="1993"/>
      <c r="BE289" s="1993">
        <v>0</v>
      </c>
      <c r="BF289" s="1993">
        <v>0</v>
      </c>
      <c r="BG289" s="1993">
        <v>0</v>
      </c>
      <c r="BH289" s="1993">
        <v>0</v>
      </c>
      <c r="BI289" s="1993">
        <v>0</v>
      </c>
      <c r="BJ289" s="1993">
        <v>0</v>
      </c>
      <c r="BK289" s="1993">
        <v>1</v>
      </c>
      <c r="BL289" s="1993">
        <v>9</v>
      </c>
      <c r="BM289" s="70"/>
      <c r="BN289" s="70"/>
      <c r="BO289" s="70">
        <v>10</v>
      </c>
      <c r="BR289" s="105"/>
      <c r="BS289" s="105"/>
      <c r="BT289" s="41"/>
      <c r="BU289" s="41" t="s">
        <v>1239</v>
      </c>
      <c r="BV289" s="1659"/>
      <c r="BW289" s="1659">
        <v>0</v>
      </c>
      <c r="BX289" s="1659">
        <v>0</v>
      </c>
      <c r="BY289" s="1659">
        <v>0</v>
      </c>
      <c r="BZ289" s="1659">
        <v>1</v>
      </c>
      <c r="CA289" s="1659">
        <v>0</v>
      </c>
      <c r="CB289" s="1659">
        <v>0</v>
      </c>
      <c r="CC289" s="1659">
        <v>0</v>
      </c>
      <c r="CD289" s="1659">
        <v>4</v>
      </c>
      <c r="CE289" s="105">
        <v>2</v>
      </c>
      <c r="CF289" s="105"/>
      <c r="CG289" s="105">
        <v>7</v>
      </c>
      <c r="CH289" s="105"/>
      <c r="CJ289" s="1359"/>
      <c r="CK289" s="1359"/>
      <c r="CL289" s="1360" t="s">
        <v>545</v>
      </c>
      <c r="CM289" s="1361" t="s">
        <v>1231</v>
      </c>
      <c r="CN289" s="1363">
        <v>0</v>
      </c>
      <c r="CO289" s="1363">
        <v>0</v>
      </c>
      <c r="CP289" s="1363">
        <v>0</v>
      </c>
      <c r="CQ289" s="1362"/>
      <c r="CR289" s="1362"/>
      <c r="CS289" s="1363">
        <v>10</v>
      </c>
      <c r="CT289" s="1363">
        <v>1</v>
      </c>
      <c r="CU289" s="1363">
        <v>1</v>
      </c>
      <c r="CV289" s="686"/>
      <c r="CW289" s="686"/>
      <c r="CX289" s="687">
        <v>12</v>
      </c>
      <c r="CY289" s="41"/>
      <c r="DA289" s="602"/>
      <c r="DB289" s="602"/>
      <c r="DC289" s="603"/>
      <c r="DD289" s="630" t="s">
        <v>15</v>
      </c>
      <c r="DE289" s="632">
        <v>1</v>
      </c>
      <c r="DF289" s="632">
        <v>1</v>
      </c>
      <c r="DG289" s="631"/>
      <c r="DH289" s="631"/>
      <c r="DI289" s="631"/>
      <c r="DJ289" s="632">
        <v>8</v>
      </c>
      <c r="DK289" s="632">
        <v>3</v>
      </c>
      <c r="DL289" s="631"/>
      <c r="DM289" s="633"/>
      <c r="DN289" s="633"/>
      <c r="DO289" s="634">
        <v>13</v>
      </c>
      <c r="DP289" s="635">
        <f>+DO288/DO289</f>
        <v>0.30769230769230771</v>
      </c>
      <c r="EJ289" s="615"/>
      <c r="EK289" s="615"/>
      <c r="EL289" s="615"/>
      <c r="EM289" s="616"/>
      <c r="EN289" s="617"/>
      <c r="EO289" s="618"/>
      <c r="EP289" s="618"/>
      <c r="EQ289" s="618"/>
      <c r="ER289" s="618"/>
      <c r="ES289" s="618"/>
      <c r="ET289" s="618"/>
      <c r="EU289" s="618"/>
      <c r="EV289" s="617"/>
      <c r="EW289" s="617"/>
      <c r="EX289" s="618"/>
      <c r="FA289" s="654" t="s">
        <v>1332</v>
      </c>
      <c r="FB289" s="70"/>
      <c r="FC289" s="42"/>
      <c r="FD289" s="42"/>
      <c r="FE289" s="42"/>
      <c r="FF289" s="42"/>
      <c r="FG289" s="42"/>
      <c r="FH289" s="42"/>
      <c r="FI289" s="42"/>
      <c r="FJ289" s="42"/>
      <c r="FK289" s="42"/>
      <c r="FL289" s="42"/>
      <c r="FM289" s="42"/>
      <c r="FN289" s="42"/>
      <c r="FO289" s="42"/>
      <c r="FP289" s="42"/>
      <c r="FQ289" s="42"/>
      <c r="FR289" s="516"/>
      <c r="FS289" s="516"/>
      <c r="FT289" s="587" t="s">
        <v>1332</v>
      </c>
      <c r="FU289" s="516"/>
      <c r="FV289" s="516"/>
      <c r="FW289" s="516"/>
      <c r="FX289" s="516"/>
      <c r="FY289" s="516"/>
      <c r="FZ289" s="516"/>
      <c r="GA289" s="516"/>
      <c r="GB289" s="516"/>
      <c r="GC289" s="516"/>
      <c r="GD289" s="516"/>
      <c r="GE289" s="516"/>
      <c r="GF289" s="516"/>
      <c r="GG289" s="517"/>
      <c r="GH289" s="516"/>
      <c r="GI289" s="516"/>
    </row>
    <row r="290" spans="3:191">
      <c r="D290" s="4800" t="s">
        <v>1240</v>
      </c>
      <c r="E290" s="4606">
        <v>0</v>
      </c>
      <c r="F290" s="4606"/>
      <c r="G290" s="4606"/>
      <c r="H290" s="4606"/>
      <c r="I290" s="4606"/>
      <c r="J290" s="4606">
        <v>0</v>
      </c>
      <c r="K290" s="4606">
        <v>9</v>
      </c>
      <c r="L290" s="4606"/>
      <c r="M290" s="4606"/>
      <c r="N290" s="2552"/>
      <c r="O290" s="2552"/>
      <c r="P290" s="2552">
        <v>9</v>
      </c>
      <c r="Q290" s="2552"/>
      <c r="R290" s="2552"/>
      <c r="V290" s="1793" t="s">
        <v>15</v>
      </c>
      <c r="W290" s="4804"/>
      <c r="X290" s="4804"/>
      <c r="Y290" s="4804">
        <v>1</v>
      </c>
      <c r="Z290" s="4804">
        <v>1</v>
      </c>
      <c r="AA290" s="4804"/>
      <c r="AB290" s="4804">
        <v>7</v>
      </c>
      <c r="AC290" s="4804">
        <v>3</v>
      </c>
      <c r="AD290" s="4804"/>
      <c r="AE290" s="4702"/>
      <c r="AF290" s="4702">
        <v>12</v>
      </c>
      <c r="AG290" s="4703">
        <f>+AF287/AF290</f>
        <v>8.3333333333333329E-2</v>
      </c>
      <c r="AI290" s="41"/>
      <c r="AJ290" s="41"/>
      <c r="AK290" s="41"/>
      <c r="AL290" s="41" t="s">
        <v>1240</v>
      </c>
      <c r="AM290" s="2001"/>
      <c r="AN290" s="2001">
        <v>0</v>
      </c>
      <c r="AO290" s="2001"/>
      <c r="AP290" s="2001"/>
      <c r="AQ290" s="2001"/>
      <c r="AR290" s="2001">
        <v>10</v>
      </c>
      <c r="AS290" s="2001">
        <v>0</v>
      </c>
      <c r="AT290" s="2001"/>
      <c r="AU290" s="105"/>
      <c r="AV290" s="105"/>
      <c r="AW290" s="105">
        <v>10</v>
      </c>
      <c r="AX290" s="41"/>
      <c r="AZ290" s="42"/>
      <c r="BA290" s="42"/>
      <c r="BB290" s="42"/>
      <c r="BC290" s="42" t="s">
        <v>1240</v>
      </c>
      <c r="BD290" s="1993"/>
      <c r="BE290" s="1993">
        <v>0</v>
      </c>
      <c r="BF290" s="1993">
        <v>0</v>
      </c>
      <c r="BG290" s="1993">
        <v>0</v>
      </c>
      <c r="BH290" s="1993">
        <v>0</v>
      </c>
      <c r="BI290" s="1993">
        <v>2</v>
      </c>
      <c r="BJ290" s="1993">
        <v>45</v>
      </c>
      <c r="BK290" s="1993">
        <v>2</v>
      </c>
      <c r="BL290" s="1993">
        <v>0</v>
      </c>
      <c r="BM290" s="70"/>
      <c r="BN290" s="70"/>
      <c r="BO290" s="70">
        <v>49</v>
      </c>
      <c r="BR290" s="105"/>
      <c r="BS290" s="105"/>
      <c r="BT290" s="41"/>
      <c r="BU290" s="41" t="s">
        <v>1240</v>
      </c>
      <c r="BV290" s="1659"/>
      <c r="BW290" s="1659">
        <v>0</v>
      </c>
      <c r="BX290" s="1659">
        <v>0</v>
      </c>
      <c r="BY290" s="1659">
        <v>2</v>
      </c>
      <c r="BZ290" s="1659">
        <v>1</v>
      </c>
      <c r="CA290" s="1659">
        <v>0</v>
      </c>
      <c r="CB290" s="1659">
        <v>30</v>
      </c>
      <c r="CC290" s="1659">
        <v>8</v>
      </c>
      <c r="CD290" s="1659">
        <v>1</v>
      </c>
      <c r="CE290" s="105">
        <v>0</v>
      </c>
      <c r="CF290" s="105"/>
      <c r="CG290" s="105">
        <v>42</v>
      </c>
      <c r="CH290" s="105"/>
      <c r="CJ290" s="1359"/>
      <c r="CK290" s="1359"/>
      <c r="CL290" s="1360"/>
      <c r="CM290" s="1361" t="s">
        <v>1233</v>
      </c>
      <c r="CN290" s="1363">
        <v>1</v>
      </c>
      <c r="CO290" s="1363">
        <v>0</v>
      </c>
      <c r="CP290" s="1363">
        <v>0</v>
      </c>
      <c r="CQ290" s="1362"/>
      <c r="CR290" s="1362"/>
      <c r="CS290" s="1363">
        <v>0</v>
      </c>
      <c r="CT290" s="1363">
        <v>0</v>
      </c>
      <c r="CU290" s="1363">
        <v>0</v>
      </c>
      <c r="CV290" s="686"/>
      <c r="CW290" s="686"/>
      <c r="CX290" s="687">
        <v>1</v>
      </c>
      <c r="CY290" s="41"/>
      <c r="DA290" s="602"/>
      <c r="DB290" s="602"/>
      <c r="DC290" s="603" t="s">
        <v>545</v>
      </c>
      <c r="DD290" s="604" t="s">
        <v>1231</v>
      </c>
      <c r="DE290" s="606">
        <v>0</v>
      </c>
      <c r="DF290" s="606">
        <v>0</v>
      </c>
      <c r="DG290" s="605"/>
      <c r="DH290" s="605"/>
      <c r="DI290" s="605"/>
      <c r="DJ290" s="606">
        <v>5</v>
      </c>
      <c r="DK290" s="606">
        <v>0</v>
      </c>
      <c r="DL290" s="605"/>
      <c r="DM290" s="602"/>
      <c r="DN290" s="602"/>
      <c r="DO290" s="607">
        <v>5</v>
      </c>
      <c r="DP290" s="105"/>
      <c r="EJ290" s="615"/>
      <c r="EK290" s="615"/>
      <c r="EL290" s="615"/>
      <c r="EM290" s="616"/>
      <c r="EN290" s="617"/>
      <c r="EO290" s="618"/>
      <c r="EP290" s="618"/>
      <c r="EQ290" s="618"/>
      <c r="ER290" s="618"/>
      <c r="ES290" s="618"/>
      <c r="ET290" s="618"/>
      <c r="EU290" s="618"/>
      <c r="EV290" s="617"/>
      <c r="EW290" s="617"/>
      <c r="EX290" s="618"/>
      <c r="FA290" s="654" t="s">
        <v>1348</v>
      </c>
      <c r="FB290" s="70"/>
      <c r="FC290" s="42"/>
      <c r="FD290" s="42"/>
      <c r="FE290" s="42"/>
      <c r="FF290" s="42"/>
      <c r="FG290" s="42"/>
      <c r="FH290" s="42"/>
      <c r="FI290" s="42"/>
      <c r="FJ290" s="42"/>
      <c r="FK290" s="42"/>
      <c r="FL290" s="42"/>
      <c r="FM290" s="42"/>
      <c r="FN290" s="42"/>
      <c r="FO290" s="42"/>
      <c r="FP290" s="42"/>
      <c r="FQ290" s="42"/>
      <c r="FR290" s="516"/>
      <c r="FS290" s="516"/>
      <c r="FT290" s="587" t="s">
        <v>1334</v>
      </c>
      <c r="FU290" s="516"/>
      <c r="FV290" s="516"/>
      <c r="FW290" s="516"/>
      <c r="FX290" s="516"/>
      <c r="FY290" s="516"/>
      <c r="FZ290" s="516"/>
      <c r="GA290" s="516"/>
      <c r="GB290" s="516"/>
      <c r="GC290" s="516"/>
      <c r="GD290" s="516"/>
      <c r="GE290" s="516"/>
      <c r="GF290" s="516"/>
      <c r="GG290" s="517"/>
      <c r="GH290" s="516"/>
      <c r="GI290" s="516"/>
    </row>
    <row r="291" spans="3:191">
      <c r="D291" s="4800" t="s">
        <v>2963</v>
      </c>
      <c r="E291" s="4606">
        <v>2</v>
      </c>
      <c r="F291" s="4606"/>
      <c r="G291" s="4606"/>
      <c r="H291" s="4606"/>
      <c r="I291" s="4606"/>
      <c r="J291" s="4606">
        <v>0</v>
      </c>
      <c r="K291" s="4606">
        <v>0</v>
      </c>
      <c r="L291" s="4606"/>
      <c r="M291" s="4606"/>
      <c r="N291" s="2552"/>
      <c r="O291" s="2552"/>
      <c r="P291" s="2552">
        <v>2</v>
      </c>
      <c r="Q291" s="2552"/>
      <c r="R291" s="2552"/>
      <c r="U291" s="1793" t="s">
        <v>545</v>
      </c>
      <c r="V291" s="1793" t="s">
        <v>1231</v>
      </c>
      <c r="W291" s="4804"/>
      <c r="X291" s="4804"/>
      <c r="Y291" s="4804">
        <v>0</v>
      </c>
      <c r="Z291" s="4804">
        <v>1</v>
      </c>
      <c r="AA291" s="4804"/>
      <c r="AB291" s="4804">
        <v>6</v>
      </c>
      <c r="AC291" s="4804">
        <v>0</v>
      </c>
      <c r="AD291" s="4804"/>
      <c r="AE291" s="4702"/>
      <c r="AF291" s="4702">
        <v>7</v>
      </c>
      <c r="AG291" s="1793"/>
      <c r="AI291" s="41"/>
      <c r="AJ291" s="41"/>
      <c r="AK291" s="41"/>
      <c r="AL291" s="41" t="s">
        <v>1344</v>
      </c>
      <c r="AM291" s="2001"/>
      <c r="AN291" s="2001">
        <v>0</v>
      </c>
      <c r="AO291" s="2001"/>
      <c r="AP291" s="2001"/>
      <c r="AQ291" s="2001"/>
      <c r="AR291" s="2001">
        <v>1</v>
      </c>
      <c r="AS291" s="2001">
        <v>0</v>
      </c>
      <c r="AT291" s="2001"/>
      <c r="AU291" s="105"/>
      <c r="AV291" s="105"/>
      <c r="AW291" s="105">
        <v>1</v>
      </c>
      <c r="AX291" s="41"/>
      <c r="AZ291" s="42"/>
      <c r="BA291" s="42"/>
      <c r="BB291" s="42"/>
      <c r="BC291" s="42" t="s">
        <v>1344</v>
      </c>
      <c r="BD291" s="1993"/>
      <c r="BE291" s="1993">
        <v>0</v>
      </c>
      <c r="BF291" s="1993">
        <v>0</v>
      </c>
      <c r="BG291" s="1993">
        <v>0</v>
      </c>
      <c r="BH291" s="1993">
        <v>1</v>
      </c>
      <c r="BI291" s="1993">
        <v>2</v>
      </c>
      <c r="BJ291" s="1993">
        <v>17</v>
      </c>
      <c r="BK291" s="1993">
        <v>1</v>
      </c>
      <c r="BL291" s="1993">
        <v>0</v>
      </c>
      <c r="BM291" s="70"/>
      <c r="BN291" s="70"/>
      <c r="BO291" s="70">
        <v>21</v>
      </c>
      <c r="BR291" s="105"/>
      <c r="BS291" s="105"/>
      <c r="BT291" s="41"/>
      <c r="BU291" s="41" t="s">
        <v>1344</v>
      </c>
      <c r="BV291" s="1659"/>
      <c r="BW291" s="1659">
        <v>0</v>
      </c>
      <c r="BX291" s="1659">
        <v>0</v>
      </c>
      <c r="BY291" s="1659">
        <v>11</v>
      </c>
      <c r="BZ291" s="1659">
        <v>2</v>
      </c>
      <c r="CA291" s="1659">
        <v>0</v>
      </c>
      <c r="CB291" s="1659">
        <v>18</v>
      </c>
      <c r="CC291" s="1659">
        <v>7</v>
      </c>
      <c r="CD291" s="1659">
        <v>0</v>
      </c>
      <c r="CE291" s="105">
        <v>0</v>
      </c>
      <c r="CF291" s="105"/>
      <c r="CG291" s="105">
        <v>38</v>
      </c>
      <c r="CH291" s="105"/>
      <c r="CJ291" s="1359"/>
      <c r="CK291" s="1359"/>
      <c r="CL291" s="1360"/>
      <c r="CM291" s="1361" t="s">
        <v>1235</v>
      </c>
      <c r="CN291" s="1363">
        <v>0</v>
      </c>
      <c r="CO291" s="1363">
        <v>0</v>
      </c>
      <c r="CP291" s="1363">
        <v>0</v>
      </c>
      <c r="CQ291" s="1362"/>
      <c r="CR291" s="1362"/>
      <c r="CS291" s="1363">
        <v>3</v>
      </c>
      <c r="CT291" s="1363">
        <v>0</v>
      </c>
      <c r="CU291" s="1363">
        <v>0</v>
      </c>
      <c r="CV291" s="686"/>
      <c r="CW291" s="686"/>
      <c r="CX291" s="687">
        <v>3</v>
      </c>
      <c r="CY291" s="41"/>
      <c r="DA291" s="602"/>
      <c r="DB291" s="602"/>
      <c r="DC291" s="603"/>
      <c r="DD291" s="604" t="s">
        <v>1233</v>
      </c>
      <c r="DE291" s="606">
        <v>1</v>
      </c>
      <c r="DF291" s="606">
        <v>1</v>
      </c>
      <c r="DG291" s="605"/>
      <c r="DH291" s="605"/>
      <c r="DI291" s="605"/>
      <c r="DJ291" s="606">
        <v>0</v>
      </c>
      <c r="DK291" s="606">
        <v>0</v>
      </c>
      <c r="DL291" s="605"/>
      <c r="DM291" s="602"/>
      <c r="DN291" s="602"/>
      <c r="DO291" s="607">
        <v>2</v>
      </c>
      <c r="DP291" s="105"/>
      <c r="EJ291" s="615"/>
      <c r="EK291" s="615"/>
      <c r="EL291" s="615"/>
      <c r="EM291" s="625"/>
      <c r="EN291" s="626"/>
      <c r="EO291" s="627"/>
      <c r="EP291" s="627"/>
      <c r="EQ291" s="627"/>
      <c r="ER291" s="627"/>
      <c r="ES291" s="627"/>
      <c r="ET291" s="627"/>
      <c r="EU291" s="627"/>
      <c r="EV291" s="626"/>
      <c r="EW291" s="626"/>
      <c r="EX291" s="627"/>
      <c r="FA291" s="654" t="s">
        <v>1335</v>
      </c>
      <c r="FB291" s="70"/>
      <c r="FC291" s="42"/>
      <c r="FD291" s="42"/>
      <c r="FE291" s="42"/>
      <c r="FF291" s="42"/>
      <c r="FG291" s="42"/>
      <c r="FH291" s="42"/>
      <c r="FI291" s="42"/>
      <c r="FJ291" s="42"/>
      <c r="FK291" s="42"/>
      <c r="FL291" s="42"/>
      <c r="FM291" s="42"/>
      <c r="FN291" s="42"/>
      <c r="FO291" s="42"/>
      <c r="FP291" s="42"/>
      <c r="FQ291" s="42"/>
      <c r="FR291" s="516"/>
      <c r="FS291" s="516"/>
      <c r="FT291" s="587" t="s">
        <v>1306</v>
      </c>
      <c r="FU291" s="516"/>
      <c r="FV291" s="516"/>
      <c r="FW291" s="516"/>
      <c r="FX291" s="516"/>
      <c r="FY291" s="516"/>
      <c r="FZ291" s="516"/>
      <c r="GA291" s="516"/>
      <c r="GB291" s="516"/>
      <c r="GC291" s="516"/>
      <c r="GD291" s="516"/>
      <c r="GE291" s="516"/>
      <c r="GF291" s="516"/>
      <c r="GG291" s="517"/>
      <c r="GH291" s="516"/>
      <c r="GI291" s="516"/>
    </row>
    <row r="292" spans="3:191">
      <c r="D292" s="4800" t="s">
        <v>1344</v>
      </c>
      <c r="E292" s="4606">
        <v>0</v>
      </c>
      <c r="F292" s="4606"/>
      <c r="G292" s="4606"/>
      <c r="H292" s="4606"/>
      <c r="I292" s="4606"/>
      <c r="J292" s="4606">
        <v>0</v>
      </c>
      <c r="K292" s="4606">
        <v>1</v>
      </c>
      <c r="L292" s="4606"/>
      <c r="M292" s="4606"/>
      <c r="N292" s="2552"/>
      <c r="O292" s="2552"/>
      <c r="P292" s="2552">
        <v>1</v>
      </c>
      <c r="Q292" s="2552"/>
      <c r="R292" s="2552"/>
      <c r="U292" s="1793"/>
      <c r="V292" s="1793" t="s">
        <v>1235</v>
      </c>
      <c r="W292" s="4804"/>
      <c r="X292" s="4804"/>
      <c r="Y292" s="4804">
        <v>0</v>
      </c>
      <c r="Z292" s="4804">
        <v>0</v>
      </c>
      <c r="AA292" s="4804"/>
      <c r="AB292" s="4804">
        <v>1</v>
      </c>
      <c r="AC292" s="4804">
        <v>0</v>
      </c>
      <c r="AD292" s="4804"/>
      <c r="AE292" s="4702"/>
      <c r="AF292" s="4702">
        <v>1</v>
      </c>
      <c r="AG292" s="1793"/>
      <c r="AI292" s="41"/>
      <c r="AJ292" s="41"/>
      <c r="AK292" s="41"/>
      <c r="AL292" s="461" t="s">
        <v>15</v>
      </c>
      <c r="AM292" s="2002"/>
      <c r="AN292" s="2002">
        <v>1</v>
      </c>
      <c r="AO292" s="2002"/>
      <c r="AP292" s="2002"/>
      <c r="AQ292" s="2002"/>
      <c r="AR292" s="2002">
        <v>24</v>
      </c>
      <c r="AS292" s="2002">
        <v>1</v>
      </c>
      <c r="AT292" s="2002"/>
      <c r="AU292" s="2480"/>
      <c r="AV292" s="2480"/>
      <c r="AW292" s="2480">
        <v>26</v>
      </c>
      <c r="AX292" s="635">
        <f>+(AW291+AW290+AW289)/AW292</f>
        <v>0.76923076923076927</v>
      </c>
      <c r="AY292" s="1977"/>
      <c r="AZ292" s="42"/>
      <c r="BA292" s="42"/>
      <c r="BB292" s="42"/>
      <c r="BC292" s="484" t="s">
        <v>442</v>
      </c>
      <c r="BD292" s="1994"/>
      <c r="BE292" s="1994">
        <v>4</v>
      </c>
      <c r="BF292" s="1994">
        <v>5</v>
      </c>
      <c r="BG292" s="1994">
        <v>2</v>
      </c>
      <c r="BH292" s="1994">
        <v>4</v>
      </c>
      <c r="BI292" s="1994">
        <v>8</v>
      </c>
      <c r="BJ292" s="1994">
        <v>161</v>
      </c>
      <c r="BK292" s="1994">
        <v>19</v>
      </c>
      <c r="BL292" s="1994">
        <v>12</v>
      </c>
      <c r="BM292" s="454"/>
      <c r="BN292" s="454"/>
      <c r="BO292" s="454">
        <v>215</v>
      </c>
      <c r="BP292" s="2485">
        <f>+(BO287+BO290+BO291)/BO292</f>
        <v>0.4</v>
      </c>
      <c r="BR292" s="105"/>
      <c r="BS292" s="105"/>
      <c r="BT292" s="41"/>
      <c r="BU292" s="461" t="s">
        <v>442</v>
      </c>
      <c r="BV292" s="1660"/>
      <c r="BW292" s="1660">
        <v>5</v>
      </c>
      <c r="BX292" s="1660">
        <v>4</v>
      </c>
      <c r="BY292" s="1660">
        <v>29</v>
      </c>
      <c r="BZ292" s="1660">
        <v>8</v>
      </c>
      <c r="CA292" s="1660">
        <v>1</v>
      </c>
      <c r="CB292" s="1660">
        <v>180</v>
      </c>
      <c r="CC292" s="1660">
        <v>30</v>
      </c>
      <c r="CD292" s="1660">
        <v>8</v>
      </c>
      <c r="CE292" s="96">
        <v>2</v>
      </c>
      <c r="CF292" s="96"/>
      <c r="CG292" s="96">
        <v>267</v>
      </c>
      <c r="CH292" s="635">
        <f>+(CG288+CG290+CG291)/CG292</f>
        <v>0.4157303370786517</v>
      </c>
      <c r="CJ292" s="1359"/>
      <c r="CK292" s="1359"/>
      <c r="CL292" s="1360"/>
      <c r="CM292" s="1361" t="s">
        <v>1236</v>
      </c>
      <c r="CN292" s="1363">
        <v>0</v>
      </c>
      <c r="CO292" s="1363">
        <v>1</v>
      </c>
      <c r="CP292" s="1363">
        <v>1</v>
      </c>
      <c r="CQ292" s="1362"/>
      <c r="CR292" s="1362"/>
      <c r="CS292" s="1363">
        <v>0</v>
      </c>
      <c r="CT292" s="1363">
        <v>0</v>
      </c>
      <c r="CU292" s="1363">
        <v>0</v>
      </c>
      <c r="CV292" s="686"/>
      <c r="CW292" s="686"/>
      <c r="CX292" s="687">
        <v>2</v>
      </c>
      <c r="CY292" s="41"/>
      <c r="DA292" s="602"/>
      <c r="DB292" s="602"/>
      <c r="DC292" s="603"/>
      <c r="DD292" s="604" t="s">
        <v>1236</v>
      </c>
      <c r="DE292" s="606">
        <v>0</v>
      </c>
      <c r="DF292" s="606">
        <v>0</v>
      </c>
      <c r="DG292" s="605"/>
      <c r="DH292" s="605"/>
      <c r="DI292" s="605"/>
      <c r="DJ292" s="606">
        <v>0</v>
      </c>
      <c r="DK292" s="606">
        <v>1</v>
      </c>
      <c r="DL292" s="605"/>
      <c r="DM292" s="602"/>
      <c r="DN292" s="602"/>
      <c r="DO292" s="607">
        <v>1</v>
      </c>
      <c r="DP292" s="105"/>
      <c r="FA292" s="70"/>
      <c r="FB292" s="70"/>
      <c r="FC292" s="42"/>
      <c r="FD292" s="42"/>
      <c r="FE292" s="42"/>
      <c r="FF292" s="42"/>
      <c r="FG292" s="42"/>
      <c r="FH292" s="42"/>
      <c r="FI292" s="42"/>
      <c r="FJ292" s="42"/>
      <c r="FK292" s="42"/>
      <c r="FL292" s="42"/>
      <c r="FM292" s="42"/>
      <c r="FN292" s="42"/>
      <c r="FO292" s="42"/>
      <c r="FP292" s="42"/>
      <c r="FQ292" s="42"/>
      <c r="FR292" s="655"/>
      <c r="FS292" s="655"/>
      <c r="FT292" s="655"/>
      <c r="FU292" s="655"/>
      <c r="FV292" s="655"/>
      <c r="FW292" s="655"/>
      <c r="FX292" s="655"/>
      <c r="FY292" s="655"/>
      <c r="FZ292" s="655"/>
      <c r="GA292" s="655"/>
      <c r="GB292" s="655"/>
      <c r="GC292" s="655"/>
      <c r="GD292" s="655"/>
      <c r="GE292" s="655"/>
      <c r="GF292" s="655"/>
      <c r="GG292" s="656"/>
      <c r="GH292" s="655"/>
      <c r="GI292" s="655"/>
    </row>
    <row r="293" spans="3:191">
      <c r="D293" s="4800" t="s">
        <v>15</v>
      </c>
      <c r="E293" s="4606">
        <v>2</v>
      </c>
      <c r="F293" s="4606"/>
      <c r="G293" s="4606"/>
      <c r="H293" s="4606"/>
      <c r="I293" s="4606"/>
      <c r="J293" s="4606">
        <v>1</v>
      </c>
      <c r="K293" s="4606">
        <v>22</v>
      </c>
      <c r="L293" s="4606"/>
      <c r="M293" s="4606"/>
      <c r="N293" s="2552"/>
      <c r="O293" s="2552"/>
      <c r="P293" s="2552">
        <v>25</v>
      </c>
      <c r="Q293" s="1977">
        <f>+(P289+P290+P292)/(P293-P291)</f>
        <v>0.69565217391304346</v>
      </c>
      <c r="R293" s="1977"/>
      <c r="U293" s="1793"/>
      <c r="V293" s="1793" t="s">
        <v>1236</v>
      </c>
      <c r="W293" s="4804"/>
      <c r="X293" s="4804"/>
      <c r="Y293" s="4804">
        <v>1</v>
      </c>
      <c r="Z293" s="4804">
        <v>0</v>
      </c>
      <c r="AA293" s="4804"/>
      <c r="AB293" s="4804">
        <v>0</v>
      </c>
      <c r="AC293" s="4804">
        <v>0</v>
      </c>
      <c r="AD293" s="4804"/>
      <c r="AE293" s="4702"/>
      <c r="AF293" s="4702">
        <v>1</v>
      </c>
      <c r="AG293" s="1793"/>
      <c r="AI293" s="41"/>
      <c r="AJ293" s="41"/>
      <c r="AK293" s="461" t="s">
        <v>546</v>
      </c>
      <c r="AL293" s="461" t="s">
        <v>1230</v>
      </c>
      <c r="AM293" s="2002"/>
      <c r="AN293" s="2002">
        <v>0</v>
      </c>
      <c r="AO293" s="2002"/>
      <c r="AP293" s="2002"/>
      <c r="AQ293" s="2002"/>
      <c r="AR293" s="2002">
        <v>1</v>
      </c>
      <c r="AS293" s="2002">
        <v>1</v>
      </c>
      <c r="AT293" s="2002"/>
      <c r="AU293" s="2480"/>
      <c r="AV293" s="2480"/>
      <c r="AW293" s="2480">
        <v>2</v>
      </c>
      <c r="AX293" s="41"/>
      <c r="AZ293" s="42" t="s">
        <v>59</v>
      </c>
      <c r="BA293" s="42" t="s">
        <v>16</v>
      </c>
      <c r="BB293" s="42" t="s">
        <v>670</v>
      </c>
      <c r="BC293" s="42" t="s">
        <v>1231</v>
      </c>
      <c r="BD293" s="1993"/>
      <c r="BE293" s="1993"/>
      <c r="BF293" s="1993">
        <v>0</v>
      </c>
      <c r="BG293" s="1993"/>
      <c r="BH293" s="1993"/>
      <c r="BI293" s="1993">
        <v>0</v>
      </c>
      <c r="BJ293" s="1993">
        <v>10</v>
      </c>
      <c r="BK293" s="1993">
        <v>5</v>
      </c>
      <c r="BL293" s="1993"/>
      <c r="BM293" s="70"/>
      <c r="BN293" s="70"/>
      <c r="BO293" s="70">
        <v>15</v>
      </c>
      <c r="BR293" s="105" t="s">
        <v>59</v>
      </c>
      <c r="BS293" s="105" t="s">
        <v>16</v>
      </c>
      <c r="BT293" s="41" t="s">
        <v>670</v>
      </c>
      <c r="BU293" s="41" t="s">
        <v>1231</v>
      </c>
      <c r="BV293" s="1659"/>
      <c r="BW293" s="1659"/>
      <c r="BX293" s="1659"/>
      <c r="BY293" s="1659"/>
      <c r="BZ293" s="1659"/>
      <c r="CA293" s="1659"/>
      <c r="CB293" s="1659">
        <v>6</v>
      </c>
      <c r="CC293" s="1659"/>
      <c r="CD293" s="1659"/>
      <c r="CE293" s="105"/>
      <c r="CF293" s="105"/>
      <c r="CG293" s="105">
        <v>6</v>
      </c>
      <c r="CH293" s="105"/>
      <c r="CJ293" s="1359"/>
      <c r="CK293" s="1359"/>
      <c r="CL293" s="1360"/>
      <c r="CM293" s="1361" t="s">
        <v>1240</v>
      </c>
      <c r="CN293" s="1363">
        <v>0</v>
      </c>
      <c r="CO293" s="1363">
        <v>0</v>
      </c>
      <c r="CP293" s="1363">
        <v>0</v>
      </c>
      <c r="CQ293" s="1362"/>
      <c r="CR293" s="1362"/>
      <c r="CS293" s="1363">
        <v>3</v>
      </c>
      <c r="CT293" s="1363">
        <v>0</v>
      </c>
      <c r="CU293" s="1363">
        <v>0</v>
      </c>
      <c r="CV293" s="686"/>
      <c r="CW293" s="686"/>
      <c r="CX293" s="687">
        <v>3</v>
      </c>
      <c r="CY293" s="41"/>
      <c r="DA293" s="602"/>
      <c r="DB293" s="602"/>
      <c r="DC293" s="603"/>
      <c r="DD293" s="604" t="s">
        <v>1239</v>
      </c>
      <c r="DE293" s="606">
        <v>0</v>
      </c>
      <c r="DF293" s="606">
        <v>0</v>
      </c>
      <c r="DG293" s="605"/>
      <c r="DH293" s="605"/>
      <c r="DI293" s="605"/>
      <c r="DJ293" s="606">
        <v>0</v>
      </c>
      <c r="DK293" s="606">
        <v>1</v>
      </c>
      <c r="DL293" s="605"/>
      <c r="DM293" s="602"/>
      <c r="DN293" s="602"/>
      <c r="DO293" s="607">
        <v>1</v>
      </c>
      <c r="DP293" s="105"/>
      <c r="FA293" s="70"/>
      <c r="FB293" s="70"/>
      <c r="FC293" s="42"/>
      <c r="FD293" s="42"/>
      <c r="FE293" s="42"/>
      <c r="FF293" s="42"/>
      <c r="FG293" s="42"/>
      <c r="FH293" s="42"/>
      <c r="FI293" s="42"/>
      <c r="FJ293" s="42"/>
      <c r="FK293" s="42"/>
      <c r="FL293" s="42"/>
      <c r="FM293" s="42"/>
      <c r="FN293" s="42"/>
      <c r="FO293" s="42"/>
      <c r="FP293" s="42"/>
      <c r="FQ293" s="42"/>
      <c r="FR293" s="655"/>
      <c r="FS293" s="655"/>
      <c r="FT293" s="655"/>
      <c r="FU293" s="655"/>
      <c r="FV293" s="655"/>
      <c r="FW293" s="655"/>
      <c r="FX293" s="655"/>
      <c r="FY293" s="655"/>
      <c r="FZ293" s="655"/>
      <c r="GA293" s="655"/>
      <c r="GB293" s="655"/>
      <c r="GC293" s="655"/>
      <c r="GD293" s="655"/>
      <c r="GE293" s="655"/>
      <c r="GF293" s="655"/>
      <c r="GG293" s="656"/>
      <c r="GH293" s="655"/>
      <c r="GI293" s="655"/>
    </row>
    <row r="294" spans="3:191">
      <c r="C294" s="4800" t="s">
        <v>418</v>
      </c>
      <c r="D294" s="4800" t="s">
        <v>1231</v>
      </c>
      <c r="E294" s="4606">
        <v>0</v>
      </c>
      <c r="F294" s="4606">
        <v>0</v>
      </c>
      <c r="G294" s="4606"/>
      <c r="H294" s="4606"/>
      <c r="I294" s="4606"/>
      <c r="J294" s="4606"/>
      <c r="K294" s="4606">
        <v>7</v>
      </c>
      <c r="L294" s="4606"/>
      <c r="M294" s="4606">
        <v>2</v>
      </c>
      <c r="N294" s="2552"/>
      <c r="O294" s="2552"/>
      <c r="P294" s="2552">
        <v>9</v>
      </c>
      <c r="Q294" s="2552"/>
      <c r="R294" s="2552"/>
      <c r="U294" s="1793"/>
      <c r="V294" s="1793" t="s">
        <v>1239</v>
      </c>
      <c r="W294" s="4804"/>
      <c r="X294" s="4804"/>
      <c r="Y294" s="4804">
        <v>0</v>
      </c>
      <c r="Z294" s="4804">
        <v>0</v>
      </c>
      <c r="AA294" s="4804"/>
      <c r="AB294" s="4804">
        <v>0</v>
      </c>
      <c r="AC294" s="4804">
        <v>3</v>
      </c>
      <c r="AD294" s="4804"/>
      <c r="AE294" s="4702"/>
      <c r="AF294" s="4702">
        <v>3</v>
      </c>
      <c r="AG294" s="1793"/>
      <c r="AI294" s="41"/>
      <c r="AJ294" s="41"/>
      <c r="AK294" s="461"/>
      <c r="AL294" s="461" t="s">
        <v>1231</v>
      </c>
      <c r="AM294" s="2002"/>
      <c r="AN294" s="2002">
        <v>1</v>
      </c>
      <c r="AO294" s="2002"/>
      <c r="AP294" s="2002"/>
      <c r="AQ294" s="2002"/>
      <c r="AR294" s="2002">
        <v>3</v>
      </c>
      <c r="AS294" s="2002">
        <v>0</v>
      </c>
      <c r="AT294" s="2002"/>
      <c r="AU294" s="2480"/>
      <c r="AV294" s="2480"/>
      <c r="AW294" s="2480">
        <v>4</v>
      </c>
      <c r="AX294" s="41"/>
      <c r="AZ294" s="42"/>
      <c r="BA294" s="42"/>
      <c r="BB294" s="42"/>
      <c r="BC294" s="42" t="s">
        <v>1235</v>
      </c>
      <c r="BD294" s="1993"/>
      <c r="BE294" s="1993"/>
      <c r="BF294" s="1993">
        <v>0</v>
      </c>
      <c r="BG294" s="1993"/>
      <c r="BH294" s="1993"/>
      <c r="BI294" s="1993">
        <v>0</v>
      </c>
      <c r="BJ294" s="1993">
        <v>2</v>
      </c>
      <c r="BK294" s="1993">
        <v>0</v>
      </c>
      <c r="BL294" s="1993"/>
      <c r="BM294" s="70"/>
      <c r="BN294" s="70"/>
      <c r="BO294" s="70">
        <v>2</v>
      </c>
      <c r="BR294" s="105"/>
      <c r="BS294" s="105"/>
      <c r="BT294" s="41"/>
      <c r="BU294" s="41" t="s">
        <v>1235</v>
      </c>
      <c r="BV294" s="1659"/>
      <c r="BW294" s="1659"/>
      <c r="BX294" s="1659"/>
      <c r="BY294" s="1659"/>
      <c r="BZ294" s="1659"/>
      <c r="CA294" s="1659"/>
      <c r="CB294" s="1659">
        <v>2</v>
      </c>
      <c r="CC294" s="1659"/>
      <c r="CD294" s="1659"/>
      <c r="CE294" s="105"/>
      <c r="CF294" s="105"/>
      <c r="CG294" s="105">
        <v>2</v>
      </c>
      <c r="CH294" s="105"/>
      <c r="CJ294" s="1359"/>
      <c r="CK294" s="1359"/>
      <c r="CL294" s="1360"/>
      <c r="CM294" s="1361" t="s">
        <v>1344</v>
      </c>
      <c r="CN294" s="1363">
        <v>0</v>
      </c>
      <c r="CO294" s="1363">
        <v>0</v>
      </c>
      <c r="CP294" s="1363">
        <v>0</v>
      </c>
      <c r="CQ294" s="1362"/>
      <c r="CR294" s="1362"/>
      <c r="CS294" s="1363">
        <v>2</v>
      </c>
      <c r="CT294" s="1363">
        <v>0</v>
      </c>
      <c r="CU294" s="1363">
        <v>0</v>
      </c>
      <c r="CV294" s="686"/>
      <c r="CW294" s="686"/>
      <c r="CX294" s="687">
        <v>2</v>
      </c>
      <c r="CY294" s="41"/>
      <c r="DA294" s="602"/>
      <c r="DB294" s="602"/>
      <c r="DC294" s="603"/>
      <c r="DD294" s="604" t="s">
        <v>1344</v>
      </c>
      <c r="DE294" s="606">
        <v>0</v>
      </c>
      <c r="DF294" s="606">
        <v>0</v>
      </c>
      <c r="DG294" s="605"/>
      <c r="DH294" s="605"/>
      <c r="DI294" s="605"/>
      <c r="DJ294" s="606">
        <v>3</v>
      </c>
      <c r="DK294" s="606">
        <v>1</v>
      </c>
      <c r="DL294" s="605"/>
      <c r="DM294" s="602"/>
      <c r="DN294" s="602"/>
      <c r="DO294" s="607">
        <v>4</v>
      </c>
      <c r="DP294" s="105"/>
      <c r="FQ294" s="42"/>
      <c r="FR294" s="655"/>
      <c r="FS294" s="655"/>
      <c r="FT294" s="655"/>
      <c r="FU294" s="655"/>
      <c r="FV294" s="655"/>
      <c r="FW294" s="655"/>
      <c r="FX294" s="655"/>
      <c r="FY294" s="655"/>
      <c r="FZ294" s="655"/>
      <c r="GA294" s="655"/>
      <c r="GB294" s="655"/>
      <c r="GC294" s="655"/>
      <c r="GD294" s="655"/>
      <c r="GE294" s="655"/>
      <c r="GF294" s="655"/>
      <c r="GG294" s="656"/>
      <c r="GH294" s="655"/>
      <c r="GI294" s="655"/>
    </row>
    <row r="295" spans="3:191">
      <c r="D295" s="4800" t="s">
        <v>1233</v>
      </c>
      <c r="E295" s="4606">
        <v>0</v>
      </c>
      <c r="F295" s="4606">
        <v>1</v>
      </c>
      <c r="G295" s="4606"/>
      <c r="H295" s="4606"/>
      <c r="I295" s="4606"/>
      <c r="J295" s="4606"/>
      <c r="K295" s="4606">
        <v>0</v>
      </c>
      <c r="L295" s="4606"/>
      <c r="M295" s="4606">
        <v>0</v>
      </c>
      <c r="N295" s="2552"/>
      <c r="O295" s="2552"/>
      <c r="P295" s="2552">
        <v>1</v>
      </c>
      <c r="Q295" s="2552"/>
      <c r="R295" s="2552"/>
      <c r="U295" s="1793"/>
      <c r="V295" s="1793" t="s">
        <v>545</v>
      </c>
      <c r="W295" s="4804"/>
      <c r="X295" s="4804"/>
      <c r="Y295" s="4804">
        <v>1</v>
      </c>
      <c r="Z295" s="4804">
        <v>1</v>
      </c>
      <c r="AA295" s="4804"/>
      <c r="AB295" s="4804">
        <v>7</v>
      </c>
      <c r="AC295" s="4804">
        <v>3</v>
      </c>
      <c r="AD295" s="4804"/>
      <c r="AE295" s="4702"/>
      <c r="AF295" s="4702">
        <v>12</v>
      </c>
      <c r="AG295" s="4703">
        <f>+AF292/AF295</f>
        <v>8.3333333333333329E-2</v>
      </c>
      <c r="AI295" s="41"/>
      <c r="AJ295" s="41"/>
      <c r="AK295" s="461"/>
      <c r="AL295" s="461" t="s">
        <v>1235</v>
      </c>
      <c r="AM295" s="2002"/>
      <c r="AN295" s="2002">
        <v>0</v>
      </c>
      <c r="AO295" s="2002"/>
      <c r="AP295" s="2002"/>
      <c r="AQ295" s="2002"/>
      <c r="AR295" s="2002">
        <v>9</v>
      </c>
      <c r="AS295" s="2002">
        <v>0</v>
      </c>
      <c r="AT295" s="2002"/>
      <c r="AU295" s="2480"/>
      <c r="AV295" s="2480"/>
      <c r="AW295" s="2480">
        <v>9</v>
      </c>
      <c r="AX295" s="41"/>
      <c r="AZ295" s="42"/>
      <c r="BA295" s="42"/>
      <c r="BB295" s="42"/>
      <c r="BC295" s="42" t="s">
        <v>1236</v>
      </c>
      <c r="BD295" s="1993"/>
      <c r="BE295" s="1993"/>
      <c r="BF295" s="1993">
        <v>1</v>
      </c>
      <c r="BG295" s="1993"/>
      <c r="BH295" s="1993"/>
      <c r="BI295" s="1993">
        <v>1</v>
      </c>
      <c r="BJ295" s="1993">
        <v>0</v>
      </c>
      <c r="BK295" s="1993">
        <v>0</v>
      </c>
      <c r="BL295" s="1993"/>
      <c r="BM295" s="70"/>
      <c r="BN295" s="70"/>
      <c r="BO295" s="70">
        <v>2</v>
      </c>
      <c r="BR295" s="105"/>
      <c r="BS295" s="105"/>
      <c r="BT295" s="41"/>
      <c r="BU295" s="41" t="s">
        <v>1236</v>
      </c>
      <c r="BV295" s="1659"/>
      <c r="BW295" s="1659"/>
      <c r="BX295" s="1659"/>
      <c r="BY295" s="1659"/>
      <c r="BZ295" s="1659"/>
      <c r="CA295" s="1659"/>
      <c r="CB295" s="1659">
        <v>1</v>
      </c>
      <c r="CC295" s="1659"/>
      <c r="CD295" s="1659"/>
      <c r="CE295" s="105"/>
      <c r="CF295" s="105"/>
      <c r="CG295" s="105">
        <v>1</v>
      </c>
      <c r="CH295" s="105"/>
      <c r="CJ295" s="1359"/>
      <c r="CK295" s="1359"/>
      <c r="CL295" s="1360"/>
      <c r="CM295" s="483" t="s">
        <v>545</v>
      </c>
      <c r="CN295" s="1365">
        <v>1</v>
      </c>
      <c r="CO295" s="1365">
        <v>1</v>
      </c>
      <c r="CP295" s="1365">
        <v>1</v>
      </c>
      <c r="CQ295" s="1364"/>
      <c r="CR295" s="1364"/>
      <c r="CS295" s="1365">
        <v>18</v>
      </c>
      <c r="CT295" s="1365">
        <v>1</v>
      </c>
      <c r="CU295" s="1365">
        <v>1</v>
      </c>
      <c r="CV295" s="695"/>
      <c r="CW295" s="695"/>
      <c r="CX295" s="696">
        <v>23</v>
      </c>
      <c r="CY295" s="1325">
        <f>+(CX291+CX293+CX294)/CX295</f>
        <v>0.34782608695652173</v>
      </c>
      <c r="DA295" s="602"/>
      <c r="DB295" s="602"/>
      <c r="DC295" s="603"/>
      <c r="DD295" s="630" t="s">
        <v>545</v>
      </c>
      <c r="DE295" s="632">
        <v>1</v>
      </c>
      <c r="DF295" s="632">
        <v>1</v>
      </c>
      <c r="DG295" s="631"/>
      <c r="DH295" s="631"/>
      <c r="DI295" s="631"/>
      <c r="DJ295" s="632">
        <v>8</v>
      </c>
      <c r="DK295" s="632">
        <v>3</v>
      </c>
      <c r="DL295" s="631"/>
      <c r="DM295" s="633"/>
      <c r="DN295" s="633"/>
      <c r="DO295" s="634">
        <v>13</v>
      </c>
      <c r="DP295" s="635">
        <f>+DO294/DO295</f>
        <v>0.30769230769230771</v>
      </c>
      <c r="FQ295" s="42"/>
    </row>
    <row r="296" spans="3:191">
      <c r="D296" s="4800" t="s">
        <v>1235</v>
      </c>
      <c r="E296" s="4606">
        <v>0</v>
      </c>
      <c r="F296" s="4606">
        <v>0</v>
      </c>
      <c r="G296" s="4606"/>
      <c r="H296" s="4606"/>
      <c r="I296" s="4606"/>
      <c r="J296" s="4606"/>
      <c r="K296" s="4606">
        <v>1</v>
      </c>
      <c r="L296" s="4606"/>
      <c r="M296" s="4606">
        <v>0</v>
      </c>
      <c r="N296" s="2552"/>
      <c r="O296" s="2552"/>
      <c r="P296" s="2552">
        <v>1</v>
      </c>
      <c r="Q296" s="2552"/>
      <c r="R296" s="2552"/>
      <c r="T296" s="37" t="s">
        <v>61</v>
      </c>
      <c r="U296" s="37" t="s">
        <v>829</v>
      </c>
      <c r="V296" s="37" t="s">
        <v>1231</v>
      </c>
      <c r="W296" s="4803"/>
      <c r="X296" s="4803"/>
      <c r="Y296" s="4803">
        <v>0</v>
      </c>
      <c r="Z296" s="4803"/>
      <c r="AA296" s="4803"/>
      <c r="AB296" s="4803">
        <v>19</v>
      </c>
      <c r="AC296" s="4803">
        <v>0</v>
      </c>
      <c r="AD296" s="4803"/>
      <c r="AE296" s="1788"/>
      <c r="AF296" s="1788">
        <v>19</v>
      </c>
      <c r="AI296" s="41"/>
      <c r="AJ296" s="41"/>
      <c r="AK296" s="461"/>
      <c r="AL296" s="461" t="s">
        <v>1240</v>
      </c>
      <c r="AM296" s="2002"/>
      <c r="AN296" s="2002">
        <v>0</v>
      </c>
      <c r="AO296" s="2002"/>
      <c r="AP296" s="2002"/>
      <c r="AQ296" s="2002"/>
      <c r="AR296" s="2002">
        <v>10</v>
      </c>
      <c r="AS296" s="2002">
        <v>0</v>
      </c>
      <c r="AT296" s="2002"/>
      <c r="AU296" s="2480"/>
      <c r="AV296" s="2480"/>
      <c r="AW296" s="2480">
        <v>10</v>
      </c>
      <c r="AX296" s="41"/>
      <c r="AZ296" s="42"/>
      <c r="BA296" s="42"/>
      <c r="BB296" s="42"/>
      <c r="BC296" s="42" t="s">
        <v>1239</v>
      </c>
      <c r="BD296" s="1993"/>
      <c r="BE296" s="1993"/>
      <c r="BF296" s="1993">
        <v>0</v>
      </c>
      <c r="BG296" s="1993"/>
      <c r="BH296" s="1993"/>
      <c r="BI296" s="1993">
        <v>0</v>
      </c>
      <c r="BJ296" s="1993">
        <v>0</v>
      </c>
      <c r="BK296" s="1993">
        <v>1</v>
      </c>
      <c r="BL296" s="1993"/>
      <c r="BM296" s="70"/>
      <c r="BN296" s="70"/>
      <c r="BO296" s="70">
        <v>1</v>
      </c>
      <c r="BR296" s="105"/>
      <c r="BS296" s="105"/>
      <c r="BT296" s="41"/>
      <c r="BU296" s="41" t="s">
        <v>1240</v>
      </c>
      <c r="BV296" s="1659"/>
      <c r="BW296" s="1659"/>
      <c r="BX296" s="1659"/>
      <c r="BY296" s="1659"/>
      <c r="BZ296" s="1659"/>
      <c r="CA296" s="1659"/>
      <c r="CB296" s="1659">
        <v>2</v>
      </c>
      <c r="CC296" s="1659"/>
      <c r="CD296" s="1659"/>
      <c r="CE296" s="105"/>
      <c r="CF296" s="105"/>
      <c r="CG296" s="105">
        <v>2</v>
      </c>
      <c r="CH296" s="105"/>
      <c r="CJ296" s="1359"/>
      <c r="CK296" s="1359" t="s">
        <v>828</v>
      </c>
      <c r="CL296" s="1360" t="s">
        <v>829</v>
      </c>
      <c r="CM296" s="1361" t="s">
        <v>1230</v>
      </c>
      <c r="CN296" s="1363">
        <v>0</v>
      </c>
      <c r="CO296" s="1362"/>
      <c r="CP296" s="1362"/>
      <c r="CQ296" s="1362"/>
      <c r="CR296" s="1362"/>
      <c r="CS296" s="1363">
        <v>1</v>
      </c>
      <c r="CT296" s="1363">
        <v>0</v>
      </c>
      <c r="CU296" s="1362"/>
      <c r="CV296" s="686"/>
      <c r="CW296" s="686"/>
      <c r="CX296" s="687">
        <v>1</v>
      </c>
      <c r="CY296" s="41"/>
      <c r="DA296" s="602"/>
      <c r="DB296" s="602" t="s">
        <v>828</v>
      </c>
      <c r="DC296" s="603" t="s">
        <v>829</v>
      </c>
      <c r="DD296" s="604" t="s">
        <v>1230</v>
      </c>
      <c r="DE296" s="605"/>
      <c r="DF296" s="606">
        <v>0</v>
      </c>
      <c r="DG296" s="605"/>
      <c r="DH296" s="605"/>
      <c r="DI296" s="605"/>
      <c r="DJ296" s="606">
        <v>1</v>
      </c>
      <c r="DK296" s="605"/>
      <c r="DL296" s="605"/>
      <c r="DM296" s="602"/>
      <c r="DN296" s="602"/>
      <c r="DO296" s="607">
        <v>1</v>
      </c>
      <c r="DP296" s="105"/>
      <c r="FQ296" s="42"/>
    </row>
    <row r="297" spans="3:191">
      <c r="D297" s="4800" t="s">
        <v>1240</v>
      </c>
      <c r="E297" s="4606">
        <v>0</v>
      </c>
      <c r="F297" s="4606">
        <v>0</v>
      </c>
      <c r="G297" s="4606"/>
      <c r="H297" s="4606"/>
      <c r="I297" s="4606"/>
      <c r="J297" s="4606"/>
      <c r="K297" s="4606">
        <v>3</v>
      </c>
      <c r="L297" s="4606"/>
      <c r="M297" s="4606">
        <v>0</v>
      </c>
      <c r="N297" s="2552"/>
      <c r="O297" s="2552"/>
      <c r="P297" s="2552">
        <v>3</v>
      </c>
      <c r="Q297" s="2552"/>
      <c r="R297" s="2552"/>
      <c r="V297" s="37" t="s">
        <v>1233</v>
      </c>
      <c r="W297" s="4803"/>
      <c r="X297" s="4803"/>
      <c r="Y297" s="4803">
        <v>1</v>
      </c>
      <c r="Z297" s="4803"/>
      <c r="AA297" s="4803"/>
      <c r="AB297" s="4803">
        <v>0</v>
      </c>
      <c r="AC297" s="4803">
        <v>0</v>
      </c>
      <c r="AD297" s="4803"/>
      <c r="AE297" s="1788"/>
      <c r="AF297" s="1788">
        <v>1</v>
      </c>
      <c r="AI297" s="41"/>
      <c r="AJ297" s="41"/>
      <c r="AK297" s="461"/>
      <c r="AL297" s="461" t="s">
        <v>1344</v>
      </c>
      <c r="AM297" s="2002"/>
      <c r="AN297" s="2002">
        <v>0</v>
      </c>
      <c r="AO297" s="2002"/>
      <c r="AP297" s="2002"/>
      <c r="AQ297" s="2002"/>
      <c r="AR297" s="2002">
        <v>1</v>
      </c>
      <c r="AS297" s="2002">
        <v>0</v>
      </c>
      <c r="AT297" s="2002"/>
      <c r="AU297" s="2480"/>
      <c r="AV297" s="2480"/>
      <c r="AW297" s="2480">
        <v>1</v>
      </c>
      <c r="AX297" s="41"/>
      <c r="AZ297" s="42"/>
      <c r="BA297" s="42"/>
      <c r="BB297" s="42"/>
      <c r="BC297" s="42" t="s">
        <v>1240</v>
      </c>
      <c r="BD297" s="1993"/>
      <c r="BE297" s="1993"/>
      <c r="BF297" s="1993">
        <v>0</v>
      </c>
      <c r="BG297" s="1993"/>
      <c r="BH297" s="1993"/>
      <c r="BI297" s="1993">
        <v>0</v>
      </c>
      <c r="BJ297" s="1993">
        <v>1</v>
      </c>
      <c r="BK297" s="1993">
        <v>0</v>
      </c>
      <c r="BL297" s="1993"/>
      <c r="BM297" s="70"/>
      <c r="BN297" s="70"/>
      <c r="BO297" s="70">
        <v>1</v>
      </c>
      <c r="BR297" s="105"/>
      <c r="BS297" s="105"/>
      <c r="BT297" s="41"/>
      <c r="BU297" s="41" t="s">
        <v>1344</v>
      </c>
      <c r="BV297" s="1659"/>
      <c r="BW297" s="1659"/>
      <c r="BX297" s="1659"/>
      <c r="BY297" s="1659"/>
      <c r="BZ297" s="1659"/>
      <c r="CA297" s="1659"/>
      <c r="CB297" s="1659">
        <v>1</v>
      </c>
      <c r="CC297" s="1659"/>
      <c r="CD297" s="1659"/>
      <c r="CE297" s="105"/>
      <c r="CF297" s="105"/>
      <c r="CG297" s="105">
        <v>1</v>
      </c>
      <c r="CH297" s="105"/>
      <c r="CJ297" s="1359"/>
      <c r="CK297" s="1359"/>
      <c r="CL297" s="1360"/>
      <c r="CM297" s="1361" t="s">
        <v>1231</v>
      </c>
      <c r="CN297" s="1363">
        <v>1</v>
      </c>
      <c r="CO297" s="1362"/>
      <c r="CP297" s="1362"/>
      <c r="CQ297" s="1362"/>
      <c r="CR297" s="1362"/>
      <c r="CS297" s="1363">
        <v>0</v>
      </c>
      <c r="CT297" s="1363">
        <v>0</v>
      </c>
      <c r="CU297" s="1362"/>
      <c r="CV297" s="686"/>
      <c r="CW297" s="686"/>
      <c r="CX297" s="687">
        <v>1</v>
      </c>
      <c r="CY297" s="41"/>
      <c r="DA297" s="602"/>
      <c r="DB297" s="602"/>
      <c r="DC297" s="603"/>
      <c r="DD297" s="604" t="s">
        <v>1231</v>
      </c>
      <c r="DE297" s="605"/>
      <c r="DF297" s="606">
        <v>1</v>
      </c>
      <c r="DG297" s="605"/>
      <c r="DH297" s="605"/>
      <c r="DI297" s="605"/>
      <c r="DJ297" s="606">
        <v>2</v>
      </c>
      <c r="DK297" s="605"/>
      <c r="DL297" s="605"/>
      <c r="DM297" s="602"/>
      <c r="DN297" s="602"/>
      <c r="DO297" s="607">
        <v>3</v>
      </c>
      <c r="DP297" s="105"/>
      <c r="FQ297" s="42"/>
    </row>
    <row r="298" spans="3:191">
      <c r="D298" s="4800" t="s">
        <v>2963</v>
      </c>
      <c r="E298" s="4606">
        <v>1</v>
      </c>
      <c r="F298" s="4606">
        <v>0</v>
      </c>
      <c r="G298" s="4606"/>
      <c r="H298" s="4606"/>
      <c r="I298" s="4606"/>
      <c r="J298" s="4606"/>
      <c r="K298" s="4606">
        <v>0</v>
      </c>
      <c r="L298" s="4606"/>
      <c r="M298" s="4606">
        <v>0</v>
      </c>
      <c r="N298" s="2552"/>
      <c r="O298" s="2552"/>
      <c r="P298" s="2552">
        <v>1</v>
      </c>
      <c r="Q298" s="2552"/>
      <c r="R298" s="2552"/>
      <c r="V298" s="37" t="s">
        <v>1239</v>
      </c>
      <c r="W298" s="4803"/>
      <c r="X298" s="4803"/>
      <c r="Y298" s="4803">
        <v>0</v>
      </c>
      <c r="Z298" s="4803"/>
      <c r="AA298" s="4803"/>
      <c r="AB298" s="4803">
        <v>0</v>
      </c>
      <c r="AC298" s="4803">
        <v>2</v>
      </c>
      <c r="AD298" s="4803"/>
      <c r="AE298" s="1788"/>
      <c r="AF298" s="1788">
        <v>2</v>
      </c>
      <c r="AI298" s="41"/>
      <c r="AJ298" s="41"/>
      <c r="AK298" s="461"/>
      <c r="AL298" s="461" t="s">
        <v>546</v>
      </c>
      <c r="AM298" s="2002"/>
      <c r="AN298" s="2002">
        <v>1</v>
      </c>
      <c r="AO298" s="2002"/>
      <c r="AP298" s="2002"/>
      <c r="AQ298" s="2002"/>
      <c r="AR298" s="2002">
        <v>24</v>
      </c>
      <c r="AS298" s="2002">
        <v>1</v>
      </c>
      <c r="AT298" s="2002"/>
      <c r="AU298" s="2480"/>
      <c r="AV298" s="2480"/>
      <c r="AW298" s="2480">
        <v>26</v>
      </c>
      <c r="AX298" s="635">
        <f>+(AW297+AW296+AW295)/AW298</f>
        <v>0.76923076923076927</v>
      </c>
      <c r="AY298" s="1977"/>
      <c r="AZ298" s="42"/>
      <c r="BA298" s="42"/>
      <c r="BB298" s="42"/>
      <c r="BC298" s="484" t="s">
        <v>15</v>
      </c>
      <c r="BD298" s="1994"/>
      <c r="BE298" s="1994"/>
      <c r="BF298" s="1994">
        <v>1</v>
      </c>
      <c r="BG298" s="1994"/>
      <c r="BH298" s="1994"/>
      <c r="BI298" s="1994">
        <v>1</v>
      </c>
      <c r="BJ298" s="1994">
        <v>13</v>
      </c>
      <c r="BK298" s="1994">
        <v>6</v>
      </c>
      <c r="BL298" s="1994"/>
      <c r="BM298" s="454"/>
      <c r="BN298" s="454"/>
      <c r="BO298" s="454">
        <v>21</v>
      </c>
      <c r="BP298" s="2485">
        <f>+(BO294+BO297)/BO298</f>
        <v>0.14285714285714285</v>
      </c>
      <c r="BR298" s="105"/>
      <c r="BS298" s="105"/>
      <c r="BT298" s="41"/>
      <c r="BU298" s="461" t="s">
        <v>15</v>
      </c>
      <c r="BV298" s="1660"/>
      <c r="BW298" s="1660"/>
      <c r="BX298" s="1660"/>
      <c r="BY298" s="1660"/>
      <c r="BZ298" s="1660"/>
      <c r="CA298" s="1660"/>
      <c r="CB298" s="1660">
        <v>12</v>
      </c>
      <c r="CC298" s="1660"/>
      <c r="CD298" s="1660"/>
      <c r="CE298" s="96"/>
      <c r="CF298" s="96"/>
      <c r="CG298" s="96">
        <v>12</v>
      </c>
      <c r="CH298" s="635">
        <f>+(CG294+CG296+CG297)/CG298</f>
        <v>0.41666666666666669</v>
      </c>
      <c r="CJ298" s="1359"/>
      <c r="CK298" s="1359"/>
      <c r="CL298" s="1360"/>
      <c r="CM298" s="1361" t="s">
        <v>1235</v>
      </c>
      <c r="CN298" s="1363">
        <v>0</v>
      </c>
      <c r="CO298" s="1362"/>
      <c r="CP298" s="1362"/>
      <c r="CQ298" s="1362"/>
      <c r="CR298" s="1362"/>
      <c r="CS298" s="1363">
        <v>7</v>
      </c>
      <c r="CT298" s="1363">
        <v>2</v>
      </c>
      <c r="CU298" s="1362"/>
      <c r="CV298" s="686"/>
      <c r="CW298" s="686"/>
      <c r="CX298" s="687">
        <v>9</v>
      </c>
      <c r="CY298" s="41"/>
      <c r="DA298" s="602"/>
      <c r="DB298" s="602"/>
      <c r="DC298" s="603"/>
      <c r="DD298" s="604" t="s">
        <v>1235</v>
      </c>
      <c r="DE298" s="605"/>
      <c r="DF298" s="606">
        <v>0</v>
      </c>
      <c r="DG298" s="605"/>
      <c r="DH298" s="605"/>
      <c r="DI298" s="605"/>
      <c r="DJ298" s="606">
        <v>6</v>
      </c>
      <c r="DK298" s="605"/>
      <c r="DL298" s="605"/>
      <c r="DM298" s="602"/>
      <c r="DN298" s="602"/>
      <c r="DO298" s="607">
        <v>6</v>
      </c>
      <c r="DP298" s="105"/>
    </row>
    <row r="299" spans="3:191">
      <c r="D299" s="4800" t="s">
        <v>1344</v>
      </c>
      <c r="E299" s="4606">
        <v>0</v>
      </c>
      <c r="F299" s="4606">
        <v>0</v>
      </c>
      <c r="G299" s="4606"/>
      <c r="H299" s="4606"/>
      <c r="I299" s="4606"/>
      <c r="J299" s="4606"/>
      <c r="K299" s="4606">
        <v>2</v>
      </c>
      <c r="L299" s="4606"/>
      <c r="M299" s="4606">
        <v>0</v>
      </c>
      <c r="N299" s="2552"/>
      <c r="O299" s="2552"/>
      <c r="P299" s="2552">
        <v>2</v>
      </c>
      <c r="Q299" s="2552"/>
      <c r="R299" s="2552"/>
      <c r="V299" s="1793" t="s">
        <v>15</v>
      </c>
      <c r="W299" s="4804"/>
      <c r="X299" s="4804"/>
      <c r="Y299" s="4804">
        <v>1</v>
      </c>
      <c r="Z299" s="4804"/>
      <c r="AA299" s="4804"/>
      <c r="AB299" s="4804">
        <v>19</v>
      </c>
      <c r="AC299" s="4804">
        <v>2</v>
      </c>
      <c r="AD299" s="4804"/>
      <c r="AE299" s="4702"/>
      <c r="AF299" s="4702">
        <v>22</v>
      </c>
      <c r="AG299" s="4703">
        <v>0</v>
      </c>
      <c r="AI299" s="41"/>
      <c r="AJ299" s="41"/>
      <c r="AK299" s="461" t="s">
        <v>442</v>
      </c>
      <c r="AL299" s="461" t="s">
        <v>1230</v>
      </c>
      <c r="AM299" s="2002">
        <v>0</v>
      </c>
      <c r="AN299" s="2002">
        <v>0</v>
      </c>
      <c r="AO299" s="2002">
        <v>1</v>
      </c>
      <c r="AP299" s="2002">
        <v>0</v>
      </c>
      <c r="AQ299" s="2002">
        <v>1</v>
      </c>
      <c r="AR299" s="2002">
        <v>1</v>
      </c>
      <c r="AS299" s="2002">
        <v>2</v>
      </c>
      <c r="AT299" s="2002">
        <v>0</v>
      </c>
      <c r="AU299" s="2480">
        <v>0</v>
      </c>
      <c r="AV299" s="2480"/>
      <c r="AW299" s="2480">
        <v>5</v>
      </c>
      <c r="AX299" s="41"/>
      <c r="AZ299" s="42"/>
      <c r="BA299" s="42"/>
      <c r="BB299" s="42" t="s">
        <v>545</v>
      </c>
      <c r="BC299" s="42" t="s">
        <v>1231</v>
      </c>
      <c r="BD299" s="1993"/>
      <c r="BE299" s="1993"/>
      <c r="BF299" s="1993">
        <v>0</v>
      </c>
      <c r="BG299" s="1993"/>
      <c r="BH299" s="1993"/>
      <c r="BI299" s="1993">
        <v>0</v>
      </c>
      <c r="BJ299" s="1993">
        <v>10</v>
      </c>
      <c r="BK299" s="1993">
        <v>5</v>
      </c>
      <c r="BL299" s="1993"/>
      <c r="BM299" s="70"/>
      <c r="BN299" s="70"/>
      <c r="BO299" s="70">
        <v>15</v>
      </c>
      <c r="BR299" s="105"/>
      <c r="BS299" s="105"/>
      <c r="BT299" s="41" t="s">
        <v>15</v>
      </c>
      <c r="BU299" s="41" t="s">
        <v>1231</v>
      </c>
      <c r="BV299" s="1659"/>
      <c r="BW299" s="1659"/>
      <c r="BX299" s="1659"/>
      <c r="BY299" s="1659"/>
      <c r="BZ299" s="1659"/>
      <c r="CA299" s="1659"/>
      <c r="CB299" s="1659">
        <v>6</v>
      </c>
      <c r="CC299" s="1659"/>
      <c r="CD299" s="1659"/>
      <c r="CE299" s="105"/>
      <c r="CF299" s="105"/>
      <c r="CG299" s="105">
        <v>6</v>
      </c>
      <c r="CH299" s="105"/>
      <c r="CJ299" s="1359"/>
      <c r="CK299" s="1359"/>
      <c r="CL299" s="1360"/>
      <c r="CM299" s="1361" t="s">
        <v>1240</v>
      </c>
      <c r="CN299" s="1363">
        <v>0</v>
      </c>
      <c r="CO299" s="1362"/>
      <c r="CP299" s="1362"/>
      <c r="CQ299" s="1362"/>
      <c r="CR299" s="1362"/>
      <c r="CS299" s="1363">
        <v>1</v>
      </c>
      <c r="CT299" s="1363">
        <v>0</v>
      </c>
      <c r="CU299" s="1362"/>
      <c r="CV299" s="686"/>
      <c r="CW299" s="686"/>
      <c r="CX299" s="687">
        <v>1</v>
      </c>
      <c r="CY299" s="41"/>
      <c r="DA299" s="602"/>
      <c r="DB299" s="602"/>
      <c r="DC299" s="603"/>
      <c r="DD299" s="604" t="s">
        <v>1240</v>
      </c>
      <c r="DE299" s="605"/>
      <c r="DF299" s="606">
        <v>0</v>
      </c>
      <c r="DG299" s="605"/>
      <c r="DH299" s="605"/>
      <c r="DI299" s="605"/>
      <c r="DJ299" s="606">
        <v>1</v>
      </c>
      <c r="DK299" s="605"/>
      <c r="DL299" s="605"/>
      <c r="DM299" s="602"/>
      <c r="DN299" s="602"/>
      <c r="DO299" s="607">
        <v>1</v>
      </c>
      <c r="DP299" s="105"/>
    </row>
    <row r="300" spans="3:191">
      <c r="D300" s="4800" t="s">
        <v>15</v>
      </c>
      <c r="E300" s="4606">
        <v>1</v>
      </c>
      <c r="F300" s="4606">
        <v>1</v>
      </c>
      <c r="G300" s="4606"/>
      <c r="H300" s="4606"/>
      <c r="I300" s="4606"/>
      <c r="J300" s="4606"/>
      <c r="K300" s="4606">
        <v>13</v>
      </c>
      <c r="L300" s="4606"/>
      <c r="M300" s="4606">
        <v>2</v>
      </c>
      <c r="N300" s="2552"/>
      <c r="O300" s="2552"/>
      <c r="P300" s="2552">
        <v>17</v>
      </c>
      <c r="Q300" s="1977">
        <f>+(P296+P297+P299)/(P300-P298)</f>
        <v>0.375</v>
      </c>
      <c r="R300" s="1977"/>
      <c r="U300" s="1793" t="s">
        <v>548</v>
      </c>
      <c r="V300" s="1793" t="s">
        <v>1231</v>
      </c>
      <c r="W300" s="4804"/>
      <c r="X300" s="4804"/>
      <c r="Y300" s="4804">
        <v>0</v>
      </c>
      <c r="Z300" s="4804"/>
      <c r="AA300" s="4804"/>
      <c r="AB300" s="4804">
        <v>19</v>
      </c>
      <c r="AC300" s="4804">
        <v>0</v>
      </c>
      <c r="AD300" s="4804"/>
      <c r="AE300" s="4702"/>
      <c r="AF300" s="4702">
        <v>19</v>
      </c>
      <c r="AG300" s="1793"/>
      <c r="AI300" s="41"/>
      <c r="AJ300" s="41"/>
      <c r="AK300" s="461"/>
      <c r="AL300" s="461" t="s">
        <v>1231</v>
      </c>
      <c r="AM300" s="2002">
        <v>4</v>
      </c>
      <c r="AN300" s="2002">
        <v>8</v>
      </c>
      <c r="AO300" s="2002">
        <v>3</v>
      </c>
      <c r="AP300" s="2002">
        <v>4</v>
      </c>
      <c r="AQ300" s="2002">
        <v>4</v>
      </c>
      <c r="AR300" s="2002">
        <v>79</v>
      </c>
      <c r="AS300" s="2002">
        <v>13</v>
      </c>
      <c r="AT300" s="2002">
        <v>5</v>
      </c>
      <c r="AU300" s="2480">
        <v>0</v>
      </c>
      <c r="AV300" s="2480"/>
      <c r="AW300" s="2480">
        <v>120</v>
      </c>
      <c r="AX300" s="41"/>
      <c r="AZ300" s="42"/>
      <c r="BA300" s="42"/>
      <c r="BB300" s="42"/>
      <c r="BC300" s="42" t="s">
        <v>1235</v>
      </c>
      <c r="BD300" s="1993"/>
      <c r="BE300" s="1993"/>
      <c r="BF300" s="1993">
        <v>0</v>
      </c>
      <c r="BG300" s="1993"/>
      <c r="BH300" s="1993"/>
      <c r="BI300" s="1993">
        <v>0</v>
      </c>
      <c r="BJ300" s="1993">
        <v>2</v>
      </c>
      <c r="BK300" s="1993">
        <v>0</v>
      </c>
      <c r="BL300" s="1993"/>
      <c r="BM300" s="70"/>
      <c r="BN300" s="70"/>
      <c r="BO300" s="70">
        <v>2</v>
      </c>
      <c r="BR300" s="105"/>
      <c r="BS300" s="105"/>
      <c r="BT300" s="41"/>
      <c r="BU300" s="41" t="s">
        <v>1235</v>
      </c>
      <c r="BV300" s="1659"/>
      <c r="BW300" s="1659"/>
      <c r="BX300" s="1659"/>
      <c r="BY300" s="1659"/>
      <c r="BZ300" s="1659"/>
      <c r="CA300" s="1659"/>
      <c r="CB300" s="1659">
        <v>2</v>
      </c>
      <c r="CC300" s="1659"/>
      <c r="CD300" s="1659"/>
      <c r="CE300" s="105"/>
      <c r="CF300" s="105"/>
      <c r="CG300" s="105">
        <v>2</v>
      </c>
      <c r="CH300" s="105"/>
      <c r="CJ300" s="1359"/>
      <c r="CK300" s="1359"/>
      <c r="CL300" s="1360"/>
      <c r="CM300" s="483" t="s">
        <v>15</v>
      </c>
      <c r="CN300" s="1365">
        <v>1</v>
      </c>
      <c r="CO300" s="1364"/>
      <c r="CP300" s="1364"/>
      <c r="CQ300" s="1364"/>
      <c r="CR300" s="1364"/>
      <c r="CS300" s="1365">
        <v>9</v>
      </c>
      <c r="CT300" s="1365">
        <v>2</v>
      </c>
      <c r="CU300" s="1364"/>
      <c r="CV300" s="695"/>
      <c r="CW300" s="695"/>
      <c r="CX300" s="696">
        <v>12</v>
      </c>
      <c r="CY300" s="1325">
        <f>+(CX298+CX299)/CX300</f>
        <v>0.83333333333333337</v>
      </c>
      <c r="DA300" s="602"/>
      <c r="DB300" s="602"/>
      <c r="DC300" s="603"/>
      <c r="DD300" s="604" t="s">
        <v>1344</v>
      </c>
      <c r="DE300" s="605"/>
      <c r="DF300" s="606">
        <v>0</v>
      </c>
      <c r="DG300" s="605"/>
      <c r="DH300" s="605"/>
      <c r="DI300" s="605"/>
      <c r="DJ300" s="606">
        <v>1</v>
      </c>
      <c r="DK300" s="605"/>
      <c r="DL300" s="605"/>
      <c r="DM300" s="602"/>
      <c r="DN300" s="602"/>
      <c r="DO300" s="607">
        <v>1</v>
      </c>
      <c r="DP300" s="105"/>
    </row>
    <row r="301" spans="3:191">
      <c r="C301" s="4800" t="s">
        <v>419</v>
      </c>
      <c r="D301" s="4800" t="s">
        <v>1230</v>
      </c>
      <c r="E301" s="4606"/>
      <c r="F301" s="4606"/>
      <c r="G301" s="4606">
        <v>0</v>
      </c>
      <c r="H301" s="4606"/>
      <c r="I301" s="4606">
        <v>0</v>
      </c>
      <c r="J301" s="4606">
        <v>1</v>
      </c>
      <c r="K301" s="4606">
        <v>0</v>
      </c>
      <c r="L301" s="4606">
        <v>4</v>
      </c>
      <c r="M301" s="4606"/>
      <c r="N301" s="2552"/>
      <c r="O301" s="2552"/>
      <c r="P301" s="2552">
        <v>5</v>
      </c>
      <c r="Q301" s="2552"/>
      <c r="R301" s="2552"/>
      <c r="U301" s="1793"/>
      <c r="V301" s="1793" t="s">
        <v>1233</v>
      </c>
      <c r="W301" s="4804"/>
      <c r="X301" s="4804"/>
      <c r="Y301" s="4804">
        <v>1</v>
      </c>
      <c r="Z301" s="4804"/>
      <c r="AA301" s="4804"/>
      <c r="AB301" s="4804">
        <v>0</v>
      </c>
      <c r="AC301" s="4804">
        <v>0</v>
      </c>
      <c r="AD301" s="4804"/>
      <c r="AE301" s="4702"/>
      <c r="AF301" s="4702">
        <v>1</v>
      </c>
      <c r="AG301" s="1793"/>
      <c r="AI301" s="41"/>
      <c r="AJ301" s="41"/>
      <c r="AK301" s="461"/>
      <c r="AL301" s="461" t="s">
        <v>1233</v>
      </c>
      <c r="AM301" s="2002">
        <v>1</v>
      </c>
      <c r="AN301" s="2002">
        <v>0</v>
      </c>
      <c r="AO301" s="2002">
        <v>0</v>
      </c>
      <c r="AP301" s="2002">
        <v>1</v>
      </c>
      <c r="AQ301" s="2002">
        <v>1</v>
      </c>
      <c r="AR301" s="2002">
        <v>0</v>
      </c>
      <c r="AS301" s="2002">
        <v>0</v>
      </c>
      <c r="AT301" s="2002">
        <v>0</v>
      </c>
      <c r="AU301" s="2480">
        <v>0</v>
      </c>
      <c r="AV301" s="2480"/>
      <c r="AW301" s="2480">
        <v>3</v>
      </c>
      <c r="AX301" s="41"/>
      <c r="AZ301" s="42"/>
      <c r="BA301" s="42"/>
      <c r="BB301" s="42"/>
      <c r="BC301" s="42" t="s">
        <v>1236</v>
      </c>
      <c r="BD301" s="1993"/>
      <c r="BE301" s="1993"/>
      <c r="BF301" s="1993">
        <v>1</v>
      </c>
      <c r="BG301" s="1993"/>
      <c r="BH301" s="1993"/>
      <c r="BI301" s="1993">
        <v>1</v>
      </c>
      <c r="BJ301" s="1993">
        <v>0</v>
      </c>
      <c r="BK301" s="1993">
        <v>0</v>
      </c>
      <c r="BL301" s="1993"/>
      <c r="BM301" s="70"/>
      <c r="BN301" s="70"/>
      <c r="BO301" s="70">
        <v>2</v>
      </c>
      <c r="BR301" s="105"/>
      <c r="BS301" s="105"/>
      <c r="BT301" s="41"/>
      <c r="BU301" s="41" t="s">
        <v>1236</v>
      </c>
      <c r="BV301" s="1659"/>
      <c r="BW301" s="1659"/>
      <c r="BX301" s="1659"/>
      <c r="BY301" s="1659"/>
      <c r="BZ301" s="1659"/>
      <c r="CA301" s="1659"/>
      <c r="CB301" s="1659">
        <v>1</v>
      </c>
      <c r="CC301" s="1659"/>
      <c r="CD301" s="1659"/>
      <c r="CE301" s="105"/>
      <c r="CF301" s="105"/>
      <c r="CG301" s="105">
        <v>1</v>
      </c>
      <c r="CH301" s="105"/>
      <c r="CJ301" s="1359"/>
      <c r="CK301" s="1359"/>
      <c r="CL301" s="1360" t="s">
        <v>849</v>
      </c>
      <c r="CM301" s="1361" t="s">
        <v>1230</v>
      </c>
      <c r="CN301" s="1363">
        <v>0</v>
      </c>
      <c r="CO301" s="1362"/>
      <c r="CP301" s="1362"/>
      <c r="CQ301" s="1362"/>
      <c r="CR301" s="1362"/>
      <c r="CS301" s="1363">
        <v>1</v>
      </c>
      <c r="CT301" s="1363">
        <v>0</v>
      </c>
      <c r="CU301" s="1362"/>
      <c r="CV301" s="686"/>
      <c r="CW301" s="686"/>
      <c r="CX301" s="687">
        <v>1</v>
      </c>
      <c r="CY301" s="41"/>
      <c r="DA301" s="602"/>
      <c r="DB301" s="602"/>
      <c r="DC301" s="603"/>
      <c r="DD301" s="630" t="s">
        <v>15</v>
      </c>
      <c r="DE301" s="631"/>
      <c r="DF301" s="632">
        <v>1</v>
      </c>
      <c r="DG301" s="631"/>
      <c r="DH301" s="631"/>
      <c r="DI301" s="631"/>
      <c r="DJ301" s="632">
        <v>11</v>
      </c>
      <c r="DK301" s="631"/>
      <c r="DL301" s="631"/>
      <c r="DM301" s="633"/>
      <c r="DN301" s="633"/>
      <c r="DO301" s="634">
        <v>12</v>
      </c>
      <c r="DP301" s="635">
        <f>+(DO298+DO299+DO300)/DO301</f>
        <v>0.66666666666666663</v>
      </c>
    </row>
    <row r="302" spans="3:191">
      <c r="D302" s="4800" t="s">
        <v>1231</v>
      </c>
      <c r="E302" s="4606"/>
      <c r="F302" s="4606"/>
      <c r="G302" s="4606">
        <v>0</v>
      </c>
      <c r="H302" s="4606"/>
      <c r="I302" s="4606">
        <v>2</v>
      </c>
      <c r="J302" s="4606">
        <v>1</v>
      </c>
      <c r="K302" s="4606">
        <v>14</v>
      </c>
      <c r="L302" s="4606">
        <v>1</v>
      </c>
      <c r="M302" s="4606"/>
      <c r="N302" s="2552"/>
      <c r="O302" s="2552"/>
      <c r="P302" s="2552">
        <v>18</v>
      </c>
      <c r="Q302" s="2552"/>
      <c r="R302" s="2552"/>
      <c r="U302" s="1793"/>
      <c r="V302" s="1793" t="s">
        <v>1239</v>
      </c>
      <c r="W302" s="4804"/>
      <c r="X302" s="4804"/>
      <c r="Y302" s="4804">
        <v>0</v>
      </c>
      <c r="Z302" s="4804"/>
      <c r="AA302" s="4804"/>
      <c r="AB302" s="4804">
        <v>0</v>
      </c>
      <c r="AC302" s="4804">
        <v>2</v>
      </c>
      <c r="AD302" s="4804"/>
      <c r="AE302" s="4702"/>
      <c r="AF302" s="4702">
        <v>2</v>
      </c>
      <c r="AG302" s="1793"/>
      <c r="AI302" s="41"/>
      <c r="AJ302" s="41"/>
      <c r="AK302" s="461"/>
      <c r="AL302" s="461" t="s">
        <v>1235</v>
      </c>
      <c r="AM302" s="2002">
        <v>0</v>
      </c>
      <c r="AN302" s="2002">
        <v>0</v>
      </c>
      <c r="AO302" s="2002">
        <v>0</v>
      </c>
      <c r="AP302" s="2002">
        <v>0</v>
      </c>
      <c r="AQ302" s="2002">
        <v>1</v>
      </c>
      <c r="AR302" s="2002">
        <v>33</v>
      </c>
      <c r="AS302" s="2002">
        <v>16</v>
      </c>
      <c r="AT302" s="2002">
        <v>1</v>
      </c>
      <c r="AU302" s="2480">
        <v>1</v>
      </c>
      <c r="AV302" s="2480"/>
      <c r="AW302" s="2480">
        <v>52</v>
      </c>
      <c r="AX302" s="41"/>
      <c r="AZ302" s="42"/>
      <c r="BA302" s="42"/>
      <c r="BB302" s="42"/>
      <c r="BC302" s="42" t="s">
        <v>1239</v>
      </c>
      <c r="BD302" s="1993"/>
      <c r="BE302" s="1993"/>
      <c r="BF302" s="1993">
        <v>0</v>
      </c>
      <c r="BG302" s="1993"/>
      <c r="BH302" s="1993"/>
      <c r="BI302" s="1993">
        <v>0</v>
      </c>
      <c r="BJ302" s="1993">
        <v>0</v>
      </c>
      <c r="BK302" s="1993">
        <v>1</v>
      </c>
      <c r="BL302" s="1993"/>
      <c r="BM302" s="70"/>
      <c r="BN302" s="70"/>
      <c r="BO302" s="70">
        <v>1</v>
      </c>
      <c r="BR302" s="105"/>
      <c r="BS302" s="105"/>
      <c r="BT302" s="41"/>
      <c r="BU302" s="41" t="s">
        <v>1240</v>
      </c>
      <c r="BV302" s="1659"/>
      <c r="BW302" s="1659"/>
      <c r="BX302" s="1659"/>
      <c r="BY302" s="1659"/>
      <c r="BZ302" s="1659"/>
      <c r="CA302" s="1659"/>
      <c r="CB302" s="1659">
        <v>2</v>
      </c>
      <c r="CC302" s="1659"/>
      <c r="CD302" s="1659"/>
      <c r="CE302" s="105"/>
      <c r="CF302" s="105"/>
      <c r="CG302" s="105">
        <v>2</v>
      </c>
      <c r="CH302" s="105"/>
      <c r="CJ302" s="1359"/>
      <c r="CK302" s="1359"/>
      <c r="CL302" s="1360"/>
      <c r="CM302" s="1361" t="s">
        <v>1231</v>
      </c>
      <c r="CN302" s="1363">
        <v>1</v>
      </c>
      <c r="CO302" s="1362"/>
      <c r="CP302" s="1362"/>
      <c r="CQ302" s="1362"/>
      <c r="CR302" s="1362"/>
      <c r="CS302" s="1363">
        <v>0</v>
      </c>
      <c r="CT302" s="1363">
        <v>0</v>
      </c>
      <c r="CU302" s="1362"/>
      <c r="CV302" s="686"/>
      <c r="CW302" s="686"/>
      <c r="CX302" s="687">
        <v>1</v>
      </c>
      <c r="CY302" s="41"/>
      <c r="DA302" s="602"/>
      <c r="DB302" s="602"/>
      <c r="DC302" s="603" t="s">
        <v>849</v>
      </c>
      <c r="DD302" s="604" t="s">
        <v>1230</v>
      </c>
      <c r="DE302" s="605"/>
      <c r="DF302" s="606">
        <v>0</v>
      </c>
      <c r="DG302" s="605"/>
      <c r="DH302" s="605"/>
      <c r="DI302" s="605"/>
      <c r="DJ302" s="606">
        <v>1</v>
      </c>
      <c r="DK302" s="605"/>
      <c r="DL302" s="605"/>
      <c r="DM302" s="602"/>
      <c r="DN302" s="602"/>
      <c r="DO302" s="607">
        <v>1</v>
      </c>
      <c r="DP302" s="105"/>
    </row>
    <row r="303" spans="3:191">
      <c r="D303" s="4800" t="s">
        <v>1233</v>
      </c>
      <c r="E303" s="4606"/>
      <c r="F303" s="4606"/>
      <c r="G303" s="4606">
        <v>1</v>
      </c>
      <c r="H303" s="4606"/>
      <c r="I303" s="4606">
        <v>0</v>
      </c>
      <c r="J303" s="4606">
        <v>0</v>
      </c>
      <c r="K303" s="4606">
        <v>0</v>
      </c>
      <c r="L303" s="4606">
        <v>0</v>
      </c>
      <c r="M303" s="4606"/>
      <c r="N303" s="2552"/>
      <c r="O303" s="2552"/>
      <c r="P303" s="2552">
        <v>1</v>
      </c>
      <c r="Q303" s="2552"/>
      <c r="R303" s="2552"/>
      <c r="U303" s="1793"/>
      <c r="V303" s="1793" t="s">
        <v>548</v>
      </c>
      <c r="W303" s="4804"/>
      <c r="X303" s="4804"/>
      <c r="Y303" s="4804">
        <v>1</v>
      </c>
      <c r="Z303" s="4804"/>
      <c r="AA303" s="4804"/>
      <c r="AB303" s="4804">
        <v>19</v>
      </c>
      <c r="AC303" s="4804">
        <v>2</v>
      </c>
      <c r="AD303" s="4804"/>
      <c r="AE303" s="4702"/>
      <c r="AF303" s="4702">
        <v>22</v>
      </c>
      <c r="AG303" s="4703">
        <v>0</v>
      </c>
      <c r="AI303" s="41"/>
      <c r="AJ303" s="41"/>
      <c r="AK303" s="461"/>
      <c r="AL303" s="461" t="s">
        <v>1239</v>
      </c>
      <c r="AM303" s="2002">
        <v>0</v>
      </c>
      <c r="AN303" s="2002">
        <v>0</v>
      </c>
      <c r="AO303" s="2002">
        <v>0</v>
      </c>
      <c r="AP303" s="2002">
        <v>0</v>
      </c>
      <c r="AQ303" s="2002">
        <v>0</v>
      </c>
      <c r="AR303" s="2002">
        <v>0</v>
      </c>
      <c r="AS303" s="2002">
        <v>2</v>
      </c>
      <c r="AT303" s="2002">
        <v>13</v>
      </c>
      <c r="AU303" s="2480">
        <v>2</v>
      </c>
      <c r="AV303" s="2480"/>
      <c r="AW303" s="2480">
        <v>17</v>
      </c>
      <c r="AX303" s="41"/>
      <c r="AZ303" s="42"/>
      <c r="BA303" s="42"/>
      <c r="BB303" s="42"/>
      <c r="BC303" s="42" t="s">
        <v>1240</v>
      </c>
      <c r="BD303" s="1993"/>
      <c r="BE303" s="1993"/>
      <c r="BF303" s="1993">
        <v>0</v>
      </c>
      <c r="BG303" s="1993"/>
      <c r="BH303" s="1993"/>
      <c r="BI303" s="1993">
        <v>0</v>
      </c>
      <c r="BJ303" s="1993">
        <v>1</v>
      </c>
      <c r="BK303" s="1993">
        <v>0</v>
      </c>
      <c r="BL303" s="1993"/>
      <c r="BM303" s="70"/>
      <c r="BN303" s="70"/>
      <c r="BO303" s="70">
        <v>1</v>
      </c>
      <c r="BR303" s="105"/>
      <c r="BS303" s="105"/>
      <c r="BT303" s="41"/>
      <c r="BU303" s="41" t="s">
        <v>1344</v>
      </c>
      <c r="BV303" s="1659"/>
      <c r="BW303" s="1659"/>
      <c r="BX303" s="1659"/>
      <c r="BY303" s="1659"/>
      <c r="BZ303" s="1659"/>
      <c r="CA303" s="1659"/>
      <c r="CB303" s="1659">
        <v>1</v>
      </c>
      <c r="CC303" s="1659"/>
      <c r="CD303" s="1659"/>
      <c r="CE303" s="105"/>
      <c r="CF303" s="105"/>
      <c r="CG303" s="105">
        <v>1</v>
      </c>
      <c r="CH303" s="105"/>
      <c r="CJ303" s="1359"/>
      <c r="CK303" s="1359"/>
      <c r="CL303" s="1360"/>
      <c r="CM303" s="1361" t="s">
        <v>1235</v>
      </c>
      <c r="CN303" s="1363">
        <v>0</v>
      </c>
      <c r="CO303" s="1362"/>
      <c r="CP303" s="1362"/>
      <c r="CQ303" s="1362"/>
      <c r="CR303" s="1362"/>
      <c r="CS303" s="1363">
        <v>7</v>
      </c>
      <c r="CT303" s="1363">
        <v>2</v>
      </c>
      <c r="CU303" s="1362"/>
      <c r="CV303" s="686"/>
      <c r="CW303" s="686"/>
      <c r="CX303" s="687">
        <v>9</v>
      </c>
      <c r="CY303" s="41"/>
      <c r="DA303" s="602"/>
      <c r="DB303" s="602"/>
      <c r="DC303" s="603"/>
      <c r="DD303" s="604" t="s">
        <v>1231</v>
      </c>
      <c r="DE303" s="605"/>
      <c r="DF303" s="606">
        <v>1</v>
      </c>
      <c r="DG303" s="605"/>
      <c r="DH303" s="605"/>
      <c r="DI303" s="605"/>
      <c r="DJ303" s="606">
        <v>2</v>
      </c>
      <c r="DK303" s="605"/>
      <c r="DL303" s="605"/>
      <c r="DM303" s="602"/>
      <c r="DN303" s="602"/>
      <c r="DO303" s="607">
        <v>3</v>
      </c>
      <c r="DP303" s="105"/>
    </row>
    <row r="304" spans="3:191">
      <c r="D304" s="4800" t="s">
        <v>15</v>
      </c>
      <c r="E304" s="4606"/>
      <c r="F304" s="4606"/>
      <c r="G304" s="4606">
        <v>1</v>
      </c>
      <c r="H304" s="4606"/>
      <c r="I304" s="4606">
        <v>2</v>
      </c>
      <c r="J304" s="4606">
        <v>2</v>
      </c>
      <c r="K304" s="4606">
        <v>14</v>
      </c>
      <c r="L304" s="4606">
        <v>5</v>
      </c>
      <c r="M304" s="4606"/>
      <c r="N304" s="2552"/>
      <c r="O304" s="2552"/>
      <c r="P304" s="2552">
        <v>24</v>
      </c>
      <c r="Q304" s="1977">
        <v>0</v>
      </c>
      <c r="R304" s="1977"/>
      <c r="T304" s="37" t="s">
        <v>64</v>
      </c>
      <c r="U304" s="37" t="s">
        <v>671</v>
      </c>
      <c r="V304" s="37" t="s">
        <v>1230</v>
      </c>
      <c r="W304" s="4803"/>
      <c r="X304" s="4803"/>
      <c r="Y304" s="4803"/>
      <c r="Z304" s="4803"/>
      <c r="AA304" s="4803">
        <v>1</v>
      </c>
      <c r="AB304" s="4803">
        <v>0</v>
      </c>
      <c r="AC304" s="4803">
        <v>0</v>
      </c>
      <c r="AD304" s="4803"/>
      <c r="AE304" s="1788"/>
      <c r="AF304" s="1788">
        <v>1</v>
      </c>
      <c r="AI304" s="41"/>
      <c r="AJ304" s="41"/>
      <c r="AK304" s="461"/>
      <c r="AL304" s="461" t="s">
        <v>1240</v>
      </c>
      <c r="AM304" s="2002">
        <v>0</v>
      </c>
      <c r="AN304" s="2002">
        <v>0</v>
      </c>
      <c r="AO304" s="2002">
        <v>0</v>
      </c>
      <c r="AP304" s="2002">
        <v>0</v>
      </c>
      <c r="AQ304" s="2002">
        <v>3</v>
      </c>
      <c r="AR304" s="2002">
        <v>26</v>
      </c>
      <c r="AS304" s="2002">
        <v>8</v>
      </c>
      <c r="AT304" s="2002">
        <v>2</v>
      </c>
      <c r="AU304" s="2480">
        <v>0</v>
      </c>
      <c r="AV304" s="2480"/>
      <c r="AW304" s="2480">
        <v>39</v>
      </c>
      <c r="AX304" s="41"/>
      <c r="AZ304" s="42"/>
      <c r="BA304" s="42"/>
      <c r="BB304" s="42"/>
      <c r="BC304" s="484" t="s">
        <v>545</v>
      </c>
      <c r="BD304" s="1994"/>
      <c r="BE304" s="1994"/>
      <c r="BF304" s="1994">
        <v>1</v>
      </c>
      <c r="BG304" s="1994"/>
      <c r="BH304" s="1994"/>
      <c r="BI304" s="1994">
        <v>1</v>
      </c>
      <c r="BJ304" s="1994">
        <v>13</v>
      </c>
      <c r="BK304" s="1994">
        <v>6</v>
      </c>
      <c r="BL304" s="1994"/>
      <c r="BM304" s="454"/>
      <c r="BN304" s="454"/>
      <c r="BO304" s="454">
        <v>21</v>
      </c>
      <c r="BP304" s="2485">
        <f>+(BO300+BO303)/BO304</f>
        <v>0.14285714285714285</v>
      </c>
      <c r="BR304" s="105"/>
      <c r="BS304" s="105"/>
      <c r="BT304" s="41"/>
      <c r="BU304" s="461" t="s">
        <v>15</v>
      </c>
      <c r="BV304" s="1660"/>
      <c r="BW304" s="1660"/>
      <c r="BX304" s="1660"/>
      <c r="BY304" s="1660"/>
      <c r="BZ304" s="1660"/>
      <c r="CA304" s="1660"/>
      <c r="CB304" s="1660">
        <v>12</v>
      </c>
      <c r="CC304" s="1660"/>
      <c r="CD304" s="1660"/>
      <c r="CE304" s="96"/>
      <c r="CF304" s="96"/>
      <c r="CG304" s="96">
        <v>12</v>
      </c>
      <c r="CH304" s="635">
        <f>+(CG300+CG302+CG303)/CG304</f>
        <v>0.41666666666666669</v>
      </c>
      <c r="CJ304" s="1359"/>
      <c r="CK304" s="1359"/>
      <c r="CL304" s="1360"/>
      <c r="CM304" s="1361" t="s">
        <v>1240</v>
      </c>
      <c r="CN304" s="1363">
        <v>0</v>
      </c>
      <c r="CO304" s="1362"/>
      <c r="CP304" s="1362"/>
      <c r="CQ304" s="1362"/>
      <c r="CR304" s="1362"/>
      <c r="CS304" s="1363">
        <v>1</v>
      </c>
      <c r="CT304" s="1363">
        <v>0</v>
      </c>
      <c r="CU304" s="1362"/>
      <c r="CV304" s="686"/>
      <c r="CW304" s="686"/>
      <c r="CX304" s="687">
        <v>1</v>
      </c>
      <c r="CY304" s="41"/>
      <c r="DA304" s="602"/>
      <c r="DB304" s="602"/>
      <c r="DC304" s="603"/>
      <c r="DD304" s="604" t="s">
        <v>1235</v>
      </c>
      <c r="DE304" s="605"/>
      <c r="DF304" s="606">
        <v>0</v>
      </c>
      <c r="DG304" s="605"/>
      <c r="DH304" s="605"/>
      <c r="DI304" s="605"/>
      <c r="DJ304" s="606">
        <v>6</v>
      </c>
      <c r="DK304" s="605"/>
      <c r="DL304" s="605"/>
      <c r="DM304" s="602"/>
      <c r="DN304" s="602"/>
      <c r="DO304" s="607">
        <v>6</v>
      </c>
      <c r="DP304" s="105"/>
    </row>
    <row r="305" spans="3:120">
      <c r="C305" s="32" t="s">
        <v>546</v>
      </c>
      <c r="D305" s="32" t="s">
        <v>1230</v>
      </c>
      <c r="E305" s="4607">
        <v>0</v>
      </c>
      <c r="F305" s="4607">
        <v>0</v>
      </c>
      <c r="G305" s="4607">
        <v>0</v>
      </c>
      <c r="H305" s="4607"/>
      <c r="I305" s="4607">
        <v>0</v>
      </c>
      <c r="J305" s="4607">
        <v>1</v>
      </c>
      <c r="K305" s="4607">
        <v>0</v>
      </c>
      <c r="L305" s="4607">
        <v>4</v>
      </c>
      <c r="M305" s="4607">
        <v>0</v>
      </c>
      <c r="N305" s="4583"/>
      <c r="O305" s="4583"/>
      <c r="P305" s="4583">
        <v>5</v>
      </c>
      <c r="Q305" s="4583"/>
      <c r="R305" s="4583"/>
      <c r="V305" s="37" t="s">
        <v>1231</v>
      </c>
      <c r="W305" s="4803"/>
      <c r="X305" s="4803"/>
      <c r="Y305" s="4803"/>
      <c r="Z305" s="4803"/>
      <c r="AA305" s="4803">
        <v>0</v>
      </c>
      <c r="AB305" s="4803">
        <v>5</v>
      </c>
      <c r="AC305" s="4803">
        <v>0</v>
      </c>
      <c r="AD305" s="4803"/>
      <c r="AE305" s="1788"/>
      <c r="AF305" s="1788">
        <v>5</v>
      </c>
      <c r="AI305" s="41"/>
      <c r="AJ305" s="41"/>
      <c r="AK305" s="461"/>
      <c r="AL305" s="461" t="s">
        <v>1344</v>
      </c>
      <c r="AM305" s="2002">
        <v>0</v>
      </c>
      <c r="AN305" s="2002">
        <v>0</v>
      </c>
      <c r="AO305" s="2002">
        <v>1</v>
      </c>
      <c r="AP305" s="2002">
        <v>0</v>
      </c>
      <c r="AQ305" s="2002">
        <v>0</v>
      </c>
      <c r="AR305" s="2002">
        <v>18</v>
      </c>
      <c r="AS305" s="2002">
        <v>6</v>
      </c>
      <c r="AT305" s="2002">
        <v>0</v>
      </c>
      <c r="AU305" s="2480">
        <v>0</v>
      </c>
      <c r="AV305" s="2480"/>
      <c r="AW305" s="2480">
        <v>25</v>
      </c>
      <c r="AX305" s="41"/>
      <c r="AZ305" s="42"/>
      <c r="BA305" s="42" t="s">
        <v>61</v>
      </c>
      <c r="BB305" s="42" t="s">
        <v>829</v>
      </c>
      <c r="BC305" s="42" t="s">
        <v>1231</v>
      </c>
      <c r="BD305" s="1993"/>
      <c r="BE305" s="1993"/>
      <c r="BF305" s="1993"/>
      <c r="BG305" s="1993"/>
      <c r="BH305" s="1993"/>
      <c r="BI305" s="1993">
        <v>1</v>
      </c>
      <c r="BJ305" s="1993"/>
      <c r="BK305" s="1993">
        <v>10</v>
      </c>
      <c r="BL305" s="1993"/>
      <c r="BM305" s="70"/>
      <c r="BN305" s="70"/>
      <c r="BO305" s="70">
        <v>11</v>
      </c>
      <c r="BR305" s="105"/>
      <c r="BS305" s="105" t="s">
        <v>828</v>
      </c>
      <c r="BT305" s="41" t="s">
        <v>829</v>
      </c>
      <c r="BU305" s="41" t="s">
        <v>1231</v>
      </c>
      <c r="BV305" s="1659"/>
      <c r="BW305" s="1659"/>
      <c r="BX305" s="1659"/>
      <c r="BY305" s="1659"/>
      <c r="BZ305" s="1659"/>
      <c r="CA305" s="1659"/>
      <c r="CB305" s="1659">
        <v>0</v>
      </c>
      <c r="CC305" s="1659">
        <v>2</v>
      </c>
      <c r="CD305" s="1659"/>
      <c r="CE305" s="105"/>
      <c r="CF305" s="105"/>
      <c r="CG305" s="105">
        <v>2</v>
      </c>
      <c r="CH305" s="105"/>
      <c r="CJ305" s="1359"/>
      <c r="CK305" s="1359"/>
      <c r="CL305" s="1360"/>
      <c r="CM305" s="483" t="s">
        <v>849</v>
      </c>
      <c r="CN305" s="1365">
        <v>1</v>
      </c>
      <c r="CO305" s="1364"/>
      <c r="CP305" s="1364"/>
      <c r="CQ305" s="1364"/>
      <c r="CR305" s="1364"/>
      <c r="CS305" s="1365">
        <v>9</v>
      </c>
      <c r="CT305" s="1365">
        <v>2</v>
      </c>
      <c r="CU305" s="1364"/>
      <c r="CV305" s="695"/>
      <c r="CW305" s="695"/>
      <c r="CX305" s="696">
        <v>12</v>
      </c>
      <c r="CY305" s="1325">
        <f>+(CX303+CX304)/CX305</f>
        <v>0.83333333333333337</v>
      </c>
      <c r="DA305" s="602"/>
      <c r="DB305" s="602"/>
      <c r="DC305" s="603"/>
      <c r="DD305" s="604" t="s">
        <v>1240</v>
      </c>
      <c r="DE305" s="605"/>
      <c r="DF305" s="606">
        <v>0</v>
      </c>
      <c r="DG305" s="605"/>
      <c r="DH305" s="605"/>
      <c r="DI305" s="605"/>
      <c r="DJ305" s="606">
        <v>1</v>
      </c>
      <c r="DK305" s="605"/>
      <c r="DL305" s="605"/>
      <c r="DM305" s="602"/>
      <c r="DN305" s="602"/>
      <c r="DO305" s="607">
        <v>1</v>
      </c>
      <c r="DP305" s="105"/>
    </row>
    <row r="306" spans="3:120">
      <c r="C306" s="32"/>
      <c r="D306" s="32" t="s">
        <v>1231</v>
      </c>
      <c r="E306" s="4607">
        <v>0</v>
      </c>
      <c r="F306" s="4607">
        <v>0</v>
      </c>
      <c r="G306" s="4607">
        <v>0</v>
      </c>
      <c r="H306" s="4607"/>
      <c r="I306" s="4607">
        <v>2</v>
      </c>
      <c r="J306" s="4607">
        <v>2</v>
      </c>
      <c r="K306" s="4607">
        <v>27</v>
      </c>
      <c r="L306" s="4607">
        <v>1</v>
      </c>
      <c r="M306" s="4607">
        <v>2</v>
      </c>
      <c r="N306" s="4583"/>
      <c r="O306" s="4583"/>
      <c r="P306" s="4583">
        <v>34</v>
      </c>
      <c r="Q306" s="4583"/>
      <c r="R306" s="4583"/>
      <c r="V306" s="37" t="s">
        <v>1239</v>
      </c>
      <c r="W306" s="4803"/>
      <c r="X306" s="4803"/>
      <c r="Y306" s="4803"/>
      <c r="Z306" s="4803"/>
      <c r="AA306" s="4803">
        <v>0</v>
      </c>
      <c r="AB306" s="4803">
        <v>0</v>
      </c>
      <c r="AC306" s="4803">
        <v>4</v>
      </c>
      <c r="AD306" s="4803"/>
      <c r="AE306" s="1788"/>
      <c r="AF306" s="1788">
        <v>4</v>
      </c>
      <c r="AI306" s="41"/>
      <c r="AJ306" s="41"/>
      <c r="AK306" s="461"/>
      <c r="AL306" s="461" t="s">
        <v>442</v>
      </c>
      <c r="AM306" s="2002">
        <v>5</v>
      </c>
      <c r="AN306" s="2002">
        <v>8</v>
      </c>
      <c r="AO306" s="2002">
        <v>5</v>
      </c>
      <c r="AP306" s="2002">
        <v>5</v>
      </c>
      <c r="AQ306" s="2002">
        <v>10</v>
      </c>
      <c r="AR306" s="2002">
        <v>157</v>
      </c>
      <c r="AS306" s="2002">
        <v>47</v>
      </c>
      <c r="AT306" s="2002">
        <v>21</v>
      </c>
      <c r="AU306" s="2480">
        <v>3</v>
      </c>
      <c r="AV306" s="2480"/>
      <c r="AW306" s="2480">
        <v>261</v>
      </c>
      <c r="AX306" s="635">
        <f>+(AW305+AW304+AW302-AU302)/AW306</f>
        <v>0.44061302681992337</v>
      </c>
      <c r="AY306" s="1977"/>
      <c r="AZ306" s="42"/>
      <c r="BA306" s="42"/>
      <c r="BB306" s="42"/>
      <c r="BC306" s="42" t="s">
        <v>1235</v>
      </c>
      <c r="BD306" s="1993"/>
      <c r="BE306" s="1993"/>
      <c r="BF306" s="1993"/>
      <c r="BG306" s="1993"/>
      <c r="BH306" s="1993"/>
      <c r="BI306" s="1993">
        <v>0</v>
      </c>
      <c r="BJ306" s="1993"/>
      <c r="BK306" s="1993">
        <v>1</v>
      </c>
      <c r="BL306" s="1993"/>
      <c r="BM306" s="70"/>
      <c r="BN306" s="70"/>
      <c r="BO306" s="70">
        <v>1</v>
      </c>
      <c r="BR306" s="105"/>
      <c r="BS306" s="105"/>
      <c r="BT306" s="41"/>
      <c r="BU306" s="41" t="s">
        <v>1235</v>
      </c>
      <c r="BV306" s="1659"/>
      <c r="BW306" s="1659"/>
      <c r="BX306" s="1659"/>
      <c r="BY306" s="1659"/>
      <c r="BZ306" s="1659"/>
      <c r="CA306" s="1659"/>
      <c r="CB306" s="1659">
        <v>0</v>
      </c>
      <c r="CC306" s="1659">
        <v>7</v>
      </c>
      <c r="CD306" s="1659"/>
      <c r="CE306" s="105"/>
      <c r="CF306" s="105"/>
      <c r="CG306" s="105">
        <v>7</v>
      </c>
      <c r="CH306" s="105"/>
      <c r="CJ306" s="1359"/>
      <c r="CK306" s="1359" t="s">
        <v>64</v>
      </c>
      <c r="CL306" s="1360" t="s">
        <v>671</v>
      </c>
      <c r="CM306" s="1361" t="s">
        <v>1231</v>
      </c>
      <c r="CN306" s="1363">
        <v>1</v>
      </c>
      <c r="CO306" s="1362"/>
      <c r="CP306" s="1362"/>
      <c r="CQ306" s="1362"/>
      <c r="CR306" s="1363">
        <v>1</v>
      </c>
      <c r="CS306" s="1363">
        <v>2</v>
      </c>
      <c r="CT306" s="1363">
        <v>2</v>
      </c>
      <c r="CU306" s="1363">
        <v>0</v>
      </c>
      <c r="CV306" s="686"/>
      <c r="CW306" s="686"/>
      <c r="CX306" s="687">
        <v>6</v>
      </c>
      <c r="CY306" s="41"/>
      <c r="DA306" s="602"/>
      <c r="DB306" s="602"/>
      <c r="DC306" s="603"/>
      <c r="DD306" s="604" t="s">
        <v>1344</v>
      </c>
      <c r="DE306" s="605"/>
      <c r="DF306" s="606">
        <v>0</v>
      </c>
      <c r="DG306" s="605"/>
      <c r="DH306" s="605"/>
      <c r="DI306" s="605"/>
      <c r="DJ306" s="606">
        <v>1</v>
      </c>
      <c r="DK306" s="605"/>
      <c r="DL306" s="605"/>
      <c r="DM306" s="602"/>
      <c r="DN306" s="602"/>
      <c r="DO306" s="607">
        <v>1</v>
      </c>
      <c r="DP306" s="105"/>
    </row>
    <row r="307" spans="3:120">
      <c r="C307" s="32"/>
      <c r="D307" s="32" t="s">
        <v>1233</v>
      </c>
      <c r="E307" s="4607">
        <v>0</v>
      </c>
      <c r="F307" s="4607">
        <v>1</v>
      </c>
      <c r="G307" s="4607">
        <v>1</v>
      </c>
      <c r="H307" s="4607"/>
      <c r="I307" s="4607">
        <v>0</v>
      </c>
      <c r="J307" s="4607">
        <v>0</v>
      </c>
      <c r="K307" s="4607">
        <v>0</v>
      </c>
      <c r="L307" s="4607">
        <v>0</v>
      </c>
      <c r="M307" s="4607">
        <v>0</v>
      </c>
      <c r="N307" s="4583"/>
      <c r="O307" s="4583"/>
      <c r="P307" s="4583">
        <v>2</v>
      </c>
      <c r="Q307" s="4583"/>
      <c r="R307" s="4583"/>
      <c r="V307" s="1793" t="s">
        <v>15</v>
      </c>
      <c r="W307" s="4804"/>
      <c r="X307" s="4804"/>
      <c r="Y307" s="4804"/>
      <c r="Z307" s="4804"/>
      <c r="AA307" s="4804">
        <v>1</v>
      </c>
      <c r="AB307" s="4804">
        <v>5</v>
      </c>
      <c r="AC307" s="4804">
        <v>4</v>
      </c>
      <c r="AD307" s="4804"/>
      <c r="AE307" s="4702"/>
      <c r="AF307" s="4702">
        <v>10</v>
      </c>
      <c r="AG307" s="4703">
        <v>0</v>
      </c>
      <c r="AI307" s="41" t="s">
        <v>59</v>
      </c>
      <c r="AJ307" s="41" t="s">
        <v>16</v>
      </c>
      <c r="AK307" s="41" t="s">
        <v>670</v>
      </c>
      <c r="AL307" s="41" t="s">
        <v>1231</v>
      </c>
      <c r="AM307" s="2001"/>
      <c r="AN307" s="2001"/>
      <c r="AO307" s="2001"/>
      <c r="AP307" s="2001"/>
      <c r="AQ307" s="2001"/>
      <c r="AR307" s="2001">
        <v>7</v>
      </c>
      <c r="AS307" s="2001"/>
      <c r="AT307" s="2001">
        <v>0</v>
      </c>
      <c r="AU307" s="105"/>
      <c r="AV307" s="105"/>
      <c r="AW307" s="105">
        <v>7</v>
      </c>
      <c r="AX307" s="41"/>
      <c r="AZ307" s="42"/>
      <c r="BA307" s="42"/>
      <c r="BB307" s="42"/>
      <c r="BC307" s="42" t="s">
        <v>1240</v>
      </c>
      <c r="BD307" s="1993"/>
      <c r="BE307" s="1993"/>
      <c r="BF307" s="1993"/>
      <c r="BG307" s="1993"/>
      <c r="BH307" s="1993"/>
      <c r="BI307" s="1993">
        <v>0</v>
      </c>
      <c r="BJ307" s="1993"/>
      <c r="BK307" s="1993">
        <v>6</v>
      </c>
      <c r="BL307" s="1993"/>
      <c r="BM307" s="70"/>
      <c r="BN307" s="70"/>
      <c r="BO307" s="70">
        <v>6</v>
      </c>
      <c r="BR307" s="105"/>
      <c r="BS307" s="105"/>
      <c r="BT307" s="41"/>
      <c r="BU307" s="41" t="s">
        <v>1240</v>
      </c>
      <c r="BV307" s="1659"/>
      <c r="BW307" s="1659"/>
      <c r="BX307" s="1659"/>
      <c r="BY307" s="1659"/>
      <c r="BZ307" s="1659"/>
      <c r="CA307" s="1659"/>
      <c r="CB307" s="1659">
        <v>0</v>
      </c>
      <c r="CC307" s="1659">
        <v>7</v>
      </c>
      <c r="CD307" s="1659"/>
      <c r="CE307" s="105"/>
      <c r="CF307" s="105"/>
      <c r="CG307" s="105">
        <v>7</v>
      </c>
      <c r="CH307" s="105"/>
      <c r="CJ307" s="1359"/>
      <c r="CK307" s="1359"/>
      <c r="CL307" s="1360"/>
      <c r="CM307" s="1361" t="s">
        <v>1235</v>
      </c>
      <c r="CN307" s="1363">
        <v>0</v>
      </c>
      <c r="CO307" s="1362"/>
      <c r="CP307" s="1362"/>
      <c r="CQ307" s="1362"/>
      <c r="CR307" s="1363">
        <v>0</v>
      </c>
      <c r="CS307" s="1363">
        <v>2</v>
      </c>
      <c r="CT307" s="1363">
        <v>0</v>
      </c>
      <c r="CU307" s="1363">
        <v>0</v>
      </c>
      <c r="CV307" s="686"/>
      <c r="CW307" s="686"/>
      <c r="CX307" s="687">
        <v>2</v>
      </c>
      <c r="CY307" s="41"/>
      <c r="DA307" s="602"/>
      <c r="DB307" s="602"/>
      <c r="DC307" s="603"/>
      <c r="DD307" s="630" t="s">
        <v>849</v>
      </c>
      <c r="DE307" s="631"/>
      <c r="DF307" s="632">
        <v>1</v>
      </c>
      <c r="DG307" s="631"/>
      <c r="DH307" s="631"/>
      <c r="DI307" s="631"/>
      <c r="DJ307" s="632">
        <v>11</v>
      </c>
      <c r="DK307" s="631"/>
      <c r="DL307" s="631"/>
      <c r="DM307" s="633"/>
      <c r="DN307" s="633"/>
      <c r="DO307" s="634">
        <v>12</v>
      </c>
      <c r="DP307" s="635">
        <f>+(DO304+DO305+DO306)/DO307</f>
        <v>0.66666666666666663</v>
      </c>
    </row>
    <row r="308" spans="3:120">
      <c r="C308" s="32"/>
      <c r="D308" s="32" t="s">
        <v>1235</v>
      </c>
      <c r="E308" s="4607">
        <v>0</v>
      </c>
      <c r="F308" s="4607">
        <v>0</v>
      </c>
      <c r="G308" s="4607">
        <v>0</v>
      </c>
      <c r="H308" s="4607"/>
      <c r="I308" s="4607">
        <v>0</v>
      </c>
      <c r="J308" s="4607">
        <v>0</v>
      </c>
      <c r="K308" s="4607">
        <v>7</v>
      </c>
      <c r="L308" s="4607">
        <v>0</v>
      </c>
      <c r="M308" s="4607">
        <v>0</v>
      </c>
      <c r="N308" s="4583"/>
      <c r="O308" s="4583"/>
      <c r="P308" s="4583">
        <v>7</v>
      </c>
      <c r="Q308" s="4583"/>
      <c r="R308" s="4583"/>
      <c r="U308" s="1793" t="s">
        <v>549</v>
      </c>
      <c r="V308" s="1793" t="s">
        <v>1230</v>
      </c>
      <c r="W308" s="4804"/>
      <c r="X308" s="4804"/>
      <c r="Y308" s="4804"/>
      <c r="Z308" s="4804"/>
      <c r="AA308" s="4804">
        <v>1</v>
      </c>
      <c r="AB308" s="4804">
        <v>0</v>
      </c>
      <c r="AC308" s="4804">
        <v>0</v>
      </c>
      <c r="AD308" s="4804"/>
      <c r="AE308" s="4702"/>
      <c r="AF308" s="4702">
        <v>1</v>
      </c>
      <c r="AG308" s="1793"/>
      <c r="AI308" s="41"/>
      <c r="AJ308" s="41"/>
      <c r="AK308" s="41"/>
      <c r="AL308" s="41" t="s">
        <v>1239</v>
      </c>
      <c r="AM308" s="2001"/>
      <c r="AN308" s="2001"/>
      <c r="AO308" s="2001"/>
      <c r="AP308" s="2001"/>
      <c r="AQ308" s="2001"/>
      <c r="AR308" s="2001">
        <v>0</v>
      </c>
      <c r="AS308" s="2001"/>
      <c r="AT308" s="2001">
        <v>1</v>
      </c>
      <c r="AU308" s="105"/>
      <c r="AV308" s="105"/>
      <c r="AW308" s="105">
        <v>1</v>
      </c>
      <c r="AX308" s="41"/>
      <c r="AZ308" s="42"/>
      <c r="BA308" s="42"/>
      <c r="BB308" s="42"/>
      <c r="BC308" s="484" t="s">
        <v>15</v>
      </c>
      <c r="BD308" s="1994"/>
      <c r="BE308" s="1994"/>
      <c r="BF308" s="1994"/>
      <c r="BG308" s="1994"/>
      <c r="BH308" s="1994"/>
      <c r="BI308" s="1994">
        <v>1</v>
      </c>
      <c r="BJ308" s="1994"/>
      <c r="BK308" s="1994">
        <v>17</v>
      </c>
      <c r="BL308" s="1994"/>
      <c r="BM308" s="454"/>
      <c r="BN308" s="454"/>
      <c r="BO308" s="454">
        <v>18</v>
      </c>
      <c r="BP308" s="2485">
        <f>+(BO306+BO307)/BO308</f>
        <v>0.3888888888888889</v>
      </c>
      <c r="BR308" s="105"/>
      <c r="BS308" s="105"/>
      <c r="BT308" s="41"/>
      <c r="BU308" s="41" t="s">
        <v>1344</v>
      </c>
      <c r="BV308" s="1659"/>
      <c r="BW308" s="1659"/>
      <c r="BX308" s="1659"/>
      <c r="BY308" s="1659"/>
      <c r="BZ308" s="1659"/>
      <c r="CA308" s="1659"/>
      <c r="CB308" s="1659">
        <v>3</v>
      </c>
      <c r="CC308" s="1659">
        <v>1</v>
      </c>
      <c r="CD308" s="1659"/>
      <c r="CE308" s="105"/>
      <c r="CF308" s="105"/>
      <c r="CG308" s="105">
        <v>4</v>
      </c>
      <c r="CH308" s="105"/>
      <c r="CJ308" s="1359"/>
      <c r="CK308" s="1359"/>
      <c r="CL308" s="1360"/>
      <c r="CM308" s="1361" t="s">
        <v>1239</v>
      </c>
      <c r="CN308" s="1363">
        <v>0</v>
      </c>
      <c r="CO308" s="1362"/>
      <c r="CP308" s="1362"/>
      <c r="CQ308" s="1362"/>
      <c r="CR308" s="1363">
        <v>0</v>
      </c>
      <c r="CS308" s="1363">
        <v>0</v>
      </c>
      <c r="CT308" s="1363">
        <v>0</v>
      </c>
      <c r="CU308" s="1363">
        <v>6</v>
      </c>
      <c r="CV308" s="686"/>
      <c r="CW308" s="686"/>
      <c r="CX308" s="687">
        <v>6</v>
      </c>
      <c r="CY308" s="41"/>
      <c r="DA308" s="602"/>
      <c r="DB308" s="602" t="s">
        <v>64</v>
      </c>
      <c r="DC308" s="603" t="s">
        <v>671</v>
      </c>
      <c r="DD308" s="604" t="s">
        <v>1231</v>
      </c>
      <c r="DE308" s="605"/>
      <c r="DF308" s="606">
        <v>0</v>
      </c>
      <c r="DG308" s="605"/>
      <c r="DH308" s="606">
        <v>2</v>
      </c>
      <c r="DI308" s="605"/>
      <c r="DJ308" s="606">
        <v>3</v>
      </c>
      <c r="DK308" s="606">
        <v>2</v>
      </c>
      <c r="DL308" s="605"/>
      <c r="DM308" s="602"/>
      <c r="DN308" s="602"/>
      <c r="DO308" s="607">
        <v>7</v>
      </c>
      <c r="DP308" s="105"/>
    </row>
    <row r="309" spans="3:120">
      <c r="C309" s="32"/>
      <c r="D309" s="32" t="s">
        <v>1240</v>
      </c>
      <c r="E309" s="4607">
        <v>0</v>
      </c>
      <c r="F309" s="4607">
        <v>0</v>
      </c>
      <c r="G309" s="4607">
        <v>0</v>
      </c>
      <c r="H309" s="4607"/>
      <c r="I309" s="4607">
        <v>0</v>
      </c>
      <c r="J309" s="4607">
        <v>0</v>
      </c>
      <c r="K309" s="4607">
        <v>12</v>
      </c>
      <c r="L309" s="4607">
        <v>0</v>
      </c>
      <c r="M309" s="4607">
        <v>0</v>
      </c>
      <c r="N309" s="4583"/>
      <c r="O309" s="4583"/>
      <c r="P309" s="4583">
        <v>12</v>
      </c>
      <c r="Q309" s="4583"/>
      <c r="R309" s="4583"/>
      <c r="U309" s="1793"/>
      <c r="V309" s="1793" t="s">
        <v>1231</v>
      </c>
      <c r="W309" s="4804"/>
      <c r="X309" s="4804"/>
      <c r="Y309" s="4804"/>
      <c r="Z309" s="4804"/>
      <c r="AA309" s="4804">
        <v>0</v>
      </c>
      <c r="AB309" s="4804">
        <v>5</v>
      </c>
      <c r="AC309" s="4804">
        <v>0</v>
      </c>
      <c r="AD309" s="4804"/>
      <c r="AE309" s="4702"/>
      <c r="AF309" s="4702">
        <v>5</v>
      </c>
      <c r="AG309" s="1793"/>
      <c r="AI309" s="41"/>
      <c r="AJ309" s="41"/>
      <c r="AK309" s="41"/>
      <c r="AL309" s="461" t="s">
        <v>15</v>
      </c>
      <c r="AM309" s="2002"/>
      <c r="AN309" s="2002"/>
      <c r="AO309" s="2002"/>
      <c r="AP309" s="2002"/>
      <c r="AQ309" s="2002"/>
      <c r="AR309" s="2002">
        <v>7</v>
      </c>
      <c r="AS309" s="2002"/>
      <c r="AT309" s="2002">
        <v>1</v>
      </c>
      <c r="AU309" s="2480"/>
      <c r="AV309" s="2480"/>
      <c r="AW309" s="2480">
        <v>8</v>
      </c>
      <c r="AX309" s="635">
        <v>0</v>
      </c>
      <c r="AY309" s="1977"/>
      <c r="AZ309" s="42"/>
      <c r="BA309" s="42"/>
      <c r="BB309" s="42" t="s">
        <v>548</v>
      </c>
      <c r="BC309" s="42" t="s">
        <v>1231</v>
      </c>
      <c r="BD309" s="1993"/>
      <c r="BE309" s="1993"/>
      <c r="BF309" s="1993"/>
      <c r="BG309" s="1993"/>
      <c r="BH309" s="1993"/>
      <c r="BI309" s="1993">
        <v>1</v>
      </c>
      <c r="BJ309" s="1993"/>
      <c r="BK309" s="1993">
        <v>10</v>
      </c>
      <c r="BL309" s="1993"/>
      <c r="BM309" s="70"/>
      <c r="BN309" s="70"/>
      <c r="BO309" s="70">
        <v>11</v>
      </c>
      <c r="BR309" s="105"/>
      <c r="BS309" s="105"/>
      <c r="BT309" s="41"/>
      <c r="BU309" s="461" t="s">
        <v>15</v>
      </c>
      <c r="BV309" s="1660"/>
      <c r="BW309" s="1660"/>
      <c r="BX309" s="1660"/>
      <c r="BY309" s="1660"/>
      <c r="BZ309" s="1660"/>
      <c r="CA309" s="1660"/>
      <c r="CB309" s="1660">
        <v>3</v>
      </c>
      <c r="CC309" s="1660">
        <v>17</v>
      </c>
      <c r="CD309" s="1660"/>
      <c r="CE309" s="96"/>
      <c r="CF309" s="96"/>
      <c r="CG309" s="96">
        <v>20</v>
      </c>
      <c r="CH309" s="635">
        <f>+(CG306+CG307+CG308)/CG309</f>
        <v>0.9</v>
      </c>
      <c r="CJ309" s="1359"/>
      <c r="CK309" s="1359"/>
      <c r="CL309" s="1360"/>
      <c r="CM309" s="1361" t="s">
        <v>1240</v>
      </c>
      <c r="CN309" s="1363">
        <v>0</v>
      </c>
      <c r="CO309" s="1362"/>
      <c r="CP309" s="1362"/>
      <c r="CQ309" s="1362"/>
      <c r="CR309" s="1363">
        <v>0</v>
      </c>
      <c r="CS309" s="1363">
        <v>0</v>
      </c>
      <c r="CT309" s="1363">
        <v>1</v>
      </c>
      <c r="CU309" s="1363">
        <v>0</v>
      </c>
      <c r="CV309" s="686"/>
      <c r="CW309" s="686"/>
      <c r="CX309" s="687">
        <v>1</v>
      </c>
      <c r="CY309" s="41"/>
      <c r="DA309" s="602"/>
      <c r="DB309" s="602"/>
      <c r="DC309" s="603"/>
      <c r="DD309" s="604" t="s">
        <v>1233</v>
      </c>
      <c r="DE309" s="605"/>
      <c r="DF309" s="606">
        <v>1</v>
      </c>
      <c r="DG309" s="605"/>
      <c r="DH309" s="606">
        <v>0</v>
      </c>
      <c r="DI309" s="605"/>
      <c r="DJ309" s="606">
        <v>0</v>
      </c>
      <c r="DK309" s="606">
        <v>0</v>
      </c>
      <c r="DL309" s="605"/>
      <c r="DM309" s="602"/>
      <c r="DN309" s="602"/>
      <c r="DO309" s="607">
        <v>1</v>
      </c>
      <c r="DP309" s="105"/>
    </row>
    <row r="310" spans="3:120">
      <c r="C310" s="32"/>
      <c r="D310" s="32" t="s">
        <v>2963</v>
      </c>
      <c r="E310" s="4607">
        <v>3</v>
      </c>
      <c r="F310" s="4607">
        <v>0</v>
      </c>
      <c r="G310" s="4607">
        <v>0</v>
      </c>
      <c r="H310" s="4607"/>
      <c r="I310" s="4607">
        <v>0</v>
      </c>
      <c r="J310" s="4607">
        <v>0</v>
      </c>
      <c r="K310" s="4607">
        <v>0</v>
      </c>
      <c r="L310" s="4607">
        <v>0</v>
      </c>
      <c r="M310" s="4607">
        <v>0</v>
      </c>
      <c r="N310" s="4583"/>
      <c r="O310" s="4583"/>
      <c r="P310" s="4583">
        <v>3</v>
      </c>
      <c r="Q310" s="4583"/>
      <c r="R310" s="4583"/>
      <c r="U310" s="1793"/>
      <c r="V310" s="1793" t="s">
        <v>1239</v>
      </c>
      <c r="W310" s="4804"/>
      <c r="X310" s="4804"/>
      <c r="Y310" s="4804"/>
      <c r="Z310" s="4804"/>
      <c r="AA310" s="4804">
        <v>0</v>
      </c>
      <c r="AB310" s="4804">
        <v>0</v>
      </c>
      <c r="AC310" s="4804">
        <v>4</v>
      </c>
      <c r="AD310" s="4804"/>
      <c r="AE310" s="4702"/>
      <c r="AF310" s="4702">
        <v>4</v>
      </c>
      <c r="AG310" s="1793"/>
      <c r="AI310" s="41"/>
      <c r="AJ310" s="41"/>
      <c r="AK310" s="461" t="s">
        <v>545</v>
      </c>
      <c r="AL310" s="461" t="s">
        <v>1231</v>
      </c>
      <c r="AM310" s="2002"/>
      <c r="AN310" s="2002"/>
      <c r="AO310" s="2002"/>
      <c r="AP310" s="2002"/>
      <c r="AQ310" s="2002"/>
      <c r="AR310" s="2002">
        <v>7</v>
      </c>
      <c r="AS310" s="2002"/>
      <c r="AT310" s="2002">
        <v>0</v>
      </c>
      <c r="AU310" s="2480"/>
      <c r="AV310" s="2480"/>
      <c r="AW310" s="2480">
        <v>7</v>
      </c>
      <c r="AX310" s="41"/>
      <c r="AZ310" s="42"/>
      <c r="BA310" s="42"/>
      <c r="BB310" s="42"/>
      <c r="BC310" s="42" t="s">
        <v>1235</v>
      </c>
      <c r="BD310" s="1993"/>
      <c r="BE310" s="1993"/>
      <c r="BF310" s="1993"/>
      <c r="BG310" s="1993"/>
      <c r="BH310" s="1993"/>
      <c r="BI310" s="1993">
        <v>0</v>
      </c>
      <c r="BJ310" s="1993"/>
      <c r="BK310" s="1993">
        <v>1</v>
      </c>
      <c r="BL310" s="1993"/>
      <c r="BM310" s="70"/>
      <c r="BN310" s="70"/>
      <c r="BO310" s="70">
        <v>1</v>
      </c>
      <c r="BR310" s="105"/>
      <c r="BS310" s="105"/>
      <c r="BT310" s="41" t="s">
        <v>15</v>
      </c>
      <c r="BU310" s="41" t="s">
        <v>1231</v>
      </c>
      <c r="BV310" s="1659"/>
      <c r="BW310" s="1659"/>
      <c r="BX310" s="1659"/>
      <c r="BY310" s="1659"/>
      <c r="BZ310" s="1659"/>
      <c r="CA310" s="1659"/>
      <c r="CB310" s="1659">
        <v>0</v>
      </c>
      <c r="CC310" s="1659">
        <v>2</v>
      </c>
      <c r="CD310" s="1659"/>
      <c r="CE310" s="105"/>
      <c r="CF310" s="105"/>
      <c r="CG310" s="105">
        <v>2</v>
      </c>
      <c r="CH310" s="105"/>
      <c r="CJ310" s="1359"/>
      <c r="CK310" s="1359"/>
      <c r="CL310" s="1360"/>
      <c r="CM310" s="483" t="s">
        <v>15</v>
      </c>
      <c r="CN310" s="1365">
        <v>1</v>
      </c>
      <c r="CO310" s="1364"/>
      <c r="CP310" s="1364"/>
      <c r="CQ310" s="1364"/>
      <c r="CR310" s="1365">
        <v>1</v>
      </c>
      <c r="CS310" s="1365">
        <v>4</v>
      </c>
      <c r="CT310" s="1365">
        <v>3</v>
      </c>
      <c r="CU310" s="1365">
        <v>6</v>
      </c>
      <c r="CV310" s="695"/>
      <c r="CW310" s="695"/>
      <c r="CX310" s="696">
        <v>15</v>
      </c>
      <c r="CY310" s="1325">
        <f>+(CX307+CX309)/CX310</f>
        <v>0.2</v>
      </c>
      <c r="DA310" s="602"/>
      <c r="DB310" s="602"/>
      <c r="DC310" s="603"/>
      <c r="DD310" s="604" t="s">
        <v>1240</v>
      </c>
      <c r="DE310" s="605"/>
      <c r="DF310" s="606">
        <v>0</v>
      </c>
      <c r="DG310" s="605"/>
      <c r="DH310" s="606">
        <v>0</v>
      </c>
      <c r="DI310" s="605"/>
      <c r="DJ310" s="606">
        <v>0</v>
      </c>
      <c r="DK310" s="606">
        <v>1</v>
      </c>
      <c r="DL310" s="605"/>
      <c r="DM310" s="602"/>
      <c r="DN310" s="602"/>
      <c r="DO310" s="607">
        <v>1</v>
      </c>
      <c r="DP310" s="105"/>
    </row>
    <row r="311" spans="3:120">
      <c r="C311" s="32"/>
      <c r="D311" s="32" t="s">
        <v>1344</v>
      </c>
      <c r="E311" s="4607">
        <v>0</v>
      </c>
      <c r="F311" s="4607">
        <v>0</v>
      </c>
      <c r="G311" s="4607">
        <v>0</v>
      </c>
      <c r="H311" s="4607"/>
      <c r="I311" s="4607">
        <v>0</v>
      </c>
      <c r="J311" s="4607">
        <v>0</v>
      </c>
      <c r="K311" s="4607">
        <v>3</v>
      </c>
      <c r="L311" s="4607">
        <v>0</v>
      </c>
      <c r="M311" s="4607">
        <v>0</v>
      </c>
      <c r="N311" s="4583"/>
      <c r="O311" s="4583"/>
      <c r="P311" s="4583">
        <v>3</v>
      </c>
      <c r="Q311" s="4583"/>
      <c r="R311" s="4583"/>
      <c r="U311" s="1793"/>
      <c r="V311" s="1793" t="s">
        <v>549</v>
      </c>
      <c r="W311" s="4804"/>
      <c r="X311" s="4804"/>
      <c r="Y311" s="4804"/>
      <c r="Z311" s="4804"/>
      <c r="AA311" s="4804">
        <v>1</v>
      </c>
      <c r="AB311" s="4804">
        <v>5</v>
      </c>
      <c r="AC311" s="4804">
        <v>4</v>
      </c>
      <c r="AD311" s="4804"/>
      <c r="AE311" s="4702"/>
      <c r="AF311" s="4702">
        <v>10</v>
      </c>
      <c r="AG311" s="4703">
        <v>0</v>
      </c>
      <c r="AI311" s="41"/>
      <c r="AJ311" s="41"/>
      <c r="AK311" s="461"/>
      <c r="AL311" s="461" t="s">
        <v>1239</v>
      </c>
      <c r="AM311" s="2002"/>
      <c r="AN311" s="2002"/>
      <c r="AO311" s="2002"/>
      <c r="AP311" s="2002"/>
      <c r="AQ311" s="2002"/>
      <c r="AR311" s="2002">
        <v>0</v>
      </c>
      <c r="AS311" s="2002"/>
      <c r="AT311" s="2002">
        <v>1</v>
      </c>
      <c r="AU311" s="2480"/>
      <c r="AV311" s="2480"/>
      <c r="AW311" s="2480">
        <v>1</v>
      </c>
      <c r="AX311" s="41"/>
      <c r="AZ311" s="42"/>
      <c r="BA311" s="42"/>
      <c r="BB311" s="42"/>
      <c r="BC311" s="42" t="s">
        <v>1240</v>
      </c>
      <c r="BD311" s="1993"/>
      <c r="BE311" s="1993"/>
      <c r="BF311" s="1993"/>
      <c r="BG311" s="1993"/>
      <c r="BH311" s="1993"/>
      <c r="BI311" s="1993">
        <v>0</v>
      </c>
      <c r="BJ311" s="1993"/>
      <c r="BK311" s="1993">
        <v>6</v>
      </c>
      <c r="BL311" s="1993"/>
      <c r="BM311" s="70"/>
      <c r="BN311" s="70"/>
      <c r="BO311" s="70">
        <v>6</v>
      </c>
      <c r="BR311" s="105"/>
      <c r="BS311" s="105"/>
      <c r="BT311" s="41"/>
      <c r="BU311" s="41" t="s">
        <v>1235</v>
      </c>
      <c r="BV311" s="1659"/>
      <c r="BW311" s="1659"/>
      <c r="BX311" s="1659"/>
      <c r="BY311" s="1659"/>
      <c r="BZ311" s="1659"/>
      <c r="CA311" s="1659"/>
      <c r="CB311" s="1659">
        <v>0</v>
      </c>
      <c r="CC311" s="1659">
        <v>7</v>
      </c>
      <c r="CD311" s="1659"/>
      <c r="CE311" s="105"/>
      <c r="CF311" s="105"/>
      <c r="CG311" s="105">
        <v>7</v>
      </c>
      <c r="CH311" s="105"/>
      <c r="CJ311" s="1359"/>
      <c r="CK311" s="1359"/>
      <c r="CL311" s="1360" t="s">
        <v>549</v>
      </c>
      <c r="CM311" s="1361" t="s">
        <v>1231</v>
      </c>
      <c r="CN311" s="1363">
        <v>1</v>
      </c>
      <c r="CO311" s="1362"/>
      <c r="CP311" s="1362"/>
      <c r="CQ311" s="1362"/>
      <c r="CR311" s="1363">
        <v>1</v>
      </c>
      <c r="CS311" s="1363">
        <v>2</v>
      </c>
      <c r="CT311" s="1363">
        <v>2</v>
      </c>
      <c r="CU311" s="1363">
        <v>0</v>
      </c>
      <c r="CV311" s="686"/>
      <c r="CW311" s="686"/>
      <c r="CX311" s="687">
        <v>6</v>
      </c>
      <c r="CY311" s="41"/>
      <c r="DA311" s="602"/>
      <c r="DB311" s="602"/>
      <c r="DC311" s="603"/>
      <c r="DD311" s="630" t="s">
        <v>15</v>
      </c>
      <c r="DE311" s="631"/>
      <c r="DF311" s="632">
        <v>1</v>
      </c>
      <c r="DG311" s="631"/>
      <c r="DH311" s="632">
        <v>2</v>
      </c>
      <c r="DI311" s="631"/>
      <c r="DJ311" s="632">
        <v>3</v>
      </c>
      <c r="DK311" s="632">
        <v>3</v>
      </c>
      <c r="DL311" s="631"/>
      <c r="DM311" s="633"/>
      <c r="DN311" s="633"/>
      <c r="DO311" s="634">
        <v>9</v>
      </c>
      <c r="DP311" s="635">
        <f>+DO310/DO311</f>
        <v>0.1111111111111111</v>
      </c>
    </row>
    <row r="312" spans="3:120">
      <c r="C312" s="32"/>
      <c r="D312" s="4800" t="s">
        <v>15</v>
      </c>
      <c r="E312" s="4607">
        <v>3</v>
      </c>
      <c r="F312" s="4607">
        <v>1</v>
      </c>
      <c r="G312" s="4607">
        <v>1</v>
      </c>
      <c r="H312" s="4607"/>
      <c r="I312" s="4607">
        <v>2</v>
      </c>
      <c r="J312" s="4607">
        <v>3</v>
      </c>
      <c r="K312" s="4607">
        <v>49</v>
      </c>
      <c r="L312" s="4607">
        <v>5</v>
      </c>
      <c r="M312" s="4607">
        <v>2</v>
      </c>
      <c r="N312" s="4583"/>
      <c r="O312" s="4583"/>
      <c r="P312" s="4583">
        <v>66</v>
      </c>
      <c r="Q312" s="1977">
        <f>+(P308+P309+P311)/(P312-P310)</f>
        <v>0.34920634920634919</v>
      </c>
      <c r="R312" s="1977"/>
      <c r="U312" s="1793" t="s">
        <v>260</v>
      </c>
      <c r="V312" s="1793" t="s">
        <v>1230</v>
      </c>
      <c r="W312" s="4804"/>
      <c r="X312" s="4804"/>
      <c r="Y312" s="4804">
        <v>0</v>
      </c>
      <c r="Z312" s="4804">
        <v>0</v>
      </c>
      <c r="AA312" s="4804">
        <v>1</v>
      </c>
      <c r="AB312" s="4804">
        <v>0</v>
      </c>
      <c r="AC312" s="4804">
        <v>0</v>
      </c>
      <c r="AD312" s="4804"/>
      <c r="AE312" s="4702"/>
      <c r="AF312" s="4702">
        <v>1</v>
      </c>
      <c r="AG312" s="1793"/>
      <c r="AI312" s="41"/>
      <c r="AJ312" s="41"/>
      <c r="AK312" s="461"/>
      <c r="AL312" s="461" t="s">
        <v>545</v>
      </c>
      <c r="AM312" s="2002"/>
      <c r="AN312" s="2002"/>
      <c r="AO312" s="2002"/>
      <c r="AP312" s="2002"/>
      <c r="AQ312" s="2002"/>
      <c r="AR312" s="2002">
        <v>7</v>
      </c>
      <c r="AS312" s="2002"/>
      <c r="AT312" s="2002">
        <v>1</v>
      </c>
      <c r="AU312" s="2480"/>
      <c r="AV312" s="2480"/>
      <c r="AW312" s="2480">
        <v>8</v>
      </c>
      <c r="AX312" s="635">
        <v>0</v>
      </c>
      <c r="AY312" s="1977"/>
      <c r="AZ312" s="42"/>
      <c r="BA312" s="42"/>
      <c r="BB312" s="42"/>
      <c r="BC312" s="484" t="s">
        <v>548</v>
      </c>
      <c r="BD312" s="1994"/>
      <c r="BE312" s="1994"/>
      <c r="BF312" s="1994"/>
      <c r="BG312" s="1994"/>
      <c r="BH312" s="1994"/>
      <c r="BI312" s="1994">
        <v>1</v>
      </c>
      <c r="BJ312" s="1994"/>
      <c r="BK312" s="1994">
        <v>17</v>
      </c>
      <c r="BL312" s="1994"/>
      <c r="BM312" s="454"/>
      <c r="BN312" s="454"/>
      <c r="BO312" s="454">
        <v>18</v>
      </c>
      <c r="BP312" s="2485">
        <f>+(BO310+BO311)/BO312</f>
        <v>0.3888888888888889</v>
      </c>
      <c r="BR312" s="105"/>
      <c r="BS312" s="105"/>
      <c r="BT312" s="41"/>
      <c r="BU312" s="41" t="s">
        <v>1240</v>
      </c>
      <c r="BV312" s="1659"/>
      <c r="BW312" s="1659"/>
      <c r="BX312" s="1659"/>
      <c r="BY312" s="1659"/>
      <c r="BZ312" s="1659"/>
      <c r="CA312" s="1659"/>
      <c r="CB312" s="1659">
        <v>0</v>
      </c>
      <c r="CC312" s="1659">
        <v>7</v>
      </c>
      <c r="CD312" s="1659"/>
      <c r="CE312" s="105"/>
      <c r="CF312" s="105"/>
      <c r="CG312" s="105">
        <v>7</v>
      </c>
      <c r="CH312" s="105"/>
      <c r="CJ312" s="1359"/>
      <c r="CK312" s="1359"/>
      <c r="CL312" s="1360"/>
      <c r="CM312" s="1361" t="s">
        <v>1235</v>
      </c>
      <c r="CN312" s="1363">
        <v>0</v>
      </c>
      <c r="CO312" s="1362"/>
      <c r="CP312" s="1362"/>
      <c r="CQ312" s="1362"/>
      <c r="CR312" s="1363">
        <v>0</v>
      </c>
      <c r="CS312" s="1363">
        <v>2</v>
      </c>
      <c r="CT312" s="1363">
        <v>0</v>
      </c>
      <c r="CU312" s="1363">
        <v>0</v>
      </c>
      <c r="CV312" s="686"/>
      <c r="CW312" s="686"/>
      <c r="CX312" s="687">
        <v>2</v>
      </c>
      <c r="CY312" s="41"/>
      <c r="DA312" s="602"/>
      <c r="DB312" s="602"/>
      <c r="DC312" s="603" t="s">
        <v>549</v>
      </c>
      <c r="DD312" s="604" t="s">
        <v>1231</v>
      </c>
      <c r="DE312" s="605"/>
      <c r="DF312" s="606">
        <v>0</v>
      </c>
      <c r="DG312" s="605"/>
      <c r="DH312" s="606">
        <v>2</v>
      </c>
      <c r="DI312" s="605"/>
      <c r="DJ312" s="606">
        <v>3</v>
      </c>
      <c r="DK312" s="606">
        <v>2</v>
      </c>
      <c r="DL312" s="605"/>
      <c r="DM312" s="602"/>
      <c r="DN312" s="602"/>
      <c r="DO312" s="607">
        <v>7</v>
      </c>
      <c r="DP312" s="105"/>
    </row>
    <row r="313" spans="3:120">
      <c r="C313" s="32" t="s">
        <v>442</v>
      </c>
      <c r="D313" s="32" t="s">
        <v>1230</v>
      </c>
      <c r="E313" s="4607">
        <v>0</v>
      </c>
      <c r="F313" s="4607">
        <v>0</v>
      </c>
      <c r="G313" s="4607">
        <v>0</v>
      </c>
      <c r="H313" s="4607">
        <v>0</v>
      </c>
      <c r="I313" s="4607">
        <v>0</v>
      </c>
      <c r="J313" s="4607">
        <v>2</v>
      </c>
      <c r="K313" s="4607">
        <v>1</v>
      </c>
      <c r="L313" s="4607">
        <v>4</v>
      </c>
      <c r="M313" s="4607">
        <v>1</v>
      </c>
      <c r="N313" s="4583">
        <v>0</v>
      </c>
      <c r="O313" s="4583">
        <v>0</v>
      </c>
      <c r="P313" s="4583">
        <v>8</v>
      </c>
      <c r="Q313" s="4583"/>
      <c r="R313" s="4583"/>
      <c r="U313" s="1793"/>
      <c r="V313" s="1793" t="s">
        <v>1231</v>
      </c>
      <c r="W313" s="4804"/>
      <c r="X313" s="4804"/>
      <c r="Y313" s="4804">
        <v>0</v>
      </c>
      <c r="Z313" s="4804">
        <v>1</v>
      </c>
      <c r="AA313" s="4804">
        <v>0</v>
      </c>
      <c r="AB313" s="4804">
        <v>30</v>
      </c>
      <c r="AC313" s="4804">
        <v>0</v>
      </c>
      <c r="AD313" s="4804"/>
      <c r="AE313" s="4702"/>
      <c r="AF313" s="4702">
        <v>31</v>
      </c>
      <c r="AG313" s="1793"/>
      <c r="AI313" s="41"/>
      <c r="AJ313" s="41" t="s">
        <v>61</v>
      </c>
      <c r="AK313" s="41" t="s">
        <v>829</v>
      </c>
      <c r="AL313" s="41" t="s">
        <v>1239</v>
      </c>
      <c r="AM313" s="2001"/>
      <c r="AN313" s="2001"/>
      <c r="AO313" s="2001"/>
      <c r="AP313" s="2001"/>
      <c r="AQ313" s="2001"/>
      <c r="AR313" s="2001"/>
      <c r="AS313" s="2001">
        <v>21</v>
      </c>
      <c r="AT313" s="2001">
        <v>1</v>
      </c>
      <c r="AU313" s="105"/>
      <c r="AV313" s="105"/>
      <c r="AW313" s="105">
        <v>22</v>
      </c>
      <c r="AX313" s="41"/>
      <c r="AZ313" s="42"/>
      <c r="BA313" s="42" t="s">
        <v>64</v>
      </c>
      <c r="BB313" s="42" t="s">
        <v>671</v>
      </c>
      <c r="BC313" s="42" t="s">
        <v>1231</v>
      </c>
      <c r="BD313" s="1993"/>
      <c r="BE313" s="1993"/>
      <c r="BF313" s="1993"/>
      <c r="BG313" s="1993">
        <v>1</v>
      </c>
      <c r="BH313" s="1993"/>
      <c r="BI313" s="1993"/>
      <c r="BJ313" s="1993">
        <v>2</v>
      </c>
      <c r="BK313" s="1993">
        <v>2</v>
      </c>
      <c r="BL313" s="1993">
        <v>0</v>
      </c>
      <c r="BM313" s="70"/>
      <c r="BN313" s="70"/>
      <c r="BO313" s="70">
        <v>5</v>
      </c>
      <c r="BR313" s="105"/>
      <c r="BS313" s="105"/>
      <c r="BT313" s="41"/>
      <c r="BU313" s="41" t="s">
        <v>1344</v>
      </c>
      <c r="BV313" s="1659"/>
      <c r="BW313" s="1659"/>
      <c r="BX313" s="1659"/>
      <c r="BY313" s="1659"/>
      <c r="BZ313" s="1659"/>
      <c r="CA313" s="1659"/>
      <c r="CB313" s="1659">
        <v>3</v>
      </c>
      <c r="CC313" s="1659">
        <v>1</v>
      </c>
      <c r="CD313" s="1659"/>
      <c r="CE313" s="105"/>
      <c r="CF313" s="105"/>
      <c r="CG313" s="105">
        <v>4</v>
      </c>
      <c r="CH313" s="105"/>
      <c r="CJ313" s="1359"/>
      <c r="CK313" s="1359"/>
      <c r="CL313" s="1360"/>
      <c r="CM313" s="1361" t="s">
        <v>1239</v>
      </c>
      <c r="CN313" s="1363">
        <v>0</v>
      </c>
      <c r="CO313" s="1362"/>
      <c r="CP313" s="1362"/>
      <c r="CQ313" s="1362"/>
      <c r="CR313" s="1363">
        <v>0</v>
      </c>
      <c r="CS313" s="1363">
        <v>0</v>
      </c>
      <c r="CT313" s="1363">
        <v>0</v>
      </c>
      <c r="CU313" s="1363">
        <v>6</v>
      </c>
      <c r="CV313" s="686"/>
      <c r="CW313" s="686"/>
      <c r="CX313" s="687">
        <v>6</v>
      </c>
      <c r="CY313" s="41"/>
      <c r="DA313" s="602"/>
      <c r="DB313" s="602"/>
      <c r="DC313" s="603"/>
      <c r="DD313" s="604" t="s">
        <v>1233</v>
      </c>
      <c r="DE313" s="605"/>
      <c r="DF313" s="606">
        <v>1</v>
      </c>
      <c r="DG313" s="605"/>
      <c r="DH313" s="606">
        <v>0</v>
      </c>
      <c r="DI313" s="605"/>
      <c r="DJ313" s="606">
        <v>0</v>
      </c>
      <c r="DK313" s="606">
        <v>0</v>
      </c>
      <c r="DL313" s="605"/>
      <c r="DM313" s="602"/>
      <c r="DN313" s="602"/>
      <c r="DO313" s="607">
        <v>1</v>
      </c>
      <c r="DP313" s="105"/>
    </row>
    <row r="314" spans="3:120">
      <c r="C314" s="32"/>
      <c r="D314" s="32" t="s">
        <v>1231</v>
      </c>
      <c r="E314" s="4607">
        <v>0</v>
      </c>
      <c r="F314" s="4607">
        <v>4</v>
      </c>
      <c r="G314" s="4607">
        <v>3</v>
      </c>
      <c r="H314" s="4607">
        <v>1</v>
      </c>
      <c r="I314" s="4607">
        <v>3</v>
      </c>
      <c r="J314" s="4607">
        <v>2</v>
      </c>
      <c r="K314" s="4607">
        <v>70</v>
      </c>
      <c r="L314" s="4607">
        <v>4</v>
      </c>
      <c r="M314" s="4607">
        <v>2</v>
      </c>
      <c r="N314" s="4583">
        <v>0</v>
      </c>
      <c r="O314" s="4583">
        <v>0</v>
      </c>
      <c r="P314" s="4583">
        <v>89</v>
      </c>
      <c r="Q314" s="4583"/>
      <c r="R314" s="4583"/>
      <c r="U314" s="1793"/>
      <c r="V314" s="1793" t="s">
        <v>1233</v>
      </c>
      <c r="W314" s="4804"/>
      <c r="X314" s="4804"/>
      <c r="Y314" s="4804">
        <v>1</v>
      </c>
      <c r="Z314" s="4804">
        <v>0</v>
      </c>
      <c r="AA314" s="4804">
        <v>0</v>
      </c>
      <c r="AB314" s="4804">
        <v>0</v>
      </c>
      <c r="AC314" s="4804">
        <v>0</v>
      </c>
      <c r="AD314" s="4804"/>
      <c r="AE314" s="4702"/>
      <c r="AF314" s="4702">
        <v>1</v>
      </c>
      <c r="AG314" s="1793"/>
      <c r="AI314" s="41"/>
      <c r="AJ314" s="41"/>
      <c r="AK314" s="41"/>
      <c r="AL314" s="461" t="s">
        <v>15</v>
      </c>
      <c r="AM314" s="2002"/>
      <c r="AN314" s="2002"/>
      <c r="AO314" s="2002"/>
      <c r="AP314" s="2002"/>
      <c r="AQ314" s="2002"/>
      <c r="AR314" s="2002"/>
      <c r="AS314" s="2002">
        <v>21</v>
      </c>
      <c r="AT314" s="2002">
        <v>1</v>
      </c>
      <c r="AU314" s="2480"/>
      <c r="AV314" s="2480"/>
      <c r="AW314" s="2480">
        <v>22</v>
      </c>
      <c r="AX314" s="635">
        <v>0</v>
      </c>
      <c r="AY314" s="1977"/>
      <c r="AZ314" s="42"/>
      <c r="BA314" s="42"/>
      <c r="BB314" s="42"/>
      <c r="BC314" s="42" t="s">
        <v>1235</v>
      </c>
      <c r="BD314" s="1993"/>
      <c r="BE314" s="1993"/>
      <c r="BF314" s="1993"/>
      <c r="BG314" s="1993">
        <v>0</v>
      </c>
      <c r="BH314" s="1993"/>
      <c r="BI314" s="1993"/>
      <c r="BJ314" s="1993">
        <v>1</v>
      </c>
      <c r="BK314" s="1993">
        <v>1</v>
      </c>
      <c r="BL314" s="1993">
        <v>0</v>
      </c>
      <c r="BM314" s="70"/>
      <c r="BN314" s="70"/>
      <c r="BO314" s="70">
        <v>2</v>
      </c>
      <c r="BR314" s="105"/>
      <c r="BS314" s="105"/>
      <c r="BT314" s="41"/>
      <c r="BU314" s="461" t="s">
        <v>15</v>
      </c>
      <c r="BV314" s="1660"/>
      <c r="BW314" s="1660"/>
      <c r="BX314" s="1660"/>
      <c r="BY314" s="1660"/>
      <c r="BZ314" s="1660"/>
      <c r="CA314" s="1660"/>
      <c r="CB314" s="1660">
        <v>3</v>
      </c>
      <c r="CC314" s="1660">
        <v>17</v>
      </c>
      <c r="CD314" s="1660"/>
      <c r="CE314" s="96"/>
      <c r="CF314" s="96"/>
      <c r="CG314" s="96">
        <v>20</v>
      </c>
      <c r="CH314" s="635">
        <f>+(CG311+CG312+CG313)/CG314</f>
        <v>0.9</v>
      </c>
      <c r="CJ314" s="1359"/>
      <c r="CK314" s="1359"/>
      <c r="CL314" s="1360"/>
      <c r="CM314" s="1361" t="s">
        <v>1240</v>
      </c>
      <c r="CN314" s="1363">
        <v>0</v>
      </c>
      <c r="CO314" s="1362"/>
      <c r="CP314" s="1362"/>
      <c r="CQ314" s="1362"/>
      <c r="CR314" s="1363">
        <v>0</v>
      </c>
      <c r="CS314" s="1363">
        <v>0</v>
      </c>
      <c r="CT314" s="1363">
        <v>1</v>
      </c>
      <c r="CU314" s="1363">
        <v>0</v>
      </c>
      <c r="CV314" s="686"/>
      <c r="CW314" s="686"/>
      <c r="CX314" s="687">
        <v>1</v>
      </c>
      <c r="CY314" s="41"/>
      <c r="DA314" s="602"/>
      <c r="DB314" s="602"/>
      <c r="DC314" s="603"/>
      <c r="DD314" s="604" t="s">
        <v>1240</v>
      </c>
      <c r="DE314" s="605"/>
      <c r="DF314" s="606">
        <v>0</v>
      </c>
      <c r="DG314" s="605"/>
      <c r="DH314" s="606">
        <v>0</v>
      </c>
      <c r="DI314" s="605"/>
      <c r="DJ314" s="606">
        <v>0</v>
      </c>
      <c r="DK314" s="606">
        <v>1</v>
      </c>
      <c r="DL314" s="605"/>
      <c r="DM314" s="602"/>
      <c r="DN314" s="602"/>
      <c r="DO314" s="607">
        <v>1</v>
      </c>
      <c r="DP314" s="105"/>
    </row>
    <row r="315" spans="3:120">
      <c r="C315" s="32"/>
      <c r="D315" s="32" t="s">
        <v>1233</v>
      </c>
      <c r="E315" s="4607">
        <v>0</v>
      </c>
      <c r="F315" s="4607">
        <v>4</v>
      </c>
      <c r="G315" s="4607">
        <v>1</v>
      </c>
      <c r="H315" s="4607">
        <v>0</v>
      </c>
      <c r="I315" s="4607">
        <v>0</v>
      </c>
      <c r="J315" s="4607">
        <v>0</v>
      </c>
      <c r="K315" s="4607">
        <v>0</v>
      </c>
      <c r="L315" s="4607">
        <v>0</v>
      </c>
      <c r="M315" s="4607">
        <v>0</v>
      </c>
      <c r="N315" s="4583">
        <v>0</v>
      </c>
      <c r="O315" s="4583">
        <v>0</v>
      </c>
      <c r="P315" s="4583">
        <v>5</v>
      </c>
      <c r="Q315" s="4583"/>
      <c r="R315" s="4583"/>
      <c r="U315" s="1793"/>
      <c r="V315" s="1793" t="s">
        <v>1235</v>
      </c>
      <c r="W315" s="4804"/>
      <c r="X315" s="4804"/>
      <c r="Y315" s="4804">
        <v>0</v>
      </c>
      <c r="Z315" s="4804">
        <v>0</v>
      </c>
      <c r="AA315" s="4804">
        <v>0</v>
      </c>
      <c r="AB315" s="4804">
        <v>1</v>
      </c>
      <c r="AC315" s="4804">
        <v>0</v>
      </c>
      <c r="AD315" s="4804"/>
      <c r="AE315" s="4702"/>
      <c r="AF315" s="4702">
        <v>1</v>
      </c>
      <c r="AG315" s="1793"/>
      <c r="AI315" s="41"/>
      <c r="AJ315" s="41"/>
      <c r="AK315" s="461" t="s">
        <v>548</v>
      </c>
      <c r="AL315" s="461" t="s">
        <v>1239</v>
      </c>
      <c r="AM315" s="2002"/>
      <c r="AN315" s="2002"/>
      <c r="AO315" s="2002"/>
      <c r="AP315" s="2002"/>
      <c r="AQ315" s="2002"/>
      <c r="AR315" s="2002"/>
      <c r="AS315" s="2002">
        <v>21</v>
      </c>
      <c r="AT315" s="2002">
        <v>1</v>
      </c>
      <c r="AU315" s="2480"/>
      <c r="AV315" s="2480"/>
      <c r="AW315" s="2480">
        <v>22</v>
      </c>
      <c r="AX315" s="41"/>
      <c r="AZ315" s="42"/>
      <c r="BA315" s="42"/>
      <c r="BB315" s="42"/>
      <c r="BC315" s="42" t="s">
        <v>1239</v>
      </c>
      <c r="BD315" s="1993"/>
      <c r="BE315" s="1993"/>
      <c r="BF315" s="1993"/>
      <c r="BG315" s="1993">
        <v>0</v>
      </c>
      <c r="BH315" s="1993"/>
      <c r="BI315" s="1993"/>
      <c r="BJ315" s="1993">
        <v>0</v>
      </c>
      <c r="BK315" s="1993">
        <v>0</v>
      </c>
      <c r="BL315" s="1993">
        <v>5</v>
      </c>
      <c r="BM315" s="70"/>
      <c r="BN315" s="70"/>
      <c r="BO315" s="70">
        <v>5</v>
      </c>
      <c r="BR315" s="105"/>
      <c r="BS315" s="105" t="s">
        <v>64</v>
      </c>
      <c r="BT315" s="41" t="s">
        <v>671</v>
      </c>
      <c r="BU315" s="41" t="s">
        <v>1231</v>
      </c>
      <c r="BV315" s="1659">
        <v>1</v>
      </c>
      <c r="BW315" s="1659">
        <v>0</v>
      </c>
      <c r="BX315" s="1659"/>
      <c r="BY315" s="1659"/>
      <c r="BZ315" s="1659">
        <v>1</v>
      </c>
      <c r="CA315" s="1659"/>
      <c r="CB315" s="1659">
        <v>1</v>
      </c>
      <c r="CC315" s="1659">
        <v>5</v>
      </c>
      <c r="CD315" s="1659">
        <v>0</v>
      </c>
      <c r="CE315" s="105"/>
      <c r="CF315" s="105"/>
      <c r="CG315" s="105">
        <v>8</v>
      </c>
      <c r="CH315" s="105"/>
      <c r="CJ315" s="1359"/>
      <c r="CK315" s="1359"/>
      <c r="CL315" s="1360"/>
      <c r="CM315" s="483" t="s">
        <v>549</v>
      </c>
      <c r="CN315" s="1365">
        <v>1</v>
      </c>
      <c r="CO315" s="1364"/>
      <c r="CP315" s="1364"/>
      <c r="CQ315" s="1364"/>
      <c r="CR315" s="1365">
        <v>1</v>
      </c>
      <c r="CS315" s="1365">
        <v>4</v>
      </c>
      <c r="CT315" s="1365">
        <v>3</v>
      </c>
      <c r="CU315" s="1365">
        <v>6</v>
      </c>
      <c r="CV315" s="695"/>
      <c r="CW315" s="695"/>
      <c r="CX315" s="696">
        <v>15</v>
      </c>
      <c r="CY315" s="1325">
        <f>+(CX312+CX314)/CX315</f>
        <v>0.2</v>
      </c>
      <c r="DA315" s="602"/>
      <c r="DB315" s="602"/>
      <c r="DC315" s="603"/>
      <c r="DD315" s="630" t="s">
        <v>549</v>
      </c>
      <c r="DE315" s="631"/>
      <c r="DF315" s="632">
        <v>1</v>
      </c>
      <c r="DG315" s="631"/>
      <c r="DH315" s="632">
        <v>2</v>
      </c>
      <c r="DI315" s="631"/>
      <c r="DJ315" s="632">
        <v>3</v>
      </c>
      <c r="DK315" s="632">
        <v>3</v>
      </c>
      <c r="DL315" s="631"/>
      <c r="DM315" s="633"/>
      <c r="DN315" s="633"/>
      <c r="DO315" s="634">
        <v>9</v>
      </c>
      <c r="DP315" s="635">
        <f>+DO314/DO315</f>
        <v>0.1111111111111111</v>
      </c>
    </row>
    <row r="316" spans="3:120">
      <c r="C316" s="32"/>
      <c r="D316" s="32" t="s">
        <v>1235</v>
      </c>
      <c r="E316" s="4607">
        <v>0</v>
      </c>
      <c r="F316" s="4607">
        <v>0</v>
      </c>
      <c r="G316" s="4607">
        <v>0</v>
      </c>
      <c r="H316" s="4607">
        <v>0</v>
      </c>
      <c r="I316" s="4607">
        <v>0</v>
      </c>
      <c r="J316" s="4607">
        <v>0</v>
      </c>
      <c r="K316" s="4607">
        <v>18</v>
      </c>
      <c r="L316" s="4607">
        <v>5</v>
      </c>
      <c r="M316" s="4607">
        <v>0</v>
      </c>
      <c r="N316" s="4583">
        <v>0</v>
      </c>
      <c r="O316" s="4583">
        <v>0</v>
      </c>
      <c r="P316" s="4583">
        <v>23</v>
      </c>
      <c r="Q316" s="4583"/>
      <c r="R316" s="4583"/>
      <c r="U316" s="1793"/>
      <c r="V316" s="1793" t="s">
        <v>1236</v>
      </c>
      <c r="W316" s="4804"/>
      <c r="X316" s="4804"/>
      <c r="Y316" s="4804">
        <v>1</v>
      </c>
      <c r="Z316" s="4804">
        <v>0</v>
      </c>
      <c r="AA316" s="4804">
        <v>0</v>
      </c>
      <c r="AB316" s="4804">
        <v>0</v>
      </c>
      <c r="AC316" s="4804">
        <v>0</v>
      </c>
      <c r="AD316" s="4804"/>
      <c r="AE316" s="4702"/>
      <c r="AF316" s="4702">
        <v>1</v>
      </c>
      <c r="AG316" s="1793"/>
      <c r="AI316" s="41"/>
      <c r="AJ316" s="41"/>
      <c r="AK316" s="461"/>
      <c r="AL316" s="461" t="s">
        <v>548</v>
      </c>
      <c r="AM316" s="2002"/>
      <c r="AN316" s="2002"/>
      <c r="AO316" s="2002"/>
      <c r="AP316" s="2002"/>
      <c r="AQ316" s="2002"/>
      <c r="AR316" s="2002"/>
      <c r="AS316" s="2002">
        <v>21</v>
      </c>
      <c r="AT316" s="2002">
        <v>1</v>
      </c>
      <c r="AU316" s="2480"/>
      <c r="AV316" s="2480"/>
      <c r="AW316" s="2480">
        <v>22</v>
      </c>
      <c r="AX316" s="635">
        <v>0</v>
      </c>
      <c r="AY316" s="1977"/>
      <c r="AZ316" s="42"/>
      <c r="BA316" s="42"/>
      <c r="BB316" s="42"/>
      <c r="BC316" s="42" t="s">
        <v>1240</v>
      </c>
      <c r="BD316" s="1993"/>
      <c r="BE316" s="1993"/>
      <c r="BF316" s="1993"/>
      <c r="BG316" s="1993">
        <v>0</v>
      </c>
      <c r="BH316" s="1993"/>
      <c r="BI316" s="1993"/>
      <c r="BJ316" s="1993">
        <v>0</v>
      </c>
      <c r="BK316" s="1993">
        <v>1</v>
      </c>
      <c r="BL316" s="1993">
        <v>0</v>
      </c>
      <c r="BM316" s="70"/>
      <c r="BN316" s="70"/>
      <c r="BO316" s="70">
        <v>1</v>
      </c>
      <c r="BR316" s="105"/>
      <c r="BS316" s="105"/>
      <c r="BT316" s="41"/>
      <c r="BU316" s="41" t="s">
        <v>1233</v>
      </c>
      <c r="BV316" s="1659">
        <v>0</v>
      </c>
      <c r="BW316" s="1659">
        <v>1</v>
      </c>
      <c r="BX316" s="1659"/>
      <c r="BY316" s="1659"/>
      <c r="BZ316" s="1659">
        <v>0</v>
      </c>
      <c r="CA316" s="1659"/>
      <c r="CB316" s="1659">
        <v>0</v>
      </c>
      <c r="CC316" s="1659">
        <v>0</v>
      </c>
      <c r="CD316" s="1659">
        <v>0</v>
      </c>
      <c r="CE316" s="105"/>
      <c r="CF316" s="105"/>
      <c r="CG316" s="105">
        <v>1</v>
      </c>
      <c r="CH316" s="105"/>
      <c r="CJ316" s="1359"/>
      <c r="CK316" s="1359"/>
      <c r="CL316" s="1360" t="s">
        <v>260</v>
      </c>
      <c r="CM316" s="1361" t="s">
        <v>1230</v>
      </c>
      <c r="CN316" s="1363">
        <v>0</v>
      </c>
      <c r="CO316" s="1363">
        <v>0</v>
      </c>
      <c r="CP316" s="1363">
        <v>0</v>
      </c>
      <c r="CQ316" s="1362"/>
      <c r="CR316" s="1363">
        <v>0</v>
      </c>
      <c r="CS316" s="1363">
        <v>1</v>
      </c>
      <c r="CT316" s="1363">
        <v>0</v>
      </c>
      <c r="CU316" s="1363">
        <v>0</v>
      </c>
      <c r="CV316" s="686"/>
      <c r="CW316" s="686"/>
      <c r="CX316" s="687">
        <v>1</v>
      </c>
      <c r="CY316" s="41"/>
      <c r="DA316" s="602"/>
      <c r="DB316" s="602"/>
      <c r="DC316" s="630" t="s">
        <v>260</v>
      </c>
      <c r="DD316" s="604" t="s">
        <v>1230</v>
      </c>
      <c r="DE316" s="606">
        <v>0</v>
      </c>
      <c r="DF316" s="606">
        <v>0</v>
      </c>
      <c r="DG316" s="605"/>
      <c r="DH316" s="606">
        <v>0</v>
      </c>
      <c r="DI316" s="605"/>
      <c r="DJ316" s="606">
        <v>1</v>
      </c>
      <c r="DK316" s="606">
        <v>0</v>
      </c>
      <c r="DL316" s="605"/>
      <c r="DM316" s="602"/>
      <c r="DN316" s="602"/>
      <c r="DO316" s="607">
        <v>1</v>
      </c>
      <c r="DP316" s="105"/>
    </row>
    <row r="317" spans="3:120">
      <c r="C317" s="32"/>
      <c r="D317" s="32" t="s">
        <v>1239</v>
      </c>
      <c r="E317" s="4607">
        <v>0</v>
      </c>
      <c r="F317" s="4607">
        <v>0</v>
      </c>
      <c r="G317" s="4607">
        <v>0</v>
      </c>
      <c r="H317" s="4607">
        <v>0</v>
      </c>
      <c r="I317" s="4607">
        <v>0</v>
      </c>
      <c r="J317" s="4607">
        <v>0</v>
      </c>
      <c r="K317" s="4607">
        <v>0</v>
      </c>
      <c r="L317" s="4607">
        <v>8</v>
      </c>
      <c r="M317" s="4607">
        <v>7</v>
      </c>
      <c r="N317" s="4583">
        <v>4</v>
      </c>
      <c r="O317" s="4583">
        <v>1</v>
      </c>
      <c r="P317" s="4583">
        <v>20</v>
      </c>
      <c r="Q317" s="4583"/>
      <c r="R317" s="4583"/>
      <c r="U317" s="1793"/>
      <c r="V317" s="1793" t="s">
        <v>1239</v>
      </c>
      <c r="W317" s="4804"/>
      <c r="X317" s="4804"/>
      <c r="Y317" s="4804">
        <v>0</v>
      </c>
      <c r="Z317" s="4804">
        <v>0</v>
      </c>
      <c r="AA317" s="4804">
        <v>0</v>
      </c>
      <c r="AB317" s="4804">
        <v>0</v>
      </c>
      <c r="AC317" s="4804">
        <v>9</v>
      </c>
      <c r="AD317" s="4804"/>
      <c r="AE317" s="4702"/>
      <c r="AF317" s="4702">
        <v>9</v>
      </c>
      <c r="AG317" s="1793"/>
      <c r="AI317" s="41"/>
      <c r="AJ317" s="41" t="s">
        <v>64</v>
      </c>
      <c r="AK317" s="41" t="s">
        <v>671</v>
      </c>
      <c r="AL317" s="41" t="s">
        <v>1231</v>
      </c>
      <c r="AM317" s="2001"/>
      <c r="AN317" s="2001"/>
      <c r="AO317" s="2001"/>
      <c r="AP317" s="2001"/>
      <c r="AQ317" s="2001"/>
      <c r="AR317" s="2001">
        <v>1</v>
      </c>
      <c r="AS317" s="2001">
        <v>0</v>
      </c>
      <c r="AT317" s="2001">
        <v>0</v>
      </c>
      <c r="AU317" s="105"/>
      <c r="AV317" s="105"/>
      <c r="AW317" s="105">
        <v>1</v>
      </c>
      <c r="AX317" s="41"/>
      <c r="AZ317" s="42"/>
      <c r="BA317" s="42"/>
      <c r="BB317" s="42"/>
      <c r="BC317" s="484" t="s">
        <v>15</v>
      </c>
      <c r="BD317" s="1994"/>
      <c r="BE317" s="1994"/>
      <c r="BF317" s="1994"/>
      <c r="BG317" s="1994">
        <v>1</v>
      </c>
      <c r="BH317" s="1994"/>
      <c r="BI317" s="1994"/>
      <c r="BJ317" s="1994">
        <v>3</v>
      </c>
      <c r="BK317" s="1994">
        <v>4</v>
      </c>
      <c r="BL317" s="1994">
        <v>5</v>
      </c>
      <c r="BM317" s="454"/>
      <c r="BN317" s="454"/>
      <c r="BO317" s="454">
        <v>13</v>
      </c>
      <c r="BP317" s="536">
        <f>+(BO314+BO316)/BO317</f>
        <v>0.23076923076923078</v>
      </c>
      <c r="BR317" s="105"/>
      <c r="BS317" s="105"/>
      <c r="BT317" s="41"/>
      <c r="BU317" s="41" t="s">
        <v>1235</v>
      </c>
      <c r="BV317" s="1659">
        <v>0</v>
      </c>
      <c r="BW317" s="1659">
        <v>0</v>
      </c>
      <c r="BX317" s="1659"/>
      <c r="BY317" s="1659"/>
      <c r="BZ317" s="1659">
        <v>0</v>
      </c>
      <c r="CA317" s="1659"/>
      <c r="CB317" s="1659">
        <v>1</v>
      </c>
      <c r="CC317" s="1659">
        <v>1</v>
      </c>
      <c r="CD317" s="1659">
        <v>0</v>
      </c>
      <c r="CE317" s="105"/>
      <c r="CF317" s="105"/>
      <c r="CG317" s="105">
        <v>2</v>
      </c>
      <c r="CH317" s="105"/>
      <c r="CJ317" s="1359"/>
      <c r="CK317" s="1359"/>
      <c r="CL317" s="1360"/>
      <c r="CM317" s="1361" t="s">
        <v>1231</v>
      </c>
      <c r="CN317" s="1363">
        <v>2</v>
      </c>
      <c r="CO317" s="1363">
        <v>0</v>
      </c>
      <c r="CP317" s="1363">
        <v>0</v>
      </c>
      <c r="CQ317" s="1362"/>
      <c r="CR317" s="1363">
        <v>1</v>
      </c>
      <c r="CS317" s="1363">
        <v>12</v>
      </c>
      <c r="CT317" s="1363">
        <v>3</v>
      </c>
      <c r="CU317" s="1363">
        <v>1</v>
      </c>
      <c r="CV317" s="686"/>
      <c r="CW317" s="686"/>
      <c r="CX317" s="687">
        <v>19</v>
      </c>
      <c r="CY317" s="41"/>
      <c r="DA317" s="602"/>
      <c r="DB317" s="602"/>
      <c r="DC317" s="603"/>
      <c r="DD317" s="604" t="s">
        <v>1231</v>
      </c>
      <c r="DE317" s="606">
        <v>0</v>
      </c>
      <c r="DF317" s="606">
        <v>1</v>
      </c>
      <c r="DG317" s="605"/>
      <c r="DH317" s="606">
        <v>2</v>
      </c>
      <c r="DI317" s="605"/>
      <c r="DJ317" s="606">
        <v>10</v>
      </c>
      <c r="DK317" s="606">
        <v>2</v>
      </c>
      <c r="DL317" s="605"/>
      <c r="DM317" s="602"/>
      <c r="DN317" s="602"/>
      <c r="DO317" s="607">
        <v>15</v>
      </c>
      <c r="DP317" s="105"/>
    </row>
    <row r="318" spans="3:120">
      <c r="C318" s="32"/>
      <c r="D318" s="32" t="s">
        <v>1240</v>
      </c>
      <c r="E318" s="4607">
        <v>0</v>
      </c>
      <c r="F318" s="4607">
        <v>0</v>
      </c>
      <c r="G318" s="4607">
        <v>0</v>
      </c>
      <c r="H318" s="4607">
        <v>0</v>
      </c>
      <c r="I318" s="4607">
        <v>0</v>
      </c>
      <c r="J318" s="4607">
        <v>0</v>
      </c>
      <c r="K318" s="4607">
        <v>18</v>
      </c>
      <c r="L318" s="4607">
        <v>1</v>
      </c>
      <c r="M318" s="4607">
        <v>1</v>
      </c>
      <c r="N318" s="4583">
        <v>0</v>
      </c>
      <c r="O318" s="4583">
        <v>0</v>
      </c>
      <c r="P318" s="4583">
        <v>20</v>
      </c>
      <c r="Q318" s="4583"/>
      <c r="R318" s="4583"/>
      <c r="U318" s="1793"/>
      <c r="V318" s="1793" t="s">
        <v>260</v>
      </c>
      <c r="W318" s="4804"/>
      <c r="X318" s="4804"/>
      <c r="Y318" s="4804">
        <v>2</v>
      </c>
      <c r="Z318" s="4804">
        <v>1</v>
      </c>
      <c r="AA318" s="4804">
        <v>1</v>
      </c>
      <c r="AB318" s="4804">
        <v>31</v>
      </c>
      <c r="AC318" s="4804">
        <v>9</v>
      </c>
      <c r="AD318" s="4804"/>
      <c r="AE318" s="4702"/>
      <c r="AF318" s="4702">
        <v>44</v>
      </c>
      <c r="AG318" s="4703">
        <f>+AF315/AF318</f>
        <v>2.2727272727272728E-2</v>
      </c>
      <c r="AI318" s="41"/>
      <c r="AJ318" s="41"/>
      <c r="AK318" s="41"/>
      <c r="AL318" s="41" t="s">
        <v>1235</v>
      </c>
      <c r="AM318" s="2001"/>
      <c r="AN318" s="2001"/>
      <c r="AO318" s="2001"/>
      <c r="AP318" s="2001"/>
      <c r="AQ318" s="2001"/>
      <c r="AR318" s="2001">
        <v>0</v>
      </c>
      <c r="AS318" s="2001">
        <v>1</v>
      </c>
      <c r="AT318" s="2001">
        <v>0</v>
      </c>
      <c r="AU318" s="105"/>
      <c r="AV318" s="105"/>
      <c r="AW318" s="105">
        <v>1</v>
      </c>
      <c r="AX318" s="41"/>
      <c r="AZ318" s="42"/>
      <c r="BA318" s="42"/>
      <c r="BB318" s="42" t="s">
        <v>549</v>
      </c>
      <c r="BC318" s="42" t="s">
        <v>1231</v>
      </c>
      <c r="BD318" s="1993"/>
      <c r="BE318" s="1993"/>
      <c r="BF318" s="1993"/>
      <c r="BG318" s="1993">
        <v>1</v>
      </c>
      <c r="BH318" s="1993"/>
      <c r="BI318" s="1993"/>
      <c r="BJ318" s="1993">
        <v>2</v>
      </c>
      <c r="BK318" s="1993">
        <v>2</v>
      </c>
      <c r="BL318" s="1993">
        <v>0</v>
      </c>
      <c r="BM318" s="70"/>
      <c r="BN318" s="70"/>
      <c r="BO318" s="70">
        <v>5</v>
      </c>
      <c r="BR318" s="105"/>
      <c r="BS318" s="105"/>
      <c r="BT318" s="41"/>
      <c r="BU318" s="41" t="s">
        <v>1239</v>
      </c>
      <c r="BV318" s="1659">
        <v>0</v>
      </c>
      <c r="BW318" s="1659">
        <v>0</v>
      </c>
      <c r="BX318" s="1659"/>
      <c r="BY318" s="1659"/>
      <c r="BZ318" s="1659">
        <v>0</v>
      </c>
      <c r="CA318" s="1659"/>
      <c r="CB318" s="1659">
        <v>0</v>
      </c>
      <c r="CC318" s="1659">
        <v>0</v>
      </c>
      <c r="CD318" s="1659">
        <v>1</v>
      </c>
      <c r="CE318" s="105"/>
      <c r="CF318" s="105"/>
      <c r="CG318" s="105">
        <v>1</v>
      </c>
      <c r="CH318" s="105"/>
      <c r="CJ318" s="1359"/>
      <c r="CK318" s="1359"/>
      <c r="CL318" s="1360"/>
      <c r="CM318" s="1361" t="s">
        <v>1233</v>
      </c>
      <c r="CN318" s="1363">
        <v>1</v>
      </c>
      <c r="CO318" s="1363">
        <v>0</v>
      </c>
      <c r="CP318" s="1363">
        <v>0</v>
      </c>
      <c r="CQ318" s="1362"/>
      <c r="CR318" s="1363">
        <v>0</v>
      </c>
      <c r="CS318" s="1363">
        <v>0</v>
      </c>
      <c r="CT318" s="1363">
        <v>0</v>
      </c>
      <c r="CU318" s="1363">
        <v>0</v>
      </c>
      <c r="CV318" s="686"/>
      <c r="CW318" s="686"/>
      <c r="CX318" s="687">
        <v>1</v>
      </c>
      <c r="CY318" s="41"/>
      <c r="DA318" s="602"/>
      <c r="DB318" s="602"/>
      <c r="DC318" s="603"/>
      <c r="DD318" s="604" t="s">
        <v>1233</v>
      </c>
      <c r="DE318" s="606">
        <v>1</v>
      </c>
      <c r="DF318" s="606">
        <v>2</v>
      </c>
      <c r="DG318" s="605"/>
      <c r="DH318" s="606">
        <v>0</v>
      </c>
      <c r="DI318" s="605"/>
      <c r="DJ318" s="606">
        <v>0</v>
      </c>
      <c r="DK318" s="606">
        <v>0</v>
      </c>
      <c r="DL318" s="605"/>
      <c r="DM318" s="602"/>
      <c r="DN318" s="602"/>
      <c r="DO318" s="607">
        <v>3</v>
      </c>
      <c r="DP318" s="105"/>
    </row>
    <row r="319" spans="3:120">
      <c r="C319" s="32"/>
      <c r="D319" s="32" t="s">
        <v>2963</v>
      </c>
      <c r="E319" s="4607">
        <v>9</v>
      </c>
      <c r="F319" s="4607">
        <v>0</v>
      </c>
      <c r="G319" s="4607">
        <v>0</v>
      </c>
      <c r="H319" s="4607">
        <v>0</v>
      </c>
      <c r="I319" s="4607">
        <v>0</v>
      </c>
      <c r="J319" s="4607">
        <v>0</v>
      </c>
      <c r="K319" s="4607">
        <v>0</v>
      </c>
      <c r="L319" s="4607">
        <v>0</v>
      </c>
      <c r="M319" s="4607">
        <v>0</v>
      </c>
      <c r="N319" s="4583">
        <v>0</v>
      </c>
      <c r="O319" s="4583">
        <v>0</v>
      </c>
      <c r="P319" s="4583">
        <v>9</v>
      </c>
      <c r="Q319" s="4583"/>
      <c r="R319" s="4583"/>
      <c r="U319" s="1793" t="s">
        <v>113</v>
      </c>
      <c r="V319" s="1793" t="s">
        <v>1230</v>
      </c>
      <c r="W319" s="4804">
        <v>0</v>
      </c>
      <c r="X319" s="4804">
        <v>0</v>
      </c>
      <c r="Y319" s="4804">
        <v>0</v>
      </c>
      <c r="Z319" s="4804">
        <v>4</v>
      </c>
      <c r="AA319" s="4804">
        <v>1</v>
      </c>
      <c r="AB319" s="4804">
        <v>2</v>
      </c>
      <c r="AC319" s="4804">
        <v>16</v>
      </c>
      <c r="AD319" s="4804">
        <v>7</v>
      </c>
      <c r="AE319" s="4702">
        <v>11</v>
      </c>
      <c r="AF319" s="4702">
        <v>41</v>
      </c>
      <c r="AG319" s="1793"/>
      <c r="AI319" s="41"/>
      <c r="AJ319" s="41"/>
      <c r="AK319" s="41"/>
      <c r="AL319" s="41" t="s">
        <v>1239</v>
      </c>
      <c r="AM319" s="2001"/>
      <c r="AN319" s="2001"/>
      <c r="AO319" s="2001"/>
      <c r="AP319" s="2001"/>
      <c r="AQ319" s="2001"/>
      <c r="AR319" s="2001">
        <v>0</v>
      </c>
      <c r="AS319" s="2001">
        <v>3</v>
      </c>
      <c r="AT319" s="2001">
        <v>5</v>
      </c>
      <c r="AU319" s="105"/>
      <c r="AV319" s="105"/>
      <c r="AW319" s="105">
        <v>8</v>
      </c>
      <c r="AX319" s="41"/>
      <c r="AZ319" s="42"/>
      <c r="BA319" s="42"/>
      <c r="BB319" s="42"/>
      <c r="BC319" s="42" t="s">
        <v>1235</v>
      </c>
      <c r="BD319" s="1993"/>
      <c r="BE319" s="1993"/>
      <c r="BF319" s="1993"/>
      <c r="BG319" s="1993">
        <v>0</v>
      </c>
      <c r="BH319" s="1993"/>
      <c r="BI319" s="1993"/>
      <c r="BJ319" s="1993">
        <v>1</v>
      </c>
      <c r="BK319" s="1993">
        <v>1</v>
      </c>
      <c r="BL319" s="1993">
        <v>0</v>
      </c>
      <c r="BM319" s="70"/>
      <c r="BN319" s="70"/>
      <c r="BO319" s="70">
        <v>2</v>
      </c>
      <c r="BR319" s="105"/>
      <c r="BS319" s="105"/>
      <c r="BT319" s="41"/>
      <c r="BU319" s="41" t="s">
        <v>1240</v>
      </c>
      <c r="BV319" s="1659">
        <v>0</v>
      </c>
      <c r="BW319" s="1659">
        <v>0</v>
      </c>
      <c r="BX319" s="1659"/>
      <c r="BY319" s="1659"/>
      <c r="BZ319" s="1659">
        <v>0</v>
      </c>
      <c r="CA319" s="1659"/>
      <c r="CB319" s="1659">
        <v>0</v>
      </c>
      <c r="CC319" s="1659">
        <v>1</v>
      </c>
      <c r="CD319" s="1659">
        <v>0</v>
      </c>
      <c r="CE319" s="105"/>
      <c r="CF319" s="105"/>
      <c r="CG319" s="105">
        <v>1</v>
      </c>
      <c r="CH319" s="105"/>
      <c r="CJ319" s="1359"/>
      <c r="CK319" s="1359"/>
      <c r="CL319" s="1360"/>
      <c r="CM319" s="1361" t="s">
        <v>1235</v>
      </c>
      <c r="CN319" s="1363">
        <v>0</v>
      </c>
      <c r="CO319" s="1363">
        <v>0</v>
      </c>
      <c r="CP319" s="1363">
        <v>0</v>
      </c>
      <c r="CQ319" s="1362"/>
      <c r="CR319" s="1363">
        <v>0</v>
      </c>
      <c r="CS319" s="1363">
        <v>12</v>
      </c>
      <c r="CT319" s="1363">
        <v>2</v>
      </c>
      <c r="CU319" s="1363">
        <v>0</v>
      </c>
      <c r="CV319" s="686"/>
      <c r="CW319" s="686"/>
      <c r="CX319" s="687">
        <v>14</v>
      </c>
      <c r="CY319" s="41"/>
      <c r="DA319" s="602"/>
      <c r="DB319" s="602"/>
      <c r="DC319" s="603"/>
      <c r="DD319" s="604" t="s">
        <v>1235</v>
      </c>
      <c r="DE319" s="606">
        <v>0</v>
      </c>
      <c r="DF319" s="606">
        <v>0</v>
      </c>
      <c r="DG319" s="605"/>
      <c r="DH319" s="606">
        <v>0</v>
      </c>
      <c r="DI319" s="605"/>
      <c r="DJ319" s="606">
        <v>6</v>
      </c>
      <c r="DK319" s="606">
        <v>0</v>
      </c>
      <c r="DL319" s="605"/>
      <c r="DM319" s="602"/>
      <c r="DN319" s="602"/>
      <c r="DO319" s="607">
        <v>6</v>
      </c>
      <c r="DP319" s="105"/>
    </row>
    <row r="320" spans="3:120">
      <c r="C320" s="32"/>
      <c r="D320" s="32" t="s">
        <v>1344</v>
      </c>
      <c r="E320" s="4607">
        <v>0</v>
      </c>
      <c r="F320" s="4607">
        <v>0</v>
      </c>
      <c r="G320" s="4607">
        <v>0</v>
      </c>
      <c r="H320" s="4607">
        <v>0</v>
      </c>
      <c r="I320" s="4607">
        <v>0</v>
      </c>
      <c r="J320" s="4607">
        <v>0</v>
      </c>
      <c r="K320" s="4607">
        <v>19</v>
      </c>
      <c r="L320" s="4607">
        <v>6</v>
      </c>
      <c r="M320" s="4607">
        <v>3</v>
      </c>
      <c r="N320" s="4583">
        <v>0</v>
      </c>
      <c r="O320" s="4583">
        <v>0</v>
      </c>
      <c r="P320" s="4583">
        <v>28</v>
      </c>
      <c r="Q320" s="4583"/>
      <c r="R320" s="4583"/>
      <c r="U320" s="1793"/>
      <c r="V320" s="1793" t="s">
        <v>1231</v>
      </c>
      <c r="W320" s="4804">
        <v>21</v>
      </c>
      <c r="X320" s="4804">
        <v>7</v>
      </c>
      <c r="Y320" s="4804">
        <v>6</v>
      </c>
      <c r="Z320" s="4804">
        <v>5</v>
      </c>
      <c r="AA320" s="4804">
        <v>13</v>
      </c>
      <c r="AB320" s="4804">
        <v>189</v>
      </c>
      <c r="AC320" s="4804">
        <v>25</v>
      </c>
      <c r="AD320" s="4804">
        <v>16</v>
      </c>
      <c r="AE320" s="4702">
        <v>0</v>
      </c>
      <c r="AF320" s="4702">
        <v>282</v>
      </c>
      <c r="AG320" s="1793"/>
      <c r="AI320" s="41"/>
      <c r="AJ320" s="41"/>
      <c r="AK320" s="41"/>
      <c r="AL320" s="41" t="s">
        <v>1344</v>
      </c>
      <c r="AM320" s="2001"/>
      <c r="AN320" s="2001"/>
      <c r="AO320" s="2001"/>
      <c r="AP320" s="2001"/>
      <c r="AQ320" s="2001"/>
      <c r="AR320" s="2001">
        <v>2</v>
      </c>
      <c r="AS320" s="2001">
        <v>0</v>
      </c>
      <c r="AT320" s="2001">
        <v>0</v>
      </c>
      <c r="AU320" s="105"/>
      <c r="AV320" s="105"/>
      <c r="AW320" s="105">
        <v>2</v>
      </c>
      <c r="AX320" s="41"/>
      <c r="AZ320" s="42"/>
      <c r="BA320" s="42"/>
      <c r="BB320" s="42"/>
      <c r="BC320" s="42" t="s">
        <v>1239</v>
      </c>
      <c r="BD320" s="1993"/>
      <c r="BE320" s="1993"/>
      <c r="BF320" s="1993"/>
      <c r="BG320" s="1993">
        <v>0</v>
      </c>
      <c r="BH320" s="1993"/>
      <c r="BI320" s="1993"/>
      <c r="BJ320" s="1993">
        <v>0</v>
      </c>
      <c r="BK320" s="1993">
        <v>0</v>
      </c>
      <c r="BL320" s="1993">
        <v>5</v>
      </c>
      <c r="BM320" s="70"/>
      <c r="BN320" s="70"/>
      <c r="BO320" s="70">
        <v>5</v>
      </c>
      <c r="BR320" s="105"/>
      <c r="BS320" s="105"/>
      <c r="BT320" s="41"/>
      <c r="BU320" s="41" t="s">
        <v>1344</v>
      </c>
      <c r="BV320" s="1659">
        <v>0</v>
      </c>
      <c r="BW320" s="1659">
        <v>0</v>
      </c>
      <c r="BX320" s="1659"/>
      <c r="BY320" s="1659"/>
      <c r="BZ320" s="1659">
        <v>0</v>
      </c>
      <c r="CA320" s="1659"/>
      <c r="CB320" s="1659">
        <v>1</v>
      </c>
      <c r="CC320" s="1659">
        <v>0</v>
      </c>
      <c r="CD320" s="1659">
        <v>0</v>
      </c>
      <c r="CE320" s="105"/>
      <c r="CF320" s="105"/>
      <c r="CG320" s="105">
        <v>1</v>
      </c>
      <c r="CH320" s="105"/>
      <c r="CJ320" s="1359"/>
      <c r="CK320" s="1359"/>
      <c r="CL320" s="1360"/>
      <c r="CM320" s="1361" t="s">
        <v>1236</v>
      </c>
      <c r="CN320" s="1363">
        <v>0</v>
      </c>
      <c r="CO320" s="1363">
        <v>1</v>
      </c>
      <c r="CP320" s="1363">
        <v>1</v>
      </c>
      <c r="CQ320" s="1362"/>
      <c r="CR320" s="1363">
        <v>0</v>
      </c>
      <c r="CS320" s="1363">
        <v>0</v>
      </c>
      <c r="CT320" s="1363">
        <v>0</v>
      </c>
      <c r="CU320" s="1363">
        <v>0</v>
      </c>
      <c r="CV320" s="686"/>
      <c r="CW320" s="686"/>
      <c r="CX320" s="687">
        <v>2</v>
      </c>
      <c r="CY320" s="41"/>
      <c r="DA320" s="602"/>
      <c r="DB320" s="602"/>
      <c r="DC320" s="603"/>
      <c r="DD320" s="604" t="s">
        <v>1236</v>
      </c>
      <c r="DE320" s="606">
        <v>0</v>
      </c>
      <c r="DF320" s="606">
        <v>0</v>
      </c>
      <c r="DG320" s="605"/>
      <c r="DH320" s="606">
        <v>0</v>
      </c>
      <c r="DI320" s="605"/>
      <c r="DJ320" s="606">
        <v>0</v>
      </c>
      <c r="DK320" s="606">
        <v>1</v>
      </c>
      <c r="DL320" s="605"/>
      <c r="DM320" s="602"/>
      <c r="DN320" s="602"/>
      <c r="DO320" s="607">
        <v>1</v>
      </c>
      <c r="DP320" s="105"/>
    </row>
    <row r="321" spans="1:120">
      <c r="C321" s="32"/>
      <c r="D321" s="4800" t="s">
        <v>15</v>
      </c>
      <c r="E321" s="4607">
        <v>9</v>
      </c>
      <c r="F321" s="4607">
        <v>8</v>
      </c>
      <c r="G321" s="4607">
        <v>4</v>
      </c>
      <c r="H321" s="4607">
        <v>1</v>
      </c>
      <c r="I321" s="4607">
        <v>3</v>
      </c>
      <c r="J321" s="4607">
        <v>4</v>
      </c>
      <c r="K321" s="4607">
        <v>126</v>
      </c>
      <c r="L321" s="4607">
        <v>28</v>
      </c>
      <c r="M321" s="4607">
        <v>14</v>
      </c>
      <c r="N321" s="4583">
        <v>4</v>
      </c>
      <c r="O321" s="4583">
        <v>1</v>
      </c>
      <c r="P321" s="4583">
        <v>202</v>
      </c>
      <c r="Q321" s="1977">
        <f>+(P316+P318+P320)/(P321-P319)</f>
        <v>0.36787564766839376</v>
      </c>
      <c r="R321" s="1977"/>
      <c r="U321" s="1793"/>
      <c r="V321" s="1793" t="s">
        <v>1233</v>
      </c>
      <c r="W321" s="4804">
        <v>7</v>
      </c>
      <c r="X321" s="4804">
        <v>3</v>
      </c>
      <c r="Y321" s="4804">
        <v>2</v>
      </c>
      <c r="Z321" s="4804">
        <v>0</v>
      </c>
      <c r="AA321" s="4804">
        <v>0</v>
      </c>
      <c r="AB321" s="4804">
        <v>0</v>
      </c>
      <c r="AC321" s="4804">
        <v>0</v>
      </c>
      <c r="AD321" s="4804">
        <v>0</v>
      </c>
      <c r="AE321" s="4702">
        <v>0</v>
      </c>
      <c r="AF321" s="4702">
        <v>12</v>
      </c>
      <c r="AG321" s="1793"/>
      <c r="AI321" s="41"/>
      <c r="AJ321" s="41"/>
      <c r="AK321" s="41"/>
      <c r="AL321" s="461" t="s">
        <v>15</v>
      </c>
      <c r="AM321" s="2002"/>
      <c r="AN321" s="2002"/>
      <c r="AO321" s="2002"/>
      <c r="AP321" s="2002"/>
      <c r="AQ321" s="2002"/>
      <c r="AR321" s="2002">
        <v>3</v>
      </c>
      <c r="AS321" s="2002">
        <v>4</v>
      </c>
      <c r="AT321" s="2002">
        <v>5</v>
      </c>
      <c r="AU321" s="2480"/>
      <c r="AV321" s="2480"/>
      <c r="AW321" s="2480">
        <v>12</v>
      </c>
      <c r="AX321" s="635">
        <f>+(AW320+AW318)/AW321</f>
        <v>0.25</v>
      </c>
      <c r="AY321" s="1977"/>
      <c r="AZ321" s="42"/>
      <c r="BA321" s="42"/>
      <c r="BB321" s="42"/>
      <c r="BC321" s="42" t="s">
        <v>1240</v>
      </c>
      <c r="BD321" s="1993"/>
      <c r="BE321" s="1993"/>
      <c r="BF321" s="1993"/>
      <c r="BG321" s="1993">
        <v>0</v>
      </c>
      <c r="BH321" s="1993"/>
      <c r="BI321" s="1993"/>
      <c r="BJ321" s="1993">
        <v>0</v>
      </c>
      <c r="BK321" s="1993">
        <v>1</v>
      </c>
      <c r="BL321" s="1993">
        <v>0</v>
      </c>
      <c r="BM321" s="70"/>
      <c r="BN321" s="70"/>
      <c r="BO321" s="70">
        <v>1</v>
      </c>
      <c r="BR321" s="105"/>
      <c r="BS321" s="105"/>
      <c r="BT321" s="41"/>
      <c r="BU321" s="461" t="s">
        <v>15</v>
      </c>
      <c r="BV321" s="1660">
        <v>1</v>
      </c>
      <c r="BW321" s="1660">
        <v>1</v>
      </c>
      <c r="BX321" s="1660"/>
      <c r="BY321" s="1660"/>
      <c r="BZ321" s="1660">
        <v>1</v>
      </c>
      <c r="CA321" s="1660"/>
      <c r="CB321" s="1660">
        <v>3</v>
      </c>
      <c r="CC321" s="1660">
        <v>7</v>
      </c>
      <c r="CD321" s="1660">
        <v>1</v>
      </c>
      <c r="CE321" s="96"/>
      <c r="CF321" s="96"/>
      <c r="CG321" s="96">
        <v>14</v>
      </c>
      <c r="CH321" s="635">
        <f>+(CG317+CG319+CG320)/CG321</f>
        <v>0.2857142857142857</v>
      </c>
      <c r="CJ321" s="1359"/>
      <c r="CK321" s="1359"/>
      <c r="CL321" s="1360"/>
      <c r="CM321" s="1361" t="s">
        <v>1239</v>
      </c>
      <c r="CN321" s="1363">
        <v>0</v>
      </c>
      <c r="CO321" s="1363">
        <v>0</v>
      </c>
      <c r="CP321" s="1363">
        <v>0</v>
      </c>
      <c r="CQ321" s="1362"/>
      <c r="CR321" s="1363">
        <v>0</v>
      </c>
      <c r="CS321" s="1363">
        <v>0</v>
      </c>
      <c r="CT321" s="1363">
        <v>0</v>
      </c>
      <c r="CU321" s="1363">
        <v>6</v>
      </c>
      <c r="CV321" s="686"/>
      <c r="CW321" s="686"/>
      <c r="CX321" s="687">
        <v>6</v>
      </c>
      <c r="CY321" s="41"/>
      <c r="DA321" s="602"/>
      <c r="DB321" s="602"/>
      <c r="DC321" s="603"/>
      <c r="DD321" s="604" t="s">
        <v>1239</v>
      </c>
      <c r="DE321" s="606">
        <v>0</v>
      </c>
      <c r="DF321" s="606">
        <v>0</v>
      </c>
      <c r="DG321" s="605"/>
      <c r="DH321" s="606">
        <v>0</v>
      </c>
      <c r="DI321" s="605"/>
      <c r="DJ321" s="606">
        <v>0</v>
      </c>
      <c r="DK321" s="606">
        <v>1</v>
      </c>
      <c r="DL321" s="605"/>
      <c r="DM321" s="602"/>
      <c r="DN321" s="602"/>
      <c r="DO321" s="607">
        <v>1</v>
      </c>
      <c r="DP321" s="105"/>
    </row>
    <row r="322" spans="1:120">
      <c r="A322" s="167" t="s">
        <v>59</v>
      </c>
      <c r="B322" s="167" t="s">
        <v>16</v>
      </c>
      <c r="C322" s="4800" t="s">
        <v>670</v>
      </c>
      <c r="D322" s="4800" t="s">
        <v>1231</v>
      </c>
      <c r="E322" s="4606">
        <v>0</v>
      </c>
      <c r="F322" s="4606"/>
      <c r="G322" s="4606"/>
      <c r="H322" s="4606">
        <v>0</v>
      </c>
      <c r="I322" s="4606">
        <v>1</v>
      </c>
      <c r="J322" s="4606"/>
      <c r="K322" s="4606">
        <v>5</v>
      </c>
      <c r="L322" s="4606">
        <v>0</v>
      </c>
      <c r="M322" s="4606">
        <v>0</v>
      </c>
      <c r="N322" s="2552"/>
      <c r="O322" s="2552"/>
      <c r="P322" s="2552">
        <v>6</v>
      </c>
      <c r="Q322" s="2552"/>
      <c r="R322" s="2552"/>
      <c r="U322" s="1793"/>
      <c r="V322" s="1793" t="s">
        <v>1235</v>
      </c>
      <c r="W322" s="4804">
        <v>0</v>
      </c>
      <c r="X322" s="4804">
        <v>0</v>
      </c>
      <c r="Y322" s="4804">
        <v>0</v>
      </c>
      <c r="Z322" s="4804">
        <v>0</v>
      </c>
      <c r="AA322" s="4804">
        <v>0</v>
      </c>
      <c r="AB322" s="4804">
        <v>60</v>
      </c>
      <c r="AC322" s="4804">
        <v>22</v>
      </c>
      <c r="AD322" s="4804">
        <v>4</v>
      </c>
      <c r="AE322" s="4702">
        <v>0</v>
      </c>
      <c r="AF322" s="4702">
        <v>86</v>
      </c>
      <c r="AG322" s="1793"/>
      <c r="AI322" s="41"/>
      <c r="AJ322" s="41"/>
      <c r="AK322" s="461" t="s">
        <v>549</v>
      </c>
      <c r="AL322" s="461" t="s">
        <v>1231</v>
      </c>
      <c r="AM322" s="2002"/>
      <c r="AN322" s="2002"/>
      <c r="AO322" s="2002"/>
      <c r="AP322" s="2002"/>
      <c r="AQ322" s="2002"/>
      <c r="AR322" s="2002">
        <v>1</v>
      </c>
      <c r="AS322" s="2002">
        <v>0</v>
      </c>
      <c r="AT322" s="2002">
        <v>0</v>
      </c>
      <c r="AU322" s="2480"/>
      <c r="AV322" s="2480"/>
      <c r="AW322" s="2480">
        <v>1</v>
      </c>
      <c r="AX322" s="41"/>
      <c r="AZ322" s="42"/>
      <c r="BA322" s="42"/>
      <c r="BB322" s="42"/>
      <c r="BC322" s="484" t="s">
        <v>549</v>
      </c>
      <c r="BD322" s="1994"/>
      <c r="BE322" s="1994"/>
      <c r="BF322" s="1994"/>
      <c r="BG322" s="1994">
        <v>1</v>
      </c>
      <c r="BH322" s="1994"/>
      <c r="BI322" s="1994"/>
      <c r="BJ322" s="1994">
        <v>3</v>
      </c>
      <c r="BK322" s="1994">
        <v>4</v>
      </c>
      <c r="BL322" s="1994">
        <v>5</v>
      </c>
      <c r="BM322" s="454"/>
      <c r="BN322" s="454"/>
      <c r="BO322" s="454">
        <v>13</v>
      </c>
      <c r="BP322" s="536">
        <f>+(BO319+BO321)/BO322</f>
        <v>0.23076923076923078</v>
      </c>
      <c r="BR322" s="105"/>
      <c r="BS322" s="105"/>
      <c r="BT322" s="41" t="s">
        <v>15</v>
      </c>
      <c r="BU322" s="41" t="s">
        <v>1231</v>
      </c>
      <c r="BV322" s="1659">
        <v>1</v>
      </c>
      <c r="BW322" s="1659">
        <v>0</v>
      </c>
      <c r="BX322" s="1659"/>
      <c r="BY322" s="1659"/>
      <c r="BZ322" s="1659">
        <v>1</v>
      </c>
      <c r="CA322" s="1659"/>
      <c r="CB322" s="1659">
        <v>1</v>
      </c>
      <c r="CC322" s="1659">
        <v>5</v>
      </c>
      <c r="CD322" s="1659">
        <v>0</v>
      </c>
      <c r="CE322" s="105"/>
      <c r="CF322" s="105"/>
      <c r="CG322" s="105">
        <v>8</v>
      </c>
      <c r="CH322" s="105"/>
      <c r="CJ322" s="1359"/>
      <c r="CK322" s="1359"/>
      <c r="CL322" s="1360"/>
      <c r="CM322" s="1361" t="s">
        <v>1240</v>
      </c>
      <c r="CN322" s="1363">
        <v>0</v>
      </c>
      <c r="CO322" s="1363">
        <v>0</v>
      </c>
      <c r="CP322" s="1363">
        <v>0</v>
      </c>
      <c r="CQ322" s="1362"/>
      <c r="CR322" s="1363">
        <v>0</v>
      </c>
      <c r="CS322" s="1363">
        <v>4</v>
      </c>
      <c r="CT322" s="1363">
        <v>1</v>
      </c>
      <c r="CU322" s="1363">
        <v>0</v>
      </c>
      <c r="CV322" s="686"/>
      <c r="CW322" s="686"/>
      <c r="CX322" s="687">
        <v>5</v>
      </c>
      <c r="CY322" s="41"/>
      <c r="DA322" s="602"/>
      <c r="DB322" s="602"/>
      <c r="DC322" s="603"/>
      <c r="DD322" s="604" t="s">
        <v>1240</v>
      </c>
      <c r="DE322" s="606">
        <v>0</v>
      </c>
      <c r="DF322" s="606">
        <v>0</v>
      </c>
      <c r="DG322" s="605"/>
      <c r="DH322" s="606">
        <v>0</v>
      </c>
      <c r="DI322" s="605"/>
      <c r="DJ322" s="606">
        <v>1</v>
      </c>
      <c r="DK322" s="606">
        <v>1</v>
      </c>
      <c r="DL322" s="605"/>
      <c r="DM322" s="602"/>
      <c r="DN322" s="602"/>
      <c r="DO322" s="607">
        <v>2</v>
      </c>
      <c r="DP322" s="105"/>
    </row>
    <row r="323" spans="1:120">
      <c r="D323" s="4800" t="s">
        <v>1235</v>
      </c>
      <c r="E323" s="4606">
        <v>0</v>
      </c>
      <c r="F323" s="4606"/>
      <c r="G323" s="4606"/>
      <c r="H323" s="4606">
        <v>0</v>
      </c>
      <c r="I323" s="4606">
        <v>0</v>
      </c>
      <c r="J323" s="4606"/>
      <c r="K323" s="4606">
        <v>1</v>
      </c>
      <c r="L323" s="4606">
        <v>0</v>
      </c>
      <c r="M323" s="4606">
        <v>0</v>
      </c>
      <c r="N323" s="2552"/>
      <c r="O323" s="2552"/>
      <c r="P323" s="2552">
        <v>1</v>
      </c>
      <c r="Q323" s="2552"/>
      <c r="R323" s="2552"/>
      <c r="U323" s="1793"/>
      <c r="V323" s="1793" t="s">
        <v>1236</v>
      </c>
      <c r="W323" s="4804">
        <v>0</v>
      </c>
      <c r="X323" s="4804">
        <v>0</v>
      </c>
      <c r="Y323" s="4804">
        <v>3</v>
      </c>
      <c r="Z323" s="4804">
        <v>2</v>
      </c>
      <c r="AA323" s="4804">
        <v>0</v>
      </c>
      <c r="AB323" s="4804">
        <v>0</v>
      </c>
      <c r="AC323" s="4804">
        <v>0</v>
      </c>
      <c r="AD323" s="4804">
        <v>0</v>
      </c>
      <c r="AE323" s="4702">
        <v>0</v>
      </c>
      <c r="AF323" s="4702">
        <v>5</v>
      </c>
      <c r="AG323" s="1793"/>
      <c r="AI323" s="41"/>
      <c r="AJ323" s="41"/>
      <c r="AK323" s="461"/>
      <c r="AL323" s="461" t="s">
        <v>1235</v>
      </c>
      <c r="AM323" s="2002"/>
      <c r="AN323" s="2002"/>
      <c r="AO323" s="2002"/>
      <c r="AP323" s="2002"/>
      <c r="AQ323" s="2002"/>
      <c r="AR323" s="2002">
        <v>0</v>
      </c>
      <c r="AS323" s="2002">
        <v>1</v>
      </c>
      <c r="AT323" s="2002">
        <v>0</v>
      </c>
      <c r="AU323" s="2480"/>
      <c r="AV323" s="2480"/>
      <c r="AW323" s="2480">
        <v>1</v>
      </c>
      <c r="AX323" s="41"/>
      <c r="AZ323" s="42"/>
      <c r="BA323" s="42"/>
      <c r="BB323" s="42" t="s">
        <v>260</v>
      </c>
      <c r="BC323" s="42" t="s">
        <v>1231</v>
      </c>
      <c r="BD323" s="1993"/>
      <c r="BE323" s="1993"/>
      <c r="BF323" s="1993">
        <v>0</v>
      </c>
      <c r="BG323" s="1993">
        <v>1</v>
      </c>
      <c r="BH323" s="1993"/>
      <c r="BI323" s="1993">
        <v>1</v>
      </c>
      <c r="BJ323" s="1993">
        <v>12</v>
      </c>
      <c r="BK323" s="1993">
        <v>17</v>
      </c>
      <c r="BL323" s="1993">
        <v>0</v>
      </c>
      <c r="BM323" s="70"/>
      <c r="BN323" s="70"/>
      <c r="BO323" s="70">
        <v>31</v>
      </c>
      <c r="BR323" s="105"/>
      <c r="BS323" s="105"/>
      <c r="BT323" s="41"/>
      <c r="BU323" s="41" t="s">
        <v>1233</v>
      </c>
      <c r="BV323" s="1659">
        <v>0</v>
      </c>
      <c r="BW323" s="1659">
        <v>1</v>
      </c>
      <c r="BX323" s="1659"/>
      <c r="BY323" s="1659"/>
      <c r="BZ323" s="1659">
        <v>0</v>
      </c>
      <c r="CA323" s="1659"/>
      <c r="CB323" s="1659">
        <v>0</v>
      </c>
      <c r="CC323" s="1659">
        <v>0</v>
      </c>
      <c r="CD323" s="1659">
        <v>0</v>
      </c>
      <c r="CE323" s="105"/>
      <c r="CF323" s="105"/>
      <c r="CG323" s="105">
        <v>1</v>
      </c>
      <c r="CH323" s="105"/>
      <c r="CJ323" s="1359"/>
      <c r="CK323" s="1359"/>
      <c r="CL323" s="1360"/>
      <c r="CM323" s="1361" t="s">
        <v>1344</v>
      </c>
      <c r="CN323" s="1363">
        <v>0</v>
      </c>
      <c r="CO323" s="1363">
        <v>0</v>
      </c>
      <c r="CP323" s="1363">
        <v>0</v>
      </c>
      <c r="CQ323" s="1362"/>
      <c r="CR323" s="1363">
        <v>0</v>
      </c>
      <c r="CS323" s="1363">
        <v>2</v>
      </c>
      <c r="CT323" s="1363">
        <v>0</v>
      </c>
      <c r="CU323" s="1363">
        <v>0</v>
      </c>
      <c r="CV323" s="686"/>
      <c r="CW323" s="686"/>
      <c r="CX323" s="687">
        <v>2</v>
      </c>
      <c r="CY323" s="41"/>
      <c r="DA323" s="602"/>
      <c r="DB323" s="602"/>
      <c r="DC323" s="603"/>
      <c r="DD323" s="604" t="s">
        <v>1344</v>
      </c>
      <c r="DE323" s="606">
        <v>0</v>
      </c>
      <c r="DF323" s="606">
        <v>0</v>
      </c>
      <c r="DG323" s="605"/>
      <c r="DH323" s="606">
        <v>0</v>
      </c>
      <c r="DI323" s="605"/>
      <c r="DJ323" s="606">
        <v>4</v>
      </c>
      <c r="DK323" s="606">
        <v>1</v>
      </c>
      <c r="DL323" s="605"/>
      <c r="DM323" s="602"/>
      <c r="DN323" s="602"/>
      <c r="DO323" s="607">
        <v>5</v>
      </c>
      <c r="DP323" s="105"/>
    </row>
    <row r="324" spans="1:120">
      <c r="D324" s="4800" t="s">
        <v>1236</v>
      </c>
      <c r="E324" s="4606">
        <v>0</v>
      </c>
      <c r="F324" s="4606"/>
      <c r="G324" s="4606"/>
      <c r="H324" s="4606">
        <v>1</v>
      </c>
      <c r="I324" s="4606">
        <v>0</v>
      </c>
      <c r="J324" s="4606"/>
      <c r="K324" s="4606">
        <v>0</v>
      </c>
      <c r="L324" s="4606">
        <v>0</v>
      </c>
      <c r="M324" s="4606">
        <v>0</v>
      </c>
      <c r="N324" s="2552"/>
      <c r="O324" s="2552"/>
      <c r="P324" s="2552">
        <v>1</v>
      </c>
      <c r="Q324" s="2552"/>
      <c r="R324" s="2552"/>
      <c r="U324" s="1793"/>
      <c r="V324" s="1793" t="s">
        <v>1239</v>
      </c>
      <c r="W324" s="4804">
        <v>0</v>
      </c>
      <c r="X324" s="4804">
        <v>0</v>
      </c>
      <c r="Y324" s="4804">
        <v>0</v>
      </c>
      <c r="Z324" s="4804">
        <v>0</v>
      </c>
      <c r="AA324" s="4804">
        <v>0</v>
      </c>
      <c r="AB324" s="4804">
        <v>0</v>
      </c>
      <c r="AC324" s="4804">
        <v>145</v>
      </c>
      <c r="AD324" s="4804">
        <v>16</v>
      </c>
      <c r="AE324" s="4702">
        <v>27</v>
      </c>
      <c r="AF324" s="4702">
        <v>188</v>
      </c>
      <c r="AG324" s="1793"/>
      <c r="AI324" s="41"/>
      <c r="AJ324" s="41"/>
      <c r="AK324" s="461"/>
      <c r="AL324" s="461" t="s">
        <v>1239</v>
      </c>
      <c r="AM324" s="2002"/>
      <c r="AN324" s="2002"/>
      <c r="AO324" s="2002"/>
      <c r="AP324" s="2002"/>
      <c r="AQ324" s="2002"/>
      <c r="AR324" s="2002">
        <v>0</v>
      </c>
      <c r="AS324" s="2002">
        <v>3</v>
      </c>
      <c r="AT324" s="2002">
        <v>5</v>
      </c>
      <c r="AU324" s="2480"/>
      <c r="AV324" s="2480"/>
      <c r="AW324" s="2480">
        <v>8</v>
      </c>
      <c r="AX324" s="41"/>
      <c r="AZ324" s="42"/>
      <c r="BA324" s="42"/>
      <c r="BB324" s="42"/>
      <c r="BC324" s="42" t="s">
        <v>1235</v>
      </c>
      <c r="BD324" s="1993"/>
      <c r="BE324" s="1993"/>
      <c r="BF324" s="1993">
        <v>0</v>
      </c>
      <c r="BG324" s="1993">
        <v>0</v>
      </c>
      <c r="BH324" s="1993"/>
      <c r="BI324" s="1993">
        <v>0</v>
      </c>
      <c r="BJ324" s="1993">
        <v>3</v>
      </c>
      <c r="BK324" s="1993">
        <v>2</v>
      </c>
      <c r="BL324" s="1993">
        <v>0</v>
      </c>
      <c r="BM324" s="70"/>
      <c r="BN324" s="70"/>
      <c r="BO324" s="70">
        <v>5</v>
      </c>
      <c r="BR324" s="105"/>
      <c r="BS324" s="105"/>
      <c r="BT324" s="41"/>
      <c r="BU324" s="41" t="s">
        <v>1235</v>
      </c>
      <c r="BV324" s="1659">
        <v>0</v>
      </c>
      <c r="BW324" s="1659">
        <v>0</v>
      </c>
      <c r="BX324" s="1659"/>
      <c r="BY324" s="1659"/>
      <c r="BZ324" s="1659">
        <v>0</v>
      </c>
      <c r="CA324" s="1659"/>
      <c r="CB324" s="1659">
        <v>1</v>
      </c>
      <c r="CC324" s="1659">
        <v>1</v>
      </c>
      <c r="CD324" s="1659">
        <v>0</v>
      </c>
      <c r="CE324" s="105"/>
      <c r="CF324" s="105"/>
      <c r="CG324" s="105">
        <v>2</v>
      </c>
      <c r="CH324" s="105"/>
      <c r="CJ324" s="1359"/>
      <c r="CK324" s="1359"/>
      <c r="CL324" s="1360"/>
      <c r="CM324" s="483" t="s">
        <v>260</v>
      </c>
      <c r="CN324" s="1365">
        <v>3</v>
      </c>
      <c r="CO324" s="1365">
        <v>1</v>
      </c>
      <c r="CP324" s="1365">
        <v>1</v>
      </c>
      <c r="CQ324" s="1364"/>
      <c r="CR324" s="1365">
        <v>1</v>
      </c>
      <c r="CS324" s="1365">
        <v>31</v>
      </c>
      <c r="CT324" s="1365">
        <v>6</v>
      </c>
      <c r="CU324" s="1365">
        <v>7</v>
      </c>
      <c r="CV324" s="695"/>
      <c r="CW324" s="695"/>
      <c r="CX324" s="696">
        <v>50</v>
      </c>
      <c r="CY324" s="1325">
        <f>+(CX319+CX322+CX323)/CX324</f>
        <v>0.42</v>
      </c>
      <c r="DA324" s="602"/>
      <c r="DB324" s="602"/>
      <c r="DC324" s="603"/>
      <c r="DD324" s="630" t="s">
        <v>260</v>
      </c>
      <c r="DE324" s="632">
        <v>1</v>
      </c>
      <c r="DF324" s="632">
        <v>3</v>
      </c>
      <c r="DG324" s="631"/>
      <c r="DH324" s="632">
        <v>2</v>
      </c>
      <c r="DI324" s="631"/>
      <c r="DJ324" s="632">
        <v>22</v>
      </c>
      <c r="DK324" s="632">
        <v>6</v>
      </c>
      <c r="DL324" s="631"/>
      <c r="DM324" s="633"/>
      <c r="DN324" s="633"/>
      <c r="DO324" s="634">
        <v>34</v>
      </c>
      <c r="DP324" s="635">
        <f>+(DO319+DO322+DO323)/DO324</f>
        <v>0.38235294117647056</v>
      </c>
    </row>
    <row r="325" spans="1:120">
      <c r="D325" s="4800" t="s">
        <v>1239</v>
      </c>
      <c r="E325" s="4606">
        <v>0</v>
      </c>
      <c r="F325" s="4606"/>
      <c r="G325" s="4606"/>
      <c r="H325" s="4606">
        <v>0</v>
      </c>
      <c r="I325" s="4606">
        <v>0</v>
      </c>
      <c r="J325" s="4606"/>
      <c r="K325" s="4606">
        <v>0</v>
      </c>
      <c r="L325" s="4606">
        <v>2</v>
      </c>
      <c r="M325" s="4606">
        <v>1</v>
      </c>
      <c r="N325" s="2552"/>
      <c r="O325" s="2552"/>
      <c r="P325" s="2552">
        <v>3</v>
      </c>
      <c r="Q325" s="2552"/>
      <c r="R325" s="2552"/>
      <c r="U325" s="1793"/>
      <c r="V325" s="1793" t="s">
        <v>1240</v>
      </c>
      <c r="W325" s="4804">
        <v>0</v>
      </c>
      <c r="X325" s="4804">
        <v>0</v>
      </c>
      <c r="Y325" s="4804">
        <v>0</v>
      </c>
      <c r="Z325" s="4804">
        <v>0</v>
      </c>
      <c r="AA325" s="4804">
        <v>0</v>
      </c>
      <c r="AB325" s="4804">
        <v>7</v>
      </c>
      <c r="AC325" s="4804">
        <v>6</v>
      </c>
      <c r="AD325" s="4804">
        <v>2</v>
      </c>
      <c r="AE325" s="4702">
        <v>0</v>
      </c>
      <c r="AF325" s="4702">
        <v>15</v>
      </c>
      <c r="AG325" s="1793"/>
      <c r="AI325" s="41"/>
      <c r="AJ325" s="41"/>
      <c r="AK325" s="461"/>
      <c r="AL325" s="461" t="s">
        <v>1344</v>
      </c>
      <c r="AM325" s="2002"/>
      <c r="AN325" s="2002"/>
      <c r="AO325" s="2002"/>
      <c r="AP325" s="2002"/>
      <c r="AQ325" s="2002"/>
      <c r="AR325" s="2002">
        <v>2</v>
      </c>
      <c r="AS325" s="2002">
        <v>0</v>
      </c>
      <c r="AT325" s="2002">
        <v>0</v>
      </c>
      <c r="AU325" s="2480"/>
      <c r="AV325" s="2480"/>
      <c r="AW325" s="2480">
        <v>2</v>
      </c>
      <c r="AX325" s="41"/>
      <c r="AZ325" s="42"/>
      <c r="BA325" s="42"/>
      <c r="BB325" s="42"/>
      <c r="BC325" s="42" t="s">
        <v>1236</v>
      </c>
      <c r="BD325" s="1993"/>
      <c r="BE325" s="1993"/>
      <c r="BF325" s="1993">
        <v>1</v>
      </c>
      <c r="BG325" s="1993">
        <v>0</v>
      </c>
      <c r="BH325" s="1993"/>
      <c r="BI325" s="1993">
        <v>1</v>
      </c>
      <c r="BJ325" s="1993">
        <v>0</v>
      </c>
      <c r="BK325" s="1993">
        <v>0</v>
      </c>
      <c r="BL325" s="1993">
        <v>0</v>
      </c>
      <c r="BM325" s="70"/>
      <c r="BN325" s="70"/>
      <c r="BO325" s="70">
        <v>2</v>
      </c>
      <c r="BR325" s="105"/>
      <c r="BS325" s="105"/>
      <c r="BT325" s="41"/>
      <c r="BU325" s="41" t="s">
        <v>1239</v>
      </c>
      <c r="BV325" s="1659">
        <v>0</v>
      </c>
      <c r="BW325" s="1659">
        <v>0</v>
      </c>
      <c r="BX325" s="1659"/>
      <c r="BY325" s="1659"/>
      <c r="BZ325" s="1659">
        <v>0</v>
      </c>
      <c r="CA325" s="1659"/>
      <c r="CB325" s="1659">
        <v>0</v>
      </c>
      <c r="CC325" s="1659">
        <v>0</v>
      </c>
      <c r="CD325" s="1659">
        <v>1</v>
      </c>
      <c r="CE325" s="105"/>
      <c r="CF325" s="105"/>
      <c r="CG325" s="105">
        <v>1</v>
      </c>
      <c r="CH325" s="105"/>
      <c r="CJ325" s="1359"/>
      <c r="CK325" s="1359"/>
      <c r="CL325" s="1360" t="s">
        <v>113</v>
      </c>
      <c r="CM325" s="1361" t="s">
        <v>1230</v>
      </c>
      <c r="CN325" s="1363">
        <v>0</v>
      </c>
      <c r="CO325" s="1363">
        <v>0</v>
      </c>
      <c r="CP325" s="1363">
        <v>0</v>
      </c>
      <c r="CQ325" s="1363">
        <v>0</v>
      </c>
      <c r="CR325" s="1363">
        <v>1</v>
      </c>
      <c r="CS325" s="1363">
        <v>3</v>
      </c>
      <c r="CT325" s="1363">
        <v>4</v>
      </c>
      <c r="CU325" s="1363">
        <v>14</v>
      </c>
      <c r="CV325" s="687">
        <v>2</v>
      </c>
      <c r="CW325" s="687">
        <v>11</v>
      </c>
      <c r="CX325" s="687">
        <v>35</v>
      </c>
      <c r="CY325" s="41"/>
      <c r="DA325" s="602"/>
      <c r="DB325" s="602"/>
      <c r="DC325" s="603" t="s">
        <v>113</v>
      </c>
      <c r="DD325" s="604" t="s">
        <v>1230</v>
      </c>
      <c r="DE325" s="606">
        <v>0</v>
      </c>
      <c r="DF325" s="606">
        <v>0</v>
      </c>
      <c r="DG325" s="606">
        <v>1</v>
      </c>
      <c r="DH325" s="606">
        <v>1</v>
      </c>
      <c r="DI325" s="606">
        <v>0</v>
      </c>
      <c r="DJ325" s="606">
        <v>1</v>
      </c>
      <c r="DK325" s="606">
        <v>4</v>
      </c>
      <c r="DL325" s="606">
        <v>26</v>
      </c>
      <c r="DM325" s="607">
        <v>3</v>
      </c>
      <c r="DN325" s="607">
        <v>7</v>
      </c>
      <c r="DO325" s="607">
        <v>43</v>
      </c>
      <c r="DP325" s="105"/>
    </row>
    <row r="326" spans="1:120">
      <c r="D326" s="4800" t="s">
        <v>2963</v>
      </c>
      <c r="E326" s="4606">
        <v>1</v>
      </c>
      <c r="F326" s="4606"/>
      <c r="G326" s="4606"/>
      <c r="H326" s="4606">
        <v>0</v>
      </c>
      <c r="I326" s="4606">
        <v>0</v>
      </c>
      <c r="J326" s="4606"/>
      <c r="K326" s="4606">
        <v>0</v>
      </c>
      <c r="L326" s="4606">
        <v>0</v>
      </c>
      <c r="M326" s="4606">
        <v>0</v>
      </c>
      <c r="N326" s="2552"/>
      <c r="O326" s="2552"/>
      <c r="P326" s="2552">
        <v>1</v>
      </c>
      <c r="Q326" s="2552"/>
      <c r="R326" s="2552"/>
      <c r="U326" s="1793"/>
      <c r="V326" s="1793" t="s">
        <v>1344</v>
      </c>
      <c r="W326" s="4804">
        <v>0</v>
      </c>
      <c r="X326" s="4804">
        <v>0</v>
      </c>
      <c r="Y326" s="4804">
        <v>10</v>
      </c>
      <c r="Z326" s="4804">
        <v>0</v>
      </c>
      <c r="AA326" s="4804">
        <v>2</v>
      </c>
      <c r="AB326" s="4804">
        <v>18</v>
      </c>
      <c r="AC326" s="4804">
        <v>11</v>
      </c>
      <c r="AD326" s="4804">
        <v>1</v>
      </c>
      <c r="AE326" s="4702">
        <v>0</v>
      </c>
      <c r="AF326" s="4702">
        <v>42</v>
      </c>
      <c r="AG326" s="1793"/>
      <c r="AI326" s="41"/>
      <c r="AJ326" s="41"/>
      <c r="AK326" s="461"/>
      <c r="AL326" s="461" t="s">
        <v>549</v>
      </c>
      <c r="AM326" s="2002"/>
      <c r="AN326" s="2002"/>
      <c r="AO326" s="2002"/>
      <c r="AP326" s="2002"/>
      <c r="AQ326" s="2002"/>
      <c r="AR326" s="2002">
        <v>3</v>
      </c>
      <c r="AS326" s="2002">
        <v>4</v>
      </c>
      <c r="AT326" s="2002">
        <v>5</v>
      </c>
      <c r="AU326" s="2480"/>
      <c r="AV326" s="2480"/>
      <c r="AW326" s="2480">
        <v>12</v>
      </c>
      <c r="AX326" s="635">
        <f>+(AW325+AW323)/AW326</f>
        <v>0.25</v>
      </c>
      <c r="AY326" s="1977"/>
      <c r="AZ326" s="42"/>
      <c r="BA326" s="42"/>
      <c r="BB326" s="42"/>
      <c r="BC326" s="42" t="s">
        <v>1239</v>
      </c>
      <c r="BD326" s="1993"/>
      <c r="BE326" s="1993"/>
      <c r="BF326" s="1993">
        <v>0</v>
      </c>
      <c r="BG326" s="1993">
        <v>0</v>
      </c>
      <c r="BH326" s="1993"/>
      <c r="BI326" s="1993">
        <v>0</v>
      </c>
      <c r="BJ326" s="1993">
        <v>0</v>
      </c>
      <c r="BK326" s="1993">
        <v>1</v>
      </c>
      <c r="BL326" s="1993">
        <v>5</v>
      </c>
      <c r="BM326" s="70"/>
      <c r="BN326" s="70"/>
      <c r="BO326" s="70">
        <v>6</v>
      </c>
      <c r="BR326" s="105"/>
      <c r="BS326" s="105"/>
      <c r="BT326" s="41"/>
      <c r="BU326" s="41" t="s">
        <v>1240</v>
      </c>
      <c r="BV326" s="1659">
        <v>0</v>
      </c>
      <c r="BW326" s="1659">
        <v>0</v>
      </c>
      <c r="BX326" s="1659"/>
      <c r="BY326" s="1659"/>
      <c r="BZ326" s="1659">
        <v>0</v>
      </c>
      <c r="CA326" s="1659"/>
      <c r="CB326" s="1659">
        <v>0</v>
      </c>
      <c r="CC326" s="1659">
        <v>1</v>
      </c>
      <c r="CD326" s="1659">
        <v>0</v>
      </c>
      <c r="CE326" s="105"/>
      <c r="CF326" s="105"/>
      <c r="CG326" s="105">
        <v>1</v>
      </c>
      <c r="CH326" s="105"/>
      <c r="CJ326" s="1359"/>
      <c r="CK326" s="1359"/>
      <c r="CL326" s="1360"/>
      <c r="CM326" s="1361" t="s">
        <v>1231</v>
      </c>
      <c r="CN326" s="1363">
        <v>10</v>
      </c>
      <c r="CO326" s="1363">
        <v>6</v>
      </c>
      <c r="CP326" s="1363">
        <v>7</v>
      </c>
      <c r="CQ326" s="1363">
        <v>7</v>
      </c>
      <c r="CR326" s="1363">
        <v>9</v>
      </c>
      <c r="CS326" s="1363">
        <v>91</v>
      </c>
      <c r="CT326" s="1363">
        <v>39</v>
      </c>
      <c r="CU326" s="1363">
        <v>7</v>
      </c>
      <c r="CV326" s="687">
        <v>3</v>
      </c>
      <c r="CW326" s="687">
        <v>0</v>
      </c>
      <c r="CX326" s="687">
        <v>179</v>
      </c>
      <c r="CY326" s="41"/>
      <c r="DA326" s="602"/>
      <c r="DB326" s="602"/>
      <c r="DC326" s="603"/>
      <c r="DD326" s="604" t="s">
        <v>1231</v>
      </c>
      <c r="DE326" s="606">
        <v>12</v>
      </c>
      <c r="DF326" s="606">
        <v>9</v>
      </c>
      <c r="DG326" s="606">
        <v>41</v>
      </c>
      <c r="DH326" s="606">
        <v>7</v>
      </c>
      <c r="DI326" s="606">
        <v>3</v>
      </c>
      <c r="DJ326" s="606">
        <v>123</v>
      </c>
      <c r="DK326" s="606">
        <v>53</v>
      </c>
      <c r="DL326" s="606">
        <v>5</v>
      </c>
      <c r="DM326" s="607">
        <v>6</v>
      </c>
      <c r="DN326" s="607">
        <v>0</v>
      </c>
      <c r="DO326" s="607">
        <v>259</v>
      </c>
      <c r="DP326" s="105"/>
    </row>
    <row r="327" spans="1:120">
      <c r="D327" s="4800" t="s">
        <v>1344</v>
      </c>
      <c r="E327" s="4606">
        <v>0</v>
      </c>
      <c r="F327" s="4606"/>
      <c r="G327" s="4606"/>
      <c r="H327" s="4606">
        <v>0</v>
      </c>
      <c r="I327" s="4606">
        <v>0</v>
      </c>
      <c r="J327" s="4606"/>
      <c r="K327" s="4606">
        <v>1</v>
      </c>
      <c r="L327" s="4606">
        <v>0</v>
      </c>
      <c r="M327" s="4606">
        <v>0</v>
      </c>
      <c r="N327" s="2552"/>
      <c r="O327" s="2552"/>
      <c r="P327" s="2552">
        <v>1</v>
      </c>
      <c r="Q327" s="2552"/>
      <c r="R327" s="2552"/>
      <c r="U327" s="1793"/>
      <c r="V327" s="1793" t="s">
        <v>2531</v>
      </c>
      <c r="W327" s="4804">
        <v>0</v>
      </c>
      <c r="X327" s="4804">
        <v>1</v>
      </c>
      <c r="Y327" s="4804">
        <v>0</v>
      </c>
      <c r="Z327" s="4804">
        <v>0</v>
      </c>
      <c r="AA327" s="4804">
        <v>0</v>
      </c>
      <c r="AB327" s="4804">
        <v>0</v>
      </c>
      <c r="AC327" s="4804">
        <v>0</v>
      </c>
      <c r="AD327" s="4804">
        <v>0</v>
      </c>
      <c r="AE327" s="4702">
        <v>0</v>
      </c>
      <c r="AF327" s="4702">
        <v>1</v>
      </c>
      <c r="AG327" s="1793"/>
      <c r="AI327" s="41"/>
      <c r="AJ327" s="41"/>
      <c r="AK327" s="461" t="s">
        <v>260</v>
      </c>
      <c r="AL327" s="461" t="s">
        <v>1231</v>
      </c>
      <c r="AM327" s="2002"/>
      <c r="AN327" s="2002"/>
      <c r="AO327" s="2002"/>
      <c r="AP327" s="2002"/>
      <c r="AQ327" s="2002"/>
      <c r="AR327" s="2002">
        <v>8</v>
      </c>
      <c r="AS327" s="2002">
        <v>0</v>
      </c>
      <c r="AT327" s="2002">
        <v>0</v>
      </c>
      <c r="AU327" s="2480"/>
      <c r="AV327" s="2480"/>
      <c r="AW327" s="2480">
        <v>8</v>
      </c>
      <c r="AX327" s="41"/>
      <c r="AZ327" s="42"/>
      <c r="BA327" s="42"/>
      <c r="BB327" s="42"/>
      <c r="BC327" s="42" t="s">
        <v>1240</v>
      </c>
      <c r="BD327" s="1993"/>
      <c r="BE327" s="1993"/>
      <c r="BF327" s="1993">
        <v>0</v>
      </c>
      <c r="BG327" s="1993">
        <v>0</v>
      </c>
      <c r="BH327" s="1993"/>
      <c r="BI327" s="1993">
        <v>0</v>
      </c>
      <c r="BJ327" s="1993">
        <v>1</v>
      </c>
      <c r="BK327" s="1993">
        <v>7</v>
      </c>
      <c r="BL327" s="1993">
        <v>0</v>
      </c>
      <c r="BM327" s="70"/>
      <c r="BN327" s="70"/>
      <c r="BO327" s="70">
        <v>8</v>
      </c>
      <c r="BR327" s="105"/>
      <c r="BS327" s="105"/>
      <c r="BT327" s="41"/>
      <c r="BU327" s="41" t="s">
        <v>1344</v>
      </c>
      <c r="BV327" s="1659">
        <v>0</v>
      </c>
      <c r="BW327" s="1659">
        <v>0</v>
      </c>
      <c r="BX327" s="1659"/>
      <c r="BY327" s="1659"/>
      <c r="BZ327" s="1659">
        <v>0</v>
      </c>
      <c r="CA327" s="1659"/>
      <c r="CB327" s="1659">
        <v>1</v>
      </c>
      <c r="CC327" s="1659">
        <v>0</v>
      </c>
      <c r="CD327" s="1659">
        <v>0</v>
      </c>
      <c r="CE327" s="105"/>
      <c r="CF327" s="105"/>
      <c r="CG327" s="105">
        <v>1</v>
      </c>
      <c r="CH327" s="105"/>
      <c r="CJ327" s="1359"/>
      <c r="CK327" s="1359"/>
      <c r="CL327" s="1360"/>
      <c r="CM327" s="1361" t="s">
        <v>1233</v>
      </c>
      <c r="CN327" s="1363">
        <v>10</v>
      </c>
      <c r="CO327" s="1363">
        <v>7</v>
      </c>
      <c r="CP327" s="1363">
        <v>3</v>
      </c>
      <c r="CQ327" s="1363">
        <v>1</v>
      </c>
      <c r="CR327" s="1363">
        <v>1</v>
      </c>
      <c r="CS327" s="1363">
        <v>0</v>
      </c>
      <c r="CT327" s="1363">
        <v>0</v>
      </c>
      <c r="CU327" s="1363">
        <v>0</v>
      </c>
      <c r="CV327" s="687">
        <v>0</v>
      </c>
      <c r="CW327" s="687">
        <v>0</v>
      </c>
      <c r="CX327" s="687">
        <v>22</v>
      </c>
      <c r="CY327" s="41"/>
      <c r="DA327" s="602"/>
      <c r="DB327" s="602"/>
      <c r="DC327" s="603"/>
      <c r="DD327" s="604" t="s">
        <v>1233</v>
      </c>
      <c r="DE327" s="606">
        <v>11</v>
      </c>
      <c r="DF327" s="606">
        <v>4</v>
      </c>
      <c r="DG327" s="606">
        <v>0</v>
      </c>
      <c r="DH327" s="606">
        <v>0</v>
      </c>
      <c r="DI327" s="606">
        <v>0</v>
      </c>
      <c r="DJ327" s="606">
        <v>0</v>
      </c>
      <c r="DK327" s="606">
        <v>0</v>
      </c>
      <c r="DL327" s="606">
        <v>0</v>
      </c>
      <c r="DM327" s="607">
        <v>0</v>
      </c>
      <c r="DN327" s="607">
        <v>0</v>
      </c>
      <c r="DO327" s="607">
        <v>15</v>
      </c>
      <c r="DP327" s="105"/>
    </row>
    <row r="328" spans="1:120">
      <c r="D328" s="4800" t="s">
        <v>15</v>
      </c>
      <c r="E328" s="4606">
        <v>1</v>
      </c>
      <c r="F328" s="4606"/>
      <c r="G328" s="4606"/>
      <c r="H328" s="4606">
        <v>1</v>
      </c>
      <c r="I328" s="4606">
        <v>1</v>
      </c>
      <c r="J328" s="4606"/>
      <c r="K328" s="4606">
        <v>7</v>
      </c>
      <c r="L328" s="4606">
        <v>2</v>
      </c>
      <c r="M328" s="4606">
        <v>1</v>
      </c>
      <c r="N328" s="2552"/>
      <c r="O328" s="2552"/>
      <c r="P328" s="2552">
        <v>13</v>
      </c>
      <c r="Q328" s="1977">
        <f>+(P323+P327)/(P328-P326)</f>
        <v>0.16666666666666666</v>
      </c>
      <c r="R328" s="1977"/>
      <c r="U328" s="1793"/>
      <c r="V328" s="1793">
        <v>22</v>
      </c>
      <c r="W328" s="4804">
        <v>0</v>
      </c>
      <c r="X328" s="4804">
        <v>0</v>
      </c>
      <c r="Y328" s="4804">
        <v>0</v>
      </c>
      <c r="Z328" s="4804">
        <v>1</v>
      </c>
      <c r="AA328" s="4804">
        <v>0</v>
      </c>
      <c r="AB328" s="4804">
        <v>1</v>
      </c>
      <c r="AC328" s="4804">
        <v>0</v>
      </c>
      <c r="AD328" s="4804">
        <v>0</v>
      </c>
      <c r="AE328" s="4702">
        <v>0</v>
      </c>
      <c r="AF328" s="4702">
        <v>2</v>
      </c>
      <c r="AG328" s="1793"/>
      <c r="AI328" s="41"/>
      <c r="AJ328" s="41"/>
      <c r="AK328" s="461"/>
      <c r="AL328" s="461" t="s">
        <v>1235</v>
      </c>
      <c r="AM328" s="2002"/>
      <c r="AN328" s="2002"/>
      <c r="AO328" s="2002"/>
      <c r="AP328" s="2002"/>
      <c r="AQ328" s="2002"/>
      <c r="AR328" s="2002">
        <v>0</v>
      </c>
      <c r="AS328" s="2002">
        <v>1</v>
      </c>
      <c r="AT328" s="2002">
        <v>0</v>
      </c>
      <c r="AU328" s="2480"/>
      <c r="AV328" s="2480"/>
      <c r="AW328" s="2480">
        <v>1</v>
      </c>
      <c r="AX328" s="41"/>
      <c r="AZ328" s="42"/>
      <c r="BA328" s="42"/>
      <c r="BB328" s="42"/>
      <c r="BC328" s="484" t="s">
        <v>260</v>
      </c>
      <c r="BD328" s="1994"/>
      <c r="BE328" s="1994"/>
      <c r="BF328" s="1994">
        <v>1</v>
      </c>
      <c r="BG328" s="1994">
        <v>1</v>
      </c>
      <c r="BH328" s="1994"/>
      <c r="BI328" s="1994">
        <v>2</v>
      </c>
      <c r="BJ328" s="1994">
        <v>16</v>
      </c>
      <c r="BK328" s="1994">
        <v>27</v>
      </c>
      <c r="BL328" s="1994">
        <v>5</v>
      </c>
      <c r="BM328" s="454"/>
      <c r="BN328" s="454"/>
      <c r="BO328" s="454">
        <v>52</v>
      </c>
      <c r="BP328" s="536">
        <f>+(BO324+BO327)/BO328</f>
        <v>0.25</v>
      </c>
      <c r="BR328" s="105"/>
      <c r="BS328" s="105"/>
      <c r="BT328" s="41"/>
      <c r="BU328" s="461" t="s">
        <v>15</v>
      </c>
      <c r="BV328" s="1660">
        <v>1</v>
      </c>
      <c r="BW328" s="1660">
        <v>1</v>
      </c>
      <c r="BX328" s="1660"/>
      <c r="BY328" s="1660"/>
      <c r="BZ328" s="1660">
        <v>1</v>
      </c>
      <c r="CA328" s="1660"/>
      <c r="CB328" s="1660">
        <v>3</v>
      </c>
      <c r="CC328" s="1660">
        <v>7</v>
      </c>
      <c r="CD328" s="1660">
        <v>1</v>
      </c>
      <c r="CE328" s="96"/>
      <c r="CF328" s="96"/>
      <c r="CG328" s="96">
        <v>14</v>
      </c>
      <c r="CH328" s="635">
        <f>+(CG324+CG326+CG327)/CG328</f>
        <v>0.2857142857142857</v>
      </c>
      <c r="CJ328" s="1359"/>
      <c r="CK328" s="1359"/>
      <c r="CL328" s="1360"/>
      <c r="CM328" s="1361" t="s">
        <v>1235</v>
      </c>
      <c r="CN328" s="1363">
        <v>0</v>
      </c>
      <c r="CO328" s="1363">
        <v>0</v>
      </c>
      <c r="CP328" s="1363">
        <v>8</v>
      </c>
      <c r="CQ328" s="1363">
        <v>3</v>
      </c>
      <c r="CR328" s="1363">
        <v>3</v>
      </c>
      <c r="CS328" s="1363">
        <v>31</v>
      </c>
      <c r="CT328" s="1363">
        <v>19</v>
      </c>
      <c r="CU328" s="1363">
        <v>1</v>
      </c>
      <c r="CV328" s="687">
        <v>0</v>
      </c>
      <c r="CW328" s="687">
        <v>0</v>
      </c>
      <c r="CX328" s="687">
        <v>65</v>
      </c>
      <c r="CY328" s="41"/>
      <c r="DA328" s="602"/>
      <c r="DB328" s="602"/>
      <c r="DC328" s="603"/>
      <c r="DD328" s="604" t="s">
        <v>1235</v>
      </c>
      <c r="DE328" s="606">
        <v>0</v>
      </c>
      <c r="DF328" s="606">
        <v>0</v>
      </c>
      <c r="DG328" s="606">
        <v>1</v>
      </c>
      <c r="DH328" s="606">
        <v>0</v>
      </c>
      <c r="DI328" s="606">
        <v>1</v>
      </c>
      <c r="DJ328" s="606">
        <v>26</v>
      </c>
      <c r="DK328" s="606">
        <v>70</v>
      </c>
      <c r="DL328" s="606">
        <v>10</v>
      </c>
      <c r="DM328" s="607">
        <v>2</v>
      </c>
      <c r="DN328" s="607">
        <v>0</v>
      </c>
      <c r="DO328" s="607">
        <v>110</v>
      </c>
      <c r="DP328" s="105"/>
    </row>
    <row r="329" spans="1:120" ht="15" thickBot="1">
      <c r="C329" s="32" t="s">
        <v>545</v>
      </c>
      <c r="D329" s="32" t="s">
        <v>1231</v>
      </c>
      <c r="E329" s="4607">
        <v>0</v>
      </c>
      <c r="F329" s="4607"/>
      <c r="G329" s="4607"/>
      <c r="H329" s="4607">
        <v>0</v>
      </c>
      <c r="I329" s="4607">
        <v>1</v>
      </c>
      <c r="J329" s="4607"/>
      <c r="K329" s="4607">
        <v>5</v>
      </c>
      <c r="L329" s="4607">
        <v>0</v>
      </c>
      <c r="M329" s="4607">
        <v>0</v>
      </c>
      <c r="N329" s="4583"/>
      <c r="O329" s="4583"/>
      <c r="P329" s="4583">
        <v>6</v>
      </c>
      <c r="Q329" s="4583"/>
      <c r="R329" s="4583"/>
      <c r="S329" s="4760"/>
      <c r="T329" s="4760"/>
      <c r="U329" s="4698"/>
      <c r="V329" s="4698" t="s">
        <v>113</v>
      </c>
      <c r="W329" s="4802">
        <v>28</v>
      </c>
      <c r="X329" s="4802">
        <v>11</v>
      </c>
      <c r="Y329" s="4802">
        <v>21</v>
      </c>
      <c r="Z329" s="4802">
        <v>12</v>
      </c>
      <c r="AA329" s="4802">
        <v>16</v>
      </c>
      <c r="AB329" s="4802">
        <v>277</v>
      </c>
      <c r="AC329" s="4802">
        <v>225</v>
      </c>
      <c r="AD329" s="4802">
        <v>46</v>
      </c>
      <c r="AE329" s="4697">
        <v>38</v>
      </c>
      <c r="AF329" s="4697">
        <v>674</v>
      </c>
      <c r="AG329" s="4711">
        <f>+(AF322+AF325+AF326)/AF329</f>
        <v>0.21216617210682492</v>
      </c>
      <c r="AI329" s="41"/>
      <c r="AJ329" s="41"/>
      <c r="AK329" s="461"/>
      <c r="AL329" s="461" t="s">
        <v>1239</v>
      </c>
      <c r="AM329" s="2002"/>
      <c r="AN329" s="2002"/>
      <c r="AO329" s="2002"/>
      <c r="AP329" s="2002"/>
      <c r="AQ329" s="2002"/>
      <c r="AR329" s="2002">
        <v>0</v>
      </c>
      <c r="AS329" s="2002">
        <v>24</v>
      </c>
      <c r="AT329" s="2002">
        <v>7</v>
      </c>
      <c r="AU329" s="2480"/>
      <c r="AV329" s="2480"/>
      <c r="AW329" s="2480">
        <v>31</v>
      </c>
      <c r="AX329" s="41"/>
      <c r="AZ329" s="42"/>
      <c r="BA329" s="42"/>
      <c r="BB329" s="42" t="s">
        <v>113</v>
      </c>
      <c r="BC329" s="42" t="s">
        <v>1230</v>
      </c>
      <c r="BD329" s="1993">
        <v>0</v>
      </c>
      <c r="BE329" s="1993">
        <v>0</v>
      </c>
      <c r="BF329" s="1993">
        <v>0</v>
      </c>
      <c r="BG329" s="1993">
        <v>0</v>
      </c>
      <c r="BH329" s="1993">
        <v>0</v>
      </c>
      <c r="BI329" s="1993">
        <v>1</v>
      </c>
      <c r="BJ329" s="1993">
        <v>0</v>
      </c>
      <c r="BK329" s="1993">
        <v>5</v>
      </c>
      <c r="BL329" s="1993">
        <v>11</v>
      </c>
      <c r="BM329" s="70">
        <v>4</v>
      </c>
      <c r="BN329" s="70">
        <v>4</v>
      </c>
      <c r="BO329" s="70">
        <v>25</v>
      </c>
      <c r="BR329" s="105"/>
      <c r="BS329" s="105"/>
      <c r="BT329" s="41" t="s">
        <v>260</v>
      </c>
      <c r="BU329" s="41" t="s">
        <v>1231</v>
      </c>
      <c r="BV329" s="1659">
        <v>1</v>
      </c>
      <c r="BW329" s="1659">
        <v>0</v>
      </c>
      <c r="BX329" s="1659"/>
      <c r="BY329" s="1659"/>
      <c r="BZ329" s="1659">
        <v>1</v>
      </c>
      <c r="CA329" s="1659"/>
      <c r="CB329" s="1659">
        <v>7</v>
      </c>
      <c r="CC329" s="1659">
        <v>7</v>
      </c>
      <c r="CD329" s="1659">
        <v>0</v>
      </c>
      <c r="CE329" s="105"/>
      <c r="CF329" s="105"/>
      <c r="CG329" s="105">
        <v>16</v>
      </c>
      <c r="CH329" s="105"/>
      <c r="CJ329" s="1359"/>
      <c r="CK329" s="1359"/>
      <c r="CL329" s="1360"/>
      <c r="CM329" s="1361" t="s">
        <v>1236</v>
      </c>
      <c r="CN329" s="1363">
        <v>0</v>
      </c>
      <c r="CO329" s="1363">
        <v>2</v>
      </c>
      <c r="CP329" s="1363">
        <v>8</v>
      </c>
      <c r="CQ329" s="1363">
        <v>9</v>
      </c>
      <c r="CR329" s="1363">
        <v>8</v>
      </c>
      <c r="CS329" s="1363">
        <v>10</v>
      </c>
      <c r="CT329" s="1363">
        <v>1</v>
      </c>
      <c r="CU329" s="1363">
        <v>0</v>
      </c>
      <c r="CV329" s="687">
        <v>0</v>
      </c>
      <c r="CW329" s="687">
        <v>0</v>
      </c>
      <c r="CX329" s="687">
        <v>38</v>
      </c>
      <c r="CY329" s="41"/>
      <c r="DA329" s="602"/>
      <c r="DB329" s="602"/>
      <c r="DC329" s="603"/>
      <c r="DD329" s="604" t="s">
        <v>1236</v>
      </c>
      <c r="DE329" s="606">
        <v>2</v>
      </c>
      <c r="DF329" s="606">
        <v>2</v>
      </c>
      <c r="DG329" s="606">
        <v>3</v>
      </c>
      <c r="DH329" s="606">
        <v>2</v>
      </c>
      <c r="DI329" s="606">
        <v>3</v>
      </c>
      <c r="DJ329" s="606">
        <v>2</v>
      </c>
      <c r="DK329" s="606">
        <v>2</v>
      </c>
      <c r="DL329" s="606">
        <v>0</v>
      </c>
      <c r="DM329" s="607">
        <v>0</v>
      </c>
      <c r="DN329" s="607">
        <v>0</v>
      </c>
      <c r="DO329" s="607">
        <v>16</v>
      </c>
      <c r="DP329" s="105"/>
    </row>
    <row r="330" spans="1:120" ht="15" thickBot="1">
      <c r="C330" s="32"/>
      <c r="D330" s="32" t="s">
        <v>1235</v>
      </c>
      <c r="E330" s="4607">
        <v>0</v>
      </c>
      <c r="F330" s="4607"/>
      <c r="G330" s="4607"/>
      <c r="H330" s="4607">
        <v>0</v>
      </c>
      <c r="I330" s="4607">
        <v>0</v>
      </c>
      <c r="J330" s="4607"/>
      <c r="K330" s="4607">
        <v>1</v>
      </c>
      <c r="L330" s="4607">
        <v>0</v>
      </c>
      <c r="M330" s="4607">
        <v>0</v>
      </c>
      <c r="N330" s="4583"/>
      <c r="O330" s="4583"/>
      <c r="P330" s="4583">
        <v>1</v>
      </c>
      <c r="Q330" s="4583"/>
      <c r="R330" s="4583"/>
      <c r="S330" s="4760"/>
      <c r="T330" s="4760"/>
      <c r="U330" s="4698"/>
      <c r="V330" s="4698"/>
      <c r="W330" s="4802"/>
      <c r="X330" s="4802"/>
      <c r="Y330" s="4802"/>
      <c r="Z330" s="4802"/>
      <c r="AA330" s="4802"/>
      <c r="AB330" s="4802"/>
      <c r="AC330" s="4802"/>
      <c r="AD330" s="4802"/>
      <c r="AE330" s="4697"/>
      <c r="AF330" s="4697"/>
      <c r="AG330" s="4697"/>
      <c r="AI330" s="41"/>
      <c r="AJ330" s="41"/>
      <c r="AK330" s="461"/>
      <c r="AL330" s="461" t="s">
        <v>1344</v>
      </c>
      <c r="AM330" s="2002"/>
      <c r="AN330" s="2002"/>
      <c r="AO330" s="2002"/>
      <c r="AP330" s="2002"/>
      <c r="AQ330" s="2002"/>
      <c r="AR330" s="2002">
        <v>2</v>
      </c>
      <c r="AS330" s="2002">
        <v>0</v>
      </c>
      <c r="AT330" s="2002">
        <v>0</v>
      </c>
      <c r="AU330" s="2480"/>
      <c r="AV330" s="2480"/>
      <c r="AW330" s="2480">
        <v>2</v>
      </c>
      <c r="AX330" s="41"/>
      <c r="AZ330" s="42"/>
      <c r="BA330" s="42"/>
      <c r="BB330" s="42"/>
      <c r="BC330" s="42" t="s">
        <v>1231</v>
      </c>
      <c r="BD330" s="1993">
        <v>2</v>
      </c>
      <c r="BE330" s="1993">
        <v>14</v>
      </c>
      <c r="BF330" s="1993">
        <v>8</v>
      </c>
      <c r="BG330" s="1993">
        <v>4</v>
      </c>
      <c r="BH330" s="1993">
        <v>8</v>
      </c>
      <c r="BI330" s="1993">
        <v>12</v>
      </c>
      <c r="BJ330" s="1993">
        <v>126</v>
      </c>
      <c r="BK330" s="1993">
        <v>61</v>
      </c>
      <c r="BL330" s="1993">
        <v>7</v>
      </c>
      <c r="BM330" s="70">
        <v>1</v>
      </c>
      <c r="BN330" s="70">
        <v>0</v>
      </c>
      <c r="BO330" s="70">
        <v>243</v>
      </c>
      <c r="BR330" s="105"/>
      <c r="BS330" s="105"/>
      <c r="BT330" s="41"/>
      <c r="BU330" s="41" t="s">
        <v>1233</v>
      </c>
      <c r="BV330" s="1659">
        <v>0</v>
      </c>
      <c r="BW330" s="1659">
        <v>1</v>
      </c>
      <c r="BX330" s="1659"/>
      <c r="BY330" s="1659"/>
      <c r="BZ330" s="1659">
        <v>0</v>
      </c>
      <c r="CA330" s="1659"/>
      <c r="CB330" s="1659">
        <v>0</v>
      </c>
      <c r="CC330" s="1659">
        <v>0</v>
      </c>
      <c r="CD330" s="1659">
        <v>0</v>
      </c>
      <c r="CE330" s="105"/>
      <c r="CF330" s="105"/>
      <c r="CG330" s="105">
        <v>1</v>
      </c>
      <c r="CH330" s="105"/>
      <c r="CJ330" s="1359"/>
      <c r="CK330" s="1359"/>
      <c r="CL330" s="1360"/>
      <c r="CM330" s="1361" t="s">
        <v>1239</v>
      </c>
      <c r="CN330" s="1363">
        <v>0</v>
      </c>
      <c r="CO330" s="1363">
        <v>0</v>
      </c>
      <c r="CP330" s="1363">
        <v>0</v>
      </c>
      <c r="CQ330" s="1363">
        <v>2</v>
      </c>
      <c r="CR330" s="1363">
        <v>4</v>
      </c>
      <c r="CS330" s="1363">
        <v>1</v>
      </c>
      <c r="CT330" s="1363">
        <v>8</v>
      </c>
      <c r="CU330" s="1363">
        <v>87</v>
      </c>
      <c r="CV330" s="687">
        <v>5</v>
      </c>
      <c r="CW330" s="687">
        <v>15</v>
      </c>
      <c r="CX330" s="687">
        <v>122</v>
      </c>
      <c r="CY330" s="41"/>
      <c r="DA330" s="602"/>
      <c r="DB330" s="602"/>
      <c r="DC330" s="603"/>
      <c r="DD330" s="604" t="s">
        <v>1239</v>
      </c>
      <c r="DE330" s="606">
        <v>0</v>
      </c>
      <c r="DF330" s="606">
        <v>0</v>
      </c>
      <c r="DG330" s="606">
        <v>0</v>
      </c>
      <c r="DH330" s="606">
        <v>0</v>
      </c>
      <c r="DI330" s="606">
        <v>0</v>
      </c>
      <c r="DJ330" s="606">
        <v>0</v>
      </c>
      <c r="DK330" s="606">
        <v>8</v>
      </c>
      <c r="DL330" s="606">
        <v>95</v>
      </c>
      <c r="DM330" s="607">
        <v>4</v>
      </c>
      <c r="DN330" s="607">
        <v>3</v>
      </c>
      <c r="DO330" s="607">
        <v>110</v>
      </c>
      <c r="DP330" s="105"/>
    </row>
    <row r="331" spans="1:120">
      <c r="C331" s="32"/>
      <c r="D331" s="32" t="s">
        <v>1236</v>
      </c>
      <c r="E331" s="4607">
        <v>0</v>
      </c>
      <c r="F331" s="4607"/>
      <c r="G331" s="4607"/>
      <c r="H331" s="4607">
        <v>1</v>
      </c>
      <c r="I331" s="4607">
        <v>0</v>
      </c>
      <c r="J331" s="4607"/>
      <c r="K331" s="4607">
        <v>0</v>
      </c>
      <c r="L331" s="4607">
        <v>0</v>
      </c>
      <c r="M331" s="4607">
        <v>0</v>
      </c>
      <c r="N331" s="4583"/>
      <c r="O331" s="4583"/>
      <c r="P331" s="4583">
        <v>1</v>
      </c>
      <c r="Q331" s="4583"/>
      <c r="R331" s="4583"/>
      <c r="AI331" s="41"/>
      <c r="AJ331" s="41"/>
      <c r="AK331" s="461"/>
      <c r="AL331" s="461" t="s">
        <v>260</v>
      </c>
      <c r="AM331" s="2002"/>
      <c r="AN331" s="2002"/>
      <c r="AO331" s="2002"/>
      <c r="AP331" s="2002"/>
      <c r="AQ331" s="2002"/>
      <c r="AR331" s="2002">
        <v>10</v>
      </c>
      <c r="AS331" s="2002">
        <v>25</v>
      </c>
      <c r="AT331" s="2002">
        <v>7</v>
      </c>
      <c r="AU331" s="2480"/>
      <c r="AV331" s="2480"/>
      <c r="AW331" s="2480">
        <v>42</v>
      </c>
      <c r="AX331" s="635">
        <f>+(AW330+AW328)/AW331</f>
        <v>7.1428571428571425E-2</v>
      </c>
      <c r="AY331" s="1977"/>
      <c r="AZ331" s="42"/>
      <c r="BA331" s="42"/>
      <c r="BB331" s="42"/>
      <c r="BC331" s="42" t="s">
        <v>1233</v>
      </c>
      <c r="BD331" s="1993">
        <v>1</v>
      </c>
      <c r="BE331" s="1993">
        <v>4</v>
      </c>
      <c r="BF331" s="1993">
        <v>2</v>
      </c>
      <c r="BG331" s="1993">
        <v>1</v>
      </c>
      <c r="BH331" s="1993">
        <v>0</v>
      </c>
      <c r="BI331" s="1993">
        <v>0</v>
      </c>
      <c r="BJ331" s="1993">
        <v>0</v>
      </c>
      <c r="BK331" s="1993">
        <v>0</v>
      </c>
      <c r="BL331" s="1993">
        <v>0</v>
      </c>
      <c r="BM331" s="70">
        <v>0</v>
      </c>
      <c r="BN331" s="70">
        <v>0</v>
      </c>
      <c r="BO331" s="70">
        <v>8</v>
      </c>
      <c r="BR331" s="105"/>
      <c r="BS331" s="105"/>
      <c r="BT331" s="41"/>
      <c r="BU331" s="41" t="s">
        <v>1235</v>
      </c>
      <c r="BV331" s="1659">
        <v>0</v>
      </c>
      <c r="BW331" s="1659">
        <v>0</v>
      </c>
      <c r="BX331" s="1659"/>
      <c r="BY331" s="1659"/>
      <c r="BZ331" s="1659">
        <v>0</v>
      </c>
      <c r="CA331" s="1659"/>
      <c r="CB331" s="1659">
        <v>3</v>
      </c>
      <c r="CC331" s="1659">
        <v>8</v>
      </c>
      <c r="CD331" s="1659">
        <v>0</v>
      </c>
      <c r="CE331" s="105"/>
      <c r="CF331" s="105"/>
      <c r="CG331" s="105">
        <v>11</v>
      </c>
      <c r="CH331" s="105"/>
      <c r="CJ331" s="1359"/>
      <c r="CK331" s="1359"/>
      <c r="CL331" s="1360"/>
      <c r="CM331" s="1361" t="s">
        <v>1240</v>
      </c>
      <c r="CN331" s="1363">
        <v>0</v>
      </c>
      <c r="CO331" s="1363">
        <v>0</v>
      </c>
      <c r="CP331" s="1363">
        <v>0</v>
      </c>
      <c r="CQ331" s="1363">
        <v>1</v>
      </c>
      <c r="CR331" s="1363">
        <v>2</v>
      </c>
      <c r="CS331" s="1363">
        <v>43</v>
      </c>
      <c r="CT331" s="1363">
        <v>6</v>
      </c>
      <c r="CU331" s="1363">
        <v>1</v>
      </c>
      <c r="CV331" s="687">
        <v>0</v>
      </c>
      <c r="CW331" s="687">
        <v>1</v>
      </c>
      <c r="CX331" s="687">
        <v>54</v>
      </c>
      <c r="CY331" s="41"/>
      <c r="DA331" s="602"/>
      <c r="DB331" s="602"/>
      <c r="DC331" s="603"/>
      <c r="DD331" s="604" t="s">
        <v>1240</v>
      </c>
      <c r="DE331" s="606">
        <v>0</v>
      </c>
      <c r="DF331" s="606">
        <v>0</v>
      </c>
      <c r="DG331" s="606">
        <v>7</v>
      </c>
      <c r="DH331" s="606">
        <v>0</v>
      </c>
      <c r="DI331" s="606">
        <v>2</v>
      </c>
      <c r="DJ331" s="606">
        <v>23</v>
      </c>
      <c r="DK331" s="606">
        <v>9</v>
      </c>
      <c r="DL331" s="606">
        <v>2</v>
      </c>
      <c r="DM331" s="607">
        <v>0</v>
      </c>
      <c r="DN331" s="607">
        <v>0</v>
      </c>
      <c r="DO331" s="607">
        <v>43</v>
      </c>
      <c r="DP331" s="105"/>
    </row>
    <row r="332" spans="1:120">
      <c r="C332" s="32"/>
      <c r="D332" s="32" t="s">
        <v>1239</v>
      </c>
      <c r="E332" s="4607">
        <v>0</v>
      </c>
      <c r="F332" s="4607"/>
      <c r="G332" s="4607"/>
      <c r="H332" s="4607">
        <v>0</v>
      </c>
      <c r="I332" s="4607">
        <v>0</v>
      </c>
      <c r="J332" s="4607"/>
      <c r="K332" s="4607">
        <v>0</v>
      </c>
      <c r="L332" s="4607">
        <v>2</v>
      </c>
      <c r="M332" s="4607">
        <v>1</v>
      </c>
      <c r="N332" s="4583"/>
      <c r="O332" s="4583"/>
      <c r="P332" s="4583">
        <v>3</v>
      </c>
      <c r="Q332" s="4583"/>
      <c r="R332" s="4583"/>
      <c r="AI332" s="41"/>
      <c r="AJ332" s="41"/>
      <c r="AK332" s="461" t="s">
        <v>113</v>
      </c>
      <c r="AL332" s="461" t="s">
        <v>1230</v>
      </c>
      <c r="AM332" s="2002">
        <v>0</v>
      </c>
      <c r="AN332" s="2002">
        <v>0</v>
      </c>
      <c r="AO332" s="2002">
        <v>1</v>
      </c>
      <c r="AP332" s="2002">
        <v>0</v>
      </c>
      <c r="AQ332" s="2002">
        <v>2</v>
      </c>
      <c r="AR332" s="2002">
        <v>2</v>
      </c>
      <c r="AS332" s="2002">
        <v>6</v>
      </c>
      <c r="AT332" s="2002">
        <v>14</v>
      </c>
      <c r="AU332" s="2480">
        <v>0</v>
      </c>
      <c r="AV332" s="2480">
        <v>0</v>
      </c>
      <c r="AW332" s="2480">
        <v>25</v>
      </c>
      <c r="AX332" s="41"/>
      <c r="AZ332" s="42"/>
      <c r="BA332" s="42"/>
      <c r="BB332" s="42"/>
      <c r="BC332" s="42" t="s">
        <v>1235</v>
      </c>
      <c r="BD332" s="1993">
        <v>0</v>
      </c>
      <c r="BE332" s="1993">
        <v>0</v>
      </c>
      <c r="BF332" s="1993">
        <v>0</v>
      </c>
      <c r="BG332" s="1993">
        <v>0</v>
      </c>
      <c r="BH332" s="1993">
        <v>5</v>
      </c>
      <c r="BI332" s="1993">
        <v>2</v>
      </c>
      <c r="BJ332" s="1993">
        <v>47</v>
      </c>
      <c r="BK332" s="1993">
        <v>33</v>
      </c>
      <c r="BL332" s="1993">
        <v>8</v>
      </c>
      <c r="BM332" s="70">
        <v>2</v>
      </c>
      <c r="BN332" s="70">
        <v>0</v>
      </c>
      <c r="BO332" s="70">
        <v>97</v>
      </c>
      <c r="BR332" s="105"/>
      <c r="BS332" s="105"/>
      <c r="BT332" s="41"/>
      <c r="BU332" s="41" t="s">
        <v>1236</v>
      </c>
      <c r="BV332" s="1659">
        <v>0</v>
      </c>
      <c r="BW332" s="1659">
        <v>0</v>
      </c>
      <c r="BX332" s="1659"/>
      <c r="BY332" s="1659"/>
      <c r="BZ332" s="1659">
        <v>0</v>
      </c>
      <c r="CA332" s="1659"/>
      <c r="CB332" s="1659">
        <v>1</v>
      </c>
      <c r="CC332" s="1659">
        <v>0</v>
      </c>
      <c r="CD332" s="1659">
        <v>0</v>
      </c>
      <c r="CE332" s="105"/>
      <c r="CF332" s="105"/>
      <c r="CG332" s="105">
        <v>1</v>
      </c>
      <c r="CH332" s="105"/>
      <c r="CJ332" s="1359"/>
      <c r="CK332" s="1359"/>
      <c r="CL332" s="1360"/>
      <c r="CM332" s="1361" t="s">
        <v>1344</v>
      </c>
      <c r="CN332" s="1363">
        <v>0</v>
      </c>
      <c r="CO332" s="1363">
        <v>0</v>
      </c>
      <c r="CP332" s="1363">
        <v>8</v>
      </c>
      <c r="CQ332" s="1363">
        <v>5</v>
      </c>
      <c r="CR332" s="1363">
        <v>4</v>
      </c>
      <c r="CS332" s="1363">
        <v>57</v>
      </c>
      <c r="CT332" s="1363">
        <v>12</v>
      </c>
      <c r="CU332" s="1363">
        <v>7</v>
      </c>
      <c r="CV332" s="687">
        <v>0</v>
      </c>
      <c r="CW332" s="687">
        <v>0</v>
      </c>
      <c r="CX332" s="687">
        <v>93</v>
      </c>
      <c r="CY332" s="41"/>
      <c r="DA332" s="602"/>
      <c r="DB332" s="602"/>
      <c r="DC332" s="603"/>
      <c r="DD332" s="604" t="s">
        <v>1344</v>
      </c>
      <c r="DE332" s="606">
        <v>0</v>
      </c>
      <c r="DF332" s="606">
        <v>0</v>
      </c>
      <c r="DG332" s="606">
        <v>13</v>
      </c>
      <c r="DH332" s="606">
        <v>6</v>
      </c>
      <c r="DI332" s="606">
        <v>0</v>
      </c>
      <c r="DJ332" s="606">
        <v>57</v>
      </c>
      <c r="DK332" s="606">
        <v>28</v>
      </c>
      <c r="DL332" s="606">
        <v>9</v>
      </c>
      <c r="DM332" s="607">
        <v>0</v>
      </c>
      <c r="DN332" s="607">
        <v>0</v>
      </c>
      <c r="DO332" s="607">
        <v>113</v>
      </c>
      <c r="DP332" s="105"/>
    </row>
    <row r="333" spans="1:120" ht="15" thickBot="1">
      <c r="C333" s="32"/>
      <c r="D333" s="32" t="s">
        <v>2963</v>
      </c>
      <c r="E333" s="4607">
        <v>1</v>
      </c>
      <c r="F333" s="4607"/>
      <c r="G333" s="4607"/>
      <c r="H333" s="4607">
        <v>0</v>
      </c>
      <c r="I333" s="4607">
        <v>0</v>
      </c>
      <c r="J333" s="4607"/>
      <c r="K333" s="4607">
        <v>0</v>
      </c>
      <c r="L333" s="4607">
        <v>0</v>
      </c>
      <c r="M333" s="4607">
        <v>0</v>
      </c>
      <c r="N333" s="4583"/>
      <c r="O333" s="4583"/>
      <c r="P333" s="4583">
        <v>1</v>
      </c>
      <c r="Q333" s="4583"/>
      <c r="R333" s="4583"/>
      <c r="AI333" s="41"/>
      <c r="AJ333" s="41"/>
      <c r="AK333" s="461"/>
      <c r="AL333" s="461" t="s">
        <v>1231</v>
      </c>
      <c r="AM333" s="2002">
        <v>8</v>
      </c>
      <c r="AN333" s="2002">
        <v>11</v>
      </c>
      <c r="AO333" s="2002">
        <v>5</v>
      </c>
      <c r="AP333" s="2002">
        <v>6</v>
      </c>
      <c r="AQ333" s="2002">
        <v>5</v>
      </c>
      <c r="AR333" s="2002">
        <v>117</v>
      </c>
      <c r="AS333" s="2002">
        <v>45</v>
      </c>
      <c r="AT333" s="2002">
        <v>7</v>
      </c>
      <c r="AU333" s="2480">
        <v>1</v>
      </c>
      <c r="AV333" s="2480">
        <v>0</v>
      </c>
      <c r="AW333" s="2480">
        <v>205</v>
      </c>
      <c r="AX333" s="41"/>
      <c r="AZ333" s="42"/>
      <c r="BA333" s="42"/>
      <c r="BB333" s="42"/>
      <c r="BC333" s="42" t="s">
        <v>1236</v>
      </c>
      <c r="BD333" s="1993">
        <v>0</v>
      </c>
      <c r="BE333" s="1993">
        <v>1</v>
      </c>
      <c r="BF333" s="1993">
        <v>4</v>
      </c>
      <c r="BG333" s="1993">
        <v>1</v>
      </c>
      <c r="BH333" s="1993">
        <v>5</v>
      </c>
      <c r="BI333" s="1993">
        <v>3</v>
      </c>
      <c r="BJ333" s="1993">
        <v>0</v>
      </c>
      <c r="BK333" s="1993">
        <v>0</v>
      </c>
      <c r="BL333" s="1993">
        <v>0</v>
      </c>
      <c r="BM333" s="70">
        <v>0</v>
      </c>
      <c r="BN333" s="70">
        <v>0</v>
      </c>
      <c r="BO333" s="70">
        <v>14</v>
      </c>
      <c r="BR333" s="105"/>
      <c r="BS333" s="105"/>
      <c r="BT333" s="41"/>
      <c r="BU333" s="41" t="s">
        <v>1239</v>
      </c>
      <c r="BV333" s="1659">
        <v>0</v>
      </c>
      <c r="BW333" s="1659">
        <v>0</v>
      </c>
      <c r="BX333" s="1659"/>
      <c r="BY333" s="1659"/>
      <c r="BZ333" s="1659">
        <v>0</v>
      </c>
      <c r="CA333" s="1659"/>
      <c r="CB333" s="1659">
        <v>0</v>
      </c>
      <c r="CC333" s="1659">
        <v>0</v>
      </c>
      <c r="CD333" s="1659">
        <v>1</v>
      </c>
      <c r="CE333" s="105"/>
      <c r="CF333" s="105"/>
      <c r="CG333" s="105">
        <v>1</v>
      </c>
      <c r="CH333" s="105"/>
      <c r="CJ333" s="1366"/>
      <c r="CK333" s="1366"/>
      <c r="CL333" s="1367"/>
      <c r="CM333" s="1368" t="s">
        <v>113</v>
      </c>
      <c r="CN333" s="1369">
        <v>20</v>
      </c>
      <c r="CO333" s="1369">
        <v>15</v>
      </c>
      <c r="CP333" s="1369">
        <v>34</v>
      </c>
      <c r="CQ333" s="1369">
        <v>28</v>
      </c>
      <c r="CR333" s="1369">
        <v>32</v>
      </c>
      <c r="CS333" s="1369">
        <v>236</v>
      </c>
      <c r="CT333" s="1369">
        <v>89</v>
      </c>
      <c r="CU333" s="1369">
        <v>117</v>
      </c>
      <c r="CV333" s="735">
        <v>10</v>
      </c>
      <c r="CW333" s="735">
        <v>27</v>
      </c>
      <c r="CX333" s="735">
        <v>608</v>
      </c>
      <c r="CY333" s="1332">
        <f>+(CX328+CX331-CW331+CX332)/CX333</f>
        <v>0.34703947368421051</v>
      </c>
      <c r="DA333" s="657"/>
      <c r="DB333" s="657"/>
      <c r="DC333" s="658"/>
      <c r="DD333" s="659" t="s">
        <v>113</v>
      </c>
      <c r="DE333" s="660">
        <v>25</v>
      </c>
      <c r="DF333" s="660">
        <v>15</v>
      </c>
      <c r="DG333" s="660">
        <v>66</v>
      </c>
      <c r="DH333" s="660">
        <v>16</v>
      </c>
      <c r="DI333" s="660">
        <v>9</v>
      </c>
      <c r="DJ333" s="660">
        <v>232</v>
      </c>
      <c r="DK333" s="660">
        <v>174</v>
      </c>
      <c r="DL333" s="660">
        <v>147</v>
      </c>
      <c r="DM333" s="661">
        <v>15</v>
      </c>
      <c r="DN333" s="661">
        <v>10</v>
      </c>
      <c r="DO333" s="661">
        <v>709</v>
      </c>
      <c r="DP333" s="662">
        <f>+(DO328-DM328+DO331+DO332)/DO333</f>
        <v>0.37235543018335682</v>
      </c>
    </row>
    <row r="334" spans="1:120">
      <c r="C334" s="32"/>
      <c r="D334" s="32" t="s">
        <v>1344</v>
      </c>
      <c r="E334" s="4607">
        <v>0</v>
      </c>
      <c r="F334" s="4607"/>
      <c r="G334" s="4607"/>
      <c r="H334" s="4607">
        <v>0</v>
      </c>
      <c r="I334" s="4607">
        <v>0</v>
      </c>
      <c r="J334" s="4607"/>
      <c r="K334" s="4607">
        <v>1</v>
      </c>
      <c r="L334" s="4607">
        <v>0</v>
      </c>
      <c r="M334" s="4607">
        <v>0</v>
      </c>
      <c r="N334" s="4583"/>
      <c r="O334" s="4583"/>
      <c r="P334" s="4583">
        <v>1</v>
      </c>
      <c r="Q334" s="4583"/>
      <c r="R334" s="4583"/>
      <c r="AI334" s="41"/>
      <c r="AJ334" s="41"/>
      <c r="AK334" s="461"/>
      <c r="AL334" s="461" t="s">
        <v>1233</v>
      </c>
      <c r="AM334" s="2002">
        <v>4</v>
      </c>
      <c r="AN334" s="2002">
        <v>0</v>
      </c>
      <c r="AO334" s="2002">
        <v>0</v>
      </c>
      <c r="AP334" s="2002">
        <v>1</v>
      </c>
      <c r="AQ334" s="2002">
        <v>1</v>
      </c>
      <c r="AR334" s="2002">
        <v>0</v>
      </c>
      <c r="AS334" s="2002">
        <v>0</v>
      </c>
      <c r="AT334" s="2002">
        <v>0</v>
      </c>
      <c r="AU334" s="2480">
        <v>0</v>
      </c>
      <c r="AV334" s="2480">
        <v>0</v>
      </c>
      <c r="AW334" s="2480">
        <v>6</v>
      </c>
      <c r="AX334" s="41"/>
      <c r="AZ334" s="42"/>
      <c r="BA334" s="42"/>
      <c r="BB334" s="42"/>
      <c r="BC334" s="42" t="s">
        <v>1239</v>
      </c>
      <c r="BD334" s="1993">
        <v>0</v>
      </c>
      <c r="BE334" s="1993">
        <v>0</v>
      </c>
      <c r="BF334" s="1993">
        <v>0</v>
      </c>
      <c r="BG334" s="1993">
        <v>0</v>
      </c>
      <c r="BH334" s="1993">
        <v>0</v>
      </c>
      <c r="BI334" s="1993">
        <v>1</v>
      </c>
      <c r="BJ334" s="1993">
        <v>0</v>
      </c>
      <c r="BK334" s="1993">
        <v>4</v>
      </c>
      <c r="BL334" s="1993">
        <v>115</v>
      </c>
      <c r="BM334" s="70">
        <v>11</v>
      </c>
      <c r="BN334" s="70">
        <v>8</v>
      </c>
      <c r="BO334" s="70">
        <v>139</v>
      </c>
      <c r="BR334" s="105"/>
      <c r="BS334" s="105"/>
      <c r="BT334" s="41"/>
      <c r="BU334" s="41" t="s">
        <v>1240</v>
      </c>
      <c r="BV334" s="1659">
        <v>0</v>
      </c>
      <c r="BW334" s="1659">
        <v>0</v>
      </c>
      <c r="BX334" s="1659"/>
      <c r="BY334" s="1659"/>
      <c r="BZ334" s="1659">
        <v>0</v>
      </c>
      <c r="CA334" s="1659"/>
      <c r="CB334" s="1659">
        <v>2</v>
      </c>
      <c r="CC334" s="1659">
        <v>8</v>
      </c>
      <c r="CD334" s="1659">
        <v>0</v>
      </c>
      <c r="CE334" s="105"/>
      <c r="CF334" s="105"/>
      <c r="CG334" s="105">
        <v>10</v>
      </c>
      <c r="CH334" s="105"/>
      <c r="CJ334" s="1615" t="s">
        <v>1348</v>
      </c>
    </row>
    <row r="335" spans="1:120">
      <c r="C335" s="32"/>
      <c r="D335" s="4800" t="s">
        <v>15</v>
      </c>
      <c r="E335" s="4607">
        <v>1</v>
      </c>
      <c r="F335" s="4607"/>
      <c r="G335" s="4607"/>
      <c r="H335" s="4607">
        <v>1</v>
      </c>
      <c r="I335" s="4607">
        <v>1</v>
      </c>
      <c r="J335" s="4607"/>
      <c r="K335" s="4607">
        <v>7</v>
      </c>
      <c r="L335" s="4607">
        <v>2</v>
      </c>
      <c r="M335" s="4607">
        <v>1</v>
      </c>
      <c r="N335" s="4583"/>
      <c r="O335" s="4583"/>
      <c r="P335" s="4583">
        <v>13</v>
      </c>
      <c r="Q335" s="1977">
        <f>+(P330+P334)/(P335-P333)</f>
        <v>0.16666666666666666</v>
      </c>
      <c r="R335" s="1977"/>
      <c r="AI335" s="41"/>
      <c r="AJ335" s="41"/>
      <c r="AK335" s="461"/>
      <c r="AL335" s="461" t="s">
        <v>1235</v>
      </c>
      <c r="AM335" s="2002">
        <v>0</v>
      </c>
      <c r="AN335" s="2002">
        <v>0</v>
      </c>
      <c r="AO335" s="2002">
        <v>0</v>
      </c>
      <c r="AP335" s="2002">
        <v>0</v>
      </c>
      <c r="AQ335" s="2002">
        <v>2</v>
      </c>
      <c r="AR335" s="2002">
        <v>42</v>
      </c>
      <c r="AS335" s="2002">
        <v>57</v>
      </c>
      <c r="AT335" s="2002">
        <v>7</v>
      </c>
      <c r="AU335" s="2480">
        <v>3</v>
      </c>
      <c r="AV335" s="2480">
        <v>0</v>
      </c>
      <c r="AW335" s="2480">
        <v>111</v>
      </c>
      <c r="AX335" s="41"/>
      <c r="AZ335" s="42"/>
      <c r="BA335" s="42"/>
      <c r="BB335" s="42"/>
      <c r="BC335" s="42" t="s">
        <v>1240</v>
      </c>
      <c r="BD335" s="1993">
        <v>0</v>
      </c>
      <c r="BE335" s="1993">
        <v>0</v>
      </c>
      <c r="BF335" s="1993">
        <v>0</v>
      </c>
      <c r="BG335" s="1993">
        <v>0</v>
      </c>
      <c r="BH335" s="1993">
        <v>1</v>
      </c>
      <c r="BI335" s="1993">
        <v>4</v>
      </c>
      <c r="BJ335" s="1993">
        <v>59</v>
      </c>
      <c r="BK335" s="1993">
        <v>17</v>
      </c>
      <c r="BL335" s="1993">
        <v>6</v>
      </c>
      <c r="BM335" s="70">
        <v>1</v>
      </c>
      <c r="BN335" s="70">
        <v>0</v>
      </c>
      <c r="BO335" s="70">
        <v>88</v>
      </c>
      <c r="BR335" s="105"/>
      <c r="BS335" s="105"/>
      <c r="BT335" s="41"/>
      <c r="BU335" s="41" t="s">
        <v>1344</v>
      </c>
      <c r="BV335" s="1659">
        <v>0</v>
      </c>
      <c r="BW335" s="1659">
        <v>0</v>
      </c>
      <c r="BX335" s="1659"/>
      <c r="BY335" s="1659"/>
      <c r="BZ335" s="1659">
        <v>0</v>
      </c>
      <c r="CA335" s="1659"/>
      <c r="CB335" s="1659">
        <v>5</v>
      </c>
      <c r="CC335" s="1659">
        <v>1</v>
      </c>
      <c r="CD335" s="1659">
        <v>0</v>
      </c>
      <c r="CE335" s="105"/>
      <c r="CF335" s="105"/>
      <c r="CG335" s="105">
        <v>6</v>
      </c>
      <c r="CH335" s="105"/>
      <c r="DA335" s="653" t="s">
        <v>1348</v>
      </c>
    </row>
    <row r="336" spans="1:120">
      <c r="B336" s="167" t="s">
        <v>61</v>
      </c>
      <c r="C336" s="4800" t="s">
        <v>829</v>
      </c>
      <c r="D336" s="4800" t="s">
        <v>1231</v>
      </c>
      <c r="E336" s="4606">
        <v>0</v>
      </c>
      <c r="F336" s="4606"/>
      <c r="G336" s="4606"/>
      <c r="H336" s="4606">
        <v>0</v>
      </c>
      <c r="I336" s="4606"/>
      <c r="J336" s="4606"/>
      <c r="K336" s="4606">
        <v>16</v>
      </c>
      <c r="L336" s="4606">
        <v>0</v>
      </c>
      <c r="M336" s="4606">
        <v>0</v>
      </c>
      <c r="N336" s="2552"/>
      <c r="O336" s="2552"/>
      <c r="P336" s="2552">
        <v>16</v>
      </c>
      <c r="Q336" s="2552"/>
      <c r="R336" s="2552"/>
      <c r="AI336" s="41"/>
      <c r="AJ336" s="41"/>
      <c r="AK336" s="461"/>
      <c r="AL336" s="461" t="s">
        <v>1236</v>
      </c>
      <c r="AM336" s="2002">
        <v>1</v>
      </c>
      <c r="AN336" s="2002">
        <v>0</v>
      </c>
      <c r="AO336" s="2002">
        <v>2</v>
      </c>
      <c r="AP336" s="2002">
        <v>3</v>
      </c>
      <c r="AQ336" s="2002">
        <v>3</v>
      </c>
      <c r="AR336" s="2002">
        <v>2</v>
      </c>
      <c r="AS336" s="2002">
        <v>0</v>
      </c>
      <c r="AT336" s="2002">
        <v>0</v>
      </c>
      <c r="AU336" s="2480">
        <v>0</v>
      </c>
      <c r="AV336" s="2480">
        <v>0</v>
      </c>
      <c r="AW336" s="2480">
        <v>11</v>
      </c>
      <c r="AX336" s="41"/>
      <c r="AZ336" s="42"/>
      <c r="BA336" s="42"/>
      <c r="BB336" s="42"/>
      <c r="BC336" s="42" t="s">
        <v>1344</v>
      </c>
      <c r="BD336" s="1993">
        <v>0</v>
      </c>
      <c r="BE336" s="1993">
        <v>0</v>
      </c>
      <c r="BF336" s="1993">
        <v>0</v>
      </c>
      <c r="BG336" s="1993">
        <v>10</v>
      </c>
      <c r="BH336" s="1993">
        <v>3</v>
      </c>
      <c r="BI336" s="1993">
        <v>5</v>
      </c>
      <c r="BJ336" s="1993">
        <v>37</v>
      </c>
      <c r="BK336" s="1993">
        <v>6</v>
      </c>
      <c r="BL336" s="1993">
        <v>3</v>
      </c>
      <c r="BM336" s="70">
        <v>0</v>
      </c>
      <c r="BN336" s="70">
        <v>0</v>
      </c>
      <c r="BO336" s="70">
        <v>64</v>
      </c>
      <c r="BR336" s="105"/>
      <c r="BS336" s="105"/>
      <c r="BT336" s="41"/>
      <c r="BU336" s="41" t="s">
        <v>260</v>
      </c>
      <c r="BV336" s="1659">
        <v>1</v>
      </c>
      <c r="BW336" s="1659">
        <v>1</v>
      </c>
      <c r="BX336" s="1659"/>
      <c r="BY336" s="1659"/>
      <c r="BZ336" s="1659">
        <v>1</v>
      </c>
      <c r="CA336" s="1659"/>
      <c r="CB336" s="1659">
        <v>18</v>
      </c>
      <c r="CC336" s="1659">
        <v>24</v>
      </c>
      <c r="CD336" s="1659">
        <v>1</v>
      </c>
      <c r="CE336" s="105"/>
      <c r="CF336" s="105"/>
      <c r="CG336" s="105">
        <v>46</v>
      </c>
      <c r="CH336" s="105"/>
    </row>
    <row r="337" spans="2:86" ht="15" thickBot="1">
      <c r="D337" s="4800" t="s">
        <v>1233</v>
      </c>
      <c r="E337" s="4606">
        <v>0</v>
      </c>
      <c r="F337" s="4606"/>
      <c r="G337" s="4606"/>
      <c r="H337" s="4606">
        <v>1</v>
      </c>
      <c r="I337" s="4606"/>
      <c r="J337" s="4606"/>
      <c r="K337" s="4606">
        <v>0</v>
      </c>
      <c r="L337" s="4606">
        <v>0</v>
      </c>
      <c r="M337" s="4606">
        <v>0</v>
      </c>
      <c r="N337" s="2552"/>
      <c r="O337" s="2552"/>
      <c r="P337" s="2552">
        <v>1</v>
      </c>
      <c r="Q337" s="2552"/>
      <c r="R337" s="2552"/>
      <c r="AI337" s="41"/>
      <c r="AJ337" s="41"/>
      <c r="AK337" s="461"/>
      <c r="AL337" s="461" t="s">
        <v>1239</v>
      </c>
      <c r="AM337" s="2002">
        <v>0</v>
      </c>
      <c r="AN337" s="2002">
        <v>0</v>
      </c>
      <c r="AO337" s="2002">
        <v>0</v>
      </c>
      <c r="AP337" s="2002">
        <v>0</v>
      </c>
      <c r="AQ337" s="2002">
        <v>0</v>
      </c>
      <c r="AR337" s="2002">
        <v>0</v>
      </c>
      <c r="AS337" s="2002">
        <v>27</v>
      </c>
      <c r="AT337" s="2002">
        <v>107</v>
      </c>
      <c r="AU337" s="2480">
        <v>10</v>
      </c>
      <c r="AV337" s="2480">
        <v>8</v>
      </c>
      <c r="AW337" s="2480">
        <v>152</v>
      </c>
      <c r="AX337" s="41"/>
      <c r="AZ337" s="543"/>
      <c r="BA337" s="543"/>
      <c r="BB337" s="543"/>
      <c r="BC337" s="544" t="s">
        <v>113</v>
      </c>
      <c r="BD337" s="1991">
        <v>3</v>
      </c>
      <c r="BE337" s="1991">
        <v>19</v>
      </c>
      <c r="BF337" s="1991">
        <v>14</v>
      </c>
      <c r="BG337" s="1991">
        <v>16</v>
      </c>
      <c r="BH337" s="1991">
        <v>22</v>
      </c>
      <c r="BI337" s="1991">
        <v>28</v>
      </c>
      <c r="BJ337" s="1991">
        <v>269</v>
      </c>
      <c r="BK337" s="1991">
        <v>126</v>
      </c>
      <c r="BL337" s="1991">
        <v>150</v>
      </c>
      <c r="BM337" s="491">
        <v>19</v>
      </c>
      <c r="BN337" s="491">
        <v>12</v>
      </c>
      <c r="BO337" s="491">
        <v>678</v>
      </c>
      <c r="BP337" s="643">
        <f>+(BO332-BM332+BO335-BM335+BO336)/BO337</f>
        <v>0.36283185840707965</v>
      </c>
      <c r="BR337" s="105"/>
      <c r="BS337" s="105"/>
      <c r="BT337" s="41" t="s">
        <v>113</v>
      </c>
      <c r="BU337" s="461" t="s">
        <v>1230</v>
      </c>
      <c r="BV337" s="1660">
        <v>0</v>
      </c>
      <c r="BW337" s="1660">
        <v>0</v>
      </c>
      <c r="BX337" s="1660">
        <v>0</v>
      </c>
      <c r="BY337" s="1660">
        <v>0</v>
      </c>
      <c r="BZ337" s="1660">
        <v>0</v>
      </c>
      <c r="CA337" s="1660">
        <v>1</v>
      </c>
      <c r="CB337" s="1660">
        <v>0</v>
      </c>
      <c r="CC337" s="1660">
        <v>5</v>
      </c>
      <c r="CD337" s="1660">
        <v>15</v>
      </c>
      <c r="CE337" s="96">
        <v>4</v>
      </c>
      <c r="CF337" s="96">
        <v>2</v>
      </c>
      <c r="CG337" s="96">
        <v>27</v>
      </c>
      <c r="CH337" s="635">
        <f>+(CG331+CG334+CG335)/CG336</f>
        <v>0.58695652173913049</v>
      </c>
    </row>
    <row r="338" spans="2:86">
      <c r="D338" s="4800" t="s">
        <v>1239</v>
      </c>
      <c r="E338" s="4606">
        <v>0</v>
      </c>
      <c r="F338" s="4606"/>
      <c r="G338" s="4606"/>
      <c r="H338" s="4606">
        <v>0</v>
      </c>
      <c r="I338" s="4606"/>
      <c r="J338" s="4606"/>
      <c r="K338" s="4606">
        <v>0</v>
      </c>
      <c r="L338" s="4606">
        <v>2</v>
      </c>
      <c r="M338" s="4606">
        <v>3</v>
      </c>
      <c r="N338" s="2552"/>
      <c r="O338" s="2552"/>
      <c r="P338" s="2552">
        <v>5</v>
      </c>
      <c r="Q338" s="2552"/>
      <c r="R338" s="2552"/>
      <c r="AI338" s="41"/>
      <c r="AJ338" s="41"/>
      <c r="AK338" s="461"/>
      <c r="AL338" s="461" t="s">
        <v>1240</v>
      </c>
      <c r="AM338" s="2002">
        <v>0</v>
      </c>
      <c r="AN338" s="2002">
        <v>0</v>
      </c>
      <c r="AO338" s="2002">
        <v>0</v>
      </c>
      <c r="AP338" s="2002">
        <v>0</v>
      </c>
      <c r="AQ338" s="2002">
        <v>3</v>
      </c>
      <c r="AR338" s="2002">
        <v>29</v>
      </c>
      <c r="AS338" s="2002">
        <v>19</v>
      </c>
      <c r="AT338" s="2002">
        <v>7</v>
      </c>
      <c r="AU338" s="2480">
        <v>0</v>
      </c>
      <c r="AV338" s="2480">
        <v>0</v>
      </c>
      <c r="AW338" s="2480">
        <v>58</v>
      </c>
      <c r="AX338" s="41"/>
      <c r="BR338" s="105"/>
      <c r="BS338" s="105"/>
      <c r="BT338" s="41"/>
      <c r="BU338" s="41" t="s">
        <v>1231</v>
      </c>
      <c r="BV338" s="1659">
        <v>1</v>
      </c>
      <c r="BW338" s="1659">
        <v>10</v>
      </c>
      <c r="BX338" s="1659">
        <v>7</v>
      </c>
      <c r="BY338" s="1659">
        <v>15</v>
      </c>
      <c r="BZ338" s="1659">
        <v>3</v>
      </c>
      <c r="CA338" s="1659">
        <v>4</v>
      </c>
      <c r="CB338" s="1659">
        <v>164</v>
      </c>
      <c r="CC338" s="1659">
        <v>66</v>
      </c>
      <c r="CD338" s="1659">
        <v>5</v>
      </c>
      <c r="CE338" s="105">
        <v>2</v>
      </c>
      <c r="CF338" s="105">
        <v>0</v>
      </c>
      <c r="CG338" s="105">
        <v>277</v>
      </c>
      <c r="CH338" s="105"/>
    </row>
    <row r="339" spans="2:86">
      <c r="D339" s="4800" t="s">
        <v>2963</v>
      </c>
      <c r="E339" s="4606">
        <v>4</v>
      </c>
      <c r="F339" s="4606"/>
      <c r="G339" s="4606"/>
      <c r="H339" s="4606">
        <v>0</v>
      </c>
      <c r="I339" s="4606"/>
      <c r="J339" s="4606"/>
      <c r="K339" s="4606">
        <v>0</v>
      </c>
      <c r="L339" s="4606">
        <v>0</v>
      </c>
      <c r="M339" s="4606">
        <v>0</v>
      </c>
      <c r="N339" s="2552"/>
      <c r="O339" s="2552"/>
      <c r="P339" s="2552">
        <v>4</v>
      </c>
      <c r="Q339" s="2552"/>
      <c r="R339" s="2552"/>
      <c r="AI339" s="41"/>
      <c r="AJ339" s="41"/>
      <c r="AK339" s="461"/>
      <c r="AL339" s="461" t="s">
        <v>1344</v>
      </c>
      <c r="AM339" s="2002">
        <v>0</v>
      </c>
      <c r="AN339" s="2002">
        <v>0</v>
      </c>
      <c r="AO339" s="2002">
        <v>1</v>
      </c>
      <c r="AP339" s="2002">
        <v>0</v>
      </c>
      <c r="AQ339" s="2002">
        <v>0</v>
      </c>
      <c r="AR339" s="2002">
        <v>60</v>
      </c>
      <c r="AS339" s="2002">
        <v>24</v>
      </c>
      <c r="AT339" s="2002">
        <v>17</v>
      </c>
      <c r="AU339" s="2480">
        <v>0</v>
      </c>
      <c r="AV339" s="2480">
        <v>0</v>
      </c>
      <c r="AW339" s="2480">
        <v>102</v>
      </c>
      <c r="AX339" s="41"/>
      <c r="BR339" s="105"/>
      <c r="BS339" s="105"/>
      <c r="BT339" s="41"/>
      <c r="BU339" s="41" t="s">
        <v>1233</v>
      </c>
      <c r="BV339" s="1659">
        <v>0</v>
      </c>
      <c r="BW339" s="1659">
        <v>8</v>
      </c>
      <c r="BX339" s="1659">
        <v>1</v>
      </c>
      <c r="BY339" s="1659">
        <v>1</v>
      </c>
      <c r="BZ339" s="1659">
        <v>0</v>
      </c>
      <c r="CA339" s="1659">
        <v>0</v>
      </c>
      <c r="CB339" s="1659">
        <v>0</v>
      </c>
      <c r="CC339" s="1659">
        <v>0</v>
      </c>
      <c r="CD339" s="1659">
        <v>0</v>
      </c>
      <c r="CE339" s="105">
        <v>0</v>
      </c>
      <c r="CF339" s="105">
        <v>0</v>
      </c>
      <c r="CG339" s="105">
        <v>10</v>
      </c>
      <c r="CH339" s="105"/>
    </row>
    <row r="340" spans="2:86">
      <c r="D340" s="4800" t="s">
        <v>15</v>
      </c>
      <c r="E340" s="4606">
        <v>4</v>
      </c>
      <c r="F340" s="4606"/>
      <c r="G340" s="4606"/>
      <c r="H340" s="4606">
        <v>1</v>
      </c>
      <c r="I340" s="4606"/>
      <c r="J340" s="4606"/>
      <c r="K340" s="4606">
        <v>16</v>
      </c>
      <c r="L340" s="4606">
        <v>2</v>
      </c>
      <c r="M340" s="4606">
        <v>3</v>
      </c>
      <c r="N340" s="2552"/>
      <c r="O340" s="2552"/>
      <c r="P340" s="2552">
        <v>26</v>
      </c>
      <c r="Q340" s="1977">
        <v>0</v>
      </c>
      <c r="R340" s="1977"/>
      <c r="AI340" s="41"/>
      <c r="AJ340" s="41"/>
      <c r="AK340" s="461"/>
      <c r="AL340" s="461" t="s">
        <v>2704</v>
      </c>
      <c r="AM340" s="2002">
        <v>0</v>
      </c>
      <c r="AN340" s="2002">
        <v>0</v>
      </c>
      <c r="AO340" s="2002">
        <v>0</v>
      </c>
      <c r="AP340" s="2002">
        <v>0</v>
      </c>
      <c r="AQ340" s="2002">
        <v>0</v>
      </c>
      <c r="AR340" s="2002">
        <v>0</v>
      </c>
      <c r="AS340" s="2002">
        <v>0</v>
      </c>
      <c r="AT340" s="2002">
        <v>0</v>
      </c>
      <c r="AU340" s="2480">
        <v>3</v>
      </c>
      <c r="AV340" s="2480">
        <v>4</v>
      </c>
      <c r="AW340" s="2480">
        <v>7</v>
      </c>
      <c r="AX340" s="41"/>
      <c r="BR340" s="105"/>
      <c r="BS340" s="105"/>
      <c r="BT340" s="41"/>
      <c r="BU340" s="41" t="s">
        <v>1235</v>
      </c>
      <c r="BV340" s="1659">
        <v>0</v>
      </c>
      <c r="BW340" s="1659">
        <v>0</v>
      </c>
      <c r="BX340" s="1659">
        <v>0</v>
      </c>
      <c r="BY340" s="1659">
        <v>3</v>
      </c>
      <c r="BZ340" s="1659">
        <v>3</v>
      </c>
      <c r="CA340" s="1659">
        <v>0</v>
      </c>
      <c r="CB340" s="1659">
        <v>42</v>
      </c>
      <c r="CC340" s="1659">
        <v>47</v>
      </c>
      <c r="CD340" s="1659">
        <v>3</v>
      </c>
      <c r="CE340" s="105">
        <v>3</v>
      </c>
      <c r="CF340" s="105">
        <v>0</v>
      </c>
      <c r="CG340" s="105">
        <v>101</v>
      </c>
      <c r="CH340" s="105"/>
    </row>
    <row r="341" spans="2:86" ht="15" thickBot="1">
      <c r="C341" s="32" t="s">
        <v>548</v>
      </c>
      <c r="D341" s="32" t="s">
        <v>1231</v>
      </c>
      <c r="E341" s="4607">
        <v>0</v>
      </c>
      <c r="F341" s="4607"/>
      <c r="G341" s="4607"/>
      <c r="H341" s="4607">
        <v>0</v>
      </c>
      <c r="I341" s="4607"/>
      <c r="J341" s="4607"/>
      <c r="K341" s="4607">
        <v>16</v>
      </c>
      <c r="L341" s="4607">
        <v>0</v>
      </c>
      <c r="M341" s="4607">
        <v>0</v>
      </c>
      <c r="N341" s="4583"/>
      <c r="O341" s="4583"/>
      <c r="P341" s="4583">
        <v>16</v>
      </c>
      <c r="Q341" s="4583"/>
      <c r="R341" s="4583"/>
      <c r="AI341" s="469"/>
      <c r="AJ341" s="469"/>
      <c r="AK341" s="465"/>
      <c r="AL341" s="465" t="s">
        <v>113</v>
      </c>
      <c r="AM341" s="2000">
        <v>13</v>
      </c>
      <c r="AN341" s="2000">
        <v>11</v>
      </c>
      <c r="AO341" s="2000">
        <v>9</v>
      </c>
      <c r="AP341" s="2000">
        <v>10</v>
      </c>
      <c r="AQ341" s="2000">
        <v>16</v>
      </c>
      <c r="AR341" s="2000">
        <v>252</v>
      </c>
      <c r="AS341" s="2000">
        <v>178</v>
      </c>
      <c r="AT341" s="2000">
        <v>159</v>
      </c>
      <c r="AU341" s="466">
        <v>17</v>
      </c>
      <c r="AV341" s="466">
        <v>12</v>
      </c>
      <c r="AW341" s="466">
        <v>677</v>
      </c>
      <c r="AX341" s="1645">
        <f>+(AW339+AW338+AW335-AU335)/AW341</f>
        <v>0.39586410635155095</v>
      </c>
      <c r="AY341" s="2487"/>
      <c r="BR341" s="105"/>
      <c r="BS341" s="105"/>
      <c r="BT341" s="41"/>
      <c r="BU341" s="41" t="s">
        <v>1236</v>
      </c>
      <c r="BV341" s="1659">
        <v>0</v>
      </c>
      <c r="BW341" s="1659">
        <v>3</v>
      </c>
      <c r="BX341" s="1659">
        <v>1</v>
      </c>
      <c r="BY341" s="1659">
        <v>2</v>
      </c>
      <c r="BZ341" s="1659">
        <v>3</v>
      </c>
      <c r="CA341" s="1659">
        <v>3</v>
      </c>
      <c r="CB341" s="1659">
        <v>1</v>
      </c>
      <c r="CC341" s="1659">
        <v>1</v>
      </c>
      <c r="CD341" s="1659">
        <v>0</v>
      </c>
      <c r="CE341" s="105">
        <v>0</v>
      </c>
      <c r="CF341" s="105">
        <v>0</v>
      </c>
      <c r="CG341" s="105">
        <v>14</v>
      </c>
      <c r="CH341" s="105"/>
    </row>
    <row r="342" spans="2:86">
      <c r="C342" s="32"/>
      <c r="D342" s="32" t="s">
        <v>1233</v>
      </c>
      <c r="E342" s="4607">
        <v>0</v>
      </c>
      <c r="F342" s="4607"/>
      <c r="G342" s="4607"/>
      <c r="H342" s="4607">
        <v>1</v>
      </c>
      <c r="I342" s="4607"/>
      <c r="J342" s="4607"/>
      <c r="K342" s="4607">
        <v>0</v>
      </c>
      <c r="L342" s="4607">
        <v>0</v>
      </c>
      <c r="M342" s="4607">
        <v>0</v>
      </c>
      <c r="N342" s="4583"/>
      <c r="O342" s="4583"/>
      <c r="P342" s="4583">
        <v>1</v>
      </c>
      <c r="Q342" s="4583"/>
      <c r="R342" s="4583"/>
      <c r="BR342" s="105"/>
      <c r="BS342" s="105"/>
      <c r="BT342" s="41"/>
      <c r="BU342" s="41" t="s">
        <v>1239</v>
      </c>
      <c r="BV342" s="1659">
        <v>0</v>
      </c>
      <c r="BW342" s="1659">
        <v>0</v>
      </c>
      <c r="BX342" s="1659">
        <v>0</v>
      </c>
      <c r="BY342" s="1659">
        <v>0</v>
      </c>
      <c r="BZ342" s="1659">
        <v>1</v>
      </c>
      <c r="CA342" s="1659">
        <v>0</v>
      </c>
      <c r="CB342" s="1659">
        <v>0</v>
      </c>
      <c r="CC342" s="1659">
        <v>3</v>
      </c>
      <c r="CD342" s="1659">
        <v>70</v>
      </c>
      <c r="CE342" s="105">
        <v>7</v>
      </c>
      <c r="CF342" s="105">
        <v>10</v>
      </c>
      <c r="CG342" s="105">
        <v>91</v>
      </c>
      <c r="CH342" s="105"/>
    </row>
    <row r="343" spans="2:86">
      <c r="C343" s="32"/>
      <c r="D343" s="32" t="s">
        <v>1239</v>
      </c>
      <c r="E343" s="4607">
        <v>0</v>
      </c>
      <c r="F343" s="4607"/>
      <c r="G343" s="4607"/>
      <c r="H343" s="4607">
        <v>0</v>
      </c>
      <c r="I343" s="4607"/>
      <c r="J343" s="4607"/>
      <c r="K343" s="4607">
        <v>0</v>
      </c>
      <c r="L343" s="4607">
        <v>2</v>
      </c>
      <c r="M343" s="4607">
        <v>3</v>
      </c>
      <c r="N343" s="4583"/>
      <c r="O343" s="4583"/>
      <c r="P343" s="4583">
        <v>5</v>
      </c>
      <c r="Q343" s="4583"/>
      <c r="R343" s="4583"/>
      <c r="BR343" s="105"/>
      <c r="BS343" s="105"/>
      <c r="BT343" s="41"/>
      <c r="BU343" s="41" t="s">
        <v>1865</v>
      </c>
      <c r="BV343" s="1659">
        <v>4</v>
      </c>
      <c r="BW343" s="1659">
        <v>0</v>
      </c>
      <c r="BX343" s="1659">
        <v>0</v>
      </c>
      <c r="BY343" s="1659">
        <v>0</v>
      </c>
      <c r="BZ343" s="1659">
        <v>0</v>
      </c>
      <c r="CA343" s="1659">
        <v>0</v>
      </c>
      <c r="CB343" s="1659">
        <v>0</v>
      </c>
      <c r="CC343" s="1659">
        <v>0</v>
      </c>
      <c r="CD343" s="1659">
        <v>0</v>
      </c>
      <c r="CE343" s="105">
        <v>0</v>
      </c>
      <c r="CF343" s="105">
        <v>0</v>
      </c>
      <c r="CG343" s="105">
        <v>4</v>
      </c>
      <c r="CH343" s="105"/>
    </row>
    <row r="344" spans="2:86">
      <c r="C344" s="32"/>
      <c r="D344" s="32" t="s">
        <v>2963</v>
      </c>
      <c r="E344" s="4607">
        <v>4</v>
      </c>
      <c r="F344" s="4607"/>
      <c r="G344" s="4607"/>
      <c r="H344" s="4607">
        <v>0</v>
      </c>
      <c r="I344" s="4607"/>
      <c r="J344" s="4607"/>
      <c r="K344" s="4607">
        <v>0</v>
      </c>
      <c r="L344" s="4607">
        <v>0</v>
      </c>
      <c r="M344" s="4607">
        <v>0</v>
      </c>
      <c r="N344" s="4583"/>
      <c r="O344" s="4583"/>
      <c r="P344" s="4583">
        <v>4</v>
      </c>
      <c r="Q344" s="4583"/>
      <c r="R344" s="4583"/>
      <c r="BR344" s="105"/>
      <c r="BS344" s="105"/>
      <c r="BT344" s="41"/>
      <c r="BU344" s="41" t="s">
        <v>1240</v>
      </c>
      <c r="BV344" s="1659">
        <v>0</v>
      </c>
      <c r="BW344" s="1659">
        <v>0</v>
      </c>
      <c r="BX344" s="1659">
        <v>0</v>
      </c>
      <c r="BY344" s="1659">
        <v>2</v>
      </c>
      <c r="BZ344" s="1659">
        <v>1</v>
      </c>
      <c r="CA344" s="1659">
        <v>0</v>
      </c>
      <c r="CB344" s="1659">
        <v>43</v>
      </c>
      <c r="CC344" s="1659">
        <v>23</v>
      </c>
      <c r="CD344" s="1659">
        <v>3</v>
      </c>
      <c r="CE344" s="105">
        <v>0</v>
      </c>
      <c r="CF344" s="105">
        <v>0</v>
      </c>
      <c r="CG344" s="105">
        <v>72</v>
      </c>
      <c r="CH344" s="105"/>
    </row>
    <row r="345" spans="2:86">
      <c r="C345" s="32"/>
      <c r="D345" s="4800" t="s">
        <v>15</v>
      </c>
      <c r="E345" s="4607">
        <v>4</v>
      </c>
      <c r="F345" s="4607"/>
      <c r="G345" s="4607"/>
      <c r="H345" s="4607">
        <v>1</v>
      </c>
      <c r="I345" s="4607"/>
      <c r="J345" s="4607"/>
      <c r="K345" s="4607">
        <v>16</v>
      </c>
      <c r="L345" s="4607">
        <v>2</v>
      </c>
      <c r="M345" s="4607">
        <v>3</v>
      </c>
      <c r="N345" s="4583"/>
      <c r="O345" s="4583"/>
      <c r="P345" s="4583">
        <v>26</v>
      </c>
      <c r="Q345" s="1977">
        <v>0</v>
      </c>
      <c r="R345" s="1977"/>
      <c r="BR345" s="105"/>
      <c r="BS345" s="105"/>
      <c r="BT345" s="41"/>
      <c r="BU345" s="41" t="s">
        <v>1344</v>
      </c>
      <c r="BV345" s="1659">
        <v>0</v>
      </c>
      <c r="BW345" s="1659">
        <v>0</v>
      </c>
      <c r="BX345" s="1659">
        <v>0</v>
      </c>
      <c r="BY345" s="1659">
        <v>11</v>
      </c>
      <c r="BZ345" s="1659">
        <v>2</v>
      </c>
      <c r="CA345" s="1659">
        <v>0</v>
      </c>
      <c r="CB345" s="1659">
        <v>71</v>
      </c>
      <c r="CC345" s="1659">
        <v>48</v>
      </c>
      <c r="CD345" s="1659">
        <v>7</v>
      </c>
      <c r="CE345" s="105">
        <v>0</v>
      </c>
      <c r="CF345" s="105">
        <v>0</v>
      </c>
      <c r="CG345" s="105">
        <v>139</v>
      </c>
      <c r="CH345" s="105"/>
    </row>
    <row r="346" spans="2:86" ht="15" thickBot="1">
      <c r="B346" s="167" t="s">
        <v>64</v>
      </c>
      <c r="C346" s="4800" t="s">
        <v>671</v>
      </c>
      <c r="D346" s="4800" t="s">
        <v>1231</v>
      </c>
      <c r="E346" s="4606"/>
      <c r="F346" s="4606"/>
      <c r="G346" s="4606"/>
      <c r="H346" s="4606"/>
      <c r="I346" s="4606"/>
      <c r="J346" s="4606">
        <v>0</v>
      </c>
      <c r="K346" s="4606">
        <v>3</v>
      </c>
      <c r="L346" s="4606">
        <v>0</v>
      </c>
      <c r="M346" s="4606">
        <v>0</v>
      </c>
      <c r="N346" s="2552"/>
      <c r="O346" s="2552"/>
      <c r="P346" s="2552">
        <v>3</v>
      </c>
      <c r="Q346" s="2552"/>
      <c r="R346" s="2552"/>
      <c r="BR346" s="464"/>
      <c r="BS346" s="464"/>
      <c r="BT346" s="469"/>
      <c r="BU346" s="465" t="s">
        <v>113</v>
      </c>
      <c r="BV346" s="1658">
        <v>5</v>
      </c>
      <c r="BW346" s="1658">
        <v>21</v>
      </c>
      <c r="BX346" s="1658">
        <v>9</v>
      </c>
      <c r="BY346" s="1658">
        <v>34</v>
      </c>
      <c r="BZ346" s="1658">
        <v>13</v>
      </c>
      <c r="CA346" s="1658">
        <v>8</v>
      </c>
      <c r="CB346" s="1658">
        <v>321</v>
      </c>
      <c r="CC346" s="1658">
        <v>193</v>
      </c>
      <c r="CD346" s="1658">
        <v>103</v>
      </c>
      <c r="CE346" s="466">
        <v>16</v>
      </c>
      <c r="CF346" s="466">
        <v>12</v>
      </c>
      <c r="CG346" s="466">
        <v>735</v>
      </c>
      <c r="CH346" s="1645">
        <f>+(CG340+CG344+CG345-CE340)/CG346</f>
        <v>0.42040816326530611</v>
      </c>
    </row>
    <row r="347" spans="2:86">
      <c r="D347" s="4800" t="s">
        <v>1235</v>
      </c>
      <c r="E347" s="4606"/>
      <c r="F347" s="4606"/>
      <c r="G347" s="4606"/>
      <c r="H347" s="4606"/>
      <c r="I347" s="4606"/>
      <c r="J347" s="4606">
        <v>0</v>
      </c>
      <c r="K347" s="4606">
        <v>1</v>
      </c>
      <c r="L347" s="4606">
        <v>1</v>
      </c>
      <c r="M347" s="4606">
        <v>0</v>
      </c>
      <c r="N347" s="2552"/>
      <c r="O347" s="2552"/>
      <c r="P347" s="2552">
        <v>2</v>
      </c>
      <c r="Q347" s="2552"/>
      <c r="R347" s="2552"/>
    </row>
    <row r="348" spans="2:86">
      <c r="D348" s="4800" t="s">
        <v>1239</v>
      </c>
      <c r="E348" s="4606"/>
      <c r="F348" s="4606"/>
      <c r="G348" s="4606"/>
      <c r="H348" s="4606"/>
      <c r="I348" s="4606"/>
      <c r="J348" s="4606">
        <v>1</v>
      </c>
      <c r="K348" s="4606">
        <v>0</v>
      </c>
      <c r="L348" s="4606">
        <v>0</v>
      </c>
      <c r="M348" s="4606">
        <v>3</v>
      </c>
      <c r="N348" s="2552"/>
      <c r="O348" s="2552"/>
      <c r="P348" s="2552">
        <v>4</v>
      </c>
      <c r="Q348" s="2552"/>
      <c r="R348" s="2552"/>
    </row>
    <row r="349" spans="2:86">
      <c r="D349" s="4800" t="s">
        <v>1240</v>
      </c>
      <c r="E349" s="4606"/>
      <c r="F349" s="4606"/>
      <c r="G349" s="4606"/>
      <c r="H349" s="4606"/>
      <c r="I349" s="4606"/>
      <c r="J349" s="4606">
        <v>0</v>
      </c>
      <c r="K349" s="4606">
        <v>1</v>
      </c>
      <c r="L349" s="4606">
        <v>0</v>
      </c>
      <c r="M349" s="4606">
        <v>0</v>
      </c>
      <c r="N349" s="2552"/>
      <c r="O349" s="2552"/>
      <c r="P349" s="2552">
        <v>1</v>
      </c>
      <c r="Q349" s="2552"/>
      <c r="R349" s="2552"/>
    </row>
    <row r="350" spans="2:86">
      <c r="D350" s="4800" t="s">
        <v>15</v>
      </c>
      <c r="E350" s="4606"/>
      <c r="F350" s="4606"/>
      <c r="G350" s="4606"/>
      <c r="H350" s="4606"/>
      <c r="I350" s="4606"/>
      <c r="J350" s="4606">
        <v>1</v>
      </c>
      <c r="K350" s="4606">
        <v>5</v>
      </c>
      <c r="L350" s="4606">
        <v>1</v>
      </c>
      <c r="M350" s="4606">
        <v>3</v>
      </c>
      <c r="N350" s="2552"/>
      <c r="O350" s="2552"/>
      <c r="P350" s="2552">
        <v>10</v>
      </c>
      <c r="Q350" s="1977">
        <f>+(P347+P349)/(P350)</f>
        <v>0.3</v>
      </c>
      <c r="R350" s="1977"/>
    </row>
    <row r="351" spans="2:86">
      <c r="C351" s="32" t="s">
        <v>549</v>
      </c>
      <c r="D351" s="32" t="s">
        <v>1231</v>
      </c>
      <c r="E351" s="4607"/>
      <c r="F351" s="4607"/>
      <c r="G351" s="4607"/>
      <c r="H351" s="4607"/>
      <c r="I351" s="4607"/>
      <c r="J351" s="4607">
        <v>0</v>
      </c>
      <c r="K351" s="4607">
        <v>3</v>
      </c>
      <c r="L351" s="4607">
        <v>0</v>
      </c>
      <c r="M351" s="4607">
        <v>0</v>
      </c>
      <c r="N351" s="4583"/>
      <c r="O351" s="4583"/>
      <c r="P351" s="4583">
        <v>3</v>
      </c>
      <c r="Q351" s="4583"/>
      <c r="R351" s="4583"/>
    </row>
    <row r="352" spans="2:86">
      <c r="C352" s="32"/>
      <c r="D352" s="32" t="s">
        <v>1235</v>
      </c>
      <c r="E352" s="4607"/>
      <c r="F352" s="4607"/>
      <c r="G352" s="4607"/>
      <c r="H352" s="4607"/>
      <c r="I352" s="4607"/>
      <c r="J352" s="4607">
        <v>0</v>
      </c>
      <c r="K352" s="4607">
        <v>1</v>
      </c>
      <c r="L352" s="4607">
        <v>1</v>
      </c>
      <c r="M352" s="4607">
        <v>0</v>
      </c>
      <c r="N352" s="4583"/>
      <c r="O352" s="4583"/>
      <c r="P352" s="4583">
        <v>2</v>
      </c>
      <c r="Q352" s="4583"/>
      <c r="R352" s="4583"/>
    </row>
    <row r="353" spans="3:18">
      <c r="C353" s="32"/>
      <c r="D353" s="32" t="s">
        <v>1239</v>
      </c>
      <c r="E353" s="4607"/>
      <c r="F353" s="4607"/>
      <c r="G353" s="4607"/>
      <c r="H353" s="4607"/>
      <c r="I353" s="4607"/>
      <c r="J353" s="4607">
        <v>1</v>
      </c>
      <c r="K353" s="4607">
        <v>0</v>
      </c>
      <c r="L353" s="4607">
        <v>0</v>
      </c>
      <c r="M353" s="4607">
        <v>3</v>
      </c>
      <c r="N353" s="4583"/>
      <c r="O353" s="4583"/>
      <c r="P353" s="4583">
        <v>4</v>
      </c>
      <c r="Q353" s="4583"/>
      <c r="R353" s="4583"/>
    </row>
    <row r="354" spans="3:18">
      <c r="C354" s="32"/>
      <c r="D354" s="32" t="s">
        <v>1240</v>
      </c>
      <c r="E354" s="4607"/>
      <c r="F354" s="4607"/>
      <c r="G354" s="4607"/>
      <c r="H354" s="4607"/>
      <c r="I354" s="4607"/>
      <c r="J354" s="4607">
        <v>0</v>
      </c>
      <c r="K354" s="4607">
        <v>1</v>
      </c>
      <c r="L354" s="4607">
        <v>0</v>
      </c>
      <c r="M354" s="4607">
        <v>0</v>
      </c>
      <c r="N354" s="4583"/>
      <c r="O354" s="4583"/>
      <c r="P354" s="4583">
        <v>1</v>
      </c>
      <c r="Q354" s="4583"/>
      <c r="R354" s="4583"/>
    </row>
    <row r="355" spans="3:18">
      <c r="C355" s="32"/>
      <c r="D355" s="4800" t="s">
        <v>15</v>
      </c>
      <c r="E355" s="4607"/>
      <c r="F355" s="4607"/>
      <c r="G355" s="4607"/>
      <c r="H355" s="4607"/>
      <c r="I355" s="4607"/>
      <c r="J355" s="4607">
        <v>1</v>
      </c>
      <c r="K355" s="4607">
        <v>5</v>
      </c>
      <c r="L355" s="4607">
        <v>1</v>
      </c>
      <c r="M355" s="4607">
        <v>3</v>
      </c>
      <c r="N355" s="4583"/>
      <c r="O355" s="4583"/>
      <c r="P355" s="4583">
        <v>10</v>
      </c>
      <c r="Q355" s="1977">
        <f>+(P352+P354)/(P355)</f>
        <v>0.3</v>
      </c>
      <c r="R355" s="1977"/>
    </row>
    <row r="356" spans="3:18">
      <c r="C356" s="32" t="s">
        <v>260</v>
      </c>
      <c r="D356" s="32" t="s">
        <v>1231</v>
      </c>
      <c r="E356" s="4607">
        <v>0</v>
      </c>
      <c r="F356" s="4607"/>
      <c r="G356" s="4607"/>
      <c r="H356" s="4607">
        <v>0</v>
      </c>
      <c r="I356" s="4607">
        <v>1</v>
      </c>
      <c r="J356" s="4607">
        <v>0</v>
      </c>
      <c r="K356" s="4607">
        <v>24</v>
      </c>
      <c r="L356" s="4607">
        <v>0</v>
      </c>
      <c r="M356" s="4607">
        <v>0</v>
      </c>
      <c r="N356" s="4583"/>
      <c r="O356" s="4583"/>
      <c r="P356" s="4583">
        <v>25</v>
      </c>
      <c r="Q356" s="4583"/>
      <c r="R356" s="4583"/>
    </row>
    <row r="357" spans="3:18">
      <c r="C357" s="32"/>
      <c r="D357" s="32" t="s">
        <v>1233</v>
      </c>
      <c r="E357" s="4607">
        <v>0</v>
      </c>
      <c r="F357" s="4607"/>
      <c r="G357" s="4607"/>
      <c r="H357" s="4607">
        <v>1</v>
      </c>
      <c r="I357" s="4607">
        <v>0</v>
      </c>
      <c r="J357" s="4607">
        <v>0</v>
      </c>
      <c r="K357" s="4607">
        <v>0</v>
      </c>
      <c r="L357" s="4607">
        <v>0</v>
      </c>
      <c r="M357" s="4607">
        <v>0</v>
      </c>
      <c r="N357" s="4583"/>
      <c r="O357" s="4583"/>
      <c r="P357" s="4583">
        <v>1</v>
      </c>
      <c r="Q357" s="4583"/>
      <c r="R357" s="4583"/>
    </row>
    <row r="358" spans="3:18">
      <c r="C358" s="32"/>
      <c r="D358" s="32" t="s">
        <v>1235</v>
      </c>
      <c r="E358" s="4607">
        <v>0</v>
      </c>
      <c r="F358" s="4607"/>
      <c r="G358" s="4607"/>
      <c r="H358" s="4607">
        <v>0</v>
      </c>
      <c r="I358" s="4607">
        <v>0</v>
      </c>
      <c r="J358" s="4607">
        <v>0</v>
      </c>
      <c r="K358" s="4607">
        <v>2</v>
      </c>
      <c r="L358" s="4607">
        <v>1</v>
      </c>
      <c r="M358" s="4607">
        <v>0</v>
      </c>
      <c r="N358" s="4583"/>
      <c r="O358" s="4583"/>
      <c r="P358" s="4583">
        <v>3</v>
      </c>
      <c r="Q358" s="4583"/>
      <c r="R358" s="4583"/>
    </row>
    <row r="359" spans="3:18">
      <c r="C359" s="32"/>
      <c r="D359" s="32" t="s">
        <v>1236</v>
      </c>
      <c r="E359" s="4607">
        <v>0</v>
      </c>
      <c r="F359" s="4607"/>
      <c r="G359" s="4607"/>
      <c r="H359" s="4607">
        <v>1</v>
      </c>
      <c r="I359" s="4607">
        <v>0</v>
      </c>
      <c r="J359" s="4607">
        <v>0</v>
      </c>
      <c r="K359" s="4607">
        <v>0</v>
      </c>
      <c r="L359" s="4607">
        <v>0</v>
      </c>
      <c r="M359" s="4607">
        <v>0</v>
      </c>
      <c r="N359" s="4583"/>
      <c r="O359" s="4583"/>
      <c r="P359" s="4583">
        <v>1</v>
      </c>
      <c r="Q359" s="4583"/>
      <c r="R359" s="4583"/>
    </row>
    <row r="360" spans="3:18">
      <c r="C360" s="32"/>
      <c r="D360" s="32" t="s">
        <v>1239</v>
      </c>
      <c r="E360" s="4607">
        <v>0</v>
      </c>
      <c r="F360" s="4607"/>
      <c r="G360" s="4607"/>
      <c r="H360" s="4607">
        <v>0</v>
      </c>
      <c r="I360" s="4607">
        <v>0</v>
      </c>
      <c r="J360" s="4607">
        <v>1</v>
      </c>
      <c r="K360" s="4607">
        <v>0</v>
      </c>
      <c r="L360" s="4607">
        <v>4</v>
      </c>
      <c r="M360" s="4607">
        <v>7</v>
      </c>
      <c r="N360" s="4583"/>
      <c r="O360" s="4583"/>
      <c r="P360" s="4583">
        <v>12</v>
      </c>
      <c r="Q360" s="4583"/>
      <c r="R360" s="4583"/>
    </row>
    <row r="361" spans="3:18">
      <c r="C361" s="32"/>
      <c r="D361" s="32" t="s">
        <v>1240</v>
      </c>
      <c r="E361" s="4607">
        <v>0</v>
      </c>
      <c r="F361" s="4607"/>
      <c r="G361" s="4607"/>
      <c r="H361" s="4607">
        <v>0</v>
      </c>
      <c r="I361" s="4607">
        <v>0</v>
      </c>
      <c r="J361" s="4607">
        <v>0</v>
      </c>
      <c r="K361" s="4607">
        <v>1</v>
      </c>
      <c r="L361" s="4607">
        <v>0</v>
      </c>
      <c r="M361" s="4607">
        <v>0</v>
      </c>
      <c r="N361" s="4583"/>
      <c r="O361" s="4583"/>
      <c r="P361" s="4583">
        <v>1</v>
      </c>
      <c r="Q361" s="4583"/>
      <c r="R361" s="4583"/>
    </row>
    <row r="362" spans="3:18">
      <c r="C362" s="32"/>
      <c r="D362" s="32" t="s">
        <v>2963</v>
      </c>
      <c r="E362" s="4607">
        <v>5</v>
      </c>
      <c r="F362" s="4607"/>
      <c r="G362" s="4607"/>
      <c r="H362" s="4607">
        <v>0</v>
      </c>
      <c r="I362" s="4607">
        <v>0</v>
      </c>
      <c r="J362" s="4607">
        <v>0</v>
      </c>
      <c r="K362" s="4607">
        <v>0</v>
      </c>
      <c r="L362" s="4607">
        <v>0</v>
      </c>
      <c r="M362" s="4607">
        <v>0</v>
      </c>
      <c r="N362" s="4583"/>
      <c r="O362" s="4583"/>
      <c r="P362" s="4583">
        <v>5</v>
      </c>
      <c r="Q362" s="4583"/>
      <c r="R362" s="4583"/>
    </row>
    <row r="363" spans="3:18">
      <c r="C363" s="32"/>
      <c r="D363" s="32" t="s">
        <v>1344</v>
      </c>
      <c r="E363" s="4607">
        <v>0</v>
      </c>
      <c r="F363" s="4607"/>
      <c r="G363" s="4607"/>
      <c r="H363" s="4607">
        <v>0</v>
      </c>
      <c r="I363" s="4607">
        <v>0</v>
      </c>
      <c r="J363" s="4607">
        <v>0</v>
      </c>
      <c r="K363" s="4607">
        <v>1</v>
      </c>
      <c r="L363" s="4607">
        <v>0</v>
      </c>
      <c r="M363" s="4607">
        <v>0</v>
      </c>
      <c r="N363" s="4583"/>
      <c r="O363" s="4583"/>
      <c r="P363" s="4583">
        <v>1</v>
      </c>
      <c r="Q363" s="4583"/>
      <c r="R363" s="4583"/>
    </row>
    <row r="364" spans="3:18">
      <c r="C364" s="32"/>
      <c r="D364" s="4800" t="s">
        <v>15</v>
      </c>
      <c r="E364" s="4607">
        <v>5</v>
      </c>
      <c r="F364" s="4607"/>
      <c r="G364" s="4607"/>
      <c r="H364" s="4607">
        <v>2</v>
      </c>
      <c r="I364" s="4607">
        <v>1</v>
      </c>
      <c r="J364" s="4607">
        <v>1</v>
      </c>
      <c r="K364" s="4607">
        <v>28</v>
      </c>
      <c r="L364" s="4607">
        <v>5</v>
      </c>
      <c r="M364" s="4607">
        <v>7</v>
      </c>
      <c r="N364" s="4583"/>
      <c r="O364" s="4583"/>
      <c r="P364" s="4583">
        <v>49</v>
      </c>
      <c r="Q364" s="1977">
        <f>+(P358+P361+P363)/(P364-P362)</f>
        <v>0.11363636363636363</v>
      </c>
      <c r="R364" s="1977"/>
    </row>
    <row r="365" spans="3:18">
      <c r="C365" s="32" t="s">
        <v>113</v>
      </c>
      <c r="D365" s="32" t="s">
        <v>1230</v>
      </c>
      <c r="E365" s="4607">
        <v>0</v>
      </c>
      <c r="F365" s="4607">
        <v>0</v>
      </c>
      <c r="G365" s="4607">
        <v>0</v>
      </c>
      <c r="H365" s="4607">
        <v>0</v>
      </c>
      <c r="I365" s="4607">
        <v>0</v>
      </c>
      <c r="J365" s="4607">
        <v>4</v>
      </c>
      <c r="K365" s="4607">
        <v>1</v>
      </c>
      <c r="L365" s="4607">
        <v>5</v>
      </c>
      <c r="M365" s="4607">
        <v>6</v>
      </c>
      <c r="N365" s="4583">
        <v>0</v>
      </c>
      <c r="O365" s="4583">
        <v>2</v>
      </c>
      <c r="P365" s="4583">
        <v>18</v>
      </c>
      <c r="Q365" s="4583"/>
      <c r="R365" s="4583"/>
    </row>
    <row r="366" spans="3:18">
      <c r="C366" s="32"/>
      <c r="D366" s="32" t="s">
        <v>1231</v>
      </c>
      <c r="E366" s="4607">
        <v>0</v>
      </c>
      <c r="F366" s="4607">
        <v>20</v>
      </c>
      <c r="G366" s="4607">
        <v>7</v>
      </c>
      <c r="H366" s="4607">
        <v>4</v>
      </c>
      <c r="I366" s="4607">
        <v>4</v>
      </c>
      <c r="J366" s="4607">
        <v>12</v>
      </c>
      <c r="K366" s="4607">
        <v>139</v>
      </c>
      <c r="L366" s="4607">
        <v>33</v>
      </c>
      <c r="M366" s="4607">
        <v>21</v>
      </c>
      <c r="N366" s="4583">
        <v>9</v>
      </c>
      <c r="O366" s="4583">
        <v>0</v>
      </c>
      <c r="P366" s="4583">
        <v>249</v>
      </c>
      <c r="Q366" s="4583"/>
      <c r="R366" s="4583"/>
    </row>
    <row r="367" spans="3:18">
      <c r="C367" s="32"/>
      <c r="D367" s="32" t="s">
        <v>1233</v>
      </c>
      <c r="E367" s="4607">
        <v>0</v>
      </c>
      <c r="F367" s="4607">
        <v>8</v>
      </c>
      <c r="G367" s="4607">
        <v>3</v>
      </c>
      <c r="H367" s="4607">
        <v>2</v>
      </c>
      <c r="I367" s="4607">
        <v>0</v>
      </c>
      <c r="J367" s="4607">
        <v>0</v>
      </c>
      <c r="K367" s="4607">
        <v>0</v>
      </c>
      <c r="L367" s="4607">
        <v>0</v>
      </c>
      <c r="M367" s="4607">
        <v>0</v>
      </c>
      <c r="N367" s="4583">
        <v>0</v>
      </c>
      <c r="O367" s="4583">
        <v>0</v>
      </c>
      <c r="P367" s="4583">
        <v>13</v>
      </c>
      <c r="Q367" s="4583"/>
      <c r="R367" s="4583"/>
    </row>
    <row r="368" spans="3:18">
      <c r="C368" s="32"/>
      <c r="D368" s="32" t="s">
        <v>1235</v>
      </c>
      <c r="E368" s="4607">
        <v>0</v>
      </c>
      <c r="F368" s="4607">
        <v>0</v>
      </c>
      <c r="G368" s="4607">
        <v>1</v>
      </c>
      <c r="H368" s="4607">
        <v>0</v>
      </c>
      <c r="I368" s="4607">
        <v>1</v>
      </c>
      <c r="J368" s="4607">
        <v>0</v>
      </c>
      <c r="K368" s="4607">
        <v>41</v>
      </c>
      <c r="L368" s="4607">
        <v>33</v>
      </c>
      <c r="M368" s="4607">
        <v>0</v>
      </c>
      <c r="N368" s="4583">
        <v>0</v>
      </c>
      <c r="O368" s="4583">
        <v>0</v>
      </c>
      <c r="P368" s="4583">
        <v>76</v>
      </c>
      <c r="Q368" s="4583"/>
      <c r="R368" s="4583"/>
    </row>
    <row r="369" spans="3:18">
      <c r="C369" s="32"/>
      <c r="D369" s="32" t="s">
        <v>1236</v>
      </c>
      <c r="E369" s="4607">
        <v>0</v>
      </c>
      <c r="F369" s="4607">
        <v>0</v>
      </c>
      <c r="G369" s="4607">
        <v>0</v>
      </c>
      <c r="H369" s="4607">
        <v>5</v>
      </c>
      <c r="I369" s="4607">
        <v>3</v>
      </c>
      <c r="J369" s="4607">
        <v>0</v>
      </c>
      <c r="K369" s="4607">
        <v>0</v>
      </c>
      <c r="L369" s="4607">
        <v>0</v>
      </c>
      <c r="M369" s="4607">
        <v>0</v>
      </c>
      <c r="N369" s="4583">
        <v>0</v>
      </c>
      <c r="O369" s="4583">
        <v>0</v>
      </c>
      <c r="P369" s="4583">
        <v>8</v>
      </c>
      <c r="Q369" s="4583"/>
      <c r="R369" s="4583"/>
    </row>
    <row r="370" spans="3:18">
      <c r="C370" s="32"/>
      <c r="D370" s="32" t="s">
        <v>1239</v>
      </c>
      <c r="E370" s="4607">
        <v>0</v>
      </c>
      <c r="F370" s="4607">
        <v>0</v>
      </c>
      <c r="G370" s="4607">
        <v>0</v>
      </c>
      <c r="H370" s="4607">
        <v>0</v>
      </c>
      <c r="I370" s="4607">
        <v>0</v>
      </c>
      <c r="J370" s="4607">
        <v>1</v>
      </c>
      <c r="K370" s="4607">
        <v>0</v>
      </c>
      <c r="L370" s="4607">
        <v>81</v>
      </c>
      <c r="M370" s="4607">
        <v>56</v>
      </c>
      <c r="N370" s="4583">
        <v>27</v>
      </c>
      <c r="O370" s="4583">
        <v>8</v>
      </c>
      <c r="P370" s="4583">
        <v>173</v>
      </c>
      <c r="Q370" s="4583"/>
      <c r="R370" s="4583"/>
    </row>
    <row r="371" spans="3:18">
      <c r="C371" s="32"/>
      <c r="D371" s="32" t="s">
        <v>1240</v>
      </c>
      <c r="E371" s="4607">
        <v>0</v>
      </c>
      <c r="F371" s="4607">
        <v>0</v>
      </c>
      <c r="G371" s="4607">
        <v>0</v>
      </c>
      <c r="H371" s="4607">
        <v>0</v>
      </c>
      <c r="I371" s="4607">
        <v>0</v>
      </c>
      <c r="J371" s="4607">
        <v>0</v>
      </c>
      <c r="K371" s="4607">
        <v>21</v>
      </c>
      <c r="L371" s="4607">
        <v>4</v>
      </c>
      <c r="M371" s="4607">
        <v>2</v>
      </c>
      <c r="N371" s="4583">
        <v>0</v>
      </c>
      <c r="O371" s="4583">
        <v>0</v>
      </c>
      <c r="P371" s="4583">
        <v>27</v>
      </c>
      <c r="Q371" s="4583"/>
      <c r="R371" s="4583"/>
    </row>
    <row r="372" spans="3:18">
      <c r="C372" s="32"/>
      <c r="D372" s="32" t="s">
        <v>2963</v>
      </c>
      <c r="E372" s="4607">
        <v>46</v>
      </c>
      <c r="F372" s="4607">
        <v>0</v>
      </c>
      <c r="G372" s="4607">
        <v>0</v>
      </c>
      <c r="H372" s="4607">
        <v>0</v>
      </c>
      <c r="I372" s="4607">
        <v>0</v>
      </c>
      <c r="J372" s="4607">
        <v>0</v>
      </c>
      <c r="K372" s="4607">
        <v>0</v>
      </c>
      <c r="L372" s="4607">
        <v>0</v>
      </c>
      <c r="M372" s="4607">
        <v>0</v>
      </c>
      <c r="N372" s="4583">
        <v>0</v>
      </c>
      <c r="O372" s="4583">
        <v>0</v>
      </c>
      <c r="P372" s="4583">
        <v>46</v>
      </c>
      <c r="Q372" s="4583"/>
      <c r="R372" s="4583"/>
    </row>
    <row r="373" spans="3:18">
      <c r="C373" s="32"/>
      <c r="D373" s="32" t="s">
        <v>1344</v>
      </c>
      <c r="E373" s="4607">
        <v>0</v>
      </c>
      <c r="F373" s="4607">
        <v>0</v>
      </c>
      <c r="G373" s="4607">
        <v>0</v>
      </c>
      <c r="H373" s="4607">
        <v>10</v>
      </c>
      <c r="I373" s="4607">
        <v>0</v>
      </c>
      <c r="J373" s="4607">
        <v>2</v>
      </c>
      <c r="K373" s="4607">
        <v>65</v>
      </c>
      <c r="L373" s="4607">
        <v>27</v>
      </c>
      <c r="M373" s="4607">
        <v>6</v>
      </c>
      <c r="N373" s="4583">
        <v>0</v>
      </c>
      <c r="O373" s="4583">
        <v>0</v>
      </c>
      <c r="P373" s="4583">
        <v>110</v>
      </c>
      <c r="Q373" s="4583"/>
      <c r="R373" s="4583"/>
    </row>
    <row r="374" spans="3:18">
      <c r="C374" s="32"/>
      <c r="D374" s="4800" t="s">
        <v>15</v>
      </c>
      <c r="E374" s="4607">
        <v>46</v>
      </c>
      <c r="F374" s="4607">
        <v>28</v>
      </c>
      <c r="G374" s="4607">
        <v>11</v>
      </c>
      <c r="H374" s="4607">
        <v>21</v>
      </c>
      <c r="I374" s="4607">
        <v>8</v>
      </c>
      <c r="J374" s="4607">
        <v>19</v>
      </c>
      <c r="K374" s="4607">
        <v>267</v>
      </c>
      <c r="L374" s="4607">
        <v>183</v>
      </c>
      <c r="M374" s="4607">
        <v>91</v>
      </c>
      <c r="N374" s="4583">
        <v>36</v>
      </c>
      <c r="O374" s="4583">
        <v>10</v>
      </c>
      <c r="P374" s="4583">
        <v>720</v>
      </c>
      <c r="Q374" s="1977">
        <f>+(P368+P371+P373)/(P374-P372)</f>
        <v>0.31602373887240354</v>
      </c>
      <c r="R374" s="1977"/>
    </row>
    <row r="376" spans="3:18">
      <c r="Q376" s="125" t="s">
        <v>2972</v>
      </c>
    </row>
  </sheetData>
  <mergeCells count="24">
    <mergeCell ref="FA1:FP1"/>
    <mergeCell ref="FA2:FP2"/>
    <mergeCell ref="FA3:FP3"/>
    <mergeCell ref="FR3:GI3"/>
    <mergeCell ref="DE5:DN5"/>
    <mergeCell ref="DV5:EF5"/>
    <mergeCell ref="EN5:EW5"/>
    <mergeCell ref="FE5:FN5"/>
    <mergeCell ref="FV5:GF5"/>
    <mergeCell ref="FE276:FN276"/>
    <mergeCell ref="CN5:CX5"/>
    <mergeCell ref="FV276:GF276"/>
    <mergeCell ref="EN181:EW181"/>
    <mergeCell ref="FE181:FN181"/>
    <mergeCell ref="FV181:GF181"/>
    <mergeCell ref="EN248:EW248"/>
    <mergeCell ref="FE248:FN248"/>
    <mergeCell ref="FV248:GF248"/>
    <mergeCell ref="E5:O5"/>
    <mergeCell ref="AM5:AT5"/>
    <mergeCell ref="BD5:BN5"/>
    <mergeCell ref="BV5:CF5"/>
    <mergeCell ref="EN276:EW276"/>
    <mergeCell ref="W5:AE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sheetPr>
  <dimension ref="A1:N67"/>
  <sheetViews>
    <sheetView showGridLines="0" topLeftCell="B1" zoomScale="120" zoomScaleNormal="120" workbookViewId="0">
      <pane xSplit="1" ySplit="4" topLeftCell="G5" activePane="bottomRight" state="frozen"/>
      <selection activeCell="N60" sqref="N60"/>
      <selection pane="topRight" activeCell="N60" sqref="N60"/>
      <selection pane="bottomLeft" activeCell="N60" sqref="N60"/>
      <selection pane="bottomRight" activeCell="M75" sqref="M75"/>
    </sheetView>
  </sheetViews>
  <sheetFormatPr baseColWidth="10" defaultColWidth="11.44140625" defaultRowHeight="13.8"/>
  <cols>
    <col min="1" max="1" width="2.77734375" style="31" customWidth="1"/>
    <col min="2" max="2" width="65.21875" style="31" bestFit="1" customWidth="1"/>
    <col min="3" max="16384" width="11.44140625" style="31"/>
  </cols>
  <sheetData>
    <row r="1" spans="2:13" ht="15.6">
      <c r="B1" s="447" t="s">
        <v>2741</v>
      </c>
    </row>
    <row r="2" spans="2:13">
      <c r="B2" s="1014" t="s">
        <v>830</v>
      </c>
    </row>
    <row r="4" spans="2:13" ht="15" thickBot="1">
      <c r="B4" s="2560" t="s">
        <v>2728</v>
      </c>
      <c r="C4" s="2561">
        <v>2010</v>
      </c>
      <c r="D4" s="2561">
        <v>2011</v>
      </c>
      <c r="E4" s="2561">
        <v>2012</v>
      </c>
      <c r="F4" s="2561">
        <v>2013</v>
      </c>
      <c r="G4" s="2561">
        <v>2014</v>
      </c>
      <c r="H4" s="2561">
        <v>2015</v>
      </c>
      <c r="I4" s="2561">
        <v>2016</v>
      </c>
      <c r="J4" s="2561">
        <v>2017</v>
      </c>
      <c r="K4" s="2561">
        <v>2018</v>
      </c>
      <c r="L4" s="2556">
        <v>2019</v>
      </c>
      <c r="M4" s="2556" t="s">
        <v>3863</v>
      </c>
    </row>
    <row r="5" spans="2:13" ht="15" customHeight="1">
      <c r="B5" s="3686" t="s">
        <v>115</v>
      </c>
      <c r="C5" s="2959">
        <v>0.83333333333333337</v>
      </c>
      <c r="D5" s="3687">
        <v>0.5</v>
      </c>
      <c r="E5" s="2963">
        <v>0.27272727272727271</v>
      </c>
      <c r="F5" s="3687">
        <v>1</v>
      </c>
      <c r="G5" s="3639">
        <v>0.8</v>
      </c>
      <c r="H5" s="3639">
        <v>0.7142857142857143</v>
      </c>
      <c r="I5" s="3639">
        <v>0.8</v>
      </c>
      <c r="J5" s="3639">
        <v>0.75</v>
      </c>
      <c r="K5" s="3641">
        <v>1</v>
      </c>
      <c r="L5" s="3641">
        <v>0</v>
      </c>
      <c r="M5" s="3641"/>
    </row>
    <row r="6" spans="2:13" ht="15" customHeight="1">
      <c r="B6" s="3688" t="s">
        <v>116</v>
      </c>
      <c r="C6" s="2977">
        <v>0.33333333333333331</v>
      </c>
      <c r="D6" s="2975"/>
      <c r="E6" s="2969">
        <v>0.5</v>
      </c>
      <c r="F6" s="3689">
        <v>0</v>
      </c>
      <c r="G6" s="3644"/>
      <c r="H6" s="3644"/>
      <c r="I6" s="3644"/>
      <c r="J6" s="3644">
        <v>0</v>
      </c>
      <c r="K6" s="3646">
        <v>0</v>
      </c>
      <c r="L6" s="3646">
        <v>0</v>
      </c>
      <c r="M6" s="3646">
        <v>0.33333333333333331</v>
      </c>
    </row>
    <row r="7" spans="2:13" ht="15" customHeight="1">
      <c r="B7" s="3688" t="s">
        <v>669</v>
      </c>
      <c r="C7" s="2977"/>
      <c r="D7" s="2975"/>
      <c r="E7" s="2969"/>
      <c r="F7" s="3690"/>
      <c r="G7" s="3644"/>
      <c r="H7" s="3644"/>
      <c r="I7" s="3644"/>
      <c r="J7" s="3644">
        <v>0.33333333333333331</v>
      </c>
      <c r="K7" s="3646"/>
      <c r="L7" s="3646">
        <v>0.16666666666666666</v>
      </c>
      <c r="M7" s="3646"/>
    </row>
    <row r="8" spans="2:13" ht="15" customHeight="1">
      <c r="B8" s="3688" t="s">
        <v>668</v>
      </c>
      <c r="C8" s="2977"/>
      <c r="D8" s="2975"/>
      <c r="E8" s="2969"/>
      <c r="F8" s="3690"/>
      <c r="G8" s="3644"/>
      <c r="H8" s="3644"/>
      <c r="I8" s="3644"/>
      <c r="J8" s="3644">
        <v>1</v>
      </c>
      <c r="K8" s="3646"/>
      <c r="L8" s="3646">
        <v>1</v>
      </c>
      <c r="M8" s="3646">
        <v>0</v>
      </c>
    </row>
    <row r="9" spans="2:13" ht="15" customHeight="1">
      <c r="B9" s="3688" t="s">
        <v>2537</v>
      </c>
      <c r="C9" s="2977"/>
      <c r="D9" s="2975"/>
      <c r="E9" s="2969"/>
      <c r="F9" s="3690"/>
      <c r="G9" s="3644"/>
      <c r="H9" s="3644"/>
      <c r="I9" s="3644"/>
      <c r="J9" s="3644">
        <v>0</v>
      </c>
      <c r="K9" s="3646">
        <v>0.75</v>
      </c>
      <c r="L9" s="3646">
        <v>0.2</v>
      </c>
      <c r="M9" s="3646">
        <v>0.27272727272727271</v>
      </c>
    </row>
    <row r="10" spans="2:13" ht="15" customHeight="1">
      <c r="B10" s="3691" t="s">
        <v>544</v>
      </c>
      <c r="C10" s="3648">
        <v>0.66666666666666663</v>
      </c>
      <c r="D10" s="2975">
        <v>0.5</v>
      </c>
      <c r="E10" s="2972">
        <v>0.30769230769230771</v>
      </c>
      <c r="F10" s="2975">
        <v>0.5</v>
      </c>
      <c r="G10" s="3648">
        <v>0.8</v>
      </c>
      <c r="H10" s="3648">
        <v>0.7142857142857143</v>
      </c>
      <c r="I10" s="3648">
        <v>0.8</v>
      </c>
      <c r="J10" s="3648">
        <v>0.54545454545454541</v>
      </c>
      <c r="K10" s="3650">
        <v>0.63636363636363635</v>
      </c>
      <c r="L10" s="3650">
        <v>0.21428571428571427</v>
      </c>
      <c r="M10" s="3650">
        <v>0.23529411764705882</v>
      </c>
    </row>
    <row r="11" spans="2:13" ht="15" customHeight="1">
      <c r="B11" s="3692" t="s">
        <v>128</v>
      </c>
      <c r="C11" s="2977">
        <v>0</v>
      </c>
      <c r="D11" s="3690">
        <v>0.2</v>
      </c>
      <c r="E11" s="2972"/>
      <c r="F11" s="2975"/>
      <c r="G11" s="3648"/>
      <c r="H11" s="3648"/>
      <c r="I11" s="3648"/>
      <c r="J11" s="3648"/>
      <c r="K11" s="3650"/>
      <c r="L11" s="3650">
        <v>0</v>
      </c>
      <c r="M11" s="3650"/>
    </row>
    <row r="12" spans="2:13" ht="15" customHeight="1">
      <c r="B12" s="3688" t="s">
        <v>119</v>
      </c>
      <c r="C12" s="3652"/>
      <c r="D12" s="3690">
        <v>0.35714285714285715</v>
      </c>
      <c r="E12" s="3648"/>
      <c r="F12" s="3689">
        <v>0</v>
      </c>
      <c r="G12" s="3644"/>
      <c r="H12" s="3644">
        <v>0.27272727272727271</v>
      </c>
      <c r="I12" s="3644"/>
      <c r="J12" s="3644">
        <v>0.22222222222222221</v>
      </c>
      <c r="K12" s="3646"/>
      <c r="L12" s="3646">
        <v>0.4</v>
      </c>
      <c r="M12" s="3646"/>
    </row>
    <row r="13" spans="2:13" ht="15" customHeight="1">
      <c r="B13" s="4613" t="s">
        <v>118</v>
      </c>
      <c r="C13" s="3652"/>
      <c r="D13" s="3690">
        <v>0.15384615384615385</v>
      </c>
      <c r="E13" s="3648"/>
      <c r="F13" s="3693"/>
      <c r="G13" s="3644">
        <v>0.5</v>
      </c>
      <c r="H13" s="3644"/>
      <c r="I13" s="3644">
        <v>0.27272727272727271</v>
      </c>
      <c r="J13" s="3644"/>
      <c r="K13" s="3646">
        <v>0.23076923076923078</v>
      </c>
      <c r="L13" s="3646"/>
      <c r="M13" s="3646">
        <v>0</v>
      </c>
    </row>
    <row r="14" spans="2:13" ht="15" customHeight="1">
      <c r="B14" s="3691" t="s">
        <v>545</v>
      </c>
      <c r="C14" s="3648">
        <v>0</v>
      </c>
      <c r="D14" s="2975">
        <v>0.25</v>
      </c>
      <c r="E14" s="3648"/>
      <c r="F14" s="2975">
        <v>0</v>
      </c>
      <c r="G14" s="3648">
        <v>0.5</v>
      </c>
      <c r="H14" s="3648">
        <v>0.27272727272727271</v>
      </c>
      <c r="I14" s="3648">
        <v>0.27272727272727271</v>
      </c>
      <c r="J14" s="3648">
        <v>0.22222222222222221</v>
      </c>
      <c r="K14" s="3650">
        <v>0.23076923076923078</v>
      </c>
      <c r="L14" s="3650">
        <v>0.33329999999999999</v>
      </c>
      <c r="M14" s="3650">
        <v>0</v>
      </c>
    </row>
    <row r="15" spans="2:13" ht="15" customHeight="1">
      <c r="B15" s="3694" t="s">
        <v>105</v>
      </c>
      <c r="C15" s="2977">
        <v>0.2</v>
      </c>
      <c r="D15" s="3690">
        <v>0</v>
      </c>
      <c r="E15" s="2969">
        <v>0</v>
      </c>
      <c r="F15" s="3690">
        <v>0.17647058823529413</v>
      </c>
      <c r="G15" s="3644">
        <v>9.0909090909090912E-2</v>
      </c>
      <c r="H15" s="3644">
        <v>0</v>
      </c>
      <c r="I15" s="3644">
        <v>1</v>
      </c>
      <c r="J15" s="3644"/>
      <c r="K15" s="3646"/>
      <c r="L15" s="3646"/>
      <c r="M15" s="3646"/>
    </row>
    <row r="16" spans="2:13" ht="15" customHeight="1">
      <c r="B16" s="3694" t="s">
        <v>1638</v>
      </c>
      <c r="C16" s="2977"/>
      <c r="D16" s="3690"/>
      <c r="E16" s="2969"/>
      <c r="F16" s="3690"/>
      <c r="G16" s="3644"/>
      <c r="H16" s="3644"/>
      <c r="I16" s="3644">
        <v>1</v>
      </c>
      <c r="J16" s="3644"/>
      <c r="K16" s="3646">
        <v>0</v>
      </c>
      <c r="L16" s="3646"/>
      <c r="M16" s="3646"/>
    </row>
    <row r="17" spans="2:13" ht="15" customHeight="1">
      <c r="B17" s="3694" t="s">
        <v>1639</v>
      </c>
      <c r="C17" s="2977"/>
      <c r="D17" s="3690"/>
      <c r="E17" s="2969"/>
      <c r="F17" s="3690"/>
      <c r="G17" s="3644"/>
      <c r="H17" s="3644"/>
      <c r="I17" s="3644">
        <v>0</v>
      </c>
      <c r="J17" s="3644"/>
      <c r="K17" s="3646">
        <v>0</v>
      </c>
      <c r="L17" s="3646">
        <v>0.5</v>
      </c>
      <c r="M17" s="3646"/>
    </row>
    <row r="18" spans="2:13" ht="15" customHeight="1">
      <c r="B18" s="3694" t="s">
        <v>1640</v>
      </c>
      <c r="C18" s="2977"/>
      <c r="D18" s="3690"/>
      <c r="E18" s="2969"/>
      <c r="F18" s="3690"/>
      <c r="G18" s="3644"/>
      <c r="H18" s="3644"/>
      <c r="I18" s="3644">
        <v>0.27272727272727271</v>
      </c>
      <c r="J18" s="3644"/>
      <c r="K18" s="3646">
        <v>0.16666666666666666</v>
      </c>
      <c r="L18" s="3646">
        <v>0.25</v>
      </c>
      <c r="M18" s="3646">
        <v>0.33333333333333331</v>
      </c>
    </row>
    <row r="19" spans="2:13" ht="15" customHeight="1">
      <c r="B19" s="3694" t="s">
        <v>1637</v>
      </c>
      <c r="C19" s="2977"/>
      <c r="D19" s="3690"/>
      <c r="E19" s="2969"/>
      <c r="F19" s="3690"/>
      <c r="G19" s="3644"/>
      <c r="H19" s="3644"/>
      <c r="I19" s="3644"/>
      <c r="J19" s="3644"/>
      <c r="K19" s="3646">
        <v>0</v>
      </c>
      <c r="L19" s="3646"/>
      <c r="M19" s="3646"/>
    </row>
    <row r="20" spans="2:13" ht="15" customHeight="1">
      <c r="B20" s="3694" t="s">
        <v>1641</v>
      </c>
      <c r="C20" s="2977"/>
      <c r="D20" s="3690"/>
      <c r="E20" s="2969"/>
      <c r="F20" s="3690"/>
      <c r="G20" s="3644"/>
      <c r="H20" s="3644"/>
      <c r="I20" s="3644">
        <v>0.125</v>
      </c>
      <c r="J20" s="3644"/>
      <c r="K20" s="3646">
        <v>0.2857142857142857</v>
      </c>
      <c r="L20" s="3646">
        <v>0</v>
      </c>
      <c r="M20" s="3646">
        <v>0</v>
      </c>
    </row>
    <row r="21" spans="2:13" ht="15" customHeight="1">
      <c r="B21" s="3691" t="s">
        <v>546</v>
      </c>
      <c r="C21" s="3648">
        <v>0.2</v>
      </c>
      <c r="D21" s="2975">
        <v>0</v>
      </c>
      <c r="E21" s="2972">
        <v>0</v>
      </c>
      <c r="F21" s="2975">
        <v>0.17647058823529413</v>
      </c>
      <c r="G21" s="3648">
        <v>9.0909090909090912E-2</v>
      </c>
      <c r="H21" s="3648">
        <v>0</v>
      </c>
      <c r="I21" s="3648">
        <v>0.29166666666666669</v>
      </c>
      <c r="J21" s="3648"/>
      <c r="K21" s="3650">
        <v>0.15384615384615385</v>
      </c>
      <c r="L21" s="3650">
        <v>0.28570000000000001</v>
      </c>
      <c r="M21" s="3650">
        <v>0.14285714285714285</v>
      </c>
    </row>
    <row r="22" spans="2:13" ht="15" customHeight="1">
      <c r="B22" s="3695" t="s">
        <v>106</v>
      </c>
      <c r="C22" s="3657">
        <v>0.4375</v>
      </c>
      <c r="D22" s="3003">
        <v>0.26923076923076922</v>
      </c>
      <c r="E22" s="3006">
        <v>0.14814814814814814</v>
      </c>
      <c r="F22" s="3003">
        <v>0.20689655172413793</v>
      </c>
      <c r="G22" s="3657">
        <v>0.29310344827586204</v>
      </c>
      <c r="H22" s="3657">
        <v>0.38095238095238093</v>
      </c>
      <c r="I22" s="3657">
        <v>0.35</v>
      </c>
      <c r="J22" s="3657">
        <v>0.4</v>
      </c>
      <c r="K22" s="3658">
        <v>0.25396825396825395</v>
      </c>
      <c r="L22" s="3658">
        <v>0.25929999999999997</v>
      </c>
      <c r="M22" s="3658">
        <v>9.6153846153846159E-2</v>
      </c>
    </row>
    <row r="23" spans="2:13" ht="15" customHeight="1">
      <c r="B23" s="3696" t="s">
        <v>120</v>
      </c>
      <c r="C23" s="2995">
        <v>0</v>
      </c>
      <c r="D23" s="3697">
        <v>0.5</v>
      </c>
      <c r="E23" s="2999">
        <v>0</v>
      </c>
      <c r="F23" s="3697">
        <v>0.2</v>
      </c>
      <c r="G23" s="3661">
        <v>0.5</v>
      </c>
      <c r="H23" s="3661">
        <v>0</v>
      </c>
      <c r="I23" s="3661">
        <v>1</v>
      </c>
      <c r="J23" s="3661">
        <v>0</v>
      </c>
      <c r="K23" s="3662">
        <v>0.375</v>
      </c>
      <c r="L23" s="3662">
        <v>0.27272727272727271</v>
      </c>
      <c r="M23" s="3662">
        <v>0</v>
      </c>
    </row>
    <row r="24" spans="2:13" ht="15" customHeight="1">
      <c r="B24" s="3694" t="s">
        <v>121</v>
      </c>
      <c r="C24" s="2977">
        <v>0.5</v>
      </c>
      <c r="D24" s="3690">
        <v>0</v>
      </c>
      <c r="E24" s="2969">
        <v>0.2857142857142857</v>
      </c>
      <c r="F24" s="3690">
        <v>0.22222222222222221</v>
      </c>
      <c r="G24" s="3644">
        <v>0.16666666666666666</v>
      </c>
      <c r="H24" s="3644">
        <v>0</v>
      </c>
      <c r="I24" s="3644">
        <v>0.2</v>
      </c>
      <c r="J24" s="3644">
        <v>0.22222222222222221</v>
      </c>
      <c r="K24" s="3646">
        <v>0.4</v>
      </c>
      <c r="L24" s="3646">
        <v>0.18181818181818182</v>
      </c>
      <c r="M24" s="3646">
        <v>0</v>
      </c>
    </row>
    <row r="25" spans="2:13" ht="15" customHeight="1">
      <c r="B25" s="3694" t="s">
        <v>122</v>
      </c>
      <c r="C25" s="2977">
        <v>0.21428571428571427</v>
      </c>
      <c r="D25" s="3690">
        <v>0.15384615384615385</v>
      </c>
      <c r="E25" s="2969">
        <v>0</v>
      </c>
      <c r="F25" s="3690">
        <v>0.29411764705882354</v>
      </c>
      <c r="G25" s="3644">
        <v>9.5238095238095233E-2</v>
      </c>
      <c r="H25" s="3644">
        <v>0</v>
      </c>
      <c r="I25" s="3644">
        <v>0.11764705882352941</v>
      </c>
      <c r="J25" s="3644">
        <v>0.5</v>
      </c>
      <c r="K25" s="3646">
        <v>0.27272727272727271</v>
      </c>
      <c r="L25" s="3646">
        <v>0.5</v>
      </c>
      <c r="M25" s="3646">
        <v>0.33333333333333331</v>
      </c>
    </row>
    <row r="26" spans="2:13" ht="15" customHeight="1">
      <c r="B26" s="3694" t="s">
        <v>123</v>
      </c>
      <c r="C26" s="2977">
        <v>0.3</v>
      </c>
      <c r="D26" s="3690">
        <v>0.5</v>
      </c>
      <c r="E26" s="2969">
        <v>0.5</v>
      </c>
      <c r="F26" s="3690">
        <v>0.33333333333333331</v>
      </c>
      <c r="G26" s="3644">
        <v>0.25</v>
      </c>
      <c r="H26" s="3644">
        <v>0.13333333333333333</v>
      </c>
      <c r="I26" s="3644">
        <v>0.33333333333333331</v>
      </c>
      <c r="J26" s="3644">
        <v>0.5</v>
      </c>
      <c r="K26" s="3646">
        <v>0.25</v>
      </c>
      <c r="L26" s="3646">
        <v>0.2</v>
      </c>
      <c r="M26" s="3646">
        <v>0.4</v>
      </c>
    </row>
    <row r="27" spans="2:13" ht="15" customHeight="1">
      <c r="B27" s="3694" t="s">
        <v>124</v>
      </c>
      <c r="C27" s="2977">
        <v>0.2</v>
      </c>
      <c r="D27" s="3690">
        <v>0</v>
      </c>
      <c r="E27" s="2969">
        <v>0</v>
      </c>
      <c r="F27" s="3690">
        <v>0</v>
      </c>
      <c r="G27" s="3644">
        <v>0</v>
      </c>
      <c r="H27" s="3644">
        <v>0.33333333333333331</v>
      </c>
      <c r="I27" s="3644">
        <v>0</v>
      </c>
      <c r="J27" s="3644">
        <v>0.33333333333333331</v>
      </c>
      <c r="K27" s="3646">
        <v>0</v>
      </c>
      <c r="L27" s="3646">
        <v>0.14285714285714285</v>
      </c>
      <c r="M27" s="3646">
        <v>0</v>
      </c>
    </row>
    <row r="28" spans="2:13" ht="15" customHeight="1">
      <c r="B28" s="3698" t="s">
        <v>417</v>
      </c>
      <c r="C28" s="3699"/>
      <c r="D28" s="3644"/>
      <c r="E28" s="2969"/>
      <c r="F28" s="3644"/>
      <c r="G28" s="3644"/>
      <c r="H28" s="3644">
        <v>0</v>
      </c>
      <c r="I28" s="3644">
        <v>0.18181818181818182</v>
      </c>
      <c r="J28" s="3644">
        <v>0.14285714285714285</v>
      </c>
      <c r="K28" s="3646">
        <v>0.14285714285714285</v>
      </c>
      <c r="L28" s="3646">
        <v>0</v>
      </c>
      <c r="M28" s="3646">
        <v>0.5</v>
      </c>
    </row>
    <row r="29" spans="2:13" ht="15" customHeight="1">
      <c r="B29" s="3698" t="s">
        <v>795</v>
      </c>
      <c r="C29" s="3664"/>
      <c r="D29" s="3644"/>
      <c r="E29" s="2968"/>
      <c r="F29" s="3644"/>
      <c r="G29" s="3644"/>
      <c r="H29" s="3644"/>
      <c r="I29" s="3644"/>
      <c r="J29" s="3644">
        <v>0</v>
      </c>
      <c r="K29" s="3646">
        <v>0</v>
      </c>
      <c r="L29" s="3646">
        <v>0.66666666666666663</v>
      </c>
      <c r="M29" s="3646">
        <v>0</v>
      </c>
    </row>
    <row r="30" spans="2:13" ht="15" customHeight="1">
      <c r="B30" s="3700" t="s">
        <v>544</v>
      </c>
      <c r="C30" s="2975">
        <v>0.26315789473684209</v>
      </c>
      <c r="D30" s="3648">
        <v>0.22857142857142856</v>
      </c>
      <c r="E30" s="2976">
        <v>0.14814814814814814</v>
      </c>
      <c r="F30" s="3648">
        <v>0.22500000000000001</v>
      </c>
      <c r="G30" s="3648">
        <v>0.13953488372093023</v>
      </c>
      <c r="H30" s="3648">
        <v>7.8431372549019607E-2</v>
      </c>
      <c r="I30" s="3648">
        <v>0.18367346938775511</v>
      </c>
      <c r="J30" s="3648">
        <v>0.32075471698113206</v>
      </c>
      <c r="K30" s="3650">
        <v>0.2608695652173913</v>
      </c>
      <c r="L30" s="3650">
        <v>0.23809523809523808</v>
      </c>
      <c r="M30" s="3650">
        <v>0.17857142857142858</v>
      </c>
    </row>
    <row r="31" spans="2:13" ht="15" customHeight="1">
      <c r="B31" s="3694" t="s">
        <v>107</v>
      </c>
      <c r="C31" s="2977">
        <v>0.25</v>
      </c>
      <c r="D31" s="3690">
        <v>0.23809523809523808</v>
      </c>
      <c r="E31" s="2969">
        <v>0.30769230769230771</v>
      </c>
      <c r="F31" s="3690">
        <v>0.2413793103448276</v>
      </c>
      <c r="G31" s="3644">
        <v>0.1111111111111111</v>
      </c>
      <c r="H31" s="3644">
        <v>9.0909090909090912E-2</v>
      </c>
      <c r="I31" s="3644">
        <v>0.3</v>
      </c>
      <c r="J31" s="3644"/>
      <c r="K31" s="3646">
        <v>0.1</v>
      </c>
      <c r="L31" s="3646"/>
      <c r="M31" s="3646">
        <v>0</v>
      </c>
    </row>
    <row r="32" spans="2:13" ht="15" customHeight="1">
      <c r="B32" s="3694" t="s">
        <v>125</v>
      </c>
      <c r="C32" s="2977">
        <v>0.5</v>
      </c>
      <c r="D32" s="3690">
        <v>0.2</v>
      </c>
      <c r="E32" s="2969">
        <v>0.13333333333333333</v>
      </c>
      <c r="F32" s="3690">
        <v>0.6</v>
      </c>
      <c r="G32" s="3644">
        <v>0.5</v>
      </c>
      <c r="H32" s="3644">
        <v>0.46666666666666667</v>
      </c>
      <c r="I32" s="3644">
        <v>0.63636363636363635</v>
      </c>
      <c r="J32" s="3644"/>
      <c r="K32" s="3646">
        <v>0.8</v>
      </c>
      <c r="L32" s="3646">
        <v>1</v>
      </c>
      <c r="M32" s="3646">
        <v>7.1428571428571425E-2</v>
      </c>
    </row>
    <row r="33" spans="2:13" ht="15" customHeight="1">
      <c r="B33" s="3694" t="s">
        <v>126</v>
      </c>
      <c r="C33" s="2977">
        <v>0.41666666666666669</v>
      </c>
      <c r="D33" s="3690">
        <v>0.36842105263157893</v>
      </c>
      <c r="E33" s="2969">
        <v>0.55555555555555558</v>
      </c>
      <c r="F33" s="3690">
        <v>0.58333333333333337</v>
      </c>
      <c r="G33" s="3644">
        <v>0.55000000000000004</v>
      </c>
      <c r="H33" s="3644">
        <v>0.63157894736842102</v>
      </c>
      <c r="I33" s="3644">
        <v>0.6</v>
      </c>
      <c r="J33" s="3644">
        <v>0.31818181818181818</v>
      </c>
      <c r="K33" s="3646">
        <v>0.25</v>
      </c>
      <c r="L33" s="3646">
        <v>0.55559999999999998</v>
      </c>
      <c r="M33" s="3646">
        <v>4.5454545454545456E-2</v>
      </c>
    </row>
    <row r="34" spans="2:13" ht="15" customHeight="1">
      <c r="B34" s="3694" t="s">
        <v>127</v>
      </c>
      <c r="C34" s="2977">
        <v>0.8125</v>
      </c>
      <c r="D34" s="3690">
        <v>1</v>
      </c>
      <c r="E34" s="2969">
        <v>0.77272727272727271</v>
      </c>
      <c r="F34" s="3690">
        <v>0.7142857142857143</v>
      </c>
      <c r="G34" s="3644">
        <v>0.45454545454545453</v>
      </c>
      <c r="H34" s="3644">
        <v>1</v>
      </c>
      <c r="I34" s="3644">
        <v>0.51724137931034486</v>
      </c>
      <c r="J34" s="3644"/>
      <c r="K34" s="3646">
        <v>0.5</v>
      </c>
      <c r="L34" s="3646"/>
      <c r="M34" s="3646">
        <v>0.05</v>
      </c>
    </row>
    <row r="35" spans="2:13" ht="15" customHeight="1">
      <c r="B35" s="3694" t="s">
        <v>128</v>
      </c>
      <c r="C35" s="2977">
        <v>0</v>
      </c>
      <c r="D35" s="3690">
        <v>0.125</v>
      </c>
      <c r="E35" s="2969">
        <v>0</v>
      </c>
      <c r="F35" s="3690">
        <v>8.3333333333333329E-2</v>
      </c>
      <c r="G35" s="3644">
        <v>6.6666666666666666E-2</v>
      </c>
      <c r="H35" s="3644">
        <v>6.6666666666666666E-2</v>
      </c>
      <c r="I35" s="3644">
        <v>0.13333333333333333</v>
      </c>
      <c r="J35" s="3644">
        <v>0.35714285714285715</v>
      </c>
      <c r="K35" s="3646">
        <v>0.375</v>
      </c>
      <c r="L35" s="3646">
        <v>0.41670000000000001</v>
      </c>
      <c r="M35" s="3646">
        <v>7.6923076923076927E-2</v>
      </c>
    </row>
    <row r="36" spans="2:13" ht="15" customHeight="1">
      <c r="B36" s="3691" t="s">
        <v>545</v>
      </c>
      <c r="C36" s="3648">
        <v>0.53191489361702127</v>
      </c>
      <c r="D36" s="2975">
        <v>0.328125</v>
      </c>
      <c r="E36" s="2972">
        <v>0.4942528735632184</v>
      </c>
      <c r="F36" s="2975">
        <v>0.40229885057471265</v>
      </c>
      <c r="G36" s="3648">
        <v>0.41666666666666669</v>
      </c>
      <c r="H36" s="3648">
        <v>0.43209876543209874</v>
      </c>
      <c r="I36" s="3648">
        <v>0.47368421052631576</v>
      </c>
      <c r="J36" s="3648">
        <v>0.33333333333333331</v>
      </c>
      <c r="K36" s="3650">
        <v>0.39393939393939392</v>
      </c>
      <c r="L36" s="3650">
        <v>0.62</v>
      </c>
      <c r="M36" s="3650">
        <v>4.3956043956043959E-2</v>
      </c>
    </row>
    <row r="37" spans="2:13" ht="15" customHeight="1">
      <c r="B37" s="3698" t="s">
        <v>129</v>
      </c>
      <c r="C37" s="3664">
        <v>0.56521739130434778</v>
      </c>
      <c r="D37" s="3644">
        <v>0.6</v>
      </c>
      <c r="E37" s="2968">
        <v>0.54545454545454541</v>
      </c>
      <c r="F37" s="3644">
        <v>0.63636363636363635</v>
      </c>
      <c r="G37" s="3644">
        <v>0.63636363636363635</v>
      </c>
      <c r="H37" s="3644">
        <v>0.30434782608695654</v>
      </c>
      <c r="I37" s="3644">
        <v>0.17391304347826086</v>
      </c>
      <c r="J37" s="3644">
        <v>0.22222222222222221</v>
      </c>
      <c r="K37" s="3646">
        <v>0.33333333333333331</v>
      </c>
      <c r="L37" s="3646">
        <v>0.19230769230769232</v>
      </c>
      <c r="M37" s="3646">
        <v>0.18181818181818182</v>
      </c>
    </row>
    <row r="38" spans="2:13" ht="15" customHeight="1">
      <c r="B38" s="3698" t="s">
        <v>130</v>
      </c>
      <c r="C38" s="3664">
        <v>0.25</v>
      </c>
      <c r="D38" s="3644">
        <v>0.3</v>
      </c>
      <c r="E38" s="2968">
        <v>0.14285714285714285</v>
      </c>
      <c r="F38" s="3644">
        <v>0.42857142857142855</v>
      </c>
      <c r="G38" s="3644">
        <v>0.5</v>
      </c>
      <c r="H38" s="3644">
        <v>0.66666666666666663</v>
      </c>
      <c r="I38" s="3644">
        <v>0.5</v>
      </c>
      <c r="J38" s="3644">
        <v>0.73333333333333328</v>
      </c>
      <c r="K38" s="3646">
        <v>0.38461538461538464</v>
      </c>
      <c r="L38" s="3646">
        <v>0.66666666666666663</v>
      </c>
      <c r="M38" s="3646">
        <v>0.25</v>
      </c>
    </row>
    <row r="39" spans="2:13" ht="15" customHeight="1">
      <c r="B39" s="3698" t="s">
        <v>333</v>
      </c>
      <c r="C39" s="3664">
        <v>0</v>
      </c>
      <c r="D39" s="3644">
        <v>0</v>
      </c>
      <c r="E39" s="2968">
        <v>0.15384615384615385</v>
      </c>
      <c r="F39" s="3644">
        <v>0.27272727272727271</v>
      </c>
      <c r="G39" s="3644">
        <v>0.2857142857142857</v>
      </c>
      <c r="H39" s="3644">
        <v>7.6923076923076927E-2</v>
      </c>
      <c r="I39" s="3644">
        <v>0.05</v>
      </c>
      <c r="J39" s="3644">
        <v>0.2</v>
      </c>
      <c r="K39" s="3646">
        <v>0.2</v>
      </c>
      <c r="L39" s="3646">
        <v>0.2857142857142857</v>
      </c>
      <c r="M39" s="3646">
        <v>3.8461538461538464E-2</v>
      </c>
    </row>
    <row r="40" spans="2:13" ht="15" customHeight="1">
      <c r="B40" s="3701" t="s">
        <v>846</v>
      </c>
      <c r="C40" s="3664">
        <v>0.5</v>
      </c>
      <c r="D40" s="3644">
        <v>1</v>
      </c>
      <c r="E40" s="2968"/>
      <c r="F40" s="3644"/>
      <c r="G40" s="3644"/>
      <c r="H40" s="3644"/>
      <c r="I40" s="3644"/>
      <c r="J40" s="3644"/>
      <c r="K40" s="3646"/>
      <c r="L40" s="3646"/>
      <c r="M40" s="3646"/>
    </row>
    <row r="41" spans="2:13" ht="15" customHeight="1">
      <c r="B41" s="3691" t="s">
        <v>547</v>
      </c>
      <c r="C41" s="3648">
        <v>0.4838709677419355</v>
      </c>
      <c r="D41" s="2975">
        <v>0.38461538461538464</v>
      </c>
      <c r="E41" s="2972">
        <v>0.35714285714285715</v>
      </c>
      <c r="F41" s="2975">
        <v>0.44444444444444442</v>
      </c>
      <c r="G41" s="3648">
        <v>0.5</v>
      </c>
      <c r="H41" s="3648">
        <v>0.33333333333333331</v>
      </c>
      <c r="I41" s="3648">
        <v>0.22807017543859648</v>
      </c>
      <c r="J41" s="3648">
        <v>0.375</v>
      </c>
      <c r="K41" s="3650">
        <v>0.28813559322033899</v>
      </c>
      <c r="L41" s="3650">
        <v>0.28570000000000001</v>
      </c>
      <c r="M41" s="3650">
        <v>0.1111111111111111</v>
      </c>
    </row>
    <row r="42" spans="2:13" ht="15" customHeight="1">
      <c r="B42" s="3695" t="s">
        <v>110</v>
      </c>
      <c r="C42" s="3657">
        <v>0.43103448275862066</v>
      </c>
      <c r="D42" s="3003">
        <v>0.312</v>
      </c>
      <c r="E42" s="3006">
        <v>0.39743589743589741</v>
      </c>
      <c r="F42" s="3003">
        <v>0.36809815950920244</v>
      </c>
      <c r="G42" s="3657">
        <v>0.38604651162790699</v>
      </c>
      <c r="H42" s="3657">
        <v>0.30555555555555558</v>
      </c>
      <c r="I42" s="3657">
        <v>0.32835820895522388</v>
      </c>
      <c r="J42" s="3657">
        <v>0.34306569343065696</v>
      </c>
      <c r="K42" s="3658">
        <v>0.33333333333333331</v>
      </c>
      <c r="L42" s="3658">
        <v>0.39190000000000003</v>
      </c>
      <c r="M42" s="3658">
        <v>8.5365853658536592E-2</v>
      </c>
    </row>
    <row r="43" spans="2:13" ht="15" customHeight="1">
      <c r="B43" s="3702" t="s">
        <v>144</v>
      </c>
      <c r="C43" s="3703"/>
      <c r="D43" s="3697">
        <v>0.3</v>
      </c>
      <c r="E43" s="2999">
        <v>7.6923076923076927E-2</v>
      </c>
      <c r="F43" s="3704">
        <v>0.21739130434782608</v>
      </c>
      <c r="G43" s="3705"/>
      <c r="H43" s="3661">
        <v>0.34693877551020408</v>
      </c>
      <c r="I43" s="3661"/>
      <c r="J43" s="3661">
        <v>0.25925925925925924</v>
      </c>
      <c r="K43" s="3662"/>
      <c r="L43" s="3662">
        <v>0.29409999999999997</v>
      </c>
      <c r="M43" s="3662"/>
    </row>
    <row r="44" spans="2:13" ht="15" customHeight="1">
      <c r="B44" s="3688" t="s">
        <v>111</v>
      </c>
      <c r="C44" s="2977"/>
      <c r="D44" s="3690">
        <v>5.8823529411764705E-2</v>
      </c>
      <c r="E44" s="3648"/>
      <c r="F44" s="3690">
        <v>7.1428571428571425E-2</v>
      </c>
      <c r="G44" s="3648"/>
      <c r="H44" s="3644">
        <v>0.17391304347826086</v>
      </c>
      <c r="I44" s="3644"/>
      <c r="J44" s="3644">
        <v>0.29411764705882354</v>
      </c>
      <c r="K44" s="3646"/>
      <c r="L44" s="3646">
        <v>0.45829999999999999</v>
      </c>
      <c r="M44" s="3646"/>
    </row>
    <row r="45" spans="2:13" ht="15" customHeight="1">
      <c r="B45" s="3688" t="s">
        <v>128</v>
      </c>
      <c r="C45" s="2977">
        <v>0</v>
      </c>
      <c r="D45" s="3690"/>
      <c r="E45" s="2969">
        <v>0</v>
      </c>
      <c r="F45" s="3690">
        <v>1</v>
      </c>
      <c r="G45" s="3648"/>
      <c r="H45" s="3648"/>
      <c r="I45" s="3648"/>
      <c r="J45" s="3648"/>
      <c r="K45" s="3646">
        <v>0.22222222222222221</v>
      </c>
      <c r="L45" s="3646">
        <v>1</v>
      </c>
      <c r="M45" s="3646"/>
    </row>
    <row r="46" spans="2:13" ht="15" customHeight="1">
      <c r="B46" s="3706" t="s">
        <v>545</v>
      </c>
      <c r="C46" s="3648">
        <v>0</v>
      </c>
      <c r="D46" s="2975">
        <v>0.25773195876288657</v>
      </c>
      <c r="E46" s="2972">
        <v>6.6666666666666666E-2</v>
      </c>
      <c r="F46" s="2975">
        <v>0.20967741935483872</v>
      </c>
      <c r="G46" s="3648"/>
      <c r="H46" s="3648">
        <v>0.29166666666666669</v>
      </c>
      <c r="I46" s="3648"/>
      <c r="J46" s="3648">
        <v>0.26760563380281688</v>
      </c>
      <c r="K46" s="3650">
        <v>0.22222222222222221</v>
      </c>
      <c r="L46" s="3650">
        <v>0.37180000000000002</v>
      </c>
      <c r="M46" s="3650"/>
    </row>
    <row r="47" spans="2:13" ht="15" customHeight="1">
      <c r="B47" s="3694" t="s">
        <v>145</v>
      </c>
      <c r="C47" s="2977">
        <v>0.2</v>
      </c>
      <c r="D47" s="3690">
        <v>0.16666666666666666</v>
      </c>
      <c r="E47" s="3648"/>
      <c r="F47" s="3690">
        <v>0.23076923076923078</v>
      </c>
      <c r="G47" s="3644">
        <v>0.30769230769230771</v>
      </c>
      <c r="H47" s="3644"/>
      <c r="I47" s="3644">
        <v>0.15384615384615385</v>
      </c>
      <c r="J47" s="3644"/>
      <c r="K47" s="3646">
        <v>0.6428571428571429</v>
      </c>
      <c r="L47" s="3646"/>
      <c r="M47" s="3646">
        <v>0.25</v>
      </c>
    </row>
    <row r="48" spans="2:13" ht="15" customHeight="1">
      <c r="B48" s="3694" t="s">
        <v>333</v>
      </c>
      <c r="C48" s="2977">
        <v>0</v>
      </c>
      <c r="D48" s="3690">
        <v>0.5</v>
      </c>
      <c r="E48" s="2969">
        <v>0.5</v>
      </c>
      <c r="F48" s="3690">
        <v>0.23076923076923078</v>
      </c>
      <c r="G48" s="3644">
        <v>0.54545454545454541</v>
      </c>
      <c r="H48" s="3644">
        <v>0.35294117647058826</v>
      </c>
      <c r="I48" s="3644">
        <v>0.42857142857142855</v>
      </c>
      <c r="J48" s="3644">
        <v>0.41666666666666669</v>
      </c>
      <c r="K48" s="3646">
        <v>0.38461538461538464</v>
      </c>
      <c r="L48" s="3646">
        <v>0.375</v>
      </c>
      <c r="M48" s="3646">
        <v>0.22222222222222221</v>
      </c>
    </row>
    <row r="49" spans="1:13" ht="15" customHeight="1">
      <c r="B49" s="3692" t="s">
        <v>846</v>
      </c>
      <c r="C49" s="2977">
        <v>1</v>
      </c>
      <c r="D49" s="3690">
        <v>1</v>
      </c>
      <c r="E49" s="2969"/>
      <c r="F49" s="3690"/>
      <c r="G49" s="3644"/>
      <c r="H49" s="3644"/>
      <c r="I49" s="3644"/>
      <c r="J49" s="3644"/>
      <c r="K49" s="3646"/>
      <c r="L49" s="3646"/>
      <c r="M49" s="3646"/>
    </row>
    <row r="50" spans="1:13" ht="15" customHeight="1">
      <c r="B50" s="3692" t="s">
        <v>1948</v>
      </c>
      <c r="C50" s="2977"/>
      <c r="D50" s="3690"/>
      <c r="E50" s="2969"/>
      <c r="F50" s="3690"/>
      <c r="G50" s="3644"/>
      <c r="H50" s="3644"/>
      <c r="I50" s="3644"/>
      <c r="J50" s="3644">
        <v>0.33333333333333331</v>
      </c>
      <c r="K50" s="3646">
        <v>0.14285714285714285</v>
      </c>
      <c r="L50" s="3646">
        <v>0.6</v>
      </c>
      <c r="M50" s="3646">
        <v>0.8</v>
      </c>
    </row>
    <row r="51" spans="1:13" ht="15" customHeight="1">
      <c r="B51" s="3691" t="s">
        <v>547</v>
      </c>
      <c r="C51" s="3648">
        <v>0.32</v>
      </c>
      <c r="D51" s="2975">
        <v>0.40740740740740738</v>
      </c>
      <c r="E51" s="2972">
        <v>0.5</v>
      </c>
      <c r="F51" s="3693">
        <v>0.23076923076923078</v>
      </c>
      <c r="G51" s="3648">
        <v>0.41666666666666669</v>
      </c>
      <c r="H51" s="3648">
        <v>0.35294117647058826</v>
      </c>
      <c r="I51" s="3648">
        <v>0.29629629629629628</v>
      </c>
      <c r="J51" s="3648">
        <v>0.38095238095238093</v>
      </c>
      <c r="K51" s="3650">
        <v>0.44117647058823528</v>
      </c>
      <c r="L51" s="3650">
        <v>0.42859999999999998</v>
      </c>
      <c r="M51" s="3650">
        <v>0.30769230769230771</v>
      </c>
    </row>
    <row r="52" spans="1:13" ht="15" customHeight="1">
      <c r="B52" s="3694" t="s">
        <v>146</v>
      </c>
      <c r="C52" s="2977">
        <v>0.1875</v>
      </c>
      <c r="D52" s="3690">
        <v>0</v>
      </c>
      <c r="E52" s="2969">
        <v>0.27272727272727271</v>
      </c>
      <c r="F52" s="3690">
        <v>0.1</v>
      </c>
      <c r="G52" s="3644">
        <v>0.27272727272727271</v>
      </c>
      <c r="H52" s="3644">
        <v>0.5</v>
      </c>
      <c r="I52" s="3644">
        <v>0.2</v>
      </c>
      <c r="J52" s="3644">
        <v>0.25</v>
      </c>
      <c r="K52" s="3646">
        <v>0.42857142857142855</v>
      </c>
      <c r="L52" s="3646">
        <v>0</v>
      </c>
      <c r="M52" s="3646">
        <v>0</v>
      </c>
    </row>
    <row r="53" spans="1:13" ht="15" customHeight="1">
      <c r="B53" s="3691" t="s">
        <v>546</v>
      </c>
      <c r="C53" s="3648">
        <v>0.1875</v>
      </c>
      <c r="D53" s="2975">
        <v>0</v>
      </c>
      <c r="E53" s="2972">
        <v>0.27272727272727271</v>
      </c>
      <c r="F53" s="2975">
        <v>0.1</v>
      </c>
      <c r="G53" s="3648">
        <v>0.27272727272727271</v>
      </c>
      <c r="H53" s="3648">
        <v>0.5</v>
      </c>
      <c r="I53" s="3648">
        <v>0.2</v>
      </c>
      <c r="J53" s="3648">
        <v>0.25</v>
      </c>
      <c r="K53" s="3650">
        <v>0.42857142857142855</v>
      </c>
      <c r="L53" s="3650">
        <v>0</v>
      </c>
      <c r="M53" s="3650">
        <v>0</v>
      </c>
    </row>
    <row r="54" spans="1:13" ht="15" customHeight="1">
      <c r="B54" s="3695" t="s">
        <v>442</v>
      </c>
      <c r="C54" s="3657">
        <v>0.2558139534883721</v>
      </c>
      <c r="D54" s="3003">
        <v>0.27692307692307694</v>
      </c>
      <c r="E54" s="3006">
        <v>0.26315789473684209</v>
      </c>
      <c r="F54" s="3003">
        <v>0.20408163265306123</v>
      </c>
      <c r="G54" s="3657">
        <v>0.37142857142857144</v>
      </c>
      <c r="H54" s="3657">
        <v>0.31958762886597936</v>
      </c>
      <c r="I54" s="3657">
        <v>0.27027027027027029</v>
      </c>
      <c r="J54" s="3657">
        <v>0.28999999999999998</v>
      </c>
      <c r="K54" s="3658">
        <v>0.4</v>
      </c>
      <c r="L54" s="3658">
        <v>0.35510000000000003</v>
      </c>
      <c r="M54" s="3658">
        <v>0.23529411764705882</v>
      </c>
    </row>
    <row r="55" spans="1:13" s="1010" customFormat="1" ht="15" customHeight="1">
      <c r="A55" s="31"/>
      <c r="B55" s="3707" t="s">
        <v>670</v>
      </c>
      <c r="C55" s="3673"/>
      <c r="D55" s="3010"/>
      <c r="E55" s="2999"/>
      <c r="F55" s="2998"/>
      <c r="G55" s="2999"/>
      <c r="H55" s="2999">
        <v>0.16666666666666666</v>
      </c>
      <c r="I55" s="2999">
        <v>0.3</v>
      </c>
      <c r="J55" s="2999">
        <v>0.41176470588235292</v>
      </c>
      <c r="K55" s="3000">
        <v>0.29411764705882354</v>
      </c>
      <c r="L55" s="3000">
        <v>0.5</v>
      </c>
      <c r="M55" s="3000">
        <v>0</v>
      </c>
    </row>
    <row r="56" spans="1:13" s="1010" customFormat="1" ht="15" customHeight="1">
      <c r="A56" s="31"/>
      <c r="B56" s="3708" t="s">
        <v>545</v>
      </c>
      <c r="C56" s="2974"/>
      <c r="D56" s="2975"/>
      <c r="E56" s="2967"/>
      <c r="F56" s="2976"/>
      <c r="G56" s="2972"/>
      <c r="H56" s="2972">
        <v>0.16666666666666666</v>
      </c>
      <c r="I56" s="2972">
        <v>0.3</v>
      </c>
      <c r="J56" s="2972">
        <v>0.41176470588235292</v>
      </c>
      <c r="K56" s="2973">
        <v>0.29411764705882354</v>
      </c>
      <c r="L56" s="2973">
        <v>0.5</v>
      </c>
      <c r="M56" s="2973">
        <v>0</v>
      </c>
    </row>
    <row r="57" spans="1:13" s="1010" customFormat="1" ht="15" customHeight="1">
      <c r="A57" s="31"/>
      <c r="B57" s="3709" t="s">
        <v>333</v>
      </c>
      <c r="C57" s="2974"/>
      <c r="D57" s="2975"/>
      <c r="E57" s="2967"/>
      <c r="F57" s="2976"/>
      <c r="G57" s="2972"/>
      <c r="H57" s="2972"/>
      <c r="I57" s="2972"/>
      <c r="J57" s="2972"/>
      <c r="K57" s="2973"/>
      <c r="L57" s="2973"/>
      <c r="M57" s="2970">
        <v>0</v>
      </c>
    </row>
    <row r="58" spans="1:13" s="1010" customFormat="1" ht="15" customHeight="1">
      <c r="A58" s="31"/>
      <c r="B58" s="3709" t="s">
        <v>671</v>
      </c>
      <c r="C58" s="3674"/>
      <c r="D58" s="2968"/>
      <c r="E58" s="2969"/>
      <c r="F58" s="2981"/>
      <c r="G58" s="2969"/>
      <c r="H58" s="2969"/>
      <c r="I58" s="2969">
        <v>0.14285714285714285</v>
      </c>
      <c r="J58" s="2969">
        <v>0.33333333333333331</v>
      </c>
      <c r="K58" s="2970">
        <v>0</v>
      </c>
      <c r="L58" s="2970">
        <v>0.25</v>
      </c>
      <c r="M58" s="2970">
        <v>0</v>
      </c>
    </row>
    <row r="59" spans="1:13" s="1010" customFormat="1" ht="15" customHeight="1">
      <c r="A59" s="31"/>
      <c r="B59" s="3710" t="s">
        <v>549</v>
      </c>
      <c r="C59" s="2982"/>
      <c r="D59" s="2983"/>
      <c r="E59" s="2984"/>
      <c r="F59" s="2985"/>
      <c r="G59" s="2986"/>
      <c r="H59" s="2986"/>
      <c r="I59" s="2986">
        <v>0.14285714285714285</v>
      </c>
      <c r="J59" s="2986">
        <v>0.33333333333333331</v>
      </c>
      <c r="K59" s="2987">
        <v>0</v>
      </c>
      <c r="L59" s="2987">
        <v>0.25</v>
      </c>
      <c r="M59" s="2987">
        <v>0</v>
      </c>
    </row>
    <row r="60" spans="1:13" s="1010" customFormat="1" ht="15" customHeight="1">
      <c r="A60" s="31"/>
      <c r="B60" s="2896" t="s">
        <v>260</v>
      </c>
      <c r="C60" s="2562"/>
      <c r="D60" s="2563"/>
      <c r="E60" s="2564"/>
      <c r="F60" s="2565"/>
      <c r="G60" s="2566"/>
      <c r="H60" s="2566">
        <v>0.16666666666666666</v>
      </c>
      <c r="I60" s="2566">
        <v>0.23529411764705882</v>
      </c>
      <c r="J60" s="2566">
        <v>0.39130434782608697</v>
      </c>
      <c r="K60" s="2567">
        <v>0.2</v>
      </c>
      <c r="L60" s="2567">
        <v>0.16669999999999999</v>
      </c>
      <c r="M60" s="2567">
        <v>0</v>
      </c>
    </row>
    <row r="61" spans="1:13" s="1010" customFormat="1" ht="15" customHeight="1">
      <c r="A61" s="31"/>
      <c r="B61" s="3709" t="s">
        <v>333</v>
      </c>
      <c r="C61" s="2974"/>
      <c r="D61" s="2975"/>
      <c r="E61" s="2967"/>
      <c r="F61" s="2976"/>
      <c r="G61" s="2972"/>
      <c r="H61" s="2972"/>
      <c r="I61" s="2972"/>
      <c r="J61" s="2972"/>
      <c r="K61" s="2973"/>
      <c r="L61" s="2973"/>
      <c r="M61" s="2970">
        <v>0</v>
      </c>
    </row>
    <row r="62" spans="1:13" s="1010" customFormat="1" ht="15" customHeight="1">
      <c r="A62" s="31"/>
      <c r="B62" s="3710" t="s">
        <v>41</v>
      </c>
      <c r="C62" s="2982"/>
      <c r="D62" s="2983"/>
      <c r="E62" s="2984"/>
      <c r="F62" s="2985"/>
      <c r="G62" s="2986"/>
      <c r="H62" s="2986"/>
      <c r="I62" s="2986"/>
      <c r="J62" s="2986"/>
      <c r="K62" s="2987"/>
      <c r="L62" s="2987"/>
      <c r="M62" s="2987">
        <v>0</v>
      </c>
    </row>
    <row r="63" spans="1:13" s="1010" customFormat="1" ht="15" customHeight="1">
      <c r="A63" s="31"/>
      <c r="B63" s="2896" t="s">
        <v>1158</v>
      </c>
      <c r="C63" s="2562"/>
      <c r="D63" s="2563"/>
      <c r="E63" s="2564"/>
      <c r="F63" s="2565"/>
      <c r="G63" s="2566"/>
      <c r="H63" s="2566"/>
      <c r="I63" s="2566"/>
      <c r="J63" s="2566"/>
      <c r="K63" s="2567"/>
      <c r="L63" s="2567"/>
      <c r="M63" s="2567">
        <v>0</v>
      </c>
    </row>
    <row r="64" spans="1:13" s="1010" customFormat="1" ht="15" customHeight="1">
      <c r="B64" s="99"/>
      <c r="C64" s="99"/>
      <c r="D64" s="99"/>
      <c r="E64" s="99"/>
      <c r="F64" s="99"/>
      <c r="G64" s="99"/>
      <c r="H64" s="99"/>
      <c r="I64" s="99"/>
      <c r="J64" s="99"/>
      <c r="K64" s="99"/>
      <c r="L64" s="99"/>
      <c r="M64" s="99"/>
    </row>
    <row r="65" spans="2:14" ht="15" customHeight="1">
      <c r="B65" s="3711" t="s">
        <v>842</v>
      </c>
      <c r="C65" s="3683">
        <v>0.38857142857142857</v>
      </c>
      <c r="D65" s="3683">
        <v>0.28990228013029318</v>
      </c>
      <c r="E65" s="3683">
        <v>0.34389140271493213</v>
      </c>
      <c r="F65" s="3683">
        <v>0.29655172413793102</v>
      </c>
      <c r="G65" s="3683">
        <v>0.36688311688311687</v>
      </c>
      <c r="H65" s="3683">
        <v>0.30967741935483872</v>
      </c>
      <c r="I65" s="3683">
        <v>0.32881355932203388</v>
      </c>
      <c r="J65" s="3683">
        <v>0.33214285714285713</v>
      </c>
      <c r="K65" s="3684">
        <v>0.31871345029239767</v>
      </c>
      <c r="L65" s="3684">
        <v>0.34620000000000001</v>
      </c>
      <c r="M65" s="3684">
        <v>0.10801393728222997</v>
      </c>
    </row>
    <row r="66" spans="2:14" ht="13.8" customHeight="1">
      <c r="L66" s="5657" t="s">
        <v>3861</v>
      </c>
      <c r="M66" s="5657"/>
      <c r="N66" s="4789"/>
    </row>
    <row r="67" spans="2:14">
      <c r="L67" s="5636"/>
      <c r="M67" s="5636"/>
      <c r="N67" s="4789"/>
    </row>
  </sheetData>
  <sheetProtection algorithmName="SHA-512" hashValue="5tSH2jV0Ah6E8XXLVP6g4DqkMdHpcqIGIZQxK0J5TPzYtgMgwZTDPn+5v0S+CIYF5Lant2aj0GFfUIa0r5CnkA==" saltValue="9KsU/cKrhGsAmhzdy/z9vA==" spinCount="100000" sheet="1" objects="1" scenarios="1"/>
  <mergeCells count="1">
    <mergeCell ref="L66:M6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U442"/>
  <sheetViews>
    <sheetView topLeftCell="A220" zoomScale="110" zoomScaleNormal="110" workbookViewId="0">
      <selection activeCell="V231" sqref="V231"/>
    </sheetView>
  </sheetViews>
  <sheetFormatPr baseColWidth="10" defaultRowHeight="14.4"/>
  <cols>
    <col min="1" max="1" width="11.6640625" style="4800" bestFit="1" customWidth="1"/>
    <col min="2" max="2" width="7.33203125" style="4800" bestFit="1" customWidth="1"/>
    <col min="3" max="3" width="53.5546875" style="4800" bestFit="1" customWidth="1"/>
    <col min="4" max="4" width="17.109375" style="4800" bestFit="1" customWidth="1"/>
    <col min="5" max="12" width="1.77734375" style="4800" bestFit="1" customWidth="1"/>
    <col min="13" max="20" width="2.77734375" style="4800" bestFit="1" customWidth="1"/>
    <col min="21" max="21" width="5.109375" style="4800" bestFit="1" customWidth="1"/>
    <col min="22" max="23" width="10.88671875" style="4800"/>
    <col min="24" max="24" width="8.6640625" style="37" customWidth="1"/>
    <col min="25" max="25" width="5.6640625" style="37" bestFit="1" customWidth="1"/>
    <col min="26" max="26" width="38.77734375" style="37" bestFit="1" customWidth="1"/>
    <col min="27" max="27" width="12.77734375" style="37" bestFit="1" customWidth="1"/>
    <col min="28" max="35" width="1.44140625" style="37" bestFit="1" customWidth="1"/>
    <col min="36" max="39" width="2.21875" style="37" bestFit="1" customWidth="1"/>
    <col min="40" max="40" width="3" style="37" bestFit="1" customWidth="1"/>
    <col min="41" max="42" width="2.21875" style="37" bestFit="1" customWidth="1"/>
    <col min="43" max="43" width="3.88671875" style="37" bestFit="1" customWidth="1"/>
    <col min="44" max="44" width="6.88671875" style="37" bestFit="1" customWidth="1"/>
    <col min="45" max="45" width="11.44140625" style="4577"/>
    <col min="46" max="46" width="12.44140625" style="2481" customWidth="1"/>
    <col min="47" max="47" width="6.77734375" style="2481" bestFit="1" customWidth="1"/>
    <col min="48" max="48" width="58.21875" style="2481" bestFit="1" customWidth="1"/>
    <col min="49" max="49" width="16.5546875" style="2481" bestFit="1" customWidth="1"/>
    <col min="50" max="50" width="4.5546875" style="2481" bestFit="1" customWidth="1"/>
    <col min="51" max="58" width="1.77734375" style="2481" bestFit="1" customWidth="1"/>
    <col min="59" max="66" width="2.77734375" style="2481" bestFit="1" customWidth="1"/>
    <col min="67" max="67" width="4.5546875" style="2481" bestFit="1" customWidth="1"/>
    <col min="68" max="68" width="8.21875" style="2481" bestFit="1" customWidth="1"/>
    <col min="69" max="69" width="11.44140625" style="2481"/>
    <col min="72" max="72" width="51.77734375" bestFit="1" customWidth="1"/>
    <col min="73" max="73" width="16.5546875" bestFit="1" customWidth="1"/>
    <col min="74" max="74" width="4.21875" bestFit="1" customWidth="1"/>
    <col min="75" max="82" width="2" bestFit="1" customWidth="1"/>
    <col min="83" max="90" width="3" bestFit="1" customWidth="1"/>
    <col min="91" max="91" width="5" bestFit="1" customWidth="1"/>
    <col min="94" max="94" width="11.44140625" style="105"/>
    <col min="95" max="95" width="6.77734375" style="105" bestFit="1" customWidth="1"/>
    <col min="96" max="96" width="43.77734375" style="1662" bestFit="1" customWidth="1"/>
    <col min="97" max="97" width="16.5546875" style="1662" bestFit="1" customWidth="1"/>
    <col min="98" max="98" width="4.21875" style="105" bestFit="1" customWidth="1"/>
    <col min="99" max="106" width="2" style="105" bestFit="1" customWidth="1"/>
    <col min="107" max="107" width="2.77734375" style="105" customWidth="1"/>
    <col min="108" max="114" width="3" style="105" bestFit="1" customWidth="1"/>
    <col min="115" max="115" width="5.21875" style="105" bestFit="1" customWidth="1"/>
    <col min="116" max="116" width="11.44140625" style="105" customWidth="1"/>
    <col min="118" max="118" width="11.77734375" customWidth="1"/>
    <col min="119" max="119" width="8.77734375" customWidth="1"/>
    <col min="120" max="120" width="43.5546875" bestFit="1" customWidth="1"/>
    <col min="121" max="121" width="16.5546875" bestFit="1" customWidth="1"/>
    <col min="122" max="122" width="1.77734375" bestFit="1" customWidth="1"/>
    <col min="123" max="123" width="2.77734375" bestFit="1" customWidth="1"/>
    <col min="124" max="128" width="1.77734375" bestFit="1" customWidth="1"/>
    <col min="129" max="136" width="2.77734375" bestFit="1" customWidth="1"/>
    <col min="137" max="137" width="4.5546875" bestFit="1" customWidth="1"/>
    <col min="138" max="139" width="8.77734375" customWidth="1"/>
    <col min="140" max="140" width="11.21875" customWidth="1"/>
    <col min="141" max="141" width="6.77734375" bestFit="1" customWidth="1"/>
    <col min="142" max="142" width="33.77734375" bestFit="1" customWidth="1"/>
    <col min="143" max="143" width="16.5546875" bestFit="1" customWidth="1"/>
    <col min="144" max="160" width="2.77734375" customWidth="1"/>
    <col min="161" max="161" width="4.5546875" bestFit="1" customWidth="1"/>
    <col min="162" max="162" width="9.77734375" customWidth="1"/>
    <col min="163" max="164" width="10.77734375" customWidth="1"/>
    <col min="165" max="165" width="6.77734375" bestFit="1" customWidth="1"/>
    <col min="166" max="166" width="33.77734375" bestFit="1" customWidth="1"/>
    <col min="167" max="167" width="15.77734375" bestFit="1" customWidth="1"/>
    <col min="168" max="168" width="16.5546875" bestFit="1" customWidth="1"/>
    <col min="169" max="174" width="1.77734375" bestFit="1" customWidth="1"/>
    <col min="175" max="175" width="2.77734375" bestFit="1" customWidth="1"/>
    <col min="176" max="177" width="1.77734375" bestFit="1" customWidth="1"/>
    <col min="178" max="185" width="2.77734375" bestFit="1" customWidth="1"/>
    <col min="186" max="186" width="4.5546875" bestFit="1" customWidth="1"/>
    <col min="187" max="187" width="7.77734375" bestFit="1" customWidth="1"/>
    <col min="188" max="188" width="10.77734375" customWidth="1"/>
    <col min="189" max="189" width="11.44140625" customWidth="1"/>
    <col min="190" max="190" width="6.77734375" bestFit="1" customWidth="1"/>
    <col min="191" max="191" width="33.77734375" bestFit="1" customWidth="1"/>
    <col min="192" max="192" width="16.5546875" bestFit="1" customWidth="1"/>
    <col min="193" max="197" width="1.77734375" bestFit="1" customWidth="1"/>
    <col min="198" max="205" width="2.77734375" bestFit="1" customWidth="1"/>
    <col min="206" max="206" width="4.44140625" customWidth="1"/>
    <col min="207" max="207" width="10.44140625" customWidth="1"/>
    <col min="208" max="208" width="4.44140625" customWidth="1"/>
    <col min="209" max="209" width="8.77734375" customWidth="1"/>
    <col min="210" max="210" width="11.44140625" style="129" customWidth="1"/>
    <col min="211" max="211" width="11.21875" style="129" bestFit="1" customWidth="1"/>
    <col min="212" max="212" width="34.5546875" bestFit="1" customWidth="1"/>
    <col min="213" max="213" width="20.77734375" bestFit="1" customWidth="1"/>
    <col min="214" max="221" width="1.77734375" bestFit="1" customWidth="1"/>
    <col min="222" max="229" width="2.77734375" bestFit="1" customWidth="1"/>
    <col min="230" max="230" width="7.44140625" customWidth="1"/>
    <col min="231" max="231" width="10.21875" customWidth="1"/>
    <col min="233" max="233" width="12.21875" bestFit="1" customWidth="1"/>
    <col min="234" max="234" width="8.77734375" bestFit="1" customWidth="1"/>
    <col min="235" max="235" width="34.77734375" customWidth="1"/>
    <col min="236" max="236" width="24.44140625" bestFit="1" customWidth="1"/>
    <col min="237" max="244" width="2.44140625" bestFit="1" customWidth="1"/>
    <col min="245" max="252" width="3.21875" bestFit="1" customWidth="1"/>
    <col min="255" max="255" width="28.44140625" customWidth="1"/>
    <col min="464" max="464" width="4.44140625" customWidth="1"/>
    <col min="465" max="465" width="14.77734375" customWidth="1"/>
    <col min="466" max="466" width="13.77734375" customWidth="1"/>
    <col min="467" max="467" width="42.44140625" bestFit="1" customWidth="1"/>
    <col min="468" max="468" width="20.77734375" bestFit="1" customWidth="1"/>
    <col min="469" max="484" width="3.77734375" customWidth="1"/>
    <col min="485" max="485" width="7.44140625" customWidth="1"/>
    <col min="486" max="486" width="18.21875" bestFit="1" customWidth="1"/>
    <col min="720" max="720" width="4.44140625" customWidth="1"/>
    <col min="721" max="721" width="14.77734375" customWidth="1"/>
    <col min="722" max="722" width="13.77734375" customWidth="1"/>
    <col min="723" max="723" width="42.44140625" bestFit="1" customWidth="1"/>
    <col min="724" max="724" width="20.77734375" bestFit="1" customWidth="1"/>
    <col min="725" max="740" width="3.77734375" customWidth="1"/>
    <col min="741" max="741" width="7.44140625" customWidth="1"/>
    <col min="742" max="742" width="18.21875" bestFit="1" customWidth="1"/>
    <col min="976" max="976" width="4.44140625" customWidth="1"/>
    <col min="977" max="977" width="14.77734375" customWidth="1"/>
    <col min="978" max="978" width="13.77734375" customWidth="1"/>
    <col min="979" max="979" width="42.44140625" bestFit="1" customWidth="1"/>
    <col min="980" max="980" width="20.77734375" bestFit="1" customWidth="1"/>
    <col min="981" max="996" width="3.77734375" customWidth="1"/>
    <col min="997" max="997" width="7.44140625" customWidth="1"/>
    <col min="998" max="998" width="18.21875" bestFit="1" customWidth="1"/>
    <col min="1232" max="1232" width="4.44140625" customWidth="1"/>
    <col min="1233" max="1233" width="14.77734375" customWidth="1"/>
    <col min="1234" max="1234" width="13.77734375" customWidth="1"/>
    <col min="1235" max="1235" width="42.44140625" bestFit="1" customWidth="1"/>
    <col min="1236" max="1236" width="20.77734375" bestFit="1" customWidth="1"/>
    <col min="1237" max="1252" width="3.77734375" customWidth="1"/>
    <col min="1253" max="1253" width="7.44140625" customWidth="1"/>
    <col min="1254" max="1254" width="18.21875" bestFit="1" customWidth="1"/>
    <col min="1488" max="1488" width="4.44140625" customWidth="1"/>
    <col min="1489" max="1489" width="14.77734375" customWidth="1"/>
    <col min="1490" max="1490" width="13.77734375" customWidth="1"/>
    <col min="1491" max="1491" width="42.44140625" bestFit="1" customWidth="1"/>
    <col min="1492" max="1492" width="20.77734375" bestFit="1" customWidth="1"/>
    <col min="1493" max="1508" width="3.77734375" customWidth="1"/>
    <col min="1509" max="1509" width="7.44140625" customWidth="1"/>
    <col min="1510" max="1510" width="18.21875" bestFit="1" customWidth="1"/>
    <col min="1744" max="1744" width="4.44140625" customWidth="1"/>
    <col min="1745" max="1745" width="14.77734375" customWidth="1"/>
    <col min="1746" max="1746" width="13.77734375" customWidth="1"/>
    <col min="1747" max="1747" width="42.44140625" bestFit="1" customWidth="1"/>
    <col min="1748" max="1748" width="20.77734375" bestFit="1" customWidth="1"/>
    <col min="1749" max="1764" width="3.77734375" customWidth="1"/>
    <col min="1765" max="1765" width="7.44140625" customWidth="1"/>
    <col min="1766" max="1766" width="18.21875" bestFit="1" customWidth="1"/>
    <col min="2000" max="2000" width="4.44140625" customWidth="1"/>
    <col min="2001" max="2001" width="14.77734375" customWidth="1"/>
    <col min="2002" max="2002" width="13.77734375" customWidth="1"/>
    <col min="2003" max="2003" width="42.44140625" bestFit="1" customWidth="1"/>
    <col min="2004" max="2004" width="20.77734375" bestFit="1" customWidth="1"/>
    <col min="2005" max="2020" width="3.77734375" customWidth="1"/>
    <col min="2021" max="2021" width="7.44140625" customWidth="1"/>
    <col min="2022" max="2022" width="18.21875" bestFit="1" customWidth="1"/>
    <col min="2256" max="2256" width="4.44140625" customWidth="1"/>
    <col min="2257" max="2257" width="14.77734375" customWidth="1"/>
    <col min="2258" max="2258" width="13.77734375" customWidth="1"/>
    <col min="2259" max="2259" width="42.44140625" bestFit="1" customWidth="1"/>
    <col min="2260" max="2260" width="20.77734375" bestFit="1" customWidth="1"/>
    <col min="2261" max="2276" width="3.77734375" customWidth="1"/>
    <col min="2277" max="2277" width="7.44140625" customWidth="1"/>
    <col min="2278" max="2278" width="18.21875" bestFit="1" customWidth="1"/>
    <col min="2512" max="2512" width="4.44140625" customWidth="1"/>
    <col min="2513" max="2513" width="14.77734375" customWidth="1"/>
    <col min="2514" max="2514" width="13.77734375" customWidth="1"/>
    <col min="2515" max="2515" width="42.44140625" bestFit="1" customWidth="1"/>
    <col min="2516" max="2516" width="20.77734375" bestFit="1" customWidth="1"/>
    <col min="2517" max="2532" width="3.77734375" customWidth="1"/>
    <col min="2533" max="2533" width="7.44140625" customWidth="1"/>
    <col min="2534" max="2534" width="18.21875" bestFit="1" customWidth="1"/>
    <col min="2768" max="2768" width="4.44140625" customWidth="1"/>
    <col min="2769" max="2769" width="14.77734375" customWidth="1"/>
    <col min="2770" max="2770" width="13.77734375" customWidth="1"/>
    <col min="2771" max="2771" width="42.44140625" bestFit="1" customWidth="1"/>
    <col min="2772" max="2772" width="20.77734375" bestFit="1" customWidth="1"/>
    <col min="2773" max="2788" width="3.77734375" customWidth="1"/>
    <col min="2789" max="2789" width="7.44140625" customWidth="1"/>
    <col min="2790" max="2790" width="18.21875" bestFit="1" customWidth="1"/>
    <col min="3024" max="3024" width="4.44140625" customWidth="1"/>
    <col min="3025" max="3025" width="14.77734375" customWidth="1"/>
    <col min="3026" max="3026" width="13.77734375" customWidth="1"/>
    <col min="3027" max="3027" width="42.44140625" bestFit="1" customWidth="1"/>
    <col min="3028" max="3028" width="20.77734375" bestFit="1" customWidth="1"/>
    <col min="3029" max="3044" width="3.77734375" customWidth="1"/>
    <col min="3045" max="3045" width="7.44140625" customWidth="1"/>
    <col min="3046" max="3046" width="18.21875" bestFit="1" customWidth="1"/>
    <col min="3280" max="3280" width="4.44140625" customWidth="1"/>
    <col min="3281" max="3281" width="14.77734375" customWidth="1"/>
    <col min="3282" max="3282" width="13.77734375" customWidth="1"/>
    <col min="3283" max="3283" width="42.44140625" bestFit="1" customWidth="1"/>
    <col min="3284" max="3284" width="20.77734375" bestFit="1" customWidth="1"/>
    <col min="3285" max="3300" width="3.77734375" customWidth="1"/>
    <col min="3301" max="3301" width="7.44140625" customWidth="1"/>
    <col min="3302" max="3302" width="18.21875" bestFit="1" customWidth="1"/>
    <col min="3536" max="3536" width="4.44140625" customWidth="1"/>
    <col min="3537" max="3537" width="14.77734375" customWidth="1"/>
    <col min="3538" max="3538" width="13.77734375" customWidth="1"/>
    <col min="3539" max="3539" width="42.44140625" bestFit="1" customWidth="1"/>
    <col min="3540" max="3540" width="20.77734375" bestFit="1" customWidth="1"/>
    <col min="3541" max="3556" width="3.77734375" customWidth="1"/>
    <col min="3557" max="3557" width="7.44140625" customWidth="1"/>
    <col min="3558" max="3558" width="18.21875" bestFit="1" customWidth="1"/>
    <col min="3792" max="3792" width="4.44140625" customWidth="1"/>
    <col min="3793" max="3793" width="14.77734375" customWidth="1"/>
    <col min="3794" max="3794" width="13.77734375" customWidth="1"/>
    <col min="3795" max="3795" width="42.44140625" bestFit="1" customWidth="1"/>
    <col min="3796" max="3796" width="20.77734375" bestFit="1" customWidth="1"/>
    <col min="3797" max="3812" width="3.77734375" customWidth="1"/>
    <col min="3813" max="3813" width="7.44140625" customWidth="1"/>
    <col min="3814" max="3814" width="18.21875" bestFit="1" customWidth="1"/>
    <col min="4048" max="4048" width="4.44140625" customWidth="1"/>
    <col min="4049" max="4049" width="14.77734375" customWidth="1"/>
    <col min="4050" max="4050" width="13.77734375" customWidth="1"/>
    <col min="4051" max="4051" width="42.44140625" bestFit="1" customWidth="1"/>
    <col min="4052" max="4052" width="20.77734375" bestFit="1" customWidth="1"/>
    <col min="4053" max="4068" width="3.77734375" customWidth="1"/>
    <col min="4069" max="4069" width="7.44140625" customWidth="1"/>
    <col min="4070" max="4070" width="18.21875" bestFit="1" customWidth="1"/>
    <col min="4304" max="4304" width="4.44140625" customWidth="1"/>
    <col min="4305" max="4305" width="14.77734375" customWidth="1"/>
    <col min="4306" max="4306" width="13.77734375" customWidth="1"/>
    <col min="4307" max="4307" width="42.44140625" bestFit="1" customWidth="1"/>
    <col min="4308" max="4308" width="20.77734375" bestFit="1" customWidth="1"/>
    <col min="4309" max="4324" width="3.77734375" customWidth="1"/>
    <col min="4325" max="4325" width="7.44140625" customWidth="1"/>
    <col min="4326" max="4326" width="18.21875" bestFit="1" customWidth="1"/>
    <col min="4560" max="4560" width="4.44140625" customWidth="1"/>
    <col min="4561" max="4561" width="14.77734375" customWidth="1"/>
    <col min="4562" max="4562" width="13.77734375" customWidth="1"/>
    <col min="4563" max="4563" width="42.44140625" bestFit="1" customWidth="1"/>
    <col min="4564" max="4564" width="20.77734375" bestFit="1" customWidth="1"/>
    <col min="4565" max="4580" width="3.77734375" customWidth="1"/>
    <col min="4581" max="4581" width="7.44140625" customWidth="1"/>
    <col min="4582" max="4582" width="18.21875" bestFit="1" customWidth="1"/>
    <col min="4816" max="4816" width="4.44140625" customWidth="1"/>
    <col min="4817" max="4817" width="14.77734375" customWidth="1"/>
    <col min="4818" max="4818" width="13.77734375" customWidth="1"/>
    <col min="4819" max="4819" width="42.44140625" bestFit="1" customWidth="1"/>
    <col min="4820" max="4820" width="20.77734375" bestFit="1" customWidth="1"/>
    <col min="4821" max="4836" width="3.77734375" customWidth="1"/>
    <col min="4837" max="4837" width="7.44140625" customWidth="1"/>
    <col min="4838" max="4838" width="18.21875" bestFit="1" customWidth="1"/>
    <col min="5072" max="5072" width="4.44140625" customWidth="1"/>
    <col min="5073" max="5073" width="14.77734375" customWidth="1"/>
    <col min="5074" max="5074" width="13.77734375" customWidth="1"/>
    <col min="5075" max="5075" width="42.44140625" bestFit="1" customWidth="1"/>
    <col min="5076" max="5076" width="20.77734375" bestFit="1" customWidth="1"/>
    <col min="5077" max="5092" width="3.77734375" customWidth="1"/>
    <col min="5093" max="5093" width="7.44140625" customWidth="1"/>
    <col min="5094" max="5094" width="18.21875" bestFit="1" customWidth="1"/>
    <col min="5328" max="5328" width="4.44140625" customWidth="1"/>
    <col min="5329" max="5329" width="14.77734375" customWidth="1"/>
    <col min="5330" max="5330" width="13.77734375" customWidth="1"/>
    <col min="5331" max="5331" width="42.44140625" bestFit="1" customWidth="1"/>
    <col min="5332" max="5332" width="20.77734375" bestFit="1" customWidth="1"/>
    <col min="5333" max="5348" width="3.77734375" customWidth="1"/>
    <col min="5349" max="5349" width="7.44140625" customWidth="1"/>
    <col min="5350" max="5350" width="18.21875" bestFit="1" customWidth="1"/>
    <col min="5584" max="5584" width="4.44140625" customWidth="1"/>
    <col min="5585" max="5585" width="14.77734375" customWidth="1"/>
    <col min="5586" max="5586" width="13.77734375" customWidth="1"/>
    <col min="5587" max="5587" width="42.44140625" bestFit="1" customWidth="1"/>
    <col min="5588" max="5588" width="20.77734375" bestFit="1" customWidth="1"/>
    <col min="5589" max="5604" width="3.77734375" customWidth="1"/>
    <col min="5605" max="5605" width="7.44140625" customWidth="1"/>
    <col min="5606" max="5606" width="18.21875" bestFit="1" customWidth="1"/>
    <col min="5840" max="5840" width="4.44140625" customWidth="1"/>
    <col min="5841" max="5841" width="14.77734375" customWidth="1"/>
    <col min="5842" max="5842" width="13.77734375" customWidth="1"/>
    <col min="5843" max="5843" width="42.44140625" bestFit="1" customWidth="1"/>
    <col min="5844" max="5844" width="20.77734375" bestFit="1" customWidth="1"/>
    <col min="5845" max="5860" width="3.77734375" customWidth="1"/>
    <col min="5861" max="5861" width="7.44140625" customWidth="1"/>
    <col min="5862" max="5862" width="18.21875" bestFit="1" customWidth="1"/>
    <col min="6096" max="6096" width="4.44140625" customWidth="1"/>
    <col min="6097" max="6097" width="14.77734375" customWidth="1"/>
    <col min="6098" max="6098" width="13.77734375" customWidth="1"/>
    <col min="6099" max="6099" width="42.44140625" bestFit="1" customWidth="1"/>
    <col min="6100" max="6100" width="20.77734375" bestFit="1" customWidth="1"/>
    <col min="6101" max="6116" width="3.77734375" customWidth="1"/>
    <col min="6117" max="6117" width="7.44140625" customWidth="1"/>
    <col min="6118" max="6118" width="18.21875" bestFit="1" customWidth="1"/>
    <col min="6352" max="6352" width="4.44140625" customWidth="1"/>
    <col min="6353" max="6353" width="14.77734375" customWidth="1"/>
    <col min="6354" max="6354" width="13.77734375" customWidth="1"/>
    <col min="6355" max="6355" width="42.44140625" bestFit="1" customWidth="1"/>
    <col min="6356" max="6356" width="20.77734375" bestFit="1" customWidth="1"/>
    <col min="6357" max="6372" width="3.77734375" customWidth="1"/>
    <col min="6373" max="6373" width="7.44140625" customWidth="1"/>
    <col min="6374" max="6374" width="18.21875" bestFit="1" customWidth="1"/>
    <col min="6608" max="6608" width="4.44140625" customWidth="1"/>
    <col min="6609" max="6609" width="14.77734375" customWidth="1"/>
    <col min="6610" max="6610" width="13.77734375" customWidth="1"/>
    <col min="6611" max="6611" width="42.44140625" bestFit="1" customWidth="1"/>
    <col min="6612" max="6612" width="20.77734375" bestFit="1" customWidth="1"/>
    <col min="6613" max="6628" width="3.77734375" customWidth="1"/>
    <col min="6629" max="6629" width="7.44140625" customWidth="1"/>
    <col min="6630" max="6630" width="18.21875" bestFit="1" customWidth="1"/>
    <col min="6864" max="6864" width="4.44140625" customWidth="1"/>
    <col min="6865" max="6865" width="14.77734375" customWidth="1"/>
    <col min="6866" max="6866" width="13.77734375" customWidth="1"/>
    <col min="6867" max="6867" width="42.44140625" bestFit="1" customWidth="1"/>
    <col min="6868" max="6868" width="20.77734375" bestFit="1" customWidth="1"/>
    <col min="6869" max="6884" width="3.77734375" customWidth="1"/>
    <col min="6885" max="6885" width="7.44140625" customWidth="1"/>
    <col min="6886" max="6886" width="18.21875" bestFit="1" customWidth="1"/>
    <col min="7120" max="7120" width="4.44140625" customWidth="1"/>
    <col min="7121" max="7121" width="14.77734375" customWidth="1"/>
    <col min="7122" max="7122" width="13.77734375" customWidth="1"/>
    <col min="7123" max="7123" width="42.44140625" bestFit="1" customWidth="1"/>
    <col min="7124" max="7124" width="20.77734375" bestFit="1" customWidth="1"/>
    <col min="7125" max="7140" width="3.77734375" customWidth="1"/>
    <col min="7141" max="7141" width="7.44140625" customWidth="1"/>
    <col min="7142" max="7142" width="18.21875" bestFit="1" customWidth="1"/>
    <col min="7376" max="7376" width="4.44140625" customWidth="1"/>
    <col min="7377" max="7377" width="14.77734375" customWidth="1"/>
    <col min="7378" max="7378" width="13.77734375" customWidth="1"/>
    <col min="7379" max="7379" width="42.44140625" bestFit="1" customWidth="1"/>
    <col min="7380" max="7380" width="20.77734375" bestFit="1" customWidth="1"/>
    <col min="7381" max="7396" width="3.77734375" customWidth="1"/>
    <col min="7397" max="7397" width="7.44140625" customWidth="1"/>
    <col min="7398" max="7398" width="18.21875" bestFit="1" customWidth="1"/>
    <col min="7632" max="7632" width="4.44140625" customWidth="1"/>
    <col min="7633" max="7633" width="14.77734375" customWidth="1"/>
    <col min="7634" max="7634" width="13.77734375" customWidth="1"/>
    <col min="7635" max="7635" width="42.44140625" bestFit="1" customWidth="1"/>
    <col min="7636" max="7636" width="20.77734375" bestFit="1" customWidth="1"/>
    <col min="7637" max="7652" width="3.77734375" customWidth="1"/>
    <col min="7653" max="7653" width="7.44140625" customWidth="1"/>
    <col min="7654" max="7654" width="18.21875" bestFit="1" customWidth="1"/>
    <col min="7888" max="7888" width="4.44140625" customWidth="1"/>
    <col min="7889" max="7889" width="14.77734375" customWidth="1"/>
    <col min="7890" max="7890" width="13.77734375" customWidth="1"/>
    <col min="7891" max="7891" width="42.44140625" bestFit="1" customWidth="1"/>
    <col min="7892" max="7892" width="20.77734375" bestFit="1" customWidth="1"/>
    <col min="7893" max="7908" width="3.77734375" customWidth="1"/>
    <col min="7909" max="7909" width="7.44140625" customWidth="1"/>
    <col min="7910" max="7910" width="18.21875" bestFit="1" customWidth="1"/>
    <col min="8144" max="8144" width="4.44140625" customWidth="1"/>
    <col min="8145" max="8145" width="14.77734375" customWidth="1"/>
    <col min="8146" max="8146" width="13.77734375" customWidth="1"/>
    <col min="8147" max="8147" width="42.44140625" bestFit="1" customWidth="1"/>
    <col min="8148" max="8148" width="20.77734375" bestFit="1" customWidth="1"/>
    <col min="8149" max="8164" width="3.77734375" customWidth="1"/>
    <col min="8165" max="8165" width="7.44140625" customWidth="1"/>
    <col min="8166" max="8166" width="18.21875" bestFit="1" customWidth="1"/>
    <col min="8400" max="8400" width="4.44140625" customWidth="1"/>
    <col min="8401" max="8401" width="14.77734375" customWidth="1"/>
    <col min="8402" max="8402" width="13.77734375" customWidth="1"/>
    <col min="8403" max="8403" width="42.44140625" bestFit="1" customWidth="1"/>
    <col min="8404" max="8404" width="20.77734375" bestFit="1" customWidth="1"/>
    <col min="8405" max="8420" width="3.77734375" customWidth="1"/>
    <col min="8421" max="8421" width="7.44140625" customWidth="1"/>
    <col min="8422" max="8422" width="18.21875" bestFit="1" customWidth="1"/>
    <col min="8656" max="8656" width="4.44140625" customWidth="1"/>
    <col min="8657" max="8657" width="14.77734375" customWidth="1"/>
    <col min="8658" max="8658" width="13.77734375" customWidth="1"/>
    <col min="8659" max="8659" width="42.44140625" bestFit="1" customWidth="1"/>
    <col min="8660" max="8660" width="20.77734375" bestFit="1" customWidth="1"/>
    <col min="8661" max="8676" width="3.77734375" customWidth="1"/>
    <col min="8677" max="8677" width="7.44140625" customWidth="1"/>
    <col min="8678" max="8678" width="18.21875" bestFit="1" customWidth="1"/>
    <col min="8912" max="8912" width="4.44140625" customWidth="1"/>
    <col min="8913" max="8913" width="14.77734375" customWidth="1"/>
    <col min="8914" max="8914" width="13.77734375" customWidth="1"/>
    <col min="8915" max="8915" width="42.44140625" bestFit="1" customWidth="1"/>
    <col min="8916" max="8916" width="20.77734375" bestFit="1" customWidth="1"/>
    <col min="8917" max="8932" width="3.77734375" customWidth="1"/>
    <col min="8933" max="8933" width="7.44140625" customWidth="1"/>
    <col min="8934" max="8934" width="18.21875" bestFit="1" customWidth="1"/>
    <col min="9168" max="9168" width="4.44140625" customWidth="1"/>
    <col min="9169" max="9169" width="14.77734375" customWidth="1"/>
    <col min="9170" max="9170" width="13.77734375" customWidth="1"/>
    <col min="9171" max="9171" width="42.44140625" bestFit="1" customWidth="1"/>
    <col min="9172" max="9172" width="20.77734375" bestFit="1" customWidth="1"/>
    <col min="9173" max="9188" width="3.77734375" customWidth="1"/>
    <col min="9189" max="9189" width="7.44140625" customWidth="1"/>
    <col min="9190" max="9190" width="18.21875" bestFit="1" customWidth="1"/>
    <col min="9424" max="9424" width="4.44140625" customWidth="1"/>
    <col min="9425" max="9425" width="14.77734375" customWidth="1"/>
    <col min="9426" max="9426" width="13.77734375" customWidth="1"/>
    <col min="9427" max="9427" width="42.44140625" bestFit="1" customWidth="1"/>
    <col min="9428" max="9428" width="20.77734375" bestFit="1" customWidth="1"/>
    <col min="9429" max="9444" width="3.77734375" customWidth="1"/>
    <col min="9445" max="9445" width="7.44140625" customWidth="1"/>
    <col min="9446" max="9446" width="18.21875" bestFit="1" customWidth="1"/>
    <col min="9680" max="9680" width="4.44140625" customWidth="1"/>
    <col min="9681" max="9681" width="14.77734375" customWidth="1"/>
    <col min="9682" max="9682" width="13.77734375" customWidth="1"/>
    <col min="9683" max="9683" width="42.44140625" bestFit="1" customWidth="1"/>
    <col min="9684" max="9684" width="20.77734375" bestFit="1" customWidth="1"/>
    <col min="9685" max="9700" width="3.77734375" customWidth="1"/>
    <col min="9701" max="9701" width="7.44140625" customWidth="1"/>
    <col min="9702" max="9702" width="18.21875" bestFit="1" customWidth="1"/>
    <col min="9936" max="9936" width="4.44140625" customWidth="1"/>
    <col min="9937" max="9937" width="14.77734375" customWidth="1"/>
    <col min="9938" max="9938" width="13.77734375" customWidth="1"/>
    <col min="9939" max="9939" width="42.44140625" bestFit="1" customWidth="1"/>
    <col min="9940" max="9940" width="20.77734375" bestFit="1" customWidth="1"/>
    <col min="9941" max="9956" width="3.77734375" customWidth="1"/>
    <col min="9957" max="9957" width="7.44140625" customWidth="1"/>
    <col min="9958" max="9958" width="18.21875" bestFit="1" customWidth="1"/>
    <col min="10192" max="10192" width="4.44140625" customWidth="1"/>
    <col min="10193" max="10193" width="14.77734375" customWidth="1"/>
    <col min="10194" max="10194" width="13.77734375" customWidth="1"/>
    <col min="10195" max="10195" width="42.44140625" bestFit="1" customWidth="1"/>
    <col min="10196" max="10196" width="20.77734375" bestFit="1" customWidth="1"/>
    <col min="10197" max="10212" width="3.77734375" customWidth="1"/>
    <col min="10213" max="10213" width="7.44140625" customWidth="1"/>
    <col min="10214" max="10214" width="18.21875" bestFit="1" customWidth="1"/>
    <col min="10448" max="10448" width="4.44140625" customWidth="1"/>
    <col min="10449" max="10449" width="14.77734375" customWidth="1"/>
    <col min="10450" max="10450" width="13.77734375" customWidth="1"/>
    <col min="10451" max="10451" width="42.44140625" bestFit="1" customWidth="1"/>
    <col min="10452" max="10452" width="20.77734375" bestFit="1" customWidth="1"/>
    <col min="10453" max="10468" width="3.77734375" customWidth="1"/>
    <col min="10469" max="10469" width="7.44140625" customWidth="1"/>
    <col min="10470" max="10470" width="18.21875" bestFit="1" customWidth="1"/>
    <col min="10704" max="10704" width="4.44140625" customWidth="1"/>
    <col min="10705" max="10705" width="14.77734375" customWidth="1"/>
    <col min="10706" max="10706" width="13.77734375" customWidth="1"/>
    <col min="10707" max="10707" width="42.44140625" bestFit="1" customWidth="1"/>
    <col min="10708" max="10708" width="20.77734375" bestFit="1" customWidth="1"/>
    <col min="10709" max="10724" width="3.77734375" customWidth="1"/>
    <col min="10725" max="10725" width="7.44140625" customWidth="1"/>
    <col min="10726" max="10726" width="18.21875" bestFit="1" customWidth="1"/>
    <col min="10960" max="10960" width="4.44140625" customWidth="1"/>
    <col min="10961" max="10961" width="14.77734375" customWidth="1"/>
    <col min="10962" max="10962" width="13.77734375" customWidth="1"/>
    <col min="10963" max="10963" width="42.44140625" bestFit="1" customWidth="1"/>
    <col min="10964" max="10964" width="20.77734375" bestFit="1" customWidth="1"/>
    <col min="10965" max="10980" width="3.77734375" customWidth="1"/>
    <col min="10981" max="10981" width="7.44140625" customWidth="1"/>
    <col min="10982" max="10982" width="18.21875" bestFit="1" customWidth="1"/>
    <col min="11216" max="11216" width="4.44140625" customWidth="1"/>
    <col min="11217" max="11217" width="14.77734375" customWidth="1"/>
    <col min="11218" max="11218" width="13.77734375" customWidth="1"/>
    <col min="11219" max="11219" width="42.44140625" bestFit="1" customWidth="1"/>
    <col min="11220" max="11220" width="20.77734375" bestFit="1" customWidth="1"/>
    <col min="11221" max="11236" width="3.77734375" customWidth="1"/>
    <col min="11237" max="11237" width="7.44140625" customWidth="1"/>
    <col min="11238" max="11238" width="18.21875" bestFit="1" customWidth="1"/>
    <col min="11472" max="11472" width="4.44140625" customWidth="1"/>
    <col min="11473" max="11473" width="14.77734375" customWidth="1"/>
    <col min="11474" max="11474" width="13.77734375" customWidth="1"/>
    <col min="11475" max="11475" width="42.44140625" bestFit="1" customWidth="1"/>
    <col min="11476" max="11476" width="20.77734375" bestFit="1" customWidth="1"/>
    <col min="11477" max="11492" width="3.77734375" customWidth="1"/>
    <col min="11493" max="11493" width="7.44140625" customWidth="1"/>
    <col min="11494" max="11494" width="18.21875" bestFit="1" customWidth="1"/>
    <col min="11728" max="11728" width="4.44140625" customWidth="1"/>
    <col min="11729" max="11729" width="14.77734375" customWidth="1"/>
    <col min="11730" max="11730" width="13.77734375" customWidth="1"/>
    <col min="11731" max="11731" width="42.44140625" bestFit="1" customWidth="1"/>
    <col min="11732" max="11732" width="20.77734375" bestFit="1" customWidth="1"/>
    <col min="11733" max="11748" width="3.77734375" customWidth="1"/>
    <col min="11749" max="11749" width="7.44140625" customWidth="1"/>
    <col min="11750" max="11750" width="18.21875" bestFit="1" customWidth="1"/>
    <col min="11984" max="11984" width="4.44140625" customWidth="1"/>
    <col min="11985" max="11985" width="14.77734375" customWidth="1"/>
    <col min="11986" max="11986" width="13.77734375" customWidth="1"/>
    <col min="11987" max="11987" width="42.44140625" bestFit="1" customWidth="1"/>
    <col min="11988" max="11988" width="20.77734375" bestFit="1" customWidth="1"/>
    <col min="11989" max="12004" width="3.77734375" customWidth="1"/>
    <col min="12005" max="12005" width="7.44140625" customWidth="1"/>
    <col min="12006" max="12006" width="18.21875" bestFit="1" customWidth="1"/>
    <col min="12240" max="12240" width="4.44140625" customWidth="1"/>
    <col min="12241" max="12241" width="14.77734375" customWidth="1"/>
    <col min="12242" max="12242" width="13.77734375" customWidth="1"/>
    <col min="12243" max="12243" width="42.44140625" bestFit="1" customWidth="1"/>
    <col min="12244" max="12244" width="20.77734375" bestFit="1" customWidth="1"/>
    <col min="12245" max="12260" width="3.77734375" customWidth="1"/>
    <col min="12261" max="12261" width="7.44140625" customWidth="1"/>
    <col min="12262" max="12262" width="18.21875" bestFit="1" customWidth="1"/>
    <col min="12496" max="12496" width="4.44140625" customWidth="1"/>
    <col min="12497" max="12497" width="14.77734375" customWidth="1"/>
    <col min="12498" max="12498" width="13.77734375" customWidth="1"/>
    <col min="12499" max="12499" width="42.44140625" bestFit="1" customWidth="1"/>
    <col min="12500" max="12500" width="20.77734375" bestFit="1" customWidth="1"/>
    <col min="12501" max="12516" width="3.77734375" customWidth="1"/>
    <col min="12517" max="12517" width="7.44140625" customWidth="1"/>
    <col min="12518" max="12518" width="18.21875" bestFit="1" customWidth="1"/>
    <col min="12752" max="12752" width="4.44140625" customWidth="1"/>
    <col min="12753" max="12753" width="14.77734375" customWidth="1"/>
    <col min="12754" max="12754" width="13.77734375" customWidth="1"/>
    <col min="12755" max="12755" width="42.44140625" bestFit="1" customWidth="1"/>
    <col min="12756" max="12756" width="20.77734375" bestFit="1" customWidth="1"/>
    <col min="12757" max="12772" width="3.77734375" customWidth="1"/>
    <col min="12773" max="12773" width="7.44140625" customWidth="1"/>
    <col min="12774" max="12774" width="18.21875" bestFit="1" customWidth="1"/>
    <col min="13008" max="13008" width="4.44140625" customWidth="1"/>
    <col min="13009" max="13009" width="14.77734375" customWidth="1"/>
    <col min="13010" max="13010" width="13.77734375" customWidth="1"/>
    <col min="13011" max="13011" width="42.44140625" bestFit="1" customWidth="1"/>
    <col min="13012" max="13012" width="20.77734375" bestFit="1" customWidth="1"/>
    <col min="13013" max="13028" width="3.77734375" customWidth="1"/>
    <col min="13029" max="13029" width="7.44140625" customWidth="1"/>
    <col min="13030" max="13030" width="18.21875" bestFit="1" customWidth="1"/>
    <col min="13264" max="13264" width="4.44140625" customWidth="1"/>
    <col min="13265" max="13265" width="14.77734375" customWidth="1"/>
    <col min="13266" max="13266" width="13.77734375" customWidth="1"/>
    <col min="13267" max="13267" width="42.44140625" bestFit="1" customWidth="1"/>
    <col min="13268" max="13268" width="20.77734375" bestFit="1" customWidth="1"/>
    <col min="13269" max="13284" width="3.77734375" customWidth="1"/>
    <col min="13285" max="13285" width="7.44140625" customWidth="1"/>
    <col min="13286" max="13286" width="18.21875" bestFit="1" customWidth="1"/>
    <col min="13520" max="13520" width="4.44140625" customWidth="1"/>
    <col min="13521" max="13521" width="14.77734375" customWidth="1"/>
    <col min="13522" max="13522" width="13.77734375" customWidth="1"/>
    <col min="13523" max="13523" width="42.44140625" bestFit="1" customWidth="1"/>
    <col min="13524" max="13524" width="20.77734375" bestFit="1" customWidth="1"/>
    <col min="13525" max="13540" width="3.77734375" customWidth="1"/>
    <col min="13541" max="13541" width="7.44140625" customWidth="1"/>
    <col min="13542" max="13542" width="18.21875" bestFit="1" customWidth="1"/>
    <col min="13776" max="13776" width="4.44140625" customWidth="1"/>
    <col min="13777" max="13777" width="14.77734375" customWidth="1"/>
    <col min="13778" max="13778" width="13.77734375" customWidth="1"/>
    <col min="13779" max="13779" width="42.44140625" bestFit="1" customWidth="1"/>
    <col min="13780" max="13780" width="20.77734375" bestFit="1" customWidth="1"/>
    <col min="13781" max="13796" width="3.77734375" customWidth="1"/>
    <col min="13797" max="13797" width="7.44140625" customWidth="1"/>
    <col min="13798" max="13798" width="18.21875" bestFit="1" customWidth="1"/>
    <col min="14032" max="14032" width="4.44140625" customWidth="1"/>
    <col min="14033" max="14033" width="14.77734375" customWidth="1"/>
    <col min="14034" max="14034" width="13.77734375" customWidth="1"/>
    <col min="14035" max="14035" width="42.44140625" bestFit="1" customWidth="1"/>
    <col min="14036" max="14036" width="20.77734375" bestFit="1" customWidth="1"/>
    <col min="14037" max="14052" width="3.77734375" customWidth="1"/>
    <col min="14053" max="14053" width="7.44140625" customWidth="1"/>
    <col min="14054" max="14054" width="18.21875" bestFit="1" customWidth="1"/>
    <col min="14288" max="14288" width="4.44140625" customWidth="1"/>
    <col min="14289" max="14289" width="14.77734375" customWidth="1"/>
    <col min="14290" max="14290" width="13.77734375" customWidth="1"/>
    <col min="14291" max="14291" width="42.44140625" bestFit="1" customWidth="1"/>
    <col min="14292" max="14292" width="20.77734375" bestFit="1" customWidth="1"/>
    <col min="14293" max="14308" width="3.77734375" customWidth="1"/>
    <col min="14309" max="14309" width="7.44140625" customWidth="1"/>
    <col min="14310" max="14310" width="18.21875" bestFit="1" customWidth="1"/>
    <col min="14544" max="14544" width="4.44140625" customWidth="1"/>
    <col min="14545" max="14545" width="14.77734375" customWidth="1"/>
    <col min="14546" max="14546" width="13.77734375" customWidth="1"/>
    <col min="14547" max="14547" width="42.44140625" bestFit="1" customWidth="1"/>
    <col min="14548" max="14548" width="20.77734375" bestFit="1" customWidth="1"/>
    <col min="14549" max="14564" width="3.77734375" customWidth="1"/>
    <col min="14565" max="14565" width="7.44140625" customWidth="1"/>
    <col min="14566" max="14566" width="18.21875" bestFit="1" customWidth="1"/>
    <col min="14800" max="14800" width="4.44140625" customWidth="1"/>
    <col min="14801" max="14801" width="14.77734375" customWidth="1"/>
    <col min="14802" max="14802" width="13.77734375" customWidth="1"/>
    <col min="14803" max="14803" width="42.44140625" bestFit="1" customWidth="1"/>
    <col min="14804" max="14804" width="20.77734375" bestFit="1" customWidth="1"/>
    <col min="14805" max="14820" width="3.77734375" customWidth="1"/>
    <col min="14821" max="14821" width="7.44140625" customWidth="1"/>
    <col min="14822" max="14822" width="18.21875" bestFit="1" customWidth="1"/>
    <col min="15056" max="15056" width="4.44140625" customWidth="1"/>
    <col min="15057" max="15057" width="14.77734375" customWidth="1"/>
    <col min="15058" max="15058" width="13.77734375" customWidth="1"/>
    <col min="15059" max="15059" width="42.44140625" bestFit="1" customWidth="1"/>
    <col min="15060" max="15060" width="20.77734375" bestFit="1" customWidth="1"/>
    <col min="15061" max="15076" width="3.77734375" customWidth="1"/>
    <col min="15077" max="15077" width="7.44140625" customWidth="1"/>
    <col min="15078" max="15078" width="18.21875" bestFit="1" customWidth="1"/>
    <col min="15312" max="15312" width="4.44140625" customWidth="1"/>
    <col min="15313" max="15313" width="14.77734375" customWidth="1"/>
    <col min="15314" max="15314" width="13.77734375" customWidth="1"/>
    <col min="15315" max="15315" width="42.44140625" bestFit="1" customWidth="1"/>
    <col min="15316" max="15316" width="20.77734375" bestFit="1" customWidth="1"/>
    <col min="15317" max="15332" width="3.77734375" customWidth="1"/>
    <col min="15333" max="15333" width="7.44140625" customWidth="1"/>
    <col min="15334" max="15334" width="18.21875" bestFit="1" customWidth="1"/>
    <col min="15568" max="15568" width="4.44140625" customWidth="1"/>
    <col min="15569" max="15569" width="14.77734375" customWidth="1"/>
    <col min="15570" max="15570" width="13.77734375" customWidth="1"/>
    <col min="15571" max="15571" width="42.44140625" bestFit="1" customWidth="1"/>
    <col min="15572" max="15572" width="20.77734375" bestFit="1" customWidth="1"/>
    <col min="15573" max="15588" width="3.77734375" customWidth="1"/>
    <col min="15589" max="15589" width="7.44140625" customWidth="1"/>
    <col min="15590" max="15590" width="18.21875" bestFit="1" customWidth="1"/>
    <col min="15824" max="15824" width="4.44140625" customWidth="1"/>
    <col min="15825" max="15825" width="14.77734375" customWidth="1"/>
    <col min="15826" max="15826" width="13.77734375" customWidth="1"/>
    <col min="15827" max="15827" width="42.44140625" bestFit="1" customWidth="1"/>
    <col min="15828" max="15828" width="20.77734375" bestFit="1" customWidth="1"/>
    <col min="15829" max="15844" width="3.77734375" customWidth="1"/>
    <col min="15845" max="15845" width="7.44140625" customWidth="1"/>
    <col min="15846" max="15846" width="18.21875" bestFit="1" customWidth="1"/>
    <col min="16080" max="16080" width="4.44140625" customWidth="1"/>
    <col min="16081" max="16081" width="14.77734375" customWidth="1"/>
    <col min="16082" max="16082" width="13.77734375" customWidth="1"/>
    <col min="16083" max="16083" width="42.44140625" bestFit="1" customWidth="1"/>
    <col min="16084" max="16084" width="20.77734375" bestFit="1" customWidth="1"/>
    <col min="16085" max="16100" width="3.77734375" customWidth="1"/>
    <col min="16101" max="16101" width="7.44140625" customWidth="1"/>
    <col min="16102" max="16102" width="18.21875" bestFit="1" customWidth="1"/>
    <col min="16336" max="16336" width="4.44140625" customWidth="1"/>
    <col min="16337" max="16337" width="14.77734375" customWidth="1"/>
    <col min="16338" max="16338" width="13.77734375" customWidth="1"/>
    <col min="16339" max="16339" width="42.44140625" bestFit="1" customWidth="1"/>
    <col min="16340" max="16340" width="20.77734375" bestFit="1" customWidth="1"/>
    <col min="16341" max="16356" width="3.77734375" customWidth="1"/>
    <col min="16357" max="16357" width="7.44140625" customWidth="1"/>
    <col min="16358" max="16358" width="18.21875" bestFit="1" customWidth="1"/>
  </cols>
  <sheetData>
    <row r="1" spans="1:255" ht="15.6">
      <c r="A1" s="32" t="s">
        <v>2923</v>
      </c>
      <c r="X1" s="1793" t="s">
        <v>2923</v>
      </c>
      <c r="AT1" s="588" t="s">
        <v>2705</v>
      </c>
      <c r="BR1" s="32" t="s">
        <v>2540</v>
      </c>
      <c r="CQ1"/>
      <c r="CR1"/>
      <c r="CS1"/>
      <c r="CT1"/>
      <c r="CU1"/>
      <c r="CV1"/>
      <c r="CW1"/>
      <c r="CX1"/>
      <c r="CY1"/>
      <c r="CZ1"/>
      <c r="DA1"/>
      <c r="DB1"/>
      <c r="DC1"/>
      <c r="DD1"/>
      <c r="DE1"/>
      <c r="DF1"/>
      <c r="DG1"/>
      <c r="DH1"/>
      <c r="DI1"/>
      <c r="DJ1"/>
      <c r="DK1"/>
      <c r="DL1"/>
      <c r="HB1" s="5666" t="s">
        <v>1307</v>
      </c>
      <c r="HC1" s="5666"/>
      <c r="HD1" s="5666"/>
      <c r="HE1" s="5666"/>
      <c r="HF1" s="5666"/>
      <c r="HG1" s="5666"/>
      <c r="HH1" s="5666"/>
      <c r="HI1" s="5666"/>
      <c r="HJ1" s="5666"/>
      <c r="HK1" s="5666"/>
      <c r="HL1" s="5666"/>
      <c r="HM1" s="5666"/>
      <c r="HN1" s="5666"/>
      <c r="HO1" s="5666"/>
      <c r="HP1" s="5666"/>
      <c r="HQ1" s="5666"/>
      <c r="HR1" s="5666"/>
      <c r="HS1" s="5666"/>
      <c r="HT1" s="5666"/>
      <c r="HU1" s="5666"/>
      <c r="HV1" s="5666"/>
      <c r="HW1" s="5666"/>
    </row>
    <row r="2" spans="1:255" ht="15.6">
      <c r="A2" s="104" t="s">
        <v>2970</v>
      </c>
      <c r="X2" s="1787" t="s">
        <v>2969</v>
      </c>
      <c r="AT2" s="22" t="s">
        <v>2698</v>
      </c>
      <c r="BR2" s="1333" t="s">
        <v>2528</v>
      </c>
      <c r="CP2" s="32" t="s">
        <v>1938</v>
      </c>
      <c r="CQ2"/>
      <c r="CR2"/>
      <c r="CS2"/>
      <c r="CT2"/>
      <c r="CU2"/>
      <c r="CV2"/>
      <c r="CW2"/>
      <c r="CX2"/>
      <c r="CY2"/>
      <c r="CZ2"/>
      <c r="DA2"/>
      <c r="DB2"/>
      <c r="DC2"/>
      <c r="DD2"/>
      <c r="DE2"/>
      <c r="DF2"/>
      <c r="DG2"/>
      <c r="DH2"/>
      <c r="DI2"/>
      <c r="DJ2"/>
      <c r="DK2"/>
      <c r="DL2"/>
      <c r="DN2" s="104" t="s">
        <v>1869</v>
      </c>
      <c r="DO2" s="41"/>
      <c r="DP2" s="41"/>
      <c r="DQ2" s="41"/>
      <c r="DR2" s="41"/>
      <c r="DS2" s="41"/>
      <c r="DT2" s="41"/>
      <c r="DU2" s="41"/>
      <c r="DV2" s="41"/>
      <c r="DW2" s="41"/>
      <c r="DX2" s="41"/>
      <c r="DY2" s="41"/>
      <c r="DZ2" s="41"/>
      <c r="EA2" s="41"/>
      <c r="EB2" s="41"/>
      <c r="EC2" s="41"/>
      <c r="ED2" s="41"/>
      <c r="EE2" s="41"/>
      <c r="EF2" s="41"/>
      <c r="EG2" s="41"/>
      <c r="EH2" s="41"/>
      <c r="EJ2" s="588" t="s">
        <v>1349</v>
      </c>
      <c r="EK2" s="41"/>
      <c r="EL2" s="41"/>
      <c r="EM2" s="41"/>
      <c r="EN2" s="41"/>
      <c r="EO2" s="41"/>
      <c r="EP2" s="41"/>
      <c r="EQ2" s="41"/>
      <c r="ER2" s="41"/>
      <c r="ES2" s="41"/>
      <c r="ET2" s="41"/>
      <c r="EU2" s="41"/>
      <c r="EV2" s="41"/>
      <c r="EW2" s="41"/>
      <c r="EX2" s="41"/>
      <c r="EY2" s="41"/>
      <c r="EZ2" s="41"/>
      <c r="FA2" s="41"/>
      <c r="FB2" s="41"/>
      <c r="FC2" s="41"/>
      <c r="FD2" s="41"/>
      <c r="FE2" s="41"/>
      <c r="FF2" s="41"/>
      <c r="FH2" s="32" t="s">
        <v>1350</v>
      </c>
      <c r="GG2" s="196" t="s">
        <v>1351</v>
      </c>
      <c r="GH2" s="470"/>
      <c r="GI2" s="470"/>
      <c r="GJ2" s="470"/>
      <c r="GK2" s="470"/>
      <c r="GL2" s="470"/>
      <c r="GM2" s="470"/>
      <c r="GN2" s="470"/>
      <c r="GO2" s="470"/>
      <c r="GP2" s="470"/>
      <c r="GQ2" s="470"/>
      <c r="GR2" s="470"/>
      <c r="GS2" s="470"/>
      <c r="GT2" s="470"/>
      <c r="GU2" s="470"/>
      <c r="GV2" s="470"/>
      <c r="GW2" s="470"/>
      <c r="GX2" s="470"/>
      <c r="HB2" s="5667" t="s">
        <v>1352</v>
      </c>
      <c r="HC2" s="5667"/>
      <c r="HD2" s="5667"/>
      <c r="HE2" s="5667"/>
      <c r="HF2" s="5667"/>
      <c r="HG2" s="5667"/>
      <c r="HH2" s="5667"/>
      <c r="HI2" s="5667"/>
      <c r="HJ2" s="5667"/>
      <c r="HK2" s="5667"/>
      <c r="HL2" s="5667"/>
      <c r="HM2" s="5667"/>
      <c r="HN2" s="5667"/>
      <c r="HO2" s="5667"/>
      <c r="HP2" s="5667"/>
      <c r="HQ2" s="5667"/>
      <c r="HR2" s="5667"/>
      <c r="HS2" s="5667"/>
      <c r="HT2" s="5667"/>
      <c r="HU2" s="5667"/>
      <c r="HV2" s="5667"/>
      <c r="HW2" s="5667"/>
    </row>
    <row r="3" spans="1:255" ht="15.6">
      <c r="A3" s="32" t="s">
        <v>2924</v>
      </c>
      <c r="X3" s="1793" t="s">
        <v>2924</v>
      </c>
      <c r="AT3" s="1010" t="s">
        <v>2706</v>
      </c>
      <c r="BR3" s="1010" t="s">
        <v>2541</v>
      </c>
      <c r="BS3" s="42"/>
      <c r="BT3" s="42"/>
      <c r="BU3" s="42"/>
      <c r="BV3" s="42"/>
      <c r="BW3" s="42"/>
      <c r="BX3" s="42"/>
      <c r="BY3" s="42"/>
      <c r="BZ3" s="42"/>
      <c r="CA3" s="42"/>
      <c r="CB3" s="42"/>
      <c r="CC3" s="42"/>
      <c r="CD3" s="42"/>
      <c r="CE3" s="42"/>
      <c r="CF3" s="42"/>
      <c r="CG3" s="42"/>
      <c r="CH3" s="42"/>
      <c r="CI3" s="42"/>
      <c r="CJ3" s="42"/>
      <c r="CK3" s="42"/>
      <c r="CL3" s="42"/>
      <c r="CM3" s="42"/>
      <c r="CP3" s="1389" t="s">
        <v>1930</v>
      </c>
      <c r="CQ3" s="1010"/>
      <c r="CR3" s="1010"/>
      <c r="CS3" s="1010"/>
      <c r="CT3" s="1010"/>
      <c r="CU3" s="1010"/>
      <c r="CV3" s="1010"/>
      <c r="CW3" s="1010"/>
      <c r="CX3" s="1010"/>
      <c r="CY3" s="1010"/>
      <c r="CZ3" s="1010"/>
      <c r="DA3" s="1010"/>
      <c r="DB3" s="1010"/>
      <c r="DC3" s="1010"/>
      <c r="DD3" s="1010"/>
      <c r="DE3" s="1010"/>
      <c r="DF3" s="1010"/>
      <c r="DG3" s="1010"/>
      <c r="DH3" s="1010"/>
      <c r="DI3" s="1010"/>
      <c r="DJ3" s="1010"/>
      <c r="DK3" s="1010"/>
      <c r="DL3"/>
      <c r="DN3" s="1389" t="s">
        <v>1863</v>
      </c>
      <c r="DO3" s="1370"/>
      <c r="DP3" s="1370"/>
      <c r="DQ3" s="1370"/>
      <c r="DR3" s="1370"/>
      <c r="DS3" s="1370"/>
      <c r="DT3" s="1370"/>
      <c r="DU3" s="1370"/>
      <c r="DV3" s="1370"/>
      <c r="DW3" s="1370"/>
      <c r="DX3" s="1370"/>
      <c r="DY3" s="1370"/>
      <c r="DZ3" s="1370"/>
      <c r="EA3" s="1370"/>
      <c r="EB3" s="1370"/>
      <c r="EC3" s="1370"/>
      <c r="ED3" s="1370"/>
      <c r="EE3" s="1370"/>
      <c r="EF3" s="1370"/>
      <c r="EG3" s="1370"/>
      <c r="EH3" s="41"/>
      <c r="EJ3" s="32" t="s">
        <v>830</v>
      </c>
      <c r="EK3" s="663"/>
      <c r="EL3" s="663"/>
      <c r="EM3" s="663"/>
      <c r="EN3" s="663"/>
      <c r="EO3" s="663"/>
      <c r="EP3" s="663"/>
      <c r="EQ3" s="663"/>
      <c r="ER3" s="663"/>
      <c r="ES3" s="663"/>
      <c r="ET3" s="663"/>
      <c r="EU3" s="663"/>
      <c r="EV3" s="663"/>
      <c r="EW3" s="663"/>
      <c r="EX3" s="663"/>
      <c r="EY3" s="663"/>
      <c r="EZ3" s="663"/>
      <c r="FA3" s="663"/>
      <c r="FB3" s="663"/>
      <c r="FC3" s="663"/>
      <c r="FD3" s="663"/>
      <c r="FE3" s="663"/>
      <c r="FF3" s="41"/>
      <c r="FH3" s="746" t="s">
        <v>1311</v>
      </c>
      <c r="FI3" s="664"/>
      <c r="FJ3" s="664"/>
      <c r="FK3" s="664"/>
      <c r="FL3" s="664"/>
      <c r="FM3" s="664"/>
      <c r="FN3" s="664"/>
      <c r="FO3" s="664"/>
      <c r="FP3" s="664"/>
      <c r="FQ3" s="664"/>
      <c r="FR3" s="664"/>
      <c r="FS3" s="664"/>
      <c r="FT3" s="664"/>
      <c r="FU3" s="664"/>
      <c r="FV3" s="664"/>
      <c r="FW3" s="664"/>
      <c r="FX3" s="664"/>
      <c r="FY3" s="664"/>
      <c r="FZ3" s="664"/>
      <c r="GA3" s="664"/>
      <c r="GB3" s="664"/>
      <c r="GC3" s="664"/>
      <c r="GD3" s="664"/>
      <c r="GG3" s="472" t="s">
        <v>1353</v>
      </c>
      <c r="GH3" s="472"/>
      <c r="GI3" s="472"/>
      <c r="GJ3" s="472"/>
      <c r="GK3" s="472"/>
      <c r="GL3" s="472"/>
      <c r="GM3" s="472"/>
      <c r="GN3" s="472"/>
      <c r="GO3" s="472"/>
      <c r="GP3" s="472"/>
      <c r="GQ3" s="472"/>
      <c r="GR3" s="472"/>
      <c r="GS3" s="472"/>
      <c r="GT3" s="472"/>
      <c r="GU3" s="472"/>
      <c r="GV3" s="472"/>
      <c r="GW3" s="472"/>
      <c r="GX3" s="472"/>
      <c r="HB3" s="5646" t="s">
        <v>1313</v>
      </c>
      <c r="HC3" s="5646"/>
      <c r="HD3" s="5646"/>
      <c r="HE3" s="5646"/>
      <c r="HF3" s="5646"/>
      <c r="HG3" s="5646"/>
      <c r="HH3" s="5646"/>
      <c r="HI3" s="5646"/>
      <c r="HJ3" s="5646"/>
      <c r="HK3" s="5646"/>
      <c r="HL3" s="5646"/>
      <c r="HM3" s="5646"/>
      <c r="HN3" s="5646"/>
      <c r="HO3" s="5646"/>
      <c r="HP3" s="5646"/>
      <c r="HQ3" s="5646"/>
      <c r="HR3" s="5646"/>
      <c r="HS3" s="5646"/>
      <c r="HT3" s="5646"/>
      <c r="HU3" s="5646"/>
      <c r="HV3" s="5646"/>
      <c r="HW3" s="5646"/>
      <c r="HY3" s="5647" t="s">
        <v>1354</v>
      </c>
      <c r="HZ3" s="5647"/>
      <c r="IA3" s="5647"/>
      <c r="IB3" s="5647"/>
      <c r="IC3" s="5647"/>
      <c r="ID3" s="5647"/>
      <c r="IE3" s="5647"/>
      <c r="IF3" s="5647"/>
      <c r="IG3" s="5647"/>
      <c r="IH3" s="5647"/>
      <c r="II3" s="5647"/>
      <c r="IJ3" s="5647"/>
      <c r="IK3" s="5647"/>
      <c r="IL3" s="5647"/>
      <c r="IM3" s="5647"/>
      <c r="IN3" s="5647"/>
      <c r="IO3" s="5647"/>
      <c r="IP3" s="5647"/>
      <c r="IQ3" s="5647"/>
      <c r="IR3" s="5647"/>
      <c r="IS3" s="5647"/>
      <c r="IT3" s="5647"/>
      <c r="IU3" s="5647"/>
    </row>
    <row r="4" spans="1:255">
      <c r="A4" s="2464" t="s">
        <v>2707</v>
      </c>
      <c r="X4" s="37" t="s">
        <v>2707</v>
      </c>
      <c r="AT4" s="42" t="s">
        <v>2707</v>
      </c>
      <c r="BR4" s="42" t="s">
        <v>2542</v>
      </c>
      <c r="BS4" s="42"/>
      <c r="BT4" s="42"/>
      <c r="BU4" s="42"/>
      <c r="BV4" s="42"/>
      <c r="BW4" s="42"/>
      <c r="BX4" s="42"/>
      <c r="BY4" s="42"/>
      <c r="BZ4" s="42"/>
      <c r="CA4" s="42"/>
      <c r="CB4" s="42"/>
      <c r="CC4" s="42"/>
      <c r="CD4" s="42"/>
      <c r="CE4" s="42"/>
      <c r="CF4" s="42"/>
      <c r="CG4" s="42"/>
      <c r="CH4" s="42"/>
      <c r="CI4" s="42"/>
      <c r="CJ4" s="42"/>
      <c r="CK4" s="42"/>
      <c r="CL4" s="42"/>
      <c r="CM4" s="42"/>
      <c r="CP4" s="1010" t="s">
        <v>1939</v>
      </c>
      <c r="CQ4" s="1010"/>
      <c r="CR4" s="1010"/>
      <c r="CS4" s="1010"/>
      <c r="CT4" s="1010"/>
      <c r="CU4" s="1010"/>
      <c r="CV4" s="1010"/>
      <c r="CW4" s="1010"/>
      <c r="CX4" s="1010"/>
      <c r="CY4" s="1010"/>
      <c r="CZ4" s="1010"/>
      <c r="DA4" s="1010"/>
      <c r="DB4" s="1010"/>
      <c r="DC4" s="1010"/>
      <c r="DD4" s="1010"/>
      <c r="DE4" s="1010"/>
      <c r="DF4" s="1010"/>
      <c r="DG4" s="1010"/>
      <c r="DH4" s="1010"/>
      <c r="DI4" s="1010"/>
      <c r="DJ4" s="1010"/>
      <c r="DK4" s="1010"/>
      <c r="DL4"/>
      <c r="DN4" s="1010" t="s">
        <v>1870</v>
      </c>
      <c r="DO4" s="1371"/>
      <c r="DP4" s="1371"/>
      <c r="DQ4" s="1371"/>
      <c r="DR4" s="1371"/>
      <c r="DS4" s="1371"/>
      <c r="DT4" s="1371"/>
      <c r="DU4" s="1371"/>
      <c r="DV4" s="1371"/>
      <c r="DW4" s="1371"/>
      <c r="DX4" s="1371"/>
      <c r="DY4" s="1371"/>
      <c r="DZ4" s="1371"/>
      <c r="EA4" s="1371"/>
      <c r="EB4" s="1371"/>
      <c r="EC4" s="1371"/>
      <c r="ED4" s="1371"/>
      <c r="EE4" s="1371"/>
      <c r="EF4" s="1371"/>
      <c r="EG4" s="1371"/>
      <c r="EH4" s="41"/>
      <c r="EJ4" s="68" t="s">
        <v>1315</v>
      </c>
      <c r="EK4" s="665"/>
      <c r="EL4" s="665"/>
      <c r="EM4" s="665"/>
      <c r="EN4" s="665"/>
      <c r="EO4" s="665"/>
      <c r="EP4" s="665"/>
      <c r="EQ4" s="665"/>
      <c r="ER4" s="665"/>
      <c r="ES4" s="665"/>
      <c r="ET4" s="665"/>
      <c r="EU4" s="665"/>
      <c r="EV4" s="665"/>
      <c r="EW4" s="665"/>
      <c r="EX4" s="665"/>
      <c r="EY4" s="665"/>
      <c r="EZ4" s="665"/>
      <c r="FA4" s="665"/>
      <c r="FB4" s="665"/>
      <c r="FC4" s="665"/>
      <c r="FD4" s="665"/>
      <c r="FE4" s="665"/>
      <c r="FF4" s="41"/>
      <c r="FH4" s="666" t="s">
        <v>1355</v>
      </c>
      <c r="FI4" s="667"/>
      <c r="FJ4" s="667"/>
      <c r="FK4" s="667"/>
      <c r="FL4" s="667"/>
      <c r="FM4" s="667"/>
      <c r="FN4" s="667"/>
      <c r="FO4" s="667"/>
      <c r="FP4" s="667"/>
      <c r="FQ4" s="667"/>
      <c r="FR4" s="667"/>
      <c r="FS4" s="667"/>
      <c r="FT4" s="667"/>
      <c r="FU4" s="667"/>
      <c r="FV4" s="667"/>
      <c r="FW4" s="667"/>
      <c r="FX4" s="667"/>
      <c r="FY4" s="667"/>
      <c r="FZ4" s="667"/>
      <c r="GA4" s="667"/>
      <c r="GB4" s="667"/>
      <c r="GC4" s="667"/>
      <c r="GD4" s="667"/>
      <c r="HW4" s="68"/>
    </row>
    <row r="5" spans="1:255">
      <c r="A5" s="2486"/>
      <c r="B5" s="2486"/>
      <c r="C5" s="2486"/>
      <c r="D5" s="2486"/>
      <c r="E5" s="5644" t="s">
        <v>1317</v>
      </c>
      <c r="F5" s="5644"/>
      <c r="G5" s="5644"/>
      <c r="H5" s="5644"/>
      <c r="I5" s="5644"/>
      <c r="J5" s="5644"/>
      <c r="K5" s="5644"/>
      <c r="L5" s="5644"/>
      <c r="M5" s="5644"/>
      <c r="N5" s="5644"/>
      <c r="O5" s="5644"/>
      <c r="P5" s="5644"/>
      <c r="Q5" s="5644"/>
      <c r="R5" s="5644"/>
      <c r="S5" s="5644"/>
      <c r="T5" s="5644"/>
      <c r="U5" s="2486"/>
      <c r="V5" s="2486"/>
      <c r="X5" s="4696"/>
      <c r="Y5" s="4696"/>
      <c r="Z5" s="4696"/>
      <c r="AA5" s="4696"/>
      <c r="AB5" s="5651" t="s">
        <v>1317</v>
      </c>
      <c r="AC5" s="5651"/>
      <c r="AD5" s="5651"/>
      <c r="AE5" s="5651"/>
      <c r="AF5" s="5651"/>
      <c r="AG5" s="5651"/>
      <c r="AH5" s="5651"/>
      <c r="AI5" s="5651"/>
      <c r="AJ5" s="5651"/>
      <c r="AK5" s="5651"/>
      <c r="AL5" s="5651"/>
      <c r="AM5" s="5651"/>
      <c r="AN5" s="5651"/>
      <c r="AO5" s="5651"/>
      <c r="AP5" s="5651"/>
      <c r="AQ5" s="4696"/>
      <c r="AT5" s="2486"/>
      <c r="AU5" s="2486"/>
      <c r="AV5" s="2486"/>
      <c r="AW5" s="2486"/>
      <c r="AX5" s="5671" t="s">
        <v>1317</v>
      </c>
      <c r="AY5" s="5671"/>
      <c r="AZ5" s="5671"/>
      <c r="BA5" s="5671"/>
      <c r="BB5" s="5671"/>
      <c r="BC5" s="5671"/>
      <c r="BD5" s="5671"/>
      <c r="BE5" s="5671"/>
      <c r="BF5" s="5671"/>
      <c r="BG5" s="5671"/>
      <c r="BH5" s="5671"/>
      <c r="BI5" s="5671"/>
      <c r="BJ5" s="5671"/>
      <c r="BK5" s="5671"/>
      <c r="BL5" s="5671"/>
      <c r="BM5" s="2486"/>
      <c r="BN5" s="2486"/>
      <c r="BO5" s="2486"/>
      <c r="BR5" s="32"/>
      <c r="BS5" s="32"/>
      <c r="BT5" s="32"/>
      <c r="BU5" s="484"/>
      <c r="BV5" s="5653" t="s">
        <v>1317</v>
      </c>
      <c r="BW5" s="5653"/>
      <c r="BX5" s="5653"/>
      <c r="BY5" s="5653"/>
      <c r="BZ5" s="5653"/>
      <c r="CA5" s="5653"/>
      <c r="CB5" s="5653"/>
      <c r="CC5" s="5653"/>
      <c r="CD5" s="5653"/>
      <c r="CE5" s="5653"/>
      <c r="CF5" s="5653"/>
      <c r="CG5" s="5653"/>
      <c r="CH5" s="5653"/>
      <c r="CI5" s="5653"/>
      <c r="CJ5" s="5653"/>
      <c r="CK5" s="5653"/>
      <c r="CL5" s="5653"/>
      <c r="CM5" s="32"/>
      <c r="CP5" s="32"/>
      <c r="CQ5" s="32"/>
      <c r="CR5" s="32"/>
      <c r="CS5" s="1333"/>
      <c r="CT5" s="5672" t="s">
        <v>1317</v>
      </c>
      <c r="CU5" s="5672"/>
      <c r="CV5" s="5672"/>
      <c r="CW5" s="5672"/>
      <c r="CX5" s="5672"/>
      <c r="CY5" s="5672"/>
      <c r="CZ5" s="5672"/>
      <c r="DA5" s="5672"/>
      <c r="DB5" s="5672"/>
      <c r="DC5" s="5672"/>
      <c r="DD5" s="5672"/>
      <c r="DE5" s="5672"/>
      <c r="DF5" s="5672"/>
      <c r="DG5" s="5672"/>
      <c r="DH5" s="5672"/>
      <c r="DI5" s="5672"/>
      <c r="DJ5" s="5672"/>
      <c r="DK5" s="32"/>
      <c r="DL5" s="32"/>
      <c r="DN5" s="461"/>
      <c r="DO5" s="1372"/>
      <c r="DP5" s="1372"/>
      <c r="DQ5" s="1372"/>
      <c r="DR5" s="5674" t="s">
        <v>1317</v>
      </c>
      <c r="DS5" s="5675"/>
      <c r="DT5" s="5675"/>
      <c r="DU5" s="5675"/>
      <c r="DV5" s="5675"/>
      <c r="DW5" s="5675"/>
      <c r="DX5" s="5675"/>
      <c r="DY5" s="5675"/>
      <c r="DZ5" s="5675"/>
      <c r="EA5" s="5675"/>
      <c r="EB5" s="5675"/>
      <c r="EC5" s="5675"/>
      <c r="ED5" s="5675"/>
      <c r="EE5" s="5675"/>
      <c r="EF5" s="5675"/>
      <c r="EG5" s="5676"/>
      <c r="EH5" s="41"/>
      <c r="EJ5" s="461"/>
      <c r="EK5" s="668"/>
      <c r="EL5" s="668"/>
      <c r="EM5" s="668"/>
      <c r="EN5" s="5679" t="s">
        <v>1317</v>
      </c>
      <c r="EO5" s="5679"/>
      <c r="EP5" s="5679"/>
      <c r="EQ5" s="5679"/>
      <c r="ER5" s="5679"/>
      <c r="ES5" s="5679"/>
      <c r="ET5" s="5679"/>
      <c r="EU5" s="5679"/>
      <c r="EV5" s="5679"/>
      <c r="EW5" s="5679"/>
      <c r="EX5" s="5679"/>
      <c r="EY5" s="5679"/>
      <c r="EZ5" s="5679"/>
      <c r="FA5" s="5679"/>
      <c r="FB5" s="5679"/>
      <c r="FC5" s="5679"/>
      <c r="FD5" s="5679"/>
      <c r="FE5" s="461"/>
      <c r="FF5" s="41"/>
      <c r="FH5" s="461"/>
      <c r="FI5" s="483"/>
      <c r="FJ5" s="483"/>
      <c r="FK5" s="483"/>
      <c r="FL5" s="483"/>
      <c r="FM5" s="5680" t="s">
        <v>1317</v>
      </c>
      <c r="FN5" s="5680"/>
      <c r="FO5" s="5680"/>
      <c r="FP5" s="5680"/>
      <c r="FQ5" s="5680"/>
      <c r="FR5" s="5680"/>
      <c r="FS5" s="5680"/>
      <c r="FT5" s="5680"/>
      <c r="FU5" s="5680"/>
      <c r="FV5" s="5680"/>
      <c r="FW5" s="5680"/>
      <c r="FX5" s="5680"/>
      <c r="FY5" s="5680"/>
      <c r="FZ5" s="5680"/>
      <c r="GA5" s="5680"/>
      <c r="GB5" s="5680"/>
      <c r="GC5" s="5680"/>
      <c r="GD5" s="461"/>
      <c r="GE5" s="41"/>
      <c r="GF5" s="41"/>
      <c r="GG5" s="669"/>
      <c r="GH5" s="670"/>
      <c r="GI5" s="670"/>
      <c r="GJ5" s="670"/>
      <c r="GK5" s="5673" t="s">
        <v>1318</v>
      </c>
      <c r="GL5" s="5673"/>
      <c r="GM5" s="5673"/>
      <c r="GN5" s="5673"/>
      <c r="GO5" s="5673"/>
      <c r="GP5" s="5673"/>
      <c r="GQ5" s="5673"/>
      <c r="GR5" s="5673"/>
      <c r="GS5" s="5673"/>
      <c r="GT5" s="5673"/>
      <c r="GU5" s="5673"/>
      <c r="GV5" s="5673"/>
      <c r="GW5" s="5673"/>
      <c r="GX5" s="669"/>
      <c r="GY5" s="41"/>
      <c r="GZ5" s="41"/>
      <c r="HA5" s="41"/>
      <c r="HB5" s="96"/>
      <c r="HC5" s="96"/>
      <c r="HD5" s="461"/>
      <c r="HE5" s="461" t="s">
        <v>327</v>
      </c>
      <c r="HF5" s="5626" t="s">
        <v>1319</v>
      </c>
      <c r="HG5" s="5626"/>
      <c r="HH5" s="5626"/>
      <c r="HI5" s="5626"/>
      <c r="HJ5" s="5626"/>
      <c r="HK5" s="5626"/>
      <c r="HL5" s="5626"/>
      <c r="HM5" s="5626"/>
      <c r="HN5" s="5626"/>
      <c r="HO5" s="5626"/>
      <c r="HP5" s="5626"/>
      <c r="HQ5" s="5626"/>
      <c r="HR5" s="5626"/>
      <c r="HS5" s="5626"/>
      <c r="HT5" s="5626"/>
      <c r="HU5" s="5626"/>
      <c r="HV5" s="461"/>
      <c r="HW5" s="41"/>
      <c r="HX5" s="41"/>
      <c r="HY5" s="41"/>
      <c r="HZ5" s="41"/>
      <c r="IA5" s="41"/>
      <c r="IB5" s="41"/>
      <c r="IC5" s="5681" t="s">
        <v>1319</v>
      </c>
      <c r="ID5" s="5681"/>
      <c r="IE5" s="5681"/>
      <c r="IF5" s="5681"/>
      <c r="IG5" s="5681"/>
      <c r="IH5" s="5681"/>
      <c r="II5" s="5681"/>
      <c r="IJ5" s="5681"/>
      <c r="IK5" s="5681"/>
      <c r="IL5" s="5681"/>
      <c r="IM5" s="5681"/>
      <c r="IN5" s="5681"/>
      <c r="IO5" s="5681"/>
      <c r="IP5" s="5681"/>
      <c r="IQ5" s="5681"/>
      <c r="IR5" s="5681"/>
      <c r="IS5" s="41"/>
      <c r="IT5" s="41"/>
      <c r="IU5" s="41"/>
    </row>
    <row r="6" spans="1:255" ht="29.4" thickBot="1">
      <c r="A6" s="4586" t="s">
        <v>0</v>
      </c>
      <c r="B6" s="4586" t="s">
        <v>1</v>
      </c>
      <c r="C6" s="4586" t="s">
        <v>2</v>
      </c>
      <c r="D6" s="4586" t="s">
        <v>1229</v>
      </c>
      <c r="E6" s="4609">
        <v>0</v>
      </c>
      <c r="F6" s="4609">
        <v>1</v>
      </c>
      <c r="G6" s="4609">
        <v>2</v>
      </c>
      <c r="H6" s="4609">
        <v>3</v>
      </c>
      <c r="I6" s="4609">
        <v>5</v>
      </c>
      <c r="J6" s="4609">
        <v>6</v>
      </c>
      <c r="K6" s="4609">
        <v>7</v>
      </c>
      <c r="L6" s="4609">
        <v>8</v>
      </c>
      <c r="M6" s="4609">
        <v>9</v>
      </c>
      <c r="N6" s="4609">
        <v>10</v>
      </c>
      <c r="O6" s="4609">
        <v>11</v>
      </c>
      <c r="P6" s="4609">
        <v>12</v>
      </c>
      <c r="Q6" s="4609">
        <v>13</v>
      </c>
      <c r="R6" s="4609">
        <v>14</v>
      </c>
      <c r="S6" s="4587">
        <v>15</v>
      </c>
      <c r="T6" s="4587">
        <v>16</v>
      </c>
      <c r="U6" s="4587" t="s">
        <v>15</v>
      </c>
      <c r="V6" s="4826" t="s">
        <v>66</v>
      </c>
      <c r="X6" s="4698" t="s">
        <v>0</v>
      </c>
      <c r="Y6" s="4698" t="s">
        <v>1</v>
      </c>
      <c r="Z6" s="4698" t="s">
        <v>2</v>
      </c>
      <c r="AA6" s="4698" t="s">
        <v>1229</v>
      </c>
      <c r="AB6" s="4802">
        <v>0</v>
      </c>
      <c r="AC6" s="4802">
        <v>1</v>
      </c>
      <c r="AD6" s="4802">
        <v>2</v>
      </c>
      <c r="AE6" s="4802">
        <v>3</v>
      </c>
      <c r="AF6" s="4802">
        <v>5</v>
      </c>
      <c r="AG6" s="4802">
        <v>6</v>
      </c>
      <c r="AH6" s="4802">
        <v>7</v>
      </c>
      <c r="AI6" s="4802">
        <v>8</v>
      </c>
      <c r="AJ6" s="4802">
        <v>9</v>
      </c>
      <c r="AK6" s="4802">
        <v>10</v>
      </c>
      <c r="AL6" s="4802">
        <v>11</v>
      </c>
      <c r="AM6" s="4802">
        <v>12</v>
      </c>
      <c r="AN6" s="4802">
        <v>13</v>
      </c>
      <c r="AO6" s="4802">
        <v>14</v>
      </c>
      <c r="AP6" s="4697">
        <v>15</v>
      </c>
      <c r="AQ6" s="4697" t="s">
        <v>15</v>
      </c>
      <c r="AR6" s="4699" t="s">
        <v>66</v>
      </c>
      <c r="AT6" s="465" t="s">
        <v>0</v>
      </c>
      <c r="AU6" s="465" t="s">
        <v>1</v>
      </c>
      <c r="AV6" s="465" t="s">
        <v>2</v>
      </c>
      <c r="AW6" s="465" t="s">
        <v>1229</v>
      </c>
      <c r="AX6" s="2000">
        <v>0</v>
      </c>
      <c r="AY6" s="2000">
        <v>1</v>
      </c>
      <c r="AZ6" s="2000">
        <v>2</v>
      </c>
      <c r="BA6" s="2000">
        <v>3</v>
      </c>
      <c r="BB6" s="2000">
        <v>4</v>
      </c>
      <c r="BC6" s="2000">
        <v>5</v>
      </c>
      <c r="BD6" s="2000">
        <v>6</v>
      </c>
      <c r="BE6" s="2000">
        <v>7</v>
      </c>
      <c r="BF6" s="2000">
        <v>8</v>
      </c>
      <c r="BG6" s="2000">
        <v>9</v>
      </c>
      <c r="BH6" s="2000">
        <v>10</v>
      </c>
      <c r="BI6" s="2000">
        <v>11</v>
      </c>
      <c r="BJ6" s="2000">
        <v>12</v>
      </c>
      <c r="BK6" s="2000">
        <v>13</v>
      </c>
      <c r="BL6" s="2000">
        <v>14</v>
      </c>
      <c r="BM6" s="466">
        <v>15</v>
      </c>
      <c r="BN6" s="466">
        <v>16</v>
      </c>
      <c r="BO6" s="466" t="s">
        <v>15</v>
      </c>
      <c r="BP6" s="1643" t="s">
        <v>66</v>
      </c>
      <c r="BR6" s="465" t="s">
        <v>0</v>
      </c>
      <c r="BS6" s="465" t="s">
        <v>1</v>
      </c>
      <c r="BT6" s="465" t="s">
        <v>2</v>
      </c>
      <c r="BU6" s="465" t="s">
        <v>1229</v>
      </c>
      <c r="BV6" s="2000">
        <v>0</v>
      </c>
      <c r="BW6" s="2000">
        <v>1</v>
      </c>
      <c r="BX6" s="2000">
        <v>2</v>
      </c>
      <c r="BY6" s="2000">
        <v>3</v>
      </c>
      <c r="BZ6" s="2000">
        <v>4</v>
      </c>
      <c r="CA6" s="2000">
        <v>5</v>
      </c>
      <c r="CB6" s="2000">
        <v>6</v>
      </c>
      <c r="CC6" s="2000">
        <v>7</v>
      </c>
      <c r="CD6" s="2000">
        <v>8</v>
      </c>
      <c r="CE6" s="2000">
        <v>9</v>
      </c>
      <c r="CF6" s="2000">
        <v>10</v>
      </c>
      <c r="CG6" s="2000">
        <v>11</v>
      </c>
      <c r="CH6" s="2000">
        <v>12</v>
      </c>
      <c r="CI6" s="2000">
        <v>13</v>
      </c>
      <c r="CJ6" s="2000">
        <v>14</v>
      </c>
      <c r="CK6" s="466">
        <v>15</v>
      </c>
      <c r="CL6" s="466">
        <v>16</v>
      </c>
      <c r="CM6" s="466" t="s">
        <v>15</v>
      </c>
      <c r="CN6" s="728" t="s">
        <v>66</v>
      </c>
      <c r="CP6" s="466" t="s">
        <v>0</v>
      </c>
      <c r="CQ6" s="466" t="s">
        <v>1</v>
      </c>
      <c r="CR6" s="466" t="s">
        <v>2</v>
      </c>
      <c r="CS6" s="466" t="s">
        <v>1229</v>
      </c>
      <c r="CT6" s="1658">
        <v>0</v>
      </c>
      <c r="CU6" s="1658">
        <v>1</v>
      </c>
      <c r="CV6" s="1658">
        <v>2</v>
      </c>
      <c r="CW6" s="1658">
        <v>3</v>
      </c>
      <c r="CX6" s="1658">
        <v>4</v>
      </c>
      <c r="CY6" s="1658">
        <v>5</v>
      </c>
      <c r="CZ6" s="1658">
        <v>6</v>
      </c>
      <c r="DA6" s="1658">
        <v>7</v>
      </c>
      <c r="DB6" s="1658">
        <v>8</v>
      </c>
      <c r="DC6" s="1658">
        <v>9</v>
      </c>
      <c r="DD6" s="1658">
        <v>10</v>
      </c>
      <c r="DE6" s="1658">
        <v>11</v>
      </c>
      <c r="DF6" s="1658">
        <v>12</v>
      </c>
      <c r="DG6" s="1658">
        <v>13</v>
      </c>
      <c r="DH6" s="1658">
        <v>14</v>
      </c>
      <c r="DI6" s="466">
        <v>15</v>
      </c>
      <c r="DJ6" s="466">
        <v>16</v>
      </c>
      <c r="DK6" s="466" t="s">
        <v>15</v>
      </c>
      <c r="DL6" s="1664" t="s">
        <v>66</v>
      </c>
      <c r="DN6" s="1373" t="s">
        <v>0</v>
      </c>
      <c r="DO6" s="1373" t="s">
        <v>1</v>
      </c>
      <c r="DP6" s="1373" t="s">
        <v>2</v>
      </c>
      <c r="DQ6" s="1373" t="s">
        <v>1229</v>
      </c>
      <c r="DR6" s="1373">
        <v>0</v>
      </c>
      <c r="DS6" s="1373">
        <v>1</v>
      </c>
      <c r="DT6" s="1373">
        <v>2</v>
      </c>
      <c r="DU6" s="1373">
        <v>4</v>
      </c>
      <c r="DV6" s="1373">
        <v>5</v>
      </c>
      <c r="DW6" s="1373">
        <v>6</v>
      </c>
      <c r="DX6" s="1373">
        <v>8</v>
      </c>
      <c r="DY6" s="1373">
        <v>9</v>
      </c>
      <c r="DZ6" s="1373">
        <v>10</v>
      </c>
      <c r="EA6" s="1373">
        <v>11</v>
      </c>
      <c r="EB6" s="1373">
        <v>12</v>
      </c>
      <c r="EC6" s="1373">
        <v>13</v>
      </c>
      <c r="ED6" s="1373">
        <v>14</v>
      </c>
      <c r="EE6" s="1373">
        <v>15</v>
      </c>
      <c r="EF6" s="1373">
        <v>16</v>
      </c>
      <c r="EG6" s="1374" t="s">
        <v>15</v>
      </c>
      <c r="EH6" s="1318" t="s">
        <v>66</v>
      </c>
      <c r="EJ6" s="671" t="s">
        <v>0</v>
      </c>
      <c r="EK6" s="671" t="s">
        <v>1</v>
      </c>
      <c r="EL6" s="671" t="s">
        <v>2</v>
      </c>
      <c r="EM6" s="671" t="s">
        <v>1229</v>
      </c>
      <c r="EN6" s="671">
        <v>0</v>
      </c>
      <c r="EO6" s="671">
        <v>1</v>
      </c>
      <c r="EP6" s="671">
        <v>2</v>
      </c>
      <c r="EQ6" s="671">
        <v>3</v>
      </c>
      <c r="ER6" s="671">
        <v>4</v>
      </c>
      <c r="ES6" s="671">
        <v>5</v>
      </c>
      <c r="ET6" s="671">
        <v>6</v>
      </c>
      <c r="EU6" s="671">
        <v>7</v>
      </c>
      <c r="EV6" s="671">
        <v>8</v>
      </c>
      <c r="EW6" s="671">
        <v>9</v>
      </c>
      <c r="EX6" s="671">
        <v>10</v>
      </c>
      <c r="EY6" s="671">
        <v>11</v>
      </c>
      <c r="EZ6" s="671">
        <v>12</v>
      </c>
      <c r="FA6" s="671">
        <v>13</v>
      </c>
      <c r="FB6" s="671">
        <v>14</v>
      </c>
      <c r="FC6" s="671">
        <v>15</v>
      </c>
      <c r="FD6" s="671">
        <v>16</v>
      </c>
      <c r="FE6" s="671" t="s">
        <v>15</v>
      </c>
      <c r="FF6" s="597" t="s">
        <v>66</v>
      </c>
      <c r="FH6" s="489" t="s">
        <v>0</v>
      </c>
      <c r="FI6" s="489" t="s">
        <v>1</v>
      </c>
      <c r="FJ6" s="489" t="s">
        <v>2</v>
      </c>
      <c r="FK6" s="489"/>
      <c r="FL6" s="489" t="s">
        <v>1229</v>
      </c>
      <c r="FM6" s="489">
        <v>0</v>
      </c>
      <c r="FN6" s="489">
        <v>1</v>
      </c>
      <c r="FO6" s="489">
        <v>2</v>
      </c>
      <c r="FP6" s="489">
        <v>3</v>
      </c>
      <c r="FQ6" s="489">
        <v>4</v>
      </c>
      <c r="FR6" s="489">
        <v>5</v>
      </c>
      <c r="FS6" s="489">
        <v>6</v>
      </c>
      <c r="FT6" s="489">
        <v>7</v>
      </c>
      <c r="FU6" s="489">
        <v>8</v>
      </c>
      <c r="FV6" s="489">
        <v>9</v>
      </c>
      <c r="FW6" s="489">
        <v>10</v>
      </c>
      <c r="FX6" s="489">
        <v>11</v>
      </c>
      <c r="FY6" s="489">
        <v>12</v>
      </c>
      <c r="FZ6" s="489">
        <v>13</v>
      </c>
      <c r="GA6" s="489">
        <v>14</v>
      </c>
      <c r="GB6" s="489">
        <v>15</v>
      </c>
      <c r="GC6" s="489">
        <v>16</v>
      </c>
      <c r="GD6" s="489" t="s">
        <v>15</v>
      </c>
      <c r="GE6" s="599" t="s">
        <v>1320</v>
      </c>
      <c r="GF6" s="41"/>
      <c r="GG6" s="672" t="s">
        <v>0</v>
      </c>
      <c r="GH6" s="672" t="s">
        <v>1</v>
      </c>
      <c r="GI6" s="672" t="s">
        <v>2</v>
      </c>
      <c r="GJ6" s="672" t="s">
        <v>1229</v>
      </c>
      <c r="GK6" s="672">
        <v>1</v>
      </c>
      <c r="GL6" s="672">
        <v>5</v>
      </c>
      <c r="GM6" s="672">
        <v>6</v>
      </c>
      <c r="GN6" s="672">
        <v>7</v>
      </c>
      <c r="GO6" s="672">
        <v>8</v>
      </c>
      <c r="GP6" s="672">
        <v>9</v>
      </c>
      <c r="GQ6" s="672">
        <v>10</v>
      </c>
      <c r="GR6" s="672">
        <v>11</v>
      </c>
      <c r="GS6" s="672">
        <v>12</v>
      </c>
      <c r="GT6" s="672">
        <v>13</v>
      </c>
      <c r="GU6" s="672">
        <v>14</v>
      </c>
      <c r="GV6" s="672">
        <v>15</v>
      </c>
      <c r="GW6" s="672">
        <v>16</v>
      </c>
      <c r="GX6" s="672" t="s">
        <v>15</v>
      </c>
      <c r="GY6" s="673" t="s">
        <v>66</v>
      </c>
      <c r="GZ6" s="41"/>
      <c r="HA6" s="41"/>
      <c r="HB6" s="466" t="s">
        <v>0</v>
      </c>
      <c r="HC6" s="466" t="s">
        <v>1</v>
      </c>
      <c r="HD6" s="466" t="s">
        <v>2</v>
      </c>
      <c r="HE6" s="466" t="s">
        <v>1229</v>
      </c>
      <c r="HF6" s="466">
        <v>1</v>
      </c>
      <c r="HG6" s="466">
        <v>2</v>
      </c>
      <c r="HH6" s="466">
        <v>3</v>
      </c>
      <c r="HI6" s="466">
        <v>4</v>
      </c>
      <c r="HJ6" s="466">
        <v>5</v>
      </c>
      <c r="HK6" s="466">
        <v>6</v>
      </c>
      <c r="HL6" s="466">
        <v>7</v>
      </c>
      <c r="HM6" s="466">
        <v>8</v>
      </c>
      <c r="HN6" s="466">
        <v>9</v>
      </c>
      <c r="HO6" s="466">
        <v>10</v>
      </c>
      <c r="HP6" s="466">
        <v>11</v>
      </c>
      <c r="HQ6" s="466">
        <v>12</v>
      </c>
      <c r="HR6" s="466">
        <v>13</v>
      </c>
      <c r="HS6" s="466">
        <v>14</v>
      </c>
      <c r="HT6" s="466">
        <v>15</v>
      </c>
      <c r="HU6" s="466">
        <v>16</v>
      </c>
      <c r="HV6" s="466" t="s">
        <v>15</v>
      </c>
      <c r="HW6" s="674" t="s">
        <v>66</v>
      </c>
      <c r="HX6" s="41"/>
      <c r="HY6" s="675" t="s">
        <v>0</v>
      </c>
      <c r="HZ6" s="675" t="s">
        <v>1</v>
      </c>
      <c r="IA6" s="675" t="s">
        <v>2</v>
      </c>
      <c r="IB6" s="675" t="s">
        <v>1321</v>
      </c>
      <c r="IC6" s="675">
        <v>0</v>
      </c>
      <c r="ID6" s="675">
        <v>1</v>
      </c>
      <c r="IE6" s="675">
        <v>2</v>
      </c>
      <c r="IF6" s="675">
        <v>3</v>
      </c>
      <c r="IG6" s="675">
        <v>5</v>
      </c>
      <c r="IH6" s="675">
        <v>6</v>
      </c>
      <c r="II6" s="675">
        <v>7</v>
      </c>
      <c r="IJ6" s="675">
        <v>8</v>
      </c>
      <c r="IK6" s="675">
        <v>9</v>
      </c>
      <c r="IL6" s="675">
        <v>10</v>
      </c>
      <c r="IM6" s="675">
        <v>11</v>
      </c>
      <c r="IN6" s="675">
        <v>12</v>
      </c>
      <c r="IO6" s="675">
        <v>13</v>
      </c>
      <c r="IP6" s="675">
        <v>14</v>
      </c>
      <c r="IQ6" s="675">
        <v>15</v>
      </c>
      <c r="IR6" s="675">
        <v>16</v>
      </c>
      <c r="IS6" s="675" t="s">
        <v>15</v>
      </c>
      <c r="IT6" s="676" t="s">
        <v>66</v>
      </c>
      <c r="IU6" s="677" t="s">
        <v>1322</v>
      </c>
    </row>
    <row r="7" spans="1:255">
      <c r="A7" s="4800" t="s">
        <v>3</v>
      </c>
      <c r="B7" s="4800" t="s">
        <v>4</v>
      </c>
      <c r="C7" s="4800" t="s">
        <v>115</v>
      </c>
      <c r="D7" s="4800" t="s">
        <v>1233</v>
      </c>
      <c r="E7" s="4606"/>
      <c r="F7" s="4606">
        <v>1</v>
      </c>
      <c r="G7" s="4606"/>
      <c r="H7" s="4606"/>
      <c r="I7" s="4606"/>
      <c r="J7" s="4606"/>
      <c r="K7" s="4606"/>
      <c r="L7" s="4606"/>
      <c r="M7" s="4606"/>
      <c r="N7" s="4606"/>
      <c r="O7" s="4606"/>
      <c r="P7" s="4606"/>
      <c r="Q7" s="4606"/>
      <c r="R7" s="4606"/>
      <c r="S7" s="2552"/>
      <c r="T7" s="2552"/>
      <c r="U7" s="2552">
        <v>1</v>
      </c>
      <c r="V7" s="2552"/>
      <c r="X7" s="37" t="s">
        <v>3</v>
      </c>
      <c r="Y7" s="37" t="s">
        <v>4</v>
      </c>
      <c r="Z7" s="37" t="s">
        <v>115</v>
      </c>
      <c r="AA7" s="37" t="s">
        <v>1233</v>
      </c>
      <c r="AB7" s="4803"/>
      <c r="AC7" s="4803">
        <v>1</v>
      </c>
      <c r="AD7" s="4803"/>
      <c r="AE7" s="4803"/>
      <c r="AF7" s="4803"/>
      <c r="AG7" s="4803"/>
      <c r="AH7" s="4803"/>
      <c r="AI7" s="4803"/>
      <c r="AJ7" s="4803"/>
      <c r="AK7" s="4803"/>
      <c r="AL7" s="4803"/>
      <c r="AM7" s="4803"/>
      <c r="AN7" s="4803"/>
      <c r="AO7" s="4803"/>
      <c r="AP7" s="1788"/>
      <c r="AQ7" s="1788">
        <v>1</v>
      </c>
      <c r="AT7" s="41" t="s">
        <v>3</v>
      </c>
      <c r="AU7" s="41" t="s">
        <v>4</v>
      </c>
      <c r="AV7" s="41" t="s">
        <v>115</v>
      </c>
      <c r="AW7" s="41" t="s">
        <v>1235</v>
      </c>
      <c r="AX7" s="690"/>
      <c r="AY7" s="690"/>
      <c r="AZ7" s="690"/>
      <c r="BA7" s="690"/>
      <c r="BB7" s="690"/>
      <c r="BC7" s="690"/>
      <c r="BD7" s="690"/>
      <c r="BE7" s="690"/>
      <c r="BF7" s="690"/>
      <c r="BG7" s="690">
        <v>1</v>
      </c>
      <c r="BH7" s="690"/>
      <c r="BI7" s="690"/>
      <c r="BJ7" s="690"/>
      <c r="BK7" s="690"/>
      <c r="BL7" s="690"/>
      <c r="BM7" s="41"/>
      <c r="BN7" s="41"/>
      <c r="BO7" s="41">
        <v>1</v>
      </c>
      <c r="BP7" s="41"/>
      <c r="BR7" s="41" t="s">
        <v>3</v>
      </c>
      <c r="BS7" s="41" t="s">
        <v>4</v>
      </c>
      <c r="BT7" s="41" t="s">
        <v>115</v>
      </c>
      <c r="BU7" s="41" t="s">
        <v>1236</v>
      </c>
      <c r="BV7" s="2001"/>
      <c r="BW7" s="2001"/>
      <c r="BX7" s="2001"/>
      <c r="BY7" s="2001"/>
      <c r="BZ7" s="2001"/>
      <c r="CA7" s="2001"/>
      <c r="CB7" s="2001"/>
      <c r="CC7" s="2001">
        <v>1</v>
      </c>
      <c r="CD7" s="2001">
        <v>0</v>
      </c>
      <c r="CE7" s="2001"/>
      <c r="CF7" s="2001">
        <v>0</v>
      </c>
      <c r="CG7" s="2001"/>
      <c r="CH7" s="2001"/>
      <c r="CI7" s="2001"/>
      <c r="CJ7" s="2001"/>
      <c r="CK7" s="105"/>
      <c r="CL7" s="105"/>
      <c r="CM7" s="105">
        <v>1</v>
      </c>
      <c r="CN7" s="41"/>
      <c r="CP7" s="105" t="s">
        <v>3</v>
      </c>
      <c r="CQ7" s="105" t="s">
        <v>4</v>
      </c>
      <c r="CR7" s="41" t="s">
        <v>115</v>
      </c>
      <c r="CS7" s="41" t="s">
        <v>1236</v>
      </c>
      <c r="CT7" s="1665"/>
      <c r="CU7" s="1665"/>
      <c r="CV7" s="1665"/>
      <c r="CW7" s="1665"/>
      <c r="CX7" s="1665"/>
      <c r="CY7" s="1665"/>
      <c r="CZ7" s="1665">
        <v>1</v>
      </c>
      <c r="DA7" s="1665">
        <v>0</v>
      </c>
      <c r="DB7" s="1665"/>
      <c r="DC7" s="1665">
        <v>0</v>
      </c>
      <c r="DD7" s="1665"/>
      <c r="DE7" s="1665"/>
      <c r="DF7" s="1665"/>
      <c r="DG7" s="1665"/>
      <c r="DH7" s="1665"/>
      <c r="DI7" s="41"/>
      <c r="DJ7" s="41"/>
      <c r="DK7" s="41">
        <v>1</v>
      </c>
      <c r="DL7" s="41"/>
      <c r="DN7" s="1375" t="s">
        <v>3</v>
      </c>
      <c r="DO7" s="1375" t="s">
        <v>4</v>
      </c>
      <c r="DP7" s="1375" t="s">
        <v>115</v>
      </c>
      <c r="DQ7" s="1376" t="s">
        <v>1239</v>
      </c>
      <c r="DR7" s="1377"/>
      <c r="DS7" s="1377"/>
      <c r="DT7" s="1377"/>
      <c r="DU7" s="1377"/>
      <c r="DV7" s="1377"/>
      <c r="DW7" s="1377"/>
      <c r="DX7" s="1378">
        <v>0</v>
      </c>
      <c r="DY7" s="1378">
        <v>0</v>
      </c>
      <c r="DZ7" s="1377"/>
      <c r="EA7" s="1377"/>
      <c r="EB7" s="1377"/>
      <c r="EC7" s="1378">
        <v>1</v>
      </c>
      <c r="ED7" s="1378">
        <v>1</v>
      </c>
      <c r="EE7" s="1379"/>
      <c r="EF7" s="1379"/>
      <c r="EG7" s="1380">
        <v>2</v>
      </c>
      <c r="EH7" s="41"/>
      <c r="EJ7" s="678" t="s">
        <v>3</v>
      </c>
      <c r="EK7" s="678" t="s">
        <v>4</v>
      </c>
      <c r="EL7" s="678" t="s">
        <v>115</v>
      </c>
      <c r="EM7" s="679" t="s">
        <v>1236</v>
      </c>
      <c r="EN7" s="680"/>
      <c r="EO7" s="680"/>
      <c r="EP7" s="680"/>
      <c r="EQ7" s="680"/>
      <c r="ER7" s="680"/>
      <c r="ES7" s="681">
        <v>1</v>
      </c>
      <c r="ET7" s="681">
        <v>0</v>
      </c>
      <c r="EU7" s="680"/>
      <c r="EV7" s="680"/>
      <c r="EW7" s="680"/>
      <c r="EX7" s="681">
        <v>0</v>
      </c>
      <c r="EY7" s="681">
        <v>0</v>
      </c>
      <c r="EZ7" s="680"/>
      <c r="FA7" s="680"/>
      <c r="FB7" s="680"/>
      <c r="FC7" s="682"/>
      <c r="FD7" s="682"/>
      <c r="FE7" s="683">
        <v>1</v>
      </c>
      <c r="FF7" s="105"/>
      <c r="FH7" s="511" t="s">
        <v>3</v>
      </c>
      <c r="FI7" s="511" t="s">
        <v>4</v>
      </c>
      <c r="FJ7" s="511" t="s">
        <v>115</v>
      </c>
      <c r="FK7" s="41"/>
      <c r="FL7" s="512" t="s">
        <v>1235</v>
      </c>
      <c r="FM7" s="684"/>
      <c r="FN7" s="684"/>
      <c r="FO7" s="684"/>
      <c r="FP7" s="684"/>
      <c r="FQ7" s="684"/>
      <c r="FR7" s="684"/>
      <c r="FS7" s="684"/>
      <c r="FT7" s="684"/>
      <c r="FU7" s="684"/>
      <c r="FV7" s="684"/>
      <c r="FW7" s="685">
        <v>0</v>
      </c>
      <c r="FX7" s="684"/>
      <c r="FY7" s="684"/>
      <c r="FZ7" s="685">
        <v>1</v>
      </c>
      <c r="GA7" s="684"/>
      <c r="GB7" s="686"/>
      <c r="GC7" s="686"/>
      <c r="GD7" s="687">
        <v>1</v>
      </c>
      <c r="GE7" s="635"/>
      <c r="GF7" s="41"/>
      <c r="GG7" s="688" t="s">
        <v>3</v>
      </c>
      <c r="GH7" s="688" t="s">
        <v>4</v>
      </c>
      <c r="GI7" s="688" t="s">
        <v>115</v>
      </c>
      <c r="GJ7" s="457" t="s">
        <v>1231</v>
      </c>
      <c r="GK7" s="689"/>
      <c r="GL7" s="689"/>
      <c r="GM7" s="689"/>
      <c r="GN7" s="458">
        <v>0</v>
      </c>
      <c r="GO7" s="458">
        <v>0</v>
      </c>
      <c r="GP7" s="458">
        <v>0</v>
      </c>
      <c r="GQ7" s="458">
        <v>0</v>
      </c>
      <c r="GR7" s="458">
        <v>0</v>
      </c>
      <c r="GS7" s="458">
        <v>1</v>
      </c>
      <c r="GT7" s="458">
        <v>1</v>
      </c>
      <c r="GU7" s="458">
        <v>0</v>
      </c>
      <c r="GV7" s="689"/>
      <c r="GW7" s="689"/>
      <c r="GX7" s="458">
        <v>2</v>
      </c>
      <c r="GY7" s="690"/>
      <c r="GZ7" s="41"/>
      <c r="HA7" s="41"/>
      <c r="HB7" s="105" t="s">
        <v>3</v>
      </c>
      <c r="HC7" s="105" t="s">
        <v>4</v>
      </c>
      <c r="HD7" s="41" t="s">
        <v>115</v>
      </c>
      <c r="HE7" s="41" t="s">
        <v>1233</v>
      </c>
      <c r="HF7" s="105"/>
      <c r="HG7" s="105"/>
      <c r="HH7" s="105">
        <v>1</v>
      </c>
      <c r="HI7" s="105"/>
      <c r="HJ7" s="105"/>
      <c r="HK7" s="105">
        <v>0</v>
      </c>
      <c r="HL7" s="105"/>
      <c r="HM7" s="105"/>
      <c r="HN7" s="105">
        <v>0</v>
      </c>
      <c r="HO7" s="105">
        <v>0</v>
      </c>
      <c r="HP7" s="105">
        <v>0</v>
      </c>
      <c r="HQ7" s="105">
        <v>0</v>
      </c>
      <c r="HR7" s="105">
        <v>0</v>
      </c>
      <c r="HS7" s="105"/>
      <c r="HT7" s="105"/>
      <c r="HU7" s="105"/>
      <c r="HV7" s="105">
        <v>1</v>
      </c>
      <c r="HW7" s="41"/>
      <c r="HX7" s="41"/>
      <c r="HY7" s="691" t="s">
        <v>3</v>
      </c>
      <c r="HZ7" s="691" t="s">
        <v>4</v>
      </c>
      <c r="IA7" s="691" t="s">
        <v>115</v>
      </c>
      <c r="IB7" s="691" t="s">
        <v>1235</v>
      </c>
      <c r="IC7" s="691">
        <v>0</v>
      </c>
      <c r="ID7" s="691">
        <v>0</v>
      </c>
      <c r="IE7" s="691">
        <v>0</v>
      </c>
      <c r="IF7" s="691">
        <v>0</v>
      </c>
      <c r="IG7" s="691">
        <v>0</v>
      </c>
      <c r="IH7" s="691">
        <v>0</v>
      </c>
      <c r="II7" s="691">
        <v>0</v>
      </c>
      <c r="IJ7" s="691">
        <v>0</v>
      </c>
      <c r="IK7" s="691">
        <v>1</v>
      </c>
      <c r="IL7" s="691">
        <v>0</v>
      </c>
      <c r="IM7" s="691">
        <v>0</v>
      </c>
      <c r="IN7" s="691">
        <v>0</v>
      </c>
      <c r="IO7" s="691">
        <v>0</v>
      </c>
      <c r="IP7" s="691">
        <v>0</v>
      </c>
      <c r="IQ7" s="691">
        <v>0</v>
      </c>
      <c r="IR7" s="691">
        <v>0</v>
      </c>
      <c r="IS7" s="691">
        <v>1</v>
      </c>
      <c r="IT7" s="691"/>
      <c r="IU7" s="692"/>
    </row>
    <row r="8" spans="1:255">
      <c r="D8" s="4800" t="s">
        <v>15</v>
      </c>
      <c r="E8" s="4606"/>
      <c r="F8" s="4606">
        <v>1</v>
      </c>
      <c r="G8" s="4606"/>
      <c r="H8" s="4606"/>
      <c r="I8" s="4606"/>
      <c r="J8" s="4606"/>
      <c r="K8" s="4606"/>
      <c r="L8" s="4606"/>
      <c r="M8" s="4606"/>
      <c r="N8" s="4606"/>
      <c r="O8" s="4606"/>
      <c r="P8" s="4606"/>
      <c r="Q8" s="4606"/>
      <c r="R8" s="4606"/>
      <c r="S8" s="2552"/>
      <c r="T8" s="2552"/>
      <c r="U8" s="2552">
        <v>1</v>
      </c>
      <c r="V8" s="1977">
        <v>0</v>
      </c>
      <c r="AA8" s="1793" t="s">
        <v>15</v>
      </c>
      <c r="AB8" s="4804"/>
      <c r="AC8" s="4804">
        <v>1</v>
      </c>
      <c r="AD8" s="4804"/>
      <c r="AE8" s="4804"/>
      <c r="AF8" s="4804"/>
      <c r="AG8" s="4804"/>
      <c r="AH8" s="4804"/>
      <c r="AI8" s="4804"/>
      <c r="AJ8" s="4804"/>
      <c r="AK8" s="4804"/>
      <c r="AL8" s="4804"/>
      <c r="AM8" s="4804"/>
      <c r="AN8" s="4804"/>
      <c r="AO8" s="4804"/>
      <c r="AP8" s="4702"/>
      <c r="AQ8" s="4702">
        <v>1</v>
      </c>
      <c r="AR8" s="4703">
        <v>0</v>
      </c>
      <c r="AT8" s="41"/>
      <c r="AU8" s="41"/>
      <c r="AV8" s="41"/>
      <c r="AW8" s="461" t="s">
        <v>15</v>
      </c>
      <c r="AX8" s="2489"/>
      <c r="AY8" s="2489"/>
      <c r="AZ8" s="2489"/>
      <c r="BA8" s="2489"/>
      <c r="BB8" s="2489"/>
      <c r="BC8" s="2489"/>
      <c r="BD8" s="2489"/>
      <c r="BE8" s="2489"/>
      <c r="BF8" s="2489"/>
      <c r="BG8" s="2489">
        <v>1</v>
      </c>
      <c r="BH8" s="2489"/>
      <c r="BI8" s="2489"/>
      <c r="BJ8" s="2489"/>
      <c r="BK8" s="2489"/>
      <c r="BL8" s="2489"/>
      <c r="BM8" s="461"/>
      <c r="BN8" s="461"/>
      <c r="BO8" s="461">
        <v>1</v>
      </c>
      <c r="BP8" s="635">
        <f>+BO7/BO8</f>
        <v>1</v>
      </c>
      <c r="BR8" s="41"/>
      <c r="BS8" s="41"/>
      <c r="BT8" s="41"/>
      <c r="BU8" s="41" t="s">
        <v>1344</v>
      </c>
      <c r="BV8" s="2001"/>
      <c r="BW8" s="2001"/>
      <c r="BX8" s="2001"/>
      <c r="BY8" s="2001"/>
      <c r="BZ8" s="2001"/>
      <c r="CA8" s="2001"/>
      <c r="CB8" s="2001"/>
      <c r="CC8" s="2001">
        <v>0</v>
      </c>
      <c r="CD8" s="2001">
        <v>1</v>
      </c>
      <c r="CE8" s="2001"/>
      <c r="CF8" s="2001">
        <v>2</v>
      </c>
      <c r="CG8" s="2001"/>
      <c r="CH8" s="2001"/>
      <c r="CI8" s="2001"/>
      <c r="CJ8" s="2001"/>
      <c r="CK8" s="105"/>
      <c r="CL8" s="105"/>
      <c r="CM8" s="105">
        <v>3</v>
      </c>
      <c r="CN8" s="41"/>
      <c r="CR8" s="41"/>
      <c r="CS8" s="41" t="s">
        <v>1344</v>
      </c>
      <c r="CT8" s="1665"/>
      <c r="CU8" s="1665"/>
      <c r="CV8" s="1665"/>
      <c r="CW8" s="1665"/>
      <c r="CX8" s="1665"/>
      <c r="CY8" s="1665"/>
      <c r="CZ8" s="1665">
        <v>1</v>
      </c>
      <c r="DA8" s="1665">
        <v>2</v>
      </c>
      <c r="DB8" s="1665"/>
      <c r="DC8" s="1665">
        <v>1</v>
      </c>
      <c r="DD8" s="1665"/>
      <c r="DE8" s="1665"/>
      <c r="DF8" s="1665"/>
      <c r="DG8" s="1665"/>
      <c r="DH8" s="1665"/>
      <c r="DI8" s="41"/>
      <c r="DJ8" s="41"/>
      <c r="DK8" s="41">
        <v>4</v>
      </c>
      <c r="DL8" s="41"/>
      <c r="DN8" s="1375"/>
      <c r="DO8" s="1375"/>
      <c r="DP8" s="1375"/>
      <c r="DQ8" s="1376" t="s">
        <v>1344</v>
      </c>
      <c r="DR8" s="1377"/>
      <c r="DS8" s="1377"/>
      <c r="DT8" s="1377"/>
      <c r="DU8" s="1377"/>
      <c r="DV8" s="1377"/>
      <c r="DW8" s="1377"/>
      <c r="DX8" s="1378">
        <v>2</v>
      </c>
      <c r="DY8" s="1378">
        <v>3</v>
      </c>
      <c r="DZ8" s="1377"/>
      <c r="EA8" s="1377"/>
      <c r="EB8" s="1377"/>
      <c r="EC8" s="1378">
        <v>0</v>
      </c>
      <c r="ED8" s="1378">
        <v>0</v>
      </c>
      <c r="EE8" s="1379"/>
      <c r="EF8" s="1379"/>
      <c r="EG8" s="1380">
        <v>5</v>
      </c>
      <c r="EH8" s="41"/>
      <c r="EJ8" s="678"/>
      <c r="EK8" s="678"/>
      <c r="EL8" s="678"/>
      <c r="EM8" s="679" t="s">
        <v>1240</v>
      </c>
      <c r="EN8" s="680"/>
      <c r="EO8" s="680"/>
      <c r="EP8" s="680"/>
      <c r="EQ8" s="680"/>
      <c r="ER8" s="680"/>
      <c r="ES8" s="681">
        <v>0</v>
      </c>
      <c r="ET8" s="681">
        <v>0</v>
      </c>
      <c r="EU8" s="680"/>
      <c r="EV8" s="680"/>
      <c r="EW8" s="680"/>
      <c r="EX8" s="681">
        <v>0</v>
      </c>
      <c r="EY8" s="681">
        <v>1</v>
      </c>
      <c r="EZ8" s="680"/>
      <c r="FA8" s="680"/>
      <c r="FB8" s="680"/>
      <c r="FC8" s="682"/>
      <c r="FD8" s="682"/>
      <c r="FE8" s="683">
        <v>1</v>
      </c>
      <c r="FF8" s="105"/>
      <c r="FH8" s="511"/>
      <c r="FI8" s="511"/>
      <c r="FJ8" s="511"/>
      <c r="FK8" s="511"/>
      <c r="FL8" s="512" t="s">
        <v>1344</v>
      </c>
      <c r="FM8" s="684"/>
      <c r="FN8" s="684"/>
      <c r="FO8" s="684"/>
      <c r="FP8" s="684"/>
      <c r="FQ8" s="684"/>
      <c r="FR8" s="684"/>
      <c r="FS8" s="684"/>
      <c r="FT8" s="684"/>
      <c r="FU8" s="684"/>
      <c r="FV8" s="684"/>
      <c r="FW8" s="685">
        <v>2</v>
      </c>
      <c r="FX8" s="684"/>
      <c r="FY8" s="684"/>
      <c r="FZ8" s="685">
        <v>0</v>
      </c>
      <c r="GA8" s="684"/>
      <c r="GB8" s="686"/>
      <c r="GC8" s="686"/>
      <c r="GD8" s="687">
        <v>2</v>
      </c>
      <c r="GE8" s="635"/>
      <c r="GF8" s="41"/>
      <c r="GG8" s="688"/>
      <c r="GH8" s="688"/>
      <c r="GI8" s="688"/>
      <c r="GJ8" s="457" t="s">
        <v>1235</v>
      </c>
      <c r="GK8" s="689"/>
      <c r="GL8" s="689"/>
      <c r="GM8" s="689"/>
      <c r="GN8" s="458">
        <v>0</v>
      </c>
      <c r="GO8" s="458">
        <v>1</v>
      </c>
      <c r="GP8" s="458">
        <v>0</v>
      </c>
      <c r="GQ8" s="458">
        <v>0</v>
      </c>
      <c r="GR8" s="458">
        <v>0</v>
      </c>
      <c r="GS8" s="458">
        <v>0</v>
      </c>
      <c r="GT8" s="458">
        <v>0</v>
      </c>
      <c r="GU8" s="458">
        <v>0</v>
      </c>
      <c r="GV8" s="689"/>
      <c r="GW8" s="689"/>
      <c r="GX8" s="458">
        <v>1</v>
      </c>
      <c r="GY8" s="690"/>
      <c r="GZ8" s="41"/>
      <c r="HA8" s="41"/>
      <c r="HB8" s="105"/>
      <c r="HC8" s="105"/>
      <c r="HD8" s="41"/>
      <c r="HE8" s="41" t="s">
        <v>1235</v>
      </c>
      <c r="HF8" s="105"/>
      <c r="HG8" s="105"/>
      <c r="HH8" s="105">
        <v>0</v>
      </c>
      <c r="HI8" s="105"/>
      <c r="HJ8" s="105"/>
      <c r="HK8" s="105">
        <v>0</v>
      </c>
      <c r="HL8" s="105"/>
      <c r="HM8" s="105"/>
      <c r="HN8" s="105">
        <v>1</v>
      </c>
      <c r="HO8" s="105">
        <v>0</v>
      </c>
      <c r="HP8" s="105">
        <v>0</v>
      </c>
      <c r="HQ8" s="105">
        <v>0</v>
      </c>
      <c r="HR8" s="105">
        <v>0</v>
      </c>
      <c r="HS8" s="105"/>
      <c r="HT8" s="105"/>
      <c r="HU8" s="105"/>
      <c r="HV8" s="105">
        <v>1</v>
      </c>
      <c r="HW8" s="41"/>
      <c r="HX8" s="41"/>
      <c r="HY8" s="691"/>
      <c r="HZ8" s="691"/>
      <c r="IA8" s="691"/>
      <c r="IB8" s="691" t="s">
        <v>1239</v>
      </c>
      <c r="IC8" s="691">
        <v>0</v>
      </c>
      <c r="ID8" s="691">
        <v>0</v>
      </c>
      <c r="IE8" s="691">
        <v>0</v>
      </c>
      <c r="IF8" s="691">
        <v>0</v>
      </c>
      <c r="IG8" s="691">
        <v>0</v>
      </c>
      <c r="IH8" s="691">
        <v>0</v>
      </c>
      <c r="II8" s="691">
        <v>0</v>
      </c>
      <c r="IJ8" s="691">
        <v>0</v>
      </c>
      <c r="IK8" s="691">
        <v>0</v>
      </c>
      <c r="IL8" s="691">
        <v>0</v>
      </c>
      <c r="IM8" s="691">
        <v>0</v>
      </c>
      <c r="IN8" s="691">
        <v>0</v>
      </c>
      <c r="IO8" s="691">
        <v>1</v>
      </c>
      <c r="IP8" s="691">
        <v>0</v>
      </c>
      <c r="IQ8" s="691">
        <v>0</v>
      </c>
      <c r="IR8" s="691">
        <v>0</v>
      </c>
      <c r="IS8" s="691">
        <v>1</v>
      </c>
      <c r="IT8" s="691"/>
      <c r="IU8" s="692"/>
    </row>
    <row r="9" spans="1:255">
      <c r="C9" s="4800" t="s">
        <v>116</v>
      </c>
      <c r="D9" s="4800" t="s">
        <v>1239</v>
      </c>
      <c r="E9" s="4606"/>
      <c r="F9" s="4606"/>
      <c r="G9" s="4606"/>
      <c r="H9" s="4606"/>
      <c r="I9" s="4606"/>
      <c r="J9" s="4606"/>
      <c r="K9" s="4606"/>
      <c r="L9" s="4606"/>
      <c r="M9" s="4606"/>
      <c r="N9" s="4606"/>
      <c r="O9" s="4606"/>
      <c r="P9" s="4606"/>
      <c r="Q9" s="4606"/>
      <c r="R9" s="4606">
        <v>1</v>
      </c>
      <c r="S9" s="2552"/>
      <c r="T9" s="2552"/>
      <c r="U9" s="2552">
        <v>1</v>
      </c>
      <c r="V9" s="2552"/>
      <c r="Z9" s="37" t="s">
        <v>116</v>
      </c>
      <c r="AA9" s="37" t="s">
        <v>1239</v>
      </c>
      <c r="AB9" s="4803"/>
      <c r="AC9" s="4803"/>
      <c r="AD9" s="4803"/>
      <c r="AE9" s="4803"/>
      <c r="AF9" s="4803"/>
      <c r="AG9" s="4803"/>
      <c r="AH9" s="4803"/>
      <c r="AI9" s="4803"/>
      <c r="AJ9" s="4803"/>
      <c r="AK9" s="4803"/>
      <c r="AL9" s="4803"/>
      <c r="AM9" s="4803"/>
      <c r="AN9" s="4803">
        <v>1</v>
      </c>
      <c r="AO9" s="4803"/>
      <c r="AP9" s="1788"/>
      <c r="AQ9" s="1788">
        <v>1</v>
      </c>
      <c r="AT9" s="41"/>
      <c r="AU9" s="41"/>
      <c r="AV9" s="41" t="s">
        <v>116</v>
      </c>
      <c r="AW9" s="41" t="s">
        <v>1239</v>
      </c>
      <c r="AX9" s="690"/>
      <c r="AY9" s="690"/>
      <c r="AZ9" s="690"/>
      <c r="BA9" s="690"/>
      <c r="BB9" s="690"/>
      <c r="BC9" s="690"/>
      <c r="BD9" s="690"/>
      <c r="BE9" s="690"/>
      <c r="BF9" s="690"/>
      <c r="BG9" s="690"/>
      <c r="BH9" s="690"/>
      <c r="BI9" s="690"/>
      <c r="BJ9" s="690"/>
      <c r="BK9" s="690"/>
      <c r="BL9" s="690">
        <v>1</v>
      </c>
      <c r="BM9" s="41"/>
      <c r="BN9" s="41">
        <v>1</v>
      </c>
      <c r="BO9" s="41">
        <v>2</v>
      </c>
      <c r="BP9" s="41"/>
      <c r="BR9" s="41"/>
      <c r="BS9" s="41"/>
      <c r="BT9" s="41"/>
      <c r="BU9" s="461" t="s">
        <v>15</v>
      </c>
      <c r="BV9" s="2002"/>
      <c r="BW9" s="2002"/>
      <c r="BX9" s="2002"/>
      <c r="BY9" s="2002"/>
      <c r="BZ9" s="2002"/>
      <c r="CA9" s="2002"/>
      <c r="CB9" s="2002"/>
      <c r="CC9" s="2002">
        <v>1</v>
      </c>
      <c r="CD9" s="2002">
        <v>1</v>
      </c>
      <c r="CE9" s="2002"/>
      <c r="CF9" s="2002">
        <v>2</v>
      </c>
      <c r="CG9" s="2002"/>
      <c r="CH9" s="2002"/>
      <c r="CI9" s="2002"/>
      <c r="CJ9" s="2002"/>
      <c r="CK9" s="96"/>
      <c r="CL9" s="96"/>
      <c r="CM9" s="96">
        <v>4</v>
      </c>
      <c r="CN9" s="635">
        <f>+CM8/CM9</f>
        <v>0.75</v>
      </c>
      <c r="CR9" s="41"/>
      <c r="CS9" s="461" t="s">
        <v>15</v>
      </c>
      <c r="CT9" s="1666"/>
      <c r="CU9" s="1666"/>
      <c r="CV9" s="1666"/>
      <c r="CW9" s="1666"/>
      <c r="CX9" s="1666"/>
      <c r="CY9" s="1666"/>
      <c r="CZ9" s="1666">
        <v>2</v>
      </c>
      <c r="DA9" s="1666">
        <v>2</v>
      </c>
      <c r="DB9" s="1666"/>
      <c r="DC9" s="1666">
        <v>1</v>
      </c>
      <c r="DD9" s="1666"/>
      <c r="DE9" s="1666"/>
      <c r="DF9" s="1666"/>
      <c r="DG9" s="1666"/>
      <c r="DH9" s="1666"/>
      <c r="DI9" s="461"/>
      <c r="DJ9" s="461"/>
      <c r="DK9" s="461">
        <v>5</v>
      </c>
      <c r="DL9" s="635">
        <f>+DK8/DK9</f>
        <v>0.8</v>
      </c>
      <c r="DN9" s="1375"/>
      <c r="DO9" s="1375"/>
      <c r="DP9" s="1375"/>
      <c r="DQ9" s="1372" t="s">
        <v>15</v>
      </c>
      <c r="DR9" s="1381"/>
      <c r="DS9" s="1381"/>
      <c r="DT9" s="1381"/>
      <c r="DU9" s="1381"/>
      <c r="DV9" s="1381"/>
      <c r="DW9" s="1381"/>
      <c r="DX9" s="1382">
        <v>2</v>
      </c>
      <c r="DY9" s="1382">
        <v>3</v>
      </c>
      <c r="DZ9" s="1381"/>
      <c r="EA9" s="1381"/>
      <c r="EB9" s="1381"/>
      <c r="EC9" s="1382">
        <v>1</v>
      </c>
      <c r="ED9" s="1382">
        <v>1</v>
      </c>
      <c r="EE9" s="1383"/>
      <c r="EF9" s="1383"/>
      <c r="EG9" s="1384">
        <v>7</v>
      </c>
      <c r="EH9" s="1325">
        <f>+EG8/EG9</f>
        <v>0.7142857142857143</v>
      </c>
      <c r="EJ9" s="678"/>
      <c r="EK9" s="678"/>
      <c r="EL9" s="678"/>
      <c r="EM9" s="679" t="s">
        <v>1344</v>
      </c>
      <c r="EN9" s="680"/>
      <c r="EO9" s="680"/>
      <c r="EP9" s="680"/>
      <c r="EQ9" s="680"/>
      <c r="ER9" s="680"/>
      <c r="ES9" s="681">
        <v>0</v>
      </c>
      <c r="ET9" s="681">
        <v>1</v>
      </c>
      <c r="EU9" s="680"/>
      <c r="EV9" s="680"/>
      <c r="EW9" s="680"/>
      <c r="EX9" s="681">
        <v>1</v>
      </c>
      <c r="EY9" s="681">
        <v>1</v>
      </c>
      <c r="EZ9" s="680"/>
      <c r="FA9" s="680"/>
      <c r="FB9" s="680"/>
      <c r="FC9" s="682"/>
      <c r="FD9" s="682"/>
      <c r="FE9" s="683">
        <v>3</v>
      </c>
      <c r="FF9" s="105"/>
      <c r="FH9" s="511"/>
      <c r="FI9" s="511"/>
      <c r="FJ9" s="511"/>
      <c r="FK9" s="41"/>
      <c r="FL9" s="532" t="s">
        <v>15</v>
      </c>
      <c r="FM9" s="693"/>
      <c r="FN9" s="693"/>
      <c r="FO9" s="693"/>
      <c r="FP9" s="693"/>
      <c r="FQ9" s="693"/>
      <c r="FR9" s="693"/>
      <c r="FS9" s="693"/>
      <c r="FT9" s="693"/>
      <c r="FU9" s="693"/>
      <c r="FV9" s="693"/>
      <c r="FW9" s="694">
        <v>2</v>
      </c>
      <c r="FX9" s="693"/>
      <c r="FY9" s="693"/>
      <c r="FZ9" s="694">
        <v>1</v>
      </c>
      <c r="GA9" s="693"/>
      <c r="GB9" s="695"/>
      <c r="GC9" s="695"/>
      <c r="GD9" s="696">
        <v>3</v>
      </c>
      <c r="GE9" s="635">
        <f>+(GD8+GD7)/GD9</f>
        <v>1</v>
      </c>
      <c r="GF9" s="41"/>
      <c r="GG9" s="688"/>
      <c r="GH9" s="688"/>
      <c r="GI9" s="688"/>
      <c r="GJ9" s="457" t="s">
        <v>1236</v>
      </c>
      <c r="GK9" s="689"/>
      <c r="GL9" s="689"/>
      <c r="GM9" s="689"/>
      <c r="GN9" s="458">
        <v>1</v>
      </c>
      <c r="GO9" s="458">
        <v>1</v>
      </c>
      <c r="GP9" s="458">
        <v>0</v>
      </c>
      <c r="GQ9" s="458">
        <v>1</v>
      </c>
      <c r="GR9" s="458">
        <v>1</v>
      </c>
      <c r="GS9" s="458">
        <v>0</v>
      </c>
      <c r="GT9" s="458">
        <v>0</v>
      </c>
      <c r="GU9" s="458">
        <v>0</v>
      </c>
      <c r="GV9" s="689"/>
      <c r="GW9" s="689"/>
      <c r="GX9" s="458">
        <v>4</v>
      </c>
      <c r="GY9" s="690"/>
      <c r="GZ9" s="41"/>
      <c r="HA9" s="41"/>
      <c r="HB9" s="105"/>
      <c r="HC9" s="105"/>
      <c r="HD9" s="41"/>
      <c r="HE9" s="41" t="s">
        <v>1236</v>
      </c>
      <c r="HF9" s="105"/>
      <c r="HG9" s="105"/>
      <c r="HH9" s="105">
        <v>0</v>
      </c>
      <c r="HI9" s="105"/>
      <c r="HJ9" s="105"/>
      <c r="HK9" s="105">
        <v>1</v>
      </c>
      <c r="HL9" s="105"/>
      <c r="HM9" s="105"/>
      <c r="HN9" s="105">
        <v>0</v>
      </c>
      <c r="HO9" s="105">
        <v>0</v>
      </c>
      <c r="HP9" s="105">
        <v>0</v>
      </c>
      <c r="HQ9" s="105">
        <v>3</v>
      </c>
      <c r="HR9" s="105">
        <v>0</v>
      </c>
      <c r="HS9" s="105"/>
      <c r="HT9" s="105"/>
      <c r="HU9" s="105"/>
      <c r="HV9" s="105">
        <v>4</v>
      </c>
      <c r="HW9" s="41"/>
      <c r="HX9" s="41"/>
      <c r="HY9" s="691"/>
      <c r="HZ9" s="691"/>
      <c r="IA9" s="691"/>
      <c r="IB9" s="691" t="s">
        <v>1344</v>
      </c>
      <c r="IC9" s="691">
        <v>0</v>
      </c>
      <c r="ID9" s="691">
        <v>0</v>
      </c>
      <c r="IE9" s="691">
        <v>0</v>
      </c>
      <c r="IF9" s="691">
        <v>0</v>
      </c>
      <c r="IG9" s="691">
        <v>0</v>
      </c>
      <c r="IH9" s="691">
        <v>0</v>
      </c>
      <c r="II9" s="691">
        <v>0</v>
      </c>
      <c r="IJ9" s="691">
        <v>0</v>
      </c>
      <c r="IK9" s="691">
        <v>0</v>
      </c>
      <c r="IL9" s="691">
        <v>0</v>
      </c>
      <c r="IM9" s="691">
        <v>1</v>
      </c>
      <c r="IN9" s="691">
        <v>3</v>
      </c>
      <c r="IO9" s="691">
        <v>0</v>
      </c>
      <c r="IP9" s="691">
        <v>0</v>
      </c>
      <c r="IQ9" s="691">
        <v>0</v>
      </c>
      <c r="IR9" s="691">
        <v>0</v>
      </c>
      <c r="IS9" s="691">
        <v>4</v>
      </c>
      <c r="IT9" s="691"/>
      <c r="IU9" s="692"/>
    </row>
    <row r="10" spans="1:255">
      <c r="D10" s="4800" t="s">
        <v>15</v>
      </c>
      <c r="E10" s="4606"/>
      <c r="F10" s="4606"/>
      <c r="G10" s="4606"/>
      <c r="H10" s="4606"/>
      <c r="I10" s="4606"/>
      <c r="J10" s="4606"/>
      <c r="K10" s="4606"/>
      <c r="L10" s="4606"/>
      <c r="M10" s="4606"/>
      <c r="N10" s="4606"/>
      <c r="O10" s="4606"/>
      <c r="P10" s="4606"/>
      <c r="Q10" s="4606"/>
      <c r="R10" s="4606">
        <v>1</v>
      </c>
      <c r="S10" s="2552"/>
      <c r="T10" s="2552"/>
      <c r="U10" s="2552">
        <v>1</v>
      </c>
      <c r="V10" s="1977">
        <v>0</v>
      </c>
      <c r="AA10" s="1793" t="s">
        <v>15</v>
      </c>
      <c r="AB10" s="4804"/>
      <c r="AC10" s="4804"/>
      <c r="AD10" s="4804"/>
      <c r="AE10" s="4804"/>
      <c r="AF10" s="4804"/>
      <c r="AG10" s="4804"/>
      <c r="AH10" s="4804"/>
      <c r="AI10" s="4804"/>
      <c r="AJ10" s="4804"/>
      <c r="AK10" s="4804"/>
      <c r="AL10" s="4804"/>
      <c r="AM10" s="4804"/>
      <c r="AN10" s="4804">
        <v>1</v>
      </c>
      <c r="AO10" s="4804"/>
      <c r="AP10" s="4702"/>
      <c r="AQ10" s="4702">
        <v>1</v>
      </c>
      <c r="AR10" s="4703">
        <v>0</v>
      </c>
      <c r="AT10" s="41"/>
      <c r="AU10" s="41"/>
      <c r="AV10" s="41"/>
      <c r="AW10" s="461" t="s">
        <v>15</v>
      </c>
      <c r="AX10" s="2489"/>
      <c r="AY10" s="2489"/>
      <c r="AZ10" s="2489"/>
      <c r="BA10" s="2489"/>
      <c r="BB10" s="2489"/>
      <c r="BC10" s="2489"/>
      <c r="BD10" s="2489"/>
      <c r="BE10" s="2489"/>
      <c r="BF10" s="2489"/>
      <c r="BG10" s="2489"/>
      <c r="BH10" s="2489"/>
      <c r="BI10" s="2489"/>
      <c r="BJ10" s="2489"/>
      <c r="BK10" s="2489"/>
      <c r="BL10" s="2489">
        <v>1</v>
      </c>
      <c r="BM10" s="461"/>
      <c r="BN10" s="461">
        <v>1</v>
      </c>
      <c r="BO10" s="461">
        <v>2</v>
      </c>
      <c r="BP10" s="635">
        <v>0</v>
      </c>
      <c r="BR10" s="41"/>
      <c r="BS10" s="41"/>
      <c r="BT10" s="41" t="s">
        <v>116</v>
      </c>
      <c r="BU10" s="41" t="s">
        <v>1239</v>
      </c>
      <c r="BV10" s="2001"/>
      <c r="BW10" s="2001"/>
      <c r="BX10" s="2001"/>
      <c r="BY10" s="2001"/>
      <c r="BZ10" s="2001"/>
      <c r="CA10" s="2001"/>
      <c r="CB10" s="2001"/>
      <c r="CC10" s="2001"/>
      <c r="CD10" s="2001"/>
      <c r="CE10" s="2001"/>
      <c r="CF10" s="2001"/>
      <c r="CG10" s="2001"/>
      <c r="CH10" s="2001"/>
      <c r="CI10" s="2001"/>
      <c r="CJ10" s="2001">
        <v>1</v>
      </c>
      <c r="CK10" s="105"/>
      <c r="CL10" s="105"/>
      <c r="CM10" s="105">
        <v>1</v>
      </c>
      <c r="CN10" s="41"/>
      <c r="CR10" s="41" t="s">
        <v>544</v>
      </c>
      <c r="CS10" s="41" t="s">
        <v>1236</v>
      </c>
      <c r="CT10" s="1665"/>
      <c r="CU10" s="1665"/>
      <c r="CV10" s="1665"/>
      <c r="CW10" s="1665"/>
      <c r="CX10" s="1665"/>
      <c r="CY10" s="1665"/>
      <c r="CZ10" s="1665">
        <v>1</v>
      </c>
      <c r="DA10" s="1665">
        <v>0</v>
      </c>
      <c r="DB10" s="1665"/>
      <c r="DC10" s="1665">
        <v>0</v>
      </c>
      <c r="DD10" s="1665"/>
      <c r="DE10" s="1665"/>
      <c r="DF10" s="1665"/>
      <c r="DG10" s="1665"/>
      <c r="DH10" s="1665"/>
      <c r="DI10" s="41"/>
      <c r="DJ10" s="41"/>
      <c r="DK10" s="41">
        <v>1</v>
      </c>
      <c r="DL10" s="41"/>
      <c r="DN10" s="1375"/>
      <c r="DO10" s="1375"/>
      <c r="DP10" s="1375" t="s">
        <v>544</v>
      </c>
      <c r="DQ10" s="1376" t="s">
        <v>1239</v>
      </c>
      <c r="DR10" s="1377"/>
      <c r="DS10" s="1377"/>
      <c r="DT10" s="1377"/>
      <c r="DU10" s="1377"/>
      <c r="DV10" s="1377"/>
      <c r="DW10" s="1377"/>
      <c r="DX10" s="1378">
        <v>0</v>
      </c>
      <c r="DY10" s="1378">
        <v>0</v>
      </c>
      <c r="DZ10" s="1377"/>
      <c r="EA10" s="1377"/>
      <c r="EB10" s="1377"/>
      <c r="EC10" s="1378">
        <v>1</v>
      </c>
      <c r="ED10" s="1378">
        <v>1</v>
      </c>
      <c r="EE10" s="1379"/>
      <c r="EF10" s="1379"/>
      <c r="EG10" s="1380">
        <v>2</v>
      </c>
      <c r="EH10" s="41"/>
      <c r="EJ10" s="678"/>
      <c r="EK10" s="678"/>
      <c r="EL10" s="678"/>
      <c r="EM10" s="697" t="s">
        <v>15</v>
      </c>
      <c r="EN10" s="698"/>
      <c r="EO10" s="698"/>
      <c r="EP10" s="698"/>
      <c r="EQ10" s="698"/>
      <c r="ER10" s="698"/>
      <c r="ES10" s="699">
        <v>1</v>
      </c>
      <c r="ET10" s="699">
        <v>1</v>
      </c>
      <c r="EU10" s="698"/>
      <c r="EV10" s="698"/>
      <c r="EW10" s="698"/>
      <c r="EX10" s="699">
        <v>1</v>
      </c>
      <c r="EY10" s="699">
        <v>2</v>
      </c>
      <c r="EZ10" s="698"/>
      <c r="FA10" s="698"/>
      <c r="FB10" s="698"/>
      <c r="FC10" s="700"/>
      <c r="FD10" s="700"/>
      <c r="FE10" s="701">
        <v>5</v>
      </c>
      <c r="FF10" s="635">
        <f>+(FE8+FE9)/FE10</f>
        <v>0.8</v>
      </c>
      <c r="FH10" s="511"/>
      <c r="FI10" s="511"/>
      <c r="FJ10" s="511" t="s">
        <v>116</v>
      </c>
      <c r="FK10" s="511" t="s">
        <v>1229</v>
      </c>
      <c r="FL10" s="512" t="s">
        <v>1231</v>
      </c>
      <c r="FM10" s="685">
        <v>1</v>
      </c>
      <c r="FN10" s="684"/>
      <c r="FO10" s="684"/>
      <c r="FP10" s="685">
        <v>1</v>
      </c>
      <c r="FQ10" s="684"/>
      <c r="FR10" s="684"/>
      <c r="FS10" s="684"/>
      <c r="FT10" s="684"/>
      <c r="FU10" s="684"/>
      <c r="FV10" s="684"/>
      <c r="FW10" s="684"/>
      <c r="FX10" s="684"/>
      <c r="FY10" s="684"/>
      <c r="FZ10" s="684"/>
      <c r="GA10" s="685">
        <v>0</v>
      </c>
      <c r="GB10" s="686"/>
      <c r="GC10" s="686"/>
      <c r="GD10" s="687">
        <v>2</v>
      </c>
      <c r="GE10" s="635"/>
      <c r="GF10" s="41"/>
      <c r="GG10" s="688"/>
      <c r="GH10" s="688"/>
      <c r="GI10" s="688"/>
      <c r="GJ10" s="457" t="s">
        <v>1239</v>
      </c>
      <c r="GK10" s="689"/>
      <c r="GL10" s="689"/>
      <c r="GM10" s="689"/>
      <c r="GN10" s="458">
        <v>0</v>
      </c>
      <c r="GO10" s="458">
        <v>0</v>
      </c>
      <c r="GP10" s="458">
        <v>0</v>
      </c>
      <c r="GQ10" s="458">
        <v>0</v>
      </c>
      <c r="GR10" s="458">
        <v>0</v>
      </c>
      <c r="GS10" s="458">
        <v>0</v>
      </c>
      <c r="GT10" s="458">
        <v>0</v>
      </c>
      <c r="GU10" s="458">
        <v>2</v>
      </c>
      <c r="GV10" s="689"/>
      <c r="GW10" s="689"/>
      <c r="GX10" s="458">
        <v>2</v>
      </c>
      <c r="GY10" s="690"/>
      <c r="GZ10" s="41"/>
      <c r="HA10" s="41"/>
      <c r="HB10" s="105"/>
      <c r="HC10" s="105"/>
      <c r="HD10" s="41"/>
      <c r="HE10" s="41" t="s">
        <v>1239</v>
      </c>
      <c r="HF10" s="105"/>
      <c r="HG10" s="105"/>
      <c r="HH10" s="105">
        <v>0</v>
      </c>
      <c r="HI10" s="105"/>
      <c r="HJ10" s="105"/>
      <c r="HK10" s="105">
        <v>0</v>
      </c>
      <c r="HL10" s="105"/>
      <c r="HM10" s="105"/>
      <c r="HN10" s="105">
        <v>0</v>
      </c>
      <c r="HO10" s="105">
        <v>0</v>
      </c>
      <c r="HP10" s="105">
        <v>1</v>
      </c>
      <c r="HQ10" s="105">
        <v>0</v>
      </c>
      <c r="HR10" s="105">
        <v>0</v>
      </c>
      <c r="HS10" s="105"/>
      <c r="HT10" s="105"/>
      <c r="HU10" s="105"/>
      <c r="HV10" s="105">
        <v>1</v>
      </c>
      <c r="HW10" s="41"/>
      <c r="HX10" s="41"/>
      <c r="HY10" s="691"/>
      <c r="HZ10" s="691"/>
      <c r="IA10" s="691"/>
      <c r="IB10" s="702" t="s">
        <v>15</v>
      </c>
      <c r="IC10" s="702">
        <v>0</v>
      </c>
      <c r="ID10" s="702">
        <v>0</v>
      </c>
      <c r="IE10" s="702">
        <v>0</v>
      </c>
      <c r="IF10" s="702">
        <v>0</v>
      </c>
      <c r="IG10" s="702">
        <v>0</v>
      </c>
      <c r="IH10" s="702">
        <v>0</v>
      </c>
      <c r="II10" s="702">
        <v>0</v>
      </c>
      <c r="IJ10" s="702">
        <v>0</v>
      </c>
      <c r="IK10" s="702">
        <v>1</v>
      </c>
      <c r="IL10" s="702">
        <v>0</v>
      </c>
      <c r="IM10" s="702">
        <v>1</v>
      </c>
      <c r="IN10" s="702">
        <v>3</v>
      </c>
      <c r="IO10" s="702">
        <v>1</v>
      </c>
      <c r="IP10" s="702">
        <v>0</v>
      </c>
      <c r="IQ10" s="702">
        <v>0</v>
      </c>
      <c r="IR10" s="702">
        <v>0</v>
      </c>
      <c r="IS10" s="702">
        <v>6</v>
      </c>
      <c r="IT10" s="703">
        <f>+(IS9+IS7)/IS10</f>
        <v>0.83333333333333337</v>
      </c>
      <c r="IU10" s="692">
        <f>+IS7+IS9</f>
        <v>5</v>
      </c>
    </row>
    <row r="11" spans="1:255">
      <c r="C11" s="4800" t="s">
        <v>669</v>
      </c>
      <c r="D11" s="4800" t="s">
        <v>1231</v>
      </c>
      <c r="E11" s="4606"/>
      <c r="F11" s="4606"/>
      <c r="G11" s="4606"/>
      <c r="H11" s="4606"/>
      <c r="I11" s="4606"/>
      <c r="J11" s="4606"/>
      <c r="K11" s="4606"/>
      <c r="L11" s="4606"/>
      <c r="M11" s="4606"/>
      <c r="N11" s="4606"/>
      <c r="O11" s="4606">
        <v>1</v>
      </c>
      <c r="P11" s="4606"/>
      <c r="Q11" s="4606">
        <v>0</v>
      </c>
      <c r="R11" s="4606">
        <v>0</v>
      </c>
      <c r="S11" s="2552">
        <v>0</v>
      </c>
      <c r="T11" s="2552"/>
      <c r="U11" s="2552">
        <v>1</v>
      </c>
      <c r="V11" s="2552"/>
      <c r="Z11" s="37" t="s">
        <v>669</v>
      </c>
      <c r="AA11" s="37" t="s">
        <v>1231</v>
      </c>
      <c r="AB11" s="4803"/>
      <c r="AC11" s="4803"/>
      <c r="AD11" s="4803"/>
      <c r="AE11" s="4803"/>
      <c r="AF11" s="4803"/>
      <c r="AG11" s="4803"/>
      <c r="AH11" s="4803"/>
      <c r="AI11" s="4803"/>
      <c r="AJ11" s="4803"/>
      <c r="AK11" s="4803"/>
      <c r="AL11" s="4803">
        <v>1</v>
      </c>
      <c r="AM11" s="4803"/>
      <c r="AN11" s="4803">
        <v>0</v>
      </c>
      <c r="AO11" s="4803"/>
      <c r="AP11" s="1788">
        <v>0</v>
      </c>
      <c r="AQ11" s="1788">
        <v>1</v>
      </c>
      <c r="AT11" s="41"/>
      <c r="AU11" s="41"/>
      <c r="AV11" s="41" t="s">
        <v>2537</v>
      </c>
      <c r="AW11" s="41" t="s">
        <v>1231</v>
      </c>
      <c r="AX11" s="690"/>
      <c r="AY11" s="690"/>
      <c r="AZ11" s="690"/>
      <c r="BA11" s="690"/>
      <c r="BB11" s="690">
        <v>1</v>
      </c>
      <c r="BC11" s="690"/>
      <c r="BD11" s="690"/>
      <c r="BE11" s="690"/>
      <c r="BF11" s="690"/>
      <c r="BG11" s="690">
        <v>0</v>
      </c>
      <c r="BH11" s="690"/>
      <c r="BI11" s="690">
        <v>0</v>
      </c>
      <c r="BJ11" s="690"/>
      <c r="BK11" s="690">
        <v>1</v>
      </c>
      <c r="BL11" s="690"/>
      <c r="BM11" s="41"/>
      <c r="BN11" s="41"/>
      <c r="BO11" s="41">
        <v>2</v>
      </c>
      <c r="BP11" s="41"/>
      <c r="BR11" s="41"/>
      <c r="BS11" s="41"/>
      <c r="BT11" s="41"/>
      <c r="BU11" s="461" t="s">
        <v>15</v>
      </c>
      <c r="BV11" s="2002"/>
      <c r="BW11" s="2002"/>
      <c r="BX11" s="2002"/>
      <c r="BY11" s="2002"/>
      <c r="BZ11" s="2002"/>
      <c r="CA11" s="2002"/>
      <c r="CB11" s="2002"/>
      <c r="CC11" s="2002"/>
      <c r="CD11" s="2002"/>
      <c r="CE11" s="2002"/>
      <c r="CF11" s="2002"/>
      <c r="CG11" s="2002"/>
      <c r="CH11" s="2002"/>
      <c r="CI11" s="2002"/>
      <c r="CJ11" s="2002">
        <v>1</v>
      </c>
      <c r="CK11" s="96"/>
      <c r="CL11" s="96"/>
      <c r="CM11" s="96">
        <v>1</v>
      </c>
      <c r="CN11" s="635">
        <v>0</v>
      </c>
      <c r="CR11" s="41"/>
      <c r="CS11" s="41" t="s">
        <v>1344</v>
      </c>
      <c r="CT11" s="1665"/>
      <c r="CU11" s="1665"/>
      <c r="CV11" s="1665"/>
      <c r="CW11" s="1665"/>
      <c r="CX11" s="1665"/>
      <c r="CY11" s="1665"/>
      <c r="CZ11" s="1665">
        <v>1</v>
      </c>
      <c r="DA11" s="1665">
        <v>2</v>
      </c>
      <c r="DB11" s="1665"/>
      <c r="DC11" s="1665">
        <v>1</v>
      </c>
      <c r="DD11" s="1665"/>
      <c r="DE11" s="1665"/>
      <c r="DF11" s="1665"/>
      <c r="DG11" s="1665"/>
      <c r="DH11" s="1665"/>
      <c r="DI11" s="41"/>
      <c r="DJ11" s="41"/>
      <c r="DK11" s="41">
        <v>4</v>
      </c>
      <c r="DL11" s="41"/>
      <c r="DN11" s="1375"/>
      <c r="DO11" s="1375"/>
      <c r="DP11" s="1375"/>
      <c r="DQ11" s="1376" t="s">
        <v>1344</v>
      </c>
      <c r="DR11" s="1377"/>
      <c r="DS11" s="1377"/>
      <c r="DT11" s="1377"/>
      <c r="DU11" s="1377"/>
      <c r="DV11" s="1377"/>
      <c r="DW11" s="1377"/>
      <c r="DX11" s="1378">
        <v>2</v>
      </c>
      <c r="DY11" s="1378">
        <v>3</v>
      </c>
      <c r="DZ11" s="1377"/>
      <c r="EA11" s="1377"/>
      <c r="EB11" s="1377"/>
      <c r="EC11" s="1378">
        <v>0</v>
      </c>
      <c r="ED11" s="1378">
        <v>0</v>
      </c>
      <c r="EE11" s="1379"/>
      <c r="EF11" s="1379"/>
      <c r="EG11" s="1380">
        <v>5</v>
      </c>
      <c r="EH11" s="41"/>
      <c r="EJ11" s="678"/>
      <c r="EK11" s="678"/>
      <c r="EL11" s="678" t="s">
        <v>544</v>
      </c>
      <c r="EM11" s="679" t="s">
        <v>1236</v>
      </c>
      <c r="EN11" s="680"/>
      <c r="EO11" s="680"/>
      <c r="EP11" s="680"/>
      <c r="EQ11" s="680"/>
      <c r="ER11" s="680"/>
      <c r="ES11" s="681">
        <v>1</v>
      </c>
      <c r="ET11" s="681">
        <v>0</v>
      </c>
      <c r="EU11" s="680"/>
      <c r="EV11" s="680"/>
      <c r="EW11" s="680"/>
      <c r="EX11" s="681">
        <v>0</v>
      </c>
      <c r="EY11" s="681">
        <v>0</v>
      </c>
      <c r="EZ11" s="680"/>
      <c r="FA11" s="680"/>
      <c r="FB11" s="680"/>
      <c r="FC11" s="682"/>
      <c r="FD11" s="682"/>
      <c r="FE11" s="683">
        <v>1</v>
      </c>
      <c r="FF11" s="105"/>
      <c r="FH11" s="511"/>
      <c r="FI11" s="511"/>
      <c r="FJ11" s="511"/>
      <c r="FK11" s="511"/>
      <c r="FL11" s="512" t="s">
        <v>1239</v>
      </c>
      <c r="FM11" s="685">
        <v>0</v>
      </c>
      <c r="FN11" s="684"/>
      <c r="FO11" s="684"/>
      <c r="FP11" s="685">
        <v>0</v>
      </c>
      <c r="FQ11" s="684"/>
      <c r="FR11" s="684"/>
      <c r="FS11" s="684"/>
      <c r="FT11" s="684"/>
      <c r="FU11" s="684"/>
      <c r="FV11" s="684"/>
      <c r="FW11" s="684"/>
      <c r="FX11" s="684"/>
      <c r="FY11" s="684"/>
      <c r="FZ11" s="684"/>
      <c r="GA11" s="685">
        <v>1</v>
      </c>
      <c r="GB11" s="686"/>
      <c r="GC11" s="686"/>
      <c r="GD11" s="687">
        <v>1</v>
      </c>
      <c r="GE11" s="635"/>
      <c r="GF11" s="41"/>
      <c r="GG11" s="688"/>
      <c r="GH11" s="688"/>
      <c r="GI11" s="688"/>
      <c r="GJ11" s="457" t="s">
        <v>1240</v>
      </c>
      <c r="GK11" s="689"/>
      <c r="GL11" s="689"/>
      <c r="GM11" s="689"/>
      <c r="GN11" s="458">
        <v>0</v>
      </c>
      <c r="GO11" s="458">
        <v>0</v>
      </c>
      <c r="GP11" s="458">
        <v>1</v>
      </c>
      <c r="GQ11" s="458">
        <v>0</v>
      </c>
      <c r="GR11" s="458">
        <v>0</v>
      </c>
      <c r="GS11" s="458">
        <v>0</v>
      </c>
      <c r="GT11" s="458">
        <v>0</v>
      </c>
      <c r="GU11" s="458">
        <v>0</v>
      </c>
      <c r="GV11" s="689"/>
      <c r="GW11" s="689"/>
      <c r="GX11" s="458">
        <v>1</v>
      </c>
      <c r="GY11" s="690"/>
      <c r="GZ11" s="41"/>
      <c r="HA11" s="41"/>
      <c r="HB11" s="105"/>
      <c r="HC11" s="105"/>
      <c r="HD11" s="41"/>
      <c r="HE11" s="41" t="s">
        <v>1240</v>
      </c>
      <c r="HF11" s="105"/>
      <c r="HG11" s="105"/>
      <c r="HH11" s="105">
        <v>0</v>
      </c>
      <c r="HI11" s="105"/>
      <c r="HJ11" s="105"/>
      <c r="HK11" s="105">
        <v>0</v>
      </c>
      <c r="HL11" s="105"/>
      <c r="HM11" s="105"/>
      <c r="HN11" s="105">
        <v>0</v>
      </c>
      <c r="HO11" s="105">
        <v>2</v>
      </c>
      <c r="HP11" s="105">
        <v>1</v>
      </c>
      <c r="HQ11" s="105">
        <v>0</v>
      </c>
      <c r="HR11" s="105">
        <v>0</v>
      </c>
      <c r="HS11" s="105"/>
      <c r="HT11" s="105"/>
      <c r="HU11" s="105"/>
      <c r="HV11" s="105">
        <v>3</v>
      </c>
      <c r="HW11" s="41"/>
      <c r="HX11" s="41"/>
      <c r="HY11" s="691"/>
      <c r="HZ11" s="691"/>
      <c r="IA11" s="691" t="s">
        <v>116</v>
      </c>
      <c r="IB11" s="691" t="s">
        <v>1233</v>
      </c>
      <c r="IC11" s="691">
        <v>0</v>
      </c>
      <c r="ID11" s="691">
        <v>0</v>
      </c>
      <c r="IE11" s="691">
        <v>1</v>
      </c>
      <c r="IF11" s="691">
        <v>0</v>
      </c>
      <c r="IG11" s="691">
        <v>0</v>
      </c>
      <c r="IH11" s="691">
        <v>0</v>
      </c>
      <c r="II11" s="691">
        <v>0</v>
      </c>
      <c r="IJ11" s="691">
        <v>0</v>
      </c>
      <c r="IK11" s="691">
        <v>0</v>
      </c>
      <c r="IL11" s="691">
        <v>0</v>
      </c>
      <c r="IM11" s="691">
        <v>0</v>
      </c>
      <c r="IN11" s="691">
        <v>0</v>
      </c>
      <c r="IO11" s="691">
        <v>0</v>
      </c>
      <c r="IP11" s="691">
        <v>0</v>
      </c>
      <c r="IQ11" s="691">
        <v>0</v>
      </c>
      <c r="IR11" s="691">
        <v>0</v>
      </c>
      <c r="IS11" s="691">
        <v>1</v>
      </c>
      <c r="IT11" s="691"/>
      <c r="IU11" s="692"/>
    </row>
    <row r="12" spans="1:255">
      <c r="D12" s="4800" t="s">
        <v>1239</v>
      </c>
      <c r="E12" s="4606"/>
      <c r="F12" s="4606"/>
      <c r="G12" s="4606"/>
      <c r="H12" s="4606"/>
      <c r="I12" s="4606"/>
      <c r="J12" s="4606"/>
      <c r="K12" s="4606"/>
      <c r="L12" s="4606"/>
      <c r="M12" s="4606"/>
      <c r="N12" s="4606"/>
      <c r="O12" s="4606">
        <v>0</v>
      </c>
      <c r="P12" s="4606"/>
      <c r="Q12" s="4606">
        <v>1</v>
      </c>
      <c r="R12" s="4606">
        <v>2</v>
      </c>
      <c r="S12" s="2552">
        <v>1</v>
      </c>
      <c r="T12" s="2552"/>
      <c r="U12" s="2552">
        <v>4</v>
      </c>
      <c r="V12" s="2552"/>
      <c r="AA12" s="37" t="s">
        <v>1239</v>
      </c>
      <c r="AB12" s="4803"/>
      <c r="AC12" s="4803"/>
      <c r="AD12" s="4803"/>
      <c r="AE12" s="4803"/>
      <c r="AF12" s="4803"/>
      <c r="AG12" s="4803"/>
      <c r="AH12" s="4803"/>
      <c r="AI12" s="4803"/>
      <c r="AJ12" s="4803"/>
      <c r="AK12" s="4803"/>
      <c r="AL12" s="4803">
        <v>0</v>
      </c>
      <c r="AM12" s="4803"/>
      <c r="AN12" s="4803">
        <v>3</v>
      </c>
      <c r="AO12" s="4803"/>
      <c r="AP12" s="1788">
        <v>1</v>
      </c>
      <c r="AQ12" s="1788">
        <v>4</v>
      </c>
      <c r="AT12" s="41"/>
      <c r="AU12" s="41"/>
      <c r="AV12" s="41"/>
      <c r="AW12" s="41" t="s">
        <v>1235</v>
      </c>
      <c r="AX12" s="690"/>
      <c r="AY12" s="690"/>
      <c r="AZ12" s="690"/>
      <c r="BA12" s="690"/>
      <c r="BB12" s="690">
        <v>0</v>
      </c>
      <c r="BC12" s="690"/>
      <c r="BD12" s="690"/>
      <c r="BE12" s="690"/>
      <c r="BF12" s="690"/>
      <c r="BG12" s="690">
        <v>1</v>
      </c>
      <c r="BH12" s="690"/>
      <c r="BI12" s="690">
        <v>0</v>
      </c>
      <c r="BJ12" s="690"/>
      <c r="BK12" s="690">
        <v>0</v>
      </c>
      <c r="BL12" s="690"/>
      <c r="BM12" s="41"/>
      <c r="BN12" s="41"/>
      <c r="BO12" s="41">
        <v>1</v>
      </c>
      <c r="BP12" s="41"/>
      <c r="BR12" s="41"/>
      <c r="BS12" s="41"/>
      <c r="BT12" s="41" t="s">
        <v>669</v>
      </c>
      <c r="BU12" s="41" t="s">
        <v>1231</v>
      </c>
      <c r="BV12" s="2001"/>
      <c r="BW12" s="2001"/>
      <c r="BX12" s="2001"/>
      <c r="BY12" s="2001"/>
      <c r="BZ12" s="2001"/>
      <c r="CA12" s="2001"/>
      <c r="CB12" s="2001"/>
      <c r="CC12" s="2001"/>
      <c r="CD12" s="2001"/>
      <c r="CE12" s="2001">
        <v>1</v>
      </c>
      <c r="CF12" s="2001"/>
      <c r="CG12" s="2001">
        <v>1</v>
      </c>
      <c r="CH12" s="2001"/>
      <c r="CI12" s="2001"/>
      <c r="CJ12" s="2001"/>
      <c r="CK12" s="105"/>
      <c r="CL12" s="105"/>
      <c r="CM12" s="105">
        <v>2</v>
      </c>
      <c r="CN12" s="41"/>
      <c r="CR12" s="41"/>
      <c r="CS12" s="461" t="s">
        <v>544</v>
      </c>
      <c r="CT12" s="1666"/>
      <c r="CU12" s="1666"/>
      <c r="CV12" s="1666"/>
      <c r="CW12" s="1666"/>
      <c r="CX12" s="1666"/>
      <c r="CY12" s="1666"/>
      <c r="CZ12" s="1666">
        <v>2</v>
      </c>
      <c r="DA12" s="1666">
        <v>2</v>
      </c>
      <c r="DB12" s="1666"/>
      <c r="DC12" s="1666">
        <v>1</v>
      </c>
      <c r="DD12" s="1666"/>
      <c r="DE12" s="1666"/>
      <c r="DF12" s="1666"/>
      <c r="DG12" s="1666"/>
      <c r="DH12" s="1666"/>
      <c r="DI12" s="461"/>
      <c r="DJ12" s="461"/>
      <c r="DK12" s="461">
        <v>5</v>
      </c>
      <c r="DL12" s="635">
        <f>+DK11/DK12</f>
        <v>0.8</v>
      </c>
      <c r="DN12" s="1375"/>
      <c r="DO12" s="1375"/>
      <c r="DP12" s="1375"/>
      <c r="DQ12" s="1372" t="s">
        <v>544</v>
      </c>
      <c r="DR12" s="1381"/>
      <c r="DS12" s="1381"/>
      <c r="DT12" s="1381"/>
      <c r="DU12" s="1381"/>
      <c r="DV12" s="1381"/>
      <c r="DW12" s="1381"/>
      <c r="DX12" s="1382">
        <v>2</v>
      </c>
      <c r="DY12" s="1382">
        <v>3</v>
      </c>
      <c r="DZ12" s="1381"/>
      <c r="EA12" s="1381"/>
      <c r="EB12" s="1381"/>
      <c r="EC12" s="1382">
        <v>1</v>
      </c>
      <c r="ED12" s="1382">
        <v>1</v>
      </c>
      <c r="EE12" s="1383"/>
      <c r="EF12" s="1383"/>
      <c r="EG12" s="1384">
        <v>7</v>
      </c>
      <c r="EH12" s="1325">
        <f>+EG11/EG12</f>
        <v>0.7142857142857143</v>
      </c>
      <c r="EJ12" s="678"/>
      <c r="EK12" s="678"/>
      <c r="EL12" s="678"/>
      <c r="EM12" s="679" t="s">
        <v>1240</v>
      </c>
      <c r="EN12" s="680"/>
      <c r="EO12" s="680"/>
      <c r="EP12" s="680"/>
      <c r="EQ12" s="680"/>
      <c r="ER12" s="680"/>
      <c r="ES12" s="681">
        <v>0</v>
      </c>
      <c r="ET12" s="681">
        <v>0</v>
      </c>
      <c r="EU12" s="680"/>
      <c r="EV12" s="680"/>
      <c r="EW12" s="680"/>
      <c r="EX12" s="681">
        <v>0</v>
      </c>
      <c r="EY12" s="681">
        <v>1</v>
      </c>
      <c r="EZ12" s="680"/>
      <c r="FA12" s="680"/>
      <c r="FB12" s="680"/>
      <c r="FC12" s="682"/>
      <c r="FD12" s="682"/>
      <c r="FE12" s="683">
        <v>1</v>
      </c>
      <c r="FF12" s="105"/>
      <c r="FH12" s="511"/>
      <c r="FI12" s="511"/>
      <c r="FJ12" s="511"/>
      <c r="FK12" s="41"/>
      <c r="FL12" s="532" t="s">
        <v>15</v>
      </c>
      <c r="FM12" s="694">
        <v>1</v>
      </c>
      <c r="FN12" s="693"/>
      <c r="FO12" s="693"/>
      <c r="FP12" s="694">
        <v>1</v>
      </c>
      <c r="FQ12" s="693"/>
      <c r="FR12" s="693"/>
      <c r="FS12" s="693"/>
      <c r="FT12" s="693"/>
      <c r="FU12" s="693"/>
      <c r="FV12" s="693"/>
      <c r="FW12" s="693"/>
      <c r="FX12" s="693"/>
      <c r="FY12" s="693"/>
      <c r="FZ12" s="693"/>
      <c r="GA12" s="694">
        <v>1</v>
      </c>
      <c r="GB12" s="695"/>
      <c r="GC12" s="695"/>
      <c r="GD12" s="696">
        <v>3</v>
      </c>
      <c r="GE12" s="635">
        <v>0</v>
      </c>
      <c r="GF12" s="41"/>
      <c r="GG12" s="688"/>
      <c r="GH12" s="688"/>
      <c r="GI12" s="688"/>
      <c r="GJ12" s="457" t="s">
        <v>1344</v>
      </c>
      <c r="GK12" s="689"/>
      <c r="GL12" s="689"/>
      <c r="GM12" s="689"/>
      <c r="GN12" s="458">
        <v>0</v>
      </c>
      <c r="GO12" s="458">
        <v>0</v>
      </c>
      <c r="GP12" s="458">
        <v>1</v>
      </c>
      <c r="GQ12" s="458">
        <v>0</v>
      </c>
      <c r="GR12" s="458">
        <v>0</v>
      </c>
      <c r="GS12" s="458">
        <v>0</v>
      </c>
      <c r="GT12" s="458">
        <v>0</v>
      </c>
      <c r="GU12" s="458">
        <v>0</v>
      </c>
      <c r="GV12" s="689"/>
      <c r="GW12" s="689"/>
      <c r="GX12" s="458">
        <v>1</v>
      </c>
      <c r="GY12" s="690"/>
      <c r="GZ12" s="41"/>
      <c r="HA12" s="41"/>
      <c r="HB12" s="105"/>
      <c r="HC12" s="105"/>
      <c r="HD12" s="41"/>
      <c r="HE12" s="41" t="s">
        <v>1344</v>
      </c>
      <c r="HF12" s="105"/>
      <c r="HG12" s="105"/>
      <c r="HH12" s="105">
        <v>0</v>
      </c>
      <c r="HI12" s="105"/>
      <c r="HJ12" s="105"/>
      <c r="HK12" s="105">
        <v>0</v>
      </c>
      <c r="HL12" s="105"/>
      <c r="HM12" s="105"/>
      <c r="HN12" s="105">
        <v>0</v>
      </c>
      <c r="HO12" s="105">
        <v>1</v>
      </c>
      <c r="HP12" s="105">
        <v>0</v>
      </c>
      <c r="HQ12" s="105">
        <v>0</v>
      </c>
      <c r="HR12" s="105">
        <v>1</v>
      </c>
      <c r="HS12" s="105"/>
      <c r="HT12" s="105"/>
      <c r="HU12" s="105"/>
      <c r="HV12" s="105">
        <v>2</v>
      </c>
      <c r="HW12" s="41"/>
      <c r="HX12" s="41"/>
      <c r="HY12" s="691"/>
      <c r="HZ12" s="691"/>
      <c r="IA12" s="691"/>
      <c r="IB12" s="691" t="s">
        <v>1235</v>
      </c>
      <c r="IC12" s="691">
        <v>0</v>
      </c>
      <c r="ID12" s="691">
        <v>0</v>
      </c>
      <c r="IE12" s="691">
        <v>0</v>
      </c>
      <c r="IF12" s="691">
        <v>0</v>
      </c>
      <c r="IG12" s="691">
        <v>0</v>
      </c>
      <c r="IH12" s="691">
        <v>0</v>
      </c>
      <c r="II12" s="691">
        <v>0</v>
      </c>
      <c r="IJ12" s="691">
        <v>0</v>
      </c>
      <c r="IK12" s="691">
        <v>0</v>
      </c>
      <c r="IL12" s="691">
        <v>0</v>
      </c>
      <c r="IM12" s="691">
        <v>0</v>
      </c>
      <c r="IN12" s="691">
        <v>0</v>
      </c>
      <c r="IO12" s="691">
        <v>1</v>
      </c>
      <c r="IP12" s="691">
        <v>0</v>
      </c>
      <c r="IQ12" s="691">
        <v>0</v>
      </c>
      <c r="IR12" s="691">
        <v>0</v>
      </c>
      <c r="IS12" s="691">
        <v>1</v>
      </c>
      <c r="IT12" s="691"/>
      <c r="IU12" s="692"/>
    </row>
    <row r="13" spans="1:255">
      <c r="D13" s="4800" t="s">
        <v>1240</v>
      </c>
      <c r="E13" s="4606"/>
      <c r="F13" s="4606"/>
      <c r="G13" s="4606"/>
      <c r="H13" s="4606"/>
      <c r="I13" s="4606"/>
      <c r="J13" s="4606"/>
      <c r="K13" s="4606"/>
      <c r="L13" s="4606"/>
      <c r="M13" s="4606"/>
      <c r="N13" s="4606"/>
      <c r="O13" s="4606">
        <v>0</v>
      </c>
      <c r="P13" s="4606"/>
      <c r="Q13" s="4606">
        <v>1</v>
      </c>
      <c r="R13" s="4606">
        <v>0</v>
      </c>
      <c r="S13" s="2552">
        <v>0</v>
      </c>
      <c r="T13" s="2552"/>
      <c r="U13" s="2552">
        <v>1</v>
      </c>
      <c r="V13" s="2552"/>
      <c r="AA13" s="37" t="s">
        <v>1240</v>
      </c>
      <c r="AB13" s="4803"/>
      <c r="AC13" s="4803"/>
      <c r="AD13" s="4803"/>
      <c r="AE13" s="4803"/>
      <c r="AF13" s="4803"/>
      <c r="AG13" s="4803"/>
      <c r="AH13" s="4803"/>
      <c r="AI13" s="4803"/>
      <c r="AJ13" s="4803"/>
      <c r="AK13" s="4803"/>
      <c r="AL13" s="4803">
        <v>0</v>
      </c>
      <c r="AM13" s="4803"/>
      <c r="AN13" s="4803">
        <v>1</v>
      </c>
      <c r="AO13" s="4803"/>
      <c r="AP13" s="1788">
        <v>0</v>
      </c>
      <c r="AQ13" s="1788">
        <v>1</v>
      </c>
      <c r="AT13" s="41"/>
      <c r="AU13" s="41"/>
      <c r="AV13" s="41"/>
      <c r="AW13" s="41" t="s">
        <v>1240</v>
      </c>
      <c r="AX13" s="690"/>
      <c r="AY13" s="690"/>
      <c r="AZ13" s="690"/>
      <c r="BA13" s="690"/>
      <c r="BB13" s="690">
        <v>0</v>
      </c>
      <c r="BC13" s="690"/>
      <c r="BD13" s="690"/>
      <c r="BE13" s="690"/>
      <c r="BF13" s="690"/>
      <c r="BG13" s="690">
        <v>3</v>
      </c>
      <c r="BH13" s="690"/>
      <c r="BI13" s="690">
        <v>1</v>
      </c>
      <c r="BJ13" s="690"/>
      <c r="BK13" s="690">
        <v>0</v>
      </c>
      <c r="BL13" s="690"/>
      <c r="BM13" s="41"/>
      <c r="BN13" s="41"/>
      <c r="BO13" s="41">
        <v>4</v>
      </c>
      <c r="BP13" s="41"/>
      <c r="BR13" s="41"/>
      <c r="BS13" s="41"/>
      <c r="BT13" s="41"/>
      <c r="BU13" s="41" t="s">
        <v>1235</v>
      </c>
      <c r="BV13" s="2001"/>
      <c r="BW13" s="2001"/>
      <c r="BX13" s="2001"/>
      <c r="BY13" s="2001"/>
      <c r="BZ13" s="2001"/>
      <c r="CA13" s="2001"/>
      <c r="CB13" s="2001"/>
      <c r="CC13" s="2001"/>
      <c r="CD13" s="2001"/>
      <c r="CE13" s="2001">
        <v>1</v>
      </c>
      <c r="CF13" s="2001"/>
      <c r="CG13" s="2001">
        <v>0</v>
      </c>
      <c r="CH13" s="2001"/>
      <c r="CI13" s="2001"/>
      <c r="CJ13" s="2001"/>
      <c r="CK13" s="105"/>
      <c r="CL13" s="105"/>
      <c r="CM13" s="105">
        <v>1</v>
      </c>
      <c r="CN13" s="41"/>
      <c r="CQ13" s="105" t="s">
        <v>16</v>
      </c>
      <c r="CR13" s="41" t="s">
        <v>118</v>
      </c>
      <c r="CS13" s="41" t="s">
        <v>1230</v>
      </c>
      <c r="CT13" s="1665"/>
      <c r="CU13" s="1665"/>
      <c r="CV13" s="1665">
        <v>0</v>
      </c>
      <c r="CW13" s="1665"/>
      <c r="CX13" s="1665"/>
      <c r="CY13" s="1665"/>
      <c r="CZ13" s="1665"/>
      <c r="DA13" s="1665"/>
      <c r="DB13" s="1665"/>
      <c r="DC13" s="1665">
        <v>0</v>
      </c>
      <c r="DD13" s="1665">
        <v>1</v>
      </c>
      <c r="DE13" s="1665">
        <v>1</v>
      </c>
      <c r="DF13" s="1665">
        <v>1</v>
      </c>
      <c r="DG13" s="1665">
        <v>2</v>
      </c>
      <c r="DH13" s="1665">
        <v>1</v>
      </c>
      <c r="DI13" s="41"/>
      <c r="DJ13" s="41"/>
      <c r="DK13" s="41">
        <v>6</v>
      </c>
      <c r="DL13" s="41"/>
      <c r="DN13" s="1375"/>
      <c r="DO13" s="1375" t="s">
        <v>16</v>
      </c>
      <c r="DP13" s="1375" t="s">
        <v>119</v>
      </c>
      <c r="DQ13" s="1376" t="s">
        <v>1231</v>
      </c>
      <c r="DR13" s="1377"/>
      <c r="DS13" s="1377"/>
      <c r="DT13" s="1377"/>
      <c r="DU13" s="1377"/>
      <c r="DV13" s="1377"/>
      <c r="DW13" s="1377"/>
      <c r="DX13" s="1377"/>
      <c r="DY13" s="1377"/>
      <c r="DZ13" s="1377"/>
      <c r="EA13" s="1377"/>
      <c r="EB13" s="1378">
        <v>4</v>
      </c>
      <c r="EC13" s="1378">
        <v>1</v>
      </c>
      <c r="ED13" s="1378">
        <v>0</v>
      </c>
      <c r="EE13" s="1379"/>
      <c r="EF13" s="1379"/>
      <c r="EG13" s="1380">
        <v>5</v>
      </c>
      <c r="EH13" s="41"/>
      <c r="EJ13" s="678"/>
      <c r="EK13" s="678"/>
      <c r="EL13" s="678"/>
      <c r="EM13" s="679" t="s">
        <v>1344</v>
      </c>
      <c r="EN13" s="680"/>
      <c r="EO13" s="680"/>
      <c r="EP13" s="680"/>
      <c r="EQ13" s="680"/>
      <c r="ER13" s="680"/>
      <c r="ES13" s="681">
        <v>0</v>
      </c>
      <c r="ET13" s="681">
        <v>1</v>
      </c>
      <c r="EU13" s="680"/>
      <c r="EV13" s="680"/>
      <c r="EW13" s="680"/>
      <c r="EX13" s="681">
        <v>1</v>
      </c>
      <c r="EY13" s="681">
        <v>1</v>
      </c>
      <c r="EZ13" s="680"/>
      <c r="FA13" s="680"/>
      <c r="FB13" s="680"/>
      <c r="FC13" s="682"/>
      <c r="FD13" s="682"/>
      <c r="FE13" s="683">
        <v>3</v>
      </c>
      <c r="FF13" s="105"/>
      <c r="FH13" s="511"/>
      <c r="FI13" s="511"/>
      <c r="FJ13" s="532" t="s">
        <v>544</v>
      </c>
      <c r="FK13" s="511" t="s">
        <v>1229</v>
      </c>
      <c r="FL13" s="512" t="s">
        <v>1231</v>
      </c>
      <c r="FM13" s="685">
        <v>1</v>
      </c>
      <c r="FN13" s="684"/>
      <c r="FO13" s="684"/>
      <c r="FP13" s="685">
        <v>1</v>
      </c>
      <c r="FQ13" s="684"/>
      <c r="FR13" s="684"/>
      <c r="FS13" s="684"/>
      <c r="FT13" s="684"/>
      <c r="FU13" s="684"/>
      <c r="FV13" s="684"/>
      <c r="FW13" s="685">
        <v>0</v>
      </c>
      <c r="FX13" s="684"/>
      <c r="FY13" s="684"/>
      <c r="FZ13" s="685">
        <v>0</v>
      </c>
      <c r="GA13" s="685">
        <v>0</v>
      </c>
      <c r="GB13" s="686"/>
      <c r="GC13" s="686"/>
      <c r="GD13" s="687">
        <v>2</v>
      </c>
      <c r="GE13" s="635"/>
      <c r="GF13" s="41"/>
      <c r="GG13" s="688"/>
      <c r="GH13" s="688"/>
      <c r="GI13" s="688"/>
      <c r="GJ13" s="704" t="s">
        <v>15</v>
      </c>
      <c r="GK13" s="705"/>
      <c r="GL13" s="705"/>
      <c r="GM13" s="705"/>
      <c r="GN13" s="463">
        <v>1</v>
      </c>
      <c r="GO13" s="463">
        <v>2</v>
      </c>
      <c r="GP13" s="463">
        <v>2</v>
      </c>
      <c r="GQ13" s="463">
        <v>1</v>
      </c>
      <c r="GR13" s="463">
        <v>1</v>
      </c>
      <c r="GS13" s="463">
        <v>1</v>
      </c>
      <c r="GT13" s="463">
        <v>1</v>
      </c>
      <c r="GU13" s="463">
        <v>2</v>
      </c>
      <c r="GV13" s="705"/>
      <c r="GW13" s="705"/>
      <c r="GX13" s="463">
        <v>11</v>
      </c>
      <c r="GY13" s="628">
        <f>+(GX12+GX11+GX8)/GX13</f>
        <v>0.27272727272727271</v>
      </c>
      <c r="GZ13" s="41"/>
      <c r="HA13" s="41"/>
      <c r="HB13" s="105"/>
      <c r="HC13" s="105"/>
      <c r="HD13" s="41"/>
      <c r="HE13" s="461" t="s">
        <v>15</v>
      </c>
      <c r="HF13" s="96"/>
      <c r="HG13" s="96"/>
      <c r="HH13" s="96">
        <v>1</v>
      </c>
      <c r="HI13" s="96"/>
      <c r="HJ13" s="96"/>
      <c r="HK13" s="96">
        <v>1</v>
      </c>
      <c r="HL13" s="96"/>
      <c r="HM13" s="96"/>
      <c r="HN13" s="96">
        <v>1</v>
      </c>
      <c r="HO13" s="96">
        <v>3</v>
      </c>
      <c r="HP13" s="96">
        <v>2</v>
      </c>
      <c r="HQ13" s="96">
        <v>3</v>
      </c>
      <c r="HR13" s="96">
        <v>1</v>
      </c>
      <c r="HS13" s="96"/>
      <c r="HT13" s="96"/>
      <c r="HU13" s="96"/>
      <c r="HV13" s="96">
        <v>12</v>
      </c>
      <c r="HW13" s="706">
        <f>+(HV8+HV11+HV12)/HV13</f>
        <v>0.5</v>
      </c>
      <c r="HX13" s="41"/>
      <c r="HY13" s="691"/>
      <c r="HZ13" s="691"/>
      <c r="IA13" s="691"/>
      <c r="IB13" s="691" t="s">
        <v>1236</v>
      </c>
      <c r="IC13" s="691">
        <v>0</v>
      </c>
      <c r="ID13" s="691">
        <v>0</v>
      </c>
      <c r="IE13" s="691">
        <v>0</v>
      </c>
      <c r="IF13" s="691">
        <v>0</v>
      </c>
      <c r="IG13" s="691">
        <v>0</v>
      </c>
      <c r="IH13" s="691">
        <v>0</v>
      </c>
      <c r="II13" s="691">
        <v>1</v>
      </c>
      <c r="IJ13" s="691">
        <v>0</v>
      </c>
      <c r="IK13" s="691">
        <v>0</v>
      </c>
      <c r="IL13" s="691">
        <v>0</v>
      </c>
      <c r="IM13" s="691">
        <v>0</v>
      </c>
      <c r="IN13" s="691">
        <v>0</v>
      </c>
      <c r="IO13" s="691">
        <v>0</v>
      </c>
      <c r="IP13" s="691">
        <v>0</v>
      </c>
      <c r="IQ13" s="691">
        <v>0</v>
      </c>
      <c r="IR13" s="691">
        <v>0</v>
      </c>
      <c r="IS13" s="691">
        <v>1</v>
      </c>
      <c r="IT13" s="691"/>
      <c r="IU13" s="692"/>
    </row>
    <row r="14" spans="1:255">
      <c r="D14" s="4800" t="s">
        <v>15</v>
      </c>
      <c r="E14" s="4606"/>
      <c r="F14" s="4606"/>
      <c r="G14" s="4606"/>
      <c r="H14" s="4606"/>
      <c r="I14" s="4606"/>
      <c r="J14" s="4606"/>
      <c r="K14" s="4606"/>
      <c r="L14" s="4606"/>
      <c r="M14" s="4606"/>
      <c r="N14" s="4606"/>
      <c r="O14" s="4606">
        <v>1</v>
      </c>
      <c r="P14" s="4606"/>
      <c r="Q14" s="4606">
        <v>2</v>
      </c>
      <c r="R14" s="4606">
        <v>2</v>
      </c>
      <c r="S14" s="2552">
        <v>1</v>
      </c>
      <c r="T14" s="2552"/>
      <c r="U14" s="2552">
        <v>6</v>
      </c>
      <c r="V14" s="1977">
        <f>+(U13)/(U14)</f>
        <v>0.16666666666666666</v>
      </c>
      <c r="AA14" s="1793" t="s">
        <v>15</v>
      </c>
      <c r="AB14" s="4804"/>
      <c r="AC14" s="4804"/>
      <c r="AD14" s="4804"/>
      <c r="AE14" s="4804"/>
      <c r="AF14" s="4804"/>
      <c r="AG14" s="4804"/>
      <c r="AH14" s="4804"/>
      <c r="AI14" s="4804"/>
      <c r="AJ14" s="4804"/>
      <c r="AK14" s="4804"/>
      <c r="AL14" s="4804">
        <v>1</v>
      </c>
      <c r="AM14" s="4804"/>
      <c r="AN14" s="4804">
        <v>4</v>
      </c>
      <c r="AO14" s="4804"/>
      <c r="AP14" s="4702">
        <v>1</v>
      </c>
      <c r="AQ14" s="4702">
        <v>6</v>
      </c>
      <c r="AR14" s="4703">
        <f>+AQ13/AQ14</f>
        <v>0.16666666666666666</v>
      </c>
      <c r="AT14" s="41"/>
      <c r="AU14" s="41"/>
      <c r="AV14" s="41"/>
      <c r="AW14" s="41" t="s">
        <v>1344</v>
      </c>
      <c r="AX14" s="690"/>
      <c r="AY14" s="690"/>
      <c r="AZ14" s="690"/>
      <c r="BA14" s="690"/>
      <c r="BB14" s="690">
        <v>0</v>
      </c>
      <c r="BC14" s="690"/>
      <c r="BD14" s="690"/>
      <c r="BE14" s="690"/>
      <c r="BF14" s="690"/>
      <c r="BG14" s="690">
        <v>0</v>
      </c>
      <c r="BH14" s="690"/>
      <c r="BI14" s="690">
        <v>1</v>
      </c>
      <c r="BJ14" s="690"/>
      <c r="BK14" s="690">
        <v>0</v>
      </c>
      <c r="BL14" s="690"/>
      <c r="BM14" s="41"/>
      <c r="BN14" s="41"/>
      <c r="BO14" s="41">
        <v>1</v>
      </c>
      <c r="BP14" s="41"/>
      <c r="BR14" s="41"/>
      <c r="BS14" s="41"/>
      <c r="BT14" s="41"/>
      <c r="BU14" s="461" t="s">
        <v>15</v>
      </c>
      <c r="BV14" s="2002"/>
      <c r="BW14" s="2002"/>
      <c r="BX14" s="2002"/>
      <c r="BY14" s="2002"/>
      <c r="BZ14" s="2002"/>
      <c r="CA14" s="2002"/>
      <c r="CB14" s="2002"/>
      <c r="CC14" s="2002"/>
      <c r="CD14" s="2002"/>
      <c r="CE14" s="2002">
        <v>2</v>
      </c>
      <c r="CF14" s="2002"/>
      <c r="CG14" s="2002">
        <v>1</v>
      </c>
      <c r="CH14" s="2002"/>
      <c r="CI14" s="2002"/>
      <c r="CJ14" s="2002"/>
      <c r="CK14" s="96"/>
      <c r="CL14" s="96"/>
      <c r="CM14" s="96">
        <v>3</v>
      </c>
      <c r="CN14" s="635">
        <f>+CM13/CM14</f>
        <v>0.33333333333333331</v>
      </c>
      <c r="CR14" s="41"/>
      <c r="CS14" s="41" t="s">
        <v>1231</v>
      </c>
      <c r="CT14" s="1665"/>
      <c r="CU14" s="1665"/>
      <c r="CV14" s="1665">
        <v>1</v>
      </c>
      <c r="CW14" s="1665"/>
      <c r="CX14" s="1665"/>
      <c r="CY14" s="1665"/>
      <c r="CZ14" s="1665"/>
      <c r="DA14" s="1665"/>
      <c r="DB14" s="1665"/>
      <c r="DC14" s="1665">
        <v>0</v>
      </c>
      <c r="DD14" s="1665">
        <v>0</v>
      </c>
      <c r="DE14" s="1665">
        <v>0</v>
      </c>
      <c r="DF14" s="1665">
        <v>0</v>
      </c>
      <c r="DG14" s="1665">
        <v>1</v>
      </c>
      <c r="DH14" s="1665">
        <v>0</v>
      </c>
      <c r="DI14" s="41"/>
      <c r="DJ14" s="41"/>
      <c r="DK14" s="41">
        <v>2</v>
      </c>
      <c r="DL14" s="41"/>
      <c r="DN14" s="1375"/>
      <c r="DO14" s="1375"/>
      <c r="DP14" s="1375"/>
      <c r="DQ14" s="1376" t="s">
        <v>1239</v>
      </c>
      <c r="DR14" s="1377"/>
      <c r="DS14" s="1377"/>
      <c r="DT14" s="1377"/>
      <c r="DU14" s="1377"/>
      <c r="DV14" s="1377"/>
      <c r="DW14" s="1377"/>
      <c r="DX14" s="1377"/>
      <c r="DY14" s="1377"/>
      <c r="DZ14" s="1377"/>
      <c r="EA14" s="1377"/>
      <c r="EB14" s="1378">
        <v>0</v>
      </c>
      <c r="EC14" s="1378">
        <v>1</v>
      </c>
      <c r="ED14" s="1378">
        <v>2</v>
      </c>
      <c r="EE14" s="1379"/>
      <c r="EF14" s="1379"/>
      <c r="EG14" s="1380">
        <v>3</v>
      </c>
      <c r="EH14" s="41"/>
      <c r="EJ14" s="678"/>
      <c r="EK14" s="678"/>
      <c r="EL14" s="678"/>
      <c r="EM14" s="697" t="s">
        <v>544</v>
      </c>
      <c r="EN14" s="698"/>
      <c r="EO14" s="698"/>
      <c r="EP14" s="698"/>
      <c r="EQ14" s="698"/>
      <c r="ER14" s="698"/>
      <c r="ES14" s="699">
        <v>1</v>
      </c>
      <c r="ET14" s="699">
        <v>1</v>
      </c>
      <c r="EU14" s="698"/>
      <c r="EV14" s="698"/>
      <c r="EW14" s="698"/>
      <c r="EX14" s="699">
        <v>1</v>
      </c>
      <c r="EY14" s="699">
        <v>2</v>
      </c>
      <c r="EZ14" s="698"/>
      <c r="FA14" s="698"/>
      <c r="FB14" s="698"/>
      <c r="FC14" s="700"/>
      <c r="FD14" s="700"/>
      <c r="FE14" s="701">
        <v>5</v>
      </c>
      <c r="FF14" s="635">
        <f>+(FE12+FE13)/FE14</f>
        <v>0.8</v>
      </c>
      <c r="FH14" s="511"/>
      <c r="FI14" s="511"/>
      <c r="FJ14" s="511"/>
      <c r="FK14" s="511"/>
      <c r="FL14" s="512" t="s">
        <v>1235</v>
      </c>
      <c r="FM14" s="685">
        <v>0</v>
      </c>
      <c r="FN14" s="684"/>
      <c r="FO14" s="684"/>
      <c r="FP14" s="685">
        <v>0</v>
      </c>
      <c r="FQ14" s="684"/>
      <c r="FR14" s="684"/>
      <c r="FS14" s="684"/>
      <c r="FT14" s="684"/>
      <c r="FU14" s="684"/>
      <c r="FV14" s="684"/>
      <c r="FW14" s="685">
        <v>0</v>
      </c>
      <c r="FX14" s="684"/>
      <c r="FY14" s="684"/>
      <c r="FZ14" s="685">
        <v>1</v>
      </c>
      <c r="GA14" s="685">
        <v>0</v>
      </c>
      <c r="GB14" s="686"/>
      <c r="GC14" s="686"/>
      <c r="GD14" s="687">
        <v>1</v>
      </c>
      <c r="GE14" s="635"/>
      <c r="GF14" s="41"/>
      <c r="GG14" s="688"/>
      <c r="GH14" s="688"/>
      <c r="GI14" s="688" t="s">
        <v>116</v>
      </c>
      <c r="GJ14" s="457" t="s">
        <v>1239</v>
      </c>
      <c r="GK14" s="689"/>
      <c r="GL14" s="689"/>
      <c r="GM14" s="689"/>
      <c r="GN14" s="689"/>
      <c r="GO14" s="689"/>
      <c r="GP14" s="689"/>
      <c r="GQ14" s="689"/>
      <c r="GR14" s="689"/>
      <c r="GS14" s="689"/>
      <c r="GT14" s="458">
        <v>0</v>
      </c>
      <c r="GU14" s="458">
        <v>1</v>
      </c>
      <c r="GV14" s="689"/>
      <c r="GW14" s="689"/>
      <c r="GX14" s="458">
        <v>1</v>
      </c>
      <c r="GY14" s="690"/>
      <c r="GZ14" s="41"/>
      <c r="HA14" s="41"/>
      <c r="HB14" s="105"/>
      <c r="HC14" s="105" t="s">
        <v>16</v>
      </c>
      <c r="HD14" s="41" t="s">
        <v>128</v>
      </c>
      <c r="HE14" s="41" t="s">
        <v>1231</v>
      </c>
      <c r="HF14" s="105"/>
      <c r="HG14" s="105"/>
      <c r="HH14" s="105"/>
      <c r="HI14" s="105"/>
      <c r="HJ14" s="105"/>
      <c r="HK14" s="105"/>
      <c r="HL14" s="105"/>
      <c r="HM14" s="105"/>
      <c r="HN14" s="105">
        <v>1</v>
      </c>
      <c r="HO14" s="105"/>
      <c r="HP14" s="105"/>
      <c r="HQ14" s="105">
        <v>1</v>
      </c>
      <c r="HR14" s="105"/>
      <c r="HS14" s="105"/>
      <c r="HT14" s="105"/>
      <c r="HU14" s="105">
        <v>0</v>
      </c>
      <c r="HV14" s="105">
        <v>2</v>
      </c>
      <c r="HW14" s="41"/>
      <c r="HX14" s="41"/>
      <c r="HY14" s="691"/>
      <c r="HZ14" s="691"/>
      <c r="IA14" s="691"/>
      <c r="IB14" s="702" t="s">
        <v>15</v>
      </c>
      <c r="IC14" s="702">
        <v>0</v>
      </c>
      <c r="ID14" s="702">
        <v>0</v>
      </c>
      <c r="IE14" s="702">
        <v>1</v>
      </c>
      <c r="IF14" s="702">
        <v>0</v>
      </c>
      <c r="IG14" s="702">
        <v>0</v>
      </c>
      <c r="IH14" s="702">
        <v>0</v>
      </c>
      <c r="II14" s="702">
        <v>1</v>
      </c>
      <c r="IJ14" s="702">
        <v>0</v>
      </c>
      <c r="IK14" s="702">
        <v>0</v>
      </c>
      <c r="IL14" s="702">
        <v>0</v>
      </c>
      <c r="IM14" s="702">
        <v>0</v>
      </c>
      <c r="IN14" s="702">
        <v>0</v>
      </c>
      <c r="IO14" s="702">
        <v>1</v>
      </c>
      <c r="IP14" s="702">
        <v>0</v>
      </c>
      <c r="IQ14" s="702">
        <v>0</v>
      </c>
      <c r="IR14" s="702">
        <v>0</v>
      </c>
      <c r="IS14" s="702">
        <v>3</v>
      </c>
      <c r="IT14" s="703">
        <f>+IS12/IS14</f>
        <v>0.33333333333333331</v>
      </c>
      <c r="IU14" s="692">
        <f>+IS12</f>
        <v>1</v>
      </c>
    </row>
    <row r="15" spans="1:255">
      <c r="C15" s="4800" t="s">
        <v>668</v>
      </c>
      <c r="D15" s="4800" t="s">
        <v>1344</v>
      </c>
      <c r="E15" s="4606"/>
      <c r="F15" s="4606"/>
      <c r="G15" s="4606"/>
      <c r="H15" s="4606"/>
      <c r="I15" s="4606"/>
      <c r="J15" s="4606"/>
      <c r="K15" s="4606"/>
      <c r="L15" s="4606"/>
      <c r="M15" s="4606"/>
      <c r="N15" s="4606"/>
      <c r="O15" s="4606">
        <v>1</v>
      </c>
      <c r="P15" s="4606"/>
      <c r="Q15" s="4606"/>
      <c r="R15" s="4606"/>
      <c r="S15" s="2552"/>
      <c r="T15" s="2552"/>
      <c r="U15" s="2552">
        <v>1</v>
      </c>
      <c r="V15" s="2552"/>
      <c r="Z15" s="37" t="s">
        <v>668</v>
      </c>
      <c r="AA15" s="37" t="s">
        <v>1344</v>
      </c>
      <c r="AB15" s="4803"/>
      <c r="AC15" s="4803"/>
      <c r="AD15" s="4803"/>
      <c r="AE15" s="4803"/>
      <c r="AF15" s="4803"/>
      <c r="AG15" s="4803"/>
      <c r="AH15" s="4803"/>
      <c r="AI15" s="4803"/>
      <c r="AJ15" s="4803"/>
      <c r="AK15" s="4803"/>
      <c r="AL15" s="4803">
        <v>1</v>
      </c>
      <c r="AM15" s="4803"/>
      <c r="AN15" s="4803"/>
      <c r="AO15" s="4803"/>
      <c r="AP15" s="1788"/>
      <c r="AQ15" s="1788">
        <v>1</v>
      </c>
      <c r="AT15" s="41"/>
      <c r="AU15" s="41"/>
      <c r="AV15" s="41"/>
      <c r="AW15" s="461" t="s">
        <v>15</v>
      </c>
      <c r="AX15" s="2489"/>
      <c r="AY15" s="2489"/>
      <c r="AZ15" s="2489"/>
      <c r="BA15" s="2489"/>
      <c r="BB15" s="2489">
        <v>1</v>
      </c>
      <c r="BC15" s="2489"/>
      <c r="BD15" s="2489"/>
      <c r="BE15" s="2489"/>
      <c r="BF15" s="2489"/>
      <c r="BG15" s="2489">
        <v>4</v>
      </c>
      <c r="BH15" s="2489"/>
      <c r="BI15" s="2489">
        <v>2</v>
      </c>
      <c r="BJ15" s="2489"/>
      <c r="BK15" s="2489">
        <v>1</v>
      </c>
      <c r="BL15" s="2489"/>
      <c r="BM15" s="461"/>
      <c r="BN15" s="461"/>
      <c r="BO15" s="461">
        <v>8</v>
      </c>
      <c r="BP15" s="635">
        <f>+(BO14+BO13+BO12)/BO15</f>
        <v>0.75</v>
      </c>
      <c r="BQ15" s="1977"/>
      <c r="BR15" s="41"/>
      <c r="BS15" s="41"/>
      <c r="BT15" s="41" t="s">
        <v>668</v>
      </c>
      <c r="BU15" s="41" t="s">
        <v>1235</v>
      </c>
      <c r="BV15" s="2001"/>
      <c r="BW15" s="2001"/>
      <c r="BX15" s="2001"/>
      <c r="BY15" s="2001"/>
      <c r="BZ15" s="2001"/>
      <c r="CA15" s="2001"/>
      <c r="CB15" s="2001"/>
      <c r="CC15" s="2001"/>
      <c r="CD15" s="2001"/>
      <c r="CE15" s="2001"/>
      <c r="CF15" s="2001"/>
      <c r="CG15" s="2001">
        <v>1</v>
      </c>
      <c r="CH15" s="2001"/>
      <c r="CI15" s="2001">
        <v>1</v>
      </c>
      <c r="CJ15" s="2001"/>
      <c r="CK15" s="105"/>
      <c r="CL15" s="105"/>
      <c r="CM15" s="105">
        <v>2</v>
      </c>
      <c r="CN15" s="41"/>
      <c r="CR15" s="41"/>
      <c r="CS15" s="41" t="s">
        <v>1240</v>
      </c>
      <c r="CT15" s="1665"/>
      <c r="CU15" s="1665"/>
      <c r="CV15" s="1665">
        <v>0</v>
      </c>
      <c r="CW15" s="1665"/>
      <c r="CX15" s="1665"/>
      <c r="CY15" s="1665"/>
      <c r="CZ15" s="1665"/>
      <c r="DA15" s="1665"/>
      <c r="DB15" s="1665"/>
      <c r="DC15" s="1665">
        <v>2</v>
      </c>
      <c r="DD15" s="1665">
        <v>1</v>
      </c>
      <c r="DE15" s="1665">
        <v>0</v>
      </c>
      <c r="DF15" s="1665">
        <v>0</v>
      </c>
      <c r="DG15" s="1665">
        <v>0</v>
      </c>
      <c r="DH15" s="1665">
        <v>0</v>
      </c>
      <c r="DI15" s="41"/>
      <c r="DJ15" s="41"/>
      <c r="DK15" s="41">
        <v>3</v>
      </c>
      <c r="DL15" s="41"/>
      <c r="DN15" s="1375"/>
      <c r="DO15" s="1375"/>
      <c r="DP15" s="1375"/>
      <c r="DQ15" s="1376" t="s">
        <v>1240</v>
      </c>
      <c r="DR15" s="1377"/>
      <c r="DS15" s="1377"/>
      <c r="DT15" s="1377"/>
      <c r="DU15" s="1377"/>
      <c r="DV15" s="1377"/>
      <c r="DW15" s="1377"/>
      <c r="DX15" s="1377"/>
      <c r="DY15" s="1377"/>
      <c r="DZ15" s="1377"/>
      <c r="EA15" s="1377"/>
      <c r="EB15" s="1378">
        <v>2</v>
      </c>
      <c r="EC15" s="1378">
        <v>0</v>
      </c>
      <c r="ED15" s="1378">
        <v>0</v>
      </c>
      <c r="EE15" s="1379"/>
      <c r="EF15" s="1379"/>
      <c r="EG15" s="1380">
        <v>2</v>
      </c>
      <c r="EH15" s="41"/>
      <c r="EJ15" s="678"/>
      <c r="EK15" s="678" t="s">
        <v>16</v>
      </c>
      <c r="EL15" s="678" t="s">
        <v>118</v>
      </c>
      <c r="EM15" s="679" t="s">
        <v>1231</v>
      </c>
      <c r="EN15" s="680"/>
      <c r="EO15" s="681">
        <v>1</v>
      </c>
      <c r="EP15" s="681">
        <v>0</v>
      </c>
      <c r="EQ15" s="680"/>
      <c r="ER15" s="680"/>
      <c r="ES15" s="680"/>
      <c r="ET15" s="680"/>
      <c r="EU15" s="681">
        <v>1</v>
      </c>
      <c r="EV15" s="680"/>
      <c r="EW15" s="681">
        <v>2</v>
      </c>
      <c r="EX15" s="681">
        <v>2</v>
      </c>
      <c r="EY15" s="681">
        <v>0</v>
      </c>
      <c r="EZ15" s="681">
        <v>1</v>
      </c>
      <c r="FA15" s="681">
        <v>1</v>
      </c>
      <c r="FB15" s="680"/>
      <c r="FC15" s="682"/>
      <c r="FD15" s="682"/>
      <c r="FE15" s="683">
        <v>8</v>
      </c>
      <c r="FF15" s="105"/>
      <c r="FH15" s="511"/>
      <c r="FI15" s="511"/>
      <c r="FJ15" s="511"/>
      <c r="FK15" s="511"/>
      <c r="FL15" s="512" t="s">
        <v>1239</v>
      </c>
      <c r="FM15" s="685">
        <v>0</v>
      </c>
      <c r="FN15" s="684"/>
      <c r="FO15" s="684"/>
      <c r="FP15" s="685">
        <v>0</v>
      </c>
      <c r="FQ15" s="684"/>
      <c r="FR15" s="684"/>
      <c r="FS15" s="684"/>
      <c r="FT15" s="684"/>
      <c r="FU15" s="684"/>
      <c r="FV15" s="684"/>
      <c r="FW15" s="685">
        <v>0</v>
      </c>
      <c r="FX15" s="684"/>
      <c r="FY15" s="684"/>
      <c r="FZ15" s="685">
        <v>0</v>
      </c>
      <c r="GA15" s="685">
        <v>1</v>
      </c>
      <c r="GB15" s="686"/>
      <c r="GC15" s="686"/>
      <c r="GD15" s="687">
        <v>1</v>
      </c>
      <c r="GE15" s="635"/>
      <c r="GF15" s="41"/>
      <c r="GG15" s="688"/>
      <c r="GH15" s="688"/>
      <c r="GI15" s="688"/>
      <c r="GJ15" s="457" t="s">
        <v>1240</v>
      </c>
      <c r="GK15" s="689"/>
      <c r="GL15" s="689"/>
      <c r="GM15" s="689"/>
      <c r="GN15" s="689"/>
      <c r="GO15" s="689"/>
      <c r="GP15" s="689"/>
      <c r="GQ15" s="689"/>
      <c r="GR15" s="689"/>
      <c r="GS15" s="689"/>
      <c r="GT15" s="458">
        <v>1</v>
      </c>
      <c r="GU15" s="458">
        <v>0</v>
      </c>
      <c r="GV15" s="689"/>
      <c r="GW15" s="689"/>
      <c r="GX15" s="458">
        <v>1</v>
      </c>
      <c r="GY15" s="690"/>
      <c r="GZ15" s="41"/>
      <c r="HA15" s="41"/>
      <c r="HB15" s="105"/>
      <c r="HC15" s="105"/>
      <c r="HD15" s="41"/>
      <c r="HE15" s="41" t="s">
        <v>1239</v>
      </c>
      <c r="HF15" s="105"/>
      <c r="HG15" s="105"/>
      <c r="HH15" s="105"/>
      <c r="HI15" s="105"/>
      <c r="HJ15" s="105"/>
      <c r="HK15" s="105"/>
      <c r="HL15" s="105"/>
      <c r="HM15" s="105"/>
      <c r="HN15" s="105">
        <v>0</v>
      </c>
      <c r="HO15" s="105"/>
      <c r="HP15" s="105"/>
      <c r="HQ15" s="105">
        <v>0</v>
      </c>
      <c r="HR15" s="105"/>
      <c r="HS15" s="105"/>
      <c r="HT15" s="105"/>
      <c r="HU15" s="105">
        <v>2</v>
      </c>
      <c r="HV15" s="105">
        <v>2</v>
      </c>
      <c r="HW15" s="41"/>
      <c r="HX15" s="41"/>
      <c r="HY15" s="691"/>
      <c r="HZ15" s="691" t="s">
        <v>16</v>
      </c>
      <c r="IA15" s="691" t="s">
        <v>128</v>
      </c>
      <c r="IB15" s="691" t="s">
        <v>1231</v>
      </c>
      <c r="IC15" s="691">
        <v>0</v>
      </c>
      <c r="ID15" s="691">
        <v>0</v>
      </c>
      <c r="IE15" s="691">
        <v>0</v>
      </c>
      <c r="IF15" s="691">
        <v>0</v>
      </c>
      <c r="IG15" s="691">
        <v>0</v>
      </c>
      <c r="IH15" s="691">
        <v>0</v>
      </c>
      <c r="II15" s="691">
        <v>0</v>
      </c>
      <c r="IJ15" s="691">
        <v>0</v>
      </c>
      <c r="IK15" s="691">
        <v>0</v>
      </c>
      <c r="IL15" s="691">
        <v>0</v>
      </c>
      <c r="IM15" s="691">
        <v>2</v>
      </c>
      <c r="IN15" s="691">
        <v>0</v>
      </c>
      <c r="IO15" s="691">
        <v>0</v>
      </c>
      <c r="IP15" s="691">
        <v>0</v>
      </c>
      <c r="IQ15" s="691">
        <v>0</v>
      </c>
      <c r="IR15" s="691">
        <v>0</v>
      </c>
      <c r="IS15" s="691">
        <v>2</v>
      </c>
      <c r="IT15" s="691"/>
      <c r="IU15" s="692"/>
    </row>
    <row r="16" spans="1:255">
      <c r="D16" s="4800" t="s">
        <v>15</v>
      </c>
      <c r="E16" s="4606"/>
      <c r="F16" s="4606"/>
      <c r="G16" s="4606"/>
      <c r="H16" s="4606"/>
      <c r="I16" s="4606"/>
      <c r="J16" s="4606"/>
      <c r="K16" s="4606"/>
      <c r="L16" s="4606"/>
      <c r="M16" s="4606"/>
      <c r="N16" s="4606"/>
      <c r="O16" s="4606">
        <v>1</v>
      </c>
      <c r="P16" s="4606"/>
      <c r="Q16" s="4606"/>
      <c r="R16" s="4606"/>
      <c r="S16" s="2552"/>
      <c r="T16" s="2552"/>
      <c r="U16" s="2552">
        <v>1</v>
      </c>
      <c r="V16" s="1977">
        <f>+(U15)/(U16)</f>
        <v>1</v>
      </c>
      <c r="AA16" s="1793" t="s">
        <v>15</v>
      </c>
      <c r="AB16" s="4804"/>
      <c r="AC16" s="4804"/>
      <c r="AD16" s="4804"/>
      <c r="AE16" s="4804"/>
      <c r="AF16" s="4804"/>
      <c r="AG16" s="4804"/>
      <c r="AH16" s="4804"/>
      <c r="AI16" s="4804"/>
      <c r="AJ16" s="4804"/>
      <c r="AK16" s="4804"/>
      <c r="AL16" s="4804">
        <v>1</v>
      </c>
      <c r="AM16" s="4804"/>
      <c r="AN16" s="4804"/>
      <c r="AO16" s="4804"/>
      <c r="AP16" s="4702"/>
      <c r="AQ16" s="4702">
        <v>1</v>
      </c>
      <c r="AR16" s="4703">
        <f>+AQ15/AQ16</f>
        <v>1</v>
      </c>
      <c r="AT16" s="41"/>
      <c r="AU16" s="41"/>
      <c r="AV16" s="461" t="s">
        <v>544</v>
      </c>
      <c r="AW16" s="461" t="s">
        <v>1231</v>
      </c>
      <c r="AX16" s="2489"/>
      <c r="AY16" s="2489"/>
      <c r="AZ16" s="2489"/>
      <c r="BA16" s="2489"/>
      <c r="BB16" s="2489">
        <v>1</v>
      </c>
      <c r="BC16" s="2489"/>
      <c r="BD16" s="2489"/>
      <c r="BE16" s="2489"/>
      <c r="BF16" s="2489"/>
      <c r="BG16" s="2489">
        <v>0</v>
      </c>
      <c r="BH16" s="2489"/>
      <c r="BI16" s="2489">
        <v>0</v>
      </c>
      <c r="BJ16" s="2489"/>
      <c r="BK16" s="2489">
        <v>1</v>
      </c>
      <c r="BL16" s="2489">
        <v>0</v>
      </c>
      <c r="BM16" s="461"/>
      <c r="BN16" s="461">
        <v>0</v>
      </c>
      <c r="BO16" s="461">
        <v>2</v>
      </c>
      <c r="BP16" s="41"/>
      <c r="BR16" s="41"/>
      <c r="BS16" s="41"/>
      <c r="BT16" s="41"/>
      <c r="BU16" s="461" t="s">
        <v>15</v>
      </c>
      <c r="BV16" s="2002"/>
      <c r="BW16" s="2002"/>
      <c r="BX16" s="2002"/>
      <c r="BY16" s="2002"/>
      <c r="BZ16" s="2002"/>
      <c r="CA16" s="2002"/>
      <c r="CB16" s="2002"/>
      <c r="CC16" s="2002"/>
      <c r="CD16" s="2002"/>
      <c r="CE16" s="2002"/>
      <c r="CF16" s="2002"/>
      <c r="CG16" s="2002">
        <v>1</v>
      </c>
      <c r="CH16" s="2002"/>
      <c r="CI16" s="2002">
        <v>1</v>
      </c>
      <c r="CJ16" s="2002"/>
      <c r="CK16" s="96"/>
      <c r="CL16" s="96"/>
      <c r="CM16" s="96">
        <v>2</v>
      </c>
      <c r="CN16" s="635">
        <f>+CM15/CM16</f>
        <v>1</v>
      </c>
      <c r="CR16" s="41"/>
      <c r="CS16" s="461" t="s">
        <v>15</v>
      </c>
      <c r="CT16" s="1666"/>
      <c r="CU16" s="1666"/>
      <c r="CV16" s="1666">
        <v>1</v>
      </c>
      <c r="CW16" s="1666"/>
      <c r="CX16" s="1666"/>
      <c r="CY16" s="1666"/>
      <c r="CZ16" s="1666"/>
      <c r="DA16" s="1666"/>
      <c r="DB16" s="1666"/>
      <c r="DC16" s="1666">
        <v>2</v>
      </c>
      <c r="DD16" s="1666">
        <v>2</v>
      </c>
      <c r="DE16" s="1666">
        <v>1</v>
      </c>
      <c r="DF16" s="1666">
        <v>1</v>
      </c>
      <c r="DG16" s="1666">
        <v>3</v>
      </c>
      <c r="DH16" s="1666">
        <v>1</v>
      </c>
      <c r="DI16" s="461"/>
      <c r="DJ16" s="461"/>
      <c r="DK16" s="461">
        <v>11</v>
      </c>
      <c r="DL16" s="635">
        <f>+DK15/DK16</f>
        <v>0.27272727272727271</v>
      </c>
      <c r="DN16" s="1375"/>
      <c r="DO16" s="1375"/>
      <c r="DP16" s="1375"/>
      <c r="DQ16" s="1376" t="s">
        <v>1344</v>
      </c>
      <c r="DR16" s="1377"/>
      <c r="DS16" s="1377"/>
      <c r="DT16" s="1377"/>
      <c r="DU16" s="1377"/>
      <c r="DV16" s="1377"/>
      <c r="DW16" s="1377"/>
      <c r="DX16" s="1377"/>
      <c r="DY16" s="1377"/>
      <c r="DZ16" s="1377"/>
      <c r="EA16" s="1377"/>
      <c r="EB16" s="1378">
        <v>1</v>
      </c>
      <c r="EC16" s="1378">
        <v>0</v>
      </c>
      <c r="ED16" s="1378">
        <v>0</v>
      </c>
      <c r="EE16" s="1379"/>
      <c r="EF16" s="1379"/>
      <c r="EG16" s="1380">
        <v>1</v>
      </c>
      <c r="EH16" s="41"/>
      <c r="EJ16" s="678"/>
      <c r="EK16" s="678"/>
      <c r="EL16" s="678"/>
      <c r="EM16" s="679" t="s">
        <v>1233</v>
      </c>
      <c r="EN16" s="680"/>
      <c r="EO16" s="681">
        <v>0</v>
      </c>
      <c r="EP16" s="681">
        <v>1</v>
      </c>
      <c r="EQ16" s="680"/>
      <c r="ER16" s="680"/>
      <c r="ES16" s="680"/>
      <c r="ET16" s="680"/>
      <c r="EU16" s="681">
        <v>0</v>
      </c>
      <c r="EV16" s="680"/>
      <c r="EW16" s="681">
        <v>1</v>
      </c>
      <c r="EX16" s="681">
        <v>0</v>
      </c>
      <c r="EY16" s="681">
        <v>0</v>
      </c>
      <c r="EZ16" s="681">
        <v>0</v>
      </c>
      <c r="FA16" s="681">
        <v>0</v>
      </c>
      <c r="FB16" s="680"/>
      <c r="FC16" s="682"/>
      <c r="FD16" s="682"/>
      <c r="FE16" s="683">
        <v>2</v>
      </c>
      <c r="FF16" s="105"/>
      <c r="FH16" s="511"/>
      <c r="FI16" s="511"/>
      <c r="FJ16" s="511"/>
      <c r="FK16" s="511"/>
      <c r="FL16" s="512" t="s">
        <v>1344</v>
      </c>
      <c r="FM16" s="685">
        <v>0</v>
      </c>
      <c r="FN16" s="684"/>
      <c r="FO16" s="684"/>
      <c r="FP16" s="685">
        <v>0</v>
      </c>
      <c r="FQ16" s="684"/>
      <c r="FR16" s="684"/>
      <c r="FS16" s="684"/>
      <c r="FT16" s="684"/>
      <c r="FU16" s="684"/>
      <c r="FV16" s="684"/>
      <c r="FW16" s="685">
        <v>2</v>
      </c>
      <c r="FX16" s="684"/>
      <c r="FY16" s="684"/>
      <c r="FZ16" s="685">
        <v>0</v>
      </c>
      <c r="GA16" s="685">
        <v>0</v>
      </c>
      <c r="GB16" s="686"/>
      <c r="GC16" s="686"/>
      <c r="GD16" s="687">
        <v>2</v>
      </c>
      <c r="GE16" s="635"/>
      <c r="GF16" s="41"/>
      <c r="GG16" s="688"/>
      <c r="GH16" s="688"/>
      <c r="GI16" s="688"/>
      <c r="GJ16" s="704" t="s">
        <v>15</v>
      </c>
      <c r="GK16" s="705"/>
      <c r="GL16" s="705"/>
      <c r="GM16" s="705"/>
      <c r="GN16" s="705"/>
      <c r="GO16" s="705"/>
      <c r="GP16" s="705"/>
      <c r="GQ16" s="705"/>
      <c r="GR16" s="705"/>
      <c r="GS16" s="705"/>
      <c r="GT16" s="463">
        <v>1</v>
      </c>
      <c r="GU16" s="463">
        <v>1</v>
      </c>
      <c r="GV16" s="705"/>
      <c r="GW16" s="705"/>
      <c r="GX16" s="463">
        <v>2</v>
      </c>
      <c r="GY16" s="628">
        <f>+GX15/GX16</f>
        <v>0.5</v>
      </c>
      <c r="GZ16" s="41"/>
      <c r="HA16" s="41"/>
      <c r="HB16" s="105"/>
      <c r="HC16" s="105"/>
      <c r="HD16" s="41"/>
      <c r="HE16" s="41" t="s">
        <v>1344</v>
      </c>
      <c r="HF16" s="105"/>
      <c r="HG16" s="105"/>
      <c r="HH16" s="105"/>
      <c r="HI16" s="105"/>
      <c r="HJ16" s="105"/>
      <c r="HK16" s="105"/>
      <c r="HL16" s="105"/>
      <c r="HM16" s="105"/>
      <c r="HN16" s="105">
        <v>1</v>
      </c>
      <c r="HO16" s="105"/>
      <c r="HP16" s="105"/>
      <c r="HQ16" s="105">
        <v>0</v>
      </c>
      <c r="HR16" s="105"/>
      <c r="HS16" s="105"/>
      <c r="HT16" s="105"/>
      <c r="HU16" s="105">
        <v>0</v>
      </c>
      <c r="HV16" s="105">
        <v>1</v>
      </c>
      <c r="HW16" s="41"/>
      <c r="HX16" s="41"/>
      <c r="HY16" s="691"/>
      <c r="HZ16" s="691"/>
      <c r="IA16" s="691"/>
      <c r="IB16" s="702" t="s">
        <v>15</v>
      </c>
      <c r="IC16" s="702">
        <v>0</v>
      </c>
      <c r="ID16" s="702">
        <v>0</v>
      </c>
      <c r="IE16" s="702">
        <v>0</v>
      </c>
      <c r="IF16" s="702">
        <v>0</v>
      </c>
      <c r="IG16" s="702">
        <v>0</v>
      </c>
      <c r="IH16" s="702">
        <v>0</v>
      </c>
      <c r="II16" s="702">
        <v>0</v>
      </c>
      <c r="IJ16" s="702">
        <v>0</v>
      </c>
      <c r="IK16" s="702">
        <v>0</v>
      </c>
      <c r="IL16" s="702">
        <v>0</v>
      </c>
      <c r="IM16" s="702">
        <v>2</v>
      </c>
      <c r="IN16" s="702">
        <v>0</v>
      </c>
      <c r="IO16" s="702">
        <v>0</v>
      </c>
      <c r="IP16" s="702">
        <v>0</v>
      </c>
      <c r="IQ16" s="702">
        <v>0</v>
      </c>
      <c r="IR16" s="702">
        <v>0</v>
      </c>
      <c r="IS16" s="702">
        <v>2</v>
      </c>
      <c r="IT16" s="703">
        <f>0/IS16</f>
        <v>0</v>
      </c>
      <c r="IU16" s="692">
        <v>0</v>
      </c>
    </row>
    <row r="17" spans="2:255">
      <c r="C17" s="4800" t="s">
        <v>2537</v>
      </c>
      <c r="D17" s="4800" t="s">
        <v>1231</v>
      </c>
      <c r="E17" s="4606"/>
      <c r="F17" s="4606"/>
      <c r="G17" s="4606"/>
      <c r="H17" s="4606"/>
      <c r="I17" s="4606">
        <v>1</v>
      </c>
      <c r="J17" s="4606">
        <v>1</v>
      </c>
      <c r="K17" s="4606">
        <v>1</v>
      </c>
      <c r="L17" s="4606"/>
      <c r="M17" s="4606"/>
      <c r="N17" s="4606"/>
      <c r="O17" s="4606"/>
      <c r="P17" s="4606">
        <v>0</v>
      </c>
      <c r="Q17" s="4606"/>
      <c r="R17" s="4606">
        <v>0</v>
      </c>
      <c r="S17" s="2552"/>
      <c r="T17" s="2552"/>
      <c r="U17" s="2552">
        <v>3</v>
      </c>
      <c r="V17" s="2552"/>
      <c r="Z17" s="37" t="s">
        <v>2537</v>
      </c>
      <c r="AA17" s="37" t="s">
        <v>1231</v>
      </c>
      <c r="AB17" s="4803"/>
      <c r="AC17" s="4803"/>
      <c r="AD17" s="4803"/>
      <c r="AE17" s="4803"/>
      <c r="AF17" s="4803">
        <v>1</v>
      </c>
      <c r="AG17" s="4803">
        <v>1</v>
      </c>
      <c r="AH17" s="4803">
        <v>1</v>
      </c>
      <c r="AI17" s="4803"/>
      <c r="AJ17" s="4803"/>
      <c r="AK17" s="4803"/>
      <c r="AL17" s="4803"/>
      <c r="AM17" s="4803">
        <v>0</v>
      </c>
      <c r="AN17" s="4803">
        <v>0</v>
      </c>
      <c r="AO17" s="4803"/>
      <c r="AP17" s="1788"/>
      <c r="AQ17" s="1788">
        <v>3</v>
      </c>
      <c r="AT17" s="41"/>
      <c r="AU17" s="41"/>
      <c r="AV17" s="461"/>
      <c r="AW17" s="461" t="s">
        <v>1235</v>
      </c>
      <c r="AX17" s="2489"/>
      <c r="AY17" s="2489"/>
      <c r="AZ17" s="2489"/>
      <c r="BA17" s="2489"/>
      <c r="BB17" s="2489">
        <v>0</v>
      </c>
      <c r="BC17" s="2489"/>
      <c r="BD17" s="2489"/>
      <c r="BE17" s="2489"/>
      <c r="BF17" s="2489"/>
      <c r="BG17" s="2489">
        <v>2</v>
      </c>
      <c r="BH17" s="2489"/>
      <c r="BI17" s="2489">
        <v>0</v>
      </c>
      <c r="BJ17" s="2489"/>
      <c r="BK17" s="2489">
        <v>0</v>
      </c>
      <c r="BL17" s="2489">
        <v>0</v>
      </c>
      <c r="BM17" s="461"/>
      <c r="BN17" s="461">
        <v>0</v>
      </c>
      <c r="BO17" s="461">
        <v>2</v>
      </c>
      <c r="BP17" s="41"/>
      <c r="BR17" s="41"/>
      <c r="BS17" s="41"/>
      <c r="BT17" s="41" t="s">
        <v>2537</v>
      </c>
      <c r="BU17" s="41" t="s">
        <v>1239</v>
      </c>
      <c r="BV17" s="2001"/>
      <c r="BW17" s="2001"/>
      <c r="BX17" s="2001"/>
      <c r="BY17" s="2001"/>
      <c r="BZ17" s="2001"/>
      <c r="CA17" s="2001"/>
      <c r="CB17" s="2001"/>
      <c r="CC17" s="2001"/>
      <c r="CD17" s="2001"/>
      <c r="CE17" s="2001"/>
      <c r="CF17" s="2001"/>
      <c r="CG17" s="2001">
        <v>1</v>
      </c>
      <c r="CH17" s="2001"/>
      <c r="CI17" s="2001"/>
      <c r="CJ17" s="2001"/>
      <c r="CK17" s="105"/>
      <c r="CL17" s="105"/>
      <c r="CM17" s="105">
        <v>1</v>
      </c>
      <c r="CN17" s="41"/>
      <c r="CR17" s="41" t="s">
        <v>545</v>
      </c>
      <c r="CS17" s="41" t="s">
        <v>1230</v>
      </c>
      <c r="CT17" s="1665"/>
      <c r="CU17" s="1665"/>
      <c r="CV17" s="1665">
        <v>0</v>
      </c>
      <c r="CW17" s="1665"/>
      <c r="CX17" s="1665"/>
      <c r="CY17" s="1665"/>
      <c r="CZ17" s="1665"/>
      <c r="DA17" s="1665"/>
      <c r="DB17" s="1665"/>
      <c r="DC17" s="1665">
        <v>0</v>
      </c>
      <c r="DD17" s="1665">
        <v>1</v>
      </c>
      <c r="DE17" s="1665">
        <v>1</v>
      </c>
      <c r="DF17" s="1665">
        <v>1</v>
      </c>
      <c r="DG17" s="1665">
        <v>2</v>
      </c>
      <c r="DH17" s="1665">
        <v>1</v>
      </c>
      <c r="DI17" s="41"/>
      <c r="DJ17" s="41"/>
      <c r="DK17" s="41">
        <v>6</v>
      </c>
      <c r="DL17" s="41"/>
      <c r="DN17" s="1375"/>
      <c r="DO17" s="1375"/>
      <c r="DP17" s="1375"/>
      <c r="DQ17" s="1372" t="s">
        <v>15</v>
      </c>
      <c r="DR17" s="1381"/>
      <c r="DS17" s="1381"/>
      <c r="DT17" s="1381"/>
      <c r="DU17" s="1381"/>
      <c r="DV17" s="1381"/>
      <c r="DW17" s="1381"/>
      <c r="DX17" s="1381"/>
      <c r="DY17" s="1381"/>
      <c r="DZ17" s="1381"/>
      <c r="EA17" s="1381"/>
      <c r="EB17" s="1382">
        <v>7</v>
      </c>
      <c r="EC17" s="1382">
        <v>2</v>
      </c>
      <c r="ED17" s="1382">
        <v>2</v>
      </c>
      <c r="EE17" s="1383"/>
      <c r="EF17" s="1383"/>
      <c r="EG17" s="1384">
        <v>11</v>
      </c>
      <c r="EH17" s="1325">
        <f>+(EG15+EG16)/EG17</f>
        <v>0.27272727272727271</v>
      </c>
      <c r="EJ17" s="678"/>
      <c r="EK17" s="678"/>
      <c r="EL17" s="678"/>
      <c r="EM17" s="679" t="s">
        <v>1235</v>
      </c>
      <c r="EN17" s="680"/>
      <c r="EO17" s="681">
        <v>0</v>
      </c>
      <c r="EP17" s="681">
        <v>0</v>
      </c>
      <c r="EQ17" s="680"/>
      <c r="ER17" s="680"/>
      <c r="ES17" s="680"/>
      <c r="ET17" s="680"/>
      <c r="EU17" s="681">
        <v>0</v>
      </c>
      <c r="EV17" s="680"/>
      <c r="EW17" s="681">
        <v>0</v>
      </c>
      <c r="EX17" s="681">
        <v>1</v>
      </c>
      <c r="EY17" s="681">
        <v>0</v>
      </c>
      <c r="EZ17" s="681">
        <v>0</v>
      </c>
      <c r="FA17" s="681">
        <v>0</v>
      </c>
      <c r="FB17" s="680"/>
      <c r="FC17" s="682"/>
      <c r="FD17" s="682"/>
      <c r="FE17" s="683">
        <v>1</v>
      </c>
      <c r="FF17" s="105"/>
      <c r="FH17" s="511"/>
      <c r="FI17" s="511"/>
      <c r="FJ17" s="511"/>
      <c r="FK17" s="41"/>
      <c r="FL17" s="532" t="s">
        <v>544</v>
      </c>
      <c r="FM17" s="694">
        <v>1</v>
      </c>
      <c r="FN17" s="693"/>
      <c r="FO17" s="693"/>
      <c r="FP17" s="694">
        <v>1</v>
      </c>
      <c r="FQ17" s="693"/>
      <c r="FR17" s="693"/>
      <c r="FS17" s="693"/>
      <c r="FT17" s="693"/>
      <c r="FU17" s="693"/>
      <c r="FV17" s="693"/>
      <c r="FW17" s="694">
        <v>2</v>
      </c>
      <c r="FX17" s="693"/>
      <c r="FY17" s="693"/>
      <c r="FZ17" s="694">
        <v>1</v>
      </c>
      <c r="GA17" s="694">
        <v>1</v>
      </c>
      <c r="GB17" s="695"/>
      <c r="GC17" s="695"/>
      <c r="GD17" s="696">
        <v>6</v>
      </c>
      <c r="GE17" s="635">
        <f>+(GD16+GD14)/GD17</f>
        <v>0.5</v>
      </c>
      <c r="GF17" s="41"/>
      <c r="GG17" s="688"/>
      <c r="GH17" s="688"/>
      <c r="GI17" s="41"/>
      <c r="GJ17" s="41"/>
      <c r="GK17" s="41"/>
      <c r="GL17" s="41"/>
      <c r="GM17" s="41"/>
      <c r="GN17" s="41"/>
      <c r="GO17" s="41"/>
      <c r="GP17" s="41"/>
      <c r="GQ17" s="41"/>
      <c r="GR17" s="41"/>
      <c r="GS17" s="41"/>
      <c r="GT17" s="41"/>
      <c r="GU17" s="41"/>
      <c r="GV17" s="41"/>
      <c r="GW17" s="41"/>
      <c r="GX17" s="41"/>
      <c r="GY17" s="41"/>
      <c r="GZ17" s="41"/>
      <c r="HA17" s="41"/>
      <c r="HB17" s="105"/>
      <c r="HC17" s="105"/>
      <c r="HD17" s="41"/>
      <c r="HE17" s="461" t="s">
        <v>15</v>
      </c>
      <c r="HF17" s="96"/>
      <c r="HG17" s="96"/>
      <c r="HH17" s="96"/>
      <c r="HI17" s="96"/>
      <c r="HJ17" s="96"/>
      <c r="HK17" s="96"/>
      <c r="HL17" s="96"/>
      <c r="HM17" s="96"/>
      <c r="HN17" s="96">
        <v>2</v>
      </c>
      <c r="HO17" s="96"/>
      <c r="HP17" s="96"/>
      <c r="HQ17" s="96">
        <v>1</v>
      </c>
      <c r="HR17" s="96"/>
      <c r="HS17" s="96"/>
      <c r="HT17" s="96"/>
      <c r="HU17" s="96">
        <v>2</v>
      </c>
      <c r="HV17" s="96">
        <v>5</v>
      </c>
      <c r="HW17" s="706">
        <f>+HV16/HV17</f>
        <v>0.2</v>
      </c>
      <c r="HX17" s="41"/>
      <c r="HY17" s="691"/>
      <c r="HZ17" s="691" t="s">
        <v>104</v>
      </c>
      <c r="IA17" s="691" t="s">
        <v>105</v>
      </c>
      <c r="IB17" s="691" t="s">
        <v>1231</v>
      </c>
      <c r="IC17" s="691">
        <v>0</v>
      </c>
      <c r="ID17" s="691">
        <v>0</v>
      </c>
      <c r="IE17" s="691">
        <v>0</v>
      </c>
      <c r="IF17" s="691">
        <v>0</v>
      </c>
      <c r="IG17" s="691">
        <v>0</v>
      </c>
      <c r="IH17" s="691">
        <v>1</v>
      </c>
      <c r="II17" s="691">
        <v>0</v>
      </c>
      <c r="IJ17" s="691">
        <v>0</v>
      </c>
      <c r="IK17" s="691">
        <v>0</v>
      </c>
      <c r="IL17" s="691">
        <v>0</v>
      </c>
      <c r="IM17" s="691">
        <v>0</v>
      </c>
      <c r="IN17" s="691">
        <v>0</v>
      </c>
      <c r="IO17" s="691">
        <v>0</v>
      </c>
      <c r="IP17" s="691">
        <v>0</v>
      </c>
      <c r="IQ17" s="691">
        <v>0</v>
      </c>
      <c r="IR17" s="691">
        <v>0</v>
      </c>
      <c r="IS17" s="691">
        <v>1</v>
      </c>
      <c r="IT17" s="691"/>
      <c r="IU17" s="692"/>
    </row>
    <row r="18" spans="2:255">
      <c r="D18" s="4800" t="s">
        <v>1239</v>
      </c>
      <c r="E18" s="4606"/>
      <c r="F18" s="4606"/>
      <c r="G18" s="4606"/>
      <c r="H18" s="4606"/>
      <c r="I18" s="4606">
        <v>0</v>
      </c>
      <c r="J18" s="4606">
        <v>0</v>
      </c>
      <c r="K18" s="4606">
        <v>0</v>
      </c>
      <c r="L18" s="4606"/>
      <c r="M18" s="4606"/>
      <c r="N18" s="4606"/>
      <c r="O18" s="4606"/>
      <c r="P18" s="4606">
        <v>0</v>
      </c>
      <c r="Q18" s="4606"/>
      <c r="R18" s="4606">
        <v>1</v>
      </c>
      <c r="S18" s="2552"/>
      <c r="T18" s="2552"/>
      <c r="U18" s="2552">
        <v>1</v>
      </c>
      <c r="V18" s="2552"/>
      <c r="AA18" s="37" t="s">
        <v>1235</v>
      </c>
      <c r="AB18" s="4803"/>
      <c r="AC18" s="4803"/>
      <c r="AD18" s="4803"/>
      <c r="AE18" s="4803"/>
      <c r="AF18" s="4803">
        <v>0</v>
      </c>
      <c r="AG18" s="4803">
        <v>0</v>
      </c>
      <c r="AH18" s="4803">
        <v>0</v>
      </c>
      <c r="AI18" s="4803"/>
      <c r="AJ18" s="4803"/>
      <c r="AK18" s="4803"/>
      <c r="AL18" s="4803"/>
      <c r="AM18" s="4803">
        <v>1</v>
      </c>
      <c r="AN18" s="4803">
        <v>0</v>
      </c>
      <c r="AO18" s="4803"/>
      <c r="AP18" s="1788"/>
      <c r="AQ18" s="1788">
        <v>1</v>
      </c>
      <c r="AT18" s="41"/>
      <c r="AU18" s="41"/>
      <c r="AV18" s="461"/>
      <c r="AW18" s="461" t="s">
        <v>1239</v>
      </c>
      <c r="AX18" s="2489"/>
      <c r="AY18" s="2489"/>
      <c r="AZ18" s="2489"/>
      <c r="BA18" s="2489"/>
      <c r="BB18" s="2489">
        <v>0</v>
      </c>
      <c r="BC18" s="2489"/>
      <c r="BD18" s="2489"/>
      <c r="BE18" s="2489"/>
      <c r="BF18" s="2489"/>
      <c r="BG18" s="2489">
        <v>0</v>
      </c>
      <c r="BH18" s="2489"/>
      <c r="BI18" s="2489">
        <v>0</v>
      </c>
      <c r="BJ18" s="2489"/>
      <c r="BK18" s="2489">
        <v>0</v>
      </c>
      <c r="BL18" s="2489">
        <v>1</v>
      </c>
      <c r="BM18" s="461"/>
      <c r="BN18" s="461">
        <v>1</v>
      </c>
      <c r="BO18" s="461">
        <v>2</v>
      </c>
      <c r="BP18" s="41"/>
      <c r="BR18" s="41"/>
      <c r="BS18" s="41"/>
      <c r="BT18" s="41"/>
      <c r="BU18" s="461" t="s">
        <v>15</v>
      </c>
      <c r="BV18" s="2002"/>
      <c r="BW18" s="2002"/>
      <c r="BX18" s="2002"/>
      <c r="BY18" s="2002"/>
      <c r="BZ18" s="2002"/>
      <c r="CA18" s="2002"/>
      <c r="CB18" s="2002"/>
      <c r="CC18" s="2002"/>
      <c r="CD18" s="2002"/>
      <c r="CE18" s="2002"/>
      <c r="CF18" s="2002"/>
      <c r="CG18" s="2002">
        <v>1</v>
      </c>
      <c r="CH18" s="2002"/>
      <c r="CI18" s="2002"/>
      <c r="CJ18" s="2002"/>
      <c r="CK18" s="96"/>
      <c r="CL18" s="96"/>
      <c r="CM18" s="96">
        <v>1</v>
      </c>
      <c r="CN18" s="635">
        <v>0</v>
      </c>
      <c r="CR18" s="41"/>
      <c r="CS18" s="41" t="s">
        <v>1231</v>
      </c>
      <c r="CT18" s="1665"/>
      <c r="CU18" s="1665"/>
      <c r="CV18" s="1665">
        <v>1</v>
      </c>
      <c r="CW18" s="1665"/>
      <c r="CX18" s="1665"/>
      <c r="CY18" s="1665"/>
      <c r="CZ18" s="1665"/>
      <c r="DA18" s="1665"/>
      <c r="DB18" s="1665"/>
      <c r="DC18" s="1665">
        <v>0</v>
      </c>
      <c r="DD18" s="1665">
        <v>0</v>
      </c>
      <c r="DE18" s="1665">
        <v>0</v>
      </c>
      <c r="DF18" s="1665">
        <v>0</v>
      </c>
      <c r="DG18" s="1665">
        <v>1</v>
      </c>
      <c r="DH18" s="1665">
        <v>0</v>
      </c>
      <c r="DI18" s="41"/>
      <c r="DJ18" s="41"/>
      <c r="DK18" s="41">
        <v>2</v>
      </c>
      <c r="DL18" s="41"/>
      <c r="DN18" s="1375"/>
      <c r="DO18" s="1375"/>
      <c r="DP18" s="1375" t="s">
        <v>545</v>
      </c>
      <c r="DQ18" s="1376" t="s">
        <v>1231</v>
      </c>
      <c r="DR18" s="1377"/>
      <c r="DS18" s="1377"/>
      <c r="DT18" s="1377"/>
      <c r="DU18" s="1377"/>
      <c r="DV18" s="1377"/>
      <c r="DW18" s="1377"/>
      <c r="DX18" s="1377"/>
      <c r="DY18" s="1377"/>
      <c r="DZ18" s="1377"/>
      <c r="EA18" s="1377"/>
      <c r="EB18" s="1378">
        <v>4</v>
      </c>
      <c r="EC18" s="1378">
        <v>1</v>
      </c>
      <c r="ED18" s="1378">
        <v>0</v>
      </c>
      <c r="EE18" s="1379"/>
      <c r="EF18" s="1379"/>
      <c r="EG18" s="1380">
        <v>5</v>
      </c>
      <c r="EH18" s="41"/>
      <c r="EJ18" s="678"/>
      <c r="EK18" s="678"/>
      <c r="EL18" s="678"/>
      <c r="EM18" s="679" t="s">
        <v>1240</v>
      </c>
      <c r="EN18" s="680"/>
      <c r="EO18" s="681">
        <v>0</v>
      </c>
      <c r="EP18" s="681">
        <v>0</v>
      </c>
      <c r="EQ18" s="680"/>
      <c r="ER18" s="680"/>
      <c r="ES18" s="680"/>
      <c r="ET18" s="680"/>
      <c r="EU18" s="681">
        <v>0</v>
      </c>
      <c r="EV18" s="680"/>
      <c r="EW18" s="681">
        <v>0</v>
      </c>
      <c r="EX18" s="681">
        <v>1</v>
      </c>
      <c r="EY18" s="681">
        <v>1</v>
      </c>
      <c r="EZ18" s="681">
        <v>0</v>
      </c>
      <c r="FA18" s="681">
        <v>0</v>
      </c>
      <c r="FB18" s="680"/>
      <c r="FC18" s="682"/>
      <c r="FD18" s="682"/>
      <c r="FE18" s="683">
        <v>2</v>
      </c>
      <c r="FF18" s="105"/>
      <c r="FH18" s="511"/>
      <c r="FI18" s="511" t="s">
        <v>16</v>
      </c>
      <c r="FJ18" s="511" t="s">
        <v>119</v>
      </c>
      <c r="FK18" s="511" t="s">
        <v>1229</v>
      </c>
      <c r="FL18" s="512" t="s">
        <v>1231</v>
      </c>
      <c r="FM18" s="684"/>
      <c r="FN18" s="684"/>
      <c r="FO18" s="684"/>
      <c r="FP18" s="684"/>
      <c r="FQ18" s="684"/>
      <c r="FR18" s="684"/>
      <c r="FS18" s="685">
        <v>1</v>
      </c>
      <c r="FT18" s="684"/>
      <c r="FU18" s="685">
        <v>0</v>
      </c>
      <c r="FV18" s="684"/>
      <c r="FW18" s="684"/>
      <c r="FX18" s="684"/>
      <c r="FY18" s="685">
        <v>0</v>
      </c>
      <c r="FZ18" s="685">
        <v>0</v>
      </c>
      <c r="GA18" s="684"/>
      <c r="GB18" s="686"/>
      <c r="GC18" s="686"/>
      <c r="GD18" s="687">
        <v>1</v>
      </c>
      <c r="GE18" s="635"/>
      <c r="GF18" s="41"/>
      <c r="GG18" s="688"/>
      <c r="GH18" s="688"/>
      <c r="GI18" s="41"/>
      <c r="GJ18" s="41"/>
      <c r="GK18" s="41"/>
      <c r="GL18" s="41"/>
      <c r="GM18" s="41"/>
      <c r="GN18" s="41"/>
      <c r="GO18" s="41"/>
      <c r="GP18" s="41"/>
      <c r="GQ18" s="41"/>
      <c r="GR18" s="41"/>
      <c r="GS18" s="41"/>
      <c r="GT18" s="41"/>
      <c r="GU18" s="41"/>
      <c r="GV18" s="41"/>
      <c r="GW18" s="41"/>
      <c r="GX18" s="41"/>
      <c r="GY18" s="41"/>
      <c r="GZ18" s="41"/>
      <c r="HA18" s="41"/>
      <c r="HB18" s="105"/>
      <c r="HC18" s="105"/>
      <c r="HD18" s="41" t="s">
        <v>118</v>
      </c>
      <c r="HE18" s="41" t="s">
        <v>1231</v>
      </c>
      <c r="HF18" s="105"/>
      <c r="HG18" s="105"/>
      <c r="HH18" s="105"/>
      <c r="HI18" s="105"/>
      <c r="HJ18" s="105"/>
      <c r="HK18" s="105"/>
      <c r="HL18" s="105"/>
      <c r="HM18" s="105"/>
      <c r="HN18" s="105">
        <v>4</v>
      </c>
      <c r="HO18" s="105">
        <v>6</v>
      </c>
      <c r="HP18" s="105">
        <v>1</v>
      </c>
      <c r="HQ18" s="105"/>
      <c r="HR18" s="105"/>
      <c r="HS18" s="105"/>
      <c r="HT18" s="105"/>
      <c r="HU18" s="105"/>
      <c r="HV18" s="105">
        <v>11</v>
      </c>
      <c r="HW18" s="41"/>
      <c r="HX18" s="41"/>
      <c r="HY18" s="691"/>
      <c r="HZ18" s="691"/>
      <c r="IA18" s="691"/>
      <c r="IB18" s="691" t="s">
        <v>1235</v>
      </c>
      <c r="IC18" s="691">
        <v>0</v>
      </c>
      <c r="ID18" s="691">
        <v>0</v>
      </c>
      <c r="IE18" s="691">
        <v>0</v>
      </c>
      <c r="IF18" s="691">
        <v>0</v>
      </c>
      <c r="IG18" s="691">
        <v>0</v>
      </c>
      <c r="IH18" s="691">
        <v>1</v>
      </c>
      <c r="II18" s="691">
        <v>0</v>
      </c>
      <c r="IJ18" s="691">
        <v>0</v>
      </c>
      <c r="IK18" s="691">
        <v>0</v>
      </c>
      <c r="IL18" s="691">
        <v>0</v>
      </c>
      <c r="IM18" s="691">
        <v>0</v>
      </c>
      <c r="IN18" s="691">
        <v>0</v>
      </c>
      <c r="IO18" s="691">
        <v>0</v>
      </c>
      <c r="IP18" s="691">
        <v>0</v>
      </c>
      <c r="IQ18" s="691">
        <v>0</v>
      </c>
      <c r="IR18" s="691">
        <v>0</v>
      </c>
      <c r="IS18" s="691">
        <v>1</v>
      </c>
      <c r="IT18" s="691"/>
      <c r="IU18" s="692"/>
    </row>
    <row r="19" spans="2:255">
      <c r="D19" s="4800" t="s">
        <v>1344</v>
      </c>
      <c r="E19" s="4606"/>
      <c r="F19" s="4606"/>
      <c r="G19" s="4606"/>
      <c r="H19" s="4606"/>
      <c r="I19" s="4606">
        <v>0</v>
      </c>
      <c r="J19" s="4606">
        <v>0</v>
      </c>
      <c r="K19" s="4606">
        <v>0</v>
      </c>
      <c r="L19" s="4606"/>
      <c r="M19" s="4606"/>
      <c r="N19" s="4606"/>
      <c r="O19" s="4606"/>
      <c r="P19" s="4606">
        <v>1</v>
      </c>
      <c r="Q19" s="4606"/>
      <c r="R19" s="4606">
        <v>0</v>
      </c>
      <c r="S19" s="2552"/>
      <c r="T19" s="2552"/>
      <c r="U19" s="2552">
        <v>1</v>
      </c>
      <c r="V19" s="2552"/>
      <c r="AA19" s="37" t="s">
        <v>1239</v>
      </c>
      <c r="AB19" s="4803"/>
      <c r="AC19" s="4803"/>
      <c r="AD19" s="4803"/>
      <c r="AE19" s="4803"/>
      <c r="AF19" s="4803">
        <v>0</v>
      </c>
      <c r="AG19" s="4803">
        <v>0</v>
      </c>
      <c r="AH19" s="4803">
        <v>0</v>
      </c>
      <c r="AI19" s="4803"/>
      <c r="AJ19" s="4803"/>
      <c r="AK19" s="4803"/>
      <c r="AL19" s="4803"/>
      <c r="AM19" s="4803">
        <v>0</v>
      </c>
      <c r="AN19" s="4803">
        <v>1</v>
      </c>
      <c r="AO19" s="4803"/>
      <c r="AP19" s="1788"/>
      <c r="AQ19" s="1788">
        <v>1</v>
      </c>
      <c r="AT19" s="41"/>
      <c r="AU19" s="41"/>
      <c r="AV19" s="461"/>
      <c r="AW19" s="461" t="s">
        <v>1240</v>
      </c>
      <c r="AX19" s="2489"/>
      <c r="AY19" s="2489"/>
      <c r="AZ19" s="2489"/>
      <c r="BA19" s="2489"/>
      <c r="BB19" s="2489">
        <v>0</v>
      </c>
      <c r="BC19" s="2489"/>
      <c r="BD19" s="2489"/>
      <c r="BE19" s="2489"/>
      <c r="BF19" s="2489"/>
      <c r="BG19" s="2489">
        <v>3</v>
      </c>
      <c r="BH19" s="2489"/>
      <c r="BI19" s="2489">
        <v>1</v>
      </c>
      <c r="BJ19" s="2489"/>
      <c r="BK19" s="2489">
        <v>0</v>
      </c>
      <c r="BL19" s="2489">
        <v>0</v>
      </c>
      <c r="BM19" s="461"/>
      <c r="BN19" s="461">
        <v>0</v>
      </c>
      <c r="BO19" s="461">
        <v>4</v>
      </c>
      <c r="BP19" s="41"/>
      <c r="BR19" s="41"/>
      <c r="BS19" s="41"/>
      <c r="BT19" s="41" t="s">
        <v>544</v>
      </c>
      <c r="BU19" s="41" t="s">
        <v>1231</v>
      </c>
      <c r="BV19" s="2001"/>
      <c r="BW19" s="2001"/>
      <c r="BX19" s="2001"/>
      <c r="BY19" s="2001"/>
      <c r="BZ19" s="2001"/>
      <c r="CA19" s="2001"/>
      <c r="CB19" s="2001"/>
      <c r="CC19" s="2001">
        <v>0</v>
      </c>
      <c r="CD19" s="2001">
        <v>0</v>
      </c>
      <c r="CE19" s="2001">
        <v>1</v>
      </c>
      <c r="CF19" s="2001">
        <v>0</v>
      </c>
      <c r="CG19" s="2001">
        <v>1</v>
      </c>
      <c r="CH19" s="2001"/>
      <c r="CI19" s="2001">
        <v>0</v>
      </c>
      <c r="CJ19" s="2001">
        <v>0</v>
      </c>
      <c r="CK19" s="105"/>
      <c r="CL19" s="105"/>
      <c r="CM19" s="105">
        <v>2</v>
      </c>
      <c r="CN19" s="41"/>
      <c r="CR19" s="41"/>
      <c r="CS19" s="41" t="s">
        <v>1240</v>
      </c>
      <c r="CT19" s="1665"/>
      <c r="CU19" s="1665"/>
      <c r="CV19" s="1665">
        <v>0</v>
      </c>
      <c r="CW19" s="1665"/>
      <c r="CX19" s="1665"/>
      <c r="CY19" s="1665"/>
      <c r="CZ19" s="1665"/>
      <c r="DA19" s="1665"/>
      <c r="DB19" s="1665"/>
      <c r="DC19" s="1665">
        <v>2</v>
      </c>
      <c r="DD19" s="1665">
        <v>1</v>
      </c>
      <c r="DE19" s="1665">
        <v>0</v>
      </c>
      <c r="DF19" s="1665">
        <v>0</v>
      </c>
      <c r="DG19" s="1665">
        <v>0</v>
      </c>
      <c r="DH19" s="1665">
        <v>0</v>
      </c>
      <c r="DI19" s="41"/>
      <c r="DJ19" s="41"/>
      <c r="DK19" s="41">
        <v>3</v>
      </c>
      <c r="DL19" s="41"/>
      <c r="DN19" s="1375"/>
      <c r="DO19" s="1375"/>
      <c r="DP19" s="1375"/>
      <c r="DQ19" s="1376" t="s">
        <v>1239</v>
      </c>
      <c r="DR19" s="1377"/>
      <c r="DS19" s="1377"/>
      <c r="DT19" s="1377"/>
      <c r="DU19" s="1377"/>
      <c r="DV19" s="1377"/>
      <c r="DW19" s="1377"/>
      <c r="DX19" s="1377"/>
      <c r="DY19" s="1377"/>
      <c r="DZ19" s="1377"/>
      <c r="EA19" s="1377"/>
      <c r="EB19" s="1378">
        <v>0</v>
      </c>
      <c r="EC19" s="1378">
        <v>1</v>
      </c>
      <c r="ED19" s="1378">
        <v>2</v>
      </c>
      <c r="EE19" s="1379"/>
      <c r="EF19" s="1379"/>
      <c r="EG19" s="1380">
        <v>3</v>
      </c>
      <c r="EH19" s="41"/>
      <c r="EJ19" s="678"/>
      <c r="EK19" s="678"/>
      <c r="EL19" s="678"/>
      <c r="EM19" s="679" t="s">
        <v>1344</v>
      </c>
      <c r="EN19" s="680"/>
      <c r="EO19" s="681">
        <v>0</v>
      </c>
      <c r="EP19" s="681">
        <v>0</v>
      </c>
      <c r="EQ19" s="680"/>
      <c r="ER19" s="680"/>
      <c r="ES19" s="680"/>
      <c r="ET19" s="680"/>
      <c r="EU19" s="681">
        <v>0</v>
      </c>
      <c r="EV19" s="680"/>
      <c r="EW19" s="681">
        <v>4</v>
      </c>
      <c r="EX19" s="681">
        <v>2</v>
      </c>
      <c r="EY19" s="681">
        <v>1</v>
      </c>
      <c r="EZ19" s="681">
        <v>0</v>
      </c>
      <c r="FA19" s="681">
        <v>0</v>
      </c>
      <c r="FB19" s="680"/>
      <c r="FC19" s="682"/>
      <c r="FD19" s="682"/>
      <c r="FE19" s="683">
        <v>7</v>
      </c>
      <c r="FF19" s="105"/>
      <c r="FH19" s="511"/>
      <c r="FI19" s="511"/>
      <c r="FJ19" s="511"/>
      <c r="FK19" s="511"/>
      <c r="FL19" s="512" t="s">
        <v>1236</v>
      </c>
      <c r="FM19" s="684"/>
      <c r="FN19" s="684"/>
      <c r="FO19" s="684"/>
      <c r="FP19" s="684"/>
      <c r="FQ19" s="684"/>
      <c r="FR19" s="684"/>
      <c r="FS19" s="685">
        <v>0</v>
      </c>
      <c r="FT19" s="684"/>
      <c r="FU19" s="685">
        <v>1</v>
      </c>
      <c r="FV19" s="684"/>
      <c r="FW19" s="684"/>
      <c r="FX19" s="684"/>
      <c r="FY19" s="685">
        <v>0</v>
      </c>
      <c r="FZ19" s="685">
        <v>0</v>
      </c>
      <c r="GA19" s="684"/>
      <c r="GB19" s="686"/>
      <c r="GC19" s="686"/>
      <c r="GD19" s="687">
        <v>1</v>
      </c>
      <c r="GE19" s="635"/>
      <c r="GF19" s="41"/>
      <c r="GG19" s="688"/>
      <c r="GH19" s="688"/>
      <c r="GI19" s="41"/>
      <c r="GJ19" s="41"/>
      <c r="GK19" s="41"/>
      <c r="GL19" s="41"/>
      <c r="GM19" s="41"/>
      <c r="GN19" s="41"/>
      <c r="GO19" s="41"/>
      <c r="GP19" s="41"/>
      <c r="GQ19" s="41"/>
      <c r="GR19" s="41"/>
      <c r="GS19" s="41"/>
      <c r="GT19" s="41"/>
      <c r="GU19" s="41"/>
      <c r="GV19" s="41"/>
      <c r="GW19" s="41"/>
      <c r="GX19" s="41"/>
      <c r="GY19" s="41"/>
      <c r="GZ19" s="41"/>
      <c r="HA19" s="41"/>
      <c r="HB19" s="105"/>
      <c r="HC19" s="105"/>
      <c r="HD19" s="41"/>
      <c r="HE19" s="41" t="s">
        <v>1235</v>
      </c>
      <c r="HF19" s="105"/>
      <c r="HG19" s="105"/>
      <c r="HH19" s="105"/>
      <c r="HI19" s="105"/>
      <c r="HJ19" s="105"/>
      <c r="HK19" s="105"/>
      <c r="HL19" s="105"/>
      <c r="HM19" s="105"/>
      <c r="HN19" s="105">
        <v>1</v>
      </c>
      <c r="HO19" s="105">
        <v>0</v>
      </c>
      <c r="HP19" s="105">
        <v>0</v>
      </c>
      <c r="HQ19" s="105"/>
      <c r="HR19" s="105"/>
      <c r="HS19" s="105"/>
      <c r="HT19" s="105"/>
      <c r="HU19" s="105"/>
      <c r="HV19" s="105">
        <v>1</v>
      </c>
      <c r="HW19" s="41"/>
      <c r="HX19" s="41"/>
      <c r="HY19" s="691"/>
      <c r="HZ19" s="691"/>
      <c r="IA19" s="691"/>
      <c r="IB19" s="691" t="s">
        <v>1236</v>
      </c>
      <c r="IC19" s="691">
        <v>0</v>
      </c>
      <c r="ID19" s="691">
        <v>0</v>
      </c>
      <c r="IE19" s="691">
        <v>0</v>
      </c>
      <c r="IF19" s="691">
        <v>0</v>
      </c>
      <c r="IG19" s="691">
        <v>2</v>
      </c>
      <c r="IH19" s="691">
        <v>0</v>
      </c>
      <c r="II19" s="691">
        <v>0</v>
      </c>
      <c r="IJ19" s="691">
        <v>0</v>
      </c>
      <c r="IK19" s="691">
        <v>1</v>
      </c>
      <c r="IL19" s="691">
        <v>0</v>
      </c>
      <c r="IM19" s="691">
        <v>0</v>
      </c>
      <c r="IN19" s="691">
        <v>0</v>
      </c>
      <c r="IO19" s="691">
        <v>0</v>
      </c>
      <c r="IP19" s="691">
        <v>0</v>
      </c>
      <c r="IQ19" s="691">
        <v>0</v>
      </c>
      <c r="IR19" s="691">
        <v>0</v>
      </c>
      <c r="IS19" s="691">
        <v>3</v>
      </c>
      <c r="IT19" s="691"/>
      <c r="IU19" s="692"/>
    </row>
    <row r="20" spans="2:255">
      <c r="D20" s="4800" t="s">
        <v>15</v>
      </c>
      <c r="E20" s="4606"/>
      <c r="F20" s="4606"/>
      <c r="G20" s="4606"/>
      <c r="H20" s="4606"/>
      <c r="I20" s="4606">
        <v>1</v>
      </c>
      <c r="J20" s="4606">
        <v>1</v>
      </c>
      <c r="K20" s="4606">
        <v>1</v>
      </c>
      <c r="L20" s="4606"/>
      <c r="M20" s="4606"/>
      <c r="N20" s="4606"/>
      <c r="O20" s="4606"/>
      <c r="P20" s="4606">
        <v>1</v>
      </c>
      <c r="Q20" s="4606"/>
      <c r="R20" s="4606">
        <v>1</v>
      </c>
      <c r="S20" s="2552"/>
      <c r="T20" s="2552"/>
      <c r="U20" s="2552">
        <v>5</v>
      </c>
      <c r="V20" s="1977">
        <f>+(U19)/(U20)</f>
        <v>0.2</v>
      </c>
      <c r="AA20" s="1793" t="s">
        <v>15</v>
      </c>
      <c r="AB20" s="4804"/>
      <c r="AC20" s="4804"/>
      <c r="AD20" s="4804"/>
      <c r="AE20" s="4804"/>
      <c r="AF20" s="4804">
        <v>1</v>
      </c>
      <c r="AG20" s="4804">
        <v>1</v>
      </c>
      <c r="AH20" s="4804">
        <v>1</v>
      </c>
      <c r="AI20" s="4804"/>
      <c r="AJ20" s="4804"/>
      <c r="AK20" s="4804"/>
      <c r="AL20" s="4804"/>
      <c r="AM20" s="4804">
        <v>1</v>
      </c>
      <c r="AN20" s="4804">
        <v>1</v>
      </c>
      <c r="AO20" s="4804"/>
      <c r="AP20" s="4702"/>
      <c r="AQ20" s="4702">
        <v>5</v>
      </c>
      <c r="AR20" s="4703">
        <f>+AQ18/AQ20</f>
        <v>0.2</v>
      </c>
      <c r="AT20" s="41"/>
      <c r="AU20" s="41"/>
      <c r="AV20" s="461"/>
      <c r="AW20" s="461" t="s">
        <v>1344</v>
      </c>
      <c r="AX20" s="2489"/>
      <c r="AY20" s="2489"/>
      <c r="AZ20" s="2489"/>
      <c r="BA20" s="2489"/>
      <c r="BB20" s="2489">
        <v>0</v>
      </c>
      <c r="BC20" s="2489"/>
      <c r="BD20" s="2489"/>
      <c r="BE20" s="2489"/>
      <c r="BF20" s="2489"/>
      <c r="BG20" s="2489">
        <v>0</v>
      </c>
      <c r="BH20" s="2489"/>
      <c r="BI20" s="2489">
        <v>1</v>
      </c>
      <c r="BJ20" s="2489"/>
      <c r="BK20" s="2489">
        <v>0</v>
      </c>
      <c r="BL20" s="2489">
        <v>0</v>
      </c>
      <c r="BM20" s="461"/>
      <c r="BN20" s="461">
        <v>0</v>
      </c>
      <c r="BO20" s="461">
        <v>1</v>
      </c>
      <c r="BP20" s="41"/>
      <c r="BR20" s="41"/>
      <c r="BS20" s="41"/>
      <c r="BT20" s="41"/>
      <c r="BU20" s="41" t="s">
        <v>1235</v>
      </c>
      <c r="BV20" s="2001"/>
      <c r="BW20" s="2001"/>
      <c r="BX20" s="2001"/>
      <c r="BY20" s="2001"/>
      <c r="BZ20" s="2001"/>
      <c r="CA20" s="2001"/>
      <c r="CB20" s="2001"/>
      <c r="CC20" s="2001">
        <v>0</v>
      </c>
      <c r="CD20" s="2001">
        <v>0</v>
      </c>
      <c r="CE20" s="2001">
        <v>1</v>
      </c>
      <c r="CF20" s="2001">
        <v>0</v>
      </c>
      <c r="CG20" s="2001">
        <v>1</v>
      </c>
      <c r="CH20" s="2001"/>
      <c r="CI20" s="2001">
        <v>1</v>
      </c>
      <c r="CJ20" s="2001">
        <v>0</v>
      </c>
      <c r="CK20" s="105"/>
      <c r="CL20" s="105"/>
      <c r="CM20" s="105">
        <v>3</v>
      </c>
      <c r="CN20" s="41"/>
      <c r="CR20" s="41"/>
      <c r="CS20" s="461" t="s">
        <v>545</v>
      </c>
      <c r="CT20" s="1666"/>
      <c r="CU20" s="1666"/>
      <c r="CV20" s="1666">
        <v>1</v>
      </c>
      <c r="CW20" s="1666"/>
      <c r="CX20" s="1666"/>
      <c r="CY20" s="1666"/>
      <c r="CZ20" s="1666"/>
      <c r="DA20" s="1666"/>
      <c r="DB20" s="1666"/>
      <c r="DC20" s="1666">
        <v>2</v>
      </c>
      <c r="DD20" s="1666">
        <v>2</v>
      </c>
      <c r="DE20" s="1666">
        <v>1</v>
      </c>
      <c r="DF20" s="1666">
        <v>1</v>
      </c>
      <c r="DG20" s="1666">
        <v>3</v>
      </c>
      <c r="DH20" s="1666">
        <v>1</v>
      </c>
      <c r="DI20" s="461"/>
      <c r="DJ20" s="461"/>
      <c r="DK20" s="461">
        <v>11</v>
      </c>
      <c r="DL20" s="635">
        <f>+DK19/DK20</f>
        <v>0.27272727272727271</v>
      </c>
      <c r="DN20" s="1375"/>
      <c r="DO20" s="1375"/>
      <c r="DP20" s="1375"/>
      <c r="DQ20" s="1376" t="s">
        <v>1240</v>
      </c>
      <c r="DR20" s="1377"/>
      <c r="DS20" s="1377"/>
      <c r="DT20" s="1377"/>
      <c r="DU20" s="1377"/>
      <c r="DV20" s="1377"/>
      <c r="DW20" s="1377"/>
      <c r="DX20" s="1377"/>
      <c r="DY20" s="1377"/>
      <c r="DZ20" s="1377"/>
      <c r="EA20" s="1377"/>
      <c r="EB20" s="1378">
        <v>2</v>
      </c>
      <c r="EC20" s="1378">
        <v>0</v>
      </c>
      <c r="ED20" s="1378">
        <v>0</v>
      </c>
      <c r="EE20" s="1379"/>
      <c r="EF20" s="1379"/>
      <c r="EG20" s="1380">
        <v>2</v>
      </c>
      <c r="EH20" s="41"/>
      <c r="EJ20" s="678"/>
      <c r="EK20" s="678"/>
      <c r="EL20" s="678"/>
      <c r="EM20" s="697" t="s">
        <v>15</v>
      </c>
      <c r="EN20" s="698"/>
      <c r="EO20" s="699">
        <v>1</v>
      </c>
      <c r="EP20" s="699">
        <v>1</v>
      </c>
      <c r="EQ20" s="698"/>
      <c r="ER20" s="698"/>
      <c r="ES20" s="698"/>
      <c r="ET20" s="698"/>
      <c r="EU20" s="699">
        <v>1</v>
      </c>
      <c r="EV20" s="698"/>
      <c r="EW20" s="699">
        <v>7</v>
      </c>
      <c r="EX20" s="699">
        <v>6</v>
      </c>
      <c r="EY20" s="699">
        <v>2</v>
      </c>
      <c r="EZ20" s="699">
        <v>1</v>
      </c>
      <c r="FA20" s="699">
        <v>1</v>
      </c>
      <c r="FB20" s="698"/>
      <c r="FC20" s="700"/>
      <c r="FD20" s="700"/>
      <c r="FE20" s="701">
        <v>20</v>
      </c>
      <c r="FF20" s="635">
        <f>+(FE17+FE18+FE19)/FE20</f>
        <v>0.5</v>
      </c>
      <c r="FH20" s="511"/>
      <c r="FI20" s="511"/>
      <c r="FJ20" s="511"/>
      <c r="FK20" s="511"/>
      <c r="FL20" s="512" t="s">
        <v>1239</v>
      </c>
      <c r="FM20" s="684"/>
      <c r="FN20" s="684"/>
      <c r="FO20" s="684"/>
      <c r="FP20" s="684"/>
      <c r="FQ20" s="684"/>
      <c r="FR20" s="684"/>
      <c r="FS20" s="685">
        <v>0</v>
      </c>
      <c r="FT20" s="684"/>
      <c r="FU20" s="685">
        <v>0</v>
      </c>
      <c r="FV20" s="684"/>
      <c r="FW20" s="684"/>
      <c r="FX20" s="684"/>
      <c r="FY20" s="685">
        <v>2</v>
      </c>
      <c r="FZ20" s="685">
        <v>2</v>
      </c>
      <c r="GA20" s="684"/>
      <c r="GB20" s="686"/>
      <c r="GC20" s="686"/>
      <c r="GD20" s="687">
        <v>4</v>
      </c>
      <c r="GE20" s="635"/>
      <c r="GF20" s="41"/>
      <c r="GG20" s="688"/>
      <c r="GH20" s="688"/>
      <c r="GI20" s="41"/>
      <c r="GJ20" s="41"/>
      <c r="GK20" s="41"/>
      <c r="GL20" s="41"/>
      <c r="GM20" s="41"/>
      <c r="GN20" s="41"/>
      <c r="GO20" s="41"/>
      <c r="GP20" s="41"/>
      <c r="GQ20" s="41"/>
      <c r="GR20" s="41"/>
      <c r="GS20" s="41"/>
      <c r="GT20" s="41"/>
      <c r="GU20" s="41"/>
      <c r="GV20" s="41"/>
      <c r="GW20" s="41"/>
      <c r="GX20" s="41"/>
      <c r="GY20" s="41"/>
      <c r="GZ20" s="41"/>
      <c r="HA20" s="41"/>
      <c r="HB20" s="105"/>
      <c r="HC20" s="105"/>
      <c r="HD20" s="41"/>
      <c r="HE20" s="41" t="s">
        <v>1344</v>
      </c>
      <c r="HF20" s="105"/>
      <c r="HG20" s="105"/>
      <c r="HH20" s="105"/>
      <c r="HI20" s="105"/>
      <c r="HJ20" s="105"/>
      <c r="HK20" s="105"/>
      <c r="HL20" s="105"/>
      <c r="HM20" s="105"/>
      <c r="HN20" s="105">
        <v>1</v>
      </c>
      <c r="HO20" s="105">
        <v>0</v>
      </c>
      <c r="HP20" s="105">
        <v>0</v>
      </c>
      <c r="HQ20" s="105"/>
      <c r="HR20" s="105"/>
      <c r="HS20" s="105"/>
      <c r="HT20" s="105"/>
      <c r="HU20" s="105"/>
      <c r="HV20" s="105">
        <v>1</v>
      </c>
      <c r="HW20" s="41"/>
      <c r="HX20" s="41"/>
      <c r="HY20" s="691"/>
      <c r="HZ20" s="691"/>
      <c r="IA20" s="691"/>
      <c r="IB20" s="702" t="s">
        <v>15</v>
      </c>
      <c r="IC20" s="702">
        <v>0</v>
      </c>
      <c r="ID20" s="702">
        <v>0</v>
      </c>
      <c r="IE20" s="702">
        <v>0</v>
      </c>
      <c r="IF20" s="702">
        <v>0</v>
      </c>
      <c r="IG20" s="702">
        <v>2</v>
      </c>
      <c r="IH20" s="702">
        <v>2</v>
      </c>
      <c r="II20" s="702">
        <v>0</v>
      </c>
      <c r="IJ20" s="702">
        <v>0</v>
      </c>
      <c r="IK20" s="702">
        <v>1</v>
      </c>
      <c r="IL20" s="702">
        <v>0</v>
      </c>
      <c r="IM20" s="702">
        <v>0</v>
      </c>
      <c r="IN20" s="702">
        <v>0</v>
      </c>
      <c r="IO20" s="702">
        <v>0</v>
      </c>
      <c r="IP20" s="702">
        <v>0</v>
      </c>
      <c r="IQ20" s="702">
        <v>0</v>
      </c>
      <c r="IR20" s="702">
        <v>0</v>
      </c>
      <c r="IS20" s="702">
        <v>5</v>
      </c>
      <c r="IT20" s="703">
        <f>+IS18/IS20</f>
        <v>0.2</v>
      </c>
      <c r="IU20" s="692">
        <f>+IS18</f>
        <v>1</v>
      </c>
    </row>
    <row r="21" spans="2:255">
      <c r="C21" s="32" t="s">
        <v>544</v>
      </c>
      <c r="D21" s="32" t="s">
        <v>1231</v>
      </c>
      <c r="E21" s="4607"/>
      <c r="F21" s="4607">
        <v>0</v>
      </c>
      <c r="G21" s="4607"/>
      <c r="H21" s="4607"/>
      <c r="I21" s="4607">
        <v>1</v>
      </c>
      <c r="J21" s="4607">
        <v>1</v>
      </c>
      <c r="K21" s="4607">
        <v>1</v>
      </c>
      <c r="L21" s="4607"/>
      <c r="M21" s="4607"/>
      <c r="N21" s="4607"/>
      <c r="O21" s="4607">
        <v>1</v>
      </c>
      <c r="P21" s="4607">
        <v>0</v>
      </c>
      <c r="Q21" s="4607">
        <v>0</v>
      </c>
      <c r="R21" s="4607">
        <v>0</v>
      </c>
      <c r="S21" s="4583">
        <v>0</v>
      </c>
      <c r="T21" s="4583"/>
      <c r="U21" s="4583">
        <v>4</v>
      </c>
      <c r="V21" s="4583"/>
      <c r="Z21" s="1793" t="s">
        <v>544</v>
      </c>
      <c r="AA21" s="1793" t="s">
        <v>1231</v>
      </c>
      <c r="AB21" s="4804"/>
      <c r="AC21" s="4804">
        <v>0</v>
      </c>
      <c r="AD21" s="4804"/>
      <c r="AE21" s="4804"/>
      <c r="AF21" s="4804">
        <v>1</v>
      </c>
      <c r="AG21" s="4804">
        <v>1</v>
      </c>
      <c r="AH21" s="4804">
        <v>1</v>
      </c>
      <c r="AI21" s="4804"/>
      <c r="AJ21" s="4804"/>
      <c r="AK21" s="4804"/>
      <c r="AL21" s="4804">
        <v>1</v>
      </c>
      <c r="AM21" s="4804">
        <v>0</v>
      </c>
      <c r="AN21" s="4804">
        <v>0</v>
      </c>
      <c r="AO21" s="4804"/>
      <c r="AP21" s="4702">
        <v>0</v>
      </c>
      <c r="AQ21" s="4702">
        <v>4</v>
      </c>
      <c r="AT21" s="41"/>
      <c r="AU21" s="41"/>
      <c r="AV21" s="461"/>
      <c r="AW21" s="461" t="s">
        <v>544</v>
      </c>
      <c r="AX21" s="2489"/>
      <c r="AY21" s="2489"/>
      <c r="AZ21" s="2489"/>
      <c r="BA21" s="2489"/>
      <c r="BB21" s="2489">
        <v>1</v>
      </c>
      <c r="BC21" s="2489"/>
      <c r="BD21" s="2489"/>
      <c r="BE21" s="2489"/>
      <c r="BF21" s="2489"/>
      <c r="BG21" s="2489">
        <v>5</v>
      </c>
      <c r="BH21" s="2489"/>
      <c r="BI21" s="2489">
        <v>2</v>
      </c>
      <c r="BJ21" s="2489"/>
      <c r="BK21" s="2489">
        <v>1</v>
      </c>
      <c r="BL21" s="2489">
        <v>1</v>
      </c>
      <c r="BM21" s="461"/>
      <c r="BN21" s="461">
        <v>1</v>
      </c>
      <c r="BO21" s="461">
        <v>11</v>
      </c>
      <c r="BP21" s="635">
        <f>+(BO20+BO19+BO17)/BO21</f>
        <v>0.63636363636363635</v>
      </c>
      <c r="BQ21" s="1977"/>
      <c r="BR21" s="41"/>
      <c r="BS21" s="41"/>
      <c r="BT21" s="41"/>
      <c r="BU21" s="41" t="s">
        <v>1236</v>
      </c>
      <c r="BV21" s="2001"/>
      <c r="BW21" s="2001"/>
      <c r="BX21" s="2001"/>
      <c r="BY21" s="2001"/>
      <c r="BZ21" s="2001"/>
      <c r="CA21" s="2001"/>
      <c r="CB21" s="2001"/>
      <c r="CC21" s="2001">
        <v>1</v>
      </c>
      <c r="CD21" s="2001">
        <v>0</v>
      </c>
      <c r="CE21" s="2001">
        <v>0</v>
      </c>
      <c r="CF21" s="2001">
        <v>0</v>
      </c>
      <c r="CG21" s="2001">
        <v>0</v>
      </c>
      <c r="CH21" s="2001"/>
      <c r="CI21" s="2001">
        <v>0</v>
      </c>
      <c r="CJ21" s="2001">
        <v>0</v>
      </c>
      <c r="CK21" s="105"/>
      <c r="CL21" s="105"/>
      <c r="CM21" s="105">
        <v>1</v>
      </c>
      <c r="CN21" s="41"/>
      <c r="CQ21" s="105" t="s">
        <v>104</v>
      </c>
      <c r="CR21" s="41" t="s">
        <v>105</v>
      </c>
      <c r="CS21" s="41" t="s">
        <v>1344</v>
      </c>
      <c r="CT21" s="1665"/>
      <c r="CU21" s="1665"/>
      <c r="CV21" s="1665"/>
      <c r="CW21" s="1665"/>
      <c r="CX21" s="1665"/>
      <c r="CY21" s="1665"/>
      <c r="CZ21" s="1665">
        <v>1</v>
      </c>
      <c r="DA21" s="1665"/>
      <c r="DB21" s="1665"/>
      <c r="DC21" s="1665">
        <v>1</v>
      </c>
      <c r="DD21" s="1665"/>
      <c r="DE21" s="1665"/>
      <c r="DF21" s="1665"/>
      <c r="DG21" s="1665"/>
      <c r="DH21" s="1665"/>
      <c r="DI21" s="41"/>
      <c r="DJ21" s="41"/>
      <c r="DK21" s="41">
        <v>2</v>
      </c>
      <c r="DL21" s="41"/>
      <c r="DN21" s="1375"/>
      <c r="DO21" s="1375"/>
      <c r="DP21" s="1375"/>
      <c r="DQ21" s="1376" t="s">
        <v>1344</v>
      </c>
      <c r="DR21" s="1377"/>
      <c r="DS21" s="1377"/>
      <c r="DT21" s="1377"/>
      <c r="DU21" s="1377"/>
      <c r="DV21" s="1377"/>
      <c r="DW21" s="1377"/>
      <c r="DX21" s="1377"/>
      <c r="DY21" s="1377"/>
      <c r="DZ21" s="1377"/>
      <c r="EA21" s="1377"/>
      <c r="EB21" s="1378">
        <v>1</v>
      </c>
      <c r="EC21" s="1378">
        <v>0</v>
      </c>
      <c r="ED21" s="1378">
        <v>0</v>
      </c>
      <c r="EE21" s="1379"/>
      <c r="EF21" s="1379"/>
      <c r="EG21" s="1380">
        <v>1</v>
      </c>
      <c r="EH21" s="41"/>
      <c r="EJ21" s="678"/>
      <c r="EK21" s="678"/>
      <c r="EL21" s="678" t="s">
        <v>545</v>
      </c>
      <c r="EM21" s="679" t="s">
        <v>1231</v>
      </c>
      <c r="EN21" s="680"/>
      <c r="EO21" s="681">
        <v>1</v>
      </c>
      <c r="EP21" s="681">
        <v>0</v>
      </c>
      <c r="EQ21" s="680"/>
      <c r="ER21" s="680"/>
      <c r="ES21" s="680"/>
      <c r="ET21" s="680"/>
      <c r="EU21" s="681">
        <v>1</v>
      </c>
      <c r="EV21" s="680"/>
      <c r="EW21" s="681">
        <v>2</v>
      </c>
      <c r="EX21" s="681">
        <v>2</v>
      </c>
      <c r="EY21" s="681">
        <v>0</v>
      </c>
      <c r="EZ21" s="681">
        <v>1</v>
      </c>
      <c r="FA21" s="681">
        <v>1</v>
      </c>
      <c r="FB21" s="680"/>
      <c r="FC21" s="682"/>
      <c r="FD21" s="682"/>
      <c r="FE21" s="683">
        <v>8</v>
      </c>
      <c r="FF21" s="105"/>
      <c r="FH21" s="511"/>
      <c r="FI21" s="511"/>
      <c r="FJ21" s="511"/>
      <c r="FK21" s="41"/>
      <c r="FL21" s="532" t="s">
        <v>15</v>
      </c>
      <c r="FM21" s="693"/>
      <c r="FN21" s="693"/>
      <c r="FO21" s="693"/>
      <c r="FP21" s="693"/>
      <c r="FQ21" s="693"/>
      <c r="FR21" s="693"/>
      <c r="FS21" s="694">
        <v>1</v>
      </c>
      <c r="FT21" s="693"/>
      <c r="FU21" s="694">
        <v>1</v>
      </c>
      <c r="FV21" s="693"/>
      <c r="FW21" s="693"/>
      <c r="FX21" s="693"/>
      <c r="FY21" s="694">
        <v>2</v>
      </c>
      <c r="FZ21" s="694">
        <v>2</v>
      </c>
      <c r="GA21" s="693"/>
      <c r="GB21" s="695"/>
      <c r="GC21" s="695"/>
      <c r="GD21" s="696">
        <v>6</v>
      </c>
      <c r="GE21" s="635">
        <v>0</v>
      </c>
      <c r="GF21" s="41"/>
      <c r="GG21" s="688"/>
      <c r="GH21" s="688"/>
      <c r="GI21" s="41"/>
      <c r="GJ21" s="41"/>
      <c r="GK21" s="41"/>
      <c r="GL21" s="41"/>
      <c r="GM21" s="41"/>
      <c r="GN21" s="41"/>
      <c r="GO21" s="41"/>
      <c r="GP21" s="41"/>
      <c r="GQ21" s="41"/>
      <c r="GR21" s="41"/>
      <c r="GS21" s="41"/>
      <c r="GT21" s="41"/>
      <c r="GU21" s="41"/>
      <c r="GV21" s="41"/>
      <c r="GW21" s="41"/>
      <c r="GX21" s="41"/>
      <c r="GY21" s="41"/>
      <c r="GZ21" s="41"/>
      <c r="HA21" s="41"/>
      <c r="HB21" s="105"/>
      <c r="HC21" s="105"/>
      <c r="HD21" s="41"/>
      <c r="HE21" s="461" t="s">
        <v>15</v>
      </c>
      <c r="HF21" s="96"/>
      <c r="HG21" s="96"/>
      <c r="HH21" s="96"/>
      <c r="HI21" s="96"/>
      <c r="HJ21" s="96"/>
      <c r="HK21" s="96"/>
      <c r="HL21" s="96"/>
      <c r="HM21" s="96"/>
      <c r="HN21" s="96">
        <v>6</v>
      </c>
      <c r="HO21" s="96">
        <v>6</v>
      </c>
      <c r="HP21" s="96">
        <v>1</v>
      </c>
      <c r="HQ21" s="96"/>
      <c r="HR21" s="96"/>
      <c r="HS21" s="96"/>
      <c r="HT21" s="96"/>
      <c r="HU21" s="96"/>
      <c r="HV21" s="96">
        <v>13</v>
      </c>
      <c r="HW21" s="706">
        <f>+(HV19+HV20)/HV21</f>
        <v>0.15384615384615385</v>
      </c>
      <c r="HX21" s="41"/>
      <c r="HY21" s="691" t="s">
        <v>25</v>
      </c>
      <c r="HZ21" s="691" t="s">
        <v>4</v>
      </c>
      <c r="IA21" s="691" t="s">
        <v>120</v>
      </c>
      <c r="IB21" s="691" t="s">
        <v>1239</v>
      </c>
      <c r="IC21" s="691">
        <v>0</v>
      </c>
      <c r="ID21" s="691">
        <v>0</v>
      </c>
      <c r="IE21" s="691">
        <v>0</v>
      </c>
      <c r="IF21" s="691">
        <v>0</v>
      </c>
      <c r="IG21" s="691">
        <v>0</v>
      </c>
      <c r="IH21" s="691">
        <v>0</v>
      </c>
      <c r="II21" s="691">
        <v>0</v>
      </c>
      <c r="IJ21" s="691">
        <v>0</v>
      </c>
      <c r="IK21" s="691">
        <v>0</v>
      </c>
      <c r="IL21" s="691">
        <v>0</v>
      </c>
      <c r="IM21" s="691">
        <v>0</v>
      </c>
      <c r="IN21" s="691">
        <v>0</v>
      </c>
      <c r="IO21" s="691">
        <v>1</v>
      </c>
      <c r="IP21" s="691">
        <v>0</v>
      </c>
      <c r="IQ21" s="691">
        <v>2</v>
      </c>
      <c r="IR21" s="691">
        <v>0</v>
      </c>
      <c r="IS21" s="691">
        <v>3</v>
      </c>
      <c r="IT21" s="691"/>
      <c r="IU21" s="692"/>
    </row>
    <row r="22" spans="2:255">
      <c r="C22" s="32"/>
      <c r="D22" s="32" t="s">
        <v>1233</v>
      </c>
      <c r="E22" s="4607"/>
      <c r="F22" s="4607">
        <v>1</v>
      </c>
      <c r="G22" s="4607"/>
      <c r="H22" s="4607"/>
      <c r="I22" s="4607">
        <v>0</v>
      </c>
      <c r="J22" s="4607">
        <v>0</v>
      </c>
      <c r="K22" s="4607">
        <v>0</v>
      </c>
      <c r="L22" s="4607"/>
      <c r="M22" s="4607"/>
      <c r="N22" s="4607"/>
      <c r="O22" s="4607">
        <v>0</v>
      </c>
      <c r="P22" s="4607">
        <v>0</v>
      </c>
      <c r="Q22" s="4607">
        <v>0</v>
      </c>
      <c r="R22" s="4607">
        <v>0</v>
      </c>
      <c r="S22" s="4583">
        <v>0</v>
      </c>
      <c r="T22" s="4583"/>
      <c r="U22" s="4583">
        <v>1</v>
      </c>
      <c r="V22" s="4583"/>
      <c r="AA22" s="1793" t="s">
        <v>1233</v>
      </c>
      <c r="AB22" s="4804"/>
      <c r="AC22" s="4804">
        <v>1</v>
      </c>
      <c r="AD22" s="4804"/>
      <c r="AE22" s="4804"/>
      <c r="AF22" s="4804">
        <v>0</v>
      </c>
      <c r="AG22" s="4804">
        <v>0</v>
      </c>
      <c r="AH22" s="4804">
        <v>0</v>
      </c>
      <c r="AI22" s="4804"/>
      <c r="AJ22" s="4804"/>
      <c r="AK22" s="4804"/>
      <c r="AL22" s="4804">
        <v>0</v>
      </c>
      <c r="AM22" s="4804">
        <v>0</v>
      </c>
      <c r="AN22" s="4804">
        <v>0</v>
      </c>
      <c r="AO22" s="4804"/>
      <c r="AP22" s="4702">
        <v>0</v>
      </c>
      <c r="AQ22" s="4702">
        <v>1</v>
      </c>
      <c r="AT22" s="41"/>
      <c r="AU22" s="41" t="s">
        <v>16</v>
      </c>
      <c r="AV22" s="41" t="s">
        <v>118</v>
      </c>
      <c r="AW22" s="41" t="s">
        <v>1231</v>
      </c>
      <c r="AX22" s="690">
        <v>1</v>
      </c>
      <c r="AY22" s="690"/>
      <c r="AZ22" s="690"/>
      <c r="BA22" s="690"/>
      <c r="BB22" s="690"/>
      <c r="BC22" s="690"/>
      <c r="BD22" s="690"/>
      <c r="BE22" s="690"/>
      <c r="BF22" s="690"/>
      <c r="BG22" s="690"/>
      <c r="BH22" s="690">
        <v>0</v>
      </c>
      <c r="BI22" s="690"/>
      <c r="BJ22" s="690">
        <v>0</v>
      </c>
      <c r="BK22" s="690">
        <v>3</v>
      </c>
      <c r="BL22" s="690">
        <v>0</v>
      </c>
      <c r="BM22" s="41"/>
      <c r="BN22" s="41"/>
      <c r="BO22" s="41">
        <v>4</v>
      </c>
      <c r="BP22" s="41"/>
      <c r="BR22" s="41"/>
      <c r="BS22" s="41"/>
      <c r="BT22" s="41"/>
      <c r="BU22" s="41" t="s">
        <v>1239</v>
      </c>
      <c r="BV22" s="2001"/>
      <c r="BW22" s="2001"/>
      <c r="BX22" s="2001"/>
      <c r="BY22" s="2001"/>
      <c r="BZ22" s="2001"/>
      <c r="CA22" s="2001"/>
      <c r="CB22" s="2001"/>
      <c r="CC22" s="2001">
        <v>0</v>
      </c>
      <c r="CD22" s="2001">
        <v>0</v>
      </c>
      <c r="CE22" s="2001">
        <v>0</v>
      </c>
      <c r="CF22" s="2001">
        <v>0</v>
      </c>
      <c r="CG22" s="2001">
        <v>1</v>
      </c>
      <c r="CH22" s="2001"/>
      <c r="CI22" s="2001">
        <v>0</v>
      </c>
      <c r="CJ22" s="2001">
        <v>1</v>
      </c>
      <c r="CK22" s="105"/>
      <c r="CL22" s="105"/>
      <c r="CM22" s="105">
        <v>2</v>
      </c>
      <c r="CN22" s="41"/>
      <c r="CR22" s="41"/>
      <c r="CS22" s="461" t="s">
        <v>15</v>
      </c>
      <c r="CT22" s="1666"/>
      <c r="CU22" s="1666"/>
      <c r="CV22" s="1666"/>
      <c r="CW22" s="1666"/>
      <c r="CX22" s="1666"/>
      <c r="CY22" s="1666"/>
      <c r="CZ22" s="1666">
        <v>1</v>
      </c>
      <c r="DA22" s="1666"/>
      <c r="DB22" s="1666"/>
      <c r="DC22" s="1666">
        <v>1</v>
      </c>
      <c r="DD22" s="1666"/>
      <c r="DE22" s="1666"/>
      <c r="DF22" s="1666"/>
      <c r="DG22" s="1666"/>
      <c r="DH22" s="1666"/>
      <c r="DI22" s="461"/>
      <c r="DJ22" s="461"/>
      <c r="DK22" s="461">
        <v>2</v>
      </c>
      <c r="DL22" s="635">
        <f>+DK21/DK22</f>
        <v>1</v>
      </c>
      <c r="DN22" s="1375"/>
      <c r="DO22" s="1375"/>
      <c r="DP22" s="1375"/>
      <c r="DQ22" s="1372" t="s">
        <v>545</v>
      </c>
      <c r="DR22" s="1381"/>
      <c r="DS22" s="1381"/>
      <c r="DT22" s="1381"/>
      <c r="DU22" s="1381"/>
      <c r="DV22" s="1381"/>
      <c r="DW22" s="1381"/>
      <c r="DX22" s="1381"/>
      <c r="DY22" s="1381"/>
      <c r="DZ22" s="1381"/>
      <c r="EA22" s="1381"/>
      <c r="EB22" s="1382">
        <v>7</v>
      </c>
      <c r="EC22" s="1382">
        <v>2</v>
      </c>
      <c r="ED22" s="1382">
        <v>2</v>
      </c>
      <c r="EE22" s="1383"/>
      <c r="EF22" s="1383"/>
      <c r="EG22" s="1384">
        <v>11</v>
      </c>
      <c r="EH22" s="1325">
        <f>+(EG20+EG21)/EG22</f>
        <v>0.27272727272727271</v>
      </c>
      <c r="EJ22" s="678"/>
      <c r="EK22" s="678"/>
      <c r="EL22" s="678"/>
      <c r="EM22" s="679" t="s">
        <v>1233</v>
      </c>
      <c r="EN22" s="680"/>
      <c r="EO22" s="681">
        <v>0</v>
      </c>
      <c r="EP22" s="681">
        <v>1</v>
      </c>
      <c r="EQ22" s="680"/>
      <c r="ER22" s="680"/>
      <c r="ES22" s="680"/>
      <c r="ET22" s="680"/>
      <c r="EU22" s="681">
        <v>0</v>
      </c>
      <c r="EV22" s="680"/>
      <c r="EW22" s="681">
        <v>1</v>
      </c>
      <c r="EX22" s="681">
        <v>0</v>
      </c>
      <c r="EY22" s="681">
        <v>0</v>
      </c>
      <c r="EZ22" s="681">
        <v>0</v>
      </c>
      <c r="FA22" s="681">
        <v>0</v>
      </c>
      <c r="FB22" s="680"/>
      <c r="FC22" s="682"/>
      <c r="FD22" s="682"/>
      <c r="FE22" s="683">
        <v>2</v>
      </c>
      <c r="FF22" s="105"/>
      <c r="FH22" s="511"/>
      <c r="FI22" s="511"/>
      <c r="FJ22" s="532" t="s">
        <v>545</v>
      </c>
      <c r="FK22" s="511" t="s">
        <v>1229</v>
      </c>
      <c r="FL22" s="512" t="s">
        <v>1231</v>
      </c>
      <c r="FM22" s="684"/>
      <c r="FN22" s="684"/>
      <c r="FO22" s="684"/>
      <c r="FP22" s="684"/>
      <c r="FQ22" s="684"/>
      <c r="FR22" s="684"/>
      <c r="FS22" s="685">
        <v>1</v>
      </c>
      <c r="FT22" s="684"/>
      <c r="FU22" s="685">
        <v>0</v>
      </c>
      <c r="FV22" s="684"/>
      <c r="FW22" s="684"/>
      <c r="FX22" s="684"/>
      <c r="FY22" s="685">
        <v>0</v>
      </c>
      <c r="FZ22" s="685">
        <v>0</v>
      </c>
      <c r="GA22" s="684"/>
      <c r="GB22" s="686"/>
      <c r="GC22" s="686"/>
      <c r="GD22" s="687">
        <v>1</v>
      </c>
      <c r="GE22" s="635"/>
      <c r="GF22" s="41"/>
      <c r="GG22" s="688"/>
      <c r="GH22" s="688"/>
      <c r="GI22" s="41"/>
      <c r="GJ22" s="41"/>
      <c r="GK22" s="41"/>
      <c r="GL22" s="41"/>
      <c r="GM22" s="41"/>
      <c r="GN22" s="41"/>
      <c r="GO22" s="41"/>
      <c r="GP22" s="41"/>
      <c r="GQ22" s="41"/>
      <c r="GR22" s="41"/>
      <c r="GS22" s="41"/>
      <c r="GT22" s="41"/>
      <c r="GU22" s="41"/>
      <c r="GV22" s="41"/>
      <c r="GW22" s="41"/>
      <c r="GX22" s="41"/>
      <c r="GY22" s="41"/>
      <c r="GZ22" s="41"/>
      <c r="HA22" s="41"/>
      <c r="HB22" s="105"/>
      <c r="HC22" s="105"/>
      <c r="HD22" s="41" t="s">
        <v>119</v>
      </c>
      <c r="HE22" s="41" t="s">
        <v>1231</v>
      </c>
      <c r="HF22" s="105">
        <v>2</v>
      </c>
      <c r="HG22" s="105"/>
      <c r="HH22" s="105"/>
      <c r="HI22" s="105"/>
      <c r="HJ22" s="105"/>
      <c r="HK22" s="105"/>
      <c r="HL22" s="105">
        <v>0</v>
      </c>
      <c r="HM22" s="105">
        <v>1</v>
      </c>
      <c r="HN22" s="105">
        <v>6</v>
      </c>
      <c r="HO22" s="105"/>
      <c r="HP22" s="105"/>
      <c r="HQ22" s="105"/>
      <c r="HR22" s="105"/>
      <c r="HS22" s="105"/>
      <c r="HT22" s="105"/>
      <c r="HU22" s="105"/>
      <c r="HV22" s="105">
        <v>9</v>
      </c>
      <c r="HW22" s="41"/>
      <c r="HX22" s="41"/>
      <c r="HY22" s="691"/>
      <c r="HZ22" s="691"/>
      <c r="IA22" s="691"/>
      <c r="IB22" s="702" t="s">
        <v>15</v>
      </c>
      <c r="IC22" s="702">
        <v>0</v>
      </c>
      <c r="ID22" s="702">
        <v>0</v>
      </c>
      <c r="IE22" s="702">
        <v>0</v>
      </c>
      <c r="IF22" s="702">
        <v>0</v>
      </c>
      <c r="IG22" s="702">
        <v>0</v>
      </c>
      <c r="IH22" s="702">
        <v>0</v>
      </c>
      <c r="II22" s="702">
        <v>0</v>
      </c>
      <c r="IJ22" s="702">
        <v>0</v>
      </c>
      <c r="IK22" s="702">
        <v>0</v>
      </c>
      <c r="IL22" s="702">
        <v>0</v>
      </c>
      <c r="IM22" s="702">
        <v>0</v>
      </c>
      <c r="IN22" s="702">
        <v>0</v>
      </c>
      <c r="IO22" s="702">
        <v>1</v>
      </c>
      <c r="IP22" s="702">
        <v>0</v>
      </c>
      <c r="IQ22" s="702">
        <v>2</v>
      </c>
      <c r="IR22" s="702">
        <v>0</v>
      </c>
      <c r="IS22" s="702">
        <v>3</v>
      </c>
      <c r="IT22" s="703">
        <f>0/IS22</f>
        <v>0</v>
      </c>
      <c r="IU22" s="692">
        <v>0</v>
      </c>
    </row>
    <row r="23" spans="2:255">
      <c r="C23" s="32"/>
      <c r="D23" s="32" t="s">
        <v>1239</v>
      </c>
      <c r="E23" s="4607"/>
      <c r="F23" s="4607">
        <v>0</v>
      </c>
      <c r="G23" s="4607"/>
      <c r="H23" s="4607"/>
      <c r="I23" s="4607">
        <v>0</v>
      </c>
      <c r="J23" s="4607">
        <v>0</v>
      </c>
      <c r="K23" s="4607">
        <v>0</v>
      </c>
      <c r="L23" s="4607"/>
      <c r="M23" s="4607"/>
      <c r="N23" s="4607"/>
      <c r="O23" s="4607">
        <v>0</v>
      </c>
      <c r="P23" s="4607">
        <v>0</v>
      </c>
      <c r="Q23" s="4607">
        <v>1</v>
      </c>
      <c r="R23" s="4607">
        <v>4</v>
      </c>
      <c r="S23" s="4583">
        <v>1</v>
      </c>
      <c r="T23" s="4583"/>
      <c r="U23" s="4583">
        <v>6</v>
      </c>
      <c r="V23" s="4583"/>
      <c r="AA23" s="1793" t="s">
        <v>1235</v>
      </c>
      <c r="AB23" s="4804"/>
      <c r="AC23" s="4804">
        <v>0</v>
      </c>
      <c r="AD23" s="4804"/>
      <c r="AE23" s="4804"/>
      <c r="AF23" s="4804">
        <v>0</v>
      </c>
      <c r="AG23" s="4804">
        <v>0</v>
      </c>
      <c r="AH23" s="4804">
        <v>0</v>
      </c>
      <c r="AI23" s="4804"/>
      <c r="AJ23" s="4804"/>
      <c r="AK23" s="4804"/>
      <c r="AL23" s="4804">
        <v>0</v>
      </c>
      <c r="AM23" s="4804">
        <v>1</v>
      </c>
      <c r="AN23" s="4804">
        <v>0</v>
      </c>
      <c r="AO23" s="4804"/>
      <c r="AP23" s="4702">
        <v>0</v>
      </c>
      <c r="AQ23" s="4702">
        <v>1</v>
      </c>
      <c r="AT23" s="41"/>
      <c r="AU23" s="41"/>
      <c r="AV23" s="41"/>
      <c r="AW23" s="41" t="s">
        <v>1239</v>
      </c>
      <c r="AX23" s="690">
        <v>0</v>
      </c>
      <c r="AY23" s="690"/>
      <c r="AZ23" s="690"/>
      <c r="BA23" s="690"/>
      <c r="BB23" s="690"/>
      <c r="BC23" s="690"/>
      <c r="BD23" s="690"/>
      <c r="BE23" s="690"/>
      <c r="BF23" s="690"/>
      <c r="BG23" s="690"/>
      <c r="BH23" s="690">
        <v>0</v>
      </c>
      <c r="BI23" s="690"/>
      <c r="BJ23" s="690">
        <v>0</v>
      </c>
      <c r="BK23" s="690">
        <v>0</v>
      </c>
      <c r="BL23" s="690">
        <v>6</v>
      </c>
      <c r="BM23" s="41"/>
      <c r="BN23" s="41"/>
      <c r="BO23" s="41">
        <v>6</v>
      </c>
      <c r="BP23" s="41"/>
      <c r="BR23" s="41"/>
      <c r="BS23" s="41"/>
      <c r="BT23" s="41"/>
      <c r="BU23" s="41" t="s">
        <v>1344</v>
      </c>
      <c r="BV23" s="2001"/>
      <c r="BW23" s="2001"/>
      <c r="BX23" s="2001"/>
      <c r="BY23" s="2001"/>
      <c r="BZ23" s="2001"/>
      <c r="CA23" s="2001"/>
      <c r="CB23" s="2001"/>
      <c r="CC23" s="2001">
        <v>0</v>
      </c>
      <c r="CD23" s="2001">
        <v>1</v>
      </c>
      <c r="CE23" s="2001">
        <v>0</v>
      </c>
      <c r="CF23" s="2001">
        <v>2</v>
      </c>
      <c r="CG23" s="2001">
        <v>0</v>
      </c>
      <c r="CH23" s="2001"/>
      <c r="CI23" s="2001">
        <v>0</v>
      </c>
      <c r="CJ23" s="2001">
        <v>0</v>
      </c>
      <c r="CK23" s="105"/>
      <c r="CL23" s="105"/>
      <c r="CM23" s="105">
        <v>3</v>
      </c>
      <c r="CN23" s="41"/>
      <c r="CR23" s="41" t="s">
        <v>1638</v>
      </c>
      <c r="CS23" s="41" t="s">
        <v>1344</v>
      </c>
      <c r="CT23" s="1665"/>
      <c r="CU23" s="1665"/>
      <c r="CV23" s="1665"/>
      <c r="CW23" s="1665"/>
      <c r="CX23" s="1665"/>
      <c r="CY23" s="1665"/>
      <c r="CZ23" s="1665"/>
      <c r="DA23" s="1665"/>
      <c r="DB23" s="1665"/>
      <c r="DC23" s="1665">
        <v>1</v>
      </c>
      <c r="DD23" s="1665"/>
      <c r="DE23" s="1665"/>
      <c r="DF23" s="1665"/>
      <c r="DG23" s="1665"/>
      <c r="DH23" s="1665"/>
      <c r="DI23" s="41"/>
      <c r="DJ23" s="41"/>
      <c r="DK23" s="41">
        <v>1</v>
      </c>
      <c r="DL23" s="41"/>
      <c r="DN23" s="1375"/>
      <c r="DO23" s="1375" t="s">
        <v>104</v>
      </c>
      <c r="DP23" s="1375" t="s">
        <v>105</v>
      </c>
      <c r="DQ23" s="1376" t="s">
        <v>1236</v>
      </c>
      <c r="DR23" s="1377"/>
      <c r="DS23" s="1377"/>
      <c r="DT23" s="1377"/>
      <c r="DU23" s="1377"/>
      <c r="DV23" s="1377"/>
      <c r="DW23" s="1378">
        <v>3</v>
      </c>
      <c r="DX23" s="1377"/>
      <c r="DY23" s="1377"/>
      <c r="DZ23" s="1377"/>
      <c r="EA23" s="1377"/>
      <c r="EB23" s="1377"/>
      <c r="EC23" s="1377"/>
      <c r="ED23" s="1377"/>
      <c r="EE23" s="1379"/>
      <c r="EF23" s="1379"/>
      <c r="EG23" s="1380">
        <v>3</v>
      </c>
      <c r="EH23" s="41"/>
      <c r="EJ23" s="678"/>
      <c r="EK23" s="678"/>
      <c r="EL23" s="678"/>
      <c r="EM23" s="679" t="s">
        <v>1235</v>
      </c>
      <c r="EN23" s="680"/>
      <c r="EO23" s="681">
        <v>0</v>
      </c>
      <c r="EP23" s="681">
        <v>0</v>
      </c>
      <c r="EQ23" s="680"/>
      <c r="ER23" s="680"/>
      <c r="ES23" s="680"/>
      <c r="ET23" s="680"/>
      <c r="EU23" s="681">
        <v>0</v>
      </c>
      <c r="EV23" s="680"/>
      <c r="EW23" s="681">
        <v>0</v>
      </c>
      <c r="EX23" s="681">
        <v>1</v>
      </c>
      <c r="EY23" s="681">
        <v>0</v>
      </c>
      <c r="EZ23" s="681">
        <v>0</v>
      </c>
      <c r="FA23" s="681">
        <v>0</v>
      </c>
      <c r="FB23" s="680"/>
      <c r="FC23" s="682"/>
      <c r="FD23" s="682"/>
      <c r="FE23" s="683">
        <v>1</v>
      </c>
      <c r="FF23" s="105"/>
      <c r="FH23" s="511"/>
      <c r="FI23" s="511"/>
      <c r="FJ23" s="511"/>
      <c r="FK23" s="511"/>
      <c r="FL23" s="512" t="s">
        <v>1236</v>
      </c>
      <c r="FM23" s="684"/>
      <c r="FN23" s="684"/>
      <c r="FO23" s="684"/>
      <c r="FP23" s="684"/>
      <c r="FQ23" s="684"/>
      <c r="FR23" s="684"/>
      <c r="FS23" s="685">
        <v>0</v>
      </c>
      <c r="FT23" s="684"/>
      <c r="FU23" s="685">
        <v>1</v>
      </c>
      <c r="FV23" s="684"/>
      <c r="FW23" s="684"/>
      <c r="FX23" s="684"/>
      <c r="FY23" s="685">
        <v>0</v>
      </c>
      <c r="FZ23" s="685">
        <v>0</v>
      </c>
      <c r="GA23" s="684"/>
      <c r="GB23" s="686"/>
      <c r="GC23" s="686"/>
      <c r="GD23" s="687">
        <v>1</v>
      </c>
      <c r="GE23" s="635"/>
      <c r="GF23" s="41"/>
      <c r="GG23" s="688"/>
      <c r="GH23" s="688"/>
      <c r="GI23" s="41"/>
      <c r="GJ23" s="41"/>
      <c r="GK23" s="41"/>
      <c r="GL23" s="41"/>
      <c r="GM23" s="41"/>
      <c r="GN23" s="41"/>
      <c r="GO23" s="41"/>
      <c r="GP23" s="41"/>
      <c r="GQ23" s="41"/>
      <c r="GR23" s="41"/>
      <c r="GS23" s="41"/>
      <c r="GT23" s="41"/>
      <c r="GU23" s="41"/>
      <c r="GV23" s="41"/>
      <c r="GW23" s="41"/>
      <c r="GX23" s="41"/>
      <c r="GY23" s="41"/>
      <c r="GZ23" s="41"/>
      <c r="HA23" s="41"/>
      <c r="HB23" s="105"/>
      <c r="HC23" s="105"/>
      <c r="HD23" s="41"/>
      <c r="HE23" s="41" t="s">
        <v>1235</v>
      </c>
      <c r="HF23" s="105">
        <v>0</v>
      </c>
      <c r="HG23" s="105"/>
      <c r="HH23" s="105"/>
      <c r="HI23" s="105"/>
      <c r="HJ23" s="105"/>
      <c r="HK23" s="105"/>
      <c r="HL23" s="105">
        <v>0</v>
      </c>
      <c r="HM23" s="105">
        <v>0</v>
      </c>
      <c r="HN23" s="105">
        <v>2</v>
      </c>
      <c r="HO23" s="105"/>
      <c r="HP23" s="105"/>
      <c r="HQ23" s="105"/>
      <c r="HR23" s="105"/>
      <c r="HS23" s="105"/>
      <c r="HT23" s="105"/>
      <c r="HU23" s="105"/>
      <c r="HV23" s="105">
        <v>2</v>
      </c>
      <c r="HW23" s="41"/>
      <c r="HX23" s="41"/>
      <c r="HY23" s="691"/>
      <c r="HZ23" s="691"/>
      <c r="IA23" s="691" t="s">
        <v>121</v>
      </c>
      <c r="IB23" s="691" t="s">
        <v>1231</v>
      </c>
      <c r="IC23" s="691">
        <v>0</v>
      </c>
      <c r="ID23" s="691">
        <v>0</v>
      </c>
      <c r="IE23" s="691">
        <v>0</v>
      </c>
      <c r="IF23" s="691">
        <v>0</v>
      </c>
      <c r="IG23" s="691">
        <v>0</v>
      </c>
      <c r="IH23" s="691">
        <v>0</v>
      </c>
      <c r="II23" s="691">
        <v>0</v>
      </c>
      <c r="IJ23" s="691">
        <v>0</v>
      </c>
      <c r="IK23" s="691">
        <v>0</v>
      </c>
      <c r="IL23" s="691">
        <v>0</v>
      </c>
      <c r="IM23" s="691">
        <v>0</v>
      </c>
      <c r="IN23" s="691">
        <v>0</v>
      </c>
      <c r="IO23" s="691">
        <v>0</v>
      </c>
      <c r="IP23" s="691">
        <v>1</v>
      </c>
      <c r="IQ23" s="691">
        <v>0</v>
      </c>
      <c r="IR23" s="691">
        <v>0</v>
      </c>
      <c r="IS23" s="691">
        <v>1</v>
      </c>
      <c r="IT23" s="691"/>
      <c r="IU23" s="692"/>
    </row>
    <row r="24" spans="2:255">
      <c r="C24" s="32"/>
      <c r="D24" s="32" t="s">
        <v>1240</v>
      </c>
      <c r="E24" s="4607"/>
      <c r="F24" s="4607">
        <v>0</v>
      </c>
      <c r="G24" s="4607"/>
      <c r="H24" s="4607"/>
      <c r="I24" s="4607">
        <v>0</v>
      </c>
      <c r="J24" s="4607">
        <v>0</v>
      </c>
      <c r="K24" s="4607">
        <v>0</v>
      </c>
      <c r="L24" s="4607"/>
      <c r="M24" s="4607"/>
      <c r="N24" s="4607"/>
      <c r="O24" s="4607">
        <v>0</v>
      </c>
      <c r="P24" s="4607">
        <v>0</v>
      </c>
      <c r="Q24" s="4607">
        <v>1</v>
      </c>
      <c r="R24" s="4607">
        <v>0</v>
      </c>
      <c r="S24" s="4583">
        <v>0</v>
      </c>
      <c r="T24" s="4583"/>
      <c r="U24" s="4583">
        <v>1</v>
      </c>
      <c r="V24" s="4583"/>
      <c r="AA24" s="1793" t="s">
        <v>1239</v>
      </c>
      <c r="AB24" s="4804"/>
      <c r="AC24" s="4804">
        <v>0</v>
      </c>
      <c r="AD24" s="4804"/>
      <c r="AE24" s="4804"/>
      <c r="AF24" s="4804">
        <v>0</v>
      </c>
      <c r="AG24" s="4804">
        <v>0</v>
      </c>
      <c r="AH24" s="4804">
        <v>0</v>
      </c>
      <c r="AI24" s="4804"/>
      <c r="AJ24" s="4804"/>
      <c r="AK24" s="4804"/>
      <c r="AL24" s="4804">
        <v>0</v>
      </c>
      <c r="AM24" s="4804">
        <v>0</v>
      </c>
      <c r="AN24" s="4804">
        <v>5</v>
      </c>
      <c r="AO24" s="4804"/>
      <c r="AP24" s="4702">
        <v>1</v>
      </c>
      <c r="AQ24" s="4702">
        <v>6</v>
      </c>
      <c r="AT24" s="41"/>
      <c r="AU24" s="41"/>
      <c r="AV24" s="41"/>
      <c r="AW24" s="41" t="s">
        <v>1240</v>
      </c>
      <c r="AX24" s="690">
        <v>0</v>
      </c>
      <c r="AY24" s="690"/>
      <c r="AZ24" s="690"/>
      <c r="BA24" s="690"/>
      <c r="BB24" s="690"/>
      <c r="BC24" s="690"/>
      <c r="BD24" s="690"/>
      <c r="BE24" s="690"/>
      <c r="BF24" s="690"/>
      <c r="BG24" s="690"/>
      <c r="BH24" s="690">
        <v>0</v>
      </c>
      <c r="BI24" s="690"/>
      <c r="BJ24" s="690">
        <v>0</v>
      </c>
      <c r="BK24" s="690">
        <v>1</v>
      </c>
      <c r="BL24" s="690">
        <v>0</v>
      </c>
      <c r="BM24" s="41"/>
      <c r="BN24" s="41"/>
      <c r="BO24" s="41">
        <v>1</v>
      </c>
      <c r="BP24" s="41"/>
      <c r="BR24" s="41"/>
      <c r="BS24" s="41"/>
      <c r="BT24" s="41"/>
      <c r="BU24" s="461" t="s">
        <v>544</v>
      </c>
      <c r="BV24" s="2002"/>
      <c r="BW24" s="2002"/>
      <c r="BX24" s="2002"/>
      <c r="BY24" s="2002"/>
      <c r="BZ24" s="2002"/>
      <c r="CA24" s="2002"/>
      <c r="CB24" s="2002"/>
      <c r="CC24" s="2002">
        <v>1</v>
      </c>
      <c r="CD24" s="2002">
        <v>1</v>
      </c>
      <c r="CE24" s="2002">
        <v>2</v>
      </c>
      <c r="CF24" s="2002">
        <v>2</v>
      </c>
      <c r="CG24" s="2002">
        <v>3</v>
      </c>
      <c r="CH24" s="2002"/>
      <c r="CI24" s="2002">
        <v>1</v>
      </c>
      <c r="CJ24" s="2002">
        <v>1</v>
      </c>
      <c r="CK24" s="96"/>
      <c r="CL24" s="96"/>
      <c r="CM24" s="96">
        <v>11</v>
      </c>
      <c r="CN24" s="635">
        <f>+(CM20+CM23)/CM24</f>
        <v>0.54545454545454541</v>
      </c>
      <c r="CR24" s="41"/>
      <c r="CS24" s="461" t="s">
        <v>15</v>
      </c>
      <c r="CT24" s="1666"/>
      <c r="CU24" s="1666"/>
      <c r="CV24" s="1666"/>
      <c r="CW24" s="1666"/>
      <c r="CX24" s="1666"/>
      <c r="CY24" s="1666"/>
      <c r="CZ24" s="1666"/>
      <c r="DA24" s="1666"/>
      <c r="DB24" s="1666"/>
      <c r="DC24" s="1666">
        <v>1</v>
      </c>
      <c r="DD24" s="1666"/>
      <c r="DE24" s="1666"/>
      <c r="DF24" s="1666"/>
      <c r="DG24" s="1666"/>
      <c r="DH24" s="1666"/>
      <c r="DI24" s="461"/>
      <c r="DJ24" s="461"/>
      <c r="DK24" s="461">
        <v>1</v>
      </c>
      <c r="DL24" s="635">
        <f>+DK23/DK24</f>
        <v>1</v>
      </c>
      <c r="DN24" s="1375"/>
      <c r="DO24" s="1375"/>
      <c r="DP24" s="1375"/>
      <c r="DQ24" s="1372" t="s">
        <v>15</v>
      </c>
      <c r="DR24" s="1381"/>
      <c r="DS24" s="1381"/>
      <c r="DT24" s="1381"/>
      <c r="DU24" s="1381"/>
      <c r="DV24" s="1381"/>
      <c r="DW24" s="1382">
        <v>3</v>
      </c>
      <c r="DX24" s="1381"/>
      <c r="DY24" s="1381"/>
      <c r="DZ24" s="1381"/>
      <c r="EA24" s="1381"/>
      <c r="EB24" s="1381"/>
      <c r="EC24" s="1381"/>
      <c r="ED24" s="1381"/>
      <c r="EE24" s="1383"/>
      <c r="EF24" s="1383"/>
      <c r="EG24" s="1384">
        <v>3</v>
      </c>
      <c r="EH24" s="1325">
        <v>0</v>
      </c>
      <c r="EJ24" s="678"/>
      <c r="EK24" s="678"/>
      <c r="EL24" s="678"/>
      <c r="EM24" s="679" t="s">
        <v>1240</v>
      </c>
      <c r="EN24" s="680"/>
      <c r="EO24" s="681">
        <v>0</v>
      </c>
      <c r="EP24" s="681">
        <v>0</v>
      </c>
      <c r="EQ24" s="680"/>
      <c r="ER24" s="680"/>
      <c r="ES24" s="680"/>
      <c r="ET24" s="680"/>
      <c r="EU24" s="681">
        <v>0</v>
      </c>
      <c r="EV24" s="680"/>
      <c r="EW24" s="681">
        <v>0</v>
      </c>
      <c r="EX24" s="681">
        <v>1</v>
      </c>
      <c r="EY24" s="681">
        <v>1</v>
      </c>
      <c r="EZ24" s="681">
        <v>0</v>
      </c>
      <c r="FA24" s="681">
        <v>0</v>
      </c>
      <c r="FB24" s="680"/>
      <c r="FC24" s="682"/>
      <c r="FD24" s="682"/>
      <c r="FE24" s="683">
        <v>2</v>
      </c>
      <c r="FF24" s="105"/>
      <c r="FH24" s="511"/>
      <c r="FI24" s="511"/>
      <c r="FJ24" s="511"/>
      <c r="FK24" s="511"/>
      <c r="FL24" s="512" t="s">
        <v>1239</v>
      </c>
      <c r="FM24" s="684"/>
      <c r="FN24" s="684"/>
      <c r="FO24" s="684"/>
      <c r="FP24" s="684"/>
      <c r="FQ24" s="684"/>
      <c r="FR24" s="684"/>
      <c r="FS24" s="685">
        <v>0</v>
      </c>
      <c r="FT24" s="684"/>
      <c r="FU24" s="685">
        <v>0</v>
      </c>
      <c r="FV24" s="684"/>
      <c r="FW24" s="684"/>
      <c r="FX24" s="684"/>
      <c r="FY24" s="685">
        <v>2</v>
      </c>
      <c r="FZ24" s="685">
        <v>2</v>
      </c>
      <c r="GA24" s="684"/>
      <c r="GB24" s="686"/>
      <c r="GC24" s="686"/>
      <c r="GD24" s="687">
        <v>4</v>
      </c>
      <c r="GE24" s="635"/>
      <c r="GF24" s="41"/>
      <c r="GG24" s="688"/>
      <c r="GH24" s="688" t="s">
        <v>104</v>
      </c>
      <c r="GI24" s="688" t="s">
        <v>105</v>
      </c>
      <c r="GJ24" s="457" t="s">
        <v>1233</v>
      </c>
      <c r="GK24" s="458">
        <v>1</v>
      </c>
      <c r="GL24" s="689"/>
      <c r="GM24" s="458">
        <v>0</v>
      </c>
      <c r="GN24" s="458">
        <v>0</v>
      </c>
      <c r="GO24" s="458">
        <v>0</v>
      </c>
      <c r="GP24" s="458">
        <v>0</v>
      </c>
      <c r="GQ24" s="689"/>
      <c r="GR24" s="689"/>
      <c r="GS24" s="689"/>
      <c r="GT24" s="689"/>
      <c r="GU24" s="458">
        <v>0</v>
      </c>
      <c r="GV24" s="689"/>
      <c r="GW24" s="689"/>
      <c r="GX24" s="458">
        <v>1</v>
      </c>
      <c r="GY24" s="690"/>
      <c r="GZ24" s="41"/>
      <c r="HA24" s="41"/>
      <c r="HB24" s="105"/>
      <c r="HC24" s="105"/>
      <c r="HD24" s="41"/>
      <c r="HE24" s="41" t="s">
        <v>1240</v>
      </c>
      <c r="HF24" s="105">
        <v>0</v>
      </c>
      <c r="HG24" s="105"/>
      <c r="HH24" s="105"/>
      <c r="HI24" s="105"/>
      <c r="HJ24" s="105"/>
      <c r="HK24" s="105"/>
      <c r="HL24" s="105">
        <v>0</v>
      </c>
      <c r="HM24" s="105">
        <v>0</v>
      </c>
      <c r="HN24" s="105">
        <v>2</v>
      </c>
      <c r="HO24" s="105"/>
      <c r="HP24" s="105"/>
      <c r="HQ24" s="105"/>
      <c r="HR24" s="105"/>
      <c r="HS24" s="105"/>
      <c r="HT24" s="105"/>
      <c r="HU24" s="105"/>
      <c r="HV24" s="105">
        <v>2</v>
      </c>
      <c r="HW24" s="41"/>
      <c r="HX24" s="41"/>
      <c r="HY24" s="691"/>
      <c r="HZ24" s="691"/>
      <c r="IA24" s="691"/>
      <c r="IB24" s="691" t="s">
        <v>1239</v>
      </c>
      <c r="IC24" s="691">
        <v>0</v>
      </c>
      <c r="ID24" s="691">
        <v>0</v>
      </c>
      <c r="IE24" s="691">
        <v>0</v>
      </c>
      <c r="IF24" s="691">
        <v>0</v>
      </c>
      <c r="IG24" s="691">
        <v>0</v>
      </c>
      <c r="IH24" s="691">
        <v>0</v>
      </c>
      <c r="II24" s="691">
        <v>0</v>
      </c>
      <c r="IJ24" s="691">
        <v>0</v>
      </c>
      <c r="IK24" s="691">
        <v>0</v>
      </c>
      <c r="IL24" s="691">
        <v>0</v>
      </c>
      <c r="IM24" s="691">
        <v>0</v>
      </c>
      <c r="IN24" s="691">
        <v>0</v>
      </c>
      <c r="IO24" s="691">
        <v>0</v>
      </c>
      <c r="IP24" s="691">
        <v>0</v>
      </c>
      <c r="IQ24" s="691">
        <v>1</v>
      </c>
      <c r="IR24" s="691">
        <v>1</v>
      </c>
      <c r="IS24" s="691">
        <v>2</v>
      </c>
      <c r="IT24" s="691"/>
      <c r="IU24" s="692"/>
    </row>
    <row r="25" spans="2:255">
      <c r="C25" s="32"/>
      <c r="D25" s="32" t="s">
        <v>1344</v>
      </c>
      <c r="E25" s="4607"/>
      <c r="F25" s="4607">
        <v>0</v>
      </c>
      <c r="G25" s="4607"/>
      <c r="H25" s="4607"/>
      <c r="I25" s="4607">
        <v>0</v>
      </c>
      <c r="J25" s="4607">
        <v>0</v>
      </c>
      <c r="K25" s="4607">
        <v>0</v>
      </c>
      <c r="L25" s="4607"/>
      <c r="M25" s="4607"/>
      <c r="N25" s="4607"/>
      <c r="O25" s="4607">
        <v>1</v>
      </c>
      <c r="P25" s="4607">
        <v>1</v>
      </c>
      <c r="Q25" s="4607">
        <v>0</v>
      </c>
      <c r="R25" s="4607">
        <v>0</v>
      </c>
      <c r="S25" s="4583">
        <v>0</v>
      </c>
      <c r="T25" s="4583"/>
      <c r="U25" s="4583">
        <v>2</v>
      </c>
      <c r="V25" s="4583"/>
      <c r="AA25" s="1793" t="s">
        <v>1240</v>
      </c>
      <c r="AB25" s="4804"/>
      <c r="AC25" s="4804">
        <v>0</v>
      </c>
      <c r="AD25" s="4804"/>
      <c r="AE25" s="4804"/>
      <c r="AF25" s="4804">
        <v>0</v>
      </c>
      <c r="AG25" s="4804">
        <v>0</v>
      </c>
      <c r="AH25" s="4804">
        <v>0</v>
      </c>
      <c r="AI25" s="4804"/>
      <c r="AJ25" s="4804"/>
      <c r="AK25" s="4804"/>
      <c r="AL25" s="4804">
        <v>0</v>
      </c>
      <c r="AM25" s="4804">
        <v>0</v>
      </c>
      <c r="AN25" s="4804">
        <v>1</v>
      </c>
      <c r="AO25" s="4804"/>
      <c r="AP25" s="4702">
        <v>0</v>
      </c>
      <c r="AQ25" s="4702">
        <v>1</v>
      </c>
      <c r="AT25" s="41"/>
      <c r="AU25" s="41"/>
      <c r="AV25" s="41"/>
      <c r="AW25" s="41" t="s">
        <v>1344</v>
      </c>
      <c r="AX25" s="690">
        <v>0</v>
      </c>
      <c r="AY25" s="690"/>
      <c r="AZ25" s="690"/>
      <c r="BA25" s="690"/>
      <c r="BB25" s="690"/>
      <c r="BC25" s="690"/>
      <c r="BD25" s="690"/>
      <c r="BE25" s="690"/>
      <c r="BF25" s="690"/>
      <c r="BG25" s="690"/>
      <c r="BH25" s="690">
        <v>1</v>
      </c>
      <c r="BI25" s="690"/>
      <c r="BJ25" s="690">
        <v>1</v>
      </c>
      <c r="BK25" s="690">
        <v>0</v>
      </c>
      <c r="BL25" s="690">
        <v>0</v>
      </c>
      <c r="BM25" s="41"/>
      <c r="BN25" s="41"/>
      <c r="BO25" s="41">
        <v>2</v>
      </c>
      <c r="BP25" s="41"/>
      <c r="BR25" s="41"/>
      <c r="BS25" s="41" t="s">
        <v>16</v>
      </c>
      <c r="BT25" s="41" t="s">
        <v>119</v>
      </c>
      <c r="BU25" s="41" t="s">
        <v>1231</v>
      </c>
      <c r="BV25" s="2001"/>
      <c r="BW25" s="2001"/>
      <c r="BX25" s="2001">
        <v>1</v>
      </c>
      <c r="BY25" s="2001"/>
      <c r="BZ25" s="2001"/>
      <c r="CA25" s="2001"/>
      <c r="CB25" s="2001"/>
      <c r="CC25" s="2001"/>
      <c r="CD25" s="2001"/>
      <c r="CE25" s="2001">
        <v>0</v>
      </c>
      <c r="CF25" s="2001"/>
      <c r="CG25" s="2001">
        <v>0</v>
      </c>
      <c r="CH25" s="2001">
        <v>1</v>
      </c>
      <c r="CI25" s="2001">
        <v>1</v>
      </c>
      <c r="CJ25" s="2001">
        <v>0</v>
      </c>
      <c r="CK25" s="105"/>
      <c r="CL25" s="105"/>
      <c r="CM25" s="105">
        <v>3</v>
      </c>
      <c r="CN25" s="41"/>
      <c r="CR25" s="41" t="s">
        <v>1639</v>
      </c>
      <c r="CS25" s="41" t="s">
        <v>1231</v>
      </c>
      <c r="CT25" s="1665"/>
      <c r="CU25" s="1665"/>
      <c r="CV25" s="1665"/>
      <c r="CW25" s="1665"/>
      <c r="CX25" s="1665"/>
      <c r="CY25" s="1665"/>
      <c r="CZ25" s="1665">
        <v>1</v>
      </c>
      <c r="DA25" s="1665">
        <v>0</v>
      </c>
      <c r="DB25" s="1665"/>
      <c r="DC25" s="1665"/>
      <c r="DD25" s="1665"/>
      <c r="DE25" s="1665"/>
      <c r="DF25" s="1665"/>
      <c r="DG25" s="1665"/>
      <c r="DH25" s="1665"/>
      <c r="DI25" s="41"/>
      <c r="DJ25" s="41"/>
      <c r="DK25" s="41">
        <v>1</v>
      </c>
      <c r="DL25" s="41"/>
      <c r="DN25" s="1375"/>
      <c r="DO25" s="1375"/>
      <c r="DP25" s="1375" t="s">
        <v>844</v>
      </c>
      <c r="DQ25" s="1376" t="s">
        <v>1236</v>
      </c>
      <c r="DR25" s="1377"/>
      <c r="DS25" s="1377"/>
      <c r="DT25" s="1377"/>
      <c r="DU25" s="1377"/>
      <c r="DV25" s="1377"/>
      <c r="DW25" s="1378">
        <v>3</v>
      </c>
      <c r="DX25" s="1377"/>
      <c r="DY25" s="1377"/>
      <c r="DZ25" s="1377"/>
      <c r="EA25" s="1377"/>
      <c r="EB25" s="1377"/>
      <c r="EC25" s="1377"/>
      <c r="ED25" s="1377"/>
      <c r="EE25" s="1379"/>
      <c r="EF25" s="1379"/>
      <c r="EG25" s="1380">
        <v>3</v>
      </c>
      <c r="EH25" s="41"/>
      <c r="EJ25" s="678"/>
      <c r="EK25" s="678"/>
      <c r="EL25" s="678"/>
      <c r="EM25" s="679" t="s">
        <v>1344</v>
      </c>
      <c r="EN25" s="680"/>
      <c r="EO25" s="681">
        <v>0</v>
      </c>
      <c r="EP25" s="681">
        <v>0</v>
      </c>
      <c r="EQ25" s="680"/>
      <c r="ER25" s="680"/>
      <c r="ES25" s="680"/>
      <c r="ET25" s="680"/>
      <c r="EU25" s="681">
        <v>0</v>
      </c>
      <c r="EV25" s="680"/>
      <c r="EW25" s="681">
        <v>4</v>
      </c>
      <c r="EX25" s="681">
        <v>2</v>
      </c>
      <c r="EY25" s="681">
        <v>1</v>
      </c>
      <c r="EZ25" s="681">
        <v>0</v>
      </c>
      <c r="FA25" s="681">
        <v>0</v>
      </c>
      <c r="FB25" s="680"/>
      <c r="FC25" s="682"/>
      <c r="FD25" s="682"/>
      <c r="FE25" s="683">
        <v>7</v>
      </c>
      <c r="FF25" s="105"/>
      <c r="FH25" s="511"/>
      <c r="FI25" s="511"/>
      <c r="FJ25" s="511"/>
      <c r="FK25" s="41"/>
      <c r="FL25" s="532" t="s">
        <v>545</v>
      </c>
      <c r="FM25" s="693"/>
      <c r="FN25" s="693"/>
      <c r="FO25" s="693"/>
      <c r="FP25" s="693"/>
      <c r="FQ25" s="693"/>
      <c r="FR25" s="693"/>
      <c r="FS25" s="694">
        <v>1</v>
      </c>
      <c r="FT25" s="693"/>
      <c r="FU25" s="694">
        <v>1</v>
      </c>
      <c r="FV25" s="693"/>
      <c r="FW25" s="693"/>
      <c r="FX25" s="693"/>
      <c r="FY25" s="694">
        <v>2</v>
      </c>
      <c r="FZ25" s="694">
        <v>2</v>
      </c>
      <c r="GA25" s="693"/>
      <c r="GB25" s="695"/>
      <c r="GC25" s="695"/>
      <c r="GD25" s="696">
        <v>6</v>
      </c>
      <c r="GE25" s="635">
        <v>0</v>
      </c>
      <c r="GF25" s="41"/>
      <c r="GG25" s="688"/>
      <c r="GH25" s="688"/>
      <c r="GI25" s="688"/>
      <c r="GJ25" s="457" t="s">
        <v>1236</v>
      </c>
      <c r="GK25" s="458">
        <v>0</v>
      </c>
      <c r="GL25" s="689"/>
      <c r="GM25" s="458">
        <v>6</v>
      </c>
      <c r="GN25" s="458">
        <v>2</v>
      </c>
      <c r="GO25" s="458">
        <v>2</v>
      </c>
      <c r="GP25" s="458">
        <v>0</v>
      </c>
      <c r="GQ25" s="689"/>
      <c r="GR25" s="689"/>
      <c r="GS25" s="689"/>
      <c r="GT25" s="689"/>
      <c r="GU25" s="458">
        <v>0</v>
      </c>
      <c r="GV25" s="689"/>
      <c r="GW25" s="689"/>
      <c r="GX25" s="458">
        <v>10</v>
      </c>
      <c r="GY25" s="690"/>
      <c r="GZ25" s="41"/>
      <c r="HA25" s="41"/>
      <c r="HB25" s="105"/>
      <c r="HC25" s="105"/>
      <c r="HD25" s="41"/>
      <c r="HE25" s="41" t="s">
        <v>1344</v>
      </c>
      <c r="HF25" s="105">
        <v>0</v>
      </c>
      <c r="HG25" s="105"/>
      <c r="HH25" s="105"/>
      <c r="HI25" s="105"/>
      <c r="HJ25" s="105"/>
      <c r="HK25" s="105"/>
      <c r="HL25" s="105">
        <v>1</v>
      </c>
      <c r="HM25" s="105">
        <v>0</v>
      </c>
      <c r="HN25" s="105">
        <v>0</v>
      </c>
      <c r="HO25" s="105"/>
      <c r="HP25" s="105"/>
      <c r="HQ25" s="105"/>
      <c r="HR25" s="105"/>
      <c r="HS25" s="105"/>
      <c r="HT25" s="105"/>
      <c r="HU25" s="105"/>
      <c r="HV25" s="105">
        <v>1</v>
      </c>
      <c r="HW25" s="41"/>
      <c r="HX25" s="41"/>
      <c r="HY25" s="691"/>
      <c r="HZ25" s="691"/>
      <c r="IA25" s="691"/>
      <c r="IB25" s="691" t="s">
        <v>1344</v>
      </c>
      <c r="IC25" s="691">
        <v>0</v>
      </c>
      <c r="ID25" s="691">
        <v>0</v>
      </c>
      <c r="IE25" s="691">
        <v>0</v>
      </c>
      <c r="IF25" s="691">
        <v>0</v>
      </c>
      <c r="IG25" s="691">
        <v>0</v>
      </c>
      <c r="IH25" s="691">
        <v>0</v>
      </c>
      <c r="II25" s="691">
        <v>0</v>
      </c>
      <c r="IJ25" s="691">
        <v>0</v>
      </c>
      <c r="IK25" s="691">
        <v>0</v>
      </c>
      <c r="IL25" s="691">
        <v>0</v>
      </c>
      <c r="IM25" s="691">
        <v>0</v>
      </c>
      <c r="IN25" s="691">
        <v>1</v>
      </c>
      <c r="IO25" s="691">
        <v>2</v>
      </c>
      <c r="IP25" s="691">
        <v>0</v>
      </c>
      <c r="IQ25" s="691">
        <v>0</v>
      </c>
      <c r="IR25" s="691">
        <v>0</v>
      </c>
      <c r="IS25" s="691">
        <v>3</v>
      </c>
      <c r="IT25" s="691"/>
      <c r="IU25" s="692"/>
    </row>
    <row r="26" spans="2:255">
      <c r="C26" s="32"/>
      <c r="D26" s="4800" t="s">
        <v>15</v>
      </c>
      <c r="E26" s="4607"/>
      <c r="F26" s="4607">
        <v>1</v>
      </c>
      <c r="G26" s="4607"/>
      <c r="H26" s="4607"/>
      <c r="I26" s="4607">
        <v>1</v>
      </c>
      <c r="J26" s="4607">
        <v>1</v>
      </c>
      <c r="K26" s="4607">
        <v>1</v>
      </c>
      <c r="L26" s="4607"/>
      <c r="M26" s="4607"/>
      <c r="N26" s="4607"/>
      <c r="O26" s="4607">
        <v>2</v>
      </c>
      <c r="P26" s="4607">
        <v>1</v>
      </c>
      <c r="Q26" s="4607">
        <v>2</v>
      </c>
      <c r="R26" s="4607">
        <v>4</v>
      </c>
      <c r="S26" s="4583">
        <v>1</v>
      </c>
      <c r="T26" s="4583"/>
      <c r="U26" s="4583">
        <v>14</v>
      </c>
      <c r="V26" s="1977">
        <f>+(U24+U25)/(U26)</f>
        <v>0.21428571428571427</v>
      </c>
      <c r="AA26" s="1793" t="s">
        <v>1344</v>
      </c>
      <c r="AB26" s="4804"/>
      <c r="AC26" s="4804">
        <v>0</v>
      </c>
      <c r="AD26" s="4804"/>
      <c r="AE26" s="4804"/>
      <c r="AF26" s="4804">
        <v>0</v>
      </c>
      <c r="AG26" s="4804">
        <v>0</v>
      </c>
      <c r="AH26" s="4804">
        <v>0</v>
      </c>
      <c r="AI26" s="4804"/>
      <c r="AJ26" s="4804"/>
      <c r="AK26" s="4804"/>
      <c r="AL26" s="4804">
        <v>1</v>
      </c>
      <c r="AM26" s="4804">
        <v>0</v>
      </c>
      <c r="AN26" s="4804">
        <v>0</v>
      </c>
      <c r="AO26" s="4804"/>
      <c r="AP26" s="4702">
        <v>0</v>
      </c>
      <c r="AQ26" s="4702">
        <v>1</v>
      </c>
      <c r="AT26" s="41"/>
      <c r="AU26" s="41"/>
      <c r="AV26" s="41"/>
      <c r="AW26" s="461" t="s">
        <v>15</v>
      </c>
      <c r="AX26" s="2489">
        <v>1</v>
      </c>
      <c r="AY26" s="2489"/>
      <c r="AZ26" s="2489"/>
      <c r="BA26" s="2489"/>
      <c r="BB26" s="2489"/>
      <c r="BC26" s="2489"/>
      <c r="BD26" s="2489"/>
      <c r="BE26" s="2489"/>
      <c r="BF26" s="2489"/>
      <c r="BG26" s="2489"/>
      <c r="BH26" s="2489">
        <v>1</v>
      </c>
      <c r="BI26" s="2489"/>
      <c r="BJ26" s="2489">
        <v>1</v>
      </c>
      <c r="BK26" s="2489">
        <v>4</v>
      </c>
      <c r="BL26" s="2489">
        <v>6</v>
      </c>
      <c r="BM26" s="461"/>
      <c r="BN26" s="461"/>
      <c r="BO26" s="461">
        <v>13</v>
      </c>
      <c r="BP26" s="635">
        <f>+(BO25+BO24)/BO26</f>
        <v>0.23076923076923078</v>
      </c>
      <c r="BQ26" s="1977"/>
      <c r="BR26" s="41"/>
      <c r="BS26" s="41"/>
      <c r="BT26" s="41"/>
      <c r="BU26" s="41" t="s">
        <v>1235</v>
      </c>
      <c r="BV26" s="2001"/>
      <c r="BW26" s="2001"/>
      <c r="BX26" s="2001">
        <v>0</v>
      </c>
      <c r="BY26" s="2001"/>
      <c r="BZ26" s="2001"/>
      <c r="CA26" s="2001"/>
      <c r="CB26" s="2001"/>
      <c r="CC26" s="2001"/>
      <c r="CD26" s="2001"/>
      <c r="CE26" s="2001">
        <v>0</v>
      </c>
      <c r="CF26" s="2001"/>
      <c r="CG26" s="2001">
        <v>0</v>
      </c>
      <c r="CH26" s="2001">
        <v>1</v>
      </c>
      <c r="CI26" s="2001">
        <v>0</v>
      </c>
      <c r="CJ26" s="2001">
        <v>0</v>
      </c>
      <c r="CK26" s="105"/>
      <c r="CL26" s="105"/>
      <c r="CM26" s="105">
        <v>1</v>
      </c>
      <c r="CN26" s="41"/>
      <c r="CR26" s="41"/>
      <c r="CS26" s="41" t="s">
        <v>1239</v>
      </c>
      <c r="CT26" s="1665"/>
      <c r="CU26" s="1665"/>
      <c r="CV26" s="1665"/>
      <c r="CW26" s="1665"/>
      <c r="CX26" s="1665"/>
      <c r="CY26" s="1665"/>
      <c r="CZ26" s="1665">
        <v>0</v>
      </c>
      <c r="DA26" s="1665">
        <v>1</v>
      </c>
      <c r="DB26" s="1665"/>
      <c r="DC26" s="1665"/>
      <c r="DD26" s="1665"/>
      <c r="DE26" s="1665"/>
      <c r="DF26" s="1665"/>
      <c r="DG26" s="1665"/>
      <c r="DH26" s="1665"/>
      <c r="DI26" s="41"/>
      <c r="DJ26" s="41"/>
      <c r="DK26" s="41">
        <v>1</v>
      </c>
      <c r="DL26" s="41"/>
      <c r="DN26" s="1375"/>
      <c r="DO26" s="1375"/>
      <c r="DP26" s="1375"/>
      <c r="DQ26" s="1372" t="s">
        <v>844</v>
      </c>
      <c r="DR26" s="1381"/>
      <c r="DS26" s="1381"/>
      <c r="DT26" s="1381"/>
      <c r="DU26" s="1381"/>
      <c r="DV26" s="1381"/>
      <c r="DW26" s="1382">
        <v>3</v>
      </c>
      <c r="DX26" s="1381"/>
      <c r="DY26" s="1381"/>
      <c r="DZ26" s="1381"/>
      <c r="EA26" s="1381"/>
      <c r="EB26" s="1381"/>
      <c r="EC26" s="1381"/>
      <c r="ED26" s="1381"/>
      <c r="EE26" s="1383"/>
      <c r="EF26" s="1383"/>
      <c r="EG26" s="1384">
        <v>3</v>
      </c>
      <c r="EH26" s="1325">
        <v>0</v>
      </c>
      <c r="EJ26" s="678"/>
      <c r="EK26" s="678"/>
      <c r="EL26" s="678"/>
      <c r="EM26" s="697" t="s">
        <v>545</v>
      </c>
      <c r="EN26" s="698"/>
      <c r="EO26" s="699">
        <v>1</v>
      </c>
      <c r="EP26" s="699">
        <v>1</v>
      </c>
      <c r="EQ26" s="698"/>
      <c r="ER26" s="698"/>
      <c r="ES26" s="698"/>
      <c r="ET26" s="698"/>
      <c r="EU26" s="699">
        <v>1</v>
      </c>
      <c r="EV26" s="698"/>
      <c r="EW26" s="699">
        <v>7</v>
      </c>
      <c r="EX26" s="699">
        <v>6</v>
      </c>
      <c r="EY26" s="699">
        <v>2</v>
      </c>
      <c r="EZ26" s="699">
        <v>1</v>
      </c>
      <c r="FA26" s="699">
        <v>1</v>
      </c>
      <c r="FB26" s="698"/>
      <c r="FC26" s="700"/>
      <c r="FD26" s="700"/>
      <c r="FE26" s="701">
        <v>20</v>
      </c>
      <c r="FF26" s="635">
        <f>+(FE23+FE24+FE25)/FE26</f>
        <v>0.5</v>
      </c>
      <c r="FH26" s="511"/>
      <c r="FI26" s="511" t="s">
        <v>104</v>
      </c>
      <c r="FJ26" s="511" t="s">
        <v>105</v>
      </c>
      <c r="FK26" s="511" t="s">
        <v>1229</v>
      </c>
      <c r="FL26" s="512" t="s">
        <v>1231</v>
      </c>
      <c r="FM26" s="685">
        <v>2</v>
      </c>
      <c r="FN26" s="684"/>
      <c r="FO26" s="684"/>
      <c r="FP26" s="684"/>
      <c r="FQ26" s="684"/>
      <c r="FR26" s="685">
        <v>0</v>
      </c>
      <c r="FS26" s="685">
        <v>2</v>
      </c>
      <c r="FT26" s="685">
        <v>0</v>
      </c>
      <c r="FU26" s="684"/>
      <c r="FV26" s="684"/>
      <c r="FW26" s="684"/>
      <c r="FX26" s="685">
        <v>0</v>
      </c>
      <c r="FY26" s="685">
        <v>1</v>
      </c>
      <c r="FZ26" s="685">
        <v>0</v>
      </c>
      <c r="GA26" s="684"/>
      <c r="GB26" s="686"/>
      <c r="GC26" s="686"/>
      <c r="GD26" s="687">
        <v>5</v>
      </c>
      <c r="GE26" s="635"/>
      <c r="GF26" s="41"/>
      <c r="GG26" s="688"/>
      <c r="GH26" s="688"/>
      <c r="GI26" s="688"/>
      <c r="GJ26" s="457" t="s">
        <v>1239</v>
      </c>
      <c r="GK26" s="458">
        <v>0</v>
      </c>
      <c r="GL26" s="689"/>
      <c r="GM26" s="458">
        <v>0</v>
      </c>
      <c r="GN26" s="458">
        <v>0</v>
      </c>
      <c r="GO26" s="458">
        <v>1</v>
      </c>
      <c r="GP26" s="458">
        <v>1</v>
      </c>
      <c r="GQ26" s="689"/>
      <c r="GR26" s="689"/>
      <c r="GS26" s="689"/>
      <c r="GT26" s="689"/>
      <c r="GU26" s="458">
        <v>1</v>
      </c>
      <c r="GV26" s="689"/>
      <c r="GW26" s="689"/>
      <c r="GX26" s="458">
        <v>3</v>
      </c>
      <c r="GY26" s="690"/>
      <c r="GZ26" s="41"/>
      <c r="HA26" s="41"/>
      <c r="HB26" s="105"/>
      <c r="HC26" s="105"/>
      <c r="HD26" s="41"/>
      <c r="HE26" s="461" t="s">
        <v>15</v>
      </c>
      <c r="HF26" s="96">
        <v>2</v>
      </c>
      <c r="HG26" s="96"/>
      <c r="HH26" s="96"/>
      <c r="HI26" s="96"/>
      <c r="HJ26" s="96"/>
      <c r="HK26" s="96"/>
      <c r="HL26" s="96">
        <v>1</v>
      </c>
      <c r="HM26" s="96">
        <v>1</v>
      </c>
      <c r="HN26" s="96">
        <v>10</v>
      </c>
      <c r="HO26" s="96"/>
      <c r="HP26" s="96"/>
      <c r="HQ26" s="96"/>
      <c r="HR26" s="96"/>
      <c r="HS26" s="96"/>
      <c r="HT26" s="96"/>
      <c r="HU26" s="96"/>
      <c r="HV26" s="96">
        <v>14</v>
      </c>
      <c r="HW26" s="706">
        <f>+(HV23+HV24+HV25)/HV26</f>
        <v>0.35714285714285715</v>
      </c>
      <c r="HX26" s="41"/>
      <c r="HY26" s="691"/>
      <c r="HZ26" s="691"/>
      <c r="IA26" s="691"/>
      <c r="IB26" s="702" t="s">
        <v>15</v>
      </c>
      <c r="IC26" s="702">
        <v>0</v>
      </c>
      <c r="ID26" s="702">
        <v>0</v>
      </c>
      <c r="IE26" s="702">
        <v>0</v>
      </c>
      <c r="IF26" s="702">
        <v>0</v>
      </c>
      <c r="IG26" s="702">
        <v>0</v>
      </c>
      <c r="IH26" s="702">
        <v>0</v>
      </c>
      <c r="II26" s="702">
        <v>0</v>
      </c>
      <c r="IJ26" s="702">
        <v>0</v>
      </c>
      <c r="IK26" s="702">
        <v>0</v>
      </c>
      <c r="IL26" s="702">
        <v>0</v>
      </c>
      <c r="IM26" s="702">
        <v>0</v>
      </c>
      <c r="IN26" s="702">
        <v>1</v>
      </c>
      <c r="IO26" s="702">
        <v>2</v>
      </c>
      <c r="IP26" s="702">
        <v>1</v>
      </c>
      <c r="IQ26" s="702">
        <v>1</v>
      </c>
      <c r="IR26" s="702">
        <v>1</v>
      </c>
      <c r="IS26" s="702">
        <v>6</v>
      </c>
      <c r="IT26" s="703">
        <f>+IS25/IS26</f>
        <v>0.5</v>
      </c>
      <c r="IU26" s="692">
        <f>+IS25</f>
        <v>3</v>
      </c>
    </row>
    <row r="27" spans="2:255">
      <c r="B27" s="4800" t="s">
        <v>16</v>
      </c>
      <c r="C27" s="4800" t="s">
        <v>128</v>
      </c>
      <c r="D27" s="4800" t="s">
        <v>1231</v>
      </c>
      <c r="E27" s="4606">
        <v>1</v>
      </c>
      <c r="F27" s="4606"/>
      <c r="G27" s="4606"/>
      <c r="H27" s="4606"/>
      <c r="I27" s="4606"/>
      <c r="J27" s="4606"/>
      <c r="K27" s="4606"/>
      <c r="L27" s="4606"/>
      <c r="M27" s="4606"/>
      <c r="N27" s="4606"/>
      <c r="O27" s="4606"/>
      <c r="P27" s="4606"/>
      <c r="Q27" s="4606"/>
      <c r="R27" s="4606"/>
      <c r="S27" s="2552"/>
      <c r="T27" s="2552"/>
      <c r="U27" s="2552">
        <v>1</v>
      </c>
      <c r="V27" s="2552"/>
      <c r="AA27" s="1793" t="s">
        <v>544</v>
      </c>
      <c r="AB27" s="4804"/>
      <c r="AC27" s="4804">
        <v>1</v>
      </c>
      <c r="AD27" s="4804"/>
      <c r="AE27" s="4804"/>
      <c r="AF27" s="4804">
        <v>1</v>
      </c>
      <c r="AG27" s="4804">
        <v>1</v>
      </c>
      <c r="AH27" s="4804">
        <v>1</v>
      </c>
      <c r="AI27" s="4804"/>
      <c r="AJ27" s="4804"/>
      <c r="AK27" s="4804"/>
      <c r="AL27" s="4804">
        <v>2</v>
      </c>
      <c r="AM27" s="4804">
        <v>1</v>
      </c>
      <c r="AN27" s="4804">
        <v>6</v>
      </c>
      <c r="AO27" s="4804"/>
      <c r="AP27" s="4702">
        <v>1</v>
      </c>
      <c r="AQ27" s="4702">
        <v>14</v>
      </c>
      <c r="AR27" s="4703">
        <f>+(AQ23+AQ25+AQ26)/AQ27</f>
        <v>0.21428571428571427</v>
      </c>
      <c r="AT27" s="41"/>
      <c r="AU27" s="41"/>
      <c r="AV27" s="461" t="s">
        <v>545</v>
      </c>
      <c r="AW27" s="461" t="s">
        <v>1231</v>
      </c>
      <c r="AX27" s="2489">
        <v>1</v>
      </c>
      <c r="AY27" s="2489"/>
      <c r="AZ27" s="2489"/>
      <c r="BA27" s="2489"/>
      <c r="BB27" s="2489"/>
      <c r="BC27" s="2489"/>
      <c r="BD27" s="2489"/>
      <c r="BE27" s="2489"/>
      <c r="BF27" s="2489"/>
      <c r="BG27" s="2489"/>
      <c r="BH27" s="2489">
        <v>0</v>
      </c>
      <c r="BI27" s="2489"/>
      <c r="BJ27" s="2489">
        <v>0</v>
      </c>
      <c r="BK27" s="2489">
        <v>3</v>
      </c>
      <c r="BL27" s="2489">
        <v>0</v>
      </c>
      <c r="BM27" s="461"/>
      <c r="BN27" s="461"/>
      <c r="BO27" s="461">
        <v>4</v>
      </c>
      <c r="BP27" s="41"/>
      <c r="BR27" s="41"/>
      <c r="BS27" s="41"/>
      <c r="BT27" s="41"/>
      <c r="BU27" s="41" t="s">
        <v>1236</v>
      </c>
      <c r="BV27" s="2001"/>
      <c r="BW27" s="2001"/>
      <c r="BX27" s="2001">
        <v>0</v>
      </c>
      <c r="BY27" s="2001"/>
      <c r="BZ27" s="2001"/>
      <c r="CA27" s="2001"/>
      <c r="CB27" s="2001"/>
      <c r="CC27" s="2001"/>
      <c r="CD27" s="2001"/>
      <c r="CE27" s="2001">
        <v>1</v>
      </c>
      <c r="CF27" s="2001"/>
      <c r="CG27" s="2001">
        <v>0</v>
      </c>
      <c r="CH27" s="2001">
        <v>0</v>
      </c>
      <c r="CI27" s="2001">
        <v>0</v>
      </c>
      <c r="CJ27" s="2001">
        <v>0</v>
      </c>
      <c r="CK27" s="105"/>
      <c r="CL27" s="105"/>
      <c r="CM27" s="105">
        <v>1</v>
      </c>
      <c r="CN27" s="41"/>
      <c r="CR27" s="41"/>
      <c r="CS27" s="461" t="s">
        <v>15</v>
      </c>
      <c r="CT27" s="1666"/>
      <c r="CU27" s="1666"/>
      <c r="CV27" s="1666"/>
      <c r="CW27" s="1666"/>
      <c r="CX27" s="1666"/>
      <c r="CY27" s="1666"/>
      <c r="CZ27" s="1666">
        <v>1</v>
      </c>
      <c r="DA27" s="1666">
        <v>1</v>
      </c>
      <c r="DB27" s="1666"/>
      <c r="DC27" s="1666"/>
      <c r="DD27" s="1666"/>
      <c r="DE27" s="1666"/>
      <c r="DF27" s="1666"/>
      <c r="DG27" s="1666"/>
      <c r="DH27" s="1666"/>
      <c r="DI27" s="461"/>
      <c r="DJ27" s="461"/>
      <c r="DK27" s="461">
        <v>2</v>
      </c>
      <c r="DL27" s="635">
        <v>0</v>
      </c>
      <c r="DN27" s="1375"/>
      <c r="DO27" s="1375"/>
      <c r="DP27" s="1375" t="s">
        <v>106</v>
      </c>
      <c r="DQ27" s="1376" t="s">
        <v>1231</v>
      </c>
      <c r="DR27" s="1377"/>
      <c r="DS27" s="1377"/>
      <c r="DT27" s="1377"/>
      <c r="DU27" s="1377"/>
      <c r="DV27" s="1377"/>
      <c r="DW27" s="1378">
        <v>0</v>
      </c>
      <c r="DX27" s="1378">
        <v>0</v>
      </c>
      <c r="DY27" s="1378">
        <v>0</v>
      </c>
      <c r="DZ27" s="1377"/>
      <c r="EA27" s="1377"/>
      <c r="EB27" s="1378">
        <v>4</v>
      </c>
      <c r="EC27" s="1378">
        <v>1</v>
      </c>
      <c r="ED27" s="1378">
        <v>0</v>
      </c>
      <c r="EE27" s="1379"/>
      <c r="EF27" s="1379"/>
      <c r="EG27" s="1380">
        <v>5</v>
      </c>
      <c r="EH27" s="41"/>
      <c r="EJ27" s="678"/>
      <c r="EK27" s="678" t="s">
        <v>104</v>
      </c>
      <c r="EL27" s="678" t="s">
        <v>105</v>
      </c>
      <c r="EM27" s="679" t="s">
        <v>1231</v>
      </c>
      <c r="EN27" s="681">
        <v>1</v>
      </c>
      <c r="EO27" s="680"/>
      <c r="EP27" s="681">
        <v>0</v>
      </c>
      <c r="EQ27" s="681">
        <v>0</v>
      </c>
      <c r="ER27" s="681">
        <v>0</v>
      </c>
      <c r="ES27" s="680"/>
      <c r="ET27" s="681">
        <v>0</v>
      </c>
      <c r="EU27" s="681">
        <v>0</v>
      </c>
      <c r="EV27" s="681">
        <v>0</v>
      </c>
      <c r="EW27" s="681">
        <v>0</v>
      </c>
      <c r="EX27" s="681">
        <v>0</v>
      </c>
      <c r="EY27" s="681">
        <v>0</v>
      </c>
      <c r="EZ27" s="681">
        <v>0</v>
      </c>
      <c r="FA27" s="680"/>
      <c r="FB27" s="680"/>
      <c r="FC27" s="682"/>
      <c r="FD27" s="682"/>
      <c r="FE27" s="683">
        <v>1</v>
      </c>
      <c r="FF27" s="105"/>
      <c r="FH27" s="511"/>
      <c r="FI27" s="511"/>
      <c r="FJ27" s="511"/>
      <c r="FK27" s="511"/>
      <c r="FL27" s="512" t="s">
        <v>1236</v>
      </c>
      <c r="FM27" s="685">
        <v>0</v>
      </c>
      <c r="FN27" s="684"/>
      <c r="FO27" s="684"/>
      <c r="FP27" s="684"/>
      <c r="FQ27" s="684"/>
      <c r="FR27" s="685">
        <v>1</v>
      </c>
      <c r="FS27" s="685">
        <v>5</v>
      </c>
      <c r="FT27" s="685">
        <v>2</v>
      </c>
      <c r="FU27" s="684"/>
      <c r="FV27" s="684"/>
      <c r="FW27" s="684"/>
      <c r="FX27" s="685">
        <v>0</v>
      </c>
      <c r="FY27" s="685">
        <v>0</v>
      </c>
      <c r="FZ27" s="685">
        <v>0</v>
      </c>
      <c r="GA27" s="684"/>
      <c r="GB27" s="686"/>
      <c r="GC27" s="686"/>
      <c r="GD27" s="687">
        <v>8</v>
      </c>
      <c r="GE27" s="635"/>
      <c r="GF27" s="41"/>
      <c r="GG27" s="688"/>
      <c r="GH27" s="688"/>
      <c r="GI27" s="688"/>
      <c r="GJ27" s="704" t="s">
        <v>15</v>
      </c>
      <c r="GK27" s="463">
        <v>1</v>
      </c>
      <c r="GL27" s="705"/>
      <c r="GM27" s="463">
        <v>6</v>
      </c>
      <c r="GN27" s="463">
        <v>2</v>
      </c>
      <c r="GO27" s="463">
        <v>3</v>
      </c>
      <c r="GP27" s="463">
        <v>1</v>
      </c>
      <c r="GQ27" s="705"/>
      <c r="GR27" s="705"/>
      <c r="GS27" s="705"/>
      <c r="GT27" s="705"/>
      <c r="GU27" s="463">
        <v>1</v>
      </c>
      <c r="GV27" s="705"/>
      <c r="GW27" s="705"/>
      <c r="GX27" s="463">
        <v>14</v>
      </c>
      <c r="GY27" s="628">
        <v>0</v>
      </c>
      <c r="GZ27" s="41"/>
      <c r="HA27" s="41"/>
      <c r="HB27" s="105"/>
      <c r="HC27" s="105" t="s">
        <v>104</v>
      </c>
      <c r="HD27" s="41" t="s">
        <v>105</v>
      </c>
      <c r="HE27" s="41" t="s">
        <v>1231</v>
      </c>
      <c r="HF27" s="105"/>
      <c r="HG27" s="105">
        <v>0</v>
      </c>
      <c r="HH27" s="105">
        <v>0</v>
      </c>
      <c r="HI27" s="105"/>
      <c r="HJ27" s="105"/>
      <c r="HK27" s="105">
        <v>1</v>
      </c>
      <c r="HL27" s="105">
        <v>2</v>
      </c>
      <c r="HM27" s="105">
        <v>0</v>
      </c>
      <c r="HN27" s="105"/>
      <c r="HO27" s="105"/>
      <c r="HP27" s="105"/>
      <c r="HQ27" s="105"/>
      <c r="HR27" s="105"/>
      <c r="HS27" s="105"/>
      <c r="HT27" s="105"/>
      <c r="HU27" s="105"/>
      <c r="HV27" s="105">
        <v>3</v>
      </c>
      <c r="HW27" s="41"/>
      <c r="HX27" s="41"/>
      <c r="HY27" s="691"/>
      <c r="HZ27" s="691"/>
      <c r="IA27" s="691" t="s">
        <v>122</v>
      </c>
      <c r="IB27" s="691" t="s">
        <v>1231</v>
      </c>
      <c r="IC27" s="691">
        <v>0</v>
      </c>
      <c r="ID27" s="691">
        <v>0</v>
      </c>
      <c r="IE27" s="691">
        <v>0</v>
      </c>
      <c r="IF27" s="691">
        <v>0</v>
      </c>
      <c r="IG27" s="691">
        <v>0</v>
      </c>
      <c r="IH27" s="691">
        <v>0</v>
      </c>
      <c r="II27" s="691">
        <v>0</v>
      </c>
      <c r="IJ27" s="691">
        <v>0</v>
      </c>
      <c r="IK27" s="691">
        <v>0</v>
      </c>
      <c r="IL27" s="691">
        <v>0</v>
      </c>
      <c r="IM27" s="691">
        <v>1</v>
      </c>
      <c r="IN27" s="691">
        <v>0</v>
      </c>
      <c r="IO27" s="691">
        <v>0</v>
      </c>
      <c r="IP27" s="691">
        <v>0</v>
      </c>
      <c r="IQ27" s="691">
        <v>0</v>
      </c>
      <c r="IR27" s="691">
        <v>0</v>
      </c>
      <c r="IS27" s="691">
        <v>1</v>
      </c>
      <c r="IT27" s="691"/>
      <c r="IU27" s="692"/>
    </row>
    <row r="28" spans="2:255">
      <c r="D28" s="4800" t="s">
        <v>15</v>
      </c>
      <c r="E28" s="4606">
        <v>1</v>
      </c>
      <c r="F28" s="4606"/>
      <c r="G28" s="4606"/>
      <c r="H28" s="4606"/>
      <c r="I28" s="4606"/>
      <c r="J28" s="4606"/>
      <c r="K28" s="4606"/>
      <c r="L28" s="4606"/>
      <c r="M28" s="4606"/>
      <c r="N28" s="4606"/>
      <c r="O28" s="4606"/>
      <c r="P28" s="4606"/>
      <c r="Q28" s="4606"/>
      <c r="R28" s="4606"/>
      <c r="S28" s="2552"/>
      <c r="T28" s="2552"/>
      <c r="U28" s="2552">
        <v>1</v>
      </c>
      <c r="V28" s="1977">
        <v>0</v>
      </c>
      <c r="Y28" s="37" t="s">
        <v>16</v>
      </c>
      <c r="Z28" s="37" t="s">
        <v>128</v>
      </c>
      <c r="AA28" s="37" t="s">
        <v>1231</v>
      </c>
      <c r="AB28" s="4803">
        <v>1</v>
      </c>
      <c r="AC28" s="4803"/>
      <c r="AD28" s="4803"/>
      <c r="AE28" s="4803"/>
      <c r="AF28" s="4803"/>
      <c r="AG28" s="4803"/>
      <c r="AH28" s="4803"/>
      <c r="AI28" s="4803"/>
      <c r="AJ28" s="4803"/>
      <c r="AK28" s="4803"/>
      <c r="AL28" s="4803"/>
      <c r="AM28" s="4803"/>
      <c r="AN28" s="4803"/>
      <c r="AO28" s="4803"/>
      <c r="AP28" s="1788"/>
      <c r="AQ28" s="1788">
        <v>1</v>
      </c>
      <c r="AT28" s="41"/>
      <c r="AU28" s="41"/>
      <c r="AV28" s="461"/>
      <c r="AW28" s="461" t="s">
        <v>1239</v>
      </c>
      <c r="AX28" s="2489">
        <v>0</v>
      </c>
      <c r="AY28" s="2489"/>
      <c r="AZ28" s="2489"/>
      <c r="BA28" s="2489"/>
      <c r="BB28" s="2489"/>
      <c r="BC28" s="2489"/>
      <c r="BD28" s="2489"/>
      <c r="BE28" s="2489"/>
      <c r="BF28" s="2489"/>
      <c r="BG28" s="2489"/>
      <c r="BH28" s="2489">
        <v>0</v>
      </c>
      <c r="BI28" s="2489"/>
      <c r="BJ28" s="2489">
        <v>0</v>
      </c>
      <c r="BK28" s="2489">
        <v>0</v>
      </c>
      <c r="BL28" s="2489">
        <v>6</v>
      </c>
      <c r="BM28" s="461"/>
      <c r="BN28" s="461"/>
      <c r="BO28" s="461">
        <v>6</v>
      </c>
      <c r="BP28" s="41"/>
      <c r="BR28" s="41"/>
      <c r="BS28" s="41"/>
      <c r="BT28" s="41"/>
      <c r="BU28" s="41" t="s">
        <v>1239</v>
      </c>
      <c r="BV28" s="2001"/>
      <c r="BW28" s="2001"/>
      <c r="BX28" s="2001">
        <v>0</v>
      </c>
      <c r="BY28" s="2001"/>
      <c r="BZ28" s="2001"/>
      <c r="CA28" s="2001"/>
      <c r="CB28" s="2001"/>
      <c r="CC28" s="2001"/>
      <c r="CD28" s="2001"/>
      <c r="CE28" s="2001">
        <v>0</v>
      </c>
      <c r="CF28" s="2001"/>
      <c r="CG28" s="2001">
        <v>0</v>
      </c>
      <c r="CH28" s="2001">
        <v>0</v>
      </c>
      <c r="CI28" s="2001">
        <v>0</v>
      </c>
      <c r="CJ28" s="2001">
        <v>3</v>
      </c>
      <c r="CK28" s="105"/>
      <c r="CL28" s="105"/>
      <c r="CM28" s="105">
        <v>3</v>
      </c>
      <c r="CN28" s="41"/>
      <c r="CR28" s="41" t="s">
        <v>1640</v>
      </c>
      <c r="CS28" s="41" t="s">
        <v>1231</v>
      </c>
      <c r="CT28" s="1665"/>
      <c r="CU28" s="1665"/>
      <c r="CV28" s="1665"/>
      <c r="CW28" s="1665"/>
      <c r="CX28" s="1665">
        <v>1</v>
      </c>
      <c r="CY28" s="1665"/>
      <c r="CZ28" s="1665"/>
      <c r="DA28" s="1665"/>
      <c r="DB28" s="1665"/>
      <c r="DC28" s="1665">
        <v>1</v>
      </c>
      <c r="DD28" s="1665">
        <v>1</v>
      </c>
      <c r="DE28" s="1665"/>
      <c r="DF28" s="1665">
        <v>1</v>
      </c>
      <c r="DG28" s="1665">
        <v>1</v>
      </c>
      <c r="DH28" s="1665">
        <v>0</v>
      </c>
      <c r="DI28" s="41"/>
      <c r="DJ28" s="41"/>
      <c r="DK28" s="41">
        <v>5</v>
      </c>
      <c r="DL28" s="41"/>
      <c r="DN28" s="1375"/>
      <c r="DO28" s="1375"/>
      <c r="DP28" s="1375"/>
      <c r="DQ28" s="1376" t="s">
        <v>1236</v>
      </c>
      <c r="DR28" s="1377"/>
      <c r="DS28" s="1377"/>
      <c r="DT28" s="1377"/>
      <c r="DU28" s="1377"/>
      <c r="DV28" s="1377"/>
      <c r="DW28" s="1378">
        <v>3</v>
      </c>
      <c r="DX28" s="1378">
        <v>0</v>
      </c>
      <c r="DY28" s="1378">
        <v>0</v>
      </c>
      <c r="DZ28" s="1377"/>
      <c r="EA28" s="1377"/>
      <c r="EB28" s="1378">
        <v>0</v>
      </c>
      <c r="EC28" s="1378">
        <v>0</v>
      </c>
      <c r="ED28" s="1378">
        <v>0</v>
      </c>
      <c r="EE28" s="1379"/>
      <c r="EF28" s="1379"/>
      <c r="EG28" s="1380">
        <v>3</v>
      </c>
      <c r="EH28" s="41"/>
      <c r="EJ28" s="678"/>
      <c r="EK28" s="678"/>
      <c r="EL28" s="678"/>
      <c r="EM28" s="679" t="s">
        <v>1233</v>
      </c>
      <c r="EN28" s="681">
        <v>0</v>
      </c>
      <c r="EO28" s="680"/>
      <c r="EP28" s="681">
        <v>0</v>
      </c>
      <c r="EQ28" s="681">
        <v>0</v>
      </c>
      <c r="ER28" s="681">
        <v>1</v>
      </c>
      <c r="ES28" s="680"/>
      <c r="ET28" s="681">
        <v>0</v>
      </c>
      <c r="EU28" s="681">
        <v>0</v>
      </c>
      <c r="EV28" s="681">
        <v>0</v>
      </c>
      <c r="EW28" s="681">
        <v>0</v>
      </c>
      <c r="EX28" s="681">
        <v>0</v>
      </c>
      <c r="EY28" s="681">
        <v>0</v>
      </c>
      <c r="EZ28" s="681">
        <v>0</v>
      </c>
      <c r="FA28" s="680"/>
      <c r="FB28" s="680"/>
      <c r="FC28" s="682"/>
      <c r="FD28" s="682"/>
      <c r="FE28" s="683">
        <v>1</v>
      </c>
      <c r="FF28" s="105"/>
      <c r="FH28" s="511"/>
      <c r="FI28" s="511"/>
      <c r="FJ28" s="511"/>
      <c r="FK28" s="511"/>
      <c r="FL28" s="512" t="s">
        <v>1239</v>
      </c>
      <c r="FM28" s="685">
        <v>0</v>
      </c>
      <c r="FN28" s="684"/>
      <c r="FO28" s="684"/>
      <c r="FP28" s="684"/>
      <c r="FQ28" s="684"/>
      <c r="FR28" s="685">
        <v>0</v>
      </c>
      <c r="FS28" s="685">
        <v>0</v>
      </c>
      <c r="FT28" s="685">
        <v>0</v>
      </c>
      <c r="FU28" s="684"/>
      <c r="FV28" s="684"/>
      <c r="FW28" s="684"/>
      <c r="FX28" s="685">
        <v>0</v>
      </c>
      <c r="FY28" s="685">
        <v>0</v>
      </c>
      <c r="FZ28" s="685">
        <v>1</v>
      </c>
      <c r="GA28" s="684"/>
      <c r="GB28" s="686"/>
      <c r="GC28" s="686"/>
      <c r="GD28" s="687">
        <v>1</v>
      </c>
      <c r="GE28" s="635"/>
      <c r="GF28" s="41"/>
      <c r="GG28" s="688"/>
      <c r="GH28" s="688"/>
      <c r="GI28" s="41"/>
      <c r="GJ28" s="41"/>
      <c r="GK28" s="41"/>
      <c r="GL28" s="41"/>
      <c r="GM28" s="41"/>
      <c r="GN28" s="41"/>
      <c r="GO28" s="41"/>
      <c r="GP28" s="41"/>
      <c r="GQ28" s="41"/>
      <c r="GR28" s="41"/>
      <c r="GS28" s="41"/>
      <c r="GT28" s="41"/>
      <c r="GU28" s="41"/>
      <c r="GV28" s="41"/>
      <c r="GW28" s="41"/>
      <c r="GX28" s="41"/>
      <c r="GY28" s="41"/>
      <c r="GZ28" s="41"/>
      <c r="HA28" s="41"/>
      <c r="HB28" s="105"/>
      <c r="HC28" s="105"/>
      <c r="HD28" s="41"/>
      <c r="HE28" s="41" t="s">
        <v>1236</v>
      </c>
      <c r="HF28" s="105"/>
      <c r="HG28" s="105">
        <v>1</v>
      </c>
      <c r="HH28" s="105">
        <v>1</v>
      </c>
      <c r="HI28" s="105"/>
      <c r="HJ28" s="105"/>
      <c r="HK28" s="105">
        <v>0</v>
      </c>
      <c r="HL28" s="105">
        <v>2</v>
      </c>
      <c r="HM28" s="105">
        <v>1</v>
      </c>
      <c r="HN28" s="105"/>
      <c r="HO28" s="105"/>
      <c r="HP28" s="105"/>
      <c r="HQ28" s="105"/>
      <c r="HR28" s="105"/>
      <c r="HS28" s="105"/>
      <c r="HT28" s="105"/>
      <c r="HU28" s="105"/>
      <c r="HV28" s="105">
        <v>5</v>
      </c>
      <c r="HW28" s="41"/>
      <c r="HX28" s="41"/>
      <c r="HY28" s="691"/>
      <c r="HZ28" s="691"/>
      <c r="IA28" s="691"/>
      <c r="IB28" s="691" t="s">
        <v>1235</v>
      </c>
      <c r="IC28" s="691">
        <v>0</v>
      </c>
      <c r="ID28" s="691">
        <v>0</v>
      </c>
      <c r="IE28" s="691">
        <v>0</v>
      </c>
      <c r="IF28" s="691">
        <v>0</v>
      </c>
      <c r="IG28" s="691">
        <v>0</v>
      </c>
      <c r="IH28" s="691">
        <v>0</v>
      </c>
      <c r="II28" s="691">
        <v>0</v>
      </c>
      <c r="IJ28" s="691">
        <v>0</v>
      </c>
      <c r="IK28" s="691">
        <v>0</v>
      </c>
      <c r="IL28" s="691">
        <v>1</v>
      </c>
      <c r="IM28" s="691">
        <v>0</v>
      </c>
      <c r="IN28" s="691">
        <v>0</v>
      </c>
      <c r="IO28" s="691">
        <v>1</v>
      </c>
      <c r="IP28" s="691">
        <v>1</v>
      </c>
      <c r="IQ28" s="691">
        <v>0</v>
      </c>
      <c r="IR28" s="691">
        <v>0</v>
      </c>
      <c r="IS28" s="691">
        <v>3</v>
      </c>
      <c r="IT28" s="691"/>
      <c r="IU28" s="692"/>
    </row>
    <row r="29" spans="2:255">
      <c r="C29" s="4800" t="s">
        <v>119</v>
      </c>
      <c r="D29" s="4800" t="s">
        <v>1231</v>
      </c>
      <c r="E29" s="4606"/>
      <c r="F29" s="4606"/>
      <c r="G29" s="4606"/>
      <c r="H29" s="4606"/>
      <c r="I29" s="4606"/>
      <c r="J29" s="4606"/>
      <c r="K29" s="4606"/>
      <c r="L29" s="4606"/>
      <c r="M29" s="4606"/>
      <c r="N29" s="4606"/>
      <c r="O29" s="4606">
        <v>0</v>
      </c>
      <c r="P29" s="4606">
        <v>3</v>
      </c>
      <c r="Q29" s="4606"/>
      <c r="R29" s="4606"/>
      <c r="S29" s="2552"/>
      <c r="T29" s="2552"/>
      <c r="U29" s="2552">
        <v>3</v>
      </c>
      <c r="V29" s="2552"/>
      <c r="AA29" s="1793" t="s">
        <v>15</v>
      </c>
      <c r="AB29" s="4804">
        <v>1</v>
      </c>
      <c r="AC29" s="4804"/>
      <c r="AD29" s="4804"/>
      <c r="AE29" s="4804"/>
      <c r="AF29" s="4804"/>
      <c r="AG29" s="4804"/>
      <c r="AH29" s="4804"/>
      <c r="AI29" s="4804"/>
      <c r="AJ29" s="4804"/>
      <c r="AK29" s="4804"/>
      <c r="AL29" s="4804"/>
      <c r="AM29" s="4804"/>
      <c r="AN29" s="4804"/>
      <c r="AO29" s="4804"/>
      <c r="AP29" s="4702"/>
      <c r="AQ29" s="4702">
        <v>1</v>
      </c>
      <c r="AR29" s="4703">
        <v>0</v>
      </c>
      <c r="AT29" s="41"/>
      <c r="AU29" s="41"/>
      <c r="AV29" s="461"/>
      <c r="AW29" s="461" t="s">
        <v>1240</v>
      </c>
      <c r="AX29" s="2489">
        <v>0</v>
      </c>
      <c r="AY29" s="2489"/>
      <c r="AZ29" s="2489"/>
      <c r="BA29" s="2489"/>
      <c r="BB29" s="2489"/>
      <c r="BC29" s="2489"/>
      <c r="BD29" s="2489"/>
      <c r="BE29" s="2489"/>
      <c r="BF29" s="2489"/>
      <c r="BG29" s="2489"/>
      <c r="BH29" s="2489">
        <v>0</v>
      </c>
      <c r="BI29" s="2489"/>
      <c r="BJ29" s="2489">
        <v>0</v>
      </c>
      <c r="BK29" s="2489">
        <v>1</v>
      </c>
      <c r="BL29" s="2489">
        <v>0</v>
      </c>
      <c r="BM29" s="461"/>
      <c r="BN29" s="461"/>
      <c r="BO29" s="461">
        <v>1</v>
      </c>
      <c r="BP29" s="41"/>
      <c r="BR29" s="41"/>
      <c r="BS29" s="41"/>
      <c r="BT29" s="41"/>
      <c r="BU29" s="41" t="s">
        <v>1240</v>
      </c>
      <c r="BV29" s="2001"/>
      <c r="BW29" s="2001"/>
      <c r="BX29" s="2001">
        <v>0</v>
      </c>
      <c r="BY29" s="2001"/>
      <c r="BZ29" s="2001"/>
      <c r="CA29" s="2001"/>
      <c r="CB29" s="2001"/>
      <c r="CC29" s="2001"/>
      <c r="CD29" s="2001"/>
      <c r="CE29" s="2001">
        <v>0</v>
      </c>
      <c r="CF29" s="2001"/>
      <c r="CG29" s="2001">
        <v>1</v>
      </c>
      <c r="CH29" s="2001">
        <v>0</v>
      </c>
      <c r="CI29" s="2001">
        <v>0</v>
      </c>
      <c r="CJ29" s="2001">
        <v>0</v>
      </c>
      <c r="CK29" s="105"/>
      <c r="CL29" s="105"/>
      <c r="CM29" s="105">
        <v>1</v>
      </c>
      <c r="CN29" s="41"/>
      <c r="CR29" s="41"/>
      <c r="CS29" s="41" t="s">
        <v>1239</v>
      </c>
      <c r="CT29" s="1665"/>
      <c r="CU29" s="1665"/>
      <c r="CV29" s="1665"/>
      <c r="CW29" s="1665"/>
      <c r="CX29" s="1665">
        <v>0</v>
      </c>
      <c r="CY29" s="1665"/>
      <c r="CZ29" s="1665"/>
      <c r="DA29" s="1665"/>
      <c r="DB29" s="1665"/>
      <c r="DC29" s="1665">
        <v>0</v>
      </c>
      <c r="DD29" s="1665">
        <v>1</v>
      </c>
      <c r="DE29" s="1665"/>
      <c r="DF29" s="1665">
        <v>0</v>
      </c>
      <c r="DG29" s="1665">
        <v>1</v>
      </c>
      <c r="DH29" s="1665">
        <v>1</v>
      </c>
      <c r="DI29" s="41"/>
      <c r="DJ29" s="41"/>
      <c r="DK29" s="41">
        <v>3</v>
      </c>
      <c r="DL29" s="41"/>
      <c r="DN29" s="1375"/>
      <c r="DO29" s="1375"/>
      <c r="DP29" s="1375"/>
      <c r="DQ29" s="1376" t="s">
        <v>1239</v>
      </c>
      <c r="DR29" s="1377"/>
      <c r="DS29" s="1377"/>
      <c r="DT29" s="1377"/>
      <c r="DU29" s="1377"/>
      <c r="DV29" s="1377"/>
      <c r="DW29" s="1378">
        <v>0</v>
      </c>
      <c r="DX29" s="1378">
        <v>0</v>
      </c>
      <c r="DY29" s="1378">
        <v>0</v>
      </c>
      <c r="DZ29" s="1377"/>
      <c r="EA29" s="1377"/>
      <c r="EB29" s="1378">
        <v>0</v>
      </c>
      <c r="EC29" s="1378">
        <v>2</v>
      </c>
      <c r="ED29" s="1378">
        <v>3</v>
      </c>
      <c r="EE29" s="1379"/>
      <c r="EF29" s="1379"/>
      <c r="EG29" s="1380">
        <v>5</v>
      </c>
      <c r="EH29" s="41"/>
      <c r="EJ29" s="678"/>
      <c r="EK29" s="678"/>
      <c r="EL29" s="678"/>
      <c r="EM29" s="679" t="s">
        <v>1236</v>
      </c>
      <c r="EN29" s="681">
        <v>0</v>
      </c>
      <c r="EO29" s="680"/>
      <c r="EP29" s="681">
        <v>1</v>
      </c>
      <c r="EQ29" s="681">
        <v>3</v>
      </c>
      <c r="ER29" s="681">
        <v>0</v>
      </c>
      <c r="ES29" s="680"/>
      <c r="ET29" s="681">
        <v>10</v>
      </c>
      <c r="EU29" s="681">
        <v>5</v>
      </c>
      <c r="EV29" s="681">
        <v>3</v>
      </c>
      <c r="EW29" s="681">
        <v>0</v>
      </c>
      <c r="EX29" s="681">
        <v>2</v>
      </c>
      <c r="EY29" s="681">
        <v>0</v>
      </c>
      <c r="EZ29" s="681">
        <v>4</v>
      </c>
      <c r="FA29" s="680"/>
      <c r="FB29" s="680"/>
      <c r="FC29" s="682"/>
      <c r="FD29" s="682"/>
      <c r="FE29" s="683">
        <v>28</v>
      </c>
      <c r="FF29" s="105"/>
      <c r="FH29" s="511"/>
      <c r="FI29" s="511"/>
      <c r="FJ29" s="511"/>
      <c r="FK29" s="511"/>
      <c r="FL29" s="512" t="s">
        <v>1344</v>
      </c>
      <c r="FM29" s="685">
        <v>0</v>
      </c>
      <c r="FN29" s="684"/>
      <c r="FO29" s="684"/>
      <c r="FP29" s="684"/>
      <c r="FQ29" s="684"/>
      <c r="FR29" s="685">
        <v>0</v>
      </c>
      <c r="FS29" s="685">
        <v>2</v>
      </c>
      <c r="FT29" s="685">
        <v>0</v>
      </c>
      <c r="FU29" s="684"/>
      <c r="FV29" s="684"/>
      <c r="FW29" s="684"/>
      <c r="FX29" s="685">
        <v>1</v>
      </c>
      <c r="FY29" s="685">
        <v>0</v>
      </c>
      <c r="FZ29" s="685">
        <v>0</v>
      </c>
      <c r="GA29" s="684"/>
      <c r="GB29" s="686"/>
      <c r="GC29" s="686"/>
      <c r="GD29" s="687">
        <v>3</v>
      </c>
      <c r="GE29" s="635"/>
      <c r="GF29" s="41"/>
      <c r="GG29" s="688"/>
      <c r="GH29" s="688"/>
      <c r="GI29" s="41"/>
      <c r="GJ29" s="41"/>
      <c r="GK29" s="41"/>
      <c r="GL29" s="41"/>
      <c r="GM29" s="41"/>
      <c r="GN29" s="41"/>
      <c r="GO29" s="41"/>
      <c r="GP29" s="41"/>
      <c r="GQ29" s="41"/>
      <c r="GR29" s="41"/>
      <c r="GS29" s="41"/>
      <c r="GT29" s="41"/>
      <c r="GU29" s="41"/>
      <c r="GV29" s="41"/>
      <c r="GW29" s="41"/>
      <c r="GX29" s="41"/>
      <c r="GY29" s="41"/>
      <c r="GZ29" s="41"/>
      <c r="HA29" s="41"/>
      <c r="HB29" s="105"/>
      <c r="HC29" s="105"/>
      <c r="HD29" s="41"/>
      <c r="HE29" s="461" t="s">
        <v>15</v>
      </c>
      <c r="HF29" s="96"/>
      <c r="HG29" s="96">
        <v>1</v>
      </c>
      <c r="HH29" s="96">
        <v>1</v>
      </c>
      <c r="HI29" s="96"/>
      <c r="HJ29" s="96"/>
      <c r="HK29" s="96">
        <v>1</v>
      </c>
      <c r="HL29" s="96">
        <v>4</v>
      </c>
      <c r="HM29" s="96">
        <v>1</v>
      </c>
      <c r="HN29" s="96"/>
      <c r="HO29" s="96"/>
      <c r="HP29" s="96"/>
      <c r="HQ29" s="96"/>
      <c r="HR29" s="96"/>
      <c r="HS29" s="96"/>
      <c r="HT29" s="96"/>
      <c r="HU29" s="96"/>
      <c r="HV29" s="96">
        <v>8</v>
      </c>
      <c r="HW29" s="707">
        <v>0</v>
      </c>
      <c r="HX29" s="41"/>
      <c r="HY29" s="691"/>
      <c r="HZ29" s="691"/>
      <c r="IA29" s="691"/>
      <c r="IB29" s="691" t="s">
        <v>1239</v>
      </c>
      <c r="IC29" s="691">
        <v>0</v>
      </c>
      <c r="ID29" s="691">
        <v>0</v>
      </c>
      <c r="IE29" s="691">
        <v>0</v>
      </c>
      <c r="IF29" s="691">
        <v>0</v>
      </c>
      <c r="IG29" s="691">
        <v>0</v>
      </c>
      <c r="IH29" s="691">
        <v>0</v>
      </c>
      <c r="II29" s="691">
        <v>0</v>
      </c>
      <c r="IJ29" s="691">
        <v>0</v>
      </c>
      <c r="IK29" s="691">
        <v>0</v>
      </c>
      <c r="IL29" s="691">
        <v>0</v>
      </c>
      <c r="IM29" s="691">
        <v>0</v>
      </c>
      <c r="IN29" s="691">
        <v>0</v>
      </c>
      <c r="IO29" s="691">
        <v>1</v>
      </c>
      <c r="IP29" s="691">
        <v>2</v>
      </c>
      <c r="IQ29" s="691">
        <v>2</v>
      </c>
      <c r="IR29" s="691">
        <v>5</v>
      </c>
      <c r="IS29" s="691">
        <v>10</v>
      </c>
      <c r="IT29" s="691"/>
      <c r="IU29" s="692"/>
    </row>
    <row r="30" spans="2:255">
      <c r="D30" s="4800" t="s">
        <v>1235</v>
      </c>
      <c r="E30" s="4606"/>
      <c r="F30" s="4606"/>
      <c r="G30" s="4606"/>
      <c r="H30" s="4606"/>
      <c r="I30" s="4606"/>
      <c r="J30" s="4606"/>
      <c r="K30" s="4606"/>
      <c r="L30" s="4606"/>
      <c r="M30" s="4606"/>
      <c r="N30" s="4606"/>
      <c r="O30" s="4606">
        <v>0</v>
      </c>
      <c r="P30" s="4606">
        <v>1</v>
      </c>
      <c r="Q30" s="4606"/>
      <c r="R30" s="4606"/>
      <c r="S30" s="2552"/>
      <c r="T30" s="2552"/>
      <c r="U30" s="2552">
        <v>1</v>
      </c>
      <c r="V30" s="2552"/>
      <c r="Z30" s="37" t="s">
        <v>119</v>
      </c>
      <c r="AA30" s="37" t="s">
        <v>1231</v>
      </c>
      <c r="AB30" s="4803"/>
      <c r="AC30" s="4803"/>
      <c r="AD30" s="4803"/>
      <c r="AE30" s="4803"/>
      <c r="AF30" s="4803"/>
      <c r="AG30" s="4803"/>
      <c r="AH30" s="4803"/>
      <c r="AI30" s="4803"/>
      <c r="AJ30" s="4803"/>
      <c r="AK30" s="4803"/>
      <c r="AL30" s="4803">
        <v>1</v>
      </c>
      <c r="AM30" s="4803">
        <v>4</v>
      </c>
      <c r="AN30" s="4803"/>
      <c r="AO30" s="4803"/>
      <c r="AP30" s="1788"/>
      <c r="AQ30" s="1788">
        <v>5</v>
      </c>
      <c r="AT30" s="41"/>
      <c r="AU30" s="41"/>
      <c r="AV30" s="461"/>
      <c r="AW30" s="461" t="s">
        <v>1344</v>
      </c>
      <c r="AX30" s="2489">
        <v>0</v>
      </c>
      <c r="AY30" s="2489"/>
      <c r="AZ30" s="2489"/>
      <c r="BA30" s="2489"/>
      <c r="BB30" s="2489"/>
      <c r="BC30" s="2489"/>
      <c r="BD30" s="2489"/>
      <c r="BE30" s="2489"/>
      <c r="BF30" s="2489"/>
      <c r="BG30" s="2489"/>
      <c r="BH30" s="2489">
        <v>1</v>
      </c>
      <c r="BI30" s="2489"/>
      <c r="BJ30" s="2489">
        <v>1</v>
      </c>
      <c r="BK30" s="2489">
        <v>0</v>
      </c>
      <c r="BL30" s="2489">
        <v>0</v>
      </c>
      <c r="BM30" s="461"/>
      <c r="BN30" s="461"/>
      <c r="BO30" s="461">
        <v>2</v>
      </c>
      <c r="BP30" s="41"/>
      <c r="BR30" s="41"/>
      <c r="BS30" s="41"/>
      <c r="BT30" s="41"/>
      <c r="BU30" s="461" t="s">
        <v>15</v>
      </c>
      <c r="BV30" s="2002"/>
      <c r="BW30" s="2002"/>
      <c r="BX30" s="2002">
        <v>1</v>
      </c>
      <c r="BY30" s="2002"/>
      <c r="BZ30" s="2002"/>
      <c r="CA30" s="2002"/>
      <c r="CB30" s="2002"/>
      <c r="CC30" s="2002"/>
      <c r="CD30" s="2002"/>
      <c r="CE30" s="2002">
        <v>1</v>
      </c>
      <c r="CF30" s="2002"/>
      <c r="CG30" s="2002">
        <v>1</v>
      </c>
      <c r="CH30" s="2002">
        <v>2</v>
      </c>
      <c r="CI30" s="2002">
        <v>1</v>
      </c>
      <c r="CJ30" s="2002">
        <v>3</v>
      </c>
      <c r="CK30" s="96"/>
      <c r="CL30" s="96"/>
      <c r="CM30" s="96">
        <v>9</v>
      </c>
      <c r="CN30" s="635">
        <f>+(CM26+CM29)/CM30</f>
        <v>0.22222222222222221</v>
      </c>
      <c r="CR30" s="41"/>
      <c r="CS30" s="41" t="s">
        <v>1344</v>
      </c>
      <c r="CT30" s="1665"/>
      <c r="CU30" s="1665"/>
      <c r="CV30" s="1665"/>
      <c r="CW30" s="1665"/>
      <c r="CX30" s="1665">
        <v>0</v>
      </c>
      <c r="CY30" s="1665"/>
      <c r="CZ30" s="1665"/>
      <c r="DA30" s="1665"/>
      <c r="DB30" s="1665"/>
      <c r="DC30" s="1665">
        <v>2</v>
      </c>
      <c r="DD30" s="1665">
        <v>0</v>
      </c>
      <c r="DE30" s="1665"/>
      <c r="DF30" s="1665">
        <v>1</v>
      </c>
      <c r="DG30" s="1665">
        <v>0</v>
      </c>
      <c r="DH30" s="1665">
        <v>0</v>
      </c>
      <c r="DI30" s="41"/>
      <c r="DJ30" s="41"/>
      <c r="DK30" s="41">
        <v>3</v>
      </c>
      <c r="DL30" s="41"/>
      <c r="DN30" s="1375"/>
      <c r="DO30" s="1375"/>
      <c r="DP30" s="1375"/>
      <c r="DQ30" s="1376" t="s">
        <v>1240</v>
      </c>
      <c r="DR30" s="1377"/>
      <c r="DS30" s="1377"/>
      <c r="DT30" s="1377"/>
      <c r="DU30" s="1377"/>
      <c r="DV30" s="1377"/>
      <c r="DW30" s="1378">
        <v>0</v>
      </c>
      <c r="DX30" s="1378">
        <v>0</v>
      </c>
      <c r="DY30" s="1378">
        <v>0</v>
      </c>
      <c r="DZ30" s="1377"/>
      <c r="EA30" s="1377"/>
      <c r="EB30" s="1378">
        <v>2</v>
      </c>
      <c r="EC30" s="1378">
        <v>0</v>
      </c>
      <c r="ED30" s="1378">
        <v>0</v>
      </c>
      <c r="EE30" s="1379"/>
      <c r="EF30" s="1379"/>
      <c r="EG30" s="1380">
        <v>2</v>
      </c>
      <c r="EH30" s="41"/>
      <c r="EJ30" s="678"/>
      <c r="EK30" s="678"/>
      <c r="EL30" s="678"/>
      <c r="EM30" s="679" t="s">
        <v>1344</v>
      </c>
      <c r="EN30" s="681">
        <v>0</v>
      </c>
      <c r="EO30" s="680"/>
      <c r="EP30" s="681">
        <v>0</v>
      </c>
      <c r="EQ30" s="681">
        <v>0</v>
      </c>
      <c r="ER30" s="681">
        <v>0</v>
      </c>
      <c r="ES30" s="680"/>
      <c r="ET30" s="681">
        <v>1</v>
      </c>
      <c r="EU30" s="681">
        <v>0</v>
      </c>
      <c r="EV30" s="681">
        <v>0</v>
      </c>
      <c r="EW30" s="681">
        <v>1</v>
      </c>
      <c r="EX30" s="681">
        <v>0</v>
      </c>
      <c r="EY30" s="681">
        <v>1</v>
      </c>
      <c r="EZ30" s="681">
        <v>0</v>
      </c>
      <c r="FA30" s="680"/>
      <c r="FB30" s="680"/>
      <c r="FC30" s="682"/>
      <c r="FD30" s="682"/>
      <c r="FE30" s="683">
        <v>3</v>
      </c>
      <c r="FF30" s="105"/>
      <c r="FH30" s="511"/>
      <c r="FI30" s="511"/>
      <c r="FJ30" s="511"/>
      <c r="FK30" s="41"/>
      <c r="FL30" s="532" t="s">
        <v>15</v>
      </c>
      <c r="FM30" s="694">
        <v>2</v>
      </c>
      <c r="FN30" s="693"/>
      <c r="FO30" s="693"/>
      <c r="FP30" s="693"/>
      <c r="FQ30" s="693"/>
      <c r="FR30" s="694">
        <v>1</v>
      </c>
      <c r="FS30" s="694">
        <v>9</v>
      </c>
      <c r="FT30" s="694">
        <v>2</v>
      </c>
      <c r="FU30" s="693"/>
      <c r="FV30" s="693"/>
      <c r="FW30" s="693"/>
      <c r="FX30" s="694">
        <v>1</v>
      </c>
      <c r="FY30" s="694">
        <v>1</v>
      </c>
      <c r="FZ30" s="694">
        <v>1</v>
      </c>
      <c r="GA30" s="693"/>
      <c r="GB30" s="695"/>
      <c r="GC30" s="695"/>
      <c r="GD30" s="696">
        <v>17</v>
      </c>
      <c r="GE30" s="635">
        <f>+GD29/GD30</f>
        <v>0.17647058823529413</v>
      </c>
      <c r="GF30" s="41"/>
      <c r="GG30" s="688" t="s">
        <v>25</v>
      </c>
      <c r="GH30" s="688" t="s">
        <v>4</v>
      </c>
      <c r="GI30" s="688" t="s">
        <v>120</v>
      </c>
      <c r="GJ30" s="457" t="s">
        <v>1239</v>
      </c>
      <c r="GK30" s="689"/>
      <c r="GL30" s="689"/>
      <c r="GM30" s="689"/>
      <c r="GN30" s="689"/>
      <c r="GO30" s="689"/>
      <c r="GP30" s="689"/>
      <c r="GQ30" s="689"/>
      <c r="GR30" s="689"/>
      <c r="GS30" s="689"/>
      <c r="GT30" s="458">
        <v>1</v>
      </c>
      <c r="GU30" s="458">
        <v>3</v>
      </c>
      <c r="GV30" s="689"/>
      <c r="GW30" s="689"/>
      <c r="GX30" s="458">
        <v>4</v>
      </c>
      <c r="GY30" s="690"/>
      <c r="GZ30" s="41"/>
      <c r="HA30" s="41"/>
      <c r="HB30" s="105" t="s">
        <v>25</v>
      </c>
      <c r="HC30" s="105" t="s">
        <v>4</v>
      </c>
      <c r="HD30" s="41" t="s">
        <v>120</v>
      </c>
      <c r="HE30" s="41" t="s">
        <v>1230</v>
      </c>
      <c r="HF30" s="105"/>
      <c r="HG30" s="105"/>
      <c r="HH30" s="105"/>
      <c r="HI30" s="105"/>
      <c r="HJ30" s="105"/>
      <c r="HK30" s="105"/>
      <c r="HL30" s="105"/>
      <c r="HM30" s="105"/>
      <c r="HN30" s="105"/>
      <c r="HO30" s="105"/>
      <c r="HP30" s="105"/>
      <c r="HQ30" s="105"/>
      <c r="HR30" s="105">
        <v>0</v>
      </c>
      <c r="HS30" s="105">
        <v>2</v>
      </c>
      <c r="HT30" s="105"/>
      <c r="HU30" s="105">
        <v>0</v>
      </c>
      <c r="HV30" s="105">
        <v>2</v>
      </c>
      <c r="HW30" s="41"/>
      <c r="HX30" s="41"/>
      <c r="HY30" s="691"/>
      <c r="HZ30" s="691"/>
      <c r="IA30" s="691"/>
      <c r="IB30" s="702" t="s">
        <v>15</v>
      </c>
      <c r="IC30" s="702">
        <v>0</v>
      </c>
      <c r="ID30" s="702">
        <v>0</v>
      </c>
      <c r="IE30" s="702">
        <v>0</v>
      </c>
      <c r="IF30" s="702">
        <v>0</v>
      </c>
      <c r="IG30" s="702">
        <v>0</v>
      </c>
      <c r="IH30" s="702">
        <v>0</v>
      </c>
      <c r="II30" s="702">
        <v>0</v>
      </c>
      <c r="IJ30" s="702">
        <v>0</v>
      </c>
      <c r="IK30" s="702">
        <v>0</v>
      </c>
      <c r="IL30" s="702">
        <v>1</v>
      </c>
      <c r="IM30" s="702">
        <v>1</v>
      </c>
      <c r="IN30" s="702">
        <v>0</v>
      </c>
      <c r="IO30" s="702">
        <v>2</v>
      </c>
      <c r="IP30" s="702">
        <v>3</v>
      </c>
      <c r="IQ30" s="702">
        <v>2</v>
      </c>
      <c r="IR30" s="702">
        <v>5</v>
      </c>
      <c r="IS30" s="702">
        <v>14</v>
      </c>
      <c r="IT30" s="703">
        <f>+IS28/IS30</f>
        <v>0.21428571428571427</v>
      </c>
      <c r="IU30" s="692">
        <f>+IS28</f>
        <v>3</v>
      </c>
    </row>
    <row r="31" spans="2:255">
      <c r="D31" s="4800" t="s">
        <v>1240</v>
      </c>
      <c r="E31" s="4606"/>
      <c r="F31" s="4606"/>
      <c r="G31" s="4606"/>
      <c r="H31" s="4606"/>
      <c r="I31" s="4606"/>
      <c r="J31" s="4606"/>
      <c r="K31" s="4606"/>
      <c r="L31" s="4606"/>
      <c r="M31" s="4606"/>
      <c r="N31" s="4606"/>
      <c r="O31" s="4606">
        <v>1</v>
      </c>
      <c r="P31" s="4606">
        <v>0</v>
      </c>
      <c r="Q31" s="4606"/>
      <c r="R31" s="4606"/>
      <c r="S31" s="2552"/>
      <c r="T31" s="2552"/>
      <c r="U31" s="2552">
        <v>1</v>
      </c>
      <c r="V31" s="2552"/>
      <c r="AA31" s="1793" t="s">
        <v>15</v>
      </c>
      <c r="AB31" s="4804"/>
      <c r="AC31" s="4804"/>
      <c r="AD31" s="4804"/>
      <c r="AE31" s="4804"/>
      <c r="AF31" s="4804"/>
      <c r="AG31" s="4804"/>
      <c r="AH31" s="4804"/>
      <c r="AI31" s="4804"/>
      <c r="AJ31" s="4804"/>
      <c r="AK31" s="4804"/>
      <c r="AL31" s="4804">
        <v>1</v>
      </c>
      <c r="AM31" s="4804">
        <v>4</v>
      </c>
      <c r="AN31" s="4804"/>
      <c r="AO31" s="4804"/>
      <c r="AP31" s="4702"/>
      <c r="AQ31" s="4702">
        <v>5</v>
      </c>
      <c r="AR31" s="4703">
        <v>0</v>
      </c>
      <c r="AT31" s="41"/>
      <c r="AU31" s="41"/>
      <c r="AV31" s="461"/>
      <c r="AW31" s="461" t="s">
        <v>545</v>
      </c>
      <c r="AX31" s="2489">
        <v>1</v>
      </c>
      <c r="AY31" s="2489"/>
      <c r="AZ31" s="2489"/>
      <c r="BA31" s="2489"/>
      <c r="BB31" s="2489"/>
      <c r="BC31" s="2489"/>
      <c r="BD31" s="2489"/>
      <c r="BE31" s="2489"/>
      <c r="BF31" s="2489"/>
      <c r="BG31" s="2489"/>
      <c r="BH31" s="2489">
        <v>1</v>
      </c>
      <c r="BI31" s="2489"/>
      <c r="BJ31" s="2489">
        <v>1</v>
      </c>
      <c r="BK31" s="2489">
        <v>4</v>
      </c>
      <c r="BL31" s="2489">
        <v>6</v>
      </c>
      <c r="BM31" s="461"/>
      <c r="BN31" s="461"/>
      <c r="BO31" s="461">
        <v>13</v>
      </c>
      <c r="BP31" s="635">
        <f>+(BO30+BO29)/BO31</f>
        <v>0.23076923076923078</v>
      </c>
      <c r="BQ31" s="1977"/>
      <c r="BR31" s="41"/>
      <c r="BS31" s="41"/>
      <c r="BT31" s="41" t="s">
        <v>545</v>
      </c>
      <c r="BU31" s="41" t="s">
        <v>1231</v>
      </c>
      <c r="BV31" s="2001"/>
      <c r="BW31" s="2001"/>
      <c r="BX31" s="2001">
        <v>1</v>
      </c>
      <c r="BY31" s="2001"/>
      <c r="BZ31" s="2001"/>
      <c r="CA31" s="2001"/>
      <c r="CB31" s="2001"/>
      <c r="CC31" s="2001"/>
      <c r="CD31" s="2001"/>
      <c r="CE31" s="2001">
        <v>0</v>
      </c>
      <c r="CF31" s="2001"/>
      <c r="CG31" s="2001">
        <v>0</v>
      </c>
      <c r="CH31" s="2001">
        <v>1</v>
      </c>
      <c r="CI31" s="2001">
        <v>1</v>
      </c>
      <c r="CJ31" s="2001">
        <v>0</v>
      </c>
      <c r="CK31" s="105"/>
      <c r="CL31" s="105"/>
      <c r="CM31" s="105">
        <v>3</v>
      </c>
      <c r="CN31" s="41"/>
      <c r="CR31" s="41"/>
      <c r="CS31" s="461" t="s">
        <v>15</v>
      </c>
      <c r="CT31" s="1666"/>
      <c r="CU31" s="1666"/>
      <c r="CV31" s="1666"/>
      <c r="CW31" s="1666"/>
      <c r="CX31" s="1666">
        <v>1</v>
      </c>
      <c r="CY31" s="1666"/>
      <c r="CZ31" s="1666"/>
      <c r="DA31" s="1666"/>
      <c r="DB31" s="1666"/>
      <c r="DC31" s="1666">
        <v>3</v>
      </c>
      <c r="DD31" s="1666">
        <v>2</v>
      </c>
      <c r="DE31" s="1666"/>
      <c r="DF31" s="1666">
        <v>2</v>
      </c>
      <c r="DG31" s="1666">
        <v>2</v>
      </c>
      <c r="DH31" s="1666">
        <v>1</v>
      </c>
      <c r="DI31" s="461"/>
      <c r="DJ31" s="461"/>
      <c r="DK31" s="461">
        <v>11</v>
      </c>
      <c r="DL31" s="635">
        <f>+DK30/DK31</f>
        <v>0.27272727272727271</v>
      </c>
      <c r="DN31" s="1375"/>
      <c r="DO31" s="1375"/>
      <c r="DP31" s="1375"/>
      <c r="DQ31" s="1376" t="s">
        <v>1344</v>
      </c>
      <c r="DR31" s="1377"/>
      <c r="DS31" s="1377"/>
      <c r="DT31" s="1377"/>
      <c r="DU31" s="1377"/>
      <c r="DV31" s="1377"/>
      <c r="DW31" s="1378">
        <v>0</v>
      </c>
      <c r="DX31" s="1378">
        <v>2</v>
      </c>
      <c r="DY31" s="1378">
        <v>3</v>
      </c>
      <c r="DZ31" s="1377"/>
      <c r="EA31" s="1377"/>
      <c r="EB31" s="1378">
        <v>1</v>
      </c>
      <c r="EC31" s="1378">
        <v>0</v>
      </c>
      <c r="ED31" s="1378">
        <v>0</v>
      </c>
      <c r="EE31" s="1379"/>
      <c r="EF31" s="1379"/>
      <c r="EG31" s="1380">
        <v>6</v>
      </c>
      <c r="EH31" s="41"/>
      <c r="EJ31" s="678"/>
      <c r="EK31" s="678"/>
      <c r="EL31" s="678"/>
      <c r="EM31" s="697" t="s">
        <v>15</v>
      </c>
      <c r="EN31" s="699">
        <v>1</v>
      </c>
      <c r="EO31" s="698"/>
      <c r="EP31" s="699">
        <v>1</v>
      </c>
      <c r="EQ31" s="699">
        <v>3</v>
      </c>
      <c r="ER31" s="699">
        <v>1</v>
      </c>
      <c r="ES31" s="698"/>
      <c r="ET31" s="699">
        <v>11</v>
      </c>
      <c r="EU31" s="699">
        <v>5</v>
      </c>
      <c r="EV31" s="699">
        <v>3</v>
      </c>
      <c r="EW31" s="699">
        <v>1</v>
      </c>
      <c r="EX31" s="699">
        <v>2</v>
      </c>
      <c r="EY31" s="699">
        <v>1</v>
      </c>
      <c r="EZ31" s="699">
        <v>4</v>
      </c>
      <c r="FA31" s="698"/>
      <c r="FB31" s="698"/>
      <c r="FC31" s="700"/>
      <c r="FD31" s="700"/>
      <c r="FE31" s="701">
        <v>33</v>
      </c>
      <c r="FF31" s="635">
        <f>+FE30/FE31</f>
        <v>9.0909090909090912E-2</v>
      </c>
      <c r="FH31" s="511"/>
      <c r="FI31" s="511"/>
      <c r="FJ31" s="532" t="s">
        <v>844</v>
      </c>
      <c r="FK31" s="511" t="s">
        <v>1229</v>
      </c>
      <c r="FL31" s="512" t="s">
        <v>1231</v>
      </c>
      <c r="FM31" s="685">
        <v>2</v>
      </c>
      <c r="FN31" s="684"/>
      <c r="FO31" s="684"/>
      <c r="FP31" s="684"/>
      <c r="FQ31" s="684"/>
      <c r="FR31" s="685">
        <v>0</v>
      </c>
      <c r="FS31" s="685">
        <v>2</v>
      </c>
      <c r="FT31" s="685">
        <v>0</v>
      </c>
      <c r="FU31" s="684"/>
      <c r="FV31" s="684"/>
      <c r="FW31" s="684"/>
      <c r="FX31" s="685">
        <v>0</v>
      </c>
      <c r="FY31" s="685">
        <v>1</v>
      </c>
      <c r="FZ31" s="685">
        <v>0</v>
      </c>
      <c r="GA31" s="684"/>
      <c r="GB31" s="686"/>
      <c r="GC31" s="686"/>
      <c r="GD31" s="687">
        <v>5</v>
      </c>
      <c r="GE31" s="635"/>
      <c r="GF31" s="41"/>
      <c r="GG31" s="688"/>
      <c r="GH31" s="688"/>
      <c r="GI31" s="688"/>
      <c r="GJ31" s="704" t="s">
        <v>15</v>
      </c>
      <c r="GK31" s="705"/>
      <c r="GL31" s="705"/>
      <c r="GM31" s="705"/>
      <c r="GN31" s="705"/>
      <c r="GO31" s="705"/>
      <c r="GP31" s="705"/>
      <c r="GQ31" s="705"/>
      <c r="GR31" s="705"/>
      <c r="GS31" s="705"/>
      <c r="GT31" s="463">
        <v>1</v>
      </c>
      <c r="GU31" s="463">
        <v>3</v>
      </c>
      <c r="GV31" s="705"/>
      <c r="GW31" s="705"/>
      <c r="GX31" s="463">
        <v>4</v>
      </c>
      <c r="GY31" s="628">
        <v>0</v>
      </c>
      <c r="GZ31" s="41"/>
      <c r="HA31" s="41"/>
      <c r="HB31" s="105"/>
      <c r="HC31" s="105"/>
      <c r="HD31" s="41"/>
      <c r="HE31" s="41" t="s">
        <v>1235</v>
      </c>
      <c r="HF31" s="105"/>
      <c r="HG31" s="105"/>
      <c r="HH31" s="105"/>
      <c r="HI31" s="105"/>
      <c r="HJ31" s="105"/>
      <c r="HK31" s="105"/>
      <c r="HL31" s="105"/>
      <c r="HM31" s="105"/>
      <c r="HN31" s="105"/>
      <c r="HO31" s="105"/>
      <c r="HP31" s="105"/>
      <c r="HQ31" s="105"/>
      <c r="HR31" s="105">
        <v>1</v>
      </c>
      <c r="HS31" s="105">
        <v>0</v>
      </c>
      <c r="HT31" s="105"/>
      <c r="HU31" s="105">
        <v>0</v>
      </c>
      <c r="HV31" s="105">
        <v>1</v>
      </c>
      <c r="HW31" s="41"/>
      <c r="HX31" s="41"/>
      <c r="HY31" s="691"/>
      <c r="HZ31" s="691"/>
      <c r="IA31" s="691" t="s">
        <v>123</v>
      </c>
      <c r="IB31" s="691" t="s">
        <v>1230</v>
      </c>
      <c r="IC31" s="691">
        <v>0</v>
      </c>
      <c r="ID31" s="691">
        <v>0</v>
      </c>
      <c r="IE31" s="691">
        <v>0</v>
      </c>
      <c r="IF31" s="691">
        <v>0</v>
      </c>
      <c r="IG31" s="691">
        <v>0</v>
      </c>
      <c r="IH31" s="691">
        <v>0</v>
      </c>
      <c r="II31" s="691">
        <v>0</v>
      </c>
      <c r="IJ31" s="691">
        <v>0</v>
      </c>
      <c r="IK31" s="691">
        <v>0</v>
      </c>
      <c r="IL31" s="691">
        <v>0</v>
      </c>
      <c r="IM31" s="691">
        <v>0</v>
      </c>
      <c r="IN31" s="691">
        <v>0</v>
      </c>
      <c r="IO31" s="691">
        <v>0</v>
      </c>
      <c r="IP31" s="691">
        <v>1</v>
      </c>
      <c r="IQ31" s="691">
        <v>0</v>
      </c>
      <c r="IR31" s="691">
        <v>0</v>
      </c>
      <c r="IS31" s="691">
        <v>1</v>
      </c>
      <c r="IT31" s="691"/>
      <c r="IU31" s="692"/>
    </row>
    <row r="32" spans="2:255">
      <c r="D32" s="4800" t="s">
        <v>15</v>
      </c>
      <c r="E32" s="4606"/>
      <c r="F32" s="4606"/>
      <c r="G32" s="4606"/>
      <c r="H32" s="4606"/>
      <c r="I32" s="4606"/>
      <c r="J32" s="4606"/>
      <c r="K32" s="4606"/>
      <c r="L32" s="4606"/>
      <c r="M32" s="4606"/>
      <c r="N32" s="4606"/>
      <c r="O32" s="4606">
        <v>1</v>
      </c>
      <c r="P32" s="4606">
        <v>4</v>
      </c>
      <c r="Q32" s="4606"/>
      <c r="R32" s="4606"/>
      <c r="S32" s="2552"/>
      <c r="T32" s="2552"/>
      <c r="U32" s="2552">
        <v>5</v>
      </c>
      <c r="V32" s="1977">
        <f>+(U30+U31)/(U32)</f>
        <v>0.4</v>
      </c>
      <c r="Z32" s="1793" t="s">
        <v>545</v>
      </c>
      <c r="AA32" s="1793" t="s">
        <v>1231</v>
      </c>
      <c r="AB32" s="4804">
        <v>1</v>
      </c>
      <c r="AC32" s="4804"/>
      <c r="AD32" s="4804"/>
      <c r="AE32" s="4804"/>
      <c r="AF32" s="4804"/>
      <c r="AG32" s="4804"/>
      <c r="AH32" s="4804"/>
      <c r="AI32" s="4804"/>
      <c r="AJ32" s="4804"/>
      <c r="AK32" s="4804"/>
      <c r="AL32" s="4804">
        <v>1</v>
      </c>
      <c r="AM32" s="4804">
        <v>4</v>
      </c>
      <c r="AN32" s="4804"/>
      <c r="AO32" s="4804"/>
      <c r="AP32" s="4702"/>
      <c r="AQ32" s="4702">
        <v>6</v>
      </c>
      <c r="AT32" s="41"/>
      <c r="AU32" s="41" t="s">
        <v>21</v>
      </c>
      <c r="AV32" s="41" t="s">
        <v>1638</v>
      </c>
      <c r="AW32" s="41" t="s">
        <v>1231</v>
      </c>
      <c r="AX32" s="690"/>
      <c r="AY32" s="690"/>
      <c r="AZ32" s="690"/>
      <c r="BA32" s="690"/>
      <c r="BB32" s="690"/>
      <c r="BC32" s="690"/>
      <c r="BD32" s="690"/>
      <c r="BE32" s="690"/>
      <c r="BF32" s="690"/>
      <c r="BG32" s="690">
        <v>3</v>
      </c>
      <c r="BH32" s="690"/>
      <c r="BI32" s="690">
        <v>1</v>
      </c>
      <c r="BJ32" s="690"/>
      <c r="BK32" s="690"/>
      <c r="BL32" s="690"/>
      <c r="BM32" s="41"/>
      <c r="BN32" s="41"/>
      <c r="BO32" s="41">
        <v>4</v>
      </c>
      <c r="BP32" s="41"/>
      <c r="BR32" s="41"/>
      <c r="BS32" s="41"/>
      <c r="BT32" s="41"/>
      <c r="BU32" s="41" t="s">
        <v>1235</v>
      </c>
      <c r="BV32" s="2001"/>
      <c r="BW32" s="2001"/>
      <c r="BX32" s="2001">
        <v>0</v>
      </c>
      <c r="BY32" s="2001"/>
      <c r="BZ32" s="2001"/>
      <c r="CA32" s="2001"/>
      <c r="CB32" s="2001"/>
      <c r="CC32" s="2001"/>
      <c r="CD32" s="2001"/>
      <c r="CE32" s="2001">
        <v>0</v>
      </c>
      <c r="CF32" s="2001"/>
      <c r="CG32" s="2001">
        <v>0</v>
      </c>
      <c r="CH32" s="2001">
        <v>1</v>
      </c>
      <c r="CI32" s="2001">
        <v>0</v>
      </c>
      <c r="CJ32" s="2001">
        <v>0</v>
      </c>
      <c r="CK32" s="105"/>
      <c r="CL32" s="105"/>
      <c r="CM32" s="105">
        <v>1</v>
      </c>
      <c r="CN32" s="41"/>
      <c r="CR32" s="41" t="s">
        <v>1641</v>
      </c>
      <c r="CS32" s="41" t="s">
        <v>1231</v>
      </c>
      <c r="CT32" s="1665"/>
      <c r="CU32" s="1665"/>
      <c r="CV32" s="1665">
        <v>1</v>
      </c>
      <c r="CW32" s="1665"/>
      <c r="CX32" s="1665"/>
      <c r="CY32" s="1665"/>
      <c r="CZ32" s="1665">
        <v>1</v>
      </c>
      <c r="DA32" s="1665"/>
      <c r="DB32" s="1665">
        <v>2</v>
      </c>
      <c r="DC32" s="1665"/>
      <c r="DD32" s="1665">
        <v>1</v>
      </c>
      <c r="DE32" s="1665">
        <v>0</v>
      </c>
      <c r="DF32" s="1665">
        <v>2</v>
      </c>
      <c r="DG32" s="1665"/>
      <c r="DH32" s="1665"/>
      <c r="DI32" s="41"/>
      <c r="DJ32" s="41"/>
      <c r="DK32" s="41">
        <v>7</v>
      </c>
      <c r="DL32" s="41"/>
      <c r="DN32" s="1375"/>
      <c r="DO32" s="1375"/>
      <c r="DP32" s="1375"/>
      <c r="DQ32" s="1372" t="s">
        <v>106</v>
      </c>
      <c r="DR32" s="1381"/>
      <c r="DS32" s="1381"/>
      <c r="DT32" s="1381"/>
      <c r="DU32" s="1381"/>
      <c r="DV32" s="1381"/>
      <c r="DW32" s="1382">
        <v>3</v>
      </c>
      <c r="DX32" s="1382">
        <v>2</v>
      </c>
      <c r="DY32" s="1382">
        <v>3</v>
      </c>
      <c r="DZ32" s="1381"/>
      <c r="EA32" s="1381"/>
      <c r="EB32" s="1382">
        <v>7</v>
      </c>
      <c r="EC32" s="1382">
        <v>3</v>
      </c>
      <c r="ED32" s="1382">
        <v>3</v>
      </c>
      <c r="EE32" s="1383"/>
      <c r="EF32" s="1383"/>
      <c r="EG32" s="1384">
        <v>21</v>
      </c>
      <c r="EH32" s="1325">
        <f>+(EG30+EG31)/EG32</f>
        <v>0.38095238095238093</v>
      </c>
      <c r="EJ32" s="678"/>
      <c r="EK32" s="678"/>
      <c r="EL32" s="678" t="s">
        <v>844</v>
      </c>
      <c r="EM32" s="679" t="s">
        <v>1231</v>
      </c>
      <c r="EN32" s="681">
        <v>1</v>
      </c>
      <c r="EO32" s="680"/>
      <c r="EP32" s="681">
        <v>0</v>
      </c>
      <c r="EQ32" s="681">
        <v>0</v>
      </c>
      <c r="ER32" s="681">
        <v>0</v>
      </c>
      <c r="ES32" s="680"/>
      <c r="ET32" s="681">
        <v>0</v>
      </c>
      <c r="EU32" s="681">
        <v>0</v>
      </c>
      <c r="EV32" s="681">
        <v>0</v>
      </c>
      <c r="EW32" s="681">
        <v>0</v>
      </c>
      <c r="EX32" s="681">
        <v>0</v>
      </c>
      <c r="EY32" s="681">
        <v>0</v>
      </c>
      <c r="EZ32" s="681">
        <v>0</v>
      </c>
      <c r="FA32" s="680"/>
      <c r="FB32" s="680"/>
      <c r="FC32" s="682"/>
      <c r="FD32" s="682"/>
      <c r="FE32" s="683">
        <v>1</v>
      </c>
      <c r="FF32" s="105"/>
      <c r="FH32" s="511"/>
      <c r="FI32" s="511"/>
      <c r="FJ32" s="511"/>
      <c r="FK32" s="511"/>
      <c r="FL32" s="512" t="s">
        <v>1236</v>
      </c>
      <c r="FM32" s="685">
        <v>0</v>
      </c>
      <c r="FN32" s="684"/>
      <c r="FO32" s="684"/>
      <c r="FP32" s="684"/>
      <c r="FQ32" s="684"/>
      <c r="FR32" s="685">
        <v>1</v>
      </c>
      <c r="FS32" s="685">
        <v>5</v>
      </c>
      <c r="FT32" s="685">
        <v>2</v>
      </c>
      <c r="FU32" s="684"/>
      <c r="FV32" s="684"/>
      <c r="FW32" s="684"/>
      <c r="FX32" s="685">
        <v>0</v>
      </c>
      <c r="FY32" s="685">
        <v>0</v>
      </c>
      <c r="FZ32" s="685">
        <v>0</v>
      </c>
      <c r="GA32" s="684"/>
      <c r="GB32" s="686"/>
      <c r="GC32" s="686"/>
      <c r="GD32" s="687">
        <v>8</v>
      </c>
      <c r="GE32" s="635"/>
      <c r="GF32" s="41"/>
      <c r="GG32" s="688"/>
      <c r="GH32" s="688"/>
      <c r="GI32" s="688" t="s">
        <v>121</v>
      </c>
      <c r="GJ32" s="457" t="s">
        <v>1230</v>
      </c>
      <c r="GK32" s="689"/>
      <c r="GL32" s="689"/>
      <c r="GM32" s="689"/>
      <c r="GN32" s="689"/>
      <c r="GO32" s="689"/>
      <c r="GP32" s="689"/>
      <c r="GQ32" s="689"/>
      <c r="GR32" s="458">
        <v>1</v>
      </c>
      <c r="GS32" s="689"/>
      <c r="GT32" s="458">
        <v>0</v>
      </c>
      <c r="GU32" s="458">
        <v>0</v>
      </c>
      <c r="GV32" s="458">
        <v>0</v>
      </c>
      <c r="GW32" s="458">
        <v>0</v>
      </c>
      <c r="GX32" s="458">
        <v>1</v>
      </c>
      <c r="GY32" s="690"/>
      <c r="GZ32" s="41"/>
      <c r="HA32" s="41"/>
      <c r="HB32" s="105"/>
      <c r="HC32" s="105"/>
      <c r="HD32" s="41"/>
      <c r="HE32" s="41" t="s">
        <v>1239</v>
      </c>
      <c r="HF32" s="105"/>
      <c r="HG32" s="105"/>
      <c r="HH32" s="105"/>
      <c r="HI32" s="105"/>
      <c r="HJ32" s="105"/>
      <c r="HK32" s="105"/>
      <c r="HL32" s="105"/>
      <c r="HM32" s="105"/>
      <c r="HN32" s="105"/>
      <c r="HO32" s="105"/>
      <c r="HP32" s="105"/>
      <c r="HQ32" s="105"/>
      <c r="HR32" s="105">
        <v>0</v>
      </c>
      <c r="HS32" s="105">
        <v>0</v>
      </c>
      <c r="HT32" s="105"/>
      <c r="HU32" s="105">
        <v>1</v>
      </c>
      <c r="HV32" s="105">
        <v>1</v>
      </c>
      <c r="HW32" s="41"/>
      <c r="HX32" s="41"/>
      <c r="HY32" s="691"/>
      <c r="HZ32" s="691"/>
      <c r="IA32" s="691"/>
      <c r="IB32" s="691" t="s">
        <v>1231</v>
      </c>
      <c r="IC32" s="691">
        <v>0</v>
      </c>
      <c r="ID32" s="691">
        <v>0</v>
      </c>
      <c r="IE32" s="691">
        <v>0</v>
      </c>
      <c r="IF32" s="691">
        <v>0</v>
      </c>
      <c r="IG32" s="691">
        <v>0</v>
      </c>
      <c r="IH32" s="691">
        <v>0</v>
      </c>
      <c r="II32" s="691">
        <v>0</v>
      </c>
      <c r="IJ32" s="691">
        <v>0</v>
      </c>
      <c r="IK32" s="691">
        <v>0</v>
      </c>
      <c r="IL32" s="691">
        <v>0</v>
      </c>
      <c r="IM32" s="691">
        <v>0</v>
      </c>
      <c r="IN32" s="691">
        <v>1</v>
      </c>
      <c r="IO32" s="691">
        <v>0</v>
      </c>
      <c r="IP32" s="691">
        <v>0</v>
      </c>
      <c r="IQ32" s="691">
        <v>0</v>
      </c>
      <c r="IR32" s="691">
        <v>0</v>
      </c>
      <c r="IS32" s="691">
        <v>1</v>
      </c>
      <c r="IT32" s="691"/>
      <c r="IU32" s="692"/>
    </row>
    <row r="33" spans="2:255">
      <c r="C33" s="32" t="s">
        <v>545</v>
      </c>
      <c r="D33" s="32" t="s">
        <v>1231</v>
      </c>
      <c r="E33" s="4607">
        <v>1</v>
      </c>
      <c r="F33" s="4607"/>
      <c r="G33" s="4607"/>
      <c r="H33" s="4607"/>
      <c r="I33" s="4607"/>
      <c r="J33" s="4607"/>
      <c r="K33" s="4607"/>
      <c r="L33" s="4607"/>
      <c r="M33" s="4607"/>
      <c r="N33" s="4607"/>
      <c r="O33" s="4607">
        <v>0</v>
      </c>
      <c r="P33" s="4607">
        <v>3</v>
      </c>
      <c r="Q33" s="4607"/>
      <c r="R33" s="4607"/>
      <c r="S33" s="4583"/>
      <c r="T33" s="4583"/>
      <c r="U33" s="4583">
        <v>4</v>
      </c>
      <c r="V33" s="4583"/>
      <c r="AA33" s="1793" t="s">
        <v>15</v>
      </c>
      <c r="AB33" s="4804">
        <v>1</v>
      </c>
      <c r="AC33" s="4804"/>
      <c r="AD33" s="4804"/>
      <c r="AE33" s="4804"/>
      <c r="AF33" s="4804"/>
      <c r="AG33" s="4804"/>
      <c r="AH33" s="4804"/>
      <c r="AI33" s="4804"/>
      <c r="AJ33" s="4804"/>
      <c r="AK33" s="4804"/>
      <c r="AL33" s="4804">
        <v>1</v>
      </c>
      <c r="AM33" s="4804">
        <v>4</v>
      </c>
      <c r="AN33" s="4804"/>
      <c r="AO33" s="4804"/>
      <c r="AP33" s="4702"/>
      <c r="AQ33" s="4702">
        <v>6</v>
      </c>
      <c r="AR33" s="4703">
        <v>0</v>
      </c>
      <c r="AT33" s="41"/>
      <c r="AU33" s="41"/>
      <c r="AV33" s="41"/>
      <c r="AW33" s="461" t="s">
        <v>15</v>
      </c>
      <c r="AX33" s="2489"/>
      <c r="AY33" s="2489"/>
      <c r="AZ33" s="2489"/>
      <c r="BA33" s="2489"/>
      <c r="BB33" s="2489"/>
      <c r="BC33" s="2489"/>
      <c r="BD33" s="2489"/>
      <c r="BE33" s="2489"/>
      <c r="BF33" s="2489"/>
      <c r="BG33" s="2489">
        <v>3</v>
      </c>
      <c r="BH33" s="2489"/>
      <c r="BI33" s="2489">
        <v>1</v>
      </c>
      <c r="BJ33" s="2489"/>
      <c r="BK33" s="2489"/>
      <c r="BL33" s="2489"/>
      <c r="BM33" s="461"/>
      <c r="BN33" s="461"/>
      <c r="BO33" s="461">
        <v>4</v>
      </c>
      <c r="BP33" s="635">
        <v>0</v>
      </c>
      <c r="BQ33" s="1977"/>
      <c r="BR33" s="41"/>
      <c r="BS33" s="41"/>
      <c r="BT33" s="41"/>
      <c r="BU33" s="41" t="s">
        <v>1236</v>
      </c>
      <c r="BV33" s="2001"/>
      <c r="BW33" s="2001"/>
      <c r="BX33" s="2001">
        <v>0</v>
      </c>
      <c r="BY33" s="2001"/>
      <c r="BZ33" s="2001"/>
      <c r="CA33" s="2001"/>
      <c r="CB33" s="2001"/>
      <c r="CC33" s="2001"/>
      <c r="CD33" s="2001"/>
      <c r="CE33" s="2001">
        <v>1</v>
      </c>
      <c r="CF33" s="2001"/>
      <c r="CG33" s="2001">
        <v>0</v>
      </c>
      <c r="CH33" s="2001">
        <v>0</v>
      </c>
      <c r="CI33" s="2001">
        <v>0</v>
      </c>
      <c r="CJ33" s="2001">
        <v>0</v>
      </c>
      <c r="CK33" s="105"/>
      <c r="CL33" s="105"/>
      <c r="CM33" s="105">
        <v>1</v>
      </c>
      <c r="CN33" s="41"/>
      <c r="CR33" s="41"/>
      <c r="CS33" s="41" t="s">
        <v>1344</v>
      </c>
      <c r="CT33" s="1665"/>
      <c r="CU33" s="1665"/>
      <c r="CV33" s="1665">
        <v>0</v>
      </c>
      <c r="CW33" s="1665"/>
      <c r="CX33" s="1665"/>
      <c r="CY33" s="1665"/>
      <c r="CZ33" s="1665">
        <v>0</v>
      </c>
      <c r="DA33" s="1665"/>
      <c r="DB33" s="1665">
        <v>0</v>
      </c>
      <c r="DC33" s="1665"/>
      <c r="DD33" s="1665">
        <v>0</v>
      </c>
      <c r="DE33" s="1665">
        <v>1</v>
      </c>
      <c r="DF33" s="1665">
        <v>0</v>
      </c>
      <c r="DG33" s="1665"/>
      <c r="DH33" s="1665"/>
      <c r="DI33" s="41"/>
      <c r="DJ33" s="41"/>
      <c r="DK33" s="41">
        <v>1</v>
      </c>
      <c r="DL33" s="41"/>
      <c r="DN33" s="1375" t="s">
        <v>25</v>
      </c>
      <c r="DO33" s="1375" t="s">
        <v>4</v>
      </c>
      <c r="DP33" s="1375" t="s">
        <v>120</v>
      </c>
      <c r="DQ33" s="1376" t="s">
        <v>1239</v>
      </c>
      <c r="DR33" s="1377"/>
      <c r="DS33" s="1377"/>
      <c r="DT33" s="1377"/>
      <c r="DU33" s="1377"/>
      <c r="DV33" s="1377"/>
      <c r="DW33" s="1377"/>
      <c r="DX33" s="1377"/>
      <c r="DY33" s="1377"/>
      <c r="DZ33" s="1377"/>
      <c r="EA33" s="1377"/>
      <c r="EB33" s="1377"/>
      <c r="EC33" s="1377"/>
      <c r="ED33" s="1378">
        <v>1</v>
      </c>
      <c r="EE33" s="1379"/>
      <c r="EF33" s="1379"/>
      <c r="EG33" s="1380">
        <v>1</v>
      </c>
      <c r="EH33" s="41"/>
      <c r="EJ33" s="678"/>
      <c r="EK33" s="678"/>
      <c r="EL33" s="678"/>
      <c r="EM33" s="679" t="s">
        <v>1233</v>
      </c>
      <c r="EN33" s="681">
        <v>0</v>
      </c>
      <c r="EO33" s="680"/>
      <c r="EP33" s="681">
        <v>0</v>
      </c>
      <c r="EQ33" s="681">
        <v>0</v>
      </c>
      <c r="ER33" s="681">
        <v>1</v>
      </c>
      <c r="ES33" s="680"/>
      <c r="ET33" s="681">
        <v>0</v>
      </c>
      <c r="EU33" s="681">
        <v>0</v>
      </c>
      <c r="EV33" s="681">
        <v>0</v>
      </c>
      <c r="EW33" s="681">
        <v>0</v>
      </c>
      <c r="EX33" s="681">
        <v>0</v>
      </c>
      <c r="EY33" s="681">
        <v>0</v>
      </c>
      <c r="EZ33" s="681">
        <v>0</v>
      </c>
      <c r="FA33" s="680"/>
      <c r="FB33" s="680"/>
      <c r="FC33" s="682"/>
      <c r="FD33" s="682"/>
      <c r="FE33" s="683">
        <v>1</v>
      </c>
      <c r="FF33" s="105"/>
      <c r="FH33" s="511"/>
      <c r="FI33" s="511"/>
      <c r="FJ33" s="511"/>
      <c r="FK33" s="511"/>
      <c r="FL33" s="512" t="s">
        <v>1239</v>
      </c>
      <c r="FM33" s="685">
        <v>0</v>
      </c>
      <c r="FN33" s="684"/>
      <c r="FO33" s="684"/>
      <c r="FP33" s="684"/>
      <c r="FQ33" s="684"/>
      <c r="FR33" s="685">
        <v>0</v>
      </c>
      <c r="FS33" s="685">
        <v>0</v>
      </c>
      <c r="FT33" s="685">
        <v>0</v>
      </c>
      <c r="FU33" s="684"/>
      <c r="FV33" s="684"/>
      <c r="FW33" s="684"/>
      <c r="FX33" s="685">
        <v>0</v>
      </c>
      <c r="FY33" s="685">
        <v>0</v>
      </c>
      <c r="FZ33" s="685">
        <v>1</v>
      </c>
      <c r="GA33" s="684"/>
      <c r="GB33" s="686"/>
      <c r="GC33" s="686"/>
      <c r="GD33" s="687">
        <v>1</v>
      </c>
      <c r="GE33" s="635"/>
      <c r="GF33" s="41"/>
      <c r="GG33" s="688"/>
      <c r="GH33" s="688"/>
      <c r="GI33" s="688"/>
      <c r="GJ33" s="457" t="s">
        <v>1235</v>
      </c>
      <c r="GK33" s="689"/>
      <c r="GL33" s="689"/>
      <c r="GM33" s="689"/>
      <c r="GN33" s="689"/>
      <c r="GO33" s="689"/>
      <c r="GP33" s="689"/>
      <c r="GQ33" s="689"/>
      <c r="GR33" s="458">
        <v>0</v>
      </c>
      <c r="GS33" s="689"/>
      <c r="GT33" s="458">
        <v>2</v>
      </c>
      <c r="GU33" s="458">
        <v>0</v>
      </c>
      <c r="GV33" s="458">
        <v>0</v>
      </c>
      <c r="GW33" s="458">
        <v>0</v>
      </c>
      <c r="GX33" s="458">
        <v>2</v>
      </c>
      <c r="GY33" s="690"/>
      <c r="GZ33" s="41"/>
      <c r="HA33" s="41"/>
      <c r="HB33" s="105"/>
      <c r="HC33" s="105"/>
      <c r="HD33" s="41"/>
      <c r="HE33" s="41" t="s">
        <v>1344</v>
      </c>
      <c r="HF33" s="105"/>
      <c r="HG33" s="105"/>
      <c r="HH33" s="105"/>
      <c r="HI33" s="105"/>
      <c r="HJ33" s="105"/>
      <c r="HK33" s="105"/>
      <c r="HL33" s="105"/>
      <c r="HM33" s="105"/>
      <c r="HN33" s="105"/>
      <c r="HO33" s="105"/>
      <c r="HP33" s="105"/>
      <c r="HQ33" s="105"/>
      <c r="HR33" s="105">
        <v>2</v>
      </c>
      <c r="HS33" s="105">
        <v>0</v>
      </c>
      <c r="HT33" s="105"/>
      <c r="HU33" s="105">
        <v>0</v>
      </c>
      <c r="HV33" s="105">
        <v>2</v>
      </c>
      <c r="HW33" s="41"/>
      <c r="HX33" s="41"/>
      <c r="HY33" s="691"/>
      <c r="HZ33" s="691"/>
      <c r="IA33" s="691"/>
      <c r="IB33" s="691" t="s">
        <v>1235</v>
      </c>
      <c r="IC33" s="691">
        <v>0</v>
      </c>
      <c r="ID33" s="691">
        <v>0</v>
      </c>
      <c r="IE33" s="691">
        <v>0</v>
      </c>
      <c r="IF33" s="691">
        <v>0</v>
      </c>
      <c r="IG33" s="691">
        <v>0</v>
      </c>
      <c r="IH33" s="691">
        <v>0</v>
      </c>
      <c r="II33" s="691">
        <v>0</v>
      </c>
      <c r="IJ33" s="691">
        <v>0</v>
      </c>
      <c r="IK33" s="691">
        <v>0</v>
      </c>
      <c r="IL33" s="691">
        <v>0</v>
      </c>
      <c r="IM33" s="691">
        <v>1</v>
      </c>
      <c r="IN33" s="691">
        <v>0</v>
      </c>
      <c r="IO33" s="691">
        <v>0</v>
      </c>
      <c r="IP33" s="691">
        <v>2</v>
      </c>
      <c r="IQ33" s="691">
        <v>0</v>
      </c>
      <c r="IR33" s="691">
        <v>0</v>
      </c>
      <c r="IS33" s="691">
        <v>3</v>
      </c>
      <c r="IT33" s="691"/>
      <c r="IU33" s="692"/>
    </row>
    <row r="34" spans="2:255">
      <c r="C34" s="32"/>
      <c r="D34" s="32" t="s">
        <v>1235</v>
      </c>
      <c r="E34" s="4607">
        <v>0</v>
      </c>
      <c r="F34" s="4607"/>
      <c r="G34" s="4607"/>
      <c r="H34" s="4607"/>
      <c r="I34" s="4607"/>
      <c r="J34" s="4607"/>
      <c r="K34" s="4607"/>
      <c r="L34" s="4607"/>
      <c r="M34" s="4607"/>
      <c r="N34" s="4607"/>
      <c r="O34" s="4607">
        <v>0</v>
      </c>
      <c r="P34" s="4607">
        <v>1</v>
      </c>
      <c r="Q34" s="4607"/>
      <c r="R34" s="4607"/>
      <c r="S34" s="4583"/>
      <c r="T34" s="4583"/>
      <c r="U34" s="4583">
        <v>1</v>
      </c>
      <c r="V34" s="4583"/>
      <c r="Y34" s="37" t="s">
        <v>21</v>
      </c>
      <c r="Z34" s="37" t="s">
        <v>1639</v>
      </c>
      <c r="AA34" s="37" t="s">
        <v>1236</v>
      </c>
      <c r="AB34" s="4803"/>
      <c r="AC34" s="4803"/>
      <c r="AD34" s="4803"/>
      <c r="AE34" s="4803"/>
      <c r="AF34" s="4803"/>
      <c r="AG34" s="4803"/>
      <c r="AH34" s="4803"/>
      <c r="AI34" s="4803"/>
      <c r="AJ34" s="4803">
        <v>0</v>
      </c>
      <c r="AK34" s="4803"/>
      <c r="AL34" s="4803"/>
      <c r="AM34" s="4803"/>
      <c r="AN34" s="4803"/>
      <c r="AO34" s="4803"/>
      <c r="AP34" s="1788">
        <v>1</v>
      </c>
      <c r="AQ34" s="1788">
        <v>1</v>
      </c>
      <c r="AT34" s="41"/>
      <c r="AU34" s="41"/>
      <c r="AV34" s="41" t="s">
        <v>1639</v>
      </c>
      <c r="AW34" s="41" t="s">
        <v>1231</v>
      </c>
      <c r="AX34" s="690"/>
      <c r="AY34" s="690"/>
      <c r="AZ34" s="690"/>
      <c r="BA34" s="690"/>
      <c r="BB34" s="690">
        <v>0</v>
      </c>
      <c r="BC34" s="690"/>
      <c r="BD34" s="690">
        <v>1</v>
      </c>
      <c r="BE34" s="690"/>
      <c r="BF34" s="690"/>
      <c r="BG34" s="690">
        <v>2</v>
      </c>
      <c r="BH34" s="690">
        <v>2</v>
      </c>
      <c r="BI34" s="690"/>
      <c r="BJ34" s="690"/>
      <c r="BK34" s="690"/>
      <c r="BL34" s="690">
        <v>0</v>
      </c>
      <c r="BM34" s="41"/>
      <c r="BN34" s="41"/>
      <c r="BO34" s="41">
        <v>5</v>
      </c>
      <c r="BP34" s="41"/>
      <c r="BR34" s="41"/>
      <c r="BS34" s="41"/>
      <c r="BT34" s="41"/>
      <c r="BU34" s="41" t="s">
        <v>1239</v>
      </c>
      <c r="BV34" s="2001"/>
      <c r="BW34" s="2001"/>
      <c r="BX34" s="2001">
        <v>0</v>
      </c>
      <c r="BY34" s="2001"/>
      <c r="BZ34" s="2001"/>
      <c r="CA34" s="2001"/>
      <c r="CB34" s="2001"/>
      <c r="CC34" s="2001"/>
      <c r="CD34" s="2001"/>
      <c r="CE34" s="2001">
        <v>0</v>
      </c>
      <c r="CF34" s="2001"/>
      <c r="CG34" s="2001">
        <v>0</v>
      </c>
      <c r="CH34" s="2001">
        <v>0</v>
      </c>
      <c r="CI34" s="2001">
        <v>0</v>
      </c>
      <c r="CJ34" s="2001">
        <v>3</v>
      </c>
      <c r="CK34" s="105"/>
      <c r="CL34" s="105"/>
      <c r="CM34" s="105">
        <v>3</v>
      </c>
      <c r="CN34" s="41"/>
      <c r="CR34" s="41"/>
      <c r="CS34" s="461" t="s">
        <v>15</v>
      </c>
      <c r="CT34" s="1666"/>
      <c r="CU34" s="1666"/>
      <c r="CV34" s="1666">
        <v>1</v>
      </c>
      <c r="CW34" s="1666"/>
      <c r="CX34" s="1666"/>
      <c r="CY34" s="1666"/>
      <c r="CZ34" s="1666">
        <v>1</v>
      </c>
      <c r="DA34" s="1666"/>
      <c r="DB34" s="1666">
        <v>2</v>
      </c>
      <c r="DC34" s="1666"/>
      <c r="DD34" s="1666">
        <v>1</v>
      </c>
      <c r="DE34" s="1666">
        <v>1</v>
      </c>
      <c r="DF34" s="1666">
        <v>2</v>
      </c>
      <c r="DG34" s="1666"/>
      <c r="DH34" s="1666"/>
      <c r="DI34" s="461"/>
      <c r="DJ34" s="461"/>
      <c r="DK34" s="461">
        <v>8</v>
      </c>
      <c r="DL34" s="635">
        <f>+DK33/DK34</f>
        <v>0.125</v>
      </c>
      <c r="DN34" s="1375"/>
      <c r="DO34" s="1375"/>
      <c r="DP34" s="1375"/>
      <c r="DQ34" s="1370" t="s">
        <v>15</v>
      </c>
      <c r="DR34" s="1377"/>
      <c r="DS34" s="1377"/>
      <c r="DT34" s="1377"/>
      <c r="DU34" s="1377"/>
      <c r="DV34" s="1377"/>
      <c r="DW34" s="1377"/>
      <c r="DX34" s="1377"/>
      <c r="DY34" s="1377"/>
      <c r="DZ34" s="1377"/>
      <c r="EA34" s="1377"/>
      <c r="EB34" s="1377"/>
      <c r="EC34" s="1377"/>
      <c r="ED34" s="1378">
        <v>1</v>
      </c>
      <c r="EE34" s="1379"/>
      <c r="EF34" s="1379"/>
      <c r="EG34" s="1380">
        <v>1</v>
      </c>
      <c r="EH34" s="1325">
        <v>0</v>
      </c>
      <c r="EJ34" s="678"/>
      <c r="EK34" s="678"/>
      <c r="EL34" s="678"/>
      <c r="EM34" s="679" t="s">
        <v>1236</v>
      </c>
      <c r="EN34" s="681">
        <v>0</v>
      </c>
      <c r="EO34" s="680"/>
      <c r="EP34" s="681">
        <v>1</v>
      </c>
      <c r="EQ34" s="681">
        <v>3</v>
      </c>
      <c r="ER34" s="681">
        <v>0</v>
      </c>
      <c r="ES34" s="680"/>
      <c r="ET34" s="681">
        <v>10</v>
      </c>
      <c r="EU34" s="681">
        <v>5</v>
      </c>
      <c r="EV34" s="681">
        <v>3</v>
      </c>
      <c r="EW34" s="681">
        <v>0</v>
      </c>
      <c r="EX34" s="681">
        <v>2</v>
      </c>
      <c r="EY34" s="681">
        <v>0</v>
      </c>
      <c r="EZ34" s="681">
        <v>4</v>
      </c>
      <c r="FA34" s="680"/>
      <c r="FB34" s="680"/>
      <c r="FC34" s="682"/>
      <c r="FD34" s="682"/>
      <c r="FE34" s="683">
        <v>28</v>
      </c>
      <c r="FF34" s="105"/>
      <c r="FH34" s="511"/>
      <c r="FI34" s="511"/>
      <c r="FJ34" s="511"/>
      <c r="FK34" s="511"/>
      <c r="FL34" s="512" t="s">
        <v>1344</v>
      </c>
      <c r="FM34" s="685">
        <v>0</v>
      </c>
      <c r="FN34" s="684"/>
      <c r="FO34" s="684"/>
      <c r="FP34" s="684"/>
      <c r="FQ34" s="684"/>
      <c r="FR34" s="685">
        <v>0</v>
      </c>
      <c r="FS34" s="685">
        <v>2</v>
      </c>
      <c r="FT34" s="685">
        <v>0</v>
      </c>
      <c r="FU34" s="684"/>
      <c r="FV34" s="684"/>
      <c r="FW34" s="684"/>
      <c r="FX34" s="685">
        <v>1</v>
      </c>
      <c r="FY34" s="685">
        <v>0</v>
      </c>
      <c r="FZ34" s="685">
        <v>0</v>
      </c>
      <c r="GA34" s="684"/>
      <c r="GB34" s="686"/>
      <c r="GC34" s="686"/>
      <c r="GD34" s="687">
        <v>3</v>
      </c>
      <c r="GE34" s="635"/>
      <c r="GF34" s="41"/>
      <c r="GG34" s="688"/>
      <c r="GH34" s="688"/>
      <c r="GI34" s="688"/>
      <c r="GJ34" s="457" t="s">
        <v>1239</v>
      </c>
      <c r="GK34" s="689"/>
      <c r="GL34" s="689"/>
      <c r="GM34" s="689"/>
      <c r="GN34" s="689"/>
      <c r="GO34" s="689"/>
      <c r="GP34" s="689"/>
      <c r="GQ34" s="689"/>
      <c r="GR34" s="458">
        <v>0</v>
      </c>
      <c r="GS34" s="689"/>
      <c r="GT34" s="458">
        <v>0</v>
      </c>
      <c r="GU34" s="458">
        <v>1</v>
      </c>
      <c r="GV34" s="458">
        <v>2</v>
      </c>
      <c r="GW34" s="458">
        <v>1</v>
      </c>
      <c r="GX34" s="458">
        <v>4</v>
      </c>
      <c r="GY34" s="690"/>
      <c r="GZ34" s="41"/>
      <c r="HA34" s="41"/>
      <c r="HB34" s="105"/>
      <c r="HC34" s="105"/>
      <c r="HD34" s="41"/>
      <c r="HE34" s="461" t="s">
        <v>15</v>
      </c>
      <c r="HF34" s="96"/>
      <c r="HG34" s="96"/>
      <c r="HH34" s="96"/>
      <c r="HI34" s="96"/>
      <c r="HJ34" s="96"/>
      <c r="HK34" s="96"/>
      <c r="HL34" s="96"/>
      <c r="HM34" s="96"/>
      <c r="HN34" s="96"/>
      <c r="HO34" s="96"/>
      <c r="HP34" s="96"/>
      <c r="HQ34" s="96"/>
      <c r="HR34" s="96">
        <v>3</v>
      </c>
      <c r="HS34" s="96">
        <v>2</v>
      </c>
      <c r="HT34" s="96"/>
      <c r="HU34" s="96">
        <v>1</v>
      </c>
      <c r="HV34" s="96">
        <v>6</v>
      </c>
      <c r="HW34" s="706">
        <f>+(HV31+HV33)/HV34</f>
        <v>0.5</v>
      </c>
      <c r="HX34" s="41"/>
      <c r="HY34" s="691"/>
      <c r="HZ34" s="691"/>
      <c r="IA34" s="691"/>
      <c r="IB34" s="691" t="s">
        <v>1239</v>
      </c>
      <c r="IC34" s="691">
        <v>0</v>
      </c>
      <c r="ID34" s="691">
        <v>0</v>
      </c>
      <c r="IE34" s="691">
        <v>0</v>
      </c>
      <c r="IF34" s="691">
        <v>0</v>
      </c>
      <c r="IG34" s="691">
        <v>0</v>
      </c>
      <c r="IH34" s="691">
        <v>0</v>
      </c>
      <c r="II34" s="691">
        <v>0</v>
      </c>
      <c r="IJ34" s="691">
        <v>0</v>
      </c>
      <c r="IK34" s="691">
        <v>0</v>
      </c>
      <c r="IL34" s="691">
        <v>0</v>
      </c>
      <c r="IM34" s="691">
        <v>0</v>
      </c>
      <c r="IN34" s="691">
        <v>0</v>
      </c>
      <c r="IO34" s="691">
        <v>1</v>
      </c>
      <c r="IP34" s="691">
        <v>1</v>
      </c>
      <c r="IQ34" s="691">
        <v>0</v>
      </c>
      <c r="IR34" s="691">
        <v>3</v>
      </c>
      <c r="IS34" s="691">
        <v>5</v>
      </c>
      <c r="IT34" s="691"/>
      <c r="IU34" s="692"/>
    </row>
    <row r="35" spans="2:255">
      <c r="C35" s="32"/>
      <c r="D35" s="32" t="s">
        <v>1240</v>
      </c>
      <c r="E35" s="4607">
        <v>0</v>
      </c>
      <c r="F35" s="4607"/>
      <c r="G35" s="4607"/>
      <c r="H35" s="4607"/>
      <c r="I35" s="4607"/>
      <c r="J35" s="4607"/>
      <c r="K35" s="4607"/>
      <c r="L35" s="4607"/>
      <c r="M35" s="4607"/>
      <c r="N35" s="4607"/>
      <c r="O35" s="4607">
        <v>1</v>
      </c>
      <c r="P35" s="4607">
        <v>0</v>
      </c>
      <c r="Q35" s="4607"/>
      <c r="R35" s="4607"/>
      <c r="S35" s="4583"/>
      <c r="T35" s="4583"/>
      <c r="U35" s="4583">
        <v>1</v>
      </c>
      <c r="V35" s="4583"/>
      <c r="AA35" s="37" t="s">
        <v>1344</v>
      </c>
      <c r="AB35" s="4803"/>
      <c r="AC35" s="4803"/>
      <c r="AD35" s="4803"/>
      <c r="AE35" s="4803"/>
      <c r="AF35" s="4803"/>
      <c r="AG35" s="4803"/>
      <c r="AH35" s="4803"/>
      <c r="AI35" s="4803"/>
      <c r="AJ35" s="4803">
        <v>1</v>
      </c>
      <c r="AK35" s="4803"/>
      <c r="AL35" s="4803"/>
      <c r="AM35" s="4803"/>
      <c r="AN35" s="4803"/>
      <c r="AO35" s="4803"/>
      <c r="AP35" s="1788">
        <v>0</v>
      </c>
      <c r="AQ35" s="1788">
        <v>1</v>
      </c>
      <c r="AR35" s="4703">
        <f>+AQ35/AQ36</f>
        <v>0.5</v>
      </c>
      <c r="AT35" s="41"/>
      <c r="AU35" s="41"/>
      <c r="AV35" s="41"/>
      <c r="AW35" s="41" t="s">
        <v>1233</v>
      </c>
      <c r="AX35" s="690"/>
      <c r="AY35" s="690"/>
      <c r="AZ35" s="690"/>
      <c r="BA35" s="690"/>
      <c r="BB35" s="690">
        <v>1</v>
      </c>
      <c r="BC35" s="690"/>
      <c r="BD35" s="690">
        <v>0</v>
      </c>
      <c r="BE35" s="690"/>
      <c r="BF35" s="690"/>
      <c r="BG35" s="690">
        <v>0</v>
      </c>
      <c r="BH35" s="690">
        <v>0</v>
      </c>
      <c r="BI35" s="690"/>
      <c r="BJ35" s="690"/>
      <c r="BK35" s="690"/>
      <c r="BL35" s="690">
        <v>0</v>
      </c>
      <c r="BM35" s="41"/>
      <c r="BN35" s="41"/>
      <c r="BO35" s="41">
        <v>1</v>
      </c>
      <c r="BP35" s="41"/>
      <c r="BR35" s="41"/>
      <c r="BS35" s="41"/>
      <c r="BT35" s="41"/>
      <c r="BU35" s="41" t="s">
        <v>1240</v>
      </c>
      <c r="BV35" s="2001"/>
      <c r="BW35" s="2001"/>
      <c r="BX35" s="2001">
        <v>0</v>
      </c>
      <c r="BY35" s="2001"/>
      <c r="BZ35" s="2001"/>
      <c r="CA35" s="2001"/>
      <c r="CB35" s="2001"/>
      <c r="CC35" s="2001"/>
      <c r="CD35" s="2001"/>
      <c r="CE35" s="2001">
        <v>0</v>
      </c>
      <c r="CF35" s="2001"/>
      <c r="CG35" s="2001">
        <v>1</v>
      </c>
      <c r="CH35" s="2001">
        <v>0</v>
      </c>
      <c r="CI35" s="2001">
        <v>0</v>
      </c>
      <c r="CJ35" s="2001">
        <v>0</v>
      </c>
      <c r="CK35" s="105"/>
      <c r="CL35" s="105"/>
      <c r="CM35" s="105">
        <v>1</v>
      </c>
      <c r="CN35" s="41"/>
      <c r="CR35" s="41" t="s">
        <v>844</v>
      </c>
      <c r="CS35" s="41" t="s">
        <v>1231</v>
      </c>
      <c r="CT35" s="1665"/>
      <c r="CU35" s="1665"/>
      <c r="CV35" s="1665">
        <v>1</v>
      </c>
      <c r="CW35" s="1665"/>
      <c r="CX35" s="1665">
        <v>1</v>
      </c>
      <c r="CY35" s="1665"/>
      <c r="CZ35" s="1665">
        <v>2</v>
      </c>
      <c r="DA35" s="1665">
        <v>0</v>
      </c>
      <c r="DB35" s="1665">
        <v>2</v>
      </c>
      <c r="DC35" s="1665">
        <v>1</v>
      </c>
      <c r="DD35" s="1665">
        <v>2</v>
      </c>
      <c r="DE35" s="1665">
        <v>0</v>
      </c>
      <c r="DF35" s="1665">
        <v>3</v>
      </c>
      <c r="DG35" s="1665">
        <v>1</v>
      </c>
      <c r="DH35" s="1665">
        <v>0</v>
      </c>
      <c r="DI35" s="41"/>
      <c r="DJ35" s="41"/>
      <c r="DK35" s="41">
        <v>13</v>
      </c>
      <c r="DL35" s="41"/>
      <c r="DN35" s="1375"/>
      <c r="DO35" s="1375"/>
      <c r="DP35" s="1375" t="s">
        <v>121</v>
      </c>
      <c r="DQ35" s="1376" t="s">
        <v>1231</v>
      </c>
      <c r="DR35" s="1377"/>
      <c r="DS35" s="1378">
        <v>1</v>
      </c>
      <c r="DT35" s="1378">
        <v>0</v>
      </c>
      <c r="DU35" s="1377"/>
      <c r="DV35" s="1378">
        <v>1</v>
      </c>
      <c r="DW35" s="1377"/>
      <c r="DX35" s="1377"/>
      <c r="DY35" s="1377"/>
      <c r="DZ35" s="1377"/>
      <c r="EA35" s="1377"/>
      <c r="EB35" s="1377"/>
      <c r="EC35" s="1377"/>
      <c r="ED35" s="1378">
        <v>0</v>
      </c>
      <c r="EE35" s="1380">
        <v>0</v>
      </c>
      <c r="EF35" s="1380">
        <v>0</v>
      </c>
      <c r="EG35" s="1380">
        <v>2</v>
      </c>
      <c r="EH35" s="41"/>
      <c r="EJ35" s="678"/>
      <c r="EK35" s="678"/>
      <c r="EL35" s="678"/>
      <c r="EM35" s="679" t="s">
        <v>1344</v>
      </c>
      <c r="EN35" s="681">
        <v>0</v>
      </c>
      <c r="EO35" s="680"/>
      <c r="EP35" s="681">
        <v>0</v>
      </c>
      <c r="EQ35" s="681">
        <v>0</v>
      </c>
      <c r="ER35" s="681">
        <v>0</v>
      </c>
      <c r="ES35" s="680"/>
      <c r="ET35" s="681">
        <v>1</v>
      </c>
      <c r="EU35" s="681">
        <v>0</v>
      </c>
      <c r="EV35" s="681">
        <v>0</v>
      </c>
      <c r="EW35" s="681">
        <v>1</v>
      </c>
      <c r="EX35" s="681">
        <v>0</v>
      </c>
      <c r="EY35" s="681">
        <v>1</v>
      </c>
      <c r="EZ35" s="681">
        <v>0</v>
      </c>
      <c r="FA35" s="680"/>
      <c r="FB35" s="680"/>
      <c r="FC35" s="682"/>
      <c r="FD35" s="682"/>
      <c r="FE35" s="683">
        <v>3</v>
      </c>
      <c r="FF35" s="105"/>
      <c r="FH35" s="511"/>
      <c r="FI35" s="511"/>
      <c r="FJ35" s="511"/>
      <c r="FK35" s="41"/>
      <c r="FL35" s="532" t="s">
        <v>844</v>
      </c>
      <c r="FM35" s="694">
        <v>2</v>
      </c>
      <c r="FN35" s="693"/>
      <c r="FO35" s="693"/>
      <c r="FP35" s="693"/>
      <c r="FQ35" s="693"/>
      <c r="FR35" s="694">
        <v>1</v>
      </c>
      <c r="FS35" s="694">
        <v>9</v>
      </c>
      <c r="FT35" s="694">
        <v>2</v>
      </c>
      <c r="FU35" s="693"/>
      <c r="FV35" s="693"/>
      <c r="FW35" s="693"/>
      <c r="FX35" s="694">
        <v>1</v>
      </c>
      <c r="FY35" s="694">
        <v>1</v>
      </c>
      <c r="FZ35" s="694">
        <v>1</v>
      </c>
      <c r="GA35" s="693"/>
      <c r="GB35" s="695"/>
      <c r="GC35" s="695"/>
      <c r="GD35" s="696">
        <v>17</v>
      </c>
      <c r="GE35" s="635">
        <f>+GD34/GD35</f>
        <v>0.17647058823529413</v>
      </c>
      <c r="GF35" s="41"/>
      <c r="GG35" s="688"/>
      <c r="GH35" s="688"/>
      <c r="GI35" s="688"/>
      <c r="GJ35" s="704" t="s">
        <v>15</v>
      </c>
      <c r="GK35" s="705"/>
      <c r="GL35" s="705"/>
      <c r="GM35" s="705"/>
      <c r="GN35" s="705"/>
      <c r="GO35" s="705"/>
      <c r="GP35" s="705"/>
      <c r="GQ35" s="705"/>
      <c r="GR35" s="463">
        <v>1</v>
      </c>
      <c r="GS35" s="705"/>
      <c r="GT35" s="463">
        <v>2</v>
      </c>
      <c r="GU35" s="463">
        <v>1</v>
      </c>
      <c r="GV35" s="463">
        <v>2</v>
      </c>
      <c r="GW35" s="463">
        <v>1</v>
      </c>
      <c r="GX35" s="463">
        <v>7</v>
      </c>
      <c r="GY35" s="628">
        <f>+GX33/GX35</f>
        <v>0.2857142857142857</v>
      </c>
      <c r="GZ35" s="41"/>
      <c r="HA35" s="41"/>
      <c r="HB35" s="105"/>
      <c r="HC35" s="105"/>
      <c r="HD35" s="41" t="s">
        <v>121</v>
      </c>
      <c r="HE35" s="41" t="s">
        <v>1230</v>
      </c>
      <c r="HF35" s="105"/>
      <c r="HG35" s="105"/>
      <c r="HH35" s="105">
        <v>0</v>
      </c>
      <c r="HI35" s="105"/>
      <c r="HJ35" s="105"/>
      <c r="HK35" s="105"/>
      <c r="HL35" s="105"/>
      <c r="HM35" s="105"/>
      <c r="HN35" s="105"/>
      <c r="HO35" s="105"/>
      <c r="HP35" s="105"/>
      <c r="HQ35" s="105"/>
      <c r="HR35" s="105">
        <v>1</v>
      </c>
      <c r="HS35" s="105">
        <v>1</v>
      </c>
      <c r="HT35" s="105">
        <v>0</v>
      </c>
      <c r="HU35" s="105"/>
      <c r="HV35" s="105">
        <v>2</v>
      </c>
      <c r="HW35" s="41"/>
      <c r="HX35" s="41"/>
      <c r="HY35" s="691"/>
      <c r="HZ35" s="691"/>
      <c r="IA35" s="691"/>
      <c r="IB35" s="702" t="s">
        <v>15</v>
      </c>
      <c r="IC35" s="702">
        <v>0</v>
      </c>
      <c r="ID35" s="702">
        <v>0</v>
      </c>
      <c r="IE35" s="702">
        <v>0</v>
      </c>
      <c r="IF35" s="702">
        <v>0</v>
      </c>
      <c r="IG35" s="702">
        <v>0</v>
      </c>
      <c r="IH35" s="702">
        <v>0</v>
      </c>
      <c r="II35" s="702">
        <v>0</v>
      </c>
      <c r="IJ35" s="702">
        <v>0</v>
      </c>
      <c r="IK35" s="702">
        <v>0</v>
      </c>
      <c r="IL35" s="702">
        <v>0</v>
      </c>
      <c r="IM35" s="702">
        <v>1</v>
      </c>
      <c r="IN35" s="702">
        <v>1</v>
      </c>
      <c r="IO35" s="702">
        <v>1</v>
      </c>
      <c r="IP35" s="702">
        <v>4</v>
      </c>
      <c r="IQ35" s="702">
        <v>0</v>
      </c>
      <c r="IR35" s="702">
        <v>3</v>
      </c>
      <c r="IS35" s="702">
        <v>10</v>
      </c>
      <c r="IT35" s="703">
        <f>+IS33/IS35</f>
        <v>0.3</v>
      </c>
      <c r="IU35" s="692">
        <f>+IS33</f>
        <v>3</v>
      </c>
    </row>
    <row r="36" spans="2:255">
      <c r="C36" s="32"/>
      <c r="D36" s="4800" t="s">
        <v>15</v>
      </c>
      <c r="E36" s="4607">
        <v>1</v>
      </c>
      <c r="F36" s="4607"/>
      <c r="G36" s="4607"/>
      <c r="H36" s="4607"/>
      <c r="I36" s="4607"/>
      <c r="J36" s="4607"/>
      <c r="K36" s="4607"/>
      <c r="L36" s="4607"/>
      <c r="M36" s="4607"/>
      <c r="N36" s="4607"/>
      <c r="O36" s="4607">
        <v>1</v>
      </c>
      <c r="P36" s="4607">
        <v>4</v>
      </c>
      <c r="Q36" s="4607"/>
      <c r="R36" s="4607"/>
      <c r="S36" s="4583"/>
      <c r="T36" s="4583"/>
      <c r="U36" s="4583">
        <v>6</v>
      </c>
      <c r="V36" s="1977">
        <f>+(U34+U35)/(U36)</f>
        <v>0.33333333333333331</v>
      </c>
      <c r="AA36" s="586" t="s">
        <v>15</v>
      </c>
      <c r="AB36" s="4804"/>
      <c r="AC36" s="4804"/>
      <c r="AD36" s="4804"/>
      <c r="AE36" s="4804"/>
      <c r="AF36" s="4804"/>
      <c r="AG36" s="4804"/>
      <c r="AH36" s="4804"/>
      <c r="AI36" s="4804"/>
      <c r="AJ36" s="4804">
        <v>1</v>
      </c>
      <c r="AK36" s="4804"/>
      <c r="AL36" s="4804"/>
      <c r="AM36" s="4804"/>
      <c r="AN36" s="4804"/>
      <c r="AO36" s="4804"/>
      <c r="AP36" s="4702">
        <v>1</v>
      </c>
      <c r="AQ36" s="4702">
        <v>2</v>
      </c>
      <c r="AT36" s="41"/>
      <c r="AU36" s="41"/>
      <c r="AV36" s="41"/>
      <c r="AW36" s="41" t="s">
        <v>1239</v>
      </c>
      <c r="AX36" s="690"/>
      <c r="AY36" s="690"/>
      <c r="AZ36" s="690"/>
      <c r="BA36" s="690"/>
      <c r="BB36" s="690">
        <v>0</v>
      </c>
      <c r="BC36" s="690"/>
      <c r="BD36" s="690">
        <v>0</v>
      </c>
      <c r="BE36" s="690"/>
      <c r="BF36" s="690"/>
      <c r="BG36" s="690">
        <v>0</v>
      </c>
      <c r="BH36" s="690">
        <v>1</v>
      </c>
      <c r="BI36" s="690"/>
      <c r="BJ36" s="690"/>
      <c r="BK36" s="690"/>
      <c r="BL36" s="690">
        <v>1</v>
      </c>
      <c r="BM36" s="41"/>
      <c r="BN36" s="41"/>
      <c r="BO36" s="41">
        <v>2</v>
      </c>
      <c r="BP36" s="41"/>
      <c r="BR36" s="41"/>
      <c r="BS36" s="41"/>
      <c r="BT36" s="41"/>
      <c r="BU36" s="461" t="s">
        <v>545</v>
      </c>
      <c r="BV36" s="2002"/>
      <c r="BW36" s="2002"/>
      <c r="BX36" s="2002">
        <v>1</v>
      </c>
      <c r="BY36" s="2002"/>
      <c r="BZ36" s="2002"/>
      <c r="CA36" s="2002"/>
      <c r="CB36" s="2002"/>
      <c r="CC36" s="2002"/>
      <c r="CD36" s="2002"/>
      <c r="CE36" s="2002">
        <v>1</v>
      </c>
      <c r="CF36" s="2002"/>
      <c r="CG36" s="2002">
        <v>1</v>
      </c>
      <c r="CH36" s="2002">
        <v>2</v>
      </c>
      <c r="CI36" s="2002">
        <v>1</v>
      </c>
      <c r="CJ36" s="2002">
        <v>3</v>
      </c>
      <c r="CK36" s="96"/>
      <c r="CL36" s="96"/>
      <c r="CM36" s="96">
        <v>9</v>
      </c>
      <c r="CN36" s="635">
        <f>+(CM32+CM35)/CM36</f>
        <v>0.22222222222222221</v>
      </c>
      <c r="CR36" s="41"/>
      <c r="CS36" s="41" t="s">
        <v>1239</v>
      </c>
      <c r="CT36" s="1665"/>
      <c r="CU36" s="1665"/>
      <c r="CV36" s="1665">
        <v>0</v>
      </c>
      <c r="CW36" s="1665"/>
      <c r="CX36" s="1665">
        <v>0</v>
      </c>
      <c r="CY36" s="1665"/>
      <c r="CZ36" s="1665">
        <v>0</v>
      </c>
      <c r="DA36" s="1665">
        <v>1</v>
      </c>
      <c r="DB36" s="1665">
        <v>0</v>
      </c>
      <c r="DC36" s="1665">
        <v>0</v>
      </c>
      <c r="DD36" s="1665">
        <v>1</v>
      </c>
      <c r="DE36" s="1665">
        <v>0</v>
      </c>
      <c r="DF36" s="1665">
        <v>0</v>
      </c>
      <c r="DG36" s="1665">
        <v>1</v>
      </c>
      <c r="DH36" s="1665">
        <v>1</v>
      </c>
      <c r="DI36" s="41"/>
      <c r="DJ36" s="41"/>
      <c r="DK36" s="41">
        <v>4</v>
      </c>
      <c r="DL36" s="41"/>
      <c r="DN36" s="1375"/>
      <c r="DO36" s="1375"/>
      <c r="DP36" s="1375"/>
      <c r="DQ36" s="1376" t="s">
        <v>1233</v>
      </c>
      <c r="DR36" s="1377"/>
      <c r="DS36" s="1378">
        <v>0</v>
      </c>
      <c r="DT36" s="1378">
        <v>1</v>
      </c>
      <c r="DU36" s="1377"/>
      <c r="DV36" s="1378">
        <v>0</v>
      </c>
      <c r="DW36" s="1377"/>
      <c r="DX36" s="1377"/>
      <c r="DY36" s="1377"/>
      <c r="DZ36" s="1377"/>
      <c r="EA36" s="1377"/>
      <c r="EB36" s="1377"/>
      <c r="EC36" s="1377"/>
      <c r="ED36" s="1378">
        <v>0</v>
      </c>
      <c r="EE36" s="1380">
        <v>0</v>
      </c>
      <c r="EF36" s="1380">
        <v>0</v>
      </c>
      <c r="EG36" s="1380">
        <v>1</v>
      </c>
      <c r="EH36" s="41"/>
      <c r="EJ36" s="678"/>
      <c r="EK36" s="678"/>
      <c r="EL36" s="678"/>
      <c r="EM36" s="697" t="s">
        <v>844</v>
      </c>
      <c r="EN36" s="699">
        <v>1</v>
      </c>
      <c r="EO36" s="698"/>
      <c r="EP36" s="699">
        <v>1</v>
      </c>
      <c r="EQ36" s="699">
        <v>3</v>
      </c>
      <c r="ER36" s="699">
        <v>1</v>
      </c>
      <c r="ES36" s="698"/>
      <c r="ET36" s="699">
        <v>11</v>
      </c>
      <c r="EU36" s="699">
        <v>5</v>
      </c>
      <c r="EV36" s="699">
        <v>3</v>
      </c>
      <c r="EW36" s="699">
        <v>1</v>
      </c>
      <c r="EX36" s="699">
        <v>2</v>
      </c>
      <c r="EY36" s="699">
        <v>1</v>
      </c>
      <c r="EZ36" s="699">
        <v>4</v>
      </c>
      <c r="FA36" s="698"/>
      <c r="FB36" s="698"/>
      <c r="FC36" s="700"/>
      <c r="FD36" s="700"/>
      <c r="FE36" s="701">
        <v>33</v>
      </c>
      <c r="FF36" s="635">
        <f>+FE35/FE36</f>
        <v>9.0909090909090912E-2</v>
      </c>
      <c r="FH36" s="511"/>
      <c r="FI36" s="511"/>
      <c r="FJ36" s="532" t="s">
        <v>106</v>
      </c>
      <c r="FK36" s="511" t="s">
        <v>1229</v>
      </c>
      <c r="FL36" s="512" t="s">
        <v>1231</v>
      </c>
      <c r="FM36" s="685">
        <v>3</v>
      </c>
      <c r="FN36" s="684"/>
      <c r="FO36" s="684"/>
      <c r="FP36" s="685">
        <v>1</v>
      </c>
      <c r="FQ36" s="684"/>
      <c r="FR36" s="685">
        <v>0</v>
      </c>
      <c r="FS36" s="685">
        <v>3</v>
      </c>
      <c r="FT36" s="685">
        <v>0</v>
      </c>
      <c r="FU36" s="685">
        <v>0</v>
      </c>
      <c r="FV36" s="684"/>
      <c r="FW36" s="685">
        <v>0</v>
      </c>
      <c r="FX36" s="685">
        <v>0</v>
      </c>
      <c r="FY36" s="685">
        <v>1</v>
      </c>
      <c r="FZ36" s="685">
        <v>0</v>
      </c>
      <c r="GA36" s="685">
        <v>0</v>
      </c>
      <c r="GB36" s="686"/>
      <c r="GC36" s="686"/>
      <c r="GD36" s="687">
        <v>8</v>
      </c>
      <c r="GE36" s="635"/>
      <c r="GF36" s="41"/>
      <c r="GG36" s="688"/>
      <c r="GH36" s="688"/>
      <c r="GI36" s="688" t="s">
        <v>122</v>
      </c>
      <c r="GJ36" s="457" t="s">
        <v>1231</v>
      </c>
      <c r="GK36" s="689"/>
      <c r="GL36" s="689"/>
      <c r="GM36" s="689"/>
      <c r="GN36" s="689"/>
      <c r="GO36" s="689"/>
      <c r="GP36" s="689"/>
      <c r="GQ36" s="458">
        <v>1</v>
      </c>
      <c r="GR36" s="458">
        <v>1</v>
      </c>
      <c r="GS36" s="689"/>
      <c r="GT36" s="458">
        <v>0</v>
      </c>
      <c r="GU36" s="458">
        <v>0</v>
      </c>
      <c r="GV36" s="458">
        <v>1</v>
      </c>
      <c r="GW36" s="458">
        <v>0</v>
      </c>
      <c r="GX36" s="458">
        <v>3</v>
      </c>
      <c r="GY36" s="690"/>
      <c r="GZ36" s="41"/>
      <c r="HA36" s="41"/>
      <c r="HB36" s="105"/>
      <c r="HC36" s="105"/>
      <c r="HD36" s="41"/>
      <c r="HE36" s="41" t="s">
        <v>1231</v>
      </c>
      <c r="HF36" s="105"/>
      <c r="HG36" s="105"/>
      <c r="HH36" s="105">
        <v>1</v>
      </c>
      <c r="HI36" s="105"/>
      <c r="HJ36" s="105"/>
      <c r="HK36" s="105"/>
      <c r="HL36" s="105"/>
      <c r="HM36" s="105"/>
      <c r="HN36" s="105"/>
      <c r="HO36" s="105"/>
      <c r="HP36" s="105"/>
      <c r="HQ36" s="105"/>
      <c r="HR36" s="105">
        <v>0</v>
      </c>
      <c r="HS36" s="105">
        <v>0</v>
      </c>
      <c r="HT36" s="105">
        <v>0</v>
      </c>
      <c r="HU36" s="105"/>
      <c r="HV36" s="105">
        <v>1</v>
      </c>
      <c r="HW36" s="41"/>
      <c r="HX36" s="41"/>
      <c r="HY36" s="691"/>
      <c r="HZ36" s="691"/>
      <c r="IA36" s="691" t="s">
        <v>124</v>
      </c>
      <c r="IB36" s="691" t="s">
        <v>1231</v>
      </c>
      <c r="IC36" s="691">
        <v>0</v>
      </c>
      <c r="ID36" s="691">
        <v>0</v>
      </c>
      <c r="IE36" s="691">
        <v>0</v>
      </c>
      <c r="IF36" s="691">
        <v>1</v>
      </c>
      <c r="IG36" s="691">
        <v>0</v>
      </c>
      <c r="IH36" s="691">
        <v>0</v>
      </c>
      <c r="II36" s="691">
        <v>0</v>
      </c>
      <c r="IJ36" s="691">
        <v>1</v>
      </c>
      <c r="IK36" s="691">
        <v>0</v>
      </c>
      <c r="IL36" s="691">
        <v>0</v>
      </c>
      <c r="IM36" s="691">
        <v>1</v>
      </c>
      <c r="IN36" s="691">
        <v>0</v>
      </c>
      <c r="IO36" s="691">
        <v>0</v>
      </c>
      <c r="IP36" s="691">
        <v>0</v>
      </c>
      <c r="IQ36" s="691">
        <v>0</v>
      </c>
      <c r="IR36" s="691">
        <v>0</v>
      </c>
      <c r="IS36" s="691">
        <v>3</v>
      </c>
      <c r="IT36" s="691"/>
      <c r="IU36" s="692"/>
    </row>
    <row r="37" spans="2:255">
      <c r="B37" s="4800" t="s">
        <v>21</v>
      </c>
      <c r="C37" s="4800" t="s">
        <v>1639</v>
      </c>
      <c r="D37" s="4800" t="s">
        <v>1236</v>
      </c>
      <c r="E37" s="4606"/>
      <c r="F37" s="4606"/>
      <c r="G37" s="4606"/>
      <c r="H37" s="4606"/>
      <c r="I37" s="4606"/>
      <c r="J37" s="4606"/>
      <c r="K37" s="4606"/>
      <c r="L37" s="4606"/>
      <c r="M37" s="4606">
        <v>0</v>
      </c>
      <c r="N37" s="4606"/>
      <c r="O37" s="4606"/>
      <c r="P37" s="4606"/>
      <c r="Q37" s="4606"/>
      <c r="R37" s="4606"/>
      <c r="S37" s="2552">
        <v>1</v>
      </c>
      <c r="T37" s="2552"/>
      <c r="U37" s="2552">
        <v>1</v>
      </c>
      <c r="V37" s="2552"/>
      <c r="Z37" s="37" t="s">
        <v>1640</v>
      </c>
      <c r="AA37" s="37" t="s">
        <v>1231</v>
      </c>
      <c r="AB37" s="4803"/>
      <c r="AC37" s="4803"/>
      <c r="AD37" s="4803"/>
      <c r="AE37" s="4803"/>
      <c r="AF37" s="4803"/>
      <c r="AG37" s="4803"/>
      <c r="AH37" s="4803"/>
      <c r="AI37" s="4803"/>
      <c r="AJ37" s="4803"/>
      <c r="AK37" s="4803">
        <v>0</v>
      </c>
      <c r="AL37" s="4803">
        <v>1</v>
      </c>
      <c r="AM37" s="4803">
        <v>0</v>
      </c>
      <c r="AN37" s="4803"/>
      <c r="AO37" s="4803">
        <v>0</v>
      </c>
      <c r="AP37" s="1788"/>
      <c r="AQ37" s="1788">
        <v>1</v>
      </c>
      <c r="AT37" s="41"/>
      <c r="AU37" s="41"/>
      <c r="AV37" s="41"/>
      <c r="AW37" s="461" t="s">
        <v>15</v>
      </c>
      <c r="AX37" s="2489"/>
      <c r="AY37" s="2489"/>
      <c r="AZ37" s="2489"/>
      <c r="BA37" s="2489"/>
      <c r="BB37" s="2489">
        <v>1</v>
      </c>
      <c r="BC37" s="2489"/>
      <c r="BD37" s="2489">
        <v>1</v>
      </c>
      <c r="BE37" s="2489"/>
      <c r="BF37" s="2489"/>
      <c r="BG37" s="2489">
        <v>2</v>
      </c>
      <c r="BH37" s="2489">
        <v>3</v>
      </c>
      <c r="BI37" s="2489"/>
      <c r="BJ37" s="2489"/>
      <c r="BK37" s="2489"/>
      <c r="BL37" s="2489">
        <v>1</v>
      </c>
      <c r="BM37" s="461"/>
      <c r="BN37" s="461"/>
      <c r="BO37" s="461">
        <v>8</v>
      </c>
      <c r="BP37" s="635">
        <v>0</v>
      </c>
      <c r="BQ37" s="1977"/>
      <c r="BR37" s="41"/>
      <c r="BS37" s="41"/>
      <c r="BT37" s="41" t="s">
        <v>106</v>
      </c>
      <c r="BU37" s="41" t="s">
        <v>1231</v>
      </c>
      <c r="BV37" s="2001"/>
      <c r="BW37" s="2001"/>
      <c r="BX37" s="2001">
        <v>1</v>
      </c>
      <c r="BY37" s="2001"/>
      <c r="BZ37" s="2001"/>
      <c r="CA37" s="2001"/>
      <c r="CB37" s="2001"/>
      <c r="CC37" s="2001">
        <v>0</v>
      </c>
      <c r="CD37" s="2001">
        <v>0</v>
      </c>
      <c r="CE37" s="2001">
        <v>1</v>
      </c>
      <c r="CF37" s="2001">
        <v>0</v>
      </c>
      <c r="CG37" s="2001">
        <v>1</v>
      </c>
      <c r="CH37" s="2001">
        <v>1</v>
      </c>
      <c r="CI37" s="2001">
        <v>1</v>
      </c>
      <c r="CJ37" s="2001">
        <v>0</v>
      </c>
      <c r="CK37" s="105"/>
      <c r="CL37" s="105"/>
      <c r="CM37" s="105">
        <v>5</v>
      </c>
      <c r="CN37" s="41"/>
      <c r="CR37" s="41"/>
      <c r="CS37" s="41" t="s">
        <v>1344</v>
      </c>
      <c r="CT37" s="1665"/>
      <c r="CU37" s="1665"/>
      <c r="CV37" s="1665">
        <v>0</v>
      </c>
      <c r="CW37" s="1665"/>
      <c r="CX37" s="1665">
        <v>0</v>
      </c>
      <c r="CY37" s="1665"/>
      <c r="CZ37" s="1665">
        <v>1</v>
      </c>
      <c r="DA37" s="1665">
        <v>0</v>
      </c>
      <c r="DB37" s="1665">
        <v>0</v>
      </c>
      <c r="DC37" s="1665">
        <v>4</v>
      </c>
      <c r="DD37" s="1665">
        <v>0</v>
      </c>
      <c r="DE37" s="1665">
        <v>1</v>
      </c>
      <c r="DF37" s="1665">
        <v>1</v>
      </c>
      <c r="DG37" s="1665">
        <v>0</v>
      </c>
      <c r="DH37" s="1665">
        <v>0</v>
      </c>
      <c r="DI37" s="41"/>
      <c r="DJ37" s="41"/>
      <c r="DK37" s="41">
        <v>7</v>
      </c>
      <c r="DL37" s="41"/>
      <c r="DN37" s="1375"/>
      <c r="DO37" s="1375"/>
      <c r="DP37" s="1375"/>
      <c r="DQ37" s="1376" t="s">
        <v>1239</v>
      </c>
      <c r="DR37" s="1377"/>
      <c r="DS37" s="1378">
        <v>0</v>
      </c>
      <c r="DT37" s="1378">
        <v>0</v>
      </c>
      <c r="DU37" s="1377"/>
      <c r="DV37" s="1378">
        <v>0</v>
      </c>
      <c r="DW37" s="1377"/>
      <c r="DX37" s="1377"/>
      <c r="DY37" s="1377"/>
      <c r="DZ37" s="1377"/>
      <c r="EA37" s="1377"/>
      <c r="EB37" s="1377"/>
      <c r="EC37" s="1377"/>
      <c r="ED37" s="1378">
        <v>4</v>
      </c>
      <c r="EE37" s="1380">
        <v>2</v>
      </c>
      <c r="EF37" s="1380">
        <v>2</v>
      </c>
      <c r="EG37" s="1380">
        <v>8</v>
      </c>
      <c r="EH37" s="41"/>
      <c r="EJ37" s="678"/>
      <c r="EK37" s="678"/>
      <c r="EL37" s="678" t="s">
        <v>106</v>
      </c>
      <c r="EM37" s="679" t="s">
        <v>1231</v>
      </c>
      <c r="EN37" s="681">
        <v>1</v>
      </c>
      <c r="EO37" s="681">
        <v>1</v>
      </c>
      <c r="EP37" s="681">
        <v>0</v>
      </c>
      <c r="EQ37" s="681">
        <v>0</v>
      </c>
      <c r="ER37" s="681">
        <v>0</v>
      </c>
      <c r="ES37" s="681">
        <v>0</v>
      </c>
      <c r="ET37" s="681">
        <v>0</v>
      </c>
      <c r="EU37" s="681">
        <v>1</v>
      </c>
      <c r="EV37" s="681">
        <v>0</v>
      </c>
      <c r="EW37" s="681">
        <v>2</v>
      </c>
      <c r="EX37" s="681">
        <v>2</v>
      </c>
      <c r="EY37" s="681">
        <v>0</v>
      </c>
      <c r="EZ37" s="681">
        <v>1</v>
      </c>
      <c r="FA37" s="681">
        <v>1</v>
      </c>
      <c r="FB37" s="680"/>
      <c r="FC37" s="682"/>
      <c r="FD37" s="682"/>
      <c r="FE37" s="683">
        <v>9</v>
      </c>
      <c r="FF37" s="105"/>
      <c r="FH37" s="511"/>
      <c r="FI37" s="511"/>
      <c r="FJ37" s="511"/>
      <c r="FK37" s="511"/>
      <c r="FL37" s="512" t="s">
        <v>1235</v>
      </c>
      <c r="FM37" s="685">
        <v>0</v>
      </c>
      <c r="FN37" s="684"/>
      <c r="FO37" s="684"/>
      <c r="FP37" s="685">
        <v>0</v>
      </c>
      <c r="FQ37" s="684"/>
      <c r="FR37" s="685">
        <v>0</v>
      </c>
      <c r="FS37" s="685">
        <v>0</v>
      </c>
      <c r="FT37" s="685">
        <v>0</v>
      </c>
      <c r="FU37" s="685">
        <v>0</v>
      </c>
      <c r="FV37" s="684"/>
      <c r="FW37" s="685">
        <v>0</v>
      </c>
      <c r="FX37" s="685">
        <v>0</v>
      </c>
      <c r="FY37" s="685">
        <v>0</v>
      </c>
      <c r="FZ37" s="685">
        <v>1</v>
      </c>
      <c r="GA37" s="685">
        <v>0</v>
      </c>
      <c r="GB37" s="686"/>
      <c r="GC37" s="686"/>
      <c r="GD37" s="687">
        <v>1</v>
      </c>
      <c r="GE37" s="635"/>
      <c r="GF37" s="41"/>
      <c r="GG37" s="688"/>
      <c r="GH37" s="688"/>
      <c r="GI37" s="688"/>
      <c r="GJ37" s="457" t="s">
        <v>1239</v>
      </c>
      <c r="GK37" s="689"/>
      <c r="GL37" s="689"/>
      <c r="GM37" s="689"/>
      <c r="GN37" s="689"/>
      <c r="GO37" s="689"/>
      <c r="GP37" s="689"/>
      <c r="GQ37" s="458">
        <v>0</v>
      </c>
      <c r="GR37" s="458">
        <v>0</v>
      </c>
      <c r="GS37" s="689"/>
      <c r="GT37" s="458">
        <v>1</v>
      </c>
      <c r="GU37" s="458">
        <v>4</v>
      </c>
      <c r="GV37" s="458">
        <v>0</v>
      </c>
      <c r="GW37" s="458">
        <v>3</v>
      </c>
      <c r="GX37" s="458">
        <v>8</v>
      </c>
      <c r="GY37" s="690"/>
      <c r="GZ37" s="41"/>
      <c r="HA37" s="41"/>
      <c r="HB37" s="105"/>
      <c r="HC37" s="105"/>
      <c r="HD37" s="41"/>
      <c r="HE37" s="41" t="s">
        <v>1239</v>
      </c>
      <c r="HF37" s="105"/>
      <c r="HG37" s="105"/>
      <c r="HH37" s="105">
        <v>0</v>
      </c>
      <c r="HI37" s="105"/>
      <c r="HJ37" s="105"/>
      <c r="HK37" s="105"/>
      <c r="HL37" s="105"/>
      <c r="HM37" s="105"/>
      <c r="HN37" s="105"/>
      <c r="HO37" s="105"/>
      <c r="HP37" s="105"/>
      <c r="HQ37" s="105"/>
      <c r="HR37" s="105">
        <v>0</v>
      </c>
      <c r="HS37" s="105">
        <v>1</v>
      </c>
      <c r="HT37" s="105">
        <v>4</v>
      </c>
      <c r="HU37" s="105"/>
      <c r="HV37" s="105">
        <v>5</v>
      </c>
      <c r="HW37" s="41"/>
      <c r="HX37" s="41"/>
      <c r="HY37" s="691"/>
      <c r="HZ37" s="691"/>
      <c r="IA37" s="691"/>
      <c r="IB37" s="691" t="s">
        <v>1239</v>
      </c>
      <c r="IC37" s="691">
        <v>0</v>
      </c>
      <c r="ID37" s="691">
        <v>0</v>
      </c>
      <c r="IE37" s="691">
        <v>0</v>
      </c>
      <c r="IF37" s="691">
        <v>0</v>
      </c>
      <c r="IG37" s="691">
        <v>0</v>
      </c>
      <c r="IH37" s="691">
        <v>0</v>
      </c>
      <c r="II37" s="691">
        <v>0</v>
      </c>
      <c r="IJ37" s="691">
        <v>0</v>
      </c>
      <c r="IK37" s="691">
        <v>0</v>
      </c>
      <c r="IL37" s="691">
        <v>0</v>
      </c>
      <c r="IM37" s="691">
        <v>0</v>
      </c>
      <c r="IN37" s="691">
        <v>0</v>
      </c>
      <c r="IO37" s="691">
        <v>0</v>
      </c>
      <c r="IP37" s="691">
        <v>1</v>
      </c>
      <c r="IQ37" s="691">
        <v>0</v>
      </c>
      <c r="IR37" s="691">
        <v>0</v>
      </c>
      <c r="IS37" s="691">
        <v>1</v>
      </c>
      <c r="IT37" s="691"/>
      <c r="IU37" s="692"/>
    </row>
    <row r="38" spans="2:255">
      <c r="D38" s="4800" t="s">
        <v>1344</v>
      </c>
      <c r="E38" s="4606"/>
      <c r="F38" s="4606"/>
      <c r="G38" s="4606"/>
      <c r="H38" s="4606"/>
      <c r="I38" s="4606"/>
      <c r="J38" s="4606"/>
      <c r="K38" s="4606"/>
      <c r="L38" s="4606"/>
      <c r="M38" s="4606">
        <v>1</v>
      </c>
      <c r="N38" s="4606"/>
      <c r="O38" s="4606"/>
      <c r="P38" s="4606"/>
      <c r="Q38" s="4606"/>
      <c r="R38" s="4606"/>
      <c r="S38" s="2552">
        <v>0</v>
      </c>
      <c r="T38" s="2552"/>
      <c r="U38" s="2552">
        <v>1</v>
      </c>
      <c r="V38" s="2552"/>
      <c r="AA38" s="37" t="s">
        <v>1236</v>
      </c>
      <c r="AB38" s="4803"/>
      <c r="AC38" s="4803"/>
      <c r="AD38" s="4803"/>
      <c r="AE38" s="4803"/>
      <c r="AF38" s="4803"/>
      <c r="AG38" s="4803"/>
      <c r="AH38" s="4803"/>
      <c r="AI38" s="4803"/>
      <c r="AJ38" s="4803"/>
      <c r="AK38" s="4803">
        <v>0</v>
      </c>
      <c r="AL38" s="4803">
        <v>0</v>
      </c>
      <c r="AM38" s="4803">
        <v>0</v>
      </c>
      <c r="AN38" s="4803"/>
      <c r="AO38" s="4803">
        <v>1</v>
      </c>
      <c r="AP38" s="1788"/>
      <c r="AQ38" s="1788">
        <v>1</v>
      </c>
      <c r="AR38" s="4703"/>
      <c r="AT38" s="41"/>
      <c r="AU38" s="41"/>
      <c r="AV38" s="41" t="s">
        <v>1640</v>
      </c>
      <c r="AW38" s="41" t="s">
        <v>1231</v>
      </c>
      <c r="AX38" s="690"/>
      <c r="AY38" s="690"/>
      <c r="AZ38" s="690"/>
      <c r="BA38" s="690"/>
      <c r="BB38" s="690"/>
      <c r="BC38" s="690"/>
      <c r="BD38" s="690"/>
      <c r="BE38" s="690">
        <v>1</v>
      </c>
      <c r="BF38" s="690">
        <v>1</v>
      </c>
      <c r="BG38" s="690">
        <v>2</v>
      </c>
      <c r="BH38" s="690"/>
      <c r="BI38" s="690">
        <v>1</v>
      </c>
      <c r="BJ38" s="690">
        <v>0</v>
      </c>
      <c r="BK38" s="690">
        <v>2</v>
      </c>
      <c r="BL38" s="690">
        <v>0</v>
      </c>
      <c r="BM38" s="41"/>
      <c r="BN38" s="41"/>
      <c r="BO38" s="41">
        <v>7</v>
      </c>
      <c r="BP38" s="41"/>
      <c r="BR38" s="41"/>
      <c r="BS38" s="41"/>
      <c r="BT38" s="41"/>
      <c r="BU38" s="41" t="s">
        <v>1235</v>
      </c>
      <c r="BV38" s="2001"/>
      <c r="BW38" s="2001"/>
      <c r="BX38" s="2001">
        <v>0</v>
      </c>
      <c r="BY38" s="2001"/>
      <c r="BZ38" s="2001"/>
      <c r="CA38" s="2001"/>
      <c r="CB38" s="2001"/>
      <c r="CC38" s="2001">
        <v>0</v>
      </c>
      <c r="CD38" s="2001">
        <v>0</v>
      </c>
      <c r="CE38" s="2001">
        <v>1</v>
      </c>
      <c r="CF38" s="2001">
        <v>0</v>
      </c>
      <c r="CG38" s="2001">
        <v>1</v>
      </c>
      <c r="CH38" s="2001">
        <v>1</v>
      </c>
      <c r="CI38" s="2001">
        <v>1</v>
      </c>
      <c r="CJ38" s="2001">
        <v>0</v>
      </c>
      <c r="CK38" s="105"/>
      <c r="CL38" s="105"/>
      <c r="CM38" s="105">
        <v>4</v>
      </c>
      <c r="CN38" s="41"/>
      <c r="CR38" s="41"/>
      <c r="CS38" s="461" t="s">
        <v>844</v>
      </c>
      <c r="CT38" s="1666"/>
      <c r="CU38" s="1666"/>
      <c r="CV38" s="1666">
        <v>1</v>
      </c>
      <c r="CW38" s="1666"/>
      <c r="CX38" s="1666">
        <v>1</v>
      </c>
      <c r="CY38" s="1666"/>
      <c r="CZ38" s="1666">
        <v>3</v>
      </c>
      <c r="DA38" s="1666">
        <v>1</v>
      </c>
      <c r="DB38" s="1666">
        <v>2</v>
      </c>
      <c r="DC38" s="1666">
        <v>5</v>
      </c>
      <c r="DD38" s="1666">
        <v>3</v>
      </c>
      <c r="DE38" s="1666">
        <v>1</v>
      </c>
      <c r="DF38" s="1666">
        <v>4</v>
      </c>
      <c r="DG38" s="1666">
        <v>2</v>
      </c>
      <c r="DH38" s="1666">
        <v>1</v>
      </c>
      <c r="DI38" s="461"/>
      <c r="DJ38" s="461"/>
      <c r="DK38" s="461">
        <v>24</v>
      </c>
      <c r="DL38" s="635">
        <f>+DK37/DK38</f>
        <v>0.29166666666666669</v>
      </c>
      <c r="DN38" s="1375"/>
      <c r="DO38" s="1375"/>
      <c r="DP38" s="1375"/>
      <c r="DQ38" s="1372" t="s">
        <v>15</v>
      </c>
      <c r="DR38" s="1381"/>
      <c r="DS38" s="1382">
        <v>1</v>
      </c>
      <c r="DT38" s="1382">
        <v>1</v>
      </c>
      <c r="DU38" s="1381"/>
      <c r="DV38" s="1382">
        <v>1</v>
      </c>
      <c r="DW38" s="1381"/>
      <c r="DX38" s="1381"/>
      <c r="DY38" s="1381"/>
      <c r="DZ38" s="1381"/>
      <c r="EA38" s="1381"/>
      <c r="EB38" s="1381"/>
      <c r="EC38" s="1381"/>
      <c r="ED38" s="1382">
        <v>4</v>
      </c>
      <c r="EE38" s="1384">
        <v>2</v>
      </c>
      <c r="EF38" s="1384">
        <v>2</v>
      </c>
      <c r="EG38" s="1384">
        <v>11</v>
      </c>
      <c r="EH38" s="1325">
        <v>0</v>
      </c>
      <c r="EJ38" s="678"/>
      <c r="EK38" s="678"/>
      <c r="EL38" s="678"/>
      <c r="EM38" s="679" t="s">
        <v>1233</v>
      </c>
      <c r="EN38" s="681">
        <v>0</v>
      </c>
      <c r="EO38" s="681">
        <v>0</v>
      </c>
      <c r="EP38" s="681">
        <v>1</v>
      </c>
      <c r="EQ38" s="681">
        <v>0</v>
      </c>
      <c r="ER38" s="681">
        <v>1</v>
      </c>
      <c r="ES38" s="681">
        <v>0</v>
      </c>
      <c r="ET38" s="681">
        <v>0</v>
      </c>
      <c r="EU38" s="681">
        <v>0</v>
      </c>
      <c r="EV38" s="681">
        <v>0</v>
      </c>
      <c r="EW38" s="681">
        <v>1</v>
      </c>
      <c r="EX38" s="681">
        <v>0</v>
      </c>
      <c r="EY38" s="681">
        <v>0</v>
      </c>
      <c r="EZ38" s="681">
        <v>0</v>
      </c>
      <c r="FA38" s="681">
        <v>0</v>
      </c>
      <c r="FB38" s="680"/>
      <c r="FC38" s="682"/>
      <c r="FD38" s="682"/>
      <c r="FE38" s="683">
        <v>3</v>
      </c>
      <c r="FF38" s="105"/>
      <c r="FH38" s="511"/>
      <c r="FI38" s="511"/>
      <c r="FJ38" s="511"/>
      <c r="FK38" s="511"/>
      <c r="FL38" s="512" t="s">
        <v>1236</v>
      </c>
      <c r="FM38" s="685">
        <v>0</v>
      </c>
      <c r="FN38" s="684"/>
      <c r="FO38" s="684"/>
      <c r="FP38" s="685">
        <v>0</v>
      </c>
      <c r="FQ38" s="684"/>
      <c r="FR38" s="685">
        <v>1</v>
      </c>
      <c r="FS38" s="685">
        <v>5</v>
      </c>
      <c r="FT38" s="685">
        <v>2</v>
      </c>
      <c r="FU38" s="685">
        <v>1</v>
      </c>
      <c r="FV38" s="684"/>
      <c r="FW38" s="685">
        <v>0</v>
      </c>
      <c r="FX38" s="685">
        <v>0</v>
      </c>
      <c r="FY38" s="685">
        <v>0</v>
      </c>
      <c r="FZ38" s="685">
        <v>0</v>
      </c>
      <c r="GA38" s="685">
        <v>0</v>
      </c>
      <c r="GB38" s="686"/>
      <c r="GC38" s="686"/>
      <c r="GD38" s="687">
        <v>9</v>
      </c>
      <c r="GE38" s="635"/>
      <c r="GF38" s="41"/>
      <c r="GG38" s="688"/>
      <c r="GH38" s="688"/>
      <c r="GI38" s="688"/>
      <c r="GJ38" s="704" t="s">
        <v>15</v>
      </c>
      <c r="GK38" s="705"/>
      <c r="GL38" s="705"/>
      <c r="GM38" s="705"/>
      <c r="GN38" s="705"/>
      <c r="GO38" s="705"/>
      <c r="GP38" s="705"/>
      <c r="GQ38" s="463">
        <v>1</v>
      </c>
      <c r="GR38" s="463">
        <v>1</v>
      </c>
      <c r="GS38" s="705"/>
      <c r="GT38" s="463">
        <v>1</v>
      </c>
      <c r="GU38" s="463">
        <v>4</v>
      </c>
      <c r="GV38" s="463">
        <v>1</v>
      </c>
      <c r="GW38" s="463">
        <v>3</v>
      </c>
      <c r="GX38" s="463">
        <v>11</v>
      </c>
      <c r="GY38" s="628">
        <v>0</v>
      </c>
      <c r="GZ38" s="41"/>
      <c r="HA38" s="41"/>
      <c r="HB38" s="105"/>
      <c r="HC38" s="105"/>
      <c r="HD38" s="41"/>
      <c r="HE38" s="461" t="s">
        <v>15</v>
      </c>
      <c r="HF38" s="96"/>
      <c r="HG38" s="96"/>
      <c r="HH38" s="96">
        <v>1</v>
      </c>
      <c r="HI38" s="96"/>
      <c r="HJ38" s="96"/>
      <c r="HK38" s="96"/>
      <c r="HL38" s="96"/>
      <c r="HM38" s="96"/>
      <c r="HN38" s="96"/>
      <c r="HO38" s="96"/>
      <c r="HP38" s="96"/>
      <c r="HQ38" s="96"/>
      <c r="HR38" s="96">
        <v>1</v>
      </c>
      <c r="HS38" s="96">
        <v>2</v>
      </c>
      <c r="HT38" s="96">
        <v>4</v>
      </c>
      <c r="HU38" s="96"/>
      <c r="HV38" s="96">
        <v>8</v>
      </c>
      <c r="HW38" s="707">
        <v>0</v>
      </c>
      <c r="HX38" s="41"/>
      <c r="HY38" s="691"/>
      <c r="HZ38" s="691"/>
      <c r="IA38" s="691"/>
      <c r="IB38" s="691" t="s">
        <v>1344</v>
      </c>
      <c r="IC38" s="691">
        <v>0</v>
      </c>
      <c r="ID38" s="691">
        <v>0</v>
      </c>
      <c r="IE38" s="691">
        <v>0</v>
      </c>
      <c r="IF38" s="691">
        <v>0</v>
      </c>
      <c r="IG38" s="691">
        <v>0</v>
      </c>
      <c r="IH38" s="691">
        <v>0</v>
      </c>
      <c r="II38" s="691">
        <v>0</v>
      </c>
      <c r="IJ38" s="691">
        <v>0</v>
      </c>
      <c r="IK38" s="691">
        <v>0</v>
      </c>
      <c r="IL38" s="691">
        <v>0</v>
      </c>
      <c r="IM38" s="691">
        <v>0</v>
      </c>
      <c r="IN38" s="691">
        <v>0</v>
      </c>
      <c r="IO38" s="691">
        <v>0</v>
      </c>
      <c r="IP38" s="691">
        <v>1</v>
      </c>
      <c r="IQ38" s="691">
        <v>0</v>
      </c>
      <c r="IR38" s="691">
        <v>0</v>
      </c>
      <c r="IS38" s="691">
        <v>1</v>
      </c>
      <c r="IT38" s="691"/>
      <c r="IU38" s="692"/>
    </row>
    <row r="39" spans="2:255">
      <c r="D39" s="4800" t="s">
        <v>15</v>
      </c>
      <c r="E39" s="4606"/>
      <c r="F39" s="4606"/>
      <c r="G39" s="4606"/>
      <c r="H39" s="4606"/>
      <c r="I39" s="4606"/>
      <c r="J39" s="4606"/>
      <c r="K39" s="4606"/>
      <c r="L39" s="4606"/>
      <c r="M39" s="4606">
        <v>1</v>
      </c>
      <c r="N39" s="4606"/>
      <c r="O39" s="4606"/>
      <c r="P39" s="4606"/>
      <c r="Q39" s="4606"/>
      <c r="R39" s="4606"/>
      <c r="S39" s="2552">
        <v>1</v>
      </c>
      <c r="T39" s="2552"/>
      <c r="U39" s="2552">
        <v>2</v>
      </c>
      <c r="V39" s="1977">
        <f>+(U38)/(U39)</f>
        <v>0.5</v>
      </c>
      <c r="AA39" s="37" t="s">
        <v>1239</v>
      </c>
      <c r="AB39" s="4803"/>
      <c r="AC39" s="4803"/>
      <c r="AD39" s="4803"/>
      <c r="AE39" s="4803"/>
      <c r="AF39" s="4803"/>
      <c r="AG39" s="4803"/>
      <c r="AH39" s="4803"/>
      <c r="AI39" s="4803"/>
      <c r="AJ39" s="4803"/>
      <c r="AK39" s="4803">
        <v>0</v>
      </c>
      <c r="AL39" s="4803">
        <v>0</v>
      </c>
      <c r="AM39" s="4803">
        <v>1</v>
      </c>
      <c r="AN39" s="4803"/>
      <c r="AO39" s="4803">
        <v>0</v>
      </c>
      <c r="AP39" s="1788"/>
      <c r="AQ39" s="1788">
        <v>1</v>
      </c>
      <c r="AT39" s="41"/>
      <c r="AU39" s="41"/>
      <c r="AV39" s="41"/>
      <c r="AW39" s="41" t="s">
        <v>1235</v>
      </c>
      <c r="AX39" s="690"/>
      <c r="AY39" s="690"/>
      <c r="AZ39" s="690"/>
      <c r="BA39" s="690"/>
      <c r="BB39" s="690"/>
      <c r="BC39" s="690"/>
      <c r="BD39" s="690"/>
      <c r="BE39" s="690">
        <v>0</v>
      </c>
      <c r="BF39" s="690">
        <v>0</v>
      </c>
      <c r="BG39" s="690">
        <v>0</v>
      </c>
      <c r="BH39" s="690"/>
      <c r="BI39" s="690">
        <v>0</v>
      </c>
      <c r="BJ39" s="690">
        <v>1</v>
      </c>
      <c r="BK39" s="690">
        <v>0</v>
      </c>
      <c r="BL39" s="690">
        <v>0</v>
      </c>
      <c r="BM39" s="41"/>
      <c r="BN39" s="41"/>
      <c r="BO39" s="41">
        <v>1</v>
      </c>
      <c r="BP39" s="41"/>
      <c r="BR39" s="41"/>
      <c r="BS39" s="41"/>
      <c r="BT39" s="41"/>
      <c r="BU39" s="41" t="s">
        <v>1236</v>
      </c>
      <c r="BV39" s="2001"/>
      <c r="BW39" s="2001"/>
      <c r="BX39" s="2001">
        <v>0</v>
      </c>
      <c r="BY39" s="2001"/>
      <c r="BZ39" s="2001"/>
      <c r="CA39" s="2001"/>
      <c r="CB39" s="2001"/>
      <c r="CC39" s="2001">
        <v>1</v>
      </c>
      <c r="CD39" s="2001">
        <v>0</v>
      </c>
      <c r="CE39" s="2001">
        <v>1</v>
      </c>
      <c r="CF39" s="2001">
        <v>0</v>
      </c>
      <c r="CG39" s="2001">
        <v>0</v>
      </c>
      <c r="CH39" s="2001">
        <v>0</v>
      </c>
      <c r="CI39" s="2001">
        <v>0</v>
      </c>
      <c r="CJ39" s="2001">
        <v>0</v>
      </c>
      <c r="CK39" s="105"/>
      <c r="CL39" s="105"/>
      <c r="CM39" s="105">
        <v>2</v>
      </c>
      <c r="CN39" s="41"/>
      <c r="CR39" s="41" t="s">
        <v>106</v>
      </c>
      <c r="CS39" s="41" t="s">
        <v>1230</v>
      </c>
      <c r="CT39" s="1665"/>
      <c r="CU39" s="1665"/>
      <c r="CV39" s="1665">
        <v>0</v>
      </c>
      <c r="CW39" s="1665"/>
      <c r="CX39" s="1665">
        <v>0</v>
      </c>
      <c r="CY39" s="1665"/>
      <c r="CZ39" s="1665">
        <v>0</v>
      </c>
      <c r="DA39" s="1665">
        <v>0</v>
      </c>
      <c r="DB39" s="1665">
        <v>0</v>
      </c>
      <c r="DC39" s="1665">
        <v>0</v>
      </c>
      <c r="DD39" s="1665">
        <v>1</v>
      </c>
      <c r="DE39" s="1665">
        <v>1</v>
      </c>
      <c r="DF39" s="1665">
        <v>1</v>
      </c>
      <c r="DG39" s="1665">
        <v>2</v>
      </c>
      <c r="DH39" s="1665">
        <v>1</v>
      </c>
      <c r="DI39" s="41"/>
      <c r="DJ39" s="41"/>
      <c r="DK39" s="41">
        <v>6</v>
      </c>
      <c r="DL39" s="41"/>
      <c r="DN39" s="1375"/>
      <c r="DO39" s="1375"/>
      <c r="DP39" s="1375" t="s">
        <v>122</v>
      </c>
      <c r="DQ39" s="1376" t="s">
        <v>1230</v>
      </c>
      <c r="DR39" s="1377"/>
      <c r="DS39" s="1378">
        <v>0</v>
      </c>
      <c r="DT39" s="1377"/>
      <c r="DU39" s="1377"/>
      <c r="DV39" s="1377"/>
      <c r="DW39" s="1377"/>
      <c r="DX39" s="1377"/>
      <c r="DY39" s="1378">
        <v>0</v>
      </c>
      <c r="DZ39" s="1377"/>
      <c r="EA39" s="1377"/>
      <c r="EB39" s="1377"/>
      <c r="EC39" s="1378">
        <v>0</v>
      </c>
      <c r="ED39" s="1378">
        <v>1</v>
      </c>
      <c r="EE39" s="1380">
        <v>0</v>
      </c>
      <c r="EF39" s="1380">
        <v>0</v>
      </c>
      <c r="EG39" s="1380">
        <v>1</v>
      </c>
      <c r="EH39" s="41"/>
      <c r="EJ39" s="678"/>
      <c r="EK39" s="678"/>
      <c r="EL39" s="678"/>
      <c r="EM39" s="679" t="s">
        <v>1235</v>
      </c>
      <c r="EN39" s="681">
        <v>0</v>
      </c>
      <c r="EO39" s="681">
        <v>0</v>
      </c>
      <c r="EP39" s="681">
        <v>0</v>
      </c>
      <c r="EQ39" s="681">
        <v>0</v>
      </c>
      <c r="ER39" s="681">
        <v>0</v>
      </c>
      <c r="ES39" s="681">
        <v>0</v>
      </c>
      <c r="ET39" s="681">
        <v>0</v>
      </c>
      <c r="EU39" s="681">
        <v>0</v>
      </c>
      <c r="EV39" s="681">
        <v>0</v>
      </c>
      <c r="EW39" s="681">
        <v>0</v>
      </c>
      <c r="EX39" s="681">
        <v>1</v>
      </c>
      <c r="EY39" s="681">
        <v>0</v>
      </c>
      <c r="EZ39" s="681">
        <v>0</v>
      </c>
      <c r="FA39" s="681">
        <v>0</v>
      </c>
      <c r="FB39" s="680"/>
      <c r="FC39" s="682"/>
      <c r="FD39" s="682"/>
      <c r="FE39" s="683">
        <v>1</v>
      </c>
      <c r="FF39" s="105"/>
      <c r="FH39" s="511"/>
      <c r="FI39" s="511"/>
      <c r="FJ39" s="511"/>
      <c r="FK39" s="511"/>
      <c r="FL39" s="512" t="s">
        <v>1239</v>
      </c>
      <c r="FM39" s="685">
        <v>0</v>
      </c>
      <c r="FN39" s="684"/>
      <c r="FO39" s="684"/>
      <c r="FP39" s="685">
        <v>0</v>
      </c>
      <c r="FQ39" s="684"/>
      <c r="FR39" s="685">
        <v>0</v>
      </c>
      <c r="FS39" s="685">
        <v>0</v>
      </c>
      <c r="FT39" s="685">
        <v>0</v>
      </c>
      <c r="FU39" s="685">
        <v>0</v>
      </c>
      <c r="FV39" s="684"/>
      <c r="FW39" s="685">
        <v>0</v>
      </c>
      <c r="FX39" s="685">
        <v>0</v>
      </c>
      <c r="FY39" s="685">
        <v>2</v>
      </c>
      <c r="FZ39" s="685">
        <v>3</v>
      </c>
      <c r="GA39" s="685">
        <v>1</v>
      </c>
      <c r="GB39" s="686"/>
      <c r="GC39" s="686"/>
      <c r="GD39" s="687">
        <v>6</v>
      </c>
      <c r="GE39" s="635"/>
      <c r="GF39" s="41"/>
      <c r="GG39" s="688"/>
      <c r="GH39" s="688"/>
      <c r="GI39" s="688" t="s">
        <v>123</v>
      </c>
      <c r="GJ39" s="457" t="s">
        <v>1231</v>
      </c>
      <c r="GK39" s="689"/>
      <c r="GL39" s="689"/>
      <c r="GM39" s="689"/>
      <c r="GN39" s="689"/>
      <c r="GO39" s="689"/>
      <c r="GP39" s="458">
        <v>0</v>
      </c>
      <c r="GQ39" s="689"/>
      <c r="GR39" s="689"/>
      <c r="GS39" s="689"/>
      <c r="GT39" s="689"/>
      <c r="GU39" s="689"/>
      <c r="GV39" s="458">
        <v>1</v>
      </c>
      <c r="GW39" s="689"/>
      <c r="GX39" s="458">
        <v>1</v>
      </c>
      <c r="GY39" s="690"/>
      <c r="GZ39" s="41"/>
      <c r="HA39" s="41"/>
      <c r="HB39" s="105"/>
      <c r="HC39" s="105"/>
      <c r="HD39" s="41" t="s">
        <v>122</v>
      </c>
      <c r="HE39" s="41" t="s">
        <v>1230</v>
      </c>
      <c r="HF39" s="105"/>
      <c r="HG39" s="105"/>
      <c r="HH39" s="105"/>
      <c r="HI39" s="105"/>
      <c r="HJ39" s="105"/>
      <c r="HK39" s="105"/>
      <c r="HL39" s="105">
        <v>0</v>
      </c>
      <c r="HM39" s="105"/>
      <c r="HN39" s="105"/>
      <c r="HO39" s="105"/>
      <c r="HP39" s="105">
        <v>0</v>
      </c>
      <c r="HQ39" s="105"/>
      <c r="HR39" s="105"/>
      <c r="HS39" s="105">
        <v>1</v>
      </c>
      <c r="HT39" s="105">
        <v>1</v>
      </c>
      <c r="HU39" s="105">
        <v>1</v>
      </c>
      <c r="HV39" s="105">
        <v>3</v>
      </c>
      <c r="HW39" s="41"/>
      <c r="HX39" s="41"/>
      <c r="HY39" s="691"/>
      <c r="HZ39" s="691"/>
      <c r="IA39" s="691"/>
      <c r="IB39" s="702" t="s">
        <v>15</v>
      </c>
      <c r="IC39" s="702">
        <v>0</v>
      </c>
      <c r="ID39" s="702">
        <v>0</v>
      </c>
      <c r="IE39" s="702">
        <v>0</v>
      </c>
      <c r="IF39" s="702">
        <v>1</v>
      </c>
      <c r="IG39" s="702">
        <v>0</v>
      </c>
      <c r="IH39" s="702">
        <v>0</v>
      </c>
      <c r="II39" s="702">
        <v>0</v>
      </c>
      <c r="IJ39" s="702">
        <v>1</v>
      </c>
      <c r="IK39" s="702">
        <v>0</v>
      </c>
      <c r="IL39" s="702">
        <v>0</v>
      </c>
      <c r="IM39" s="702">
        <v>1</v>
      </c>
      <c r="IN39" s="702">
        <v>0</v>
      </c>
      <c r="IO39" s="702">
        <v>0</v>
      </c>
      <c r="IP39" s="702">
        <v>2</v>
      </c>
      <c r="IQ39" s="702">
        <v>0</v>
      </c>
      <c r="IR39" s="702">
        <v>0</v>
      </c>
      <c r="IS39" s="702">
        <v>5</v>
      </c>
      <c r="IT39" s="703">
        <f>+IS38/IS39</f>
        <v>0.2</v>
      </c>
      <c r="IU39" s="692">
        <f>+IS38</f>
        <v>1</v>
      </c>
    </row>
    <row r="40" spans="2:255">
      <c r="C40" s="4800" t="s">
        <v>1640</v>
      </c>
      <c r="D40" s="4800" t="s">
        <v>1236</v>
      </c>
      <c r="E40" s="4606"/>
      <c r="F40" s="4606"/>
      <c r="G40" s="4606"/>
      <c r="H40" s="4606"/>
      <c r="I40" s="4606"/>
      <c r="J40" s="4606"/>
      <c r="K40" s="4606"/>
      <c r="L40" s="4606"/>
      <c r="M40" s="4606"/>
      <c r="N40" s="4606">
        <v>0</v>
      </c>
      <c r="O40" s="4606"/>
      <c r="P40" s="4606">
        <v>0</v>
      </c>
      <c r="Q40" s="4606">
        <v>0</v>
      </c>
      <c r="R40" s="4606">
        <v>1</v>
      </c>
      <c r="S40" s="2552"/>
      <c r="T40" s="2552"/>
      <c r="U40" s="2552">
        <v>1</v>
      </c>
      <c r="V40" s="2552"/>
      <c r="AA40" s="37" t="s">
        <v>1344</v>
      </c>
      <c r="AB40" s="4803"/>
      <c r="AC40" s="4803"/>
      <c r="AD40" s="4803"/>
      <c r="AE40" s="4803"/>
      <c r="AF40" s="4803"/>
      <c r="AG40" s="4803"/>
      <c r="AH40" s="4803"/>
      <c r="AI40" s="4803"/>
      <c r="AJ40" s="4803"/>
      <c r="AK40" s="4803">
        <v>1</v>
      </c>
      <c r="AL40" s="4803">
        <v>0</v>
      </c>
      <c r="AM40" s="4803">
        <v>0</v>
      </c>
      <c r="AN40" s="4803"/>
      <c r="AO40" s="4803">
        <v>0</v>
      </c>
      <c r="AP40" s="1788"/>
      <c r="AQ40" s="1788">
        <v>1</v>
      </c>
      <c r="AT40" s="41"/>
      <c r="AU40" s="41"/>
      <c r="AV40" s="41"/>
      <c r="AW40" s="41" t="s">
        <v>1239</v>
      </c>
      <c r="AX40" s="690"/>
      <c r="AY40" s="690"/>
      <c r="AZ40" s="690"/>
      <c r="BA40" s="690"/>
      <c r="BB40" s="690"/>
      <c r="BC40" s="690"/>
      <c r="BD40" s="690"/>
      <c r="BE40" s="690">
        <v>0</v>
      </c>
      <c r="BF40" s="690">
        <v>0</v>
      </c>
      <c r="BG40" s="690">
        <v>0</v>
      </c>
      <c r="BH40" s="690"/>
      <c r="BI40" s="690">
        <v>1</v>
      </c>
      <c r="BJ40" s="690">
        <v>0</v>
      </c>
      <c r="BK40" s="690">
        <v>0</v>
      </c>
      <c r="BL40" s="690">
        <v>2</v>
      </c>
      <c r="BM40" s="41"/>
      <c r="BN40" s="41"/>
      <c r="BO40" s="41">
        <v>3</v>
      </c>
      <c r="BP40" s="41"/>
      <c r="BR40" s="41"/>
      <c r="BS40" s="41"/>
      <c r="BT40" s="41"/>
      <c r="BU40" s="41" t="s">
        <v>1239</v>
      </c>
      <c r="BV40" s="2001"/>
      <c r="BW40" s="2001"/>
      <c r="BX40" s="2001">
        <v>0</v>
      </c>
      <c r="BY40" s="2001"/>
      <c r="BZ40" s="2001"/>
      <c r="CA40" s="2001"/>
      <c r="CB40" s="2001"/>
      <c r="CC40" s="2001">
        <v>0</v>
      </c>
      <c r="CD40" s="2001">
        <v>0</v>
      </c>
      <c r="CE40" s="2001">
        <v>0</v>
      </c>
      <c r="CF40" s="2001">
        <v>0</v>
      </c>
      <c r="CG40" s="2001">
        <v>1</v>
      </c>
      <c r="CH40" s="2001">
        <v>0</v>
      </c>
      <c r="CI40" s="2001">
        <v>0</v>
      </c>
      <c r="CJ40" s="2001">
        <v>4</v>
      </c>
      <c r="CK40" s="105"/>
      <c r="CL40" s="105"/>
      <c r="CM40" s="105">
        <v>5</v>
      </c>
      <c r="CN40" s="41"/>
      <c r="CR40" s="41"/>
      <c r="CS40" s="41" t="s">
        <v>1231</v>
      </c>
      <c r="CT40" s="1665"/>
      <c r="CU40" s="1665"/>
      <c r="CV40" s="1665">
        <v>2</v>
      </c>
      <c r="CW40" s="1665"/>
      <c r="CX40" s="1665">
        <v>1</v>
      </c>
      <c r="CY40" s="1665"/>
      <c r="CZ40" s="1665">
        <v>2</v>
      </c>
      <c r="DA40" s="1665">
        <v>0</v>
      </c>
      <c r="DB40" s="1665">
        <v>2</v>
      </c>
      <c r="DC40" s="1665">
        <v>1</v>
      </c>
      <c r="DD40" s="1665">
        <v>2</v>
      </c>
      <c r="DE40" s="1665">
        <v>0</v>
      </c>
      <c r="DF40" s="1665">
        <v>3</v>
      </c>
      <c r="DG40" s="1665">
        <v>2</v>
      </c>
      <c r="DH40" s="1665">
        <v>0</v>
      </c>
      <c r="DI40" s="41"/>
      <c r="DJ40" s="41"/>
      <c r="DK40" s="41">
        <v>15</v>
      </c>
      <c r="DL40" s="41"/>
      <c r="DN40" s="1375"/>
      <c r="DO40" s="1375"/>
      <c r="DP40" s="1375"/>
      <c r="DQ40" s="1376" t="s">
        <v>1231</v>
      </c>
      <c r="DR40" s="1377"/>
      <c r="DS40" s="1378">
        <v>1</v>
      </c>
      <c r="DT40" s="1377"/>
      <c r="DU40" s="1377"/>
      <c r="DV40" s="1377"/>
      <c r="DW40" s="1377"/>
      <c r="DX40" s="1377"/>
      <c r="DY40" s="1378">
        <v>1</v>
      </c>
      <c r="DZ40" s="1377"/>
      <c r="EA40" s="1377"/>
      <c r="EB40" s="1377"/>
      <c r="EC40" s="1378">
        <v>1</v>
      </c>
      <c r="ED40" s="1378">
        <v>0</v>
      </c>
      <c r="EE40" s="1380">
        <v>0</v>
      </c>
      <c r="EF40" s="1380">
        <v>0</v>
      </c>
      <c r="EG40" s="1380">
        <v>3</v>
      </c>
      <c r="EH40" s="41"/>
      <c r="EJ40" s="678"/>
      <c r="EK40" s="678"/>
      <c r="EL40" s="678"/>
      <c r="EM40" s="679" t="s">
        <v>1236</v>
      </c>
      <c r="EN40" s="681">
        <v>0</v>
      </c>
      <c r="EO40" s="681">
        <v>0</v>
      </c>
      <c r="EP40" s="681">
        <v>1</v>
      </c>
      <c r="EQ40" s="681">
        <v>3</v>
      </c>
      <c r="ER40" s="681">
        <v>0</v>
      </c>
      <c r="ES40" s="681">
        <v>1</v>
      </c>
      <c r="ET40" s="681">
        <v>10</v>
      </c>
      <c r="EU40" s="681">
        <v>5</v>
      </c>
      <c r="EV40" s="681">
        <v>3</v>
      </c>
      <c r="EW40" s="681">
        <v>0</v>
      </c>
      <c r="EX40" s="681">
        <v>2</v>
      </c>
      <c r="EY40" s="681">
        <v>0</v>
      </c>
      <c r="EZ40" s="681">
        <v>4</v>
      </c>
      <c r="FA40" s="681">
        <v>0</v>
      </c>
      <c r="FB40" s="680"/>
      <c r="FC40" s="682"/>
      <c r="FD40" s="682"/>
      <c r="FE40" s="683">
        <v>29</v>
      </c>
      <c r="FF40" s="105"/>
      <c r="FH40" s="511"/>
      <c r="FI40" s="511"/>
      <c r="FJ40" s="511"/>
      <c r="FK40" s="511"/>
      <c r="FL40" s="512" t="s">
        <v>1344</v>
      </c>
      <c r="FM40" s="685">
        <v>0</v>
      </c>
      <c r="FN40" s="684"/>
      <c r="FO40" s="684"/>
      <c r="FP40" s="685">
        <v>0</v>
      </c>
      <c r="FQ40" s="684"/>
      <c r="FR40" s="685">
        <v>0</v>
      </c>
      <c r="FS40" s="685">
        <v>2</v>
      </c>
      <c r="FT40" s="685">
        <v>0</v>
      </c>
      <c r="FU40" s="685">
        <v>0</v>
      </c>
      <c r="FV40" s="684"/>
      <c r="FW40" s="685">
        <v>2</v>
      </c>
      <c r="FX40" s="685">
        <v>1</v>
      </c>
      <c r="FY40" s="685">
        <v>0</v>
      </c>
      <c r="FZ40" s="685">
        <v>0</v>
      </c>
      <c r="GA40" s="685">
        <v>0</v>
      </c>
      <c r="GB40" s="686"/>
      <c r="GC40" s="686"/>
      <c r="GD40" s="687">
        <v>5</v>
      </c>
      <c r="GE40" s="635"/>
      <c r="GF40" s="41"/>
      <c r="GG40" s="688"/>
      <c r="GH40" s="688"/>
      <c r="GI40" s="688"/>
      <c r="GJ40" s="457" t="s">
        <v>1235</v>
      </c>
      <c r="GK40" s="689"/>
      <c r="GL40" s="689"/>
      <c r="GM40" s="689"/>
      <c r="GN40" s="689"/>
      <c r="GO40" s="689"/>
      <c r="GP40" s="458">
        <v>1</v>
      </c>
      <c r="GQ40" s="689"/>
      <c r="GR40" s="689"/>
      <c r="GS40" s="689"/>
      <c r="GT40" s="689"/>
      <c r="GU40" s="689"/>
      <c r="GV40" s="458">
        <v>1</v>
      </c>
      <c r="GW40" s="689"/>
      <c r="GX40" s="458">
        <v>2</v>
      </c>
      <c r="GY40" s="690"/>
      <c r="GZ40" s="41"/>
      <c r="HA40" s="41"/>
      <c r="HB40" s="105"/>
      <c r="HC40" s="105"/>
      <c r="HD40" s="41"/>
      <c r="HE40" s="41" t="s">
        <v>1231</v>
      </c>
      <c r="HF40" s="105"/>
      <c r="HG40" s="105"/>
      <c r="HH40" s="105"/>
      <c r="HI40" s="105"/>
      <c r="HJ40" s="105"/>
      <c r="HK40" s="105"/>
      <c r="HL40" s="105">
        <v>1</v>
      </c>
      <c r="HM40" s="105"/>
      <c r="HN40" s="105"/>
      <c r="HO40" s="105"/>
      <c r="HP40" s="105">
        <v>0</v>
      </c>
      <c r="HQ40" s="105"/>
      <c r="HR40" s="105"/>
      <c r="HS40" s="105">
        <v>0</v>
      </c>
      <c r="HT40" s="105">
        <v>0</v>
      </c>
      <c r="HU40" s="105">
        <v>0</v>
      </c>
      <c r="HV40" s="105">
        <v>1</v>
      </c>
      <c r="HW40" s="41"/>
      <c r="HX40" s="41"/>
      <c r="HY40" s="691"/>
      <c r="HZ40" s="691" t="s">
        <v>16</v>
      </c>
      <c r="IA40" s="691" t="s">
        <v>107</v>
      </c>
      <c r="IB40" s="691" t="s">
        <v>1230</v>
      </c>
      <c r="IC40" s="691">
        <v>0</v>
      </c>
      <c r="ID40" s="691">
        <v>0</v>
      </c>
      <c r="IE40" s="691">
        <v>0</v>
      </c>
      <c r="IF40" s="691">
        <v>0</v>
      </c>
      <c r="IG40" s="691">
        <v>0</v>
      </c>
      <c r="IH40" s="691">
        <v>1</v>
      </c>
      <c r="II40" s="691">
        <v>0</v>
      </c>
      <c r="IJ40" s="691">
        <v>0</v>
      </c>
      <c r="IK40" s="691">
        <v>0</v>
      </c>
      <c r="IL40" s="691">
        <v>0</v>
      </c>
      <c r="IM40" s="691">
        <v>0</v>
      </c>
      <c r="IN40" s="691">
        <v>0</v>
      </c>
      <c r="IO40" s="691">
        <v>0</v>
      </c>
      <c r="IP40" s="691">
        <v>0</v>
      </c>
      <c r="IQ40" s="691">
        <v>0</v>
      </c>
      <c r="IR40" s="691">
        <v>0</v>
      </c>
      <c r="IS40" s="691">
        <v>1</v>
      </c>
      <c r="IT40" s="691"/>
      <c r="IU40" s="692"/>
    </row>
    <row r="41" spans="2:255">
      <c r="D41" s="4800" t="s">
        <v>1239</v>
      </c>
      <c r="E41" s="4606"/>
      <c r="F41" s="4606"/>
      <c r="G41" s="4606"/>
      <c r="H41" s="4606"/>
      <c r="I41" s="4606"/>
      <c r="J41" s="4606"/>
      <c r="K41" s="4606"/>
      <c r="L41" s="4606"/>
      <c r="M41" s="4606"/>
      <c r="N41" s="4606">
        <v>0</v>
      </c>
      <c r="O41" s="4606"/>
      <c r="P41" s="4606">
        <v>1</v>
      </c>
      <c r="Q41" s="4606">
        <v>1</v>
      </c>
      <c r="R41" s="4606">
        <v>0</v>
      </c>
      <c r="S41" s="2552"/>
      <c r="T41" s="2552"/>
      <c r="U41" s="2552">
        <v>2</v>
      </c>
      <c r="V41" s="2552"/>
      <c r="AA41" s="1793" t="s">
        <v>15</v>
      </c>
      <c r="AB41" s="4804"/>
      <c r="AC41" s="4804"/>
      <c r="AD41" s="4804"/>
      <c r="AE41" s="4804"/>
      <c r="AF41" s="4804"/>
      <c r="AG41" s="4804"/>
      <c r="AH41" s="4804"/>
      <c r="AI41" s="4804"/>
      <c r="AJ41" s="4804"/>
      <c r="AK41" s="4804">
        <v>1</v>
      </c>
      <c r="AL41" s="4804">
        <v>1</v>
      </c>
      <c r="AM41" s="4804">
        <v>1</v>
      </c>
      <c r="AN41" s="4804"/>
      <c r="AO41" s="4804">
        <v>1</v>
      </c>
      <c r="AP41" s="4702"/>
      <c r="AQ41" s="4702">
        <v>4</v>
      </c>
      <c r="AR41" s="4703">
        <f>+AQ40/AQ41</f>
        <v>0.25</v>
      </c>
      <c r="AT41" s="41"/>
      <c r="AU41" s="41"/>
      <c r="AV41" s="41"/>
      <c r="AW41" s="41" t="s">
        <v>1344</v>
      </c>
      <c r="AX41" s="690"/>
      <c r="AY41" s="690"/>
      <c r="AZ41" s="690"/>
      <c r="BA41" s="690"/>
      <c r="BB41" s="690"/>
      <c r="BC41" s="690"/>
      <c r="BD41" s="690"/>
      <c r="BE41" s="690">
        <v>0</v>
      </c>
      <c r="BF41" s="690">
        <v>0</v>
      </c>
      <c r="BG41" s="690">
        <v>1</v>
      </c>
      <c r="BH41" s="690"/>
      <c r="BI41" s="690">
        <v>0</v>
      </c>
      <c r="BJ41" s="690">
        <v>0</v>
      </c>
      <c r="BK41" s="690">
        <v>0</v>
      </c>
      <c r="BL41" s="690">
        <v>0</v>
      </c>
      <c r="BM41" s="41"/>
      <c r="BN41" s="41"/>
      <c r="BO41" s="41">
        <v>1</v>
      </c>
      <c r="BP41" s="41"/>
      <c r="BR41" s="41"/>
      <c r="BS41" s="41"/>
      <c r="BT41" s="41"/>
      <c r="BU41" s="41" t="s">
        <v>1240</v>
      </c>
      <c r="BV41" s="2001"/>
      <c r="BW41" s="2001"/>
      <c r="BX41" s="2001">
        <v>0</v>
      </c>
      <c r="BY41" s="2001"/>
      <c r="BZ41" s="2001"/>
      <c r="CA41" s="2001"/>
      <c r="CB41" s="2001"/>
      <c r="CC41" s="2001">
        <v>0</v>
      </c>
      <c r="CD41" s="2001">
        <v>0</v>
      </c>
      <c r="CE41" s="2001">
        <v>0</v>
      </c>
      <c r="CF41" s="2001">
        <v>0</v>
      </c>
      <c r="CG41" s="2001">
        <v>1</v>
      </c>
      <c r="CH41" s="2001">
        <v>0</v>
      </c>
      <c r="CI41" s="2001">
        <v>0</v>
      </c>
      <c r="CJ41" s="2001">
        <v>0</v>
      </c>
      <c r="CK41" s="105"/>
      <c r="CL41" s="105"/>
      <c r="CM41" s="105">
        <v>1</v>
      </c>
      <c r="CN41" s="41"/>
      <c r="CR41" s="41"/>
      <c r="CS41" s="41" t="s">
        <v>1236</v>
      </c>
      <c r="CT41" s="1665"/>
      <c r="CU41" s="1665"/>
      <c r="CV41" s="1665">
        <v>0</v>
      </c>
      <c r="CW41" s="1665"/>
      <c r="CX41" s="1665">
        <v>0</v>
      </c>
      <c r="CY41" s="1665"/>
      <c r="CZ41" s="1665">
        <v>1</v>
      </c>
      <c r="DA41" s="1665">
        <v>0</v>
      </c>
      <c r="DB41" s="1665">
        <v>0</v>
      </c>
      <c r="DC41" s="1665">
        <v>0</v>
      </c>
      <c r="DD41" s="1665">
        <v>0</v>
      </c>
      <c r="DE41" s="1665">
        <v>0</v>
      </c>
      <c r="DF41" s="1665">
        <v>0</v>
      </c>
      <c r="DG41" s="1665">
        <v>0</v>
      </c>
      <c r="DH41" s="1665">
        <v>0</v>
      </c>
      <c r="DI41" s="41"/>
      <c r="DJ41" s="41"/>
      <c r="DK41" s="41">
        <v>1</v>
      </c>
      <c r="DL41" s="41"/>
      <c r="DN41" s="1375"/>
      <c r="DO41" s="1375"/>
      <c r="DP41" s="1375"/>
      <c r="DQ41" s="1376" t="s">
        <v>1233</v>
      </c>
      <c r="DR41" s="1377"/>
      <c r="DS41" s="1378">
        <v>1</v>
      </c>
      <c r="DT41" s="1377"/>
      <c r="DU41" s="1377"/>
      <c r="DV41" s="1377"/>
      <c r="DW41" s="1377"/>
      <c r="DX41" s="1377"/>
      <c r="DY41" s="1378">
        <v>0</v>
      </c>
      <c r="DZ41" s="1377"/>
      <c r="EA41" s="1377"/>
      <c r="EB41" s="1377"/>
      <c r="EC41" s="1378">
        <v>0</v>
      </c>
      <c r="ED41" s="1378">
        <v>0</v>
      </c>
      <c r="EE41" s="1380">
        <v>0</v>
      </c>
      <c r="EF41" s="1380">
        <v>0</v>
      </c>
      <c r="EG41" s="1380">
        <v>1</v>
      </c>
      <c r="EH41" s="41"/>
      <c r="EJ41" s="678"/>
      <c r="EK41" s="678"/>
      <c r="EL41" s="678"/>
      <c r="EM41" s="679" t="s">
        <v>1240</v>
      </c>
      <c r="EN41" s="681">
        <v>0</v>
      </c>
      <c r="EO41" s="681">
        <v>0</v>
      </c>
      <c r="EP41" s="681">
        <v>0</v>
      </c>
      <c r="EQ41" s="681">
        <v>0</v>
      </c>
      <c r="ER41" s="681">
        <v>0</v>
      </c>
      <c r="ES41" s="681">
        <v>0</v>
      </c>
      <c r="ET41" s="681">
        <v>0</v>
      </c>
      <c r="EU41" s="681">
        <v>0</v>
      </c>
      <c r="EV41" s="681">
        <v>0</v>
      </c>
      <c r="EW41" s="681">
        <v>0</v>
      </c>
      <c r="EX41" s="681">
        <v>1</v>
      </c>
      <c r="EY41" s="681">
        <v>2</v>
      </c>
      <c r="EZ41" s="681">
        <v>0</v>
      </c>
      <c r="FA41" s="681">
        <v>0</v>
      </c>
      <c r="FB41" s="680"/>
      <c r="FC41" s="682"/>
      <c r="FD41" s="682"/>
      <c r="FE41" s="683">
        <v>3</v>
      </c>
      <c r="FF41" s="105"/>
      <c r="FH41" s="511"/>
      <c r="FI41" s="511"/>
      <c r="FJ41" s="511"/>
      <c r="FK41" s="41"/>
      <c r="FL41" s="532" t="s">
        <v>106</v>
      </c>
      <c r="FM41" s="694">
        <v>3</v>
      </c>
      <c r="FN41" s="693"/>
      <c r="FO41" s="693"/>
      <c r="FP41" s="694">
        <v>1</v>
      </c>
      <c r="FQ41" s="693"/>
      <c r="FR41" s="694">
        <v>1</v>
      </c>
      <c r="FS41" s="694">
        <v>10</v>
      </c>
      <c r="FT41" s="694">
        <v>2</v>
      </c>
      <c r="FU41" s="694">
        <v>1</v>
      </c>
      <c r="FV41" s="693"/>
      <c r="FW41" s="694">
        <v>2</v>
      </c>
      <c r="FX41" s="694">
        <v>1</v>
      </c>
      <c r="FY41" s="694">
        <v>3</v>
      </c>
      <c r="FZ41" s="694">
        <v>4</v>
      </c>
      <c r="GA41" s="694">
        <v>1</v>
      </c>
      <c r="GB41" s="695"/>
      <c r="GC41" s="695"/>
      <c r="GD41" s="696">
        <v>29</v>
      </c>
      <c r="GE41" s="635">
        <f>+(GD40+GD37)/GD41</f>
        <v>0.20689655172413793</v>
      </c>
      <c r="GF41" s="41"/>
      <c r="GG41" s="688"/>
      <c r="GH41" s="688"/>
      <c r="GI41" s="688"/>
      <c r="GJ41" s="457" t="s">
        <v>1344</v>
      </c>
      <c r="GK41" s="689"/>
      <c r="GL41" s="689"/>
      <c r="GM41" s="689"/>
      <c r="GN41" s="689"/>
      <c r="GO41" s="689"/>
      <c r="GP41" s="458">
        <v>1</v>
      </c>
      <c r="GQ41" s="689"/>
      <c r="GR41" s="689"/>
      <c r="GS41" s="689"/>
      <c r="GT41" s="689"/>
      <c r="GU41" s="689"/>
      <c r="GV41" s="458">
        <v>0</v>
      </c>
      <c r="GW41" s="689"/>
      <c r="GX41" s="458">
        <v>1</v>
      </c>
      <c r="GY41" s="690"/>
      <c r="GZ41" s="41"/>
      <c r="HA41" s="41"/>
      <c r="HB41" s="105"/>
      <c r="HC41" s="105"/>
      <c r="HD41" s="41"/>
      <c r="HE41" s="41" t="s">
        <v>1239</v>
      </c>
      <c r="HF41" s="105"/>
      <c r="HG41" s="105"/>
      <c r="HH41" s="105"/>
      <c r="HI41" s="105"/>
      <c r="HJ41" s="105"/>
      <c r="HK41" s="105"/>
      <c r="HL41" s="105">
        <v>0</v>
      </c>
      <c r="HM41" s="105"/>
      <c r="HN41" s="105"/>
      <c r="HO41" s="105"/>
      <c r="HP41" s="105">
        <v>0</v>
      </c>
      <c r="HQ41" s="105"/>
      <c r="HR41" s="105"/>
      <c r="HS41" s="105">
        <v>4</v>
      </c>
      <c r="HT41" s="105">
        <v>0</v>
      </c>
      <c r="HU41" s="105">
        <v>3</v>
      </c>
      <c r="HV41" s="105">
        <v>7</v>
      </c>
      <c r="HW41" s="41"/>
      <c r="HX41" s="41"/>
      <c r="HY41" s="691"/>
      <c r="HZ41" s="691"/>
      <c r="IA41" s="691"/>
      <c r="IB41" s="691" t="s">
        <v>1231</v>
      </c>
      <c r="IC41" s="691">
        <v>0</v>
      </c>
      <c r="ID41" s="691">
        <v>0</v>
      </c>
      <c r="IE41" s="691">
        <v>0</v>
      </c>
      <c r="IF41" s="691">
        <v>0</v>
      </c>
      <c r="IG41" s="691">
        <v>0</v>
      </c>
      <c r="IH41" s="691">
        <v>0</v>
      </c>
      <c r="II41" s="691">
        <v>0</v>
      </c>
      <c r="IJ41" s="691">
        <v>0</v>
      </c>
      <c r="IK41" s="691">
        <v>0</v>
      </c>
      <c r="IL41" s="691">
        <v>1</v>
      </c>
      <c r="IM41" s="691">
        <v>0</v>
      </c>
      <c r="IN41" s="691">
        <v>0</v>
      </c>
      <c r="IO41" s="691">
        <v>0</v>
      </c>
      <c r="IP41" s="691">
        <v>0</v>
      </c>
      <c r="IQ41" s="691">
        <v>0</v>
      </c>
      <c r="IR41" s="691">
        <v>0</v>
      </c>
      <c r="IS41" s="691">
        <v>1</v>
      </c>
      <c r="IT41" s="691"/>
      <c r="IU41" s="692"/>
    </row>
    <row r="42" spans="2:255">
      <c r="D42" s="4800" t="s">
        <v>1344</v>
      </c>
      <c r="E42" s="4606"/>
      <c r="F42" s="4606"/>
      <c r="G42" s="4606"/>
      <c r="H42" s="4606"/>
      <c r="I42" s="4606"/>
      <c r="J42" s="4606"/>
      <c r="K42" s="4606"/>
      <c r="L42" s="4606"/>
      <c r="M42" s="4606"/>
      <c r="N42" s="4606">
        <v>1</v>
      </c>
      <c r="O42" s="4606"/>
      <c r="P42" s="4606">
        <v>0</v>
      </c>
      <c r="Q42" s="4606">
        <v>0</v>
      </c>
      <c r="R42" s="4606">
        <v>0</v>
      </c>
      <c r="S42" s="2552"/>
      <c r="T42" s="2552"/>
      <c r="U42" s="2552">
        <v>1</v>
      </c>
      <c r="V42" s="2552"/>
      <c r="Z42" s="37" t="s">
        <v>1641</v>
      </c>
      <c r="AA42" s="37" t="s">
        <v>1231</v>
      </c>
      <c r="AB42" s="4803"/>
      <c r="AC42" s="4803"/>
      <c r="AD42" s="4803"/>
      <c r="AE42" s="4803"/>
      <c r="AF42" s="4803"/>
      <c r="AG42" s="4803"/>
      <c r="AH42" s="4803"/>
      <c r="AI42" s="4803"/>
      <c r="AJ42" s="4803">
        <v>1</v>
      </c>
      <c r="AK42" s="4803"/>
      <c r="AL42" s="4803"/>
      <c r="AM42" s="4803"/>
      <c r="AN42" s="4803"/>
      <c r="AO42" s="4803"/>
      <c r="AP42" s="1788"/>
      <c r="AQ42" s="1788">
        <v>1</v>
      </c>
      <c r="AT42" s="41"/>
      <c r="AU42" s="41"/>
      <c r="AV42" s="41"/>
      <c r="AW42" s="461" t="s">
        <v>15</v>
      </c>
      <c r="AX42" s="2489"/>
      <c r="AY42" s="2489"/>
      <c r="AZ42" s="2489"/>
      <c r="BA42" s="2489"/>
      <c r="BB42" s="2489"/>
      <c r="BC42" s="2489"/>
      <c r="BD42" s="2489"/>
      <c r="BE42" s="2489">
        <v>1</v>
      </c>
      <c r="BF42" s="2489">
        <v>1</v>
      </c>
      <c r="BG42" s="2489">
        <v>3</v>
      </c>
      <c r="BH42" s="2489"/>
      <c r="BI42" s="2489">
        <v>2</v>
      </c>
      <c r="BJ42" s="2489">
        <v>1</v>
      </c>
      <c r="BK42" s="2489">
        <v>2</v>
      </c>
      <c r="BL42" s="2489">
        <v>2</v>
      </c>
      <c r="BM42" s="461"/>
      <c r="BN42" s="461"/>
      <c r="BO42" s="461">
        <v>12</v>
      </c>
      <c r="BP42" s="635">
        <f>+(BO41+BO39)/BO42</f>
        <v>0.16666666666666666</v>
      </c>
      <c r="BQ42" s="1977"/>
      <c r="BR42" s="41"/>
      <c r="BS42" s="41"/>
      <c r="BT42" s="41"/>
      <c r="BU42" s="41" t="s">
        <v>1344</v>
      </c>
      <c r="BV42" s="2001"/>
      <c r="BW42" s="2001"/>
      <c r="BX42" s="2001">
        <v>0</v>
      </c>
      <c r="BY42" s="2001"/>
      <c r="BZ42" s="2001"/>
      <c r="CA42" s="2001"/>
      <c r="CB42" s="2001"/>
      <c r="CC42" s="2001">
        <v>0</v>
      </c>
      <c r="CD42" s="2001">
        <v>1</v>
      </c>
      <c r="CE42" s="2001">
        <v>0</v>
      </c>
      <c r="CF42" s="2001">
        <v>2</v>
      </c>
      <c r="CG42" s="2001">
        <v>0</v>
      </c>
      <c r="CH42" s="2001">
        <v>0</v>
      </c>
      <c r="CI42" s="2001">
        <v>0</v>
      </c>
      <c r="CJ42" s="2001">
        <v>0</v>
      </c>
      <c r="CK42" s="105"/>
      <c r="CL42" s="105"/>
      <c r="CM42" s="105">
        <v>3</v>
      </c>
      <c r="CN42" s="41"/>
      <c r="CR42" s="41"/>
      <c r="CS42" s="41" t="s">
        <v>1239</v>
      </c>
      <c r="CT42" s="1665"/>
      <c r="CU42" s="1665"/>
      <c r="CV42" s="1665">
        <v>0</v>
      </c>
      <c r="CW42" s="1665"/>
      <c r="CX42" s="1665">
        <v>0</v>
      </c>
      <c r="CY42" s="1665"/>
      <c r="CZ42" s="1665">
        <v>0</v>
      </c>
      <c r="DA42" s="1665">
        <v>1</v>
      </c>
      <c r="DB42" s="1665">
        <v>0</v>
      </c>
      <c r="DC42" s="1665">
        <v>0</v>
      </c>
      <c r="DD42" s="1665">
        <v>1</v>
      </c>
      <c r="DE42" s="1665">
        <v>0</v>
      </c>
      <c r="DF42" s="1665">
        <v>0</v>
      </c>
      <c r="DG42" s="1665">
        <v>1</v>
      </c>
      <c r="DH42" s="1665">
        <v>1</v>
      </c>
      <c r="DI42" s="41"/>
      <c r="DJ42" s="41"/>
      <c r="DK42" s="41">
        <v>4</v>
      </c>
      <c r="DL42" s="41"/>
      <c r="DN42" s="1375"/>
      <c r="DO42" s="1375"/>
      <c r="DP42" s="1375"/>
      <c r="DQ42" s="1376" t="s">
        <v>1235</v>
      </c>
      <c r="DR42" s="1377"/>
      <c r="DS42" s="1378">
        <v>0</v>
      </c>
      <c r="DT42" s="1377"/>
      <c r="DU42" s="1377"/>
      <c r="DV42" s="1377"/>
      <c r="DW42" s="1377"/>
      <c r="DX42" s="1377"/>
      <c r="DY42" s="1378">
        <v>0</v>
      </c>
      <c r="DZ42" s="1377"/>
      <c r="EA42" s="1377"/>
      <c r="EB42" s="1377"/>
      <c r="EC42" s="1378">
        <v>0</v>
      </c>
      <c r="ED42" s="1378">
        <v>0</v>
      </c>
      <c r="EE42" s="1380">
        <v>1</v>
      </c>
      <c r="EF42" s="1380">
        <v>0</v>
      </c>
      <c r="EG42" s="1380">
        <v>1</v>
      </c>
      <c r="EH42" s="41"/>
      <c r="EJ42" s="678"/>
      <c r="EK42" s="678"/>
      <c r="EL42" s="678"/>
      <c r="EM42" s="679" t="s">
        <v>1344</v>
      </c>
      <c r="EN42" s="681">
        <v>0</v>
      </c>
      <c r="EO42" s="681">
        <v>0</v>
      </c>
      <c r="EP42" s="681">
        <v>0</v>
      </c>
      <c r="EQ42" s="681">
        <v>0</v>
      </c>
      <c r="ER42" s="681">
        <v>0</v>
      </c>
      <c r="ES42" s="681">
        <v>0</v>
      </c>
      <c r="ET42" s="681">
        <v>2</v>
      </c>
      <c r="EU42" s="681">
        <v>0</v>
      </c>
      <c r="EV42" s="681">
        <v>0</v>
      </c>
      <c r="EW42" s="681">
        <v>5</v>
      </c>
      <c r="EX42" s="681">
        <v>3</v>
      </c>
      <c r="EY42" s="681">
        <v>3</v>
      </c>
      <c r="EZ42" s="681">
        <v>0</v>
      </c>
      <c r="FA42" s="681">
        <v>0</v>
      </c>
      <c r="FB42" s="680"/>
      <c r="FC42" s="682"/>
      <c r="FD42" s="682"/>
      <c r="FE42" s="683">
        <v>13</v>
      </c>
      <c r="FF42" s="105"/>
      <c r="FH42" s="511" t="s">
        <v>25</v>
      </c>
      <c r="FI42" s="511" t="s">
        <v>4</v>
      </c>
      <c r="FJ42" s="511" t="s">
        <v>120</v>
      </c>
      <c r="FK42" s="511" t="s">
        <v>1229</v>
      </c>
      <c r="FL42" s="512" t="s">
        <v>1230</v>
      </c>
      <c r="FM42" s="684"/>
      <c r="FN42" s="684"/>
      <c r="FO42" s="684"/>
      <c r="FP42" s="684"/>
      <c r="FQ42" s="684"/>
      <c r="FR42" s="684"/>
      <c r="FS42" s="684"/>
      <c r="FT42" s="684"/>
      <c r="FU42" s="684"/>
      <c r="FV42" s="684"/>
      <c r="FW42" s="684"/>
      <c r="FX42" s="684"/>
      <c r="FY42" s="684"/>
      <c r="FZ42" s="684"/>
      <c r="GA42" s="685">
        <v>1</v>
      </c>
      <c r="GB42" s="686"/>
      <c r="GC42" s="687">
        <v>0</v>
      </c>
      <c r="GD42" s="687">
        <v>1</v>
      </c>
      <c r="GE42" s="635"/>
      <c r="GF42" s="41"/>
      <c r="GG42" s="688"/>
      <c r="GH42" s="688"/>
      <c r="GI42" s="688"/>
      <c r="GJ42" s="704" t="s">
        <v>15</v>
      </c>
      <c r="GK42" s="705"/>
      <c r="GL42" s="705"/>
      <c r="GM42" s="705"/>
      <c r="GN42" s="705"/>
      <c r="GO42" s="705"/>
      <c r="GP42" s="463">
        <v>2</v>
      </c>
      <c r="GQ42" s="705"/>
      <c r="GR42" s="705"/>
      <c r="GS42" s="705"/>
      <c r="GT42" s="705"/>
      <c r="GU42" s="705"/>
      <c r="GV42" s="463">
        <v>2</v>
      </c>
      <c r="GW42" s="705"/>
      <c r="GX42" s="463">
        <v>4</v>
      </c>
      <c r="GY42" s="628">
        <f>+(GX41+GX40-GV40)/GX42</f>
        <v>0.5</v>
      </c>
      <c r="GZ42" s="41"/>
      <c r="HA42" s="41"/>
      <c r="HB42" s="105"/>
      <c r="HC42" s="105"/>
      <c r="HD42" s="41"/>
      <c r="HE42" s="41" t="s">
        <v>1344</v>
      </c>
      <c r="HF42" s="105"/>
      <c r="HG42" s="105"/>
      <c r="HH42" s="105"/>
      <c r="HI42" s="105"/>
      <c r="HJ42" s="105"/>
      <c r="HK42" s="105"/>
      <c r="HL42" s="105">
        <v>0</v>
      </c>
      <c r="HM42" s="105"/>
      <c r="HN42" s="105"/>
      <c r="HO42" s="105"/>
      <c r="HP42" s="105">
        <v>1</v>
      </c>
      <c r="HQ42" s="105"/>
      <c r="HR42" s="105"/>
      <c r="HS42" s="105">
        <v>1</v>
      </c>
      <c r="HT42" s="105">
        <v>0</v>
      </c>
      <c r="HU42" s="105">
        <v>0</v>
      </c>
      <c r="HV42" s="105">
        <v>2</v>
      </c>
      <c r="HW42" s="41"/>
      <c r="HX42" s="41"/>
      <c r="HY42" s="691"/>
      <c r="HZ42" s="691"/>
      <c r="IA42" s="691"/>
      <c r="IB42" s="691" t="s">
        <v>1233</v>
      </c>
      <c r="IC42" s="691">
        <v>0</v>
      </c>
      <c r="ID42" s="691">
        <v>0</v>
      </c>
      <c r="IE42" s="691">
        <v>0</v>
      </c>
      <c r="IF42" s="691">
        <v>0</v>
      </c>
      <c r="IG42" s="691">
        <v>0</v>
      </c>
      <c r="IH42" s="691">
        <v>0</v>
      </c>
      <c r="II42" s="691">
        <v>0</v>
      </c>
      <c r="IJ42" s="691">
        <v>1</v>
      </c>
      <c r="IK42" s="691">
        <v>0</v>
      </c>
      <c r="IL42" s="691">
        <v>0</v>
      </c>
      <c r="IM42" s="691">
        <v>0</v>
      </c>
      <c r="IN42" s="691">
        <v>0</v>
      </c>
      <c r="IO42" s="691">
        <v>0</v>
      </c>
      <c r="IP42" s="691">
        <v>0</v>
      </c>
      <c r="IQ42" s="691">
        <v>0</v>
      </c>
      <c r="IR42" s="691">
        <v>0</v>
      </c>
      <c r="IS42" s="691">
        <v>1</v>
      </c>
      <c r="IT42" s="691"/>
      <c r="IU42" s="692"/>
    </row>
    <row r="43" spans="2:255">
      <c r="D43" s="4800" t="s">
        <v>15</v>
      </c>
      <c r="E43" s="4606"/>
      <c r="F43" s="4606"/>
      <c r="G43" s="4606"/>
      <c r="H43" s="4606"/>
      <c r="I43" s="4606"/>
      <c r="J43" s="4606"/>
      <c r="K43" s="4606"/>
      <c r="L43" s="4606"/>
      <c r="M43" s="4606"/>
      <c r="N43" s="4606">
        <v>1</v>
      </c>
      <c r="O43" s="4606"/>
      <c r="P43" s="4606">
        <v>1</v>
      </c>
      <c r="Q43" s="4606">
        <v>1</v>
      </c>
      <c r="R43" s="4606">
        <v>1</v>
      </c>
      <c r="S43" s="2552"/>
      <c r="T43" s="2552"/>
      <c r="U43" s="2552">
        <v>4</v>
      </c>
      <c r="V43" s="1977">
        <f>+(U42)/(U43)</f>
        <v>0.25</v>
      </c>
      <c r="AA43" s="1793" t="s">
        <v>15</v>
      </c>
      <c r="AB43" s="4804"/>
      <c r="AC43" s="4804"/>
      <c r="AD43" s="4804"/>
      <c r="AE43" s="4804"/>
      <c r="AF43" s="4804"/>
      <c r="AG43" s="4804"/>
      <c r="AH43" s="4804"/>
      <c r="AI43" s="4804"/>
      <c r="AJ43" s="4804">
        <v>1</v>
      </c>
      <c r="AK43" s="4804"/>
      <c r="AL43" s="4804"/>
      <c r="AM43" s="4804"/>
      <c r="AN43" s="4804"/>
      <c r="AO43" s="4804"/>
      <c r="AP43" s="4702"/>
      <c r="AQ43" s="4702">
        <v>1</v>
      </c>
      <c r="AR43" s="4703">
        <f>+AQ40/AQ41</f>
        <v>0.25</v>
      </c>
      <c r="AT43" s="41"/>
      <c r="AU43" s="41"/>
      <c r="AV43" s="41" t="s">
        <v>1637</v>
      </c>
      <c r="AW43" s="41" t="s">
        <v>1239</v>
      </c>
      <c r="AX43" s="690"/>
      <c r="AY43" s="690"/>
      <c r="AZ43" s="690"/>
      <c r="BA43" s="690"/>
      <c r="BB43" s="690"/>
      <c r="BC43" s="690"/>
      <c r="BD43" s="690"/>
      <c r="BE43" s="690"/>
      <c r="BF43" s="690"/>
      <c r="BG43" s="690"/>
      <c r="BH43" s="690"/>
      <c r="BI43" s="690">
        <v>1</v>
      </c>
      <c r="BJ43" s="690"/>
      <c r="BK43" s="690"/>
      <c r="BL43" s="690"/>
      <c r="BM43" s="41"/>
      <c r="BN43" s="41"/>
      <c r="BO43" s="41">
        <v>1</v>
      </c>
      <c r="BP43" s="41"/>
      <c r="BR43" s="41"/>
      <c r="BS43" s="41"/>
      <c r="BT43" s="41"/>
      <c r="BU43" s="461" t="s">
        <v>106</v>
      </c>
      <c r="BV43" s="2001"/>
      <c r="BW43" s="2001"/>
      <c r="BX43" s="2001">
        <v>1</v>
      </c>
      <c r="BY43" s="2001"/>
      <c r="BZ43" s="2001"/>
      <c r="CA43" s="2001"/>
      <c r="CB43" s="2001"/>
      <c r="CC43" s="2001">
        <v>1</v>
      </c>
      <c r="CD43" s="2001">
        <v>1</v>
      </c>
      <c r="CE43" s="2001">
        <v>3</v>
      </c>
      <c r="CF43" s="2001">
        <v>2</v>
      </c>
      <c r="CG43" s="2001">
        <v>4</v>
      </c>
      <c r="CH43" s="2001">
        <v>2</v>
      </c>
      <c r="CI43" s="2001">
        <v>2</v>
      </c>
      <c r="CJ43" s="2001">
        <v>4</v>
      </c>
      <c r="CK43" s="105"/>
      <c r="CL43" s="105"/>
      <c r="CM43" s="105">
        <v>20</v>
      </c>
      <c r="CN43" s="635">
        <f>+(CM38+CM41+CM42)/CM43</f>
        <v>0.4</v>
      </c>
      <c r="CR43" s="41"/>
      <c r="CS43" s="41" t="s">
        <v>1240</v>
      </c>
      <c r="CT43" s="1665"/>
      <c r="CU43" s="1665"/>
      <c r="CV43" s="1665">
        <v>0</v>
      </c>
      <c r="CW43" s="1665"/>
      <c r="CX43" s="1665">
        <v>0</v>
      </c>
      <c r="CY43" s="1665"/>
      <c r="CZ43" s="1665">
        <v>0</v>
      </c>
      <c r="DA43" s="1665">
        <v>0</v>
      </c>
      <c r="DB43" s="1665">
        <v>0</v>
      </c>
      <c r="DC43" s="1665">
        <v>2</v>
      </c>
      <c r="DD43" s="1665">
        <v>1</v>
      </c>
      <c r="DE43" s="1665">
        <v>0</v>
      </c>
      <c r="DF43" s="1665">
        <v>0</v>
      </c>
      <c r="DG43" s="1665">
        <v>0</v>
      </c>
      <c r="DH43" s="1665">
        <v>0</v>
      </c>
      <c r="DI43" s="41"/>
      <c r="DJ43" s="41"/>
      <c r="DK43" s="41">
        <v>3</v>
      </c>
      <c r="DL43" s="41"/>
      <c r="DN43" s="1375"/>
      <c r="DO43" s="1375"/>
      <c r="DP43" s="1375"/>
      <c r="DQ43" s="1376" t="s">
        <v>1239</v>
      </c>
      <c r="DR43" s="1377"/>
      <c r="DS43" s="1378">
        <v>0</v>
      </c>
      <c r="DT43" s="1377"/>
      <c r="DU43" s="1377"/>
      <c r="DV43" s="1377"/>
      <c r="DW43" s="1377"/>
      <c r="DX43" s="1377"/>
      <c r="DY43" s="1378">
        <v>0</v>
      </c>
      <c r="DZ43" s="1377"/>
      <c r="EA43" s="1377"/>
      <c r="EB43" s="1377"/>
      <c r="EC43" s="1378">
        <v>0</v>
      </c>
      <c r="ED43" s="1378">
        <v>2</v>
      </c>
      <c r="EE43" s="1380">
        <v>0</v>
      </c>
      <c r="EF43" s="1380">
        <v>4</v>
      </c>
      <c r="EG43" s="1380">
        <v>6</v>
      </c>
      <c r="EH43" s="41"/>
      <c r="EJ43" s="678"/>
      <c r="EK43" s="678"/>
      <c r="EL43" s="678"/>
      <c r="EM43" s="697" t="s">
        <v>106</v>
      </c>
      <c r="EN43" s="699">
        <v>1</v>
      </c>
      <c r="EO43" s="699">
        <v>1</v>
      </c>
      <c r="EP43" s="699">
        <v>2</v>
      </c>
      <c r="EQ43" s="699">
        <v>3</v>
      </c>
      <c r="ER43" s="699">
        <v>1</v>
      </c>
      <c r="ES43" s="699">
        <v>1</v>
      </c>
      <c r="ET43" s="699">
        <v>12</v>
      </c>
      <c r="EU43" s="699">
        <v>6</v>
      </c>
      <c r="EV43" s="699">
        <v>3</v>
      </c>
      <c r="EW43" s="699">
        <v>8</v>
      </c>
      <c r="EX43" s="699">
        <v>9</v>
      </c>
      <c r="EY43" s="699">
        <v>5</v>
      </c>
      <c r="EZ43" s="699">
        <v>5</v>
      </c>
      <c r="FA43" s="699">
        <v>1</v>
      </c>
      <c r="FB43" s="698"/>
      <c r="FC43" s="700"/>
      <c r="FD43" s="700"/>
      <c r="FE43" s="701">
        <v>58</v>
      </c>
      <c r="FF43" s="635">
        <f>+(FE39+FE41+FE42)/FE43</f>
        <v>0.29310344827586204</v>
      </c>
      <c r="FH43" s="511"/>
      <c r="FI43" s="511"/>
      <c r="FJ43" s="511"/>
      <c r="FK43" s="511"/>
      <c r="FL43" s="512" t="s">
        <v>1231</v>
      </c>
      <c r="FM43" s="684"/>
      <c r="FN43" s="684"/>
      <c r="FO43" s="684"/>
      <c r="FP43" s="684"/>
      <c r="FQ43" s="684"/>
      <c r="FR43" s="684"/>
      <c r="FS43" s="684"/>
      <c r="FT43" s="684"/>
      <c r="FU43" s="684"/>
      <c r="FV43" s="684"/>
      <c r="FW43" s="684"/>
      <c r="FX43" s="684"/>
      <c r="FY43" s="684"/>
      <c r="FZ43" s="684"/>
      <c r="GA43" s="685">
        <v>1</v>
      </c>
      <c r="GB43" s="686"/>
      <c r="GC43" s="687">
        <v>0</v>
      </c>
      <c r="GD43" s="687">
        <v>1</v>
      </c>
      <c r="GE43" s="635"/>
      <c r="GF43" s="41"/>
      <c r="GG43" s="688"/>
      <c r="GH43" s="688"/>
      <c r="GI43" s="688" t="s">
        <v>124</v>
      </c>
      <c r="GJ43" s="457" t="s">
        <v>1239</v>
      </c>
      <c r="GK43" s="689"/>
      <c r="GL43" s="689"/>
      <c r="GM43" s="689"/>
      <c r="GN43" s="689"/>
      <c r="GO43" s="689"/>
      <c r="GP43" s="689"/>
      <c r="GQ43" s="689"/>
      <c r="GR43" s="689"/>
      <c r="GS43" s="689"/>
      <c r="GT43" s="689"/>
      <c r="GU43" s="458">
        <v>1</v>
      </c>
      <c r="GV43" s="689"/>
      <c r="GW43" s="689"/>
      <c r="GX43" s="458">
        <v>1</v>
      </c>
      <c r="GY43" s="690"/>
      <c r="GZ43" s="41"/>
      <c r="HA43" s="41"/>
      <c r="HB43" s="105"/>
      <c r="HC43" s="105"/>
      <c r="HD43" s="41"/>
      <c r="HE43" s="461" t="s">
        <v>15</v>
      </c>
      <c r="HF43" s="96"/>
      <c r="HG43" s="96"/>
      <c r="HH43" s="96"/>
      <c r="HI43" s="96"/>
      <c r="HJ43" s="96"/>
      <c r="HK43" s="96"/>
      <c r="HL43" s="96">
        <v>1</v>
      </c>
      <c r="HM43" s="96"/>
      <c r="HN43" s="96"/>
      <c r="HO43" s="96"/>
      <c r="HP43" s="96">
        <v>1</v>
      </c>
      <c r="HQ43" s="96"/>
      <c r="HR43" s="96"/>
      <c r="HS43" s="96">
        <v>6</v>
      </c>
      <c r="HT43" s="96">
        <v>1</v>
      </c>
      <c r="HU43" s="96">
        <v>4</v>
      </c>
      <c r="HV43" s="96">
        <v>13</v>
      </c>
      <c r="HW43" s="706">
        <f>+HV42/HV43</f>
        <v>0.15384615384615385</v>
      </c>
      <c r="HX43" s="41"/>
      <c r="HY43" s="691"/>
      <c r="HZ43" s="691"/>
      <c r="IA43" s="691"/>
      <c r="IB43" s="691" t="s">
        <v>1235</v>
      </c>
      <c r="IC43" s="691">
        <v>0</v>
      </c>
      <c r="ID43" s="691">
        <v>0</v>
      </c>
      <c r="IE43" s="691">
        <v>0</v>
      </c>
      <c r="IF43" s="691">
        <v>0</v>
      </c>
      <c r="IG43" s="691">
        <v>0</v>
      </c>
      <c r="IH43" s="691">
        <v>0</v>
      </c>
      <c r="II43" s="691">
        <v>0</v>
      </c>
      <c r="IJ43" s="691">
        <v>0</v>
      </c>
      <c r="IK43" s="691">
        <v>1</v>
      </c>
      <c r="IL43" s="691">
        <v>0</v>
      </c>
      <c r="IM43" s="691">
        <v>0</v>
      </c>
      <c r="IN43" s="691">
        <v>1</v>
      </c>
      <c r="IO43" s="691">
        <v>0</v>
      </c>
      <c r="IP43" s="691">
        <v>0</v>
      </c>
      <c r="IQ43" s="691">
        <v>0</v>
      </c>
      <c r="IR43" s="691">
        <v>0</v>
      </c>
      <c r="IS43" s="691">
        <v>2</v>
      </c>
      <c r="IT43" s="691"/>
      <c r="IU43" s="692"/>
    </row>
    <row r="44" spans="2:255">
      <c r="C44" s="4800" t="s">
        <v>1641</v>
      </c>
      <c r="D44" s="4800" t="s">
        <v>1231</v>
      </c>
      <c r="E44" s="4606"/>
      <c r="F44" s="4606"/>
      <c r="G44" s="4606"/>
      <c r="H44" s="4606"/>
      <c r="I44" s="4606"/>
      <c r="J44" s="4606"/>
      <c r="K44" s="4606"/>
      <c r="L44" s="4606"/>
      <c r="M44" s="4606">
        <v>1</v>
      </c>
      <c r="N44" s="4606"/>
      <c r="O44" s="4606"/>
      <c r="P44" s="4606"/>
      <c r="Q44" s="4606"/>
      <c r="R44" s="4606"/>
      <c r="S44" s="2552"/>
      <c r="T44" s="2552"/>
      <c r="U44" s="2552">
        <v>1</v>
      </c>
      <c r="V44" s="2552"/>
      <c r="Z44" s="1793" t="s">
        <v>546</v>
      </c>
      <c r="AA44" s="1793" t="s">
        <v>1231</v>
      </c>
      <c r="AB44" s="4804">
        <v>0</v>
      </c>
      <c r="AC44" s="4804"/>
      <c r="AD44" s="4804"/>
      <c r="AE44" s="4804"/>
      <c r="AF44" s="4804"/>
      <c r="AG44" s="4804"/>
      <c r="AH44" s="4804"/>
      <c r="AI44" s="4804"/>
      <c r="AJ44" s="4804">
        <v>1</v>
      </c>
      <c r="AK44" s="4804">
        <v>0</v>
      </c>
      <c r="AL44" s="4804">
        <v>1</v>
      </c>
      <c r="AM44" s="4804">
        <v>0</v>
      </c>
      <c r="AN44" s="4804"/>
      <c r="AO44" s="4804">
        <v>0</v>
      </c>
      <c r="AP44" s="4702">
        <v>0</v>
      </c>
      <c r="AQ44" s="4702">
        <v>2</v>
      </c>
      <c r="AT44" s="41"/>
      <c r="AU44" s="41"/>
      <c r="AV44" s="41"/>
      <c r="AW44" s="461" t="s">
        <v>15</v>
      </c>
      <c r="AX44" s="2489"/>
      <c r="AY44" s="2489"/>
      <c r="AZ44" s="2489"/>
      <c r="BA44" s="2489"/>
      <c r="BB44" s="2489"/>
      <c r="BC44" s="2489"/>
      <c r="BD44" s="2489"/>
      <c r="BE44" s="2489"/>
      <c r="BF44" s="2489"/>
      <c r="BG44" s="2489"/>
      <c r="BH44" s="2489"/>
      <c r="BI44" s="2489">
        <v>1</v>
      </c>
      <c r="BJ44" s="2489"/>
      <c r="BK44" s="2489"/>
      <c r="BL44" s="2489"/>
      <c r="BM44" s="461"/>
      <c r="BN44" s="461"/>
      <c r="BO44" s="461">
        <v>1</v>
      </c>
      <c r="BP44" s="635">
        <v>0</v>
      </c>
      <c r="BQ44" s="1977"/>
      <c r="BR44" s="41" t="s">
        <v>25</v>
      </c>
      <c r="BS44" s="41" t="s">
        <v>4</v>
      </c>
      <c r="BT44" s="41" t="s">
        <v>120</v>
      </c>
      <c r="BU44" s="41" t="s">
        <v>1239</v>
      </c>
      <c r="BV44" s="2001"/>
      <c r="BW44" s="2001"/>
      <c r="BX44" s="2001"/>
      <c r="BY44" s="2001"/>
      <c r="BZ44" s="2001"/>
      <c r="CA44" s="2001"/>
      <c r="CB44" s="2001"/>
      <c r="CC44" s="2001"/>
      <c r="CD44" s="2001"/>
      <c r="CE44" s="2001"/>
      <c r="CF44" s="2001"/>
      <c r="CG44" s="2001"/>
      <c r="CH44" s="2001"/>
      <c r="CI44" s="2001"/>
      <c r="CJ44" s="2001">
        <v>2</v>
      </c>
      <c r="CK44" s="105"/>
      <c r="CL44" s="105"/>
      <c r="CM44" s="105">
        <v>2</v>
      </c>
      <c r="CN44" s="41"/>
      <c r="CR44" s="41"/>
      <c r="CS44" s="41" t="s">
        <v>1344</v>
      </c>
      <c r="CT44" s="1665"/>
      <c r="CU44" s="1665"/>
      <c r="CV44" s="1665">
        <v>0</v>
      </c>
      <c r="CW44" s="1665"/>
      <c r="CX44" s="1665">
        <v>0</v>
      </c>
      <c r="CY44" s="1665"/>
      <c r="CZ44" s="1665">
        <v>2</v>
      </c>
      <c r="DA44" s="1665">
        <v>2</v>
      </c>
      <c r="DB44" s="1665">
        <v>0</v>
      </c>
      <c r="DC44" s="1665">
        <v>5</v>
      </c>
      <c r="DD44" s="1665">
        <v>0</v>
      </c>
      <c r="DE44" s="1665">
        <v>1</v>
      </c>
      <c r="DF44" s="1665">
        <v>1</v>
      </c>
      <c r="DG44" s="1665">
        <v>0</v>
      </c>
      <c r="DH44" s="1665">
        <v>0</v>
      </c>
      <c r="DI44" s="41"/>
      <c r="DJ44" s="41"/>
      <c r="DK44" s="41">
        <v>11</v>
      </c>
      <c r="DL44" s="41"/>
      <c r="DN44" s="1375"/>
      <c r="DO44" s="1375"/>
      <c r="DP44" s="1375"/>
      <c r="DQ44" s="1372" t="s">
        <v>15</v>
      </c>
      <c r="DR44" s="1381"/>
      <c r="DS44" s="1382">
        <v>2</v>
      </c>
      <c r="DT44" s="1381"/>
      <c r="DU44" s="1381"/>
      <c r="DV44" s="1381"/>
      <c r="DW44" s="1381"/>
      <c r="DX44" s="1381"/>
      <c r="DY44" s="1382">
        <v>1</v>
      </c>
      <c r="DZ44" s="1381"/>
      <c r="EA44" s="1381"/>
      <c r="EB44" s="1381"/>
      <c r="EC44" s="1382">
        <v>1</v>
      </c>
      <c r="ED44" s="1382">
        <v>3</v>
      </c>
      <c r="EE44" s="1384">
        <v>1</v>
      </c>
      <c r="EF44" s="1384">
        <v>4</v>
      </c>
      <c r="EG44" s="1384">
        <v>12</v>
      </c>
      <c r="EH44" s="1325">
        <f>+(EG42-EE42)/EG44</f>
        <v>0</v>
      </c>
      <c r="EJ44" s="678" t="s">
        <v>25</v>
      </c>
      <c r="EK44" s="678" t="s">
        <v>4</v>
      </c>
      <c r="EL44" s="678" t="s">
        <v>120</v>
      </c>
      <c r="EM44" s="679" t="s">
        <v>1235</v>
      </c>
      <c r="EN44" s="680"/>
      <c r="EO44" s="680"/>
      <c r="EP44" s="680"/>
      <c r="EQ44" s="680"/>
      <c r="ER44" s="680"/>
      <c r="ES44" s="680"/>
      <c r="ET44" s="680"/>
      <c r="EU44" s="680"/>
      <c r="EV44" s="680"/>
      <c r="EW44" s="680"/>
      <c r="EX44" s="680"/>
      <c r="EY44" s="680"/>
      <c r="EZ44" s="680"/>
      <c r="FA44" s="680"/>
      <c r="FB44" s="681">
        <v>1</v>
      </c>
      <c r="FC44" s="683">
        <v>0</v>
      </c>
      <c r="FD44" s="682"/>
      <c r="FE44" s="683">
        <v>1</v>
      </c>
      <c r="FF44" s="105"/>
      <c r="FH44" s="511"/>
      <c r="FI44" s="511"/>
      <c r="FJ44" s="511"/>
      <c r="FK44" s="511"/>
      <c r="FL44" s="512" t="s">
        <v>1239</v>
      </c>
      <c r="FM44" s="684"/>
      <c r="FN44" s="684"/>
      <c r="FO44" s="684"/>
      <c r="FP44" s="684"/>
      <c r="FQ44" s="684"/>
      <c r="FR44" s="684"/>
      <c r="FS44" s="684"/>
      <c r="FT44" s="684"/>
      <c r="FU44" s="684"/>
      <c r="FV44" s="684"/>
      <c r="FW44" s="684"/>
      <c r="FX44" s="684"/>
      <c r="FY44" s="684"/>
      <c r="FZ44" s="684"/>
      <c r="GA44" s="685">
        <v>1</v>
      </c>
      <c r="GB44" s="686"/>
      <c r="GC44" s="687">
        <v>1</v>
      </c>
      <c r="GD44" s="687">
        <v>2</v>
      </c>
      <c r="GE44" s="635"/>
      <c r="GF44" s="41"/>
      <c r="GG44" s="688"/>
      <c r="GH44" s="688"/>
      <c r="GI44" s="688"/>
      <c r="GJ44" s="704" t="s">
        <v>15</v>
      </c>
      <c r="GK44" s="705"/>
      <c r="GL44" s="705"/>
      <c r="GM44" s="705"/>
      <c r="GN44" s="705"/>
      <c r="GO44" s="705"/>
      <c r="GP44" s="705"/>
      <c r="GQ44" s="705"/>
      <c r="GR44" s="705"/>
      <c r="GS44" s="705"/>
      <c r="GT44" s="705"/>
      <c r="GU44" s="463">
        <v>1</v>
      </c>
      <c r="GV44" s="705"/>
      <c r="GW44" s="705"/>
      <c r="GX44" s="463">
        <v>1</v>
      </c>
      <c r="GY44" s="628">
        <v>0</v>
      </c>
      <c r="GZ44" s="41"/>
      <c r="HA44" s="41"/>
      <c r="HB44" s="105"/>
      <c r="HC44" s="105"/>
      <c r="HD44" s="41" t="s">
        <v>123</v>
      </c>
      <c r="HE44" s="41" t="s">
        <v>1230</v>
      </c>
      <c r="HF44" s="105"/>
      <c r="HG44" s="105"/>
      <c r="HH44" s="105"/>
      <c r="HI44" s="105"/>
      <c r="HJ44" s="105"/>
      <c r="HK44" s="105"/>
      <c r="HL44" s="105"/>
      <c r="HM44" s="105"/>
      <c r="HN44" s="105">
        <v>0</v>
      </c>
      <c r="HO44" s="105">
        <v>0</v>
      </c>
      <c r="HP44" s="105"/>
      <c r="HQ44" s="105">
        <v>0</v>
      </c>
      <c r="HR44" s="105"/>
      <c r="HS44" s="105">
        <v>1</v>
      </c>
      <c r="HT44" s="105"/>
      <c r="HU44" s="105"/>
      <c r="HV44" s="105">
        <v>1</v>
      </c>
      <c r="HW44" s="41"/>
      <c r="HX44" s="41"/>
      <c r="HY44" s="691"/>
      <c r="HZ44" s="691"/>
      <c r="IA44" s="691"/>
      <c r="IB44" s="691" t="s">
        <v>1236</v>
      </c>
      <c r="IC44" s="691">
        <v>1</v>
      </c>
      <c r="ID44" s="691">
        <v>0</v>
      </c>
      <c r="IE44" s="691">
        <v>0</v>
      </c>
      <c r="IF44" s="691">
        <v>0</v>
      </c>
      <c r="IG44" s="691">
        <v>0</v>
      </c>
      <c r="IH44" s="691">
        <v>0</v>
      </c>
      <c r="II44" s="691">
        <v>0</v>
      </c>
      <c r="IJ44" s="691">
        <v>0</v>
      </c>
      <c r="IK44" s="691">
        <v>1</v>
      </c>
      <c r="IL44" s="691">
        <v>0</v>
      </c>
      <c r="IM44" s="691">
        <v>1</v>
      </c>
      <c r="IN44" s="691">
        <v>0</v>
      </c>
      <c r="IO44" s="691">
        <v>0</v>
      </c>
      <c r="IP44" s="691">
        <v>0</v>
      </c>
      <c r="IQ44" s="691">
        <v>0</v>
      </c>
      <c r="IR44" s="691">
        <v>0</v>
      </c>
      <c r="IS44" s="691">
        <v>3</v>
      </c>
      <c r="IT44" s="691"/>
      <c r="IU44" s="692"/>
    </row>
    <row r="45" spans="2:255">
      <c r="D45" s="4800" t="s">
        <v>15</v>
      </c>
      <c r="E45" s="4606"/>
      <c r="F45" s="4606"/>
      <c r="G45" s="4606"/>
      <c r="H45" s="4606"/>
      <c r="I45" s="4606"/>
      <c r="J45" s="4606"/>
      <c r="K45" s="4606"/>
      <c r="L45" s="4606"/>
      <c r="M45" s="4606">
        <v>1</v>
      </c>
      <c r="N45" s="4606"/>
      <c r="O45" s="4606"/>
      <c r="P45" s="4606"/>
      <c r="Q45" s="4606"/>
      <c r="R45" s="4606"/>
      <c r="S45" s="2552"/>
      <c r="T45" s="2552"/>
      <c r="U45" s="2552">
        <v>1</v>
      </c>
      <c r="V45" s="1977">
        <v>0</v>
      </c>
      <c r="Z45" s="1793"/>
      <c r="AA45" s="1793" t="s">
        <v>1236</v>
      </c>
      <c r="AB45" s="4804">
        <v>0</v>
      </c>
      <c r="AC45" s="4804"/>
      <c r="AD45" s="4804"/>
      <c r="AE45" s="4804"/>
      <c r="AF45" s="4804"/>
      <c r="AG45" s="4804"/>
      <c r="AH45" s="4804"/>
      <c r="AI45" s="4804"/>
      <c r="AJ45" s="4804">
        <v>0</v>
      </c>
      <c r="AK45" s="4804">
        <v>0</v>
      </c>
      <c r="AL45" s="4804">
        <v>0</v>
      </c>
      <c r="AM45" s="4804">
        <v>0</v>
      </c>
      <c r="AN45" s="4804"/>
      <c r="AO45" s="4804">
        <v>1</v>
      </c>
      <c r="AP45" s="4702">
        <v>1</v>
      </c>
      <c r="AQ45" s="4702">
        <v>2</v>
      </c>
      <c r="AR45" s="4703">
        <v>0</v>
      </c>
      <c r="AT45" s="41"/>
      <c r="AU45" s="41"/>
      <c r="AV45" s="41" t="s">
        <v>1641</v>
      </c>
      <c r="AW45" s="41" t="s">
        <v>1231</v>
      </c>
      <c r="AX45" s="690"/>
      <c r="AY45" s="690"/>
      <c r="AZ45" s="690"/>
      <c r="BA45" s="690"/>
      <c r="BB45" s="690"/>
      <c r="BC45" s="690"/>
      <c r="BD45" s="690"/>
      <c r="BE45" s="690">
        <v>1</v>
      </c>
      <c r="BF45" s="690"/>
      <c r="BG45" s="690">
        <v>1</v>
      </c>
      <c r="BH45" s="690">
        <v>1</v>
      </c>
      <c r="BI45" s="690">
        <v>1</v>
      </c>
      <c r="BJ45" s="690"/>
      <c r="BK45" s="690">
        <v>1</v>
      </c>
      <c r="BL45" s="690">
        <v>0</v>
      </c>
      <c r="BM45" s="41"/>
      <c r="BN45" s="41"/>
      <c r="BO45" s="41">
        <v>5</v>
      </c>
      <c r="BP45" s="41"/>
      <c r="BR45" s="41"/>
      <c r="BS45" s="41"/>
      <c r="BT45" s="41"/>
      <c r="BU45" s="461" t="s">
        <v>15</v>
      </c>
      <c r="BV45" s="2002"/>
      <c r="BW45" s="2002"/>
      <c r="BX45" s="2002"/>
      <c r="BY45" s="2002"/>
      <c r="BZ45" s="2002"/>
      <c r="CA45" s="2002"/>
      <c r="CB45" s="2002"/>
      <c r="CC45" s="2002"/>
      <c r="CD45" s="2002"/>
      <c r="CE45" s="2002"/>
      <c r="CF45" s="2002"/>
      <c r="CG45" s="2002"/>
      <c r="CH45" s="2002"/>
      <c r="CI45" s="2002"/>
      <c r="CJ45" s="2002">
        <v>2</v>
      </c>
      <c r="CK45" s="96"/>
      <c r="CL45" s="96"/>
      <c r="CM45" s="96">
        <v>2</v>
      </c>
      <c r="CN45" s="635">
        <v>0</v>
      </c>
      <c r="CR45" s="41"/>
      <c r="CS45" s="461" t="s">
        <v>106</v>
      </c>
      <c r="CT45" s="1666"/>
      <c r="CU45" s="1666"/>
      <c r="CV45" s="1666">
        <v>2</v>
      </c>
      <c r="CW45" s="1666"/>
      <c r="CX45" s="1666">
        <v>1</v>
      </c>
      <c r="CY45" s="1666"/>
      <c r="CZ45" s="1666">
        <v>5</v>
      </c>
      <c r="DA45" s="1666">
        <v>3</v>
      </c>
      <c r="DB45" s="1666">
        <v>2</v>
      </c>
      <c r="DC45" s="1666">
        <v>8</v>
      </c>
      <c r="DD45" s="1666">
        <v>5</v>
      </c>
      <c r="DE45" s="1666">
        <v>2</v>
      </c>
      <c r="DF45" s="1666">
        <v>5</v>
      </c>
      <c r="DG45" s="1666">
        <v>5</v>
      </c>
      <c r="DH45" s="1666">
        <v>2</v>
      </c>
      <c r="DI45" s="461"/>
      <c r="DJ45" s="461"/>
      <c r="DK45" s="461">
        <v>40</v>
      </c>
      <c r="DL45" s="635">
        <f>+(DK43+DK44)/DK45</f>
        <v>0.35</v>
      </c>
      <c r="DN45" s="1375"/>
      <c r="DO45" s="1375"/>
      <c r="DP45" s="1375" t="s">
        <v>123</v>
      </c>
      <c r="DQ45" s="1376" t="s">
        <v>1231</v>
      </c>
      <c r="DR45" s="1377"/>
      <c r="DS45" s="1377"/>
      <c r="DT45" s="1377"/>
      <c r="DU45" s="1377"/>
      <c r="DV45" s="1378">
        <v>1</v>
      </c>
      <c r="DW45" s="1378">
        <v>1</v>
      </c>
      <c r="DX45" s="1377"/>
      <c r="DY45" s="1377"/>
      <c r="DZ45" s="1377"/>
      <c r="EA45" s="1377"/>
      <c r="EB45" s="1378">
        <v>0</v>
      </c>
      <c r="EC45" s="1378">
        <v>1</v>
      </c>
      <c r="ED45" s="1378">
        <v>0</v>
      </c>
      <c r="EE45" s="1380">
        <v>0</v>
      </c>
      <c r="EF45" s="1380">
        <v>0</v>
      </c>
      <c r="EG45" s="1380">
        <v>3</v>
      </c>
      <c r="EH45" s="41"/>
      <c r="EJ45" s="678"/>
      <c r="EK45" s="678"/>
      <c r="EL45" s="678"/>
      <c r="EM45" s="679" t="s">
        <v>1239</v>
      </c>
      <c r="EN45" s="680"/>
      <c r="EO45" s="680"/>
      <c r="EP45" s="680"/>
      <c r="EQ45" s="680"/>
      <c r="ER45" s="680"/>
      <c r="ES45" s="680"/>
      <c r="ET45" s="680"/>
      <c r="EU45" s="680"/>
      <c r="EV45" s="680"/>
      <c r="EW45" s="680"/>
      <c r="EX45" s="680"/>
      <c r="EY45" s="680"/>
      <c r="EZ45" s="680"/>
      <c r="FA45" s="680"/>
      <c r="FB45" s="681">
        <v>0</v>
      </c>
      <c r="FC45" s="683">
        <v>1</v>
      </c>
      <c r="FD45" s="682"/>
      <c r="FE45" s="683">
        <v>1</v>
      </c>
      <c r="FF45" s="105"/>
      <c r="FH45" s="511"/>
      <c r="FI45" s="511"/>
      <c r="FJ45" s="511"/>
      <c r="FK45" s="511"/>
      <c r="FL45" s="512" t="s">
        <v>1344</v>
      </c>
      <c r="FM45" s="684"/>
      <c r="FN45" s="684"/>
      <c r="FO45" s="684"/>
      <c r="FP45" s="684"/>
      <c r="FQ45" s="684"/>
      <c r="FR45" s="684"/>
      <c r="FS45" s="684"/>
      <c r="FT45" s="684"/>
      <c r="FU45" s="684"/>
      <c r="FV45" s="684"/>
      <c r="FW45" s="684"/>
      <c r="FX45" s="684"/>
      <c r="FY45" s="684"/>
      <c r="FZ45" s="684"/>
      <c r="GA45" s="685">
        <v>1</v>
      </c>
      <c r="GB45" s="686"/>
      <c r="GC45" s="687">
        <v>0</v>
      </c>
      <c r="GD45" s="687">
        <v>1</v>
      </c>
      <c r="GE45" s="635"/>
      <c r="GF45" s="41"/>
      <c r="GG45" s="688"/>
      <c r="GH45" s="688" t="s">
        <v>16</v>
      </c>
      <c r="GI45" s="688" t="s">
        <v>107</v>
      </c>
      <c r="GJ45" s="457" t="s">
        <v>1231</v>
      </c>
      <c r="GK45" s="689"/>
      <c r="GL45" s="689"/>
      <c r="GM45" s="689"/>
      <c r="GN45" s="689"/>
      <c r="GO45" s="689"/>
      <c r="GP45" s="458">
        <v>1</v>
      </c>
      <c r="GQ45" s="458">
        <v>1</v>
      </c>
      <c r="GR45" s="458">
        <v>1</v>
      </c>
      <c r="GS45" s="689"/>
      <c r="GT45" s="458">
        <v>0</v>
      </c>
      <c r="GU45" s="458">
        <v>0</v>
      </c>
      <c r="GV45" s="458">
        <v>0</v>
      </c>
      <c r="GW45" s="458">
        <v>0</v>
      </c>
      <c r="GX45" s="458">
        <v>3</v>
      </c>
      <c r="GY45" s="690"/>
      <c r="GZ45" s="41"/>
      <c r="HA45" s="41"/>
      <c r="HB45" s="105"/>
      <c r="HC45" s="105"/>
      <c r="HD45" s="41"/>
      <c r="HE45" s="41" t="s">
        <v>1231</v>
      </c>
      <c r="HF45" s="105"/>
      <c r="HG45" s="105"/>
      <c r="HH45" s="105"/>
      <c r="HI45" s="105"/>
      <c r="HJ45" s="105"/>
      <c r="HK45" s="105"/>
      <c r="HL45" s="105"/>
      <c r="HM45" s="105"/>
      <c r="HN45" s="105">
        <v>1</v>
      </c>
      <c r="HO45" s="105">
        <v>0</v>
      </c>
      <c r="HP45" s="105"/>
      <c r="HQ45" s="105">
        <v>0</v>
      </c>
      <c r="HR45" s="105"/>
      <c r="HS45" s="105">
        <v>0</v>
      </c>
      <c r="HT45" s="105"/>
      <c r="HU45" s="105"/>
      <c r="HV45" s="105">
        <v>1</v>
      </c>
      <c r="HW45" s="41"/>
      <c r="HX45" s="41"/>
      <c r="HY45" s="691"/>
      <c r="HZ45" s="691"/>
      <c r="IA45" s="691"/>
      <c r="IB45" s="702" t="s">
        <v>15</v>
      </c>
      <c r="IC45" s="702">
        <v>1</v>
      </c>
      <c r="ID45" s="702">
        <v>0</v>
      </c>
      <c r="IE45" s="702">
        <v>0</v>
      </c>
      <c r="IF45" s="702">
        <v>0</v>
      </c>
      <c r="IG45" s="702">
        <v>0</v>
      </c>
      <c r="IH45" s="702">
        <v>1</v>
      </c>
      <c r="II45" s="702">
        <v>0</v>
      </c>
      <c r="IJ45" s="702">
        <v>1</v>
      </c>
      <c r="IK45" s="702">
        <v>2</v>
      </c>
      <c r="IL45" s="702">
        <v>1</v>
      </c>
      <c r="IM45" s="702">
        <v>1</v>
      </c>
      <c r="IN45" s="702">
        <v>1</v>
      </c>
      <c r="IO45" s="702">
        <v>0</v>
      </c>
      <c r="IP45" s="702">
        <v>0</v>
      </c>
      <c r="IQ45" s="702">
        <v>0</v>
      </c>
      <c r="IR45" s="702">
        <v>0</v>
      </c>
      <c r="IS45" s="702">
        <v>8</v>
      </c>
      <c r="IT45" s="703">
        <f>+IS43/IS45</f>
        <v>0.25</v>
      </c>
      <c r="IU45" s="692">
        <f>+IS43</f>
        <v>2</v>
      </c>
    </row>
    <row r="46" spans="2:255">
      <c r="C46" s="32" t="s">
        <v>546</v>
      </c>
      <c r="D46" s="32" t="s">
        <v>1231</v>
      </c>
      <c r="E46" s="4607"/>
      <c r="F46" s="4607"/>
      <c r="G46" s="4607"/>
      <c r="H46" s="4607"/>
      <c r="I46" s="4607"/>
      <c r="J46" s="4607"/>
      <c r="K46" s="4607"/>
      <c r="L46" s="4607"/>
      <c r="M46" s="4607">
        <v>1</v>
      </c>
      <c r="N46" s="4607">
        <v>0</v>
      </c>
      <c r="O46" s="4607"/>
      <c r="P46" s="4607">
        <v>0</v>
      </c>
      <c r="Q46" s="4607">
        <v>0</v>
      </c>
      <c r="R46" s="4607">
        <v>0</v>
      </c>
      <c r="S46" s="4583">
        <v>0</v>
      </c>
      <c r="T46" s="4583"/>
      <c r="U46" s="4583">
        <v>1</v>
      </c>
      <c r="V46" s="4583"/>
      <c r="Z46" s="1793"/>
      <c r="AA46" s="1793" t="s">
        <v>1239</v>
      </c>
      <c r="AB46" s="4804">
        <v>0</v>
      </c>
      <c r="AC46" s="4804"/>
      <c r="AD46" s="4804"/>
      <c r="AE46" s="4804"/>
      <c r="AF46" s="4804"/>
      <c r="AG46" s="4804"/>
      <c r="AH46" s="4804"/>
      <c r="AI46" s="4804"/>
      <c r="AJ46" s="4804">
        <v>0</v>
      </c>
      <c r="AK46" s="4804">
        <v>0</v>
      </c>
      <c r="AL46" s="4804">
        <v>0</v>
      </c>
      <c r="AM46" s="4804">
        <v>1</v>
      </c>
      <c r="AN46" s="4804"/>
      <c r="AO46" s="4804">
        <v>0</v>
      </c>
      <c r="AP46" s="4702">
        <v>0</v>
      </c>
      <c r="AQ46" s="4702">
        <v>1</v>
      </c>
      <c r="AR46" s="1793"/>
      <c r="AT46" s="41"/>
      <c r="AU46" s="41"/>
      <c r="AV46" s="41"/>
      <c r="AW46" s="41" t="s">
        <v>1235</v>
      </c>
      <c r="AX46" s="690"/>
      <c r="AY46" s="690"/>
      <c r="AZ46" s="690"/>
      <c r="BA46" s="690"/>
      <c r="BB46" s="690"/>
      <c r="BC46" s="690"/>
      <c r="BD46" s="690"/>
      <c r="BE46" s="690">
        <v>0</v>
      </c>
      <c r="BF46" s="690"/>
      <c r="BG46" s="690">
        <v>1</v>
      </c>
      <c r="BH46" s="690">
        <v>0</v>
      </c>
      <c r="BI46" s="690">
        <v>0</v>
      </c>
      <c r="BJ46" s="690"/>
      <c r="BK46" s="690">
        <v>0</v>
      </c>
      <c r="BL46" s="690">
        <v>0</v>
      </c>
      <c r="BM46" s="41"/>
      <c r="BN46" s="41"/>
      <c r="BO46" s="41">
        <v>1</v>
      </c>
      <c r="BP46" s="41"/>
      <c r="BR46" s="41"/>
      <c r="BS46" s="41"/>
      <c r="BT46" s="41" t="s">
        <v>121</v>
      </c>
      <c r="BU46" s="41" t="s">
        <v>1231</v>
      </c>
      <c r="BV46" s="2001"/>
      <c r="BW46" s="2001"/>
      <c r="BX46" s="2001"/>
      <c r="BY46" s="2001"/>
      <c r="BZ46" s="2001">
        <v>1</v>
      </c>
      <c r="CA46" s="2001"/>
      <c r="CB46" s="2001">
        <v>1</v>
      </c>
      <c r="CC46" s="2001"/>
      <c r="CD46" s="2001"/>
      <c r="CE46" s="2001"/>
      <c r="CF46" s="2001"/>
      <c r="CG46" s="2001">
        <v>0</v>
      </c>
      <c r="CH46" s="2001">
        <v>0</v>
      </c>
      <c r="CI46" s="2001"/>
      <c r="CJ46" s="2001">
        <v>0</v>
      </c>
      <c r="CK46" s="105">
        <v>1</v>
      </c>
      <c r="CL46" s="105">
        <v>0</v>
      </c>
      <c r="CM46" s="105">
        <v>3</v>
      </c>
      <c r="CN46" s="41"/>
      <c r="CP46" s="105" t="s">
        <v>25</v>
      </c>
      <c r="CQ46" s="105" t="s">
        <v>4</v>
      </c>
      <c r="CR46" s="41" t="s">
        <v>120</v>
      </c>
      <c r="CS46" s="41" t="s">
        <v>1344</v>
      </c>
      <c r="CT46" s="1665"/>
      <c r="CU46" s="1665"/>
      <c r="CV46" s="1665"/>
      <c r="CW46" s="1665"/>
      <c r="CX46" s="1665"/>
      <c r="CY46" s="1665"/>
      <c r="CZ46" s="1665"/>
      <c r="DA46" s="1665"/>
      <c r="DB46" s="1665"/>
      <c r="DC46" s="1665"/>
      <c r="DD46" s="1665"/>
      <c r="DE46" s="1665"/>
      <c r="DF46" s="1665"/>
      <c r="DG46" s="1665">
        <v>1</v>
      </c>
      <c r="DH46" s="1665"/>
      <c r="DI46" s="41"/>
      <c r="DJ46" s="41"/>
      <c r="DK46" s="41">
        <v>1</v>
      </c>
      <c r="DL46" s="41"/>
      <c r="DN46" s="1375"/>
      <c r="DO46" s="1375"/>
      <c r="DP46" s="1375"/>
      <c r="DQ46" s="1376" t="s">
        <v>1239</v>
      </c>
      <c r="DR46" s="1377"/>
      <c r="DS46" s="1377"/>
      <c r="DT46" s="1377"/>
      <c r="DU46" s="1377"/>
      <c r="DV46" s="1378">
        <v>0</v>
      </c>
      <c r="DW46" s="1378">
        <v>0</v>
      </c>
      <c r="DX46" s="1377"/>
      <c r="DY46" s="1377"/>
      <c r="DZ46" s="1377"/>
      <c r="EA46" s="1377"/>
      <c r="EB46" s="1378">
        <v>0</v>
      </c>
      <c r="EC46" s="1378">
        <v>0</v>
      </c>
      <c r="ED46" s="1378">
        <v>6</v>
      </c>
      <c r="EE46" s="1380">
        <v>1</v>
      </c>
      <c r="EF46" s="1380">
        <v>3</v>
      </c>
      <c r="EG46" s="1380">
        <v>10</v>
      </c>
      <c r="EH46" s="41"/>
      <c r="EJ46" s="678"/>
      <c r="EK46" s="678"/>
      <c r="EL46" s="678"/>
      <c r="EM46" s="697" t="s">
        <v>15</v>
      </c>
      <c r="EN46" s="698"/>
      <c r="EO46" s="698"/>
      <c r="EP46" s="698"/>
      <c r="EQ46" s="698"/>
      <c r="ER46" s="698"/>
      <c r="ES46" s="698"/>
      <c r="ET46" s="698"/>
      <c r="EU46" s="698"/>
      <c r="EV46" s="698"/>
      <c r="EW46" s="698"/>
      <c r="EX46" s="698"/>
      <c r="EY46" s="698"/>
      <c r="EZ46" s="698"/>
      <c r="FA46" s="698"/>
      <c r="FB46" s="699">
        <v>1</v>
      </c>
      <c r="FC46" s="701">
        <v>1</v>
      </c>
      <c r="FD46" s="700"/>
      <c r="FE46" s="701">
        <v>2</v>
      </c>
      <c r="FF46" s="635">
        <f>+FE44/FE46</f>
        <v>0.5</v>
      </c>
      <c r="FH46" s="511"/>
      <c r="FI46" s="511"/>
      <c r="FJ46" s="511"/>
      <c r="FK46" s="41"/>
      <c r="FL46" s="532" t="s">
        <v>15</v>
      </c>
      <c r="FM46" s="693"/>
      <c r="FN46" s="693"/>
      <c r="FO46" s="693"/>
      <c r="FP46" s="693"/>
      <c r="FQ46" s="693"/>
      <c r="FR46" s="693"/>
      <c r="FS46" s="693"/>
      <c r="FT46" s="693"/>
      <c r="FU46" s="693"/>
      <c r="FV46" s="693"/>
      <c r="FW46" s="693"/>
      <c r="FX46" s="693"/>
      <c r="FY46" s="693"/>
      <c r="FZ46" s="693"/>
      <c r="GA46" s="694">
        <v>4</v>
      </c>
      <c r="GB46" s="695"/>
      <c r="GC46" s="696">
        <v>1</v>
      </c>
      <c r="GD46" s="696">
        <v>5</v>
      </c>
      <c r="GE46" s="635">
        <f>+GD45/GD46</f>
        <v>0.2</v>
      </c>
      <c r="GF46" s="41"/>
      <c r="GG46" s="688"/>
      <c r="GH46" s="688"/>
      <c r="GI46" s="688"/>
      <c r="GJ46" s="457" t="s">
        <v>1235</v>
      </c>
      <c r="GK46" s="689"/>
      <c r="GL46" s="689"/>
      <c r="GM46" s="689"/>
      <c r="GN46" s="689"/>
      <c r="GO46" s="689"/>
      <c r="GP46" s="458">
        <v>1</v>
      </c>
      <c r="GQ46" s="458">
        <v>1</v>
      </c>
      <c r="GR46" s="458">
        <v>0</v>
      </c>
      <c r="GS46" s="689"/>
      <c r="GT46" s="458">
        <v>1</v>
      </c>
      <c r="GU46" s="458">
        <v>1</v>
      </c>
      <c r="GV46" s="458">
        <v>0</v>
      </c>
      <c r="GW46" s="458">
        <v>0</v>
      </c>
      <c r="GX46" s="458">
        <v>4</v>
      </c>
      <c r="GY46" s="690"/>
      <c r="GZ46" s="41"/>
      <c r="HA46" s="41"/>
      <c r="HB46" s="105"/>
      <c r="HC46" s="105"/>
      <c r="HD46" s="41"/>
      <c r="HE46" s="41" t="s">
        <v>1239</v>
      </c>
      <c r="HF46" s="105"/>
      <c r="HG46" s="105"/>
      <c r="HH46" s="105"/>
      <c r="HI46" s="105"/>
      <c r="HJ46" s="105"/>
      <c r="HK46" s="105"/>
      <c r="HL46" s="105"/>
      <c r="HM46" s="105"/>
      <c r="HN46" s="105">
        <v>0</v>
      </c>
      <c r="HO46" s="105">
        <v>0</v>
      </c>
      <c r="HP46" s="105"/>
      <c r="HQ46" s="105">
        <v>0</v>
      </c>
      <c r="HR46" s="105"/>
      <c r="HS46" s="105">
        <v>1</v>
      </c>
      <c r="HT46" s="105"/>
      <c r="HU46" s="105"/>
      <c r="HV46" s="105">
        <v>1</v>
      </c>
      <c r="HW46" s="41"/>
      <c r="HX46" s="41"/>
      <c r="HY46" s="691"/>
      <c r="HZ46" s="691"/>
      <c r="IA46" s="691" t="s">
        <v>125</v>
      </c>
      <c r="IB46" s="691" t="s">
        <v>1231</v>
      </c>
      <c r="IC46" s="691">
        <v>0</v>
      </c>
      <c r="ID46" s="691">
        <v>0</v>
      </c>
      <c r="IE46" s="691">
        <v>0</v>
      </c>
      <c r="IF46" s="691">
        <v>0</v>
      </c>
      <c r="IG46" s="691">
        <v>0</v>
      </c>
      <c r="IH46" s="691">
        <v>0</v>
      </c>
      <c r="II46" s="691">
        <v>0</v>
      </c>
      <c r="IJ46" s="691">
        <v>0</v>
      </c>
      <c r="IK46" s="691">
        <v>2</v>
      </c>
      <c r="IL46" s="691">
        <v>0</v>
      </c>
      <c r="IM46" s="691">
        <v>0</v>
      </c>
      <c r="IN46" s="691">
        <v>0</v>
      </c>
      <c r="IO46" s="691">
        <v>0</v>
      </c>
      <c r="IP46" s="691">
        <v>0</v>
      </c>
      <c r="IQ46" s="691">
        <v>0</v>
      </c>
      <c r="IR46" s="691">
        <v>0</v>
      </c>
      <c r="IS46" s="691">
        <v>2</v>
      </c>
      <c r="IT46" s="691"/>
      <c r="IU46" s="692"/>
    </row>
    <row r="47" spans="2:255">
      <c r="C47" s="32"/>
      <c r="D47" s="32" t="s">
        <v>1236</v>
      </c>
      <c r="E47" s="4607"/>
      <c r="F47" s="4607"/>
      <c r="G47" s="4607"/>
      <c r="H47" s="4607"/>
      <c r="I47" s="4607"/>
      <c r="J47" s="4607"/>
      <c r="K47" s="4607"/>
      <c r="L47" s="4607"/>
      <c r="M47" s="4607">
        <v>0</v>
      </c>
      <c r="N47" s="4607">
        <v>0</v>
      </c>
      <c r="O47" s="4607"/>
      <c r="P47" s="4607">
        <v>0</v>
      </c>
      <c r="Q47" s="4607">
        <v>0</v>
      </c>
      <c r="R47" s="4607">
        <v>1</v>
      </c>
      <c r="S47" s="4583">
        <v>1</v>
      </c>
      <c r="T47" s="4583"/>
      <c r="U47" s="4583">
        <v>2</v>
      </c>
      <c r="V47" s="4583"/>
      <c r="Z47" s="1793"/>
      <c r="AA47" s="1793" t="s">
        <v>1344</v>
      </c>
      <c r="AB47" s="4804">
        <v>0</v>
      </c>
      <c r="AC47" s="4804"/>
      <c r="AD47" s="4804"/>
      <c r="AE47" s="4804"/>
      <c r="AF47" s="4804"/>
      <c r="AG47" s="4804"/>
      <c r="AH47" s="4804"/>
      <c r="AI47" s="4804"/>
      <c r="AJ47" s="4804">
        <v>1</v>
      </c>
      <c r="AK47" s="4804">
        <v>1</v>
      </c>
      <c r="AL47" s="4804">
        <v>0</v>
      </c>
      <c r="AM47" s="4804">
        <v>0</v>
      </c>
      <c r="AN47" s="4804"/>
      <c r="AO47" s="4804">
        <v>0</v>
      </c>
      <c r="AP47" s="4702">
        <v>0</v>
      </c>
      <c r="AQ47" s="4702">
        <v>2</v>
      </c>
      <c r="AR47" s="1793"/>
      <c r="AT47" s="41"/>
      <c r="AU47" s="41"/>
      <c r="AV47" s="41"/>
      <c r="AW47" s="41" t="s">
        <v>1239</v>
      </c>
      <c r="AX47" s="690"/>
      <c r="AY47" s="690"/>
      <c r="AZ47" s="690"/>
      <c r="BA47" s="690"/>
      <c r="BB47" s="690"/>
      <c r="BC47" s="690"/>
      <c r="BD47" s="690"/>
      <c r="BE47" s="690">
        <v>0</v>
      </c>
      <c r="BF47" s="690"/>
      <c r="BG47" s="690">
        <v>0</v>
      </c>
      <c r="BH47" s="690">
        <v>0</v>
      </c>
      <c r="BI47" s="690">
        <v>1</v>
      </c>
      <c r="BJ47" s="690"/>
      <c r="BK47" s="690">
        <v>1</v>
      </c>
      <c r="BL47" s="690">
        <v>3</v>
      </c>
      <c r="BM47" s="41"/>
      <c r="BN47" s="41"/>
      <c r="BO47" s="41">
        <v>5</v>
      </c>
      <c r="BP47" s="41"/>
      <c r="BR47" s="41"/>
      <c r="BS47" s="41"/>
      <c r="BT47" s="41"/>
      <c r="BU47" s="41" t="s">
        <v>1235</v>
      </c>
      <c r="BV47" s="2001"/>
      <c r="BW47" s="2001"/>
      <c r="BX47" s="2001"/>
      <c r="BY47" s="2001"/>
      <c r="BZ47" s="2001">
        <v>0</v>
      </c>
      <c r="CA47" s="2001"/>
      <c r="CB47" s="2001">
        <v>0</v>
      </c>
      <c r="CC47" s="2001"/>
      <c r="CD47" s="2001"/>
      <c r="CE47" s="2001"/>
      <c r="CF47" s="2001"/>
      <c r="CG47" s="2001">
        <v>0</v>
      </c>
      <c r="CH47" s="2001">
        <v>1</v>
      </c>
      <c r="CI47" s="2001"/>
      <c r="CJ47" s="2001">
        <v>0</v>
      </c>
      <c r="CK47" s="105">
        <v>0</v>
      </c>
      <c r="CL47" s="105">
        <v>0</v>
      </c>
      <c r="CM47" s="105">
        <v>1</v>
      </c>
      <c r="CN47" s="41"/>
      <c r="CR47" s="41"/>
      <c r="CS47" s="461" t="s">
        <v>15</v>
      </c>
      <c r="CT47" s="1666"/>
      <c r="CU47" s="1666"/>
      <c r="CV47" s="1666"/>
      <c r="CW47" s="1666"/>
      <c r="CX47" s="1666"/>
      <c r="CY47" s="1666"/>
      <c r="CZ47" s="1666"/>
      <c r="DA47" s="1666"/>
      <c r="DB47" s="1666"/>
      <c r="DC47" s="1666"/>
      <c r="DD47" s="1666"/>
      <c r="DE47" s="1666"/>
      <c r="DF47" s="1666"/>
      <c r="DG47" s="1666">
        <v>1</v>
      </c>
      <c r="DH47" s="1666"/>
      <c r="DI47" s="461"/>
      <c r="DJ47" s="461"/>
      <c r="DK47" s="461">
        <v>1</v>
      </c>
      <c r="DL47" s="635">
        <f>+DK46/DK47</f>
        <v>1</v>
      </c>
      <c r="DN47" s="1375"/>
      <c r="DO47" s="1375"/>
      <c r="DP47" s="1375"/>
      <c r="DQ47" s="1376" t="s">
        <v>1344</v>
      </c>
      <c r="DR47" s="1377"/>
      <c r="DS47" s="1377"/>
      <c r="DT47" s="1377"/>
      <c r="DU47" s="1377"/>
      <c r="DV47" s="1378">
        <v>0</v>
      </c>
      <c r="DW47" s="1378">
        <v>0</v>
      </c>
      <c r="DX47" s="1377"/>
      <c r="DY47" s="1377"/>
      <c r="DZ47" s="1377"/>
      <c r="EA47" s="1377"/>
      <c r="EB47" s="1378">
        <v>1</v>
      </c>
      <c r="EC47" s="1378">
        <v>1</v>
      </c>
      <c r="ED47" s="1378">
        <v>0</v>
      </c>
      <c r="EE47" s="1380">
        <v>0</v>
      </c>
      <c r="EF47" s="1380">
        <v>0</v>
      </c>
      <c r="EG47" s="1380">
        <v>2</v>
      </c>
      <c r="EH47" s="41"/>
      <c r="EJ47" s="678"/>
      <c r="EK47" s="678"/>
      <c r="EL47" s="678" t="s">
        <v>121</v>
      </c>
      <c r="EM47" s="679" t="s">
        <v>1231</v>
      </c>
      <c r="EN47" s="680"/>
      <c r="EO47" s="680"/>
      <c r="EP47" s="680"/>
      <c r="EQ47" s="680"/>
      <c r="ER47" s="680"/>
      <c r="ES47" s="680"/>
      <c r="ET47" s="680"/>
      <c r="EU47" s="681">
        <v>1</v>
      </c>
      <c r="EV47" s="680"/>
      <c r="EW47" s="680"/>
      <c r="EX47" s="680"/>
      <c r="EY47" s="681">
        <v>1</v>
      </c>
      <c r="EZ47" s="681">
        <v>1</v>
      </c>
      <c r="FA47" s="681">
        <v>2</v>
      </c>
      <c r="FB47" s="681">
        <v>0</v>
      </c>
      <c r="FC47" s="683">
        <v>0</v>
      </c>
      <c r="FD47" s="683">
        <v>0</v>
      </c>
      <c r="FE47" s="683">
        <v>5</v>
      </c>
      <c r="FF47" s="105"/>
      <c r="FH47" s="511"/>
      <c r="FI47" s="511"/>
      <c r="FJ47" s="511" t="s">
        <v>121</v>
      </c>
      <c r="FK47" s="511" t="s">
        <v>1229</v>
      </c>
      <c r="FL47" s="512" t="s">
        <v>1230</v>
      </c>
      <c r="FM47" s="684"/>
      <c r="FN47" s="684"/>
      <c r="FO47" s="684"/>
      <c r="FP47" s="685">
        <v>0</v>
      </c>
      <c r="FQ47" s="684"/>
      <c r="FR47" s="684"/>
      <c r="FS47" s="684"/>
      <c r="FT47" s="684"/>
      <c r="FU47" s="684"/>
      <c r="FV47" s="684"/>
      <c r="FW47" s="684"/>
      <c r="FX47" s="684"/>
      <c r="FY47" s="684"/>
      <c r="FZ47" s="685">
        <v>0</v>
      </c>
      <c r="GA47" s="685">
        <v>0</v>
      </c>
      <c r="GB47" s="687">
        <v>1</v>
      </c>
      <c r="GC47" s="687">
        <v>0</v>
      </c>
      <c r="GD47" s="687">
        <v>1</v>
      </c>
      <c r="GE47" s="635"/>
      <c r="GF47" s="41"/>
      <c r="GG47" s="688"/>
      <c r="GH47" s="688"/>
      <c r="GI47" s="688"/>
      <c r="GJ47" s="457" t="s">
        <v>1239</v>
      </c>
      <c r="GK47" s="689"/>
      <c r="GL47" s="689"/>
      <c r="GM47" s="689"/>
      <c r="GN47" s="689"/>
      <c r="GO47" s="689"/>
      <c r="GP47" s="458">
        <v>0</v>
      </c>
      <c r="GQ47" s="458">
        <v>0</v>
      </c>
      <c r="GR47" s="458">
        <v>0</v>
      </c>
      <c r="GS47" s="689"/>
      <c r="GT47" s="458">
        <v>1</v>
      </c>
      <c r="GU47" s="458">
        <v>2</v>
      </c>
      <c r="GV47" s="458">
        <v>1</v>
      </c>
      <c r="GW47" s="458">
        <v>2</v>
      </c>
      <c r="GX47" s="458">
        <v>6</v>
      </c>
      <c r="GY47" s="690"/>
      <c r="GZ47" s="41"/>
      <c r="HA47" s="41"/>
      <c r="HB47" s="105"/>
      <c r="HC47" s="105"/>
      <c r="HD47" s="41"/>
      <c r="HE47" s="41" t="s">
        <v>1344</v>
      </c>
      <c r="HF47" s="105"/>
      <c r="HG47" s="105"/>
      <c r="HH47" s="105"/>
      <c r="HI47" s="105"/>
      <c r="HJ47" s="105"/>
      <c r="HK47" s="105"/>
      <c r="HL47" s="105"/>
      <c r="HM47" s="105"/>
      <c r="HN47" s="105">
        <v>0</v>
      </c>
      <c r="HO47" s="105">
        <v>1</v>
      </c>
      <c r="HP47" s="105"/>
      <c r="HQ47" s="105">
        <v>2</v>
      </c>
      <c r="HR47" s="105"/>
      <c r="HS47" s="105">
        <v>0</v>
      </c>
      <c r="HT47" s="105"/>
      <c r="HU47" s="105"/>
      <c r="HV47" s="105">
        <v>3</v>
      </c>
      <c r="HW47" s="41"/>
      <c r="HX47" s="41"/>
      <c r="HY47" s="691"/>
      <c r="HZ47" s="691"/>
      <c r="IA47" s="691"/>
      <c r="IB47" s="691" t="s">
        <v>1235</v>
      </c>
      <c r="IC47" s="691">
        <v>0</v>
      </c>
      <c r="ID47" s="691">
        <v>0</v>
      </c>
      <c r="IE47" s="691">
        <v>0</v>
      </c>
      <c r="IF47" s="691">
        <v>0</v>
      </c>
      <c r="IG47" s="691">
        <v>0</v>
      </c>
      <c r="IH47" s="691">
        <v>0</v>
      </c>
      <c r="II47" s="691">
        <v>0</v>
      </c>
      <c r="IJ47" s="691">
        <v>0</v>
      </c>
      <c r="IK47" s="691">
        <v>1</v>
      </c>
      <c r="IL47" s="691">
        <v>1</v>
      </c>
      <c r="IM47" s="691">
        <v>0</v>
      </c>
      <c r="IN47" s="691">
        <v>2</v>
      </c>
      <c r="IO47" s="691">
        <v>0</v>
      </c>
      <c r="IP47" s="691">
        <v>0</v>
      </c>
      <c r="IQ47" s="691">
        <v>0</v>
      </c>
      <c r="IR47" s="691">
        <v>0</v>
      </c>
      <c r="IS47" s="691">
        <v>4</v>
      </c>
      <c r="IT47" s="691"/>
      <c r="IU47" s="692"/>
    </row>
    <row r="48" spans="2:255">
      <c r="C48" s="32"/>
      <c r="D48" s="32" t="s">
        <v>1239</v>
      </c>
      <c r="E48" s="4607"/>
      <c r="F48" s="4607"/>
      <c r="G48" s="4607"/>
      <c r="H48" s="4607"/>
      <c r="I48" s="4607"/>
      <c r="J48" s="4607"/>
      <c r="K48" s="4607"/>
      <c r="L48" s="4607"/>
      <c r="M48" s="4607">
        <v>0</v>
      </c>
      <c r="N48" s="4607">
        <v>0</v>
      </c>
      <c r="O48" s="4607"/>
      <c r="P48" s="4607">
        <v>1</v>
      </c>
      <c r="Q48" s="4607">
        <v>1</v>
      </c>
      <c r="R48" s="4607">
        <v>0</v>
      </c>
      <c r="S48" s="4583">
        <v>0</v>
      </c>
      <c r="T48" s="4583"/>
      <c r="U48" s="4583">
        <v>2</v>
      </c>
      <c r="V48" s="4583"/>
      <c r="Z48" s="1793"/>
      <c r="AA48" s="1793" t="s">
        <v>546</v>
      </c>
      <c r="AB48" s="4804">
        <v>0</v>
      </c>
      <c r="AC48" s="4804"/>
      <c r="AD48" s="4804"/>
      <c r="AE48" s="4804"/>
      <c r="AF48" s="4804"/>
      <c r="AG48" s="4804"/>
      <c r="AH48" s="4804"/>
      <c r="AI48" s="4804"/>
      <c r="AJ48" s="4804">
        <v>2</v>
      </c>
      <c r="AK48" s="4804">
        <v>1</v>
      </c>
      <c r="AL48" s="4804">
        <v>1</v>
      </c>
      <c r="AM48" s="4804">
        <v>1</v>
      </c>
      <c r="AN48" s="4804"/>
      <c r="AO48" s="4804">
        <v>1</v>
      </c>
      <c r="AP48" s="4702">
        <v>1</v>
      </c>
      <c r="AQ48" s="4702">
        <v>7</v>
      </c>
      <c r="AR48" s="4703">
        <f>+AQ47/AQ48</f>
        <v>0.2857142857142857</v>
      </c>
      <c r="AT48" s="41"/>
      <c r="AU48" s="41"/>
      <c r="AV48" s="41"/>
      <c r="AW48" s="41" t="s">
        <v>1240</v>
      </c>
      <c r="AX48" s="690"/>
      <c r="AY48" s="690"/>
      <c r="AZ48" s="690"/>
      <c r="BA48" s="690"/>
      <c r="BB48" s="690"/>
      <c r="BC48" s="690"/>
      <c r="BD48" s="690"/>
      <c r="BE48" s="690">
        <v>0</v>
      </c>
      <c r="BF48" s="690"/>
      <c r="BG48" s="690">
        <v>1</v>
      </c>
      <c r="BH48" s="690">
        <v>0</v>
      </c>
      <c r="BI48" s="690">
        <v>0</v>
      </c>
      <c r="BJ48" s="690"/>
      <c r="BK48" s="690">
        <v>0</v>
      </c>
      <c r="BL48" s="690">
        <v>0</v>
      </c>
      <c r="BM48" s="41"/>
      <c r="BN48" s="41"/>
      <c r="BO48" s="41">
        <v>1</v>
      </c>
      <c r="BP48" s="41"/>
      <c r="BR48" s="41"/>
      <c r="BS48" s="41"/>
      <c r="BT48" s="41"/>
      <c r="BU48" s="41" t="s">
        <v>1239</v>
      </c>
      <c r="BV48" s="2001"/>
      <c r="BW48" s="2001"/>
      <c r="BX48" s="2001"/>
      <c r="BY48" s="2001"/>
      <c r="BZ48" s="2001">
        <v>0</v>
      </c>
      <c r="CA48" s="2001"/>
      <c r="CB48" s="2001">
        <v>0</v>
      </c>
      <c r="CC48" s="2001"/>
      <c r="CD48" s="2001"/>
      <c r="CE48" s="2001"/>
      <c r="CF48" s="2001"/>
      <c r="CG48" s="2001">
        <v>0</v>
      </c>
      <c r="CH48" s="2001">
        <v>0</v>
      </c>
      <c r="CI48" s="2001"/>
      <c r="CJ48" s="2001">
        <v>2</v>
      </c>
      <c r="CK48" s="105">
        <v>1</v>
      </c>
      <c r="CL48" s="105">
        <v>1</v>
      </c>
      <c r="CM48" s="105">
        <v>4</v>
      </c>
      <c r="CN48" s="41"/>
      <c r="CR48" s="41" t="s">
        <v>121</v>
      </c>
      <c r="CS48" s="41" t="s">
        <v>1231</v>
      </c>
      <c r="CT48" s="1665"/>
      <c r="CU48" s="1665"/>
      <c r="CV48" s="1665"/>
      <c r="CW48" s="1665"/>
      <c r="CX48" s="1665"/>
      <c r="CY48" s="1665">
        <v>1</v>
      </c>
      <c r="CZ48" s="1665"/>
      <c r="DA48" s="1665"/>
      <c r="DB48" s="1665"/>
      <c r="DC48" s="1665"/>
      <c r="DD48" s="1665"/>
      <c r="DE48" s="1665"/>
      <c r="DF48" s="1665">
        <v>0</v>
      </c>
      <c r="DG48" s="1665">
        <v>0</v>
      </c>
      <c r="DH48" s="1665">
        <v>0</v>
      </c>
      <c r="DI48" s="41">
        <v>1</v>
      </c>
      <c r="DJ48" s="41">
        <v>0</v>
      </c>
      <c r="DK48" s="41">
        <v>2</v>
      </c>
      <c r="DL48" s="41"/>
      <c r="DN48" s="1375"/>
      <c r="DO48" s="1375"/>
      <c r="DP48" s="1375"/>
      <c r="DQ48" s="1372" t="s">
        <v>15</v>
      </c>
      <c r="DR48" s="1381"/>
      <c r="DS48" s="1381"/>
      <c r="DT48" s="1381"/>
      <c r="DU48" s="1381"/>
      <c r="DV48" s="1382">
        <v>1</v>
      </c>
      <c r="DW48" s="1382">
        <v>1</v>
      </c>
      <c r="DX48" s="1381"/>
      <c r="DY48" s="1381"/>
      <c r="DZ48" s="1381"/>
      <c r="EA48" s="1381"/>
      <c r="EB48" s="1382">
        <v>1</v>
      </c>
      <c r="EC48" s="1382">
        <v>2</v>
      </c>
      <c r="ED48" s="1382">
        <v>6</v>
      </c>
      <c r="EE48" s="1384">
        <v>1</v>
      </c>
      <c r="EF48" s="1384">
        <v>3</v>
      </c>
      <c r="EG48" s="1384">
        <v>15</v>
      </c>
      <c r="EH48" s="1325">
        <f>+EG47/EG48</f>
        <v>0.13333333333333333</v>
      </c>
      <c r="EJ48" s="678"/>
      <c r="EK48" s="678"/>
      <c r="EL48" s="678"/>
      <c r="EM48" s="679" t="s">
        <v>1235</v>
      </c>
      <c r="EN48" s="680"/>
      <c r="EO48" s="680"/>
      <c r="EP48" s="680"/>
      <c r="EQ48" s="680"/>
      <c r="ER48" s="680"/>
      <c r="ES48" s="680"/>
      <c r="ET48" s="680"/>
      <c r="EU48" s="681">
        <v>0</v>
      </c>
      <c r="EV48" s="680"/>
      <c r="EW48" s="680"/>
      <c r="EX48" s="680"/>
      <c r="EY48" s="681">
        <v>0</v>
      </c>
      <c r="EZ48" s="681">
        <v>1</v>
      </c>
      <c r="FA48" s="681">
        <v>0</v>
      </c>
      <c r="FB48" s="681">
        <v>0</v>
      </c>
      <c r="FC48" s="683">
        <v>0</v>
      </c>
      <c r="FD48" s="683">
        <v>0</v>
      </c>
      <c r="FE48" s="683">
        <v>1</v>
      </c>
      <c r="FF48" s="105"/>
      <c r="FH48" s="511"/>
      <c r="FI48" s="511"/>
      <c r="FJ48" s="511"/>
      <c r="FK48" s="511"/>
      <c r="FL48" s="512" t="s">
        <v>1231</v>
      </c>
      <c r="FM48" s="684"/>
      <c r="FN48" s="684"/>
      <c r="FO48" s="684"/>
      <c r="FP48" s="685">
        <v>1</v>
      </c>
      <c r="FQ48" s="684"/>
      <c r="FR48" s="684"/>
      <c r="FS48" s="684"/>
      <c r="FT48" s="684"/>
      <c r="FU48" s="684"/>
      <c r="FV48" s="684"/>
      <c r="FW48" s="684"/>
      <c r="FX48" s="684"/>
      <c r="FY48" s="684"/>
      <c r="FZ48" s="685">
        <v>0</v>
      </c>
      <c r="GA48" s="685">
        <v>0</v>
      </c>
      <c r="GB48" s="687">
        <v>0</v>
      </c>
      <c r="GC48" s="687">
        <v>0</v>
      </c>
      <c r="GD48" s="687">
        <v>1</v>
      </c>
      <c r="GE48" s="635"/>
      <c r="GF48" s="41"/>
      <c r="GG48" s="688"/>
      <c r="GH48" s="688"/>
      <c r="GI48" s="688"/>
      <c r="GJ48" s="704" t="s">
        <v>15</v>
      </c>
      <c r="GK48" s="705"/>
      <c r="GL48" s="705"/>
      <c r="GM48" s="705"/>
      <c r="GN48" s="705"/>
      <c r="GO48" s="705"/>
      <c r="GP48" s="463">
        <v>2</v>
      </c>
      <c r="GQ48" s="463">
        <v>2</v>
      </c>
      <c r="GR48" s="463">
        <v>1</v>
      </c>
      <c r="GS48" s="705"/>
      <c r="GT48" s="463">
        <v>2</v>
      </c>
      <c r="GU48" s="463">
        <v>3</v>
      </c>
      <c r="GV48" s="463">
        <v>1</v>
      </c>
      <c r="GW48" s="463">
        <v>2</v>
      </c>
      <c r="GX48" s="463">
        <v>13</v>
      </c>
      <c r="GY48" s="628">
        <f>+GX46/GX48</f>
        <v>0.30769230769230771</v>
      </c>
      <c r="GZ48" s="41"/>
      <c r="HA48" s="41"/>
      <c r="HB48" s="105"/>
      <c r="HC48" s="105"/>
      <c r="HD48" s="41"/>
      <c r="HE48" s="461" t="s">
        <v>15</v>
      </c>
      <c r="HF48" s="96"/>
      <c r="HG48" s="96"/>
      <c r="HH48" s="96"/>
      <c r="HI48" s="96"/>
      <c r="HJ48" s="96"/>
      <c r="HK48" s="96"/>
      <c r="HL48" s="96"/>
      <c r="HM48" s="96"/>
      <c r="HN48" s="96">
        <v>1</v>
      </c>
      <c r="HO48" s="96">
        <v>1</v>
      </c>
      <c r="HP48" s="96"/>
      <c r="HQ48" s="96">
        <v>2</v>
      </c>
      <c r="HR48" s="96"/>
      <c r="HS48" s="96">
        <v>2</v>
      </c>
      <c r="HT48" s="96"/>
      <c r="HU48" s="96"/>
      <c r="HV48" s="96">
        <v>6</v>
      </c>
      <c r="HW48" s="706">
        <f>+HV47/HV48</f>
        <v>0.5</v>
      </c>
      <c r="HX48" s="41"/>
      <c r="HY48" s="691"/>
      <c r="HZ48" s="691"/>
      <c r="IA48" s="691"/>
      <c r="IB48" s="691" t="s">
        <v>1239</v>
      </c>
      <c r="IC48" s="691">
        <v>0</v>
      </c>
      <c r="ID48" s="691">
        <v>0</v>
      </c>
      <c r="IE48" s="691">
        <v>0</v>
      </c>
      <c r="IF48" s="691">
        <v>0</v>
      </c>
      <c r="IG48" s="691">
        <v>0</v>
      </c>
      <c r="IH48" s="691">
        <v>0</v>
      </c>
      <c r="II48" s="691">
        <v>0</v>
      </c>
      <c r="IJ48" s="691">
        <v>0</v>
      </c>
      <c r="IK48" s="691">
        <v>0</v>
      </c>
      <c r="IL48" s="691">
        <v>0</v>
      </c>
      <c r="IM48" s="691">
        <v>0</v>
      </c>
      <c r="IN48" s="691">
        <v>0</v>
      </c>
      <c r="IO48" s="691">
        <v>0</v>
      </c>
      <c r="IP48" s="691">
        <v>3</v>
      </c>
      <c r="IQ48" s="691">
        <v>0</v>
      </c>
      <c r="IR48" s="691">
        <v>0</v>
      </c>
      <c r="IS48" s="691">
        <v>3</v>
      </c>
      <c r="IT48" s="691"/>
      <c r="IU48" s="692"/>
    </row>
    <row r="49" spans="1:255">
      <c r="C49" s="32"/>
      <c r="D49" s="32" t="s">
        <v>1344</v>
      </c>
      <c r="E49" s="4607"/>
      <c r="F49" s="4607"/>
      <c r="G49" s="4607"/>
      <c r="H49" s="4607"/>
      <c r="I49" s="4607"/>
      <c r="J49" s="4607"/>
      <c r="K49" s="4607"/>
      <c r="L49" s="4607"/>
      <c r="M49" s="4607">
        <v>1</v>
      </c>
      <c r="N49" s="4607">
        <v>1</v>
      </c>
      <c r="O49" s="4607"/>
      <c r="P49" s="4607">
        <v>0</v>
      </c>
      <c r="Q49" s="4607">
        <v>0</v>
      </c>
      <c r="R49" s="4607">
        <v>0</v>
      </c>
      <c r="S49" s="4583">
        <v>0</v>
      </c>
      <c r="T49" s="4583"/>
      <c r="U49" s="4583">
        <v>2</v>
      </c>
      <c r="V49" s="4583"/>
      <c r="Z49" s="1793" t="s">
        <v>106</v>
      </c>
      <c r="AA49" s="1793" t="s">
        <v>1231</v>
      </c>
      <c r="AB49" s="4804">
        <v>1</v>
      </c>
      <c r="AC49" s="4804">
        <v>0</v>
      </c>
      <c r="AD49" s="4804"/>
      <c r="AE49" s="4804"/>
      <c r="AF49" s="4804">
        <v>1</v>
      </c>
      <c r="AG49" s="4804">
        <v>1</v>
      </c>
      <c r="AH49" s="4804">
        <v>1</v>
      </c>
      <c r="AI49" s="4804"/>
      <c r="AJ49" s="4804">
        <v>1</v>
      </c>
      <c r="AK49" s="4804">
        <v>0</v>
      </c>
      <c r="AL49" s="4804">
        <v>3</v>
      </c>
      <c r="AM49" s="4804">
        <v>4</v>
      </c>
      <c r="AN49" s="4804">
        <v>0</v>
      </c>
      <c r="AO49" s="4804">
        <v>0</v>
      </c>
      <c r="AP49" s="4702">
        <v>0</v>
      </c>
      <c r="AQ49" s="4702">
        <v>12</v>
      </c>
      <c r="AR49" s="1793"/>
      <c r="AT49" s="41"/>
      <c r="AU49" s="41"/>
      <c r="AV49" s="41"/>
      <c r="AW49" s="41" t="s">
        <v>1344</v>
      </c>
      <c r="AX49" s="690"/>
      <c r="AY49" s="690"/>
      <c r="AZ49" s="690"/>
      <c r="BA49" s="690"/>
      <c r="BB49" s="690"/>
      <c r="BC49" s="690"/>
      <c r="BD49" s="690"/>
      <c r="BE49" s="690">
        <v>0</v>
      </c>
      <c r="BF49" s="690"/>
      <c r="BG49" s="690">
        <v>2</v>
      </c>
      <c r="BH49" s="690">
        <v>0</v>
      </c>
      <c r="BI49" s="690">
        <v>0</v>
      </c>
      <c r="BJ49" s="690"/>
      <c r="BK49" s="690">
        <v>0</v>
      </c>
      <c r="BL49" s="690">
        <v>0</v>
      </c>
      <c r="BM49" s="41"/>
      <c r="BN49" s="41"/>
      <c r="BO49" s="41">
        <v>2</v>
      </c>
      <c r="BP49" s="41"/>
      <c r="BR49" s="41"/>
      <c r="BS49" s="41"/>
      <c r="BT49" s="41"/>
      <c r="BU49" s="41" t="s">
        <v>1344</v>
      </c>
      <c r="BV49" s="2001"/>
      <c r="BW49" s="2001"/>
      <c r="BX49" s="2001"/>
      <c r="BY49" s="2001"/>
      <c r="BZ49" s="2001">
        <v>0</v>
      </c>
      <c r="CA49" s="2001"/>
      <c r="CB49" s="2001">
        <v>0</v>
      </c>
      <c r="CC49" s="2001"/>
      <c r="CD49" s="2001"/>
      <c r="CE49" s="2001"/>
      <c r="CF49" s="2001"/>
      <c r="CG49" s="2001">
        <v>1</v>
      </c>
      <c r="CH49" s="2001">
        <v>0</v>
      </c>
      <c r="CI49" s="2001"/>
      <c r="CJ49" s="2001">
        <v>0</v>
      </c>
      <c r="CK49" s="105">
        <v>0</v>
      </c>
      <c r="CL49" s="105">
        <v>0</v>
      </c>
      <c r="CM49" s="105">
        <v>1</v>
      </c>
      <c r="CN49" s="41"/>
      <c r="CR49" s="41"/>
      <c r="CS49" s="41" t="s">
        <v>1239</v>
      </c>
      <c r="CT49" s="1665"/>
      <c r="CU49" s="1665"/>
      <c r="CV49" s="1665"/>
      <c r="CW49" s="1665"/>
      <c r="CX49" s="1665"/>
      <c r="CY49" s="1665">
        <v>0</v>
      </c>
      <c r="CZ49" s="1665"/>
      <c r="DA49" s="1665"/>
      <c r="DB49" s="1665"/>
      <c r="DC49" s="1665"/>
      <c r="DD49" s="1665"/>
      <c r="DE49" s="1665"/>
      <c r="DF49" s="1665">
        <v>0</v>
      </c>
      <c r="DG49" s="1665">
        <v>0</v>
      </c>
      <c r="DH49" s="1665">
        <v>5</v>
      </c>
      <c r="DI49" s="41">
        <v>0</v>
      </c>
      <c r="DJ49" s="41">
        <v>1</v>
      </c>
      <c r="DK49" s="41">
        <v>6</v>
      </c>
      <c r="DL49" s="41"/>
      <c r="DN49" s="1375"/>
      <c r="DO49" s="1375"/>
      <c r="DP49" s="1375" t="s">
        <v>124</v>
      </c>
      <c r="DQ49" s="1376" t="s">
        <v>1235</v>
      </c>
      <c r="DR49" s="1377"/>
      <c r="DS49" s="1377"/>
      <c r="DT49" s="1377"/>
      <c r="DU49" s="1377"/>
      <c r="DV49" s="1377"/>
      <c r="DW49" s="1377"/>
      <c r="DX49" s="1377"/>
      <c r="DY49" s="1377"/>
      <c r="DZ49" s="1377"/>
      <c r="EA49" s="1377"/>
      <c r="EB49" s="1378">
        <v>0</v>
      </c>
      <c r="EC49" s="1378">
        <v>1</v>
      </c>
      <c r="ED49" s="1378">
        <v>0</v>
      </c>
      <c r="EE49" s="1379"/>
      <c r="EF49" s="1379"/>
      <c r="EG49" s="1380">
        <v>1</v>
      </c>
      <c r="EH49" s="41"/>
      <c r="EJ49" s="678"/>
      <c r="EK49" s="678"/>
      <c r="EL49" s="678"/>
      <c r="EM49" s="679" t="s">
        <v>1239</v>
      </c>
      <c r="EN49" s="680"/>
      <c r="EO49" s="680"/>
      <c r="EP49" s="680"/>
      <c r="EQ49" s="680"/>
      <c r="ER49" s="680"/>
      <c r="ES49" s="680"/>
      <c r="ET49" s="680"/>
      <c r="EU49" s="681">
        <v>0</v>
      </c>
      <c r="EV49" s="680"/>
      <c r="EW49" s="680"/>
      <c r="EX49" s="680"/>
      <c r="EY49" s="681">
        <v>0</v>
      </c>
      <c r="EZ49" s="681">
        <v>0</v>
      </c>
      <c r="FA49" s="681">
        <v>0</v>
      </c>
      <c r="FB49" s="681">
        <v>2</v>
      </c>
      <c r="FC49" s="683">
        <v>1</v>
      </c>
      <c r="FD49" s="683">
        <v>2</v>
      </c>
      <c r="FE49" s="683">
        <v>5</v>
      </c>
      <c r="FF49" s="105"/>
      <c r="FH49" s="511"/>
      <c r="FI49" s="511"/>
      <c r="FJ49" s="511"/>
      <c r="FK49" s="511"/>
      <c r="FL49" s="512" t="s">
        <v>1235</v>
      </c>
      <c r="FM49" s="684"/>
      <c r="FN49" s="684"/>
      <c r="FO49" s="684"/>
      <c r="FP49" s="685">
        <v>0</v>
      </c>
      <c r="FQ49" s="684"/>
      <c r="FR49" s="684"/>
      <c r="FS49" s="684"/>
      <c r="FT49" s="684"/>
      <c r="FU49" s="684"/>
      <c r="FV49" s="684"/>
      <c r="FW49" s="684"/>
      <c r="FX49" s="684"/>
      <c r="FY49" s="684"/>
      <c r="FZ49" s="685">
        <v>1</v>
      </c>
      <c r="GA49" s="685">
        <v>1</v>
      </c>
      <c r="GB49" s="687">
        <v>0</v>
      </c>
      <c r="GC49" s="687">
        <v>0</v>
      </c>
      <c r="GD49" s="687">
        <v>2</v>
      </c>
      <c r="GE49" s="635"/>
      <c r="GF49" s="41"/>
      <c r="GG49" s="688"/>
      <c r="GH49" s="688"/>
      <c r="GI49" s="688" t="s">
        <v>125</v>
      </c>
      <c r="GJ49" s="457" t="s">
        <v>1231</v>
      </c>
      <c r="GK49" s="689"/>
      <c r="GL49" s="689"/>
      <c r="GM49" s="689"/>
      <c r="GN49" s="689"/>
      <c r="GO49" s="689"/>
      <c r="GP49" s="689"/>
      <c r="GQ49" s="458">
        <v>0</v>
      </c>
      <c r="GR49" s="689"/>
      <c r="GS49" s="458">
        <v>1</v>
      </c>
      <c r="GT49" s="458">
        <v>0</v>
      </c>
      <c r="GU49" s="458">
        <v>0</v>
      </c>
      <c r="GV49" s="689"/>
      <c r="GW49" s="689"/>
      <c r="GX49" s="458">
        <v>1</v>
      </c>
      <c r="GY49" s="690"/>
      <c r="GZ49" s="41"/>
      <c r="HA49" s="41"/>
      <c r="HB49" s="105"/>
      <c r="HC49" s="105"/>
      <c r="HD49" s="41" t="s">
        <v>124</v>
      </c>
      <c r="HE49" s="41" t="s">
        <v>1231</v>
      </c>
      <c r="HF49" s="105"/>
      <c r="HG49" s="105"/>
      <c r="HH49" s="105"/>
      <c r="HI49" s="105"/>
      <c r="HJ49" s="105"/>
      <c r="HK49" s="105"/>
      <c r="HL49" s="105"/>
      <c r="HM49" s="105"/>
      <c r="HN49" s="105"/>
      <c r="HO49" s="105">
        <v>2</v>
      </c>
      <c r="HP49" s="105"/>
      <c r="HQ49" s="105"/>
      <c r="HR49" s="105"/>
      <c r="HS49" s="105"/>
      <c r="HT49" s="105"/>
      <c r="HU49" s="105"/>
      <c r="HV49" s="105">
        <v>2</v>
      </c>
      <c r="HW49" s="41"/>
      <c r="HX49" s="41"/>
      <c r="HY49" s="691"/>
      <c r="HZ49" s="691"/>
      <c r="IA49" s="691"/>
      <c r="IB49" s="691" t="s">
        <v>1344</v>
      </c>
      <c r="IC49" s="691">
        <v>0</v>
      </c>
      <c r="ID49" s="691">
        <v>0</v>
      </c>
      <c r="IE49" s="691">
        <v>0</v>
      </c>
      <c r="IF49" s="691">
        <v>0</v>
      </c>
      <c r="IG49" s="691">
        <v>0</v>
      </c>
      <c r="IH49" s="691">
        <v>0</v>
      </c>
      <c r="II49" s="691">
        <v>0</v>
      </c>
      <c r="IJ49" s="691">
        <v>0</v>
      </c>
      <c r="IK49" s="691">
        <v>0</v>
      </c>
      <c r="IL49" s="691">
        <v>0</v>
      </c>
      <c r="IM49" s="691">
        <v>0</v>
      </c>
      <c r="IN49" s="691">
        <v>1</v>
      </c>
      <c r="IO49" s="691">
        <v>0</v>
      </c>
      <c r="IP49" s="691">
        <v>0</v>
      </c>
      <c r="IQ49" s="691">
        <v>0</v>
      </c>
      <c r="IR49" s="691">
        <v>0</v>
      </c>
      <c r="IS49" s="691">
        <v>1</v>
      </c>
      <c r="IT49" s="691"/>
      <c r="IU49" s="692"/>
    </row>
    <row r="50" spans="1:255">
      <c r="C50" s="32"/>
      <c r="D50" s="4800" t="s">
        <v>15</v>
      </c>
      <c r="E50" s="4607"/>
      <c r="F50" s="4607"/>
      <c r="G50" s="4607"/>
      <c r="H50" s="4607"/>
      <c r="I50" s="4607"/>
      <c r="J50" s="4607"/>
      <c r="K50" s="4607"/>
      <c r="L50" s="4607"/>
      <c r="M50" s="4607">
        <v>2</v>
      </c>
      <c r="N50" s="4607">
        <v>1</v>
      </c>
      <c r="O50" s="4607"/>
      <c r="P50" s="4607">
        <v>1</v>
      </c>
      <c r="Q50" s="4607">
        <v>1</v>
      </c>
      <c r="R50" s="4607">
        <v>1</v>
      </c>
      <c r="S50" s="4583">
        <v>1</v>
      </c>
      <c r="T50" s="4583"/>
      <c r="U50" s="4583">
        <v>7</v>
      </c>
      <c r="V50" s="1977">
        <f>+(U49)/(U50)</f>
        <v>0.2857142857142857</v>
      </c>
      <c r="Z50" s="1793"/>
      <c r="AA50" s="1793" t="s">
        <v>1233</v>
      </c>
      <c r="AB50" s="4804">
        <v>0</v>
      </c>
      <c r="AC50" s="4804">
        <v>1</v>
      </c>
      <c r="AD50" s="4804"/>
      <c r="AE50" s="4804"/>
      <c r="AF50" s="4804">
        <v>0</v>
      </c>
      <c r="AG50" s="4804">
        <v>0</v>
      </c>
      <c r="AH50" s="4804">
        <v>0</v>
      </c>
      <c r="AI50" s="4804"/>
      <c r="AJ50" s="4804">
        <v>0</v>
      </c>
      <c r="AK50" s="4804">
        <v>0</v>
      </c>
      <c r="AL50" s="4804">
        <v>0</v>
      </c>
      <c r="AM50" s="4804">
        <v>0</v>
      </c>
      <c r="AN50" s="4804">
        <v>0</v>
      </c>
      <c r="AO50" s="4804">
        <v>0</v>
      </c>
      <c r="AP50" s="4702">
        <v>0</v>
      </c>
      <c r="AQ50" s="4702">
        <v>1</v>
      </c>
      <c r="AR50" s="1793"/>
      <c r="AT50" s="41"/>
      <c r="AU50" s="41"/>
      <c r="AV50" s="41"/>
      <c r="AW50" s="461" t="s">
        <v>15</v>
      </c>
      <c r="AX50" s="2489"/>
      <c r="AY50" s="2489"/>
      <c r="AZ50" s="2489"/>
      <c r="BA50" s="2489"/>
      <c r="BB50" s="2489"/>
      <c r="BC50" s="2489"/>
      <c r="BD50" s="2489"/>
      <c r="BE50" s="2489">
        <v>1</v>
      </c>
      <c r="BF50" s="2489"/>
      <c r="BG50" s="2489">
        <v>5</v>
      </c>
      <c r="BH50" s="2489">
        <v>1</v>
      </c>
      <c r="BI50" s="2489">
        <v>2</v>
      </c>
      <c r="BJ50" s="2489"/>
      <c r="BK50" s="2489">
        <v>2</v>
      </c>
      <c r="BL50" s="2489">
        <v>3</v>
      </c>
      <c r="BM50" s="461"/>
      <c r="BN50" s="461"/>
      <c r="BO50" s="461">
        <v>14</v>
      </c>
      <c r="BP50" s="635">
        <f>+(BO49+BO48+BO46)/BO50</f>
        <v>0.2857142857142857</v>
      </c>
      <c r="BQ50" s="1977"/>
      <c r="BR50" s="41"/>
      <c r="BS50" s="41"/>
      <c r="BT50" s="41"/>
      <c r="BU50" s="461" t="s">
        <v>15</v>
      </c>
      <c r="BV50" s="2002"/>
      <c r="BW50" s="2002"/>
      <c r="BX50" s="2002"/>
      <c r="BY50" s="2002"/>
      <c r="BZ50" s="2002">
        <v>1</v>
      </c>
      <c r="CA50" s="2002"/>
      <c r="CB50" s="2002">
        <v>1</v>
      </c>
      <c r="CC50" s="2002"/>
      <c r="CD50" s="2002"/>
      <c r="CE50" s="2002"/>
      <c r="CF50" s="2002"/>
      <c r="CG50" s="2002">
        <v>1</v>
      </c>
      <c r="CH50" s="2002">
        <v>1</v>
      </c>
      <c r="CI50" s="2002"/>
      <c r="CJ50" s="2002">
        <v>2</v>
      </c>
      <c r="CK50" s="96">
        <v>2</v>
      </c>
      <c r="CL50" s="96">
        <v>1</v>
      </c>
      <c r="CM50" s="96">
        <v>9</v>
      </c>
      <c r="CN50" s="635">
        <f>+(CM47+CM49)/CM50</f>
        <v>0.22222222222222221</v>
      </c>
      <c r="CR50" s="41"/>
      <c r="CS50" s="41" t="s">
        <v>1344</v>
      </c>
      <c r="CT50" s="1665"/>
      <c r="CU50" s="1665"/>
      <c r="CV50" s="1665"/>
      <c r="CW50" s="1665"/>
      <c r="CX50" s="1665"/>
      <c r="CY50" s="1665">
        <v>0</v>
      </c>
      <c r="CZ50" s="1665"/>
      <c r="DA50" s="1665"/>
      <c r="DB50" s="1665"/>
      <c r="DC50" s="1665"/>
      <c r="DD50" s="1665"/>
      <c r="DE50" s="1665"/>
      <c r="DF50" s="1665">
        <v>1</v>
      </c>
      <c r="DG50" s="1665">
        <v>1</v>
      </c>
      <c r="DH50" s="1665">
        <v>0</v>
      </c>
      <c r="DI50" s="41">
        <v>0</v>
      </c>
      <c r="DJ50" s="41">
        <v>0</v>
      </c>
      <c r="DK50" s="41">
        <v>2</v>
      </c>
      <c r="DL50" s="41"/>
      <c r="DN50" s="1375"/>
      <c r="DO50" s="1375"/>
      <c r="DP50" s="1375"/>
      <c r="DQ50" s="1376" t="s">
        <v>1239</v>
      </c>
      <c r="DR50" s="1377"/>
      <c r="DS50" s="1377"/>
      <c r="DT50" s="1377"/>
      <c r="DU50" s="1377"/>
      <c r="DV50" s="1377"/>
      <c r="DW50" s="1377"/>
      <c r="DX50" s="1377"/>
      <c r="DY50" s="1377"/>
      <c r="DZ50" s="1377"/>
      <c r="EA50" s="1377"/>
      <c r="EB50" s="1378">
        <v>0</v>
      </c>
      <c r="EC50" s="1378">
        <v>0</v>
      </c>
      <c r="ED50" s="1378">
        <v>4</v>
      </c>
      <c r="EE50" s="1379"/>
      <c r="EF50" s="1379"/>
      <c r="EG50" s="1380">
        <v>4</v>
      </c>
      <c r="EH50" s="41"/>
      <c r="EJ50" s="678"/>
      <c r="EK50" s="678"/>
      <c r="EL50" s="678"/>
      <c r="EM50" s="679" t="s">
        <v>1344</v>
      </c>
      <c r="EN50" s="680"/>
      <c r="EO50" s="680"/>
      <c r="EP50" s="680"/>
      <c r="EQ50" s="680"/>
      <c r="ER50" s="680"/>
      <c r="ES50" s="680"/>
      <c r="ET50" s="680"/>
      <c r="EU50" s="681">
        <v>0</v>
      </c>
      <c r="EV50" s="680"/>
      <c r="EW50" s="680"/>
      <c r="EX50" s="680"/>
      <c r="EY50" s="681">
        <v>0</v>
      </c>
      <c r="EZ50" s="681">
        <v>1</v>
      </c>
      <c r="FA50" s="681">
        <v>0</v>
      </c>
      <c r="FB50" s="681">
        <v>0</v>
      </c>
      <c r="FC50" s="683">
        <v>0</v>
      </c>
      <c r="FD50" s="683">
        <v>0</v>
      </c>
      <c r="FE50" s="683">
        <v>1</v>
      </c>
      <c r="FF50" s="105"/>
      <c r="FH50" s="511"/>
      <c r="FI50" s="511"/>
      <c r="FJ50" s="511"/>
      <c r="FK50" s="511"/>
      <c r="FL50" s="512" t="s">
        <v>1239</v>
      </c>
      <c r="FM50" s="684"/>
      <c r="FN50" s="684"/>
      <c r="FO50" s="684"/>
      <c r="FP50" s="685">
        <v>0</v>
      </c>
      <c r="FQ50" s="684"/>
      <c r="FR50" s="684"/>
      <c r="FS50" s="684"/>
      <c r="FT50" s="684"/>
      <c r="FU50" s="684"/>
      <c r="FV50" s="684"/>
      <c r="FW50" s="684"/>
      <c r="FX50" s="684"/>
      <c r="FY50" s="684"/>
      <c r="FZ50" s="685">
        <v>1</v>
      </c>
      <c r="GA50" s="685">
        <v>2</v>
      </c>
      <c r="GB50" s="687">
        <v>1</v>
      </c>
      <c r="GC50" s="687">
        <v>1</v>
      </c>
      <c r="GD50" s="687">
        <v>5</v>
      </c>
      <c r="GE50" s="635"/>
      <c r="GF50" s="41"/>
      <c r="GG50" s="688"/>
      <c r="GH50" s="688"/>
      <c r="GI50" s="688"/>
      <c r="GJ50" s="457" t="s">
        <v>1235</v>
      </c>
      <c r="GK50" s="689"/>
      <c r="GL50" s="689"/>
      <c r="GM50" s="689"/>
      <c r="GN50" s="689"/>
      <c r="GO50" s="689"/>
      <c r="GP50" s="689"/>
      <c r="GQ50" s="458">
        <v>0</v>
      </c>
      <c r="GR50" s="689"/>
      <c r="GS50" s="458">
        <v>0</v>
      </c>
      <c r="GT50" s="458">
        <v>1</v>
      </c>
      <c r="GU50" s="458">
        <v>0</v>
      </c>
      <c r="GV50" s="689"/>
      <c r="GW50" s="689"/>
      <c r="GX50" s="458">
        <v>1</v>
      </c>
      <c r="GY50" s="690"/>
      <c r="GZ50" s="41"/>
      <c r="HA50" s="41"/>
      <c r="HB50" s="105"/>
      <c r="HC50" s="105"/>
      <c r="HD50" s="41"/>
      <c r="HE50" s="461" t="s">
        <v>15</v>
      </c>
      <c r="HF50" s="96"/>
      <c r="HG50" s="96"/>
      <c r="HH50" s="96"/>
      <c r="HI50" s="96"/>
      <c r="HJ50" s="96"/>
      <c r="HK50" s="96"/>
      <c r="HL50" s="96"/>
      <c r="HM50" s="96"/>
      <c r="HN50" s="96"/>
      <c r="HO50" s="96">
        <v>2</v>
      </c>
      <c r="HP50" s="96"/>
      <c r="HQ50" s="96"/>
      <c r="HR50" s="96"/>
      <c r="HS50" s="96"/>
      <c r="HT50" s="96"/>
      <c r="HU50" s="96"/>
      <c r="HV50" s="96">
        <v>2</v>
      </c>
      <c r="HW50" s="707">
        <v>0</v>
      </c>
      <c r="HX50" s="41"/>
      <c r="HY50" s="691"/>
      <c r="HZ50" s="691"/>
      <c r="IA50" s="691"/>
      <c r="IB50" s="702" t="s">
        <v>15</v>
      </c>
      <c r="IC50" s="702">
        <v>0</v>
      </c>
      <c r="ID50" s="702">
        <v>0</v>
      </c>
      <c r="IE50" s="702">
        <v>0</v>
      </c>
      <c r="IF50" s="702">
        <v>0</v>
      </c>
      <c r="IG50" s="702">
        <v>0</v>
      </c>
      <c r="IH50" s="702">
        <v>0</v>
      </c>
      <c r="II50" s="702">
        <v>0</v>
      </c>
      <c r="IJ50" s="702">
        <v>0</v>
      </c>
      <c r="IK50" s="702">
        <v>3</v>
      </c>
      <c r="IL50" s="702">
        <v>1</v>
      </c>
      <c r="IM50" s="702">
        <v>0</v>
      </c>
      <c r="IN50" s="702">
        <v>3</v>
      </c>
      <c r="IO50" s="702">
        <v>0</v>
      </c>
      <c r="IP50" s="702">
        <v>3</v>
      </c>
      <c r="IQ50" s="702">
        <v>0</v>
      </c>
      <c r="IR50" s="702">
        <v>0</v>
      </c>
      <c r="IS50" s="702">
        <v>10</v>
      </c>
      <c r="IT50" s="703">
        <f>+(IS49+IS47)/IS50</f>
        <v>0.5</v>
      </c>
      <c r="IU50" s="692">
        <f>+IS47+IS49</f>
        <v>5</v>
      </c>
    </row>
    <row r="51" spans="1:255">
      <c r="C51" s="32" t="s">
        <v>106</v>
      </c>
      <c r="D51" s="32" t="s">
        <v>1231</v>
      </c>
      <c r="E51" s="4607">
        <v>1</v>
      </c>
      <c r="F51" s="4607">
        <v>0</v>
      </c>
      <c r="G51" s="4607"/>
      <c r="H51" s="4607"/>
      <c r="I51" s="4607">
        <v>1</v>
      </c>
      <c r="J51" s="4607">
        <v>1</v>
      </c>
      <c r="K51" s="4607">
        <v>1</v>
      </c>
      <c r="L51" s="4607"/>
      <c r="M51" s="4607">
        <v>1</v>
      </c>
      <c r="N51" s="4607">
        <v>0</v>
      </c>
      <c r="O51" s="4607">
        <v>1</v>
      </c>
      <c r="P51" s="4607">
        <v>3</v>
      </c>
      <c r="Q51" s="4607">
        <v>0</v>
      </c>
      <c r="R51" s="4607">
        <v>0</v>
      </c>
      <c r="S51" s="4583">
        <v>0</v>
      </c>
      <c r="T51" s="4583"/>
      <c r="U51" s="4583">
        <v>9</v>
      </c>
      <c r="V51" s="4583"/>
      <c r="Z51" s="1793"/>
      <c r="AA51" s="1793" t="s">
        <v>1235</v>
      </c>
      <c r="AB51" s="4804">
        <v>0</v>
      </c>
      <c r="AC51" s="4804">
        <v>0</v>
      </c>
      <c r="AD51" s="4804"/>
      <c r="AE51" s="4804"/>
      <c r="AF51" s="4804">
        <v>0</v>
      </c>
      <c r="AG51" s="4804">
        <v>0</v>
      </c>
      <c r="AH51" s="4804">
        <v>0</v>
      </c>
      <c r="AI51" s="4804"/>
      <c r="AJ51" s="4804">
        <v>0</v>
      </c>
      <c r="AK51" s="4804">
        <v>0</v>
      </c>
      <c r="AL51" s="4804">
        <v>0</v>
      </c>
      <c r="AM51" s="4804">
        <v>1</v>
      </c>
      <c r="AN51" s="4804">
        <v>0</v>
      </c>
      <c r="AO51" s="4804">
        <v>0</v>
      </c>
      <c r="AP51" s="4702">
        <v>0</v>
      </c>
      <c r="AQ51" s="4702">
        <v>1</v>
      </c>
      <c r="AR51" s="1793"/>
      <c r="AT51" s="41"/>
      <c r="AU51" s="41"/>
      <c r="AV51" s="461" t="s">
        <v>546</v>
      </c>
      <c r="AW51" s="461" t="s">
        <v>1231</v>
      </c>
      <c r="AX51" s="2489"/>
      <c r="AY51" s="2489"/>
      <c r="AZ51" s="2489"/>
      <c r="BA51" s="2489"/>
      <c r="BB51" s="2489">
        <v>0</v>
      </c>
      <c r="BC51" s="2489"/>
      <c r="BD51" s="2489">
        <v>1</v>
      </c>
      <c r="BE51" s="2489">
        <v>2</v>
      </c>
      <c r="BF51" s="2489">
        <v>1</v>
      </c>
      <c r="BG51" s="2489">
        <v>8</v>
      </c>
      <c r="BH51" s="2489">
        <v>3</v>
      </c>
      <c r="BI51" s="2489">
        <v>3</v>
      </c>
      <c r="BJ51" s="2489">
        <v>0</v>
      </c>
      <c r="BK51" s="2489">
        <v>3</v>
      </c>
      <c r="BL51" s="2489">
        <v>0</v>
      </c>
      <c r="BM51" s="461"/>
      <c r="BN51" s="461"/>
      <c r="BO51" s="461">
        <v>21</v>
      </c>
      <c r="BP51" s="41"/>
      <c r="BR51" s="41"/>
      <c r="BS51" s="41"/>
      <c r="BT51" s="41" t="s">
        <v>122</v>
      </c>
      <c r="BU51" s="41" t="s">
        <v>1231</v>
      </c>
      <c r="BV51" s="2001"/>
      <c r="BW51" s="2001"/>
      <c r="BX51" s="2001"/>
      <c r="BY51" s="2001"/>
      <c r="BZ51" s="2001">
        <v>1</v>
      </c>
      <c r="CA51" s="2001"/>
      <c r="CB51" s="2001"/>
      <c r="CC51" s="2001"/>
      <c r="CD51" s="2001"/>
      <c r="CE51" s="2001"/>
      <c r="CF51" s="2001"/>
      <c r="CG51" s="2001"/>
      <c r="CH51" s="2001">
        <v>0</v>
      </c>
      <c r="CI51" s="2001">
        <v>0</v>
      </c>
      <c r="CJ51" s="2001">
        <v>1</v>
      </c>
      <c r="CK51" s="105"/>
      <c r="CL51" s="105">
        <v>0</v>
      </c>
      <c r="CM51" s="105">
        <v>2</v>
      </c>
      <c r="CN51" s="41"/>
      <c r="CR51" s="41"/>
      <c r="CS51" s="461" t="s">
        <v>15</v>
      </c>
      <c r="CT51" s="1666"/>
      <c r="CU51" s="1666"/>
      <c r="CV51" s="1666"/>
      <c r="CW51" s="1666"/>
      <c r="CX51" s="1666"/>
      <c r="CY51" s="1666">
        <v>1</v>
      </c>
      <c r="CZ51" s="1666"/>
      <c r="DA51" s="1666"/>
      <c r="DB51" s="1666"/>
      <c r="DC51" s="1666"/>
      <c r="DD51" s="1666"/>
      <c r="DE51" s="1666"/>
      <c r="DF51" s="1666">
        <v>1</v>
      </c>
      <c r="DG51" s="1666">
        <v>1</v>
      </c>
      <c r="DH51" s="1666">
        <v>5</v>
      </c>
      <c r="DI51" s="461">
        <v>1</v>
      </c>
      <c r="DJ51" s="461">
        <v>1</v>
      </c>
      <c r="DK51" s="461">
        <v>10</v>
      </c>
      <c r="DL51" s="635">
        <f>+DK50/DK51</f>
        <v>0.2</v>
      </c>
      <c r="DN51" s="1375"/>
      <c r="DO51" s="1375"/>
      <c r="DP51" s="1375"/>
      <c r="DQ51" s="1376" t="s">
        <v>1344</v>
      </c>
      <c r="DR51" s="1377"/>
      <c r="DS51" s="1377"/>
      <c r="DT51" s="1377"/>
      <c r="DU51" s="1377"/>
      <c r="DV51" s="1377"/>
      <c r="DW51" s="1377"/>
      <c r="DX51" s="1377"/>
      <c r="DY51" s="1377"/>
      <c r="DZ51" s="1377"/>
      <c r="EA51" s="1377"/>
      <c r="EB51" s="1378">
        <v>1</v>
      </c>
      <c r="EC51" s="1378">
        <v>0</v>
      </c>
      <c r="ED51" s="1378">
        <v>0</v>
      </c>
      <c r="EE51" s="1379"/>
      <c r="EF51" s="1379"/>
      <c r="EG51" s="1380">
        <v>1</v>
      </c>
      <c r="EH51" s="41"/>
      <c r="EJ51" s="678"/>
      <c r="EK51" s="678"/>
      <c r="EL51" s="678"/>
      <c r="EM51" s="697" t="s">
        <v>15</v>
      </c>
      <c r="EN51" s="698"/>
      <c r="EO51" s="698"/>
      <c r="EP51" s="698"/>
      <c r="EQ51" s="698"/>
      <c r="ER51" s="698"/>
      <c r="ES51" s="698"/>
      <c r="ET51" s="698"/>
      <c r="EU51" s="699">
        <v>1</v>
      </c>
      <c r="EV51" s="698"/>
      <c r="EW51" s="698"/>
      <c r="EX51" s="698"/>
      <c r="EY51" s="699">
        <v>1</v>
      </c>
      <c r="EZ51" s="699">
        <v>3</v>
      </c>
      <c r="FA51" s="699">
        <v>2</v>
      </c>
      <c r="FB51" s="699">
        <v>2</v>
      </c>
      <c r="FC51" s="701">
        <v>1</v>
      </c>
      <c r="FD51" s="701">
        <v>2</v>
      </c>
      <c r="FE51" s="701">
        <v>12</v>
      </c>
      <c r="FF51" s="635">
        <f>+(FE48+FE50)/FE51</f>
        <v>0.16666666666666666</v>
      </c>
      <c r="FH51" s="511"/>
      <c r="FI51" s="511"/>
      <c r="FJ51" s="511"/>
      <c r="FK51" s="41"/>
      <c r="FL51" s="532" t="s">
        <v>15</v>
      </c>
      <c r="FM51" s="693"/>
      <c r="FN51" s="693"/>
      <c r="FO51" s="693"/>
      <c r="FP51" s="694">
        <v>1</v>
      </c>
      <c r="FQ51" s="693"/>
      <c r="FR51" s="693"/>
      <c r="FS51" s="693"/>
      <c r="FT51" s="693"/>
      <c r="FU51" s="693"/>
      <c r="FV51" s="693"/>
      <c r="FW51" s="693"/>
      <c r="FX51" s="693"/>
      <c r="FY51" s="693"/>
      <c r="FZ51" s="694">
        <v>2</v>
      </c>
      <c r="GA51" s="694">
        <v>3</v>
      </c>
      <c r="GB51" s="696">
        <v>2</v>
      </c>
      <c r="GC51" s="696">
        <v>1</v>
      </c>
      <c r="GD51" s="696">
        <v>9</v>
      </c>
      <c r="GE51" s="635">
        <f>+GD49/GD51</f>
        <v>0.22222222222222221</v>
      </c>
      <c r="GF51" s="41"/>
      <c r="GG51" s="688"/>
      <c r="GH51" s="688"/>
      <c r="GI51" s="688"/>
      <c r="GJ51" s="457" t="s">
        <v>1239</v>
      </c>
      <c r="GK51" s="689"/>
      <c r="GL51" s="689"/>
      <c r="GM51" s="689"/>
      <c r="GN51" s="689"/>
      <c r="GO51" s="689"/>
      <c r="GP51" s="689"/>
      <c r="GQ51" s="458">
        <v>0</v>
      </c>
      <c r="GR51" s="689"/>
      <c r="GS51" s="458">
        <v>0</v>
      </c>
      <c r="GT51" s="458">
        <v>0</v>
      </c>
      <c r="GU51" s="458">
        <v>12</v>
      </c>
      <c r="GV51" s="689"/>
      <c r="GW51" s="689"/>
      <c r="GX51" s="458">
        <v>12</v>
      </c>
      <c r="GY51" s="690"/>
      <c r="GZ51" s="41"/>
      <c r="HA51" s="41"/>
      <c r="HB51" s="105"/>
      <c r="HC51" s="105" t="s">
        <v>16</v>
      </c>
      <c r="HD51" s="41" t="s">
        <v>107</v>
      </c>
      <c r="HE51" s="41" t="s">
        <v>1230</v>
      </c>
      <c r="HF51" s="105"/>
      <c r="HG51" s="105"/>
      <c r="HH51" s="105"/>
      <c r="HI51" s="105"/>
      <c r="HJ51" s="105">
        <v>0</v>
      </c>
      <c r="HK51" s="105"/>
      <c r="HL51" s="105"/>
      <c r="HM51" s="105"/>
      <c r="HN51" s="105">
        <v>0</v>
      </c>
      <c r="HO51" s="105">
        <v>0</v>
      </c>
      <c r="HP51" s="105">
        <v>0</v>
      </c>
      <c r="HQ51" s="105">
        <v>0</v>
      </c>
      <c r="HR51" s="105">
        <v>0</v>
      </c>
      <c r="HS51" s="105">
        <v>1</v>
      </c>
      <c r="HT51" s="105"/>
      <c r="HU51" s="105"/>
      <c r="HV51" s="105">
        <v>1</v>
      </c>
      <c r="HW51" s="41"/>
      <c r="HX51" s="41"/>
      <c r="HY51" s="691"/>
      <c r="HZ51" s="691"/>
      <c r="IA51" s="691" t="s">
        <v>126</v>
      </c>
      <c r="IB51" s="691" t="s">
        <v>1231</v>
      </c>
      <c r="IC51" s="691">
        <v>0</v>
      </c>
      <c r="ID51" s="691">
        <v>0</v>
      </c>
      <c r="IE51" s="691">
        <v>0</v>
      </c>
      <c r="IF51" s="691">
        <v>0</v>
      </c>
      <c r="IG51" s="691">
        <v>0</v>
      </c>
      <c r="IH51" s="691">
        <v>0</v>
      </c>
      <c r="II51" s="691">
        <v>0</v>
      </c>
      <c r="IJ51" s="691">
        <v>0</v>
      </c>
      <c r="IK51" s="691">
        <v>1</v>
      </c>
      <c r="IL51" s="691">
        <v>0</v>
      </c>
      <c r="IM51" s="691">
        <v>0</v>
      </c>
      <c r="IN51" s="691">
        <v>0</v>
      </c>
      <c r="IO51" s="691">
        <v>0</v>
      </c>
      <c r="IP51" s="691">
        <v>0</v>
      </c>
      <c r="IQ51" s="691">
        <v>0</v>
      </c>
      <c r="IR51" s="691">
        <v>0</v>
      </c>
      <c r="IS51" s="691">
        <v>1</v>
      </c>
      <c r="IT51" s="691"/>
      <c r="IU51" s="692"/>
    </row>
    <row r="52" spans="1:255">
      <c r="C52" s="32"/>
      <c r="D52" s="32" t="s">
        <v>1233</v>
      </c>
      <c r="E52" s="4607">
        <v>0</v>
      </c>
      <c r="F52" s="4607">
        <v>1</v>
      </c>
      <c r="G52" s="4607"/>
      <c r="H52" s="4607"/>
      <c r="I52" s="4607">
        <v>0</v>
      </c>
      <c r="J52" s="4607">
        <v>0</v>
      </c>
      <c r="K52" s="4607">
        <v>0</v>
      </c>
      <c r="L52" s="4607"/>
      <c r="M52" s="4607">
        <v>0</v>
      </c>
      <c r="N52" s="4607">
        <v>0</v>
      </c>
      <c r="O52" s="4607">
        <v>0</v>
      </c>
      <c r="P52" s="4607">
        <v>0</v>
      </c>
      <c r="Q52" s="4607">
        <v>0</v>
      </c>
      <c r="R52" s="4607">
        <v>0</v>
      </c>
      <c r="S52" s="4583">
        <v>0</v>
      </c>
      <c r="T52" s="4583"/>
      <c r="U52" s="4583">
        <v>1</v>
      </c>
      <c r="V52" s="4583"/>
      <c r="Z52" s="1793"/>
      <c r="AA52" s="1793" t="s">
        <v>1236</v>
      </c>
      <c r="AB52" s="4804">
        <v>0</v>
      </c>
      <c r="AC52" s="4804">
        <v>0</v>
      </c>
      <c r="AD52" s="4804"/>
      <c r="AE52" s="4804"/>
      <c r="AF52" s="4804">
        <v>0</v>
      </c>
      <c r="AG52" s="4804">
        <v>0</v>
      </c>
      <c r="AH52" s="4804">
        <v>0</v>
      </c>
      <c r="AI52" s="4804"/>
      <c r="AJ52" s="4804">
        <v>0</v>
      </c>
      <c r="AK52" s="4804">
        <v>0</v>
      </c>
      <c r="AL52" s="4804">
        <v>0</v>
      </c>
      <c r="AM52" s="4804">
        <v>0</v>
      </c>
      <c r="AN52" s="4804">
        <v>0</v>
      </c>
      <c r="AO52" s="4804">
        <v>1</v>
      </c>
      <c r="AP52" s="4702">
        <v>1</v>
      </c>
      <c r="AQ52" s="4702">
        <v>2</v>
      </c>
      <c r="AR52" s="1793"/>
      <c r="AT52" s="41"/>
      <c r="AU52" s="41"/>
      <c r="AV52" s="461"/>
      <c r="AW52" s="461" t="s">
        <v>1233</v>
      </c>
      <c r="AX52" s="2489"/>
      <c r="AY52" s="2489"/>
      <c r="AZ52" s="2489"/>
      <c r="BA52" s="2489"/>
      <c r="BB52" s="2489">
        <v>1</v>
      </c>
      <c r="BC52" s="2489"/>
      <c r="BD52" s="2489">
        <v>0</v>
      </c>
      <c r="BE52" s="2489">
        <v>0</v>
      </c>
      <c r="BF52" s="2489">
        <v>0</v>
      </c>
      <c r="BG52" s="2489">
        <v>0</v>
      </c>
      <c r="BH52" s="2489">
        <v>0</v>
      </c>
      <c r="BI52" s="2489">
        <v>0</v>
      </c>
      <c r="BJ52" s="2489">
        <v>0</v>
      </c>
      <c r="BK52" s="2489">
        <v>0</v>
      </c>
      <c r="BL52" s="2489">
        <v>0</v>
      </c>
      <c r="BM52" s="461"/>
      <c r="BN52" s="461"/>
      <c r="BO52" s="461">
        <v>1</v>
      </c>
      <c r="BP52" s="41"/>
      <c r="BR52" s="41"/>
      <c r="BS52" s="41"/>
      <c r="BT52" s="41"/>
      <c r="BU52" s="41" t="s">
        <v>1235</v>
      </c>
      <c r="BV52" s="2001"/>
      <c r="BW52" s="2001"/>
      <c r="BX52" s="2001"/>
      <c r="BY52" s="2001"/>
      <c r="BZ52" s="2001">
        <v>0</v>
      </c>
      <c r="CA52" s="2001"/>
      <c r="CB52" s="2001"/>
      <c r="CC52" s="2001"/>
      <c r="CD52" s="2001"/>
      <c r="CE52" s="2001"/>
      <c r="CF52" s="2001"/>
      <c r="CG52" s="2001"/>
      <c r="CH52" s="2001">
        <v>1</v>
      </c>
      <c r="CI52" s="2001">
        <v>1</v>
      </c>
      <c r="CJ52" s="2001">
        <v>1</v>
      </c>
      <c r="CK52" s="105"/>
      <c r="CL52" s="105">
        <v>0</v>
      </c>
      <c r="CM52" s="105">
        <v>3</v>
      </c>
      <c r="CN52" s="41"/>
      <c r="CR52" s="41" t="s">
        <v>122</v>
      </c>
      <c r="CS52" s="41" t="s">
        <v>1230</v>
      </c>
      <c r="CT52" s="1665"/>
      <c r="CU52" s="1665">
        <v>0</v>
      </c>
      <c r="CV52" s="1665"/>
      <c r="CW52" s="1665"/>
      <c r="CX52" s="1665"/>
      <c r="CY52" s="1665"/>
      <c r="CZ52" s="1665"/>
      <c r="DA52" s="1665"/>
      <c r="DB52" s="1665"/>
      <c r="DC52" s="1665">
        <v>0</v>
      </c>
      <c r="DD52" s="1665"/>
      <c r="DE52" s="1665"/>
      <c r="DF52" s="1665"/>
      <c r="DG52" s="1665">
        <v>0</v>
      </c>
      <c r="DH52" s="1665">
        <v>3</v>
      </c>
      <c r="DI52" s="41"/>
      <c r="DJ52" s="41">
        <v>1</v>
      </c>
      <c r="DK52" s="41">
        <v>4</v>
      </c>
      <c r="DL52" s="41"/>
      <c r="DN52" s="1375"/>
      <c r="DO52" s="1375"/>
      <c r="DP52" s="1375"/>
      <c r="DQ52" s="1372" t="s">
        <v>15</v>
      </c>
      <c r="DR52" s="1381"/>
      <c r="DS52" s="1381"/>
      <c r="DT52" s="1381"/>
      <c r="DU52" s="1381"/>
      <c r="DV52" s="1381"/>
      <c r="DW52" s="1381"/>
      <c r="DX52" s="1381"/>
      <c r="DY52" s="1381"/>
      <c r="DZ52" s="1381"/>
      <c r="EA52" s="1381"/>
      <c r="EB52" s="1382">
        <v>1</v>
      </c>
      <c r="EC52" s="1382">
        <v>1</v>
      </c>
      <c r="ED52" s="1382">
        <v>4</v>
      </c>
      <c r="EE52" s="1383"/>
      <c r="EF52" s="1383"/>
      <c r="EG52" s="1384">
        <v>6</v>
      </c>
      <c r="EH52" s="1325">
        <f>+(EG49+EG51)/EG52</f>
        <v>0.33333333333333331</v>
      </c>
      <c r="EJ52" s="678"/>
      <c r="EK52" s="678"/>
      <c r="EL52" s="678" t="s">
        <v>122</v>
      </c>
      <c r="EM52" s="679" t="s">
        <v>1230</v>
      </c>
      <c r="EN52" s="680"/>
      <c r="EO52" s="681">
        <v>0</v>
      </c>
      <c r="EP52" s="680"/>
      <c r="EQ52" s="680"/>
      <c r="ER52" s="680"/>
      <c r="ES52" s="681">
        <v>0</v>
      </c>
      <c r="ET52" s="680"/>
      <c r="EU52" s="680"/>
      <c r="EV52" s="680"/>
      <c r="EW52" s="680"/>
      <c r="EX52" s="680"/>
      <c r="EY52" s="680"/>
      <c r="EZ52" s="681">
        <v>1</v>
      </c>
      <c r="FA52" s="681">
        <v>0</v>
      </c>
      <c r="FB52" s="681">
        <v>0</v>
      </c>
      <c r="FC52" s="683">
        <v>0</v>
      </c>
      <c r="FD52" s="683">
        <v>0</v>
      </c>
      <c r="FE52" s="683">
        <v>1</v>
      </c>
      <c r="FF52" s="105"/>
      <c r="FH52" s="511"/>
      <c r="FI52" s="511"/>
      <c r="FJ52" s="511" t="s">
        <v>122</v>
      </c>
      <c r="FK52" s="511" t="s">
        <v>1229</v>
      </c>
      <c r="FL52" s="512" t="s">
        <v>1230</v>
      </c>
      <c r="FM52" s="684"/>
      <c r="FN52" s="684"/>
      <c r="FO52" s="684"/>
      <c r="FP52" s="684"/>
      <c r="FQ52" s="684"/>
      <c r="FR52" s="684"/>
      <c r="FS52" s="684"/>
      <c r="FT52" s="685">
        <v>0</v>
      </c>
      <c r="FU52" s="685">
        <v>0</v>
      </c>
      <c r="FV52" s="684"/>
      <c r="FW52" s="685">
        <v>0</v>
      </c>
      <c r="FX52" s="685">
        <v>0</v>
      </c>
      <c r="FY52" s="685">
        <v>0</v>
      </c>
      <c r="FZ52" s="684"/>
      <c r="GA52" s="685">
        <v>2</v>
      </c>
      <c r="GB52" s="686"/>
      <c r="GC52" s="687">
        <v>0</v>
      </c>
      <c r="GD52" s="687">
        <v>2</v>
      </c>
      <c r="GE52" s="635"/>
      <c r="GF52" s="41"/>
      <c r="GG52" s="688"/>
      <c r="GH52" s="688"/>
      <c r="GI52" s="688"/>
      <c r="GJ52" s="457" t="s">
        <v>1344</v>
      </c>
      <c r="GK52" s="689"/>
      <c r="GL52" s="689"/>
      <c r="GM52" s="689"/>
      <c r="GN52" s="689"/>
      <c r="GO52" s="689"/>
      <c r="GP52" s="689"/>
      <c r="GQ52" s="458">
        <v>1</v>
      </c>
      <c r="GR52" s="689"/>
      <c r="GS52" s="458">
        <v>0</v>
      </c>
      <c r="GT52" s="458">
        <v>0</v>
      </c>
      <c r="GU52" s="458">
        <v>0</v>
      </c>
      <c r="GV52" s="689"/>
      <c r="GW52" s="689"/>
      <c r="GX52" s="458">
        <v>1</v>
      </c>
      <c r="GY52" s="690"/>
      <c r="GZ52" s="41"/>
      <c r="HA52" s="41"/>
      <c r="HB52" s="105"/>
      <c r="HC52" s="105"/>
      <c r="HD52" s="41"/>
      <c r="HE52" s="41" t="s">
        <v>1231</v>
      </c>
      <c r="HF52" s="105"/>
      <c r="HG52" s="105"/>
      <c r="HH52" s="105"/>
      <c r="HI52" s="105"/>
      <c r="HJ52" s="105">
        <v>0</v>
      </c>
      <c r="HK52" s="105"/>
      <c r="HL52" s="105"/>
      <c r="HM52" s="105"/>
      <c r="HN52" s="105">
        <v>1</v>
      </c>
      <c r="HO52" s="105">
        <v>1</v>
      </c>
      <c r="HP52" s="105">
        <v>1</v>
      </c>
      <c r="HQ52" s="105">
        <v>0</v>
      </c>
      <c r="HR52" s="105">
        <v>2</v>
      </c>
      <c r="HS52" s="105">
        <v>0</v>
      </c>
      <c r="HT52" s="105"/>
      <c r="HU52" s="105"/>
      <c r="HV52" s="105">
        <v>5</v>
      </c>
      <c r="HW52" s="41"/>
      <c r="HX52" s="41"/>
      <c r="HY52" s="691"/>
      <c r="HZ52" s="691"/>
      <c r="IA52" s="691"/>
      <c r="IB52" s="691" t="s">
        <v>1235</v>
      </c>
      <c r="IC52" s="691">
        <v>0</v>
      </c>
      <c r="ID52" s="691">
        <v>0</v>
      </c>
      <c r="IE52" s="691">
        <v>0</v>
      </c>
      <c r="IF52" s="691">
        <v>0</v>
      </c>
      <c r="IG52" s="691">
        <v>0</v>
      </c>
      <c r="IH52" s="691">
        <v>0</v>
      </c>
      <c r="II52" s="691">
        <v>0</v>
      </c>
      <c r="IJ52" s="691">
        <v>0</v>
      </c>
      <c r="IK52" s="691">
        <v>0</v>
      </c>
      <c r="IL52" s="691">
        <v>0</v>
      </c>
      <c r="IM52" s="691">
        <v>0</v>
      </c>
      <c r="IN52" s="691">
        <v>1</v>
      </c>
      <c r="IO52" s="691">
        <v>0</v>
      </c>
      <c r="IP52" s="691">
        <v>0</v>
      </c>
      <c r="IQ52" s="691">
        <v>0</v>
      </c>
      <c r="IR52" s="691">
        <v>0</v>
      </c>
      <c r="IS52" s="691">
        <v>1</v>
      </c>
      <c r="IT52" s="691"/>
      <c r="IU52" s="692"/>
    </row>
    <row r="53" spans="1:255">
      <c r="C53" s="32"/>
      <c r="D53" s="32" t="s">
        <v>1235</v>
      </c>
      <c r="E53" s="4607">
        <v>0</v>
      </c>
      <c r="F53" s="4607">
        <v>0</v>
      </c>
      <c r="G53" s="4607"/>
      <c r="H53" s="4607"/>
      <c r="I53" s="4607">
        <v>0</v>
      </c>
      <c r="J53" s="4607">
        <v>0</v>
      </c>
      <c r="K53" s="4607">
        <v>0</v>
      </c>
      <c r="L53" s="4607"/>
      <c r="M53" s="4607">
        <v>0</v>
      </c>
      <c r="N53" s="4607">
        <v>0</v>
      </c>
      <c r="O53" s="4607">
        <v>0</v>
      </c>
      <c r="P53" s="4607">
        <v>1</v>
      </c>
      <c r="Q53" s="4607">
        <v>0</v>
      </c>
      <c r="R53" s="4607">
        <v>0</v>
      </c>
      <c r="S53" s="4583">
        <v>0</v>
      </c>
      <c r="T53" s="4583"/>
      <c r="U53" s="4583">
        <v>1</v>
      </c>
      <c r="V53" s="4583"/>
      <c r="Z53" s="1793"/>
      <c r="AA53" s="1793" t="s">
        <v>1239</v>
      </c>
      <c r="AB53" s="4804">
        <v>0</v>
      </c>
      <c r="AC53" s="4804">
        <v>0</v>
      </c>
      <c r="AD53" s="4804"/>
      <c r="AE53" s="4804"/>
      <c r="AF53" s="4804">
        <v>0</v>
      </c>
      <c r="AG53" s="4804">
        <v>0</v>
      </c>
      <c r="AH53" s="4804">
        <v>0</v>
      </c>
      <c r="AI53" s="4804"/>
      <c r="AJ53" s="4804">
        <v>0</v>
      </c>
      <c r="AK53" s="4804">
        <v>0</v>
      </c>
      <c r="AL53" s="4804">
        <v>0</v>
      </c>
      <c r="AM53" s="4804">
        <v>1</v>
      </c>
      <c r="AN53" s="4804">
        <v>5</v>
      </c>
      <c r="AO53" s="4804">
        <v>0</v>
      </c>
      <c r="AP53" s="4702">
        <v>1</v>
      </c>
      <c r="AQ53" s="4702">
        <v>7</v>
      </c>
      <c r="AR53" s="1793"/>
      <c r="AT53" s="41"/>
      <c r="AU53" s="41"/>
      <c r="AV53" s="461"/>
      <c r="AW53" s="461" t="s">
        <v>1235</v>
      </c>
      <c r="AX53" s="2489"/>
      <c r="AY53" s="2489"/>
      <c r="AZ53" s="2489"/>
      <c r="BA53" s="2489"/>
      <c r="BB53" s="2489">
        <v>0</v>
      </c>
      <c r="BC53" s="2489"/>
      <c r="BD53" s="2489">
        <v>0</v>
      </c>
      <c r="BE53" s="2489">
        <v>0</v>
      </c>
      <c r="BF53" s="2489">
        <v>0</v>
      </c>
      <c r="BG53" s="2489">
        <v>1</v>
      </c>
      <c r="BH53" s="2489">
        <v>0</v>
      </c>
      <c r="BI53" s="2489">
        <v>0</v>
      </c>
      <c r="BJ53" s="2489">
        <v>1</v>
      </c>
      <c r="BK53" s="2489">
        <v>0</v>
      </c>
      <c r="BL53" s="2489">
        <v>0</v>
      </c>
      <c r="BM53" s="461"/>
      <c r="BN53" s="461"/>
      <c r="BO53" s="461">
        <v>2</v>
      </c>
      <c r="BP53" s="41"/>
      <c r="BR53" s="41"/>
      <c r="BS53" s="41"/>
      <c r="BT53" s="41"/>
      <c r="BU53" s="41" t="s">
        <v>1239</v>
      </c>
      <c r="BV53" s="2001"/>
      <c r="BW53" s="2001"/>
      <c r="BX53" s="2001"/>
      <c r="BY53" s="2001"/>
      <c r="BZ53" s="2001">
        <v>0</v>
      </c>
      <c r="CA53" s="2001"/>
      <c r="CB53" s="2001"/>
      <c r="CC53" s="2001"/>
      <c r="CD53" s="2001"/>
      <c r="CE53" s="2001"/>
      <c r="CF53" s="2001"/>
      <c r="CG53" s="2001"/>
      <c r="CH53" s="2001">
        <v>0</v>
      </c>
      <c r="CI53" s="2001">
        <v>0</v>
      </c>
      <c r="CJ53" s="2001">
        <v>2</v>
      </c>
      <c r="CK53" s="105"/>
      <c r="CL53" s="105">
        <v>5</v>
      </c>
      <c r="CM53" s="105">
        <v>7</v>
      </c>
      <c r="CN53" s="41"/>
      <c r="CR53" s="41"/>
      <c r="CS53" s="41" t="s">
        <v>1233</v>
      </c>
      <c r="CT53" s="1665"/>
      <c r="CU53" s="1665">
        <v>1</v>
      </c>
      <c r="CV53" s="1665"/>
      <c r="CW53" s="1665"/>
      <c r="CX53" s="1665"/>
      <c r="CY53" s="1665"/>
      <c r="CZ53" s="1665"/>
      <c r="DA53" s="1665"/>
      <c r="DB53" s="1665"/>
      <c r="DC53" s="1665">
        <v>0</v>
      </c>
      <c r="DD53" s="1665"/>
      <c r="DE53" s="1665"/>
      <c r="DF53" s="1665"/>
      <c r="DG53" s="1665">
        <v>0</v>
      </c>
      <c r="DH53" s="1665">
        <v>0</v>
      </c>
      <c r="DI53" s="41"/>
      <c r="DJ53" s="41">
        <v>0</v>
      </c>
      <c r="DK53" s="41">
        <v>1</v>
      </c>
      <c r="DL53" s="41"/>
      <c r="DN53" s="1375"/>
      <c r="DO53" s="1375"/>
      <c r="DP53" s="1375" t="s">
        <v>417</v>
      </c>
      <c r="DQ53" s="1376" t="s">
        <v>1231</v>
      </c>
      <c r="DR53" s="1377"/>
      <c r="DS53" s="1377"/>
      <c r="DT53" s="1377"/>
      <c r="DU53" s="1377"/>
      <c r="DV53" s="1377"/>
      <c r="DW53" s="1377"/>
      <c r="DX53" s="1377"/>
      <c r="DY53" s="1377"/>
      <c r="DZ53" s="1378">
        <v>0</v>
      </c>
      <c r="EA53" s="1377"/>
      <c r="EB53" s="1378">
        <v>1</v>
      </c>
      <c r="EC53" s="1377"/>
      <c r="ED53" s="1378">
        <v>0</v>
      </c>
      <c r="EE53" s="1379"/>
      <c r="EF53" s="1380">
        <v>0</v>
      </c>
      <c r="EG53" s="1380">
        <v>1</v>
      </c>
      <c r="EH53" s="41"/>
      <c r="EJ53" s="678"/>
      <c r="EK53" s="678"/>
      <c r="EL53" s="678"/>
      <c r="EM53" s="679" t="s">
        <v>1231</v>
      </c>
      <c r="EN53" s="680"/>
      <c r="EO53" s="681">
        <v>1</v>
      </c>
      <c r="EP53" s="680"/>
      <c r="EQ53" s="680"/>
      <c r="ER53" s="680"/>
      <c r="ES53" s="681">
        <v>1</v>
      </c>
      <c r="ET53" s="680"/>
      <c r="EU53" s="680"/>
      <c r="EV53" s="680"/>
      <c r="EW53" s="680"/>
      <c r="EX53" s="680"/>
      <c r="EY53" s="680"/>
      <c r="EZ53" s="681">
        <v>0</v>
      </c>
      <c r="FA53" s="681">
        <v>1</v>
      </c>
      <c r="FB53" s="681">
        <v>0</v>
      </c>
      <c r="FC53" s="683">
        <v>0</v>
      </c>
      <c r="FD53" s="683">
        <v>0</v>
      </c>
      <c r="FE53" s="683">
        <v>3</v>
      </c>
      <c r="FF53" s="105"/>
      <c r="FH53" s="511"/>
      <c r="FI53" s="511"/>
      <c r="FJ53" s="511"/>
      <c r="FK53" s="511"/>
      <c r="FL53" s="512" t="s">
        <v>1231</v>
      </c>
      <c r="FM53" s="684"/>
      <c r="FN53" s="684"/>
      <c r="FO53" s="684"/>
      <c r="FP53" s="684"/>
      <c r="FQ53" s="684"/>
      <c r="FR53" s="684"/>
      <c r="FS53" s="684"/>
      <c r="FT53" s="685">
        <v>1</v>
      </c>
      <c r="FU53" s="685">
        <v>1</v>
      </c>
      <c r="FV53" s="684"/>
      <c r="FW53" s="685">
        <v>0</v>
      </c>
      <c r="FX53" s="685">
        <v>0</v>
      </c>
      <c r="FY53" s="685">
        <v>0</v>
      </c>
      <c r="FZ53" s="684"/>
      <c r="GA53" s="685">
        <v>0</v>
      </c>
      <c r="GB53" s="686"/>
      <c r="GC53" s="687">
        <v>0</v>
      </c>
      <c r="GD53" s="687">
        <v>2</v>
      </c>
      <c r="GE53" s="635"/>
      <c r="GF53" s="41"/>
      <c r="GG53" s="688"/>
      <c r="GH53" s="688"/>
      <c r="GI53" s="688"/>
      <c r="GJ53" s="704" t="s">
        <v>15</v>
      </c>
      <c r="GK53" s="705"/>
      <c r="GL53" s="705"/>
      <c r="GM53" s="705"/>
      <c r="GN53" s="705"/>
      <c r="GO53" s="705"/>
      <c r="GP53" s="705"/>
      <c r="GQ53" s="463">
        <v>1</v>
      </c>
      <c r="GR53" s="705"/>
      <c r="GS53" s="463">
        <v>1</v>
      </c>
      <c r="GT53" s="463">
        <v>1</v>
      </c>
      <c r="GU53" s="463">
        <v>12</v>
      </c>
      <c r="GV53" s="705"/>
      <c r="GW53" s="705"/>
      <c r="GX53" s="463">
        <v>15</v>
      </c>
      <c r="GY53" s="628">
        <f>+(GX52+GX50)/GX53</f>
        <v>0.13333333333333333</v>
      </c>
      <c r="GZ53" s="41"/>
      <c r="HA53" s="41"/>
      <c r="HB53" s="105"/>
      <c r="HC53" s="105"/>
      <c r="HD53" s="41"/>
      <c r="HE53" s="41" t="s">
        <v>1233</v>
      </c>
      <c r="HF53" s="105"/>
      <c r="HG53" s="105"/>
      <c r="HH53" s="105"/>
      <c r="HI53" s="105"/>
      <c r="HJ53" s="105">
        <v>1</v>
      </c>
      <c r="HK53" s="105"/>
      <c r="HL53" s="105"/>
      <c r="HM53" s="105"/>
      <c r="HN53" s="105">
        <v>0</v>
      </c>
      <c r="HO53" s="105">
        <v>0</v>
      </c>
      <c r="HP53" s="105">
        <v>0</v>
      </c>
      <c r="HQ53" s="105">
        <v>0</v>
      </c>
      <c r="HR53" s="105">
        <v>0</v>
      </c>
      <c r="HS53" s="105">
        <v>0</v>
      </c>
      <c r="HT53" s="105"/>
      <c r="HU53" s="105"/>
      <c r="HV53" s="105">
        <v>1</v>
      </c>
      <c r="HW53" s="41"/>
      <c r="HX53" s="41"/>
      <c r="HY53" s="691"/>
      <c r="HZ53" s="691"/>
      <c r="IA53" s="691"/>
      <c r="IB53" s="691" t="s">
        <v>1236</v>
      </c>
      <c r="IC53" s="691">
        <v>0</v>
      </c>
      <c r="ID53" s="691">
        <v>0</v>
      </c>
      <c r="IE53" s="691">
        <v>0</v>
      </c>
      <c r="IF53" s="691">
        <v>0</v>
      </c>
      <c r="IG53" s="691">
        <v>0</v>
      </c>
      <c r="IH53" s="691">
        <v>0</v>
      </c>
      <c r="II53" s="691">
        <v>1</v>
      </c>
      <c r="IJ53" s="691">
        <v>1</v>
      </c>
      <c r="IK53" s="691">
        <v>1</v>
      </c>
      <c r="IL53" s="691">
        <v>0</v>
      </c>
      <c r="IM53" s="691">
        <v>0</v>
      </c>
      <c r="IN53" s="691">
        <v>3</v>
      </c>
      <c r="IO53" s="691">
        <v>0</v>
      </c>
      <c r="IP53" s="691">
        <v>0</v>
      </c>
      <c r="IQ53" s="691">
        <v>0</v>
      </c>
      <c r="IR53" s="691">
        <v>0</v>
      </c>
      <c r="IS53" s="691">
        <v>6</v>
      </c>
      <c r="IT53" s="691"/>
      <c r="IU53" s="692"/>
    </row>
    <row r="54" spans="1:255">
      <c r="C54" s="32"/>
      <c r="D54" s="32" t="s">
        <v>1236</v>
      </c>
      <c r="E54" s="4607">
        <v>0</v>
      </c>
      <c r="F54" s="4607">
        <v>0</v>
      </c>
      <c r="G54" s="4607"/>
      <c r="H54" s="4607"/>
      <c r="I54" s="4607">
        <v>0</v>
      </c>
      <c r="J54" s="4607">
        <v>0</v>
      </c>
      <c r="K54" s="4607">
        <v>0</v>
      </c>
      <c r="L54" s="4607"/>
      <c r="M54" s="4607">
        <v>0</v>
      </c>
      <c r="N54" s="4607">
        <v>0</v>
      </c>
      <c r="O54" s="4607">
        <v>0</v>
      </c>
      <c r="P54" s="4607">
        <v>0</v>
      </c>
      <c r="Q54" s="4607">
        <v>0</v>
      </c>
      <c r="R54" s="4607">
        <v>1</v>
      </c>
      <c r="S54" s="4583">
        <v>1</v>
      </c>
      <c r="T54" s="4583"/>
      <c r="U54" s="4583">
        <v>2</v>
      </c>
      <c r="V54" s="4583"/>
      <c r="Z54" s="1793"/>
      <c r="AA54" s="1793" t="s">
        <v>1240</v>
      </c>
      <c r="AB54" s="4804">
        <v>0</v>
      </c>
      <c r="AC54" s="4804">
        <v>0</v>
      </c>
      <c r="AD54" s="4804"/>
      <c r="AE54" s="4804"/>
      <c r="AF54" s="4804">
        <v>0</v>
      </c>
      <c r="AG54" s="4804">
        <v>0</v>
      </c>
      <c r="AH54" s="4804">
        <v>0</v>
      </c>
      <c r="AI54" s="4804"/>
      <c r="AJ54" s="4804">
        <v>0</v>
      </c>
      <c r="AK54" s="4804">
        <v>0</v>
      </c>
      <c r="AL54" s="4804">
        <v>0</v>
      </c>
      <c r="AM54" s="4804">
        <v>0</v>
      </c>
      <c r="AN54" s="4804">
        <v>1</v>
      </c>
      <c r="AO54" s="4804">
        <v>0</v>
      </c>
      <c r="AP54" s="4702">
        <v>0</v>
      </c>
      <c r="AQ54" s="4702">
        <v>1</v>
      </c>
      <c r="AR54" s="1793"/>
      <c r="AT54" s="41"/>
      <c r="AU54" s="41"/>
      <c r="AV54" s="461"/>
      <c r="AW54" s="461" t="s">
        <v>1239</v>
      </c>
      <c r="AX54" s="2489"/>
      <c r="AY54" s="2489"/>
      <c r="AZ54" s="2489"/>
      <c r="BA54" s="2489"/>
      <c r="BB54" s="2489">
        <v>0</v>
      </c>
      <c r="BC54" s="2489"/>
      <c r="BD54" s="2489">
        <v>0</v>
      </c>
      <c r="BE54" s="2489">
        <v>0</v>
      </c>
      <c r="BF54" s="2489">
        <v>0</v>
      </c>
      <c r="BG54" s="2489">
        <v>0</v>
      </c>
      <c r="BH54" s="2489">
        <v>1</v>
      </c>
      <c r="BI54" s="2489">
        <v>3</v>
      </c>
      <c r="BJ54" s="2489">
        <v>0</v>
      </c>
      <c r="BK54" s="2489">
        <v>1</v>
      </c>
      <c r="BL54" s="2489">
        <v>6</v>
      </c>
      <c r="BM54" s="461"/>
      <c r="BN54" s="461"/>
      <c r="BO54" s="461">
        <v>11</v>
      </c>
      <c r="BP54" s="41"/>
      <c r="BR54" s="41"/>
      <c r="BS54" s="41"/>
      <c r="BT54" s="41"/>
      <c r="BU54" s="41" t="s">
        <v>1344</v>
      </c>
      <c r="BV54" s="2001"/>
      <c r="BW54" s="2001"/>
      <c r="BX54" s="2001"/>
      <c r="BY54" s="2001"/>
      <c r="BZ54" s="2001">
        <v>0</v>
      </c>
      <c r="CA54" s="2001"/>
      <c r="CB54" s="2001"/>
      <c r="CC54" s="2001"/>
      <c r="CD54" s="2001"/>
      <c r="CE54" s="2001"/>
      <c r="CF54" s="2001"/>
      <c r="CG54" s="2001"/>
      <c r="CH54" s="2001">
        <v>2</v>
      </c>
      <c r="CI54" s="2001">
        <v>3</v>
      </c>
      <c r="CJ54" s="2001">
        <v>1</v>
      </c>
      <c r="CK54" s="105"/>
      <c r="CL54" s="105">
        <v>0</v>
      </c>
      <c r="CM54" s="105">
        <v>6</v>
      </c>
      <c r="CN54" s="41"/>
      <c r="CR54" s="41"/>
      <c r="CS54" s="41" t="s">
        <v>1235</v>
      </c>
      <c r="CT54" s="1665"/>
      <c r="CU54" s="1665">
        <v>0</v>
      </c>
      <c r="CV54" s="1665"/>
      <c r="CW54" s="1665"/>
      <c r="CX54" s="1665"/>
      <c r="CY54" s="1665"/>
      <c r="CZ54" s="1665"/>
      <c r="DA54" s="1665"/>
      <c r="DB54" s="1665"/>
      <c r="DC54" s="1665">
        <v>0</v>
      </c>
      <c r="DD54" s="1665"/>
      <c r="DE54" s="1665"/>
      <c r="DF54" s="1665"/>
      <c r="DG54" s="1665">
        <v>1</v>
      </c>
      <c r="DH54" s="1665">
        <v>0</v>
      </c>
      <c r="DI54" s="41"/>
      <c r="DJ54" s="41">
        <v>0</v>
      </c>
      <c r="DK54" s="41">
        <v>1</v>
      </c>
      <c r="DL54" s="41"/>
      <c r="DN54" s="1375"/>
      <c r="DO54" s="1375"/>
      <c r="DP54" s="1375"/>
      <c r="DQ54" s="1376" t="s">
        <v>1236</v>
      </c>
      <c r="DR54" s="1377"/>
      <c r="DS54" s="1377"/>
      <c r="DT54" s="1377"/>
      <c r="DU54" s="1377"/>
      <c r="DV54" s="1377"/>
      <c r="DW54" s="1377"/>
      <c r="DX54" s="1377"/>
      <c r="DY54" s="1377"/>
      <c r="DZ54" s="1378">
        <v>1</v>
      </c>
      <c r="EA54" s="1377"/>
      <c r="EB54" s="1378">
        <v>0</v>
      </c>
      <c r="EC54" s="1377"/>
      <c r="ED54" s="1378">
        <v>0</v>
      </c>
      <c r="EE54" s="1379"/>
      <c r="EF54" s="1380">
        <v>0</v>
      </c>
      <c r="EG54" s="1380">
        <v>1</v>
      </c>
      <c r="EH54" s="41"/>
      <c r="EJ54" s="678"/>
      <c r="EK54" s="678"/>
      <c r="EL54" s="678"/>
      <c r="EM54" s="679" t="s">
        <v>1239</v>
      </c>
      <c r="EN54" s="680"/>
      <c r="EO54" s="681">
        <v>0</v>
      </c>
      <c r="EP54" s="680"/>
      <c r="EQ54" s="680"/>
      <c r="ER54" s="680"/>
      <c r="ES54" s="681">
        <v>0</v>
      </c>
      <c r="ET54" s="680"/>
      <c r="EU54" s="680"/>
      <c r="EV54" s="680"/>
      <c r="EW54" s="680"/>
      <c r="EX54" s="680"/>
      <c r="EY54" s="680"/>
      <c r="EZ54" s="681">
        <v>0</v>
      </c>
      <c r="FA54" s="681">
        <v>0</v>
      </c>
      <c r="FB54" s="681">
        <v>5</v>
      </c>
      <c r="FC54" s="683">
        <v>2</v>
      </c>
      <c r="FD54" s="683">
        <v>8</v>
      </c>
      <c r="FE54" s="683">
        <v>15</v>
      </c>
      <c r="FF54" s="105"/>
      <c r="FH54" s="511"/>
      <c r="FI54" s="511"/>
      <c r="FJ54" s="511"/>
      <c r="FK54" s="511"/>
      <c r="FL54" s="512" t="s">
        <v>1235</v>
      </c>
      <c r="FM54" s="684"/>
      <c r="FN54" s="684"/>
      <c r="FO54" s="684"/>
      <c r="FP54" s="684"/>
      <c r="FQ54" s="684"/>
      <c r="FR54" s="684"/>
      <c r="FS54" s="684"/>
      <c r="FT54" s="685">
        <v>0</v>
      </c>
      <c r="FU54" s="685">
        <v>0</v>
      </c>
      <c r="FV54" s="684"/>
      <c r="FW54" s="685">
        <v>1</v>
      </c>
      <c r="FX54" s="685">
        <v>2</v>
      </c>
      <c r="FY54" s="685">
        <v>0</v>
      </c>
      <c r="FZ54" s="684"/>
      <c r="GA54" s="685">
        <v>0</v>
      </c>
      <c r="GB54" s="686"/>
      <c r="GC54" s="687">
        <v>0</v>
      </c>
      <c r="GD54" s="687">
        <v>3</v>
      </c>
      <c r="GE54" s="635"/>
      <c r="GF54" s="41"/>
      <c r="GG54" s="688"/>
      <c r="GH54" s="688"/>
      <c r="GI54" s="688" t="s">
        <v>126</v>
      </c>
      <c r="GJ54" s="457" t="s">
        <v>1233</v>
      </c>
      <c r="GK54" s="689"/>
      <c r="GL54" s="458">
        <v>0</v>
      </c>
      <c r="GM54" s="458">
        <v>0</v>
      </c>
      <c r="GN54" s="458">
        <v>1</v>
      </c>
      <c r="GO54" s="689"/>
      <c r="GP54" s="458">
        <v>0</v>
      </c>
      <c r="GQ54" s="458">
        <v>0</v>
      </c>
      <c r="GR54" s="458">
        <v>0</v>
      </c>
      <c r="GS54" s="458">
        <v>0</v>
      </c>
      <c r="GT54" s="458">
        <v>0</v>
      </c>
      <c r="GU54" s="689"/>
      <c r="GV54" s="689"/>
      <c r="GW54" s="689"/>
      <c r="GX54" s="458">
        <v>1</v>
      </c>
      <c r="GY54" s="690"/>
      <c r="GZ54" s="41"/>
      <c r="HA54" s="41"/>
      <c r="HB54" s="105"/>
      <c r="HC54" s="105"/>
      <c r="HD54" s="41"/>
      <c r="HE54" s="41" t="s">
        <v>1235</v>
      </c>
      <c r="HF54" s="105"/>
      <c r="HG54" s="105"/>
      <c r="HH54" s="105"/>
      <c r="HI54" s="105"/>
      <c r="HJ54" s="105">
        <v>0</v>
      </c>
      <c r="HK54" s="105"/>
      <c r="HL54" s="105"/>
      <c r="HM54" s="105"/>
      <c r="HN54" s="105">
        <v>0</v>
      </c>
      <c r="HO54" s="105">
        <v>0</v>
      </c>
      <c r="HP54" s="105">
        <v>0</v>
      </c>
      <c r="HQ54" s="105">
        <v>3</v>
      </c>
      <c r="HR54" s="105">
        <v>0</v>
      </c>
      <c r="HS54" s="105">
        <v>0</v>
      </c>
      <c r="HT54" s="105"/>
      <c r="HU54" s="105"/>
      <c r="HV54" s="105">
        <v>3</v>
      </c>
      <c r="HW54" s="41"/>
      <c r="HX54" s="41"/>
      <c r="HY54" s="691"/>
      <c r="HZ54" s="691"/>
      <c r="IA54" s="691"/>
      <c r="IB54" s="691" t="s">
        <v>1344</v>
      </c>
      <c r="IC54" s="691">
        <v>0</v>
      </c>
      <c r="ID54" s="691">
        <v>0</v>
      </c>
      <c r="IE54" s="691">
        <v>0</v>
      </c>
      <c r="IF54" s="691">
        <v>0</v>
      </c>
      <c r="IG54" s="691">
        <v>0</v>
      </c>
      <c r="IH54" s="691">
        <v>0</v>
      </c>
      <c r="II54" s="691">
        <v>1</v>
      </c>
      <c r="IJ54" s="691">
        <v>0</v>
      </c>
      <c r="IK54" s="691">
        <v>0</v>
      </c>
      <c r="IL54" s="691">
        <v>0</v>
      </c>
      <c r="IM54" s="691">
        <v>0</v>
      </c>
      <c r="IN54" s="691">
        <v>3</v>
      </c>
      <c r="IO54" s="691">
        <v>0</v>
      </c>
      <c r="IP54" s="691">
        <v>0</v>
      </c>
      <c r="IQ54" s="691">
        <v>0</v>
      </c>
      <c r="IR54" s="691">
        <v>0</v>
      </c>
      <c r="IS54" s="691">
        <v>4</v>
      </c>
      <c r="IT54" s="691"/>
      <c r="IU54" s="692"/>
    </row>
    <row r="55" spans="1:255">
      <c r="C55" s="32"/>
      <c r="D55" s="32" t="s">
        <v>1239</v>
      </c>
      <c r="E55" s="4607">
        <v>0</v>
      </c>
      <c r="F55" s="4607">
        <v>0</v>
      </c>
      <c r="G55" s="4607"/>
      <c r="H55" s="4607"/>
      <c r="I55" s="4607">
        <v>0</v>
      </c>
      <c r="J55" s="4607">
        <v>0</v>
      </c>
      <c r="K55" s="4607">
        <v>0</v>
      </c>
      <c r="L55" s="4607"/>
      <c r="M55" s="4607">
        <v>0</v>
      </c>
      <c r="N55" s="4607">
        <v>0</v>
      </c>
      <c r="O55" s="4607">
        <v>0</v>
      </c>
      <c r="P55" s="4607">
        <v>1</v>
      </c>
      <c r="Q55" s="4607">
        <v>2</v>
      </c>
      <c r="R55" s="4607">
        <v>4</v>
      </c>
      <c r="S55" s="4583">
        <v>1</v>
      </c>
      <c r="T55" s="4583"/>
      <c r="U55" s="4583">
        <v>8</v>
      </c>
      <c r="V55" s="4583"/>
      <c r="Z55" s="1793"/>
      <c r="AA55" s="1793" t="s">
        <v>1344</v>
      </c>
      <c r="AB55" s="4804">
        <v>0</v>
      </c>
      <c r="AC55" s="4804">
        <v>0</v>
      </c>
      <c r="AD55" s="4804"/>
      <c r="AE55" s="4804"/>
      <c r="AF55" s="4804">
        <v>0</v>
      </c>
      <c r="AG55" s="4804">
        <v>0</v>
      </c>
      <c r="AH55" s="4804">
        <v>0</v>
      </c>
      <c r="AI55" s="4804"/>
      <c r="AJ55" s="4804">
        <v>1</v>
      </c>
      <c r="AK55" s="4804">
        <v>1</v>
      </c>
      <c r="AL55" s="4804">
        <v>1</v>
      </c>
      <c r="AM55" s="4804">
        <v>0</v>
      </c>
      <c r="AN55" s="4804">
        <v>0</v>
      </c>
      <c r="AO55" s="4804">
        <v>0</v>
      </c>
      <c r="AP55" s="4702">
        <v>0</v>
      </c>
      <c r="AQ55" s="4702">
        <v>3</v>
      </c>
      <c r="AR55" s="1793"/>
      <c r="AT55" s="41"/>
      <c r="AU55" s="41"/>
      <c r="AV55" s="461"/>
      <c r="AW55" s="461" t="s">
        <v>1240</v>
      </c>
      <c r="AX55" s="2489"/>
      <c r="AY55" s="2489"/>
      <c r="AZ55" s="2489"/>
      <c r="BA55" s="2489"/>
      <c r="BB55" s="2489">
        <v>0</v>
      </c>
      <c r="BC55" s="2489"/>
      <c r="BD55" s="2489">
        <v>0</v>
      </c>
      <c r="BE55" s="2489">
        <v>0</v>
      </c>
      <c r="BF55" s="2489">
        <v>0</v>
      </c>
      <c r="BG55" s="2489">
        <v>1</v>
      </c>
      <c r="BH55" s="2489">
        <v>0</v>
      </c>
      <c r="BI55" s="2489">
        <v>0</v>
      </c>
      <c r="BJ55" s="2489">
        <v>0</v>
      </c>
      <c r="BK55" s="2489">
        <v>0</v>
      </c>
      <c r="BL55" s="2489">
        <v>0</v>
      </c>
      <c r="BM55" s="461"/>
      <c r="BN55" s="461"/>
      <c r="BO55" s="461">
        <v>1</v>
      </c>
      <c r="BP55" s="41"/>
      <c r="BR55" s="41"/>
      <c r="BS55" s="41"/>
      <c r="BT55" s="41"/>
      <c r="BU55" s="461" t="s">
        <v>15</v>
      </c>
      <c r="BV55" s="2002"/>
      <c r="BW55" s="2002"/>
      <c r="BX55" s="2002"/>
      <c r="BY55" s="2002"/>
      <c r="BZ55" s="2002">
        <v>1</v>
      </c>
      <c r="CA55" s="2002"/>
      <c r="CB55" s="2002"/>
      <c r="CC55" s="2002"/>
      <c r="CD55" s="2002"/>
      <c r="CE55" s="2002"/>
      <c r="CF55" s="2002"/>
      <c r="CG55" s="2002"/>
      <c r="CH55" s="2002">
        <v>3</v>
      </c>
      <c r="CI55" s="2002">
        <v>4</v>
      </c>
      <c r="CJ55" s="2002">
        <v>5</v>
      </c>
      <c r="CK55" s="96"/>
      <c r="CL55" s="96">
        <v>5</v>
      </c>
      <c r="CM55" s="96">
        <v>18</v>
      </c>
      <c r="CN55" s="635">
        <f>+(CM52+CM54)/CM55</f>
        <v>0.5</v>
      </c>
      <c r="CR55" s="41"/>
      <c r="CS55" s="41" t="s">
        <v>1236</v>
      </c>
      <c r="CT55" s="1665"/>
      <c r="CU55" s="1665">
        <v>0</v>
      </c>
      <c r="CV55" s="1665"/>
      <c r="CW55" s="1665"/>
      <c r="CX55" s="1665"/>
      <c r="CY55" s="1665"/>
      <c r="CZ55" s="1665"/>
      <c r="DA55" s="1665"/>
      <c r="DB55" s="1665"/>
      <c r="DC55" s="1665">
        <v>1</v>
      </c>
      <c r="DD55" s="1665"/>
      <c r="DE55" s="1665"/>
      <c r="DF55" s="1665"/>
      <c r="DG55" s="1665">
        <v>0</v>
      </c>
      <c r="DH55" s="1665">
        <v>0</v>
      </c>
      <c r="DI55" s="41"/>
      <c r="DJ55" s="41">
        <v>0</v>
      </c>
      <c r="DK55" s="41">
        <v>1</v>
      </c>
      <c r="DL55" s="41"/>
      <c r="DN55" s="1375"/>
      <c r="DO55" s="1375"/>
      <c r="DP55" s="1375"/>
      <c r="DQ55" s="1376" t="s">
        <v>1239</v>
      </c>
      <c r="DR55" s="1377"/>
      <c r="DS55" s="1377"/>
      <c r="DT55" s="1377"/>
      <c r="DU55" s="1377"/>
      <c r="DV55" s="1377"/>
      <c r="DW55" s="1377"/>
      <c r="DX55" s="1377"/>
      <c r="DY55" s="1377"/>
      <c r="DZ55" s="1378">
        <v>0</v>
      </c>
      <c r="EA55" s="1377"/>
      <c r="EB55" s="1378">
        <v>0</v>
      </c>
      <c r="EC55" s="1377"/>
      <c r="ED55" s="1378">
        <v>3</v>
      </c>
      <c r="EE55" s="1379"/>
      <c r="EF55" s="1380">
        <v>1</v>
      </c>
      <c r="EG55" s="1380">
        <v>4</v>
      </c>
      <c r="EH55" s="41"/>
      <c r="EJ55" s="678"/>
      <c r="EK55" s="678"/>
      <c r="EL55" s="678"/>
      <c r="EM55" s="679" t="s">
        <v>1344</v>
      </c>
      <c r="EN55" s="680"/>
      <c r="EO55" s="681">
        <v>0</v>
      </c>
      <c r="EP55" s="680"/>
      <c r="EQ55" s="680"/>
      <c r="ER55" s="680"/>
      <c r="ES55" s="681">
        <v>0</v>
      </c>
      <c r="ET55" s="680"/>
      <c r="EU55" s="680"/>
      <c r="EV55" s="680"/>
      <c r="EW55" s="680"/>
      <c r="EX55" s="680"/>
      <c r="EY55" s="680"/>
      <c r="EZ55" s="681">
        <v>1</v>
      </c>
      <c r="FA55" s="681">
        <v>0</v>
      </c>
      <c r="FB55" s="681">
        <v>1</v>
      </c>
      <c r="FC55" s="683">
        <v>0</v>
      </c>
      <c r="FD55" s="683">
        <v>0</v>
      </c>
      <c r="FE55" s="683">
        <v>2</v>
      </c>
      <c r="FF55" s="105"/>
      <c r="FH55" s="511"/>
      <c r="FI55" s="511"/>
      <c r="FJ55" s="511"/>
      <c r="FK55" s="511"/>
      <c r="FL55" s="512" t="s">
        <v>1239</v>
      </c>
      <c r="FM55" s="684"/>
      <c r="FN55" s="684"/>
      <c r="FO55" s="684"/>
      <c r="FP55" s="684"/>
      <c r="FQ55" s="684"/>
      <c r="FR55" s="684"/>
      <c r="FS55" s="684"/>
      <c r="FT55" s="685">
        <v>0</v>
      </c>
      <c r="FU55" s="685">
        <v>0</v>
      </c>
      <c r="FV55" s="684"/>
      <c r="FW55" s="685">
        <v>0</v>
      </c>
      <c r="FX55" s="685">
        <v>0</v>
      </c>
      <c r="FY55" s="685">
        <v>0</v>
      </c>
      <c r="FZ55" s="684"/>
      <c r="GA55" s="685">
        <v>5</v>
      </c>
      <c r="GB55" s="686"/>
      <c r="GC55" s="687">
        <v>3</v>
      </c>
      <c r="GD55" s="687">
        <v>8</v>
      </c>
      <c r="GE55" s="635"/>
      <c r="GF55" s="41"/>
      <c r="GG55" s="688"/>
      <c r="GH55" s="688"/>
      <c r="GI55" s="688"/>
      <c r="GJ55" s="457" t="s">
        <v>1235</v>
      </c>
      <c r="GK55" s="689"/>
      <c r="GL55" s="458">
        <v>0</v>
      </c>
      <c r="GM55" s="458">
        <v>0</v>
      </c>
      <c r="GN55" s="458">
        <v>0</v>
      </c>
      <c r="GO55" s="689"/>
      <c r="GP55" s="458">
        <v>4</v>
      </c>
      <c r="GQ55" s="458">
        <v>3</v>
      </c>
      <c r="GR55" s="458">
        <v>3</v>
      </c>
      <c r="GS55" s="458">
        <v>2</v>
      </c>
      <c r="GT55" s="458">
        <v>0</v>
      </c>
      <c r="GU55" s="689"/>
      <c r="GV55" s="689"/>
      <c r="GW55" s="689"/>
      <c r="GX55" s="458">
        <v>12</v>
      </c>
      <c r="GY55" s="690"/>
      <c r="GZ55" s="41"/>
      <c r="HA55" s="41"/>
      <c r="HB55" s="105"/>
      <c r="HC55" s="105"/>
      <c r="HD55" s="41"/>
      <c r="HE55" s="41" t="s">
        <v>1236</v>
      </c>
      <c r="HF55" s="105"/>
      <c r="HG55" s="105"/>
      <c r="HH55" s="105"/>
      <c r="HI55" s="105"/>
      <c r="HJ55" s="105">
        <v>0</v>
      </c>
      <c r="HK55" s="105"/>
      <c r="HL55" s="105"/>
      <c r="HM55" s="105"/>
      <c r="HN55" s="105">
        <v>0</v>
      </c>
      <c r="HO55" s="105">
        <v>0</v>
      </c>
      <c r="HP55" s="105">
        <v>1</v>
      </c>
      <c r="HQ55" s="105">
        <v>3</v>
      </c>
      <c r="HR55" s="105">
        <v>0</v>
      </c>
      <c r="HS55" s="105">
        <v>0</v>
      </c>
      <c r="HT55" s="105"/>
      <c r="HU55" s="105"/>
      <c r="HV55" s="105">
        <v>4</v>
      </c>
      <c r="HW55" s="41"/>
      <c r="HX55" s="41"/>
      <c r="HY55" s="691"/>
      <c r="HZ55" s="691"/>
      <c r="IA55" s="691"/>
      <c r="IB55" s="702" t="s">
        <v>15</v>
      </c>
      <c r="IC55" s="702">
        <v>0</v>
      </c>
      <c r="ID55" s="702">
        <v>0</v>
      </c>
      <c r="IE55" s="702">
        <v>0</v>
      </c>
      <c r="IF55" s="702">
        <v>0</v>
      </c>
      <c r="IG55" s="702">
        <v>0</v>
      </c>
      <c r="IH55" s="702">
        <v>0</v>
      </c>
      <c r="II55" s="702">
        <v>2</v>
      </c>
      <c r="IJ55" s="702">
        <v>1</v>
      </c>
      <c r="IK55" s="702">
        <v>2</v>
      </c>
      <c r="IL55" s="702">
        <v>0</v>
      </c>
      <c r="IM55" s="702">
        <v>0</v>
      </c>
      <c r="IN55" s="702">
        <v>7</v>
      </c>
      <c r="IO55" s="702">
        <v>0</v>
      </c>
      <c r="IP55" s="702">
        <v>0</v>
      </c>
      <c r="IQ55" s="702">
        <v>0</v>
      </c>
      <c r="IR55" s="702">
        <v>0</v>
      </c>
      <c r="IS55" s="702">
        <v>12</v>
      </c>
      <c r="IT55" s="703">
        <f>+(IS54+IS52)/IS55</f>
        <v>0.41666666666666669</v>
      </c>
      <c r="IU55" s="692">
        <f>+IS52+IS54</f>
        <v>5</v>
      </c>
    </row>
    <row r="56" spans="1:255">
      <c r="C56" s="32"/>
      <c r="D56" s="32" t="s">
        <v>1240</v>
      </c>
      <c r="E56" s="4607">
        <v>0</v>
      </c>
      <c r="F56" s="4607">
        <v>0</v>
      </c>
      <c r="G56" s="4607"/>
      <c r="H56" s="4607"/>
      <c r="I56" s="4607">
        <v>0</v>
      </c>
      <c r="J56" s="4607">
        <v>0</v>
      </c>
      <c r="K56" s="4607">
        <v>0</v>
      </c>
      <c r="L56" s="4607"/>
      <c r="M56" s="4607">
        <v>0</v>
      </c>
      <c r="N56" s="4607">
        <v>0</v>
      </c>
      <c r="O56" s="4607">
        <v>1</v>
      </c>
      <c r="P56" s="4607">
        <v>0</v>
      </c>
      <c r="Q56" s="4607">
        <v>1</v>
      </c>
      <c r="R56" s="4607">
        <v>0</v>
      </c>
      <c r="S56" s="4583">
        <v>0</v>
      </c>
      <c r="T56" s="4583"/>
      <c r="U56" s="4583">
        <v>2</v>
      </c>
      <c r="V56" s="4583"/>
      <c r="Z56" s="1793"/>
      <c r="AA56" s="1793" t="s">
        <v>106</v>
      </c>
      <c r="AB56" s="4804">
        <v>1</v>
      </c>
      <c r="AC56" s="4804">
        <v>1</v>
      </c>
      <c r="AD56" s="4804"/>
      <c r="AE56" s="4804"/>
      <c r="AF56" s="4804">
        <v>1</v>
      </c>
      <c r="AG56" s="4804">
        <v>1</v>
      </c>
      <c r="AH56" s="4804">
        <v>1</v>
      </c>
      <c r="AI56" s="4804"/>
      <c r="AJ56" s="4804">
        <v>2</v>
      </c>
      <c r="AK56" s="4804">
        <v>1</v>
      </c>
      <c r="AL56" s="4804">
        <v>4</v>
      </c>
      <c r="AM56" s="4804">
        <v>6</v>
      </c>
      <c r="AN56" s="4804">
        <v>6</v>
      </c>
      <c r="AO56" s="4804">
        <v>1</v>
      </c>
      <c r="AP56" s="4702">
        <v>2</v>
      </c>
      <c r="AQ56" s="4702">
        <v>27</v>
      </c>
      <c r="AR56" s="4703">
        <f>+(AQ51+AQ54+AQ55)/AQ56</f>
        <v>0.18518518518518517</v>
      </c>
      <c r="AT56" s="41"/>
      <c r="AU56" s="41"/>
      <c r="AV56" s="461"/>
      <c r="AW56" s="461" t="s">
        <v>1344</v>
      </c>
      <c r="AX56" s="2489"/>
      <c r="AY56" s="2489"/>
      <c r="AZ56" s="2489"/>
      <c r="BA56" s="2489"/>
      <c r="BB56" s="2489">
        <v>0</v>
      </c>
      <c r="BC56" s="2489"/>
      <c r="BD56" s="2489">
        <v>0</v>
      </c>
      <c r="BE56" s="2489">
        <v>0</v>
      </c>
      <c r="BF56" s="2489">
        <v>0</v>
      </c>
      <c r="BG56" s="2489">
        <v>3</v>
      </c>
      <c r="BH56" s="2489">
        <v>0</v>
      </c>
      <c r="BI56" s="2489">
        <v>0</v>
      </c>
      <c r="BJ56" s="2489">
        <v>0</v>
      </c>
      <c r="BK56" s="2489">
        <v>0</v>
      </c>
      <c r="BL56" s="2489">
        <v>0</v>
      </c>
      <c r="BM56" s="461"/>
      <c r="BN56" s="461"/>
      <c r="BO56" s="461">
        <v>3</v>
      </c>
      <c r="BP56" s="41"/>
      <c r="BR56" s="41"/>
      <c r="BS56" s="41"/>
      <c r="BT56" s="41" t="s">
        <v>123</v>
      </c>
      <c r="BU56" s="41" t="s">
        <v>1235</v>
      </c>
      <c r="BV56" s="2001"/>
      <c r="BW56" s="2001"/>
      <c r="BX56" s="2001"/>
      <c r="BY56" s="2001"/>
      <c r="BZ56" s="2001"/>
      <c r="CA56" s="2001"/>
      <c r="CB56" s="2001"/>
      <c r="CC56" s="2001"/>
      <c r="CD56" s="2001"/>
      <c r="CE56" s="2001"/>
      <c r="CF56" s="2001"/>
      <c r="CG56" s="2001">
        <v>0</v>
      </c>
      <c r="CH56" s="2001">
        <v>0</v>
      </c>
      <c r="CI56" s="2001">
        <v>1</v>
      </c>
      <c r="CJ56" s="2001"/>
      <c r="CK56" s="105">
        <v>0</v>
      </c>
      <c r="CL56" s="105">
        <v>0</v>
      </c>
      <c r="CM56" s="105">
        <v>1</v>
      </c>
      <c r="CN56" s="41"/>
      <c r="CR56" s="41"/>
      <c r="CS56" s="41" t="s">
        <v>1239</v>
      </c>
      <c r="CT56" s="1665"/>
      <c r="CU56" s="1665">
        <v>0</v>
      </c>
      <c r="CV56" s="1665"/>
      <c r="CW56" s="1665"/>
      <c r="CX56" s="1665"/>
      <c r="CY56" s="1665"/>
      <c r="CZ56" s="1665"/>
      <c r="DA56" s="1665"/>
      <c r="DB56" s="1665"/>
      <c r="DC56" s="1665">
        <v>0</v>
      </c>
      <c r="DD56" s="1665"/>
      <c r="DE56" s="1665"/>
      <c r="DF56" s="1665"/>
      <c r="DG56" s="1665">
        <v>0</v>
      </c>
      <c r="DH56" s="1665">
        <v>7</v>
      </c>
      <c r="DI56" s="41"/>
      <c r="DJ56" s="41">
        <v>2</v>
      </c>
      <c r="DK56" s="41">
        <v>9</v>
      </c>
      <c r="DL56" s="41"/>
      <c r="DN56" s="1375"/>
      <c r="DO56" s="1375"/>
      <c r="DP56" s="1375"/>
      <c r="DQ56" s="1372" t="s">
        <v>15</v>
      </c>
      <c r="DR56" s="1381"/>
      <c r="DS56" s="1381"/>
      <c r="DT56" s="1381"/>
      <c r="DU56" s="1381"/>
      <c r="DV56" s="1381"/>
      <c r="DW56" s="1381"/>
      <c r="DX56" s="1381"/>
      <c r="DY56" s="1381"/>
      <c r="DZ56" s="1382">
        <v>1</v>
      </c>
      <c r="EA56" s="1381"/>
      <c r="EB56" s="1382">
        <v>1</v>
      </c>
      <c r="EC56" s="1381"/>
      <c r="ED56" s="1382">
        <v>3</v>
      </c>
      <c r="EE56" s="1383"/>
      <c r="EF56" s="1384">
        <v>1</v>
      </c>
      <c r="EG56" s="1384">
        <v>6</v>
      </c>
      <c r="EH56" s="1325">
        <v>0</v>
      </c>
      <c r="EJ56" s="678"/>
      <c r="EK56" s="678"/>
      <c r="EL56" s="678"/>
      <c r="EM56" s="697" t="s">
        <v>15</v>
      </c>
      <c r="EN56" s="698"/>
      <c r="EO56" s="699">
        <v>1</v>
      </c>
      <c r="EP56" s="698"/>
      <c r="EQ56" s="698"/>
      <c r="ER56" s="698"/>
      <c r="ES56" s="699">
        <v>1</v>
      </c>
      <c r="ET56" s="698"/>
      <c r="EU56" s="698"/>
      <c r="EV56" s="698"/>
      <c r="EW56" s="698"/>
      <c r="EX56" s="698"/>
      <c r="EY56" s="698"/>
      <c r="EZ56" s="699">
        <v>2</v>
      </c>
      <c r="FA56" s="699">
        <v>1</v>
      </c>
      <c r="FB56" s="699">
        <v>6</v>
      </c>
      <c r="FC56" s="701">
        <v>2</v>
      </c>
      <c r="FD56" s="701">
        <v>8</v>
      </c>
      <c r="FE56" s="701">
        <v>21</v>
      </c>
      <c r="FF56" s="635">
        <f>+FE55/FE56</f>
        <v>9.5238095238095233E-2</v>
      </c>
      <c r="FH56" s="511"/>
      <c r="FI56" s="511"/>
      <c r="FJ56" s="511"/>
      <c r="FK56" s="511"/>
      <c r="FL56" s="512" t="s">
        <v>1344</v>
      </c>
      <c r="FM56" s="684"/>
      <c r="FN56" s="684"/>
      <c r="FO56" s="684"/>
      <c r="FP56" s="684"/>
      <c r="FQ56" s="684"/>
      <c r="FR56" s="684"/>
      <c r="FS56" s="684"/>
      <c r="FT56" s="685">
        <v>0</v>
      </c>
      <c r="FU56" s="685">
        <v>0</v>
      </c>
      <c r="FV56" s="684"/>
      <c r="FW56" s="685">
        <v>0</v>
      </c>
      <c r="FX56" s="685">
        <v>1</v>
      </c>
      <c r="FY56" s="685">
        <v>1</v>
      </c>
      <c r="FZ56" s="684"/>
      <c r="GA56" s="685">
        <v>0</v>
      </c>
      <c r="GB56" s="686"/>
      <c r="GC56" s="687">
        <v>0</v>
      </c>
      <c r="GD56" s="687">
        <v>2</v>
      </c>
      <c r="GE56" s="635"/>
      <c r="GF56" s="41"/>
      <c r="GG56" s="688"/>
      <c r="GH56" s="688"/>
      <c r="GI56" s="688"/>
      <c r="GJ56" s="457" t="s">
        <v>1236</v>
      </c>
      <c r="GK56" s="689"/>
      <c r="GL56" s="458">
        <v>1</v>
      </c>
      <c r="GM56" s="458">
        <v>1</v>
      </c>
      <c r="GN56" s="458">
        <v>0</v>
      </c>
      <c r="GO56" s="689"/>
      <c r="GP56" s="458">
        <v>3</v>
      </c>
      <c r="GQ56" s="458">
        <v>2</v>
      </c>
      <c r="GR56" s="458">
        <v>1</v>
      </c>
      <c r="GS56" s="458">
        <v>2</v>
      </c>
      <c r="GT56" s="458">
        <v>0</v>
      </c>
      <c r="GU56" s="689"/>
      <c r="GV56" s="689"/>
      <c r="GW56" s="689"/>
      <c r="GX56" s="458">
        <v>10</v>
      </c>
      <c r="GY56" s="690"/>
      <c r="GZ56" s="41"/>
      <c r="HA56" s="41"/>
      <c r="HB56" s="105"/>
      <c r="HC56" s="105"/>
      <c r="HD56" s="41"/>
      <c r="HE56" s="41" t="s">
        <v>1239</v>
      </c>
      <c r="HF56" s="105"/>
      <c r="HG56" s="105"/>
      <c r="HH56" s="105"/>
      <c r="HI56" s="105"/>
      <c r="HJ56" s="105">
        <v>0</v>
      </c>
      <c r="HK56" s="105"/>
      <c r="HL56" s="105"/>
      <c r="HM56" s="105"/>
      <c r="HN56" s="105">
        <v>0</v>
      </c>
      <c r="HO56" s="105">
        <v>0</v>
      </c>
      <c r="HP56" s="105">
        <v>0</v>
      </c>
      <c r="HQ56" s="105">
        <v>0</v>
      </c>
      <c r="HR56" s="105">
        <v>0</v>
      </c>
      <c r="HS56" s="105">
        <v>5</v>
      </c>
      <c r="HT56" s="105"/>
      <c r="HU56" s="105"/>
      <c r="HV56" s="105">
        <v>5</v>
      </c>
      <c r="HW56" s="41"/>
      <c r="HX56" s="41"/>
      <c r="HY56" s="691"/>
      <c r="HZ56" s="691"/>
      <c r="IA56" s="691" t="s">
        <v>127</v>
      </c>
      <c r="IB56" s="691" t="s">
        <v>1231</v>
      </c>
      <c r="IC56" s="691">
        <v>0</v>
      </c>
      <c r="ID56" s="691">
        <v>0</v>
      </c>
      <c r="IE56" s="691">
        <v>0</v>
      </c>
      <c r="IF56" s="691">
        <v>0</v>
      </c>
      <c r="IG56" s="691">
        <v>0</v>
      </c>
      <c r="IH56" s="691">
        <v>0</v>
      </c>
      <c r="II56" s="691">
        <v>0</v>
      </c>
      <c r="IJ56" s="691">
        <v>0</v>
      </c>
      <c r="IK56" s="691">
        <v>0</v>
      </c>
      <c r="IL56" s="691">
        <v>0</v>
      </c>
      <c r="IM56" s="691">
        <v>0</v>
      </c>
      <c r="IN56" s="691">
        <v>1</v>
      </c>
      <c r="IO56" s="691">
        <v>0</v>
      </c>
      <c r="IP56" s="691">
        <v>0</v>
      </c>
      <c r="IQ56" s="691">
        <v>0</v>
      </c>
      <c r="IR56" s="691">
        <v>0</v>
      </c>
      <c r="IS56" s="691">
        <v>1</v>
      </c>
      <c r="IT56" s="691"/>
      <c r="IU56" s="692"/>
    </row>
    <row r="57" spans="1:255">
      <c r="C57" s="32"/>
      <c r="D57" s="32" t="s">
        <v>1344</v>
      </c>
      <c r="E57" s="4607">
        <v>0</v>
      </c>
      <c r="F57" s="4607">
        <v>0</v>
      </c>
      <c r="G57" s="4607"/>
      <c r="H57" s="4607"/>
      <c r="I57" s="4607">
        <v>0</v>
      </c>
      <c r="J57" s="4607">
        <v>0</v>
      </c>
      <c r="K57" s="4607">
        <v>0</v>
      </c>
      <c r="L57" s="4607"/>
      <c r="M57" s="4607">
        <v>1</v>
      </c>
      <c r="N57" s="4607">
        <v>1</v>
      </c>
      <c r="O57" s="4607">
        <v>1</v>
      </c>
      <c r="P57" s="4607">
        <v>1</v>
      </c>
      <c r="Q57" s="4607">
        <v>0</v>
      </c>
      <c r="R57" s="4607">
        <v>0</v>
      </c>
      <c r="S57" s="4583">
        <v>0</v>
      </c>
      <c r="T57" s="4583"/>
      <c r="U57" s="4583">
        <v>4</v>
      </c>
      <c r="V57" s="4583"/>
      <c r="X57" s="37" t="s">
        <v>25</v>
      </c>
      <c r="Y57" s="37" t="s">
        <v>4</v>
      </c>
      <c r="Z57" s="37" t="s">
        <v>120</v>
      </c>
      <c r="AA57" s="37" t="s">
        <v>1230</v>
      </c>
      <c r="AB57" s="4803"/>
      <c r="AC57" s="4803"/>
      <c r="AD57" s="4803"/>
      <c r="AE57" s="4803"/>
      <c r="AF57" s="4803"/>
      <c r="AG57" s="4803"/>
      <c r="AH57" s="4803"/>
      <c r="AI57" s="4803"/>
      <c r="AJ57" s="4803">
        <v>0</v>
      </c>
      <c r="AK57" s="4803"/>
      <c r="AL57" s="4803"/>
      <c r="AM57" s="4803">
        <v>0</v>
      </c>
      <c r="AN57" s="4803">
        <v>2</v>
      </c>
      <c r="AO57" s="4803">
        <v>0</v>
      </c>
      <c r="AP57" s="1788">
        <v>0</v>
      </c>
      <c r="AQ57" s="1788">
        <v>2</v>
      </c>
      <c r="AT57" s="41"/>
      <c r="AU57" s="41"/>
      <c r="AV57" s="461"/>
      <c r="AW57" s="461" t="s">
        <v>546</v>
      </c>
      <c r="AX57" s="2489"/>
      <c r="AY57" s="2489"/>
      <c r="AZ57" s="2489"/>
      <c r="BA57" s="2489"/>
      <c r="BB57" s="2489">
        <v>1</v>
      </c>
      <c r="BC57" s="2489"/>
      <c r="BD57" s="2489">
        <v>1</v>
      </c>
      <c r="BE57" s="2489">
        <v>2</v>
      </c>
      <c r="BF57" s="2489">
        <v>1</v>
      </c>
      <c r="BG57" s="2489">
        <v>13</v>
      </c>
      <c r="BH57" s="2489">
        <v>4</v>
      </c>
      <c r="BI57" s="2489">
        <v>6</v>
      </c>
      <c r="BJ57" s="2489">
        <v>1</v>
      </c>
      <c r="BK57" s="2489">
        <v>4</v>
      </c>
      <c r="BL57" s="2489">
        <v>6</v>
      </c>
      <c r="BM57" s="461"/>
      <c r="BN57" s="461"/>
      <c r="BO57" s="461">
        <v>39</v>
      </c>
      <c r="BP57" s="635">
        <f>+(BO56+BO55+BO53)/BO57</f>
        <v>0.15384615384615385</v>
      </c>
      <c r="BQ57" s="1977"/>
      <c r="BR57" s="41"/>
      <c r="BS57" s="41"/>
      <c r="BT57" s="41"/>
      <c r="BU57" s="41" t="s">
        <v>1239</v>
      </c>
      <c r="BV57" s="2001"/>
      <c r="BW57" s="2001"/>
      <c r="BX57" s="2001"/>
      <c r="BY57" s="2001"/>
      <c r="BZ57" s="2001"/>
      <c r="CA57" s="2001"/>
      <c r="CB57" s="2001"/>
      <c r="CC57" s="2001"/>
      <c r="CD57" s="2001"/>
      <c r="CE57" s="2001"/>
      <c r="CF57" s="2001"/>
      <c r="CG57" s="2001">
        <v>0</v>
      </c>
      <c r="CH57" s="2001">
        <v>0</v>
      </c>
      <c r="CI57" s="2001">
        <v>0</v>
      </c>
      <c r="CJ57" s="2001"/>
      <c r="CK57" s="105">
        <v>2</v>
      </c>
      <c r="CL57" s="105">
        <v>1</v>
      </c>
      <c r="CM57" s="105">
        <v>3</v>
      </c>
      <c r="CN57" s="41"/>
      <c r="CR57" s="41"/>
      <c r="CS57" s="41" t="s">
        <v>1344</v>
      </c>
      <c r="CT57" s="1665"/>
      <c r="CU57" s="1665">
        <v>0</v>
      </c>
      <c r="CV57" s="1665"/>
      <c r="CW57" s="1665"/>
      <c r="CX57" s="1665"/>
      <c r="CY57" s="1665"/>
      <c r="CZ57" s="1665"/>
      <c r="DA57" s="1665"/>
      <c r="DB57" s="1665"/>
      <c r="DC57" s="1665">
        <v>0</v>
      </c>
      <c r="DD57" s="1665"/>
      <c r="DE57" s="1665"/>
      <c r="DF57" s="1665"/>
      <c r="DG57" s="1665">
        <v>1</v>
      </c>
      <c r="DH57" s="1665">
        <v>0</v>
      </c>
      <c r="DI57" s="41"/>
      <c r="DJ57" s="41">
        <v>0</v>
      </c>
      <c r="DK57" s="41">
        <v>1</v>
      </c>
      <c r="DL57" s="41"/>
      <c r="DN57" s="1375"/>
      <c r="DO57" s="1375"/>
      <c r="DP57" s="1375" t="s">
        <v>544</v>
      </c>
      <c r="DQ57" s="1376" t="s">
        <v>1230</v>
      </c>
      <c r="DR57" s="1377"/>
      <c r="DS57" s="1378">
        <v>0</v>
      </c>
      <c r="DT57" s="1378">
        <v>0</v>
      </c>
      <c r="DU57" s="1377"/>
      <c r="DV57" s="1378">
        <v>0</v>
      </c>
      <c r="DW57" s="1378">
        <v>0</v>
      </c>
      <c r="DX57" s="1377"/>
      <c r="DY57" s="1378">
        <v>0</v>
      </c>
      <c r="DZ57" s="1378">
        <v>0</v>
      </c>
      <c r="EA57" s="1377"/>
      <c r="EB57" s="1378">
        <v>0</v>
      </c>
      <c r="EC57" s="1378">
        <v>0</v>
      </c>
      <c r="ED57" s="1378">
        <v>1</v>
      </c>
      <c r="EE57" s="1380">
        <v>0</v>
      </c>
      <c r="EF57" s="1380">
        <v>0</v>
      </c>
      <c r="EG57" s="1380">
        <v>1</v>
      </c>
      <c r="EH57" s="41"/>
      <c r="EJ57" s="678"/>
      <c r="EK57" s="678"/>
      <c r="EL57" s="678" t="s">
        <v>123</v>
      </c>
      <c r="EM57" s="679" t="s">
        <v>1239</v>
      </c>
      <c r="EN57" s="680"/>
      <c r="EO57" s="680"/>
      <c r="EP57" s="680"/>
      <c r="EQ57" s="680"/>
      <c r="ER57" s="680"/>
      <c r="ES57" s="680"/>
      <c r="ET57" s="680"/>
      <c r="EU57" s="680"/>
      <c r="EV57" s="680"/>
      <c r="EW57" s="680"/>
      <c r="EX57" s="680"/>
      <c r="EY57" s="680"/>
      <c r="EZ57" s="680"/>
      <c r="FA57" s="681">
        <v>0</v>
      </c>
      <c r="FB57" s="681">
        <v>2</v>
      </c>
      <c r="FC57" s="682"/>
      <c r="FD57" s="683">
        <v>1</v>
      </c>
      <c r="FE57" s="683">
        <v>3</v>
      </c>
      <c r="FF57" s="105"/>
      <c r="FH57" s="511"/>
      <c r="FI57" s="511"/>
      <c r="FJ57" s="511"/>
      <c r="FK57" s="41"/>
      <c r="FL57" s="532" t="s">
        <v>15</v>
      </c>
      <c r="FM57" s="693"/>
      <c r="FN57" s="693"/>
      <c r="FO57" s="693"/>
      <c r="FP57" s="693"/>
      <c r="FQ57" s="693"/>
      <c r="FR57" s="693"/>
      <c r="FS57" s="693"/>
      <c r="FT57" s="694">
        <v>1</v>
      </c>
      <c r="FU57" s="694">
        <v>1</v>
      </c>
      <c r="FV57" s="693"/>
      <c r="FW57" s="694">
        <v>1</v>
      </c>
      <c r="FX57" s="694">
        <v>3</v>
      </c>
      <c r="FY57" s="694">
        <v>1</v>
      </c>
      <c r="FZ57" s="693"/>
      <c r="GA57" s="694">
        <v>7</v>
      </c>
      <c r="GB57" s="695"/>
      <c r="GC57" s="696">
        <v>3</v>
      </c>
      <c r="GD57" s="696">
        <v>17</v>
      </c>
      <c r="GE57" s="635">
        <f>+(GD56+GD54)/GD57</f>
        <v>0.29411764705882354</v>
      </c>
      <c r="GF57" s="41"/>
      <c r="GG57" s="688"/>
      <c r="GH57" s="688"/>
      <c r="GI57" s="688"/>
      <c r="GJ57" s="457" t="s">
        <v>1239</v>
      </c>
      <c r="GK57" s="689"/>
      <c r="GL57" s="458">
        <v>0</v>
      </c>
      <c r="GM57" s="458">
        <v>0</v>
      </c>
      <c r="GN57" s="458">
        <v>0</v>
      </c>
      <c r="GO57" s="689"/>
      <c r="GP57" s="458">
        <v>0</v>
      </c>
      <c r="GQ57" s="458">
        <v>0</v>
      </c>
      <c r="GR57" s="458">
        <v>0</v>
      </c>
      <c r="GS57" s="458">
        <v>0</v>
      </c>
      <c r="GT57" s="458">
        <v>5</v>
      </c>
      <c r="GU57" s="689"/>
      <c r="GV57" s="689"/>
      <c r="GW57" s="689"/>
      <c r="GX57" s="458">
        <v>5</v>
      </c>
      <c r="GY57" s="690"/>
      <c r="GZ57" s="41"/>
      <c r="HA57" s="41"/>
      <c r="HB57" s="105"/>
      <c r="HC57" s="105"/>
      <c r="HD57" s="41"/>
      <c r="HE57" s="41" t="s">
        <v>1344</v>
      </c>
      <c r="HF57" s="105"/>
      <c r="HG57" s="105"/>
      <c r="HH57" s="105"/>
      <c r="HI57" s="105"/>
      <c r="HJ57" s="105">
        <v>0</v>
      </c>
      <c r="HK57" s="105"/>
      <c r="HL57" s="105"/>
      <c r="HM57" s="105"/>
      <c r="HN57" s="105">
        <v>0</v>
      </c>
      <c r="HO57" s="105">
        <v>0</v>
      </c>
      <c r="HP57" s="105">
        <v>0</v>
      </c>
      <c r="HQ57" s="105">
        <v>2</v>
      </c>
      <c r="HR57" s="105">
        <v>0</v>
      </c>
      <c r="HS57" s="105">
        <v>0</v>
      </c>
      <c r="HT57" s="105"/>
      <c r="HU57" s="105"/>
      <c r="HV57" s="105">
        <v>2</v>
      </c>
      <c r="HW57" s="41"/>
      <c r="HX57" s="41"/>
      <c r="HY57" s="691"/>
      <c r="HZ57" s="691"/>
      <c r="IA57" s="691"/>
      <c r="IB57" s="691" t="s">
        <v>1235</v>
      </c>
      <c r="IC57" s="691">
        <v>0</v>
      </c>
      <c r="ID57" s="691">
        <v>0</v>
      </c>
      <c r="IE57" s="691">
        <v>0</v>
      </c>
      <c r="IF57" s="691">
        <v>0</v>
      </c>
      <c r="IG57" s="691">
        <v>0</v>
      </c>
      <c r="IH57" s="691">
        <v>0</v>
      </c>
      <c r="II57" s="691">
        <v>0</v>
      </c>
      <c r="IJ57" s="691">
        <v>0</v>
      </c>
      <c r="IK57" s="691">
        <v>0</v>
      </c>
      <c r="IL57" s="691">
        <v>3</v>
      </c>
      <c r="IM57" s="691">
        <v>0</v>
      </c>
      <c r="IN57" s="691">
        <v>5</v>
      </c>
      <c r="IO57" s="691">
        <v>0</v>
      </c>
      <c r="IP57" s="691">
        <v>0</v>
      </c>
      <c r="IQ57" s="691">
        <v>0</v>
      </c>
      <c r="IR57" s="691">
        <v>0</v>
      </c>
      <c r="IS57" s="691">
        <v>8</v>
      </c>
      <c r="IT57" s="691"/>
      <c r="IU57" s="692"/>
    </row>
    <row r="58" spans="1:255">
      <c r="C58" s="32"/>
      <c r="D58" s="4800" t="s">
        <v>15</v>
      </c>
      <c r="E58" s="4607">
        <v>1</v>
      </c>
      <c r="F58" s="4607">
        <v>1</v>
      </c>
      <c r="G58" s="4607"/>
      <c r="H58" s="4607"/>
      <c r="I58" s="4607">
        <v>1</v>
      </c>
      <c r="J58" s="4607">
        <v>1</v>
      </c>
      <c r="K58" s="4607">
        <v>1</v>
      </c>
      <c r="L58" s="4607"/>
      <c r="M58" s="4607">
        <v>2</v>
      </c>
      <c r="N58" s="4607">
        <v>1</v>
      </c>
      <c r="O58" s="4607">
        <v>3</v>
      </c>
      <c r="P58" s="4607">
        <v>6</v>
      </c>
      <c r="Q58" s="4607">
        <v>3</v>
      </c>
      <c r="R58" s="4607">
        <v>5</v>
      </c>
      <c r="S58" s="4583">
        <v>2</v>
      </c>
      <c r="T58" s="4583"/>
      <c r="U58" s="4583">
        <v>27</v>
      </c>
      <c r="V58" s="1977">
        <f>+(U53+U56+U57)/(U58)</f>
        <v>0.25925925925925924</v>
      </c>
      <c r="AA58" s="37" t="s">
        <v>1231</v>
      </c>
      <c r="AB58" s="4803"/>
      <c r="AC58" s="4803"/>
      <c r="AD58" s="4803"/>
      <c r="AE58" s="4803"/>
      <c r="AF58" s="4803"/>
      <c r="AG58" s="4803"/>
      <c r="AH58" s="4803"/>
      <c r="AI58" s="4803"/>
      <c r="AJ58" s="4803">
        <v>1</v>
      </c>
      <c r="AK58" s="4803"/>
      <c r="AL58" s="4803"/>
      <c r="AM58" s="4803">
        <v>1</v>
      </c>
      <c r="AN58" s="4803">
        <v>1</v>
      </c>
      <c r="AO58" s="4803">
        <v>0</v>
      </c>
      <c r="AP58" s="1788">
        <v>0</v>
      </c>
      <c r="AQ58" s="1788">
        <v>3</v>
      </c>
      <c r="AT58" s="41"/>
      <c r="AU58" s="41"/>
      <c r="AV58" s="461" t="s">
        <v>106</v>
      </c>
      <c r="AW58" s="461" t="s">
        <v>1231</v>
      </c>
      <c r="AX58" s="2489">
        <v>1</v>
      </c>
      <c r="AY58" s="2489"/>
      <c r="AZ58" s="2489"/>
      <c r="BA58" s="2489"/>
      <c r="BB58" s="2489">
        <v>1</v>
      </c>
      <c r="BC58" s="2489"/>
      <c r="BD58" s="2489">
        <v>1</v>
      </c>
      <c r="BE58" s="2489">
        <v>2</v>
      </c>
      <c r="BF58" s="2489">
        <v>1</v>
      </c>
      <c r="BG58" s="2489">
        <v>8</v>
      </c>
      <c r="BH58" s="2489">
        <v>3</v>
      </c>
      <c r="BI58" s="2489">
        <v>3</v>
      </c>
      <c r="BJ58" s="2489">
        <v>0</v>
      </c>
      <c r="BK58" s="2489">
        <v>7</v>
      </c>
      <c r="BL58" s="2489">
        <v>0</v>
      </c>
      <c r="BM58" s="461"/>
      <c r="BN58" s="461">
        <v>0</v>
      </c>
      <c r="BO58" s="461">
        <v>27</v>
      </c>
      <c r="BP58" s="41"/>
      <c r="BR58" s="41"/>
      <c r="BS58" s="41"/>
      <c r="BT58" s="41"/>
      <c r="BU58" s="41" t="s">
        <v>1344</v>
      </c>
      <c r="BV58" s="2001"/>
      <c r="BW58" s="2001"/>
      <c r="BX58" s="2001"/>
      <c r="BY58" s="2001"/>
      <c r="BZ58" s="2001"/>
      <c r="CA58" s="2001"/>
      <c r="CB58" s="2001"/>
      <c r="CC58" s="2001"/>
      <c r="CD58" s="2001"/>
      <c r="CE58" s="2001"/>
      <c r="CF58" s="2001"/>
      <c r="CG58" s="2001">
        <v>1</v>
      </c>
      <c r="CH58" s="2001">
        <v>1</v>
      </c>
      <c r="CI58" s="2001">
        <v>0</v>
      </c>
      <c r="CJ58" s="2001"/>
      <c r="CK58" s="105">
        <v>0</v>
      </c>
      <c r="CL58" s="105">
        <v>0</v>
      </c>
      <c r="CM58" s="105">
        <v>2</v>
      </c>
      <c r="CN58" s="41"/>
      <c r="CR58" s="41"/>
      <c r="CS58" s="461" t="s">
        <v>15</v>
      </c>
      <c r="CT58" s="1666"/>
      <c r="CU58" s="1666">
        <v>1</v>
      </c>
      <c r="CV58" s="1666"/>
      <c r="CW58" s="1666"/>
      <c r="CX58" s="1666"/>
      <c r="CY58" s="1666"/>
      <c r="CZ58" s="1666"/>
      <c r="DA58" s="1666"/>
      <c r="DB58" s="1666"/>
      <c r="DC58" s="1666">
        <v>1</v>
      </c>
      <c r="DD58" s="1666"/>
      <c r="DE58" s="1666"/>
      <c r="DF58" s="1666"/>
      <c r="DG58" s="1666">
        <v>2</v>
      </c>
      <c r="DH58" s="1666">
        <v>10</v>
      </c>
      <c r="DI58" s="461"/>
      <c r="DJ58" s="461">
        <v>3</v>
      </c>
      <c r="DK58" s="461">
        <v>17</v>
      </c>
      <c r="DL58" s="635">
        <f>+(DK54+DK57)/DK58</f>
        <v>0.11764705882352941</v>
      </c>
      <c r="DN58" s="1375"/>
      <c r="DO58" s="1375"/>
      <c r="DP58" s="1375"/>
      <c r="DQ58" s="1376" t="s">
        <v>1231</v>
      </c>
      <c r="DR58" s="1377"/>
      <c r="DS58" s="1378">
        <v>2</v>
      </c>
      <c r="DT58" s="1378">
        <v>0</v>
      </c>
      <c r="DU58" s="1377"/>
      <c r="DV58" s="1378">
        <v>2</v>
      </c>
      <c r="DW58" s="1378">
        <v>1</v>
      </c>
      <c r="DX58" s="1377"/>
      <c r="DY58" s="1378">
        <v>1</v>
      </c>
      <c r="DZ58" s="1378">
        <v>0</v>
      </c>
      <c r="EA58" s="1377"/>
      <c r="EB58" s="1378">
        <v>1</v>
      </c>
      <c r="EC58" s="1378">
        <v>2</v>
      </c>
      <c r="ED58" s="1378">
        <v>0</v>
      </c>
      <c r="EE58" s="1380">
        <v>0</v>
      </c>
      <c r="EF58" s="1380">
        <v>0</v>
      </c>
      <c r="EG58" s="1380">
        <v>9</v>
      </c>
      <c r="EH58" s="41"/>
      <c r="EJ58" s="678"/>
      <c r="EK58" s="678"/>
      <c r="EL58" s="678"/>
      <c r="EM58" s="679" t="s">
        <v>1344</v>
      </c>
      <c r="EN58" s="680"/>
      <c r="EO58" s="680"/>
      <c r="EP58" s="680"/>
      <c r="EQ58" s="680"/>
      <c r="ER58" s="680"/>
      <c r="ES58" s="680"/>
      <c r="ET58" s="680"/>
      <c r="EU58" s="680"/>
      <c r="EV58" s="680"/>
      <c r="EW58" s="680"/>
      <c r="EX58" s="680"/>
      <c r="EY58" s="680"/>
      <c r="EZ58" s="680"/>
      <c r="FA58" s="681">
        <v>1</v>
      </c>
      <c r="FB58" s="681">
        <v>0</v>
      </c>
      <c r="FC58" s="682"/>
      <c r="FD58" s="683">
        <v>0</v>
      </c>
      <c r="FE58" s="683">
        <v>1</v>
      </c>
      <c r="FF58" s="105"/>
      <c r="FH58" s="511"/>
      <c r="FI58" s="511"/>
      <c r="FJ58" s="511" t="s">
        <v>123</v>
      </c>
      <c r="FK58" s="511" t="s">
        <v>1229</v>
      </c>
      <c r="FL58" s="512" t="s">
        <v>1231</v>
      </c>
      <c r="FM58" s="684"/>
      <c r="FN58" s="684"/>
      <c r="FO58" s="684"/>
      <c r="FP58" s="684"/>
      <c r="FQ58" s="684"/>
      <c r="FR58" s="684"/>
      <c r="FS58" s="684"/>
      <c r="FT58" s="684"/>
      <c r="FU58" s="684"/>
      <c r="FV58" s="684"/>
      <c r="FW58" s="684"/>
      <c r="FX58" s="684"/>
      <c r="FY58" s="685">
        <v>1</v>
      </c>
      <c r="FZ58" s="684"/>
      <c r="GA58" s="685">
        <v>0</v>
      </c>
      <c r="GB58" s="686"/>
      <c r="GC58" s="686"/>
      <c r="GD58" s="687">
        <v>1</v>
      </c>
      <c r="GE58" s="635"/>
      <c r="GF58" s="41"/>
      <c r="GG58" s="688"/>
      <c r="GH58" s="688"/>
      <c r="GI58" s="688"/>
      <c r="GJ58" s="457" t="s">
        <v>1344</v>
      </c>
      <c r="GK58" s="689"/>
      <c r="GL58" s="458">
        <v>0</v>
      </c>
      <c r="GM58" s="458">
        <v>0</v>
      </c>
      <c r="GN58" s="458">
        <v>1</v>
      </c>
      <c r="GO58" s="689"/>
      <c r="GP58" s="458">
        <v>3</v>
      </c>
      <c r="GQ58" s="458">
        <v>3</v>
      </c>
      <c r="GR58" s="458">
        <v>1</v>
      </c>
      <c r="GS58" s="458">
        <v>0</v>
      </c>
      <c r="GT58" s="458">
        <v>0</v>
      </c>
      <c r="GU58" s="689"/>
      <c r="GV58" s="689"/>
      <c r="GW58" s="689"/>
      <c r="GX58" s="458">
        <v>8</v>
      </c>
      <c r="GY58" s="690"/>
      <c r="GZ58" s="41"/>
      <c r="HA58" s="41"/>
      <c r="HB58" s="105"/>
      <c r="HC58" s="105"/>
      <c r="HD58" s="41"/>
      <c r="HE58" s="461" t="s">
        <v>15</v>
      </c>
      <c r="HF58" s="96"/>
      <c r="HG58" s="96"/>
      <c r="HH58" s="96"/>
      <c r="HI58" s="96"/>
      <c r="HJ58" s="96">
        <v>1</v>
      </c>
      <c r="HK58" s="96"/>
      <c r="HL58" s="96"/>
      <c r="HM58" s="96"/>
      <c r="HN58" s="96">
        <v>1</v>
      </c>
      <c r="HO58" s="96">
        <v>1</v>
      </c>
      <c r="HP58" s="96">
        <v>2</v>
      </c>
      <c r="HQ58" s="96">
        <v>8</v>
      </c>
      <c r="HR58" s="96">
        <v>2</v>
      </c>
      <c r="HS58" s="96">
        <v>6</v>
      </c>
      <c r="HT58" s="96"/>
      <c r="HU58" s="96"/>
      <c r="HV58" s="96">
        <v>21</v>
      </c>
      <c r="HW58" s="706">
        <f>+(HV54+HV57)/HV58</f>
        <v>0.23809523809523808</v>
      </c>
      <c r="HX58" s="41"/>
      <c r="HY58" s="691"/>
      <c r="HZ58" s="691"/>
      <c r="IA58" s="691"/>
      <c r="IB58" s="691" t="s">
        <v>1236</v>
      </c>
      <c r="IC58" s="691">
        <v>0</v>
      </c>
      <c r="ID58" s="691">
        <v>1</v>
      </c>
      <c r="IE58" s="691">
        <v>0</v>
      </c>
      <c r="IF58" s="691">
        <v>0</v>
      </c>
      <c r="IG58" s="691">
        <v>0</v>
      </c>
      <c r="IH58" s="691">
        <v>0</v>
      </c>
      <c r="II58" s="691">
        <v>0</v>
      </c>
      <c r="IJ58" s="691">
        <v>0</v>
      </c>
      <c r="IK58" s="691">
        <v>0</v>
      </c>
      <c r="IL58" s="691">
        <v>0</v>
      </c>
      <c r="IM58" s="691">
        <v>0</v>
      </c>
      <c r="IN58" s="691">
        <v>1</v>
      </c>
      <c r="IO58" s="691">
        <v>0</v>
      </c>
      <c r="IP58" s="691">
        <v>0</v>
      </c>
      <c r="IQ58" s="691">
        <v>0</v>
      </c>
      <c r="IR58" s="691">
        <v>0</v>
      </c>
      <c r="IS58" s="691">
        <v>2</v>
      </c>
      <c r="IT58" s="691"/>
      <c r="IU58" s="692"/>
    </row>
    <row r="59" spans="1:255">
      <c r="A59" s="4800" t="s">
        <v>25</v>
      </c>
      <c r="B59" s="4800" t="s">
        <v>4</v>
      </c>
      <c r="C59" s="4800" t="s">
        <v>120</v>
      </c>
      <c r="D59" s="4800" t="s">
        <v>1231</v>
      </c>
      <c r="E59" s="4606"/>
      <c r="F59" s="4606"/>
      <c r="G59" s="4606"/>
      <c r="H59" s="4606"/>
      <c r="I59" s="4606"/>
      <c r="J59" s="4606"/>
      <c r="K59" s="4606"/>
      <c r="L59" s="4606"/>
      <c r="M59" s="4606">
        <v>1</v>
      </c>
      <c r="N59" s="4606"/>
      <c r="O59" s="4606"/>
      <c r="P59" s="4606">
        <v>1</v>
      </c>
      <c r="Q59" s="4606">
        <v>2</v>
      </c>
      <c r="R59" s="4606">
        <v>0</v>
      </c>
      <c r="S59" s="2552"/>
      <c r="T59" s="2552">
        <v>0</v>
      </c>
      <c r="U59" s="2552">
        <v>4</v>
      </c>
      <c r="V59" s="2552"/>
      <c r="AA59" s="37" t="s">
        <v>1233</v>
      </c>
      <c r="AB59" s="4803"/>
      <c r="AC59" s="4803"/>
      <c r="AD59" s="4803"/>
      <c r="AE59" s="4803"/>
      <c r="AF59" s="4803"/>
      <c r="AG59" s="4803"/>
      <c r="AH59" s="4803"/>
      <c r="AI59" s="4803"/>
      <c r="AJ59" s="4803">
        <v>1</v>
      </c>
      <c r="AK59" s="4803"/>
      <c r="AL59" s="4803"/>
      <c r="AM59" s="4803">
        <v>0</v>
      </c>
      <c r="AN59" s="4803">
        <v>0</v>
      </c>
      <c r="AO59" s="4803">
        <v>0</v>
      </c>
      <c r="AP59" s="1788">
        <v>0</v>
      </c>
      <c r="AQ59" s="1788">
        <v>1</v>
      </c>
      <c r="AT59" s="41"/>
      <c r="AU59" s="41"/>
      <c r="AV59" s="461"/>
      <c r="AW59" s="461" t="s">
        <v>1233</v>
      </c>
      <c r="AX59" s="2489">
        <v>0</v>
      </c>
      <c r="AY59" s="2489"/>
      <c r="AZ59" s="2489"/>
      <c r="BA59" s="2489"/>
      <c r="BB59" s="2489">
        <v>1</v>
      </c>
      <c r="BC59" s="2489"/>
      <c r="BD59" s="2489">
        <v>0</v>
      </c>
      <c r="BE59" s="2489">
        <v>0</v>
      </c>
      <c r="BF59" s="2489">
        <v>0</v>
      </c>
      <c r="BG59" s="2489">
        <v>0</v>
      </c>
      <c r="BH59" s="2489">
        <v>0</v>
      </c>
      <c r="BI59" s="2489">
        <v>0</v>
      </c>
      <c r="BJ59" s="2489">
        <v>0</v>
      </c>
      <c r="BK59" s="2489">
        <v>0</v>
      </c>
      <c r="BL59" s="2489">
        <v>0</v>
      </c>
      <c r="BM59" s="461"/>
      <c r="BN59" s="461">
        <v>0</v>
      </c>
      <c r="BO59" s="461">
        <v>1</v>
      </c>
      <c r="BP59" s="41"/>
      <c r="BR59" s="41"/>
      <c r="BS59" s="41"/>
      <c r="BT59" s="41"/>
      <c r="BU59" s="461" t="s">
        <v>15</v>
      </c>
      <c r="BV59" s="2002"/>
      <c r="BW59" s="2002"/>
      <c r="BX59" s="2002"/>
      <c r="BY59" s="2002"/>
      <c r="BZ59" s="2002"/>
      <c r="CA59" s="2002"/>
      <c r="CB59" s="2002"/>
      <c r="CC59" s="2002"/>
      <c r="CD59" s="2002"/>
      <c r="CE59" s="2002"/>
      <c r="CF59" s="2002"/>
      <c r="CG59" s="2002">
        <v>1</v>
      </c>
      <c r="CH59" s="2002">
        <v>1</v>
      </c>
      <c r="CI59" s="2002">
        <v>1</v>
      </c>
      <c r="CJ59" s="2002"/>
      <c r="CK59" s="96">
        <v>2</v>
      </c>
      <c r="CL59" s="96">
        <v>1</v>
      </c>
      <c r="CM59" s="96">
        <v>6</v>
      </c>
      <c r="CN59" s="635">
        <f>+(CM56+CM58)/CM59</f>
        <v>0.5</v>
      </c>
      <c r="CR59" s="41" t="s">
        <v>123</v>
      </c>
      <c r="CS59" s="41" t="s">
        <v>1239</v>
      </c>
      <c r="CT59" s="1665"/>
      <c r="CU59" s="1665"/>
      <c r="CV59" s="1665"/>
      <c r="CW59" s="1665"/>
      <c r="CX59" s="1665"/>
      <c r="CY59" s="1665"/>
      <c r="CZ59" s="1665"/>
      <c r="DA59" s="1665"/>
      <c r="DB59" s="1665"/>
      <c r="DC59" s="1665"/>
      <c r="DD59" s="1665"/>
      <c r="DE59" s="1665"/>
      <c r="DF59" s="1665"/>
      <c r="DG59" s="1665">
        <v>0</v>
      </c>
      <c r="DH59" s="1665">
        <v>2</v>
      </c>
      <c r="DI59" s="41">
        <v>2</v>
      </c>
      <c r="DJ59" s="41"/>
      <c r="DK59" s="41">
        <v>4</v>
      </c>
      <c r="DL59" s="41"/>
      <c r="DN59" s="1375"/>
      <c r="DO59" s="1375"/>
      <c r="DP59" s="1375"/>
      <c r="DQ59" s="1376" t="s">
        <v>1233</v>
      </c>
      <c r="DR59" s="1377"/>
      <c r="DS59" s="1378">
        <v>1</v>
      </c>
      <c r="DT59" s="1378">
        <v>1</v>
      </c>
      <c r="DU59" s="1377"/>
      <c r="DV59" s="1378">
        <v>0</v>
      </c>
      <c r="DW59" s="1378">
        <v>0</v>
      </c>
      <c r="DX59" s="1377"/>
      <c r="DY59" s="1378">
        <v>0</v>
      </c>
      <c r="DZ59" s="1378">
        <v>0</v>
      </c>
      <c r="EA59" s="1377"/>
      <c r="EB59" s="1378">
        <v>0</v>
      </c>
      <c r="EC59" s="1378">
        <v>0</v>
      </c>
      <c r="ED59" s="1378">
        <v>0</v>
      </c>
      <c r="EE59" s="1380">
        <v>0</v>
      </c>
      <c r="EF59" s="1380">
        <v>0</v>
      </c>
      <c r="EG59" s="1380">
        <v>2</v>
      </c>
      <c r="EH59" s="41"/>
      <c r="EJ59" s="678"/>
      <c r="EK59" s="678"/>
      <c r="EL59" s="678"/>
      <c r="EM59" s="697" t="s">
        <v>15</v>
      </c>
      <c r="EN59" s="698"/>
      <c r="EO59" s="698"/>
      <c r="EP59" s="698"/>
      <c r="EQ59" s="698"/>
      <c r="ER59" s="698"/>
      <c r="ES59" s="698"/>
      <c r="ET59" s="698"/>
      <c r="EU59" s="698"/>
      <c r="EV59" s="698"/>
      <c r="EW59" s="698"/>
      <c r="EX59" s="698"/>
      <c r="EY59" s="698"/>
      <c r="EZ59" s="698"/>
      <c r="FA59" s="699">
        <v>1</v>
      </c>
      <c r="FB59" s="699">
        <v>2</v>
      </c>
      <c r="FC59" s="700"/>
      <c r="FD59" s="701">
        <v>1</v>
      </c>
      <c r="FE59" s="701">
        <v>4</v>
      </c>
      <c r="FF59" s="635">
        <f>+FE58/FE59</f>
        <v>0.25</v>
      </c>
      <c r="FH59" s="511"/>
      <c r="FI59" s="511"/>
      <c r="FJ59" s="511"/>
      <c r="FK59" s="511"/>
      <c r="FL59" s="512" t="s">
        <v>1235</v>
      </c>
      <c r="FM59" s="684"/>
      <c r="FN59" s="684"/>
      <c r="FO59" s="684"/>
      <c r="FP59" s="684"/>
      <c r="FQ59" s="684"/>
      <c r="FR59" s="684"/>
      <c r="FS59" s="684"/>
      <c r="FT59" s="684"/>
      <c r="FU59" s="684"/>
      <c r="FV59" s="684"/>
      <c r="FW59" s="684"/>
      <c r="FX59" s="684"/>
      <c r="FY59" s="685">
        <v>1</v>
      </c>
      <c r="FZ59" s="684"/>
      <c r="GA59" s="685">
        <v>0</v>
      </c>
      <c r="GB59" s="686"/>
      <c r="GC59" s="686"/>
      <c r="GD59" s="687">
        <v>1</v>
      </c>
      <c r="GE59" s="635"/>
      <c r="GF59" s="41"/>
      <c r="GG59" s="688"/>
      <c r="GH59" s="688"/>
      <c r="GI59" s="688"/>
      <c r="GJ59" s="704" t="s">
        <v>15</v>
      </c>
      <c r="GK59" s="705"/>
      <c r="GL59" s="463">
        <v>1</v>
      </c>
      <c r="GM59" s="463">
        <v>1</v>
      </c>
      <c r="GN59" s="463">
        <v>2</v>
      </c>
      <c r="GO59" s="705"/>
      <c r="GP59" s="463">
        <v>10</v>
      </c>
      <c r="GQ59" s="463">
        <v>8</v>
      </c>
      <c r="GR59" s="463">
        <v>5</v>
      </c>
      <c r="GS59" s="463">
        <v>4</v>
      </c>
      <c r="GT59" s="463">
        <v>5</v>
      </c>
      <c r="GU59" s="705"/>
      <c r="GV59" s="705"/>
      <c r="GW59" s="705"/>
      <c r="GX59" s="463">
        <v>36</v>
      </c>
      <c r="GY59" s="628">
        <f>+(GX58+GX55)/GX59</f>
        <v>0.55555555555555558</v>
      </c>
      <c r="GZ59" s="41"/>
      <c r="HA59" s="41"/>
      <c r="HB59" s="105"/>
      <c r="HC59" s="105"/>
      <c r="HD59" s="41" t="s">
        <v>125</v>
      </c>
      <c r="HE59" s="41" t="s">
        <v>1231</v>
      </c>
      <c r="HF59" s="105"/>
      <c r="HG59" s="105"/>
      <c r="HH59" s="105"/>
      <c r="HI59" s="105"/>
      <c r="HJ59" s="105"/>
      <c r="HK59" s="105"/>
      <c r="HL59" s="105"/>
      <c r="HM59" s="105"/>
      <c r="HN59" s="105">
        <v>0</v>
      </c>
      <c r="HO59" s="105">
        <v>1</v>
      </c>
      <c r="HP59" s="105">
        <v>1</v>
      </c>
      <c r="HQ59" s="105">
        <v>1</v>
      </c>
      <c r="HR59" s="105"/>
      <c r="HS59" s="105">
        <v>0</v>
      </c>
      <c r="HT59" s="105"/>
      <c r="HU59" s="105"/>
      <c r="HV59" s="105">
        <v>3</v>
      </c>
      <c r="HW59" s="41"/>
      <c r="HX59" s="41"/>
      <c r="HY59" s="691"/>
      <c r="HZ59" s="691"/>
      <c r="IA59" s="691"/>
      <c r="IB59" s="691" t="s">
        <v>1344</v>
      </c>
      <c r="IC59" s="691">
        <v>0</v>
      </c>
      <c r="ID59" s="691">
        <v>0</v>
      </c>
      <c r="IE59" s="691">
        <v>0</v>
      </c>
      <c r="IF59" s="691">
        <v>0</v>
      </c>
      <c r="IG59" s="691">
        <v>0</v>
      </c>
      <c r="IH59" s="691">
        <v>0</v>
      </c>
      <c r="II59" s="691">
        <v>0</v>
      </c>
      <c r="IJ59" s="691">
        <v>1</v>
      </c>
      <c r="IK59" s="691">
        <v>1</v>
      </c>
      <c r="IL59" s="691">
        <v>1</v>
      </c>
      <c r="IM59" s="691">
        <v>0</v>
      </c>
      <c r="IN59" s="691">
        <v>2</v>
      </c>
      <c r="IO59" s="691">
        <v>0</v>
      </c>
      <c r="IP59" s="691">
        <v>0</v>
      </c>
      <c r="IQ59" s="691">
        <v>0</v>
      </c>
      <c r="IR59" s="691">
        <v>0</v>
      </c>
      <c r="IS59" s="691">
        <v>5</v>
      </c>
      <c r="IT59" s="691"/>
      <c r="IU59" s="692"/>
    </row>
    <row r="60" spans="1:255">
      <c r="D60" s="4800" t="s">
        <v>1233</v>
      </c>
      <c r="E60" s="4606"/>
      <c r="F60" s="4606"/>
      <c r="G60" s="4606"/>
      <c r="H60" s="4606"/>
      <c r="I60" s="4606"/>
      <c r="J60" s="4606"/>
      <c r="K60" s="4606"/>
      <c r="L60" s="4606"/>
      <c r="M60" s="4606">
        <v>1</v>
      </c>
      <c r="N60" s="4606"/>
      <c r="O60" s="4606"/>
      <c r="P60" s="4606">
        <v>0</v>
      </c>
      <c r="Q60" s="4606">
        <v>0</v>
      </c>
      <c r="R60" s="4606">
        <v>0</v>
      </c>
      <c r="S60" s="2552"/>
      <c r="T60" s="2552">
        <v>0</v>
      </c>
      <c r="U60" s="2552">
        <v>1</v>
      </c>
      <c r="V60" s="2552"/>
      <c r="AA60" s="37" t="s">
        <v>1235</v>
      </c>
      <c r="AB60" s="4803"/>
      <c r="AC60" s="4803"/>
      <c r="AD60" s="4803"/>
      <c r="AE60" s="4803"/>
      <c r="AF60" s="4803"/>
      <c r="AG60" s="4803"/>
      <c r="AH60" s="4803"/>
      <c r="AI60" s="4803"/>
      <c r="AJ60" s="4803">
        <v>0</v>
      </c>
      <c r="AK60" s="4803"/>
      <c r="AL60" s="4803"/>
      <c r="AM60" s="4803">
        <v>0</v>
      </c>
      <c r="AN60" s="4803">
        <v>0</v>
      </c>
      <c r="AO60" s="4803">
        <v>1</v>
      </c>
      <c r="AP60" s="1788">
        <v>0</v>
      </c>
      <c r="AQ60" s="1788">
        <v>1</v>
      </c>
      <c r="AT60" s="41"/>
      <c r="AU60" s="41"/>
      <c r="AV60" s="461"/>
      <c r="AW60" s="461" t="s">
        <v>1235</v>
      </c>
      <c r="AX60" s="2489">
        <v>0</v>
      </c>
      <c r="AY60" s="2489"/>
      <c r="AZ60" s="2489"/>
      <c r="BA60" s="2489"/>
      <c r="BB60" s="2489">
        <v>0</v>
      </c>
      <c r="BC60" s="2489"/>
      <c r="BD60" s="2489">
        <v>0</v>
      </c>
      <c r="BE60" s="2489">
        <v>0</v>
      </c>
      <c r="BF60" s="2489">
        <v>0</v>
      </c>
      <c r="BG60" s="2489">
        <v>3</v>
      </c>
      <c r="BH60" s="2489">
        <v>0</v>
      </c>
      <c r="BI60" s="2489">
        <v>0</v>
      </c>
      <c r="BJ60" s="2489">
        <v>1</v>
      </c>
      <c r="BK60" s="2489">
        <v>0</v>
      </c>
      <c r="BL60" s="2489">
        <v>0</v>
      </c>
      <c r="BM60" s="461"/>
      <c r="BN60" s="461">
        <v>0</v>
      </c>
      <c r="BO60" s="461">
        <v>4</v>
      </c>
      <c r="BP60" s="41"/>
      <c r="BR60" s="41"/>
      <c r="BS60" s="41"/>
      <c r="BT60" s="41" t="s">
        <v>124</v>
      </c>
      <c r="BU60" s="41" t="s">
        <v>1235</v>
      </c>
      <c r="BV60" s="2001"/>
      <c r="BW60" s="2001"/>
      <c r="BX60" s="2001"/>
      <c r="BY60" s="2001"/>
      <c r="BZ60" s="2001"/>
      <c r="CA60" s="2001"/>
      <c r="CB60" s="2001"/>
      <c r="CC60" s="2001"/>
      <c r="CD60" s="2001"/>
      <c r="CE60" s="2001"/>
      <c r="CF60" s="2001"/>
      <c r="CG60" s="2001"/>
      <c r="CH60" s="2001">
        <v>0</v>
      </c>
      <c r="CI60" s="2001">
        <v>1</v>
      </c>
      <c r="CJ60" s="2001">
        <v>0</v>
      </c>
      <c r="CK60" s="105">
        <v>1</v>
      </c>
      <c r="CL60" s="105"/>
      <c r="CM60" s="105">
        <v>2</v>
      </c>
      <c r="CN60" s="41"/>
      <c r="CR60" s="41"/>
      <c r="CS60" s="41" t="s">
        <v>1344</v>
      </c>
      <c r="CT60" s="1665"/>
      <c r="CU60" s="1665"/>
      <c r="CV60" s="1665"/>
      <c r="CW60" s="1665"/>
      <c r="CX60" s="1665"/>
      <c r="CY60" s="1665"/>
      <c r="CZ60" s="1665"/>
      <c r="DA60" s="1665"/>
      <c r="DB60" s="1665"/>
      <c r="DC60" s="1665"/>
      <c r="DD60" s="1665"/>
      <c r="DE60" s="1665"/>
      <c r="DF60" s="1665"/>
      <c r="DG60" s="1665">
        <v>2</v>
      </c>
      <c r="DH60" s="1665">
        <v>0</v>
      </c>
      <c r="DI60" s="41">
        <v>0</v>
      </c>
      <c r="DJ60" s="41"/>
      <c r="DK60" s="41">
        <v>2</v>
      </c>
      <c r="DL60" s="41"/>
      <c r="DN60" s="1375"/>
      <c r="DO60" s="1375"/>
      <c r="DP60" s="1375"/>
      <c r="DQ60" s="1376" t="s">
        <v>1235</v>
      </c>
      <c r="DR60" s="1377"/>
      <c r="DS60" s="1378">
        <v>0</v>
      </c>
      <c r="DT60" s="1378">
        <v>0</v>
      </c>
      <c r="DU60" s="1377"/>
      <c r="DV60" s="1378">
        <v>0</v>
      </c>
      <c r="DW60" s="1378">
        <v>0</v>
      </c>
      <c r="DX60" s="1377"/>
      <c r="DY60" s="1378">
        <v>0</v>
      </c>
      <c r="DZ60" s="1378">
        <v>0</v>
      </c>
      <c r="EA60" s="1377"/>
      <c r="EB60" s="1378">
        <v>0</v>
      </c>
      <c r="EC60" s="1378">
        <v>1</v>
      </c>
      <c r="ED60" s="1378">
        <v>0</v>
      </c>
      <c r="EE60" s="1380">
        <v>1</v>
      </c>
      <c r="EF60" s="1380">
        <v>0</v>
      </c>
      <c r="EG60" s="1380">
        <v>2</v>
      </c>
      <c r="EH60" s="41"/>
      <c r="EJ60" s="678"/>
      <c r="EK60" s="678"/>
      <c r="EL60" s="678" t="s">
        <v>124</v>
      </c>
      <c r="EM60" s="679" t="s">
        <v>1231</v>
      </c>
      <c r="EN60" s="680"/>
      <c r="EO60" s="680"/>
      <c r="EP60" s="680"/>
      <c r="EQ60" s="680"/>
      <c r="ER60" s="680"/>
      <c r="ES60" s="680"/>
      <c r="ET60" s="680"/>
      <c r="EU60" s="680"/>
      <c r="EV60" s="680"/>
      <c r="EW60" s="680"/>
      <c r="EX60" s="680"/>
      <c r="EY60" s="680"/>
      <c r="EZ60" s="680"/>
      <c r="FA60" s="680"/>
      <c r="FB60" s="681">
        <v>1</v>
      </c>
      <c r="FC60" s="682"/>
      <c r="FD60" s="682"/>
      <c r="FE60" s="683">
        <v>1</v>
      </c>
      <c r="FF60" s="105"/>
      <c r="FH60" s="511"/>
      <c r="FI60" s="511"/>
      <c r="FJ60" s="511"/>
      <c r="FK60" s="511"/>
      <c r="FL60" s="512" t="s">
        <v>1239</v>
      </c>
      <c r="FM60" s="684"/>
      <c r="FN60" s="684"/>
      <c r="FO60" s="684"/>
      <c r="FP60" s="684"/>
      <c r="FQ60" s="684"/>
      <c r="FR60" s="684"/>
      <c r="FS60" s="684"/>
      <c r="FT60" s="684"/>
      <c r="FU60" s="684"/>
      <c r="FV60" s="684"/>
      <c r="FW60" s="684"/>
      <c r="FX60" s="684"/>
      <c r="FY60" s="685">
        <v>0</v>
      </c>
      <c r="FZ60" s="684"/>
      <c r="GA60" s="685">
        <v>1</v>
      </c>
      <c r="GB60" s="686"/>
      <c r="GC60" s="686"/>
      <c r="GD60" s="687">
        <v>1</v>
      </c>
      <c r="GE60" s="635"/>
      <c r="GF60" s="41"/>
      <c r="GG60" s="688"/>
      <c r="GH60" s="688"/>
      <c r="GI60" s="688" t="s">
        <v>127</v>
      </c>
      <c r="GJ60" s="457" t="s">
        <v>1230</v>
      </c>
      <c r="GK60" s="458">
        <v>0</v>
      </c>
      <c r="GL60" s="458">
        <v>0</v>
      </c>
      <c r="GM60" s="458">
        <v>0</v>
      </c>
      <c r="GN60" s="689"/>
      <c r="GO60" s="689"/>
      <c r="GP60" s="689"/>
      <c r="GQ60" s="458">
        <v>0</v>
      </c>
      <c r="GR60" s="458">
        <v>0</v>
      </c>
      <c r="GS60" s="458">
        <v>1</v>
      </c>
      <c r="GT60" s="458">
        <v>1</v>
      </c>
      <c r="GU60" s="689"/>
      <c r="GV60" s="689"/>
      <c r="GW60" s="689"/>
      <c r="GX60" s="458">
        <v>2</v>
      </c>
      <c r="GY60" s="690"/>
      <c r="GZ60" s="41"/>
      <c r="HA60" s="41"/>
      <c r="HB60" s="105"/>
      <c r="HC60" s="105"/>
      <c r="HD60" s="41"/>
      <c r="HE60" s="41" t="s">
        <v>1235</v>
      </c>
      <c r="HF60" s="105"/>
      <c r="HG60" s="105"/>
      <c r="HH60" s="105"/>
      <c r="HI60" s="105"/>
      <c r="HJ60" s="105"/>
      <c r="HK60" s="105"/>
      <c r="HL60" s="105"/>
      <c r="HM60" s="105"/>
      <c r="HN60" s="105">
        <v>0</v>
      </c>
      <c r="HO60" s="105">
        <v>0</v>
      </c>
      <c r="HP60" s="105">
        <v>1</v>
      </c>
      <c r="HQ60" s="105">
        <v>0</v>
      </c>
      <c r="HR60" s="105"/>
      <c r="HS60" s="105">
        <v>0</v>
      </c>
      <c r="HT60" s="105"/>
      <c r="HU60" s="105"/>
      <c r="HV60" s="105">
        <v>1</v>
      </c>
      <c r="HW60" s="41"/>
      <c r="HX60" s="41"/>
      <c r="HY60" s="691"/>
      <c r="HZ60" s="691"/>
      <c r="IA60" s="691"/>
      <c r="IB60" s="702" t="s">
        <v>15</v>
      </c>
      <c r="IC60" s="702">
        <v>0</v>
      </c>
      <c r="ID60" s="702">
        <v>1</v>
      </c>
      <c r="IE60" s="702">
        <v>0</v>
      </c>
      <c r="IF60" s="702">
        <v>0</v>
      </c>
      <c r="IG60" s="702">
        <v>0</v>
      </c>
      <c r="IH60" s="702">
        <v>0</v>
      </c>
      <c r="II60" s="702">
        <v>0</v>
      </c>
      <c r="IJ60" s="702">
        <v>1</v>
      </c>
      <c r="IK60" s="702">
        <v>1</v>
      </c>
      <c r="IL60" s="702">
        <v>4</v>
      </c>
      <c r="IM60" s="702">
        <v>0</v>
      </c>
      <c r="IN60" s="702">
        <v>9</v>
      </c>
      <c r="IO60" s="702">
        <v>0</v>
      </c>
      <c r="IP60" s="702">
        <v>0</v>
      </c>
      <c r="IQ60" s="702">
        <v>0</v>
      </c>
      <c r="IR60" s="702">
        <v>0</v>
      </c>
      <c r="IS60" s="702">
        <v>16</v>
      </c>
      <c r="IT60" s="703">
        <f>+(IS59+IS57)/IS60</f>
        <v>0.8125</v>
      </c>
      <c r="IU60" s="692">
        <f>+IS57+IS59</f>
        <v>13</v>
      </c>
    </row>
    <row r="61" spans="1:255">
      <c r="D61" s="4800" t="s">
        <v>1235</v>
      </c>
      <c r="E61" s="4606"/>
      <c r="F61" s="4606"/>
      <c r="G61" s="4606"/>
      <c r="H61" s="4606"/>
      <c r="I61" s="4606"/>
      <c r="J61" s="4606"/>
      <c r="K61" s="4606"/>
      <c r="L61" s="4606"/>
      <c r="M61" s="4606">
        <v>0</v>
      </c>
      <c r="N61" s="4606"/>
      <c r="O61" s="4606"/>
      <c r="P61" s="4606">
        <v>0</v>
      </c>
      <c r="Q61" s="4606">
        <v>0</v>
      </c>
      <c r="R61" s="4606">
        <v>1</v>
      </c>
      <c r="S61" s="2552"/>
      <c r="T61" s="2552">
        <v>0</v>
      </c>
      <c r="U61" s="2552">
        <v>1</v>
      </c>
      <c r="V61" s="2552"/>
      <c r="AA61" s="37" t="s">
        <v>1239</v>
      </c>
      <c r="AB61" s="4803"/>
      <c r="AC61" s="4803"/>
      <c r="AD61" s="4803"/>
      <c r="AE61" s="4803"/>
      <c r="AF61" s="4803"/>
      <c r="AG61" s="4803"/>
      <c r="AH61" s="4803"/>
      <c r="AI61" s="4803"/>
      <c r="AJ61" s="4803">
        <v>0</v>
      </c>
      <c r="AK61" s="4803"/>
      <c r="AL61" s="4803"/>
      <c r="AM61" s="4803">
        <v>0</v>
      </c>
      <c r="AN61" s="4803">
        <v>1</v>
      </c>
      <c r="AO61" s="4803">
        <v>0</v>
      </c>
      <c r="AP61" s="1788">
        <v>1</v>
      </c>
      <c r="AQ61" s="1788">
        <v>2</v>
      </c>
      <c r="AT61" s="41"/>
      <c r="AU61" s="41"/>
      <c r="AV61" s="461"/>
      <c r="AW61" s="461" t="s">
        <v>1239</v>
      </c>
      <c r="AX61" s="2489">
        <v>0</v>
      </c>
      <c r="AY61" s="2489"/>
      <c r="AZ61" s="2489"/>
      <c r="BA61" s="2489"/>
      <c r="BB61" s="2489">
        <v>0</v>
      </c>
      <c r="BC61" s="2489"/>
      <c r="BD61" s="2489">
        <v>0</v>
      </c>
      <c r="BE61" s="2489">
        <v>0</v>
      </c>
      <c r="BF61" s="2489">
        <v>0</v>
      </c>
      <c r="BG61" s="2489">
        <v>0</v>
      </c>
      <c r="BH61" s="2489">
        <v>1</v>
      </c>
      <c r="BI61" s="2489">
        <v>3</v>
      </c>
      <c r="BJ61" s="2489">
        <v>0</v>
      </c>
      <c r="BK61" s="2489">
        <v>1</v>
      </c>
      <c r="BL61" s="2489">
        <v>13</v>
      </c>
      <c r="BM61" s="461"/>
      <c r="BN61" s="461">
        <v>1</v>
      </c>
      <c r="BO61" s="461">
        <v>19</v>
      </c>
      <c r="BP61" s="41"/>
      <c r="BR61" s="41"/>
      <c r="BS61" s="41"/>
      <c r="BT61" s="41"/>
      <c r="BU61" s="41" t="s">
        <v>1239</v>
      </c>
      <c r="BV61" s="2001"/>
      <c r="BW61" s="2001"/>
      <c r="BX61" s="2001"/>
      <c r="BY61" s="2001"/>
      <c r="BZ61" s="2001"/>
      <c r="CA61" s="2001"/>
      <c r="CB61" s="2001"/>
      <c r="CC61" s="2001"/>
      <c r="CD61" s="2001"/>
      <c r="CE61" s="2001"/>
      <c r="CF61" s="2001"/>
      <c r="CG61" s="2001"/>
      <c r="CH61" s="2001">
        <v>0</v>
      </c>
      <c r="CI61" s="2001">
        <v>0</v>
      </c>
      <c r="CJ61" s="2001">
        <v>3</v>
      </c>
      <c r="CK61" s="105">
        <v>0</v>
      </c>
      <c r="CL61" s="105"/>
      <c r="CM61" s="105">
        <v>3</v>
      </c>
      <c r="CN61" s="41"/>
      <c r="CR61" s="41"/>
      <c r="CS61" s="461" t="s">
        <v>15</v>
      </c>
      <c r="CT61" s="1666"/>
      <c r="CU61" s="1666"/>
      <c r="CV61" s="1666"/>
      <c r="CW61" s="1666"/>
      <c r="CX61" s="1666"/>
      <c r="CY61" s="1666"/>
      <c r="CZ61" s="1666"/>
      <c r="DA61" s="1666"/>
      <c r="DB61" s="1666"/>
      <c r="DC61" s="1666"/>
      <c r="DD61" s="1666"/>
      <c r="DE61" s="1666"/>
      <c r="DF61" s="1666"/>
      <c r="DG61" s="1666">
        <v>2</v>
      </c>
      <c r="DH61" s="1666">
        <v>2</v>
      </c>
      <c r="DI61" s="461">
        <v>2</v>
      </c>
      <c r="DJ61" s="461"/>
      <c r="DK61" s="461">
        <v>6</v>
      </c>
      <c r="DL61" s="635">
        <f>+DK60/DK61</f>
        <v>0.33333333333333331</v>
      </c>
      <c r="DN61" s="1375"/>
      <c r="DO61" s="1375"/>
      <c r="DP61" s="1375"/>
      <c r="DQ61" s="1376" t="s">
        <v>1236</v>
      </c>
      <c r="DR61" s="1377"/>
      <c r="DS61" s="1378">
        <v>0</v>
      </c>
      <c r="DT61" s="1378">
        <v>0</v>
      </c>
      <c r="DU61" s="1377"/>
      <c r="DV61" s="1378">
        <v>0</v>
      </c>
      <c r="DW61" s="1378">
        <v>0</v>
      </c>
      <c r="DX61" s="1377"/>
      <c r="DY61" s="1378">
        <v>0</v>
      </c>
      <c r="DZ61" s="1378">
        <v>1</v>
      </c>
      <c r="EA61" s="1377"/>
      <c r="EB61" s="1378">
        <v>0</v>
      </c>
      <c r="EC61" s="1378">
        <v>0</v>
      </c>
      <c r="ED61" s="1378">
        <v>0</v>
      </c>
      <c r="EE61" s="1380">
        <v>0</v>
      </c>
      <c r="EF61" s="1380">
        <v>0</v>
      </c>
      <c r="EG61" s="1380">
        <v>1</v>
      </c>
      <c r="EH61" s="41"/>
      <c r="EJ61" s="678"/>
      <c r="EK61" s="678"/>
      <c r="EL61" s="678"/>
      <c r="EM61" s="679" t="s">
        <v>1239</v>
      </c>
      <c r="EN61" s="680"/>
      <c r="EO61" s="680"/>
      <c r="EP61" s="680"/>
      <c r="EQ61" s="680"/>
      <c r="ER61" s="680"/>
      <c r="ES61" s="680"/>
      <c r="ET61" s="680"/>
      <c r="EU61" s="680"/>
      <c r="EV61" s="680"/>
      <c r="EW61" s="680"/>
      <c r="EX61" s="680"/>
      <c r="EY61" s="680"/>
      <c r="EZ61" s="680"/>
      <c r="FA61" s="680"/>
      <c r="FB61" s="681">
        <v>3</v>
      </c>
      <c r="FC61" s="682"/>
      <c r="FD61" s="682"/>
      <c r="FE61" s="683">
        <v>3</v>
      </c>
      <c r="FF61" s="105"/>
      <c r="FH61" s="511"/>
      <c r="FI61" s="511"/>
      <c r="FJ61" s="511"/>
      <c r="FK61" s="41"/>
      <c r="FL61" s="532" t="s">
        <v>15</v>
      </c>
      <c r="FM61" s="693"/>
      <c r="FN61" s="693"/>
      <c r="FO61" s="693"/>
      <c r="FP61" s="693"/>
      <c r="FQ61" s="693"/>
      <c r="FR61" s="693"/>
      <c r="FS61" s="693"/>
      <c r="FT61" s="693"/>
      <c r="FU61" s="693"/>
      <c r="FV61" s="693"/>
      <c r="FW61" s="693"/>
      <c r="FX61" s="693"/>
      <c r="FY61" s="694">
        <v>2</v>
      </c>
      <c r="FZ61" s="693"/>
      <c r="GA61" s="694">
        <v>1</v>
      </c>
      <c r="GB61" s="695"/>
      <c r="GC61" s="695"/>
      <c r="GD61" s="696">
        <v>3</v>
      </c>
      <c r="GE61" s="635">
        <f>+GD59/GD61</f>
        <v>0.33333333333333331</v>
      </c>
      <c r="GF61" s="41"/>
      <c r="GG61" s="688"/>
      <c r="GH61" s="688"/>
      <c r="GI61" s="688"/>
      <c r="GJ61" s="457" t="s">
        <v>1231</v>
      </c>
      <c r="GK61" s="458">
        <v>0</v>
      </c>
      <c r="GL61" s="458">
        <v>0</v>
      </c>
      <c r="GM61" s="458">
        <v>1</v>
      </c>
      <c r="GN61" s="689"/>
      <c r="GO61" s="689"/>
      <c r="GP61" s="689"/>
      <c r="GQ61" s="458">
        <v>0</v>
      </c>
      <c r="GR61" s="458">
        <v>0</v>
      </c>
      <c r="GS61" s="458">
        <v>0</v>
      </c>
      <c r="GT61" s="458">
        <v>0</v>
      </c>
      <c r="GU61" s="689"/>
      <c r="GV61" s="689"/>
      <c r="GW61" s="689"/>
      <c r="GX61" s="458">
        <v>1</v>
      </c>
      <c r="GY61" s="690"/>
      <c r="GZ61" s="41"/>
      <c r="HA61" s="41"/>
      <c r="HB61" s="105"/>
      <c r="HC61" s="105"/>
      <c r="HD61" s="41"/>
      <c r="HE61" s="41" t="s">
        <v>1239</v>
      </c>
      <c r="HF61" s="105"/>
      <c r="HG61" s="105"/>
      <c r="HH61" s="105"/>
      <c r="HI61" s="105"/>
      <c r="HJ61" s="105"/>
      <c r="HK61" s="105"/>
      <c r="HL61" s="105"/>
      <c r="HM61" s="105"/>
      <c r="HN61" s="105">
        <v>0</v>
      </c>
      <c r="HO61" s="105">
        <v>0</v>
      </c>
      <c r="HP61" s="105">
        <v>0</v>
      </c>
      <c r="HQ61" s="105">
        <v>0</v>
      </c>
      <c r="HR61" s="105"/>
      <c r="HS61" s="105">
        <v>5</v>
      </c>
      <c r="HT61" s="105"/>
      <c r="HU61" s="105"/>
      <c r="HV61" s="105">
        <v>5</v>
      </c>
      <c r="HW61" s="41"/>
      <c r="HX61" s="41"/>
      <c r="HY61" s="691"/>
      <c r="HZ61" s="691"/>
      <c r="IA61" s="691" t="s">
        <v>128</v>
      </c>
      <c r="IB61" s="691" t="s">
        <v>1239</v>
      </c>
      <c r="IC61" s="691">
        <v>0</v>
      </c>
      <c r="ID61" s="691">
        <v>0</v>
      </c>
      <c r="IE61" s="691">
        <v>0</v>
      </c>
      <c r="IF61" s="691">
        <v>0</v>
      </c>
      <c r="IG61" s="691">
        <v>0</v>
      </c>
      <c r="IH61" s="691">
        <v>0</v>
      </c>
      <c r="II61" s="691">
        <v>0</v>
      </c>
      <c r="IJ61" s="691">
        <v>0</v>
      </c>
      <c r="IK61" s="691">
        <v>0</v>
      </c>
      <c r="IL61" s="691">
        <v>0</v>
      </c>
      <c r="IM61" s="691">
        <v>0</v>
      </c>
      <c r="IN61" s="691">
        <v>0</v>
      </c>
      <c r="IO61" s="691">
        <v>0</v>
      </c>
      <c r="IP61" s="691">
        <v>0</v>
      </c>
      <c r="IQ61" s="691">
        <v>1</v>
      </c>
      <c r="IR61" s="691">
        <v>0</v>
      </c>
      <c r="IS61" s="691">
        <v>1</v>
      </c>
      <c r="IT61" s="691"/>
      <c r="IU61" s="692"/>
    </row>
    <row r="62" spans="1:255">
      <c r="D62" s="4800" t="s">
        <v>1239</v>
      </c>
      <c r="E62" s="4606"/>
      <c r="F62" s="4606"/>
      <c r="G62" s="4606"/>
      <c r="H62" s="4606"/>
      <c r="I62" s="4606"/>
      <c r="J62" s="4606"/>
      <c r="K62" s="4606"/>
      <c r="L62" s="4606"/>
      <c r="M62" s="4606">
        <v>0</v>
      </c>
      <c r="N62" s="4606"/>
      <c r="O62" s="4606"/>
      <c r="P62" s="4606">
        <v>0</v>
      </c>
      <c r="Q62" s="4606">
        <v>1</v>
      </c>
      <c r="R62" s="4606">
        <v>1</v>
      </c>
      <c r="S62" s="2552"/>
      <c r="T62" s="2552">
        <v>1</v>
      </c>
      <c r="U62" s="2552">
        <v>3</v>
      </c>
      <c r="V62" s="2552"/>
      <c r="AA62" s="37" t="s">
        <v>1344</v>
      </c>
      <c r="AB62" s="4803"/>
      <c r="AC62" s="4803"/>
      <c r="AD62" s="4803"/>
      <c r="AE62" s="4803"/>
      <c r="AF62" s="4803"/>
      <c r="AG62" s="4803"/>
      <c r="AH62" s="4803"/>
      <c r="AI62" s="4803"/>
      <c r="AJ62" s="4803">
        <v>0</v>
      </c>
      <c r="AK62" s="4803"/>
      <c r="AL62" s="4803"/>
      <c r="AM62" s="4803">
        <v>1</v>
      </c>
      <c r="AN62" s="4803">
        <v>1</v>
      </c>
      <c r="AO62" s="4803">
        <v>0</v>
      </c>
      <c r="AP62" s="1788">
        <v>0</v>
      </c>
      <c r="AQ62" s="1788">
        <v>2</v>
      </c>
      <c r="AT62" s="41"/>
      <c r="AU62" s="41"/>
      <c r="AV62" s="461"/>
      <c r="AW62" s="461" t="s">
        <v>1240</v>
      </c>
      <c r="AX62" s="2489">
        <v>0</v>
      </c>
      <c r="AY62" s="2489"/>
      <c r="AZ62" s="2489"/>
      <c r="BA62" s="2489"/>
      <c r="BB62" s="2489">
        <v>0</v>
      </c>
      <c r="BC62" s="2489"/>
      <c r="BD62" s="2489">
        <v>0</v>
      </c>
      <c r="BE62" s="2489">
        <v>0</v>
      </c>
      <c r="BF62" s="2489">
        <v>0</v>
      </c>
      <c r="BG62" s="2489">
        <v>4</v>
      </c>
      <c r="BH62" s="2489">
        <v>0</v>
      </c>
      <c r="BI62" s="2489">
        <v>1</v>
      </c>
      <c r="BJ62" s="2489">
        <v>0</v>
      </c>
      <c r="BK62" s="2489">
        <v>1</v>
      </c>
      <c r="BL62" s="2489">
        <v>0</v>
      </c>
      <c r="BM62" s="461"/>
      <c r="BN62" s="461">
        <v>0</v>
      </c>
      <c r="BO62" s="461">
        <v>6</v>
      </c>
      <c r="BP62" s="41"/>
      <c r="BR62" s="41"/>
      <c r="BS62" s="41"/>
      <c r="BT62" s="41"/>
      <c r="BU62" s="41" t="s">
        <v>1344</v>
      </c>
      <c r="BV62" s="2001"/>
      <c r="BW62" s="2001"/>
      <c r="BX62" s="2001"/>
      <c r="BY62" s="2001"/>
      <c r="BZ62" s="2001"/>
      <c r="CA62" s="2001"/>
      <c r="CB62" s="2001"/>
      <c r="CC62" s="2001"/>
      <c r="CD62" s="2001"/>
      <c r="CE62" s="2001"/>
      <c r="CF62" s="2001"/>
      <c r="CG62" s="2001"/>
      <c r="CH62" s="2001">
        <v>1</v>
      </c>
      <c r="CI62" s="2001">
        <v>0</v>
      </c>
      <c r="CJ62" s="2001">
        <v>0</v>
      </c>
      <c r="CK62" s="105">
        <v>0</v>
      </c>
      <c r="CL62" s="105"/>
      <c r="CM62" s="105">
        <v>1</v>
      </c>
      <c r="CN62" s="41"/>
      <c r="CR62" s="41" t="s">
        <v>124</v>
      </c>
      <c r="CS62" s="41" t="s">
        <v>1239</v>
      </c>
      <c r="CT62" s="1665"/>
      <c r="CU62" s="1665"/>
      <c r="CV62" s="1665"/>
      <c r="CW62" s="1665"/>
      <c r="CX62" s="1665"/>
      <c r="CY62" s="1665"/>
      <c r="CZ62" s="1665"/>
      <c r="DA62" s="1665"/>
      <c r="DB62" s="1665"/>
      <c r="DC62" s="1665"/>
      <c r="DD62" s="1665"/>
      <c r="DE62" s="1665"/>
      <c r="DF62" s="1665"/>
      <c r="DG62" s="1665"/>
      <c r="DH62" s="1665">
        <v>1</v>
      </c>
      <c r="DI62" s="41">
        <v>3</v>
      </c>
      <c r="DJ62" s="41"/>
      <c r="DK62" s="41">
        <v>4</v>
      </c>
      <c r="DL62" s="41"/>
      <c r="DN62" s="1375"/>
      <c r="DO62" s="1375"/>
      <c r="DP62" s="1375"/>
      <c r="DQ62" s="1376" t="s">
        <v>1239</v>
      </c>
      <c r="DR62" s="1377"/>
      <c r="DS62" s="1378">
        <v>0</v>
      </c>
      <c r="DT62" s="1378">
        <v>0</v>
      </c>
      <c r="DU62" s="1377"/>
      <c r="DV62" s="1378">
        <v>0</v>
      </c>
      <c r="DW62" s="1378">
        <v>0</v>
      </c>
      <c r="DX62" s="1377"/>
      <c r="DY62" s="1378">
        <v>0</v>
      </c>
      <c r="DZ62" s="1378">
        <v>0</v>
      </c>
      <c r="EA62" s="1377"/>
      <c r="EB62" s="1378">
        <v>0</v>
      </c>
      <c r="EC62" s="1378">
        <v>0</v>
      </c>
      <c r="ED62" s="1378">
        <v>20</v>
      </c>
      <c r="EE62" s="1380">
        <v>3</v>
      </c>
      <c r="EF62" s="1380">
        <v>10</v>
      </c>
      <c r="EG62" s="1380">
        <v>33</v>
      </c>
      <c r="EH62" s="41"/>
      <c r="EJ62" s="678"/>
      <c r="EK62" s="678"/>
      <c r="EL62" s="678"/>
      <c r="EM62" s="697" t="s">
        <v>15</v>
      </c>
      <c r="EN62" s="698"/>
      <c r="EO62" s="698"/>
      <c r="EP62" s="698"/>
      <c r="EQ62" s="698"/>
      <c r="ER62" s="698"/>
      <c r="ES62" s="698"/>
      <c r="ET62" s="698"/>
      <c r="EU62" s="698"/>
      <c r="EV62" s="698"/>
      <c r="EW62" s="698"/>
      <c r="EX62" s="698"/>
      <c r="EY62" s="698"/>
      <c r="EZ62" s="698"/>
      <c r="FA62" s="698"/>
      <c r="FB62" s="699">
        <v>4</v>
      </c>
      <c r="FC62" s="700"/>
      <c r="FD62" s="700"/>
      <c r="FE62" s="701">
        <v>4</v>
      </c>
      <c r="FF62" s="635">
        <v>0</v>
      </c>
      <c r="FH62" s="511"/>
      <c r="FI62" s="511"/>
      <c r="FJ62" s="511" t="s">
        <v>124</v>
      </c>
      <c r="FK62" s="511" t="s">
        <v>1229</v>
      </c>
      <c r="FL62" s="512" t="s">
        <v>1231</v>
      </c>
      <c r="FM62" s="684"/>
      <c r="FN62" s="684"/>
      <c r="FO62" s="684"/>
      <c r="FP62" s="684"/>
      <c r="FQ62" s="684"/>
      <c r="FR62" s="684"/>
      <c r="FS62" s="684"/>
      <c r="FT62" s="684"/>
      <c r="FU62" s="685">
        <v>1</v>
      </c>
      <c r="FV62" s="684"/>
      <c r="FW62" s="684"/>
      <c r="FX62" s="684"/>
      <c r="FY62" s="684"/>
      <c r="FZ62" s="685">
        <v>2</v>
      </c>
      <c r="GA62" s="684"/>
      <c r="GB62" s="687">
        <v>0</v>
      </c>
      <c r="GC62" s="687">
        <v>0</v>
      </c>
      <c r="GD62" s="687">
        <v>3</v>
      </c>
      <c r="GE62" s="635"/>
      <c r="GF62" s="41"/>
      <c r="GG62" s="688"/>
      <c r="GH62" s="688"/>
      <c r="GI62" s="688"/>
      <c r="GJ62" s="457" t="s">
        <v>1233</v>
      </c>
      <c r="GK62" s="458">
        <v>1</v>
      </c>
      <c r="GL62" s="458">
        <v>1</v>
      </c>
      <c r="GM62" s="458">
        <v>0</v>
      </c>
      <c r="GN62" s="689"/>
      <c r="GO62" s="689"/>
      <c r="GP62" s="689"/>
      <c r="GQ62" s="458">
        <v>0</v>
      </c>
      <c r="GR62" s="458">
        <v>0</v>
      </c>
      <c r="GS62" s="458">
        <v>0</v>
      </c>
      <c r="GT62" s="458">
        <v>0</v>
      </c>
      <c r="GU62" s="689"/>
      <c r="GV62" s="689"/>
      <c r="GW62" s="689"/>
      <c r="GX62" s="458">
        <v>2</v>
      </c>
      <c r="GY62" s="690"/>
      <c r="GZ62" s="41"/>
      <c r="HA62" s="41"/>
      <c r="HB62" s="105"/>
      <c r="HC62" s="105"/>
      <c r="HD62" s="41"/>
      <c r="HE62" s="41" t="s">
        <v>1344</v>
      </c>
      <c r="HF62" s="105"/>
      <c r="HG62" s="105"/>
      <c r="HH62" s="105"/>
      <c r="HI62" s="105"/>
      <c r="HJ62" s="105"/>
      <c r="HK62" s="105"/>
      <c r="HL62" s="105"/>
      <c r="HM62" s="105"/>
      <c r="HN62" s="105">
        <v>1</v>
      </c>
      <c r="HO62" s="105">
        <v>0</v>
      </c>
      <c r="HP62" s="105">
        <v>0</v>
      </c>
      <c r="HQ62" s="105">
        <v>0</v>
      </c>
      <c r="HR62" s="105"/>
      <c r="HS62" s="105">
        <v>0</v>
      </c>
      <c r="HT62" s="105"/>
      <c r="HU62" s="105"/>
      <c r="HV62" s="105">
        <v>1</v>
      </c>
      <c r="HW62" s="41"/>
      <c r="HX62" s="41"/>
      <c r="HY62" s="691"/>
      <c r="HZ62" s="691"/>
      <c r="IA62" s="691"/>
      <c r="IB62" s="702" t="s">
        <v>15</v>
      </c>
      <c r="IC62" s="702">
        <v>0</v>
      </c>
      <c r="ID62" s="702">
        <v>0</v>
      </c>
      <c r="IE62" s="702">
        <v>0</v>
      </c>
      <c r="IF62" s="702">
        <v>0</v>
      </c>
      <c r="IG62" s="702">
        <v>0</v>
      </c>
      <c r="IH62" s="702">
        <v>0</v>
      </c>
      <c r="II62" s="702">
        <v>0</v>
      </c>
      <c r="IJ62" s="702">
        <v>0</v>
      </c>
      <c r="IK62" s="702">
        <v>0</v>
      </c>
      <c r="IL62" s="702">
        <v>0</v>
      </c>
      <c r="IM62" s="702">
        <v>0</v>
      </c>
      <c r="IN62" s="702">
        <v>0</v>
      </c>
      <c r="IO62" s="702">
        <v>0</v>
      </c>
      <c r="IP62" s="702">
        <v>0</v>
      </c>
      <c r="IQ62" s="702">
        <v>1</v>
      </c>
      <c r="IR62" s="702">
        <v>0</v>
      </c>
      <c r="IS62" s="702">
        <v>1</v>
      </c>
      <c r="IT62" s="703">
        <f>0/IS62</f>
        <v>0</v>
      </c>
      <c r="IU62" s="692">
        <v>0</v>
      </c>
    </row>
    <row r="63" spans="1:255">
      <c r="D63" s="4800" t="s">
        <v>1344</v>
      </c>
      <c r="E63" s="4606"/>
      <c r="F63" s="4606"/>
      <c r="G63" s="4606"/>
      <c r="H63" s="4606"/>
      <c r="I63" s="4606"/>
      <c r="J63" s="4606"/>
      <c r="K63" s="4606"/>
      <c r="L63" s="4606"/>
      <c r="M63" s="4606">
        <v>0</v>
      </c>
      <c r="N63" s="4606"/>
      <c r="O63" s="4606"/>
      <c r="P63" s="4606">
        <v>1</v>
      </c>
      <c r="Q63" s="4606">
        <v>1</v>
      </c>
      <c r="R63" s="4606">
        <v>0</v>
      </c>
      <c r="S63" s="2552"/>
      <c r="T63" s="2552">
        <v>0</v>
      </c>
      <c r="U63" s="2552">
        <v>2</v>
      </c>
      <c r="V63" s="2552"/>
      <c r="AA63" s="1793" t="s">
        <v>15</v>
      </c>
      <c r="AB63" s="4804"/>
      <c r="AC63" s="4804"/>
      <c r="AD63" s="4804"/>
      <c r="AE63" s="4804"/>
      <c r="AF63" s="4804"/>
      <c r="AG63" s="4804"/>
      <c r="AH63" s="4804"/>
      <c r="AI63" s="4804"/>
      <c r="AJ63" s="4804">
        <v>2</v>
      </c>
      <c r="AK63" s="4804"/>
      <c r="AL63" s="4804"/>
      <c r="AM63" s="4804">
        <v>2</v>
      </c>
      <c r="AN63" s="4804">
        <v>5</v>
      </c>
      <c r="AO63" s="4804">
        <v>1</v>
      </c>
      <c r="AP63" s="4702">
        <v>1</v>
      </c>
      <c r="AQ63" s="4702">
        <v>11</v>
      </c>
      <c r="AR63" s="4703">
        <f>+(AQ60+AQ62)/AQ63</f>
        <v>0.27272727272727271</v>
      </c>
      <c r="AT63" s="41"/>
      <c r="AU63" s="41"/>
      <c r="AV63" s="461"/>
      <c r="AW63" s="461" t="s">
        <v>1344</v>
      </c>
      <c r="AX63" s="2489">
        <v>0</v>
      </c>
      <c r="AY63" s="2489"/>
      <c r="AZ63" s="2489"/>
      <c r="BA63" s="2489"/>
      <c r="BB63" s="2489">
        <v>0</v>
      </c>
      <c r="BC63" s="2489"/>
      <c r="BD63" s="2489">
        <v>0</v>
      </c>
      <c r="BE63" s="2489">
        <v>0</v>
      </c>
      <c r="BF63" s="2489">
        <v>0</v>
      </c>
      <c r="BG63" s="2489">
        <v>3</v>
      </c>
      <c r="BH63" s="2489">
        <v>1</v>
      </c>
      <c r="BI63" s="2489">
        <v>1</v>
      </c>
      <c r="BJ63" s="2489">
        <v>1</v>
      </c>
      <c r="BK63" s="2489">
        <v>0</v>
      </c>
      <c r="BL63" s="2489">
        <v>0</v>
      </c>
      <c r="BM63" s="461"/>
      <c r="BN63" s="461">
        <v>0</v>
      </c>
      <c r="BO63" s="461">
        <v>6</v>
      </c>
      <c r="BP63" s="41"/>
      <c r="BR63" s="41"/>
      <c r="BS63" s="41"/>
      <c r="BT63" s="41"/>
      <c r="BU63" s="461" t="s">
        <v>15</v>
      </c>
      <c r="BV63" s="2002"/>
      <c r="BW63" s="2002"/>
      <c r="BX63" s="2002"/>
      <c r="BY63" s="2002"/>
      <c r="BZ63" s="2002"/>
      <c r="CA63" s="2002"/>
      <c r="CB63" s="2002"/>
      <c r="CC63" s="2002"/>
      <c r="CD63" s="2002"/>
      <c r="CE63" s="2002"/>
      <c r="CF63" s="2002"/>
      <c r="CG63" s="2002"/>
      <c r="CH63" s="2002">
        <v>1</v>
      </c>
      <c r="CI63" s="2002">
        <v>1</v>
      </c>
      <c r="CJ63" s="2002">
        <v>3</v>
      </c>
      <c r="CK63" s="96">
        <v>1</v>
      </c>
      <c r="CL63" s="96"/>
      <c r="CM63" s="96">
        <v>6</v>
      </c>
      <c r="CN63" s="635">
        <f>+(CM60-CK60+CM62)/CM63</f>
        <v>0.33333333333333331</v>
      </c>
      <c r="CR63" s="41"/>
      <c r="CS63" s="461" t="s">
        <v>15</v>
      </c>
      <c r="CT63" s="1666"/>
      <c r="CU63" s="1666"/>
      <c r="CV63" s="1666"/>
      <c r="CW63" s="1666"/>
      <c r="CX63" s="1666"/>
      <c r="CY63" s="1666"/>
      <c r="CZ63" s="1666"/>
      <c r="DA63" s="1666"/>
      <c r="DB63" s="1666"/>
      <c r="DC63" s="1666"/>
      <c r="DD63" s="1666"/>
      <c r="DE63" s="1666"/>
      <c r="DF63" s="1666"/>
      <c r="DG63" s="1666"/>
      <c r="DH63" s="1666">
        <v>1</v>
      </c>
      <c r="DI63" s="461">
        <v>3</v>
      </c>
      <c r="DJ63" s="461"/>
      <c r="DK63" s="461">
        <v>4</v>
      </c>
      <c r="DL63" s="635">
        <v>0</v>
      </c>
      <c r="DN63" s="1375"/>
      <c r="DO63" s="1375"/>
      <c r="DP63" s="1375"/>
      <c r="DQ63" s="1376" t="s">
        <v>1344</v>
      </c>
      <c r="DR63" s="1377"/>
      <c r="DS63" s="1378">
        <v>0</v>
      </c>
      <c r="DT63" s="1378">
        <v>0</v>
      </c>
      <c r="DU63" s="1377"/>
      <c r="DV63" s="1378">
        <v>0</v>
      </c>
      <c r="DW63" s="1378">
        <v>0</v>
      </c>
      <c r="DX63" s="1377"/>
      <c r="DY63" s="1378">
        <v>0</v>
      </c>
      <c r="DZ63" s="1378">
        <v>0</v>
      </c>
      <c r="EA63" s="1377"/>
      <c r="EB63" s="1378">
        <v>2</v>
      </c>
      <c r="EC63" s="1378">
        <v>1</v>
      </c>
      <c r="ED63" s="1378">
        <v>0</v>
      </c>
      <c r="EE63" s="1380">
        <v>0</v>
      </c>
      <c r="EF63" s="1380">
        <v>0</v>
      </c>
      <c r="EG63" s="1380">
        <v>3</v>
      </c>
      <c r="EH63" s="41"/>
      <c r="EJ63" s="678"/>
      <c r="EK63" s="678"/>
      <c r="EL63" s="678" t="s">
        <v>544</v>
      </c>
      <c r="EM63" s="679" t="s">
        <v>1230</v>
      </c>
      <c r="EN63" s="680"/>
      <c r="EO63" s="681">
        <v>0</v>
      </c>
      <c r="EP63" s="680"/>
      <c r="EQ63" s="680"/>
      <c r="ER63" s="680"/>
      <c r="ES63" s="681">
        <v>0</v>
      </c>
      <c r="ET63" s="680"/>
      <c r="EU63" s="681">
        <v>0</v>
      </c>
      <c r="EV63" s="680"/>
      <c r="EW63" s="680"/>
      <c r="EX63" s="680"/>
      <c r="EY63" s="681">
        <v>0</v>
      </c>
      <c r="EZ63" s="681">
        <v>1</v>
      </c>
      <c r="FA63" s="681">
        <v>0</v>
      </c>
      <c r="FB63" s="681">
        <v>0</v>
      </c>
      <c r="FC63" s="683">
        <v>0</v>
      </c>
      <c r="FD63" s="683">
        <v>0</v>
      </c>
      <c r="FE63" s="683">
        <v>1</v>
      </c>
      <c r="FF63" s="105"/>
      <c r="FH63" s="511"/>
      <c r="FI63" s="511"/>
      <c r="FJ63" s="511"/>
      <c r="FK63" s="511"/>
      <c r="FL63" s="512" t="s">
        <v>1239</v>
      </c>
      <c r="FM63" s="684"/>
      <c r="FN63" s="684"/>
      <c r="FO63" s="684"/>
      <c r="FP63" s="684"/>
      <c r="FQ63" s="684"/>
      <c r="FR63" s="684"/>
      <c r="FS63" s="684"/>
      <c r="FT63" s="684"/>
      <c r="FU63" s="685">
        <v>0</v>
      </c>
      <c r="FV63" s="684"/>
      <c r="FW63" s="684"/>
      <c r="FX63" s="684"/>
      <c r="FY63" s="684"/>
      <c r="FZ63" s="685">
        <v>0</v>
      </c>
      <c r="GA63" s="684"/>
      <c r="GB63" s="687">
        <v>2</v>
      </c>
      <c r="GC63" s="687">
        <v>1</v>
      </c>
      <c r="GD63" s="687">
        <v>3</v>
      </c>
      <c r="GE63" s="635"/>
      <c r="GF63" s="41"/>
      <c r="GG63" s="688"/>
      <c r="GH63" s="688"/>
      <c r="GI63" s="688"/>
      <c r="GJ63" s="457" t="s">
        <v>1235</v>
      </c>
      <c r="GK63" s="458">
        <v>0</v>
      </c>
      <c r="GL63" s="458">
        <v>0</v>
      </c>
      <c r="GM63" s="458">
        <v>0</v>
      </c>
      <c r="GN63" s="689"/>
      <c r="GO63" s="689"/>
      <c r="GP63" s="689"/>
      <c r="GQ63" s="458">
        <v>1</v>
      </c>
      <c r="GR63" s="458">
        <v>1</v>
      </c>
      <c r="GS63" s="458">
        <v>9</v>
      </c>
      <c r="GT63" s="458">
        <v>2</v>
      </c>
      <c r="GU63" s="689"/>
      <c r="GV63" s="689"/>
      <c r="GW63" s="689"/>
      <c r="GX63" s="458">
        <v>13</v>
      </c>
      <c r="GY63" s="690"/>
      <c r="GZ63" s="41"/>
      <c r="HA63" s="41"/>
      <c r="HB63" s="105"/>
      <c r="HC63" s="105"/>
      <c r="HD63" s="41"/>
      <c r="HE63" s="461" t="s">
        <v>15</v>
      </c>
      <c r="HF63" s="96"/>
      <c r="HG63" s="96"/>
      <c r="HH63" s="96"/>
      <c r="HI63" s="96"/>
      <c r="HJ63" s="96"/>
      <c r="HK63" s="96"/>
      <c r="HL63" s="96"/>
      <c r="HM63" s="96"/>
      <c r="HN63" s="96">
        <v>1</v>
      </c>
      <c r="HO63" s="96">
        <v>1</v>
      </c>
      <c r="HP63" s="96">
        <v>2</v>
      </c>
      <c r="HQ63" s="96">
        <v>1</v>
      </c>
      <c r="HR63" s="96"/>
      <c r="HS63" s="96">
        <v>5</v>
      </c>
      <c r="HT63" s="96"/>
      <c r="HU63" s="96"/>
      <c r="HV63" s="96">
        <v>10</v>
      </c>
      <c r="HW63" s="706">
        <f>+(HV60+HV62)/HV63</f>
        <v>0.2</v>
      </c>
      <c r="HX63" s="41"/>
      <c r="HY63" s="691"/>
      <c r="HZ63" s="691" t="s">
        <v>41</v>
      </c>
      <c r="IA63" s="691" t="s">
        <v>129</v>
      </c>
      <c r="IB63" s="691" t="s">
        <v>1231</v>
      </c>
      <c r="IC63" s="691">
        <v>1</v>
      </c>
      <c r="ID63" s="691">
        <v>0</v>
      </c>
      <c r="IE63" s="691">
        <v>0</v>
      </c>
      <c r="IF63" s="691">
        <v>0</v>
      </c>
      <c r="IG63" s="691">
        <v>0</v>
      </c>
      <c r="IH63" s="691">
        <v>0</v>
      </c>
      <c r="II63" s="691">
        <v>0</v>
      </c>
      <c r="IJ63" s="691">
        <v>0</v>
      </c>
      <c r="IK63" s="691">
        <v>0</v>
      </c>
      <c r="IL63" s="691">
        <v>0</v>
      </c>
      <c r="IM63" s="691">
        <v>0</v>
      </c>
      <c r="IN63" s="691">
        <v>0</v>
      </c>
      <c r="IO63" s="691">
        <v>0</v>
      </c>
      <c r="IP63" s="691">
        <v>0</v>
      </c>
      <c r="IQ63" s="691">
        <v>0</v>
      </c>
      <c r="IR63" s="691">
        <v>0</v>
      </c>
      <c r="IS63" s="691">
        <v>1</v>
      </c>
      <c r="IT63" s="691"/>
      <c r="IU63" s="692"/>
    </row>
    <row r="64" spans="1:255">
      <c r="D64" s="4800" t="s">
        <v>15</v>
      </c>
      <c r="E64" s="4606"/>
      <c r="F64" s="4606"/>
      <c r="G64" s="4606"/>
      <c r="H64" s="4606"/>
      <c r="I64" s="4606"/>
      <c r="J64" s="4606"/>
      <c r="K64" s="4606"/>
      <c r="L64" s="4606"/>
      <c r="M64" s="4606">
        <v>2</v>
      </c>
      <c r="N64" s="4606"/>
      <c r="O64" s="4606"/>
      <c r="P64" s="4606">
        <v>2</v>
      </c>
      <c r="Q64" s="4606">
        <v>4</v>
      </c>
      <c r="R64" s="4606">
        <v>2</v>
      </c>
      <c r="S64" s="2552"/>
      <c r="T64" s="2552">
        <v>1</v>
      </c>
      <c r="U64" s="2552">
        <v>11</v>
      </c>
      <c r="V64" s="1977">
        <f>+(U61+U63)/(U64)</f>
        <v>0.27272727272727271</v>
      </c>
      <c r="Z64" s="37" t="s">
        <v>121</v>
      </c>
      <c r="AA64" s="37" t="s">
        <v>1230</v>
      </c>
      <c r="AB64" s="4803"/>
      <c r="AC64" s="4803"/>
      <c r="AD64" s="4803"/>
      <c r="AE64" s="4803"/>
      <c r="AF64" s="4803"/>
      <c r="AG64" s="4803"/>
      <c r="AH64" s="4803"/>
      <c r="AI64" s="4803"/>
      <c r="AJ64" s="4803"/>
      <c r="AK64" s="4803"/>
      <c r="AL64" s="4803"/>
      <c r="AM64" s="4803">
        <v>1</v>
      </c>
      <c r="AN64" s="4803">
        <v>2</v>
      </c>
      <c r="AO64" s="4803">
        <v>0</v>
      </c>
      <c r="AP64" s="1788">
        <v>0</v>
      </c>
      <c r="AQ64" s="1788">
        <v>3</v>
      </c>
      <c r="AT64" s="41"/>
      <c r="AU64" s="41"/>
      <c r="AV64" s="461"/>
      <c r="AW64" s="461" t="s">
        <v>106</v>
      </c>
      <c r="AX64" s="2489">
        <v>1</v>
      </c>
      <c r="AY64" s="2489"/>
      <c r="AZ64" s="2489"/>
      <c r="BA64" s="2489"/>
      <c r="BB64" s="2489">
        <v>2</v>
      </c>
      <c r="BC64" s="2489"/>
      <c r="BD64" s="2489">
        <v>1</v>
      </c>
      <c r="BE64" s="2489">
        <v>2</v>
      </c>
      <c r="BF64" s="2489">
        <v>1</v>
      </c>
      <c r="BG64" s="2489">
        <v>18</v>
      </c>
      <c r="BH64" s="2489">
        <v>5</v>
      </c>
      <c r="BI64" s="2489">
        <v>8</v>
      </c>
      <c r="BJ64" s="2489">
        <v>2</v>
      </c>
      <c r="BK64" s="2489">
        <v>9</v>
      </c>
      <c r="BL64" s="2489">
        <v>13</v>
      </c>
      <c r="BM64" s="461"/>
      <c r="BN64" s="461">
        <v>1</v>
      </c>
      <c r="BO64" s="461">
        <v>63</v>
      </c>
      <c r="BP64" s="635">
        <f>+(BO63+BO62+BO60)/BO64</f>
        <v>0.25396825396825395</v>
      </c>
      <c r="BQ64" s="1977"/>
      <c r="BR64" s="41"/>
      <c r="BS64" s="41"/>
      <c r="BT64" s="41" t="s">
        <v>417</v>
      </c>
      <c r="BU64" s="41" t="s">
        <v>1231</v>
      </c>
      <c r="BV64" s="2001"/>
      <c r="BW64" s="2001"/>
      <c r="BX64" s="2001"/>
      <c r="BY64" s="2001"/>
      <c r="BZ64" s="2001">
        <v>2</v>
      </c>
      <c r="CA64" s="2001"/>
      <c r="CB64" s="2001"/>
      <c r="CC64" s="2001"/>
      <c r="CD64" s="2001"/>
      <c r="CE64" s="2001"/>
      <c r="CF64" s="2001"/>
      <c r="CG64" s="2001">
        <v>1</v>
      </c>
      <c r="CH64" s="2001">
        <v>0</v>
      </c>
      <c r="CI64" s="2001"/>
      <c r="CJ64" s="2001">
        <v>0</v>
      </c>
      <c r="CK64" s="105">
        <v>0</v>
      </c>
      <c r="CL64" s="105"/>
      <c r="CM64" s="105">
        <v>3</v>
      </c>
      <c r="CN64" s="41"/>
      <c r="CR64" s="41" t="s">
        <v>417</v>
      </c>
      <c r="CS64" s="41" t="s">
        <v>1231</v>
      </c>
      <c r="CT64" s="1665"/>
      <c r="CU64" s="1665"/>
      <c r="CV64" s="1665"/>
      <c r="CW64" s="1665"/>
      <c r="CX64" s="1665"/>
      <c r="CY64" s="1665">
        <v>1</v>
      </c>
      <c r="CZ64" s="1665"/>
      <c r="DA64" s="1665">
        <v>1</v>
      </c>
      <c r="DB64" s="1665"/>
      <c r="DC64" s="1665"/>
      <c r="DD64" s="1665"/>
      <c r="DE64" s="1665"/>
      <c r="DF64" s="1665">
        <v>2</v>
      </c>
      <c r="DG64" s="1665">
        <v>0</v>
      </c>
      <c r="DH64" s="1665">
        <v>0</v>
      </c>
      <c r="DI64" s="41">
        <v>0</v>
      </c>
      <c r="DJ64" s="41">
        <v>0</v>
      </c>
      <c r="DK64" s="41">
        <v>4</v>
      </c>
      <c r="DL64" s="41"/>
      <c r="DN64" s="1375"/>
      <c r="DO64" s="1375"/>
      <c r="DP64" s="1375"/>
      <c r="DQ64" s="1372" t="s">
        <v>544</v>
      </c>
      <c r="DR64" s="1381"/>
      <c r="DS64" s="1382">
        <v>3</v>
      </c>
      <c r="DT64" s="1382">
        <v>1</v>
      </c>
      <c r="DU64" s="1381"/>
      <c r="DV64" s="1382">
        <v>2</v>
      </c>
      <c r="DW64" s="1382">
        <v>1</v>
      </c>
      <c r="DX64" s="1381"/>
      <c r="DY64" s="1382">
        <v>1</v>
      </c>
      <c r="DZ64" s="1382">
        <v>1</v>
      </c>
      <c r="EA64" s="1381"/>
      <c r="EB64" s="1382">
        <v>3</v>
      </c>
      <c r="EC64" s="1382">
        <v>4</v>
      </c>
      <c r="ED64" s="1382">
        <v>21</v>
      </c>
      <c r="EE64" s="1384">
        <v>4</v>
      </c>
      <c r="EF64" s="1384">
        <v>10</v>
      </c>
      <c r="EG64" s="1384">
        <v>51</v>
      </c>
      <c r="EH64" s="1325">
        <f>+(EG60-EE60+EG63)/EG64</f>
        <v>7.8431372549019607E-2</v>
      </c>
      <c r="EJ64" s="678"/>
      <c r="EK64" s="678"/>
      <c r="EL64" s="678"/>
      <c r="EM64" s="679" t="s">
        <v>1231</v>
      </c>
      <c r="EN64" s="680"/>
      <c r="EO64" s="681">
        <v>1</v>
      </c>
      <c r="EP64" s="680"/>
      <c r="EQ64" s="680"/>
      <c r="ER64" s="680"/>
      <c r="ES64" s="681">
        <v>1</v>
      </c>
      <c r="ET64" s="680"/>
      <c r="EU64" s="681">
        <v>1</v>
      </c>
      <c r="EV64" s="680"/>
      <c r="EW64" s="680"/>
      <c r="EX64" s="680"/>
      <c r="EY64" s="681">
        <v>1</v>
      </c>
      <c r="EZ64" s="681">
        <v>1</v>
      </c>
      <c r="FA64" s="681">
        <v>3</v>
      </c>
      <c r="FB64" s="681">
        <v>1</v>
      </c>
      <c r="FC64" s="683">
        <v>0</v>
      </c>
      <c r="FD64" s="683">
        <v>0</v>
      </c>
      <c r="FE64" s="683">
        <v>9</v>
      </c>
      <c r="FF64" s="105"/>
      <c r="FH64" s="511"/>
      <c r="FI64" s="511"/>
      <c r="FJ64" s="532"/>
      <c r="FK64" s="41"/>
      <c r="FL64" s="532" t="s">
        <v>15</v>
      </c>
      <c r="FM64" s="693"/>
      <c r="FN64" s="693"/>
      <c r="FO64" s="693"/>
      <c r="FP64" s="693"/>
      <c r="FQ64" s="693"/>
      <c r="FR64" s="693"/>
      <c r="FS64" s="693"/>
      <c r="FT64" s="693"/>
      <c r="FU64" s="694">
        <v>1</v>
      </c>
      <c r="FV64" s="693"/>
      <c r="FW64" s="693"/>
      <c r="FX64" s="693"/>
      <c r="FY64" s="693"/>
      <c r="FZ64" s="694">
        <v>2</v>
      </c>
      <c r="GA64" s="693"/>
      <c r="GB64" s="696">
        <v>2</v>
      </c>
      <c r="GC64" s="696">
        <v>1</v>
      </c>
      <c r="GD64" s="696">
        <v>6</v>
      </c>
      <c r="GE64" s="635">
        <v>0</v>
      </c>
      <c r="GF64" s="41"/>
      <c r="GG64" s="688"/>
      <c r="GH64" s="688"/>
      <c r="GI64" s="688"/>
      <c r="GJ64" s="457" t="s">
        <v>1344</v>
      </c>
      <c r="GK64" s="458">
        <v>0</v>
      </c>
      <c r="GL64" s="458">
        <v>0</v>
      </c>
      <c r="GM64" s="458">
        <v>0</v>
      </c>
      <c r="GN64" s="689"/>
      <c r="GO64" s="689"/>
      <c r="GP64" s="689"/>
      <c r="GQ64" s="458">
        <v>1</v>
      </c>
      <c r="GR64" s="458">
        <v>0</v>
      </c>
      <c r="GS64" s="458">
        <v>3</v>
      </c>
      <c r="GT64" s="458">
        <v>0</v>
      </c>
      <c r="GU64" s="689"/>
      <c r="GV64" s="689"/>
      <c r="GW64" s="689"/>
      <c r="GX64" s="458">
        <v>4</v>
      </c>
      <c r="GY64" s="690"/>
      <c r="GZ64" s="41"/>
      <c r="HA64" s="41"/>
      <c r="HB64" s="105"/>
      <c r="HC64" s="105"/>
      <c r="HD64" s="41" t="s">
        <v>126</v>
      </c>
      <c r="HE64" s="41" t="s">
        <v>1231</v>
      </c>
      <c r="HF64" s="105"/>
      <c r="HG64" s="105">
        <v>0</v>
      </c>
      <c r="HH64" s="105">
        <v>0</v>
      </c>
      <c r="HI64" s="105"/>
      <c r="HJ64" s="105">
        <v>0</v>
      </c>
      <c r="HK64" s="105"/>
      <c r="HL64" s="105"/>
      <c r="HM64" s="105"/>
      <c r="HN64" s="105"/>
      <c r="HO64" s="105">
        <v>0</v>
      </c>
      <c r="HP64" s="105">
        <v>0</v>
      </c>
      <c r="HQ64" s="105">
        <v>1</v>
      </c>
      <c r="HR64" s="105">
        <v>0</v>
      </c>
      <c r="HS64" s="105"/>
      <c r="HT64" s="105"/>
      <c r="HU64" s="105"/>
      <c r="HV64" s="105">
        <v>1</v>
      </c>
      <c r="HW64" s="41"/>
      <c r="HX64" s="41"/>
      <c r="HY64" s="691"/>
      <c r="HZ64" s="691"/>
      <c r="IA64" s="691"/>
      <c r="IB64" s="691" t="s">
        <v>1235</v>
      </c>
      <c r="IC64" s="691">
        <v>0</v>
      </c>
      <c r="ID64" s="691">
        <v>0</v>
      </c>
      <c r="IE64" s="691">
        <v>0</v>
      </c>
      <c r="IF64" s="691">
        <v>0</v>
      </c>
      <c r="IG64" s="691">
        <v>0</v>
      </c>
      <c r="IH64" s="691">
        <v>0</v>
      </c>
      <c r="II64" s="691">
        <v>0</v>
      </c>
      <c r="IJ64" s="691">
        <v>0</v>
      </c>
      <c r="IK64" s="691">
        <v>0</v>
      </c>
      <c r="IL64" s="691">
        <v>0</v>
      </c>
      <c r="IM64" s="691">
        <v>1</v>
      </c>
      <c r="IN64" s="691">
        <v>0</v>
      </c>
      <c r="IO64" s="691">
        <v>2</v>
      </c>
      <c r="IP64" s="691">
        <v>0</v>
      </c>
      <c r="IQ64" s="691">
        <v>0</v>
      </c>
      <c r="IR64" s="691">
        <v>0</v>
      </c>
      <c r="IS64" s="691">
        <v>3</v>
      </c>
      <c r="IT64" s="691"/>
      <c r="IU64" s="692"/>
    </row>
    <row r="65" spans="3:255">
      <c r="C65" s="4800" t="s">
        <v>121</v>
      </c>
      <c r="D65" s="4800" t="s">
        <v>1230</v>
      </c>
      <c r="E65" s="4606"/>
      <c r="F65" s="4606"/>
      <c r="G65" s="4606"/>
      <c r="H65" s="4606"/>
      <c r="I65" s="4606"/>
      <c r="J65" s="4606"/>
      <c r="K65" s="4606"/>
      <c r="L65" s="4606"/>
      <c r="M65" s="4606"/>
      <c r="N65" s="4606"/>
      <c r="O65" s="4606"/>
      <c r="P65" s="4606">
        <v>0</v>
      </c>
      <c r="Q65" s="4606">
        <v>1</v>
      </c>
      <c r="R65" s="4606">
        <v>1</v>
      </c>
      <c r="S65" s="2552">
        <v>0</v>
      </c>
      <c r="T65" s="2552"/>
      <c r="U65" s="2552">
        <v>2</v>
      </c>
      <c r="V65" s="2552"/>
      <c r="AA65" s="37" t="s">
        <v>1231</v>
      </c>
      <c r="AB65" s="4803"/>
      <c r="AC65" s="4803"/>
      <c r="AD65" s="4803"/>
      <c r="AE65" s="4803"/>
      <c r="AF65" s="4803"/>
      <c r="AG65" s="4803"/>
      <c r="AH65" s="4803"/>
      <c r="AI65" s="4803"/>
      <c r="AJ65" s="4803"/>
      <c r="AK65" s="4803"/>
      <c r="AL65" s="4803"/>
      <c r="AM65" s="4803">
        <v>1</v>
      </c>
      <c r="AN65" s="4803">
        <v>0</v>
      </c>
      <c r="AO65" s="4803">
        <v>0</v>
      </c>
      <c r="AP65" s="1788">
        <v>0</v>
      </c>
      <c r="AQ65" s="1788">
        <v>1</v>
      </c>
      <c r="AT65" s="41" t="s">
        <v>25</v>
      </c>
      <c r="AU65" s="41" t="s">
        <v>4</v>
      </c>
      <c r="AV65" s="41" t="s">
        <v>120</v>
      </c>
      <c r="AW65" s="41" t="s">
        <v>1231</v>
      </c>
      <c r="AX65" s="690">
        <v>1</v>
      </c>
      <c r="AY65" s="690"/>
      <c r="AZ65" s="690"/>
      <c r="BA65" s="690">
        <v>1</v>
      </c>
      <c r="BB65" s="690"/>
      <c r="BC65" s="690"/>
      <c r="BD65" s="690"/>
      <c r="BE65" s="690"/>
      <c r="BF65" s="690"/>
      <c r="BG65" s="690"/>
      <c r="BH65" s="690"/>
      <c r="BI65" s="690"/>
      <c r="BJ65" s="690"/>
      <c r="BK65" s="690">
        <v>0</v>
      </c>
      <c r="BL65" s="690">
        <v>0</v>
      </c>
      <c r="BM65" s="41">
        <v>0</v>
      </c>
      <c r="BN65" s="41"/>
      <c r="BO65" s="41">
        <v>2</v>
      </c>
      <c r="BP65" s="41"/>
      <c r="BR65" s="41"/>
      <c r="BS65" s="41"/>
      <c r="BT65" s="41"/>
      <c r="BU65" s="41" t="s">
        <v>1235</v>
      </c>
      <c r="BV65" s="2001"/>
      <c r="BW65" s="2001"/>
      <c r="BX65" s="2001"/>
      <c r="BY65" s="2001"/>
      <c r="BZ65" s="2001">
        <v>0</v>
      </c>
      <c r="CA65" s="2001"/>
      <c r="CB65" s="2001"/>
      <c r="CC65" s="2001"/>
      <c r="CD65" s="2001"/>
      <c r="CE65" s="2001"/>
      <c r="CF65" s="2001"/>
      <c r="CG65" s="2001">
        <v>0</v>
      </c>
      <c r="CH65" s="2001">
        <v>1</v>
      </c>
      <c r="CI65" s="2001"/>
      <c r="CJ65" s="2001">
        <v>0</v>
      </c>
      <c r="CK65" s="105">
        <v>0</v>
      </c>
      <c r="CL65" s="105"/>
      <c r="CM65" s="105">
        <v>1</v>
      </c>
      <c r="CN65" s="41"/>
      <c r="CR65" s="41"/>
      <c r="CS65" s="41" t="s">
        <v>1239</v>
      </c>
      <c r="CT65" s="1665"/>
      <c r="CU65" s="1665"/>
      <c r="CV65" s="1665"/>
      <c r="CW65" s="1665"/>
      <c r="CX65" s="1665"/>
      <c r="CY65" s="1665">
        <v>0</v>
      </c>
      <c r="CZ65" s="1665"/>
      <c r="DA65" s="1665">
        <v>0</v>
      </c>
      <c r="DB65" s="1665"/>
      <c r="DC65" s="1665"/>
      <c r="DD65" s="1665"/>
      <c r="DE65" s="1665"/>
      <c r="DF65" s="1665">
        <v>0</v>
      </c>
      <c r="DG65" s="1665">
        <v>0</v>
      </c>
      <c r="DH65" s="1665">
        <v>2</v>
      </c>
      <c r="DI65" s="41">
        <v>2</v>
      </c>
      <c r="DJ65" s="41">
        <v>1</v>
      </c>
      <c r="DK65" s="41">
        <v>5</v>
      </c>
      <c r="DL65" s="41"/>
      <c r="DN65" s="1375"/>
      <c r="DO65" s="1375" t="s">
        <v>16</v>
      </c>
      <c r="DP65" s="1375" t="s">
        <v>107</v>
      </c>
      <c r="DQ65" s="1376" t="s">
        <v>1231</v>
      </c>
      <c r="DR65" s="1377"/>
      <c r="DS65" s="1377"/>
      <c r="DT65" s="1377"/>
      <c r="DU65" s="1377"/>
      <c r="DV65" s="1377"/>
      <c r="DW65" s="1377"/>
      <c r="DX65" s="1377"/>
      <c r="DY65" s="1377"/>
      <c r="DZ65" s="1377"/>
      <c r="EA65" s="1377"/>
      <c r="EB65" s="1377"/>
      <c r="EC65" s="1378">
        <v>1</v>
      </c>
      <c r="ED65" s="1378">
        <v>0</v>
      </c>
      <c r="EE65" s="1379"/>
      <c r="EF65" s="1379"/>
      <c r="EG65" s="1380">
        <v>1</v>
      </c>
      <c r="EH65" s="41"/>
      <c r="EJ65" s="678"/>
      <c r="EK65" s="678"/>
      <c r="EL65" s="678"/>
      <c r="EM65" s="679" t="s">
        <v>1235</v>
      </c>
      <c r="EN65" s="680"/>
      <c r="EO65" s="681">
        <v>0</v>
      </c>
      <c r="EP65" s="680"/>
      <c r="EQ65" s="680"/>
      <c r="ER65" s="680"/>
      <c r="ES65" s="681">
        <v>0</v>
      </c>
      <c r="ET65" s="680"/>
      <c r="EU65" s="681">
        <v>0</v>
      </c>
      <c r="EV65" s="680"/>
      <c r="EW65" s="680"/>
      <c r="EX65" s="680"/>
      <c r="EY65" s="681">
        <v>0</v>
      </c>
      <c r="EZ65" s="681">
        <v>1</v>
      </c>
      <c r="FA65" s="681">
        <v>0</v>
      </c>
      <c r="FB65" s="681">
        <v>1</v>
      </c>
      <c r="FC65" s="683">
        <v>0</v>
      </c>
      <c r="FD65" s="683">
        <v>0</v>
      </c>
      <c r="FE65" s="683">
        <v>2</v>
      </c>
      <c r="FF65" s="105"/>
      <c r="FH65" s="511"/>
      <c r="FI65" s="511"/>
      <c r="FJ65" s="532" t="s">
        <v>544</v>
      </c>
      <c r="FK65" s="511" t="s">
        <v>1229</v>
      </c>
      <c r="FL65" s="512" t="s">
        <v>1230</v>
      </c>
      <c r="FM65" s="684"/>
      <c r="FN65" s="684"/>
      <c r="FO65" s="684"/>
      <c r="FP65" s="685">
        <v>0</v>
      </c>
      <c r="FQ65" s="684"/>
      <c r="FR65" s="684"/>
      <c r="FS65" s="684"/>
      <c r="FT65" s="685">
        <v>0</v>
      </c>
      <c r="FU65" s="685">
        <v>0</v>
      </c>
      <c r="FV65" s="684"/>
      <c r="FW65" s="685">
        <v>0</v>
      </c>
      <c r="FX65" s="685">
        <v>0</v>
      </c>
      <c r="FY65" s="685">
        <v>0</v>
      </c>
      <c r="FZ65" s="685">
        <v>0</v>
      </c>
      <c r="GA65" s="685">
        <v>3</v>
      </c>
      <c r="GB65" s="687">
        <v>1</v>
      </c>
      <c r="GC65" s="687">
        <v>0</v>
      </c>
      <c r="GD65" s="687">
        <v>4</v>
      </c>
      <c r="GE65" s="635"/>
      <c r="GF65" s="41"/>
      <c r="GG65" s="688"/>
      <c r="GH65" s="688"/>
      <c r="GI65" s="688"/>
      <c r="GJ65" s="704" t="s">
        <v>15</v>
      </c>
      <c r="GK65" s="463">
        <v>1</v>
      </c>
      <c r="GL65" s="463">
        <v>1</v>
      </c>
      <c r="GM65" s="463">
        <v>1</v>
      </c>
      <c r="GN65" s="705"/>
      <c r="GO65" s="705"/>
      <c r="GP65" s="705"/>
      <c r="GQ65" s="463">
        <v>2</v>
      </c>
      <c r="GR65" s="463">
        <v>1</v>
      </c>
      <c r="GS65" s="463">
        <v>13</v>
      </c>
      <c r="GT65" s="463">
        <v>3</v>
      </c>
      <c r="GU65" s="705"/>
      <c r="GV65" s="705"/>
      <c r="GW65" s="705"/>
      <c r="GX65" s="463">
        <v>22</v>
      </c>
      <c r="GY65" s="628">
        <f>+(GX64+GX63)/GX65</f>
        <v>0.77272727272727271</v>
      </c>
      <c r="GZ65" s="41"/>
      <c r="HA65" s="41"/>
      <c r="HB65" s="105"/>
      <c r="HC65" s="105"/>
      <c r="HD65" s="41"/>
      <c r="HE65" s="41" t="s">
        <v>1233</v>
      </c>
      <c r="HF65" s="105"/>
      <c r="HG65" s="105">
        <v>1</v>
      </c>
      <c r="HH65" s="105">
        <v>0</v>
      </c>
      <c r="HI65" s="105"/>
      <c r="HJ65" s="105">
        <v>1</v>
      </c>
      <c r="HK65" s="105"/>
      <c r="HL65" s="105"/>
      <c r="HM65" s="105"/>
      <c r="HN65" s="105"/>
      <c r="HO65" s="105">
        <v>0</v>
      </c>
      <c r="HP65" s="105">
        <v>0</v>
      </c>
      <c r="HQ65" s="105">
        <v>0</v>
      </c>
      <c r="HR65" s="105">
        <v>0</v>
      </c>
      <c r="HS65" s="105"/>
      <c r="HT65" s="105"/>
      <c r="HU65" s="105"/>
      <c r="HV65" s="105">
        <v>2</v>
      </c>
      <c r="HW65" s="41"/>
      <c r="HX65" s="41"/>
      <c r="HY65" s="691"/>
      <c r="HZ65" s="691"/>
      <c r="IA65" s="691"/>
      <c r="IB65" s="691" t="s">
        <v>1239</v>
      </c>
      <c r="IC65" s="691">
        <v>0</v>
      </c>
      <c r="ID65" s="691">
        <v>0</v>
      </c>
      <c r="IE65" s="691">
        <v>0</v>
      </c>
      <c r="IF65" s="691">
        <v>0</v>
      </c>
      <c r="IG65" s="691">
        <v>0</v>
      </c>
      <c r="IH65" s="691">
        <v>0</v>
      </c>
      <c r="II65" s="691">
        <v>0</v>
      </c>
      <c r="IJ65" s="691">
        <v>0</v>
      </c>
      <c r="IK65" s="691">
        <v>0</v>
      </c>
      <c r="IL65" s="691">
        <v>0</v>
      </c>
      <c r="IM65" s="691">
        <v>0</v>
      </c>
      <c r="IN65" s="691">
        <v>0</v>
      </c>
      <c r="IO65" s="691">
        <v>0</v>
      </c>
      <c r="IP65" s="691">
        <v>5</v>
      </c>
      <c r="IQ65" s="691">
        <v>1</v>
      </c>
      <c r="IR65" s="691">
        <v>3</v>
      </c>
      <c r="IS65" s="691">
        <v>9</v>
      </c>
      <c r="IT65" s="691"/>
      <c r="IU65" s="692"/>
    </row>
    <row r="66" spans="3:255">
      <c r="D66" s="4800" t="s">
        <v>1231</v>
      </c>
      <c r="E66" s="4606"/>
      <c r="F66" s="4606"/>
      <c r="G66" s="4606"/>
      <c r="H66" s="4606"/>
      <c r="I66" s="4606"/>
      <c r="J66" s="4606"/>
      <c r="K66" s="4606"/>
      <c r="L66" s="4606"/>
      <c r="M66" s="4606"/>
      <c r="N66" s="4606"/>
      <c r="O66" s="4606"/>
      <c r="P66" s="4606">
        <v>1</v>
      </c>
      <c r="Q66" s="4606">
        <v>1</v>
      </c>
      <c r="R66" s="4606">
        <v>0</v>
      </c>
      <c r="S66" s="2552">
        <v>0</v>
      </c>
      <c r="T66" s="2552"/>
      <c r="U66" s="2552">
        <v>2</v>
      </c>
      <c r="V66" s="2552"/>
      <c r="AA66" s="37" t="s">
        <v>1239</v>
      </c>
      <c r="AB66" s="4803"/>
      <c r="AC66" s="4803"/>
      <c r="AD66" s="4803"/>
      <c r="AE66" s="4803"/>
      <c r="AF66" s="4803"/>
      <c r="AG66" s="4803"/>
      <c r="AH66" s="4803"/>
      <c r="AI66" s="4803"/>
      <c r="AJ66" s="4803"/>
      <c r="AK66" s="4803"/>
      <c r="AL66" s="4803"/>
      <c r="AM66" s="4803">
        <v>0</v>
      </c>
      <c r="AN66" s="4803">
        <v>2</v>
      </c>
      <c r="AO66" s="4803">
        <v>2</v>
      </c>
      <c r="AP66" s="1788">
        <v>2</v>
      </c>
      <c r="AQ66" s="1788">
        <v>6</v>
      </c>
      <c r="AT66" s="41"/>
      <c r="AU66" s="41"/>
      <c r="AV66" s="41"/>
      <c r="AW66" s="41" t="s">
        <v>1235</v>
      </c>
      <c r="AX66" s="690">
        <v>0</v>
      </c>
      <c r="AY66" s="690"/>
      <c r="AZ66" s="690"/>
      <c r="BA66" s="690">
        <v>0</v>
      </c>
      <c r="BB66" s="690"/>
      <c r="BC66" s="690"/>
      <c r="BD66" s="690"/>
      <c r="BE66" s="690"/>
      <c r="BF66" s="690"/>
      <c r="BG66" s="690"/>
      <c r="BH66" s="690"/>
      <c r="BI66" s="690"/>
      <c r="BJ66" s="690"/>
      <c r="BK66" s="690">
        <v>1</v>
      </c>
      <c r="BL66" s="690">
        <v>1</v>
      </c>
      <c r="BM66" s="41">
        <v>0</v>
      </c>
      <c r="BN66" s="41"/>
      <c r="BO66" s="41">
        <v>2</v>
      </c>
      <c r="BP66" s="41"/>
      <c r="BR66" s="41"/>
      <c r="BS66" s="41"/>
      <c r="BT66" s="41"/>
      <c r="BU66" s="41" t="s">
        <v>1239</v>
      </c>
      <c r="BV66" s="2001"/>
      <c r="BW66" s="2001"/>
      <c r="BX66" s="2001"/>
      <c r="BY66" s="2001"/>
      <c r="BZ66" s="2001">
        <v>0</v>
      </c>
      <c r="CA66" s="2001"/>
      <c r="CB66" s="2001"/>
      <c r="CC66" s="2001"/>
      <c r="CD66" s="2001"/>
      <c r="CE66" s="2001"/>
      <c r="CF66" s="2001"/>
      <c r="CG66" s="2001">
        <v>0</v>
      </c>
      <c r="CH66" s="2001">
        <v>0</v>
      </c>
      <c r="CI66" s="2001"/>
      <c r="CJ66" s="2001">
        <v>2</v>
      </c>
      <c r="CK66" s="105">
        <v>1</v>
      </c>
      <c r="CL66" s="105"/>
      <c r="CM66" s="105">
        <v>3</v>
      </c>
      <c r="CN66" s="41"/>
      <c r="CR66" s="41"/>
      <c r="CS66" s="41" t="s">
        <v>1344</v>
      </c>
      <c r="CT66" s="1665"/>
      <c r="CU66" s="1665"/>
      <c r="CV66" s="1665"/>
      <c r="CW66" s="1665"/>
      <c r="CX66" s="1665"/>
      <c r="CY66" s="1665">
        <v>0</v>
      </c>
      <c r="CZ66" s="1665"/>
      <c r="DA66" s="1665">
        <v>0</v>
      </c>
      <c r="DB66" s="1665"/>
      <c r="DC66" s="1665"/>
      <c r="DD66" s="1665"/>
      <c r="DE66" s="1665"/>
      <c r="DF66" s="1665">
        <v>0</v>
      </c>
      <c r="DG66" s="1665">
        <v>2</v>
      </c>
      <c r="DH66" s="1665">
        <v>0</v>
      </c>
      <c r="DI66" s="41">
        <v>0</v>
      </c>
      <c r="DJ66" s="41">
        <v>0</v>
      </c>
      <c r="DK66" s="41">
        <v>2</v>
      </c>
      <c r="DL66" s="41"/>
      <c r="DN66" s="1375"/>
      <c r="DO66" s="1375"/>
      <c r="DP66" s="1375"/>
      <c r="DQ66" s="1376" t="s">
        <v>1235</v>
      </c>
      <c r="DR66" s="1377"/>
      <c r="DS66" s="1377"/>
      <c r="DT66" s="1377"/>
      <c r="DU66" s="1377"/>
      <c r="DV66" s="1377"/>
      <c r="DW66" s="1377"/>
      <c r="DX66" s="1377"/>
      <c r="DY66" s="1377"/>
      <c r="DZ66" s="1377"/>
      <c r="EA66" s="1377"/>
      <c r="EB66" s="1377"/>
      <c r="EC66" s="1378">
        <v>1</v>
      </c>
      <c r="ED66" s="1378">
        <v>0</v>
      </c>
      <c r="EE66" s="1379"/>
      <c r="EF66" s="1379"/>
      <c r="EG66" s="1380">
        <v>1</v>
      </c>
      <c r="EH66" s="41"/>
      <c r="EJ66" s="678"/>
      <c r="EK66" s="678"/>
      <c r="EL66" s="678"/>
      <c r="EM66" s="679" t="s">
        <v>1239</v>
      </c>
      <c r="EN66" s="680"/>
      <c r="EO66" s="681">
        <v>0</v>
      </c>
      <c r="EP66" s="680"/>
      <c r="EQ66" s="680"/>
      <c r="ER66" s="680"/>
      <c r="ES66" s="681">
        <v>0</v>
      </c>
      <c r="ET66" s="680"/>
      <c r="EU66" s="681">
        <v>0</v>
      </c>
      <c r="EV66" s="680"/>
      <c r="EW66" s="680"/>
      <c r="EX66" s="680"/>
      <c r="EY66" s="681">
        <v>0</v>
      </c>
      <c r="EZ66" s="681">
        <v>0</v>
      </c>
      <c r="FA66" s="681">
        <v>0</v>
      </c>
      <c r="FB66" s="681">
        <v>12</v>
      </c>
      <c r="FC66" s="683">
        <v>4</v>
      </c>
      <c r="FD66" s="683">
        <v>11</v>
      </c>
      <c r="FE66" s="683">
        <v>27</v>
      </c>
      <c r="FF66" s="105"/>
      <c r="FH66" s="511"/>
      <c r="FI66" s="511"/>
      <c r="FJ66" s="511"/>
      <c r="FK66" s="511"/>
      <c r="FL66" s="512" t="s">
        <v>1231</v>
      </c>
      <c r="FM66" s="684"/>
      <c r="FN66" s="684"/>
      <c r="FO66" s="684"/>
      <c r="FP66" s="685">
        <v>1</v>
      </c>
      <c r="FQ66" s="684"/>
      <c r="FR66" s="684"/>
      <c r="FS66" s="684"/>
      <c r="FT66" s="685">
        <v>1</v>
      </c>
      <c r="FU66" s="685">
        <v>2</v>
      </c>
      <c r="FV66" s="684"/>
      <c r="FW66" s="685">
        <v>0</v>
      </c>
      <c r="FX66" s="685">
        <v>0</v>
      </c>
      <c r="FY66" s="685">
        <v>1</v>
      </c>
      <c r="FZ66" s="685">
        <v>2</v>
      </c>
      <c r="GA66" s="685">
        <v>1</v>
      </c>
      <c r="GB66" s="687">
        <v>0</v>
      </c>
      <c r="GC66" s="687">
        <v>0</v>
      </c>
      <c r="GD66" s="687">
        <v>8</v>
      </c>
      <c r="GE66" s="635"/>
      <c r="GF66" s="41"/>
      <c r="GG66" s="688"/>
      <c r="GH66" s="688"/>
      <c r="GI66" s="688" t="s">
        <v>128</v>
      </c>
      <c r="GJ66" s="457" t="s">
        <v>1231</v>
      </c>
      <c r="GK66" s="689"/>
      <c r="GL66" s="689"/>
      <c r="GM66" s="458">
        <v>1</v>
      </c>
      <c r="GN66" s="689"/>
      <c r="GO66" s="689"/>
      <c r="GP66" s="689"/>
      <c r="GQ66" s="689"/>
      <c r="GR66" s="689"/>
      <c r="GS66" s="689"/>
      <c r="GT66" s="689"/>
      <c r="GU66" s="689"/>
      <c r="GV66" s="689"/>
      <c r="GW66" s="689"/>
      <c r="GX66" s="458">
        <v>1</v>
      </c>
      <c r="GY66" s="690"/>
      <c r="GZ66" s="41"/>
      <c r="HA66" s="41"/>
      <c r="HB66" s="105"/>
      <c r="HC66" s="105"/>
      <c r="HD66" s="41"/>
      <c r="HE66" s="41" t="s">
        <v>1235</v>
      </c>
      <c r="HF66" s="105"/>
      <c r="HG66" s="105">
        <v>0</v>
      </c>
      <c r="HH66" s="105">
        <v>0</v>
      </c>
      <c r="HI66" s="105"/>
      <c r="HJ66" s="105">
        <v>0</v>
      </c>
      <c r="HK66" s="105"/>
      <c r="HL66" s="105"/>
      <c r="HM66" s="105"/>
      <c r="HN66" s="105"/>
      <c r="HO66" s="105">
        <v>2</v>
      </c>
      <c r="HP66" s="105">
        <v>1</v>
      </c>
      <c r="HQ66" s="105">
        <v>2</v>
      </c>
      <c r="HR66" s="105">
        <v>1</v>
      </c>
      <c r="HS66" s="105"/>
      <c r="HT66" s="105"/>
      <c r="HU66" s="105"/>
      <c r="HV66" s="105">
        <v>6</v>
      </c>
      <c r="HW66" s="41"/>
      <c r="HX66" s="41"/>
      <c r="HY66" s="691"/>
      <c r="HZ66" s="691"/>
      <c r="IA66" s="691"/>
      <c r="IB66" s="691" t="s">
        <v>1344</v>
      </c>
      <c r="IC66" s="691">
        <v>0</v>
      </c>
      <c r="ID66" s="691">
        <v>0</v>
      </c>
      <c r="IE66" s="691">
        <v>0</v>
      </c>
      <c r="IF66" s="691">
        <v>0</v>
      </c>
      <c r="IG66" s="691">
        <v>0</v>
      </c>
      <c r="IH66" s="691">
        <v>0</v>
      </c>
      <c r="II66" s="691">
        <v>0</v>
      </c>
      <c r="IJ66" s="691">
        <v>0</v>
      </c>
      <c r="IK66" s="691">
        <v>0</v>
      </c>
      <c r="IL66" s="691">
        <v>3</v>
      </c>
      <c r="IM66" s="691">
        <v>5</v>
      </c>
      <c r="IN66" s="691">
        <v>0</v>
      </c>
      <c r="IO66" s="691">
        <v>1</v>
      </c>
      <c r="IP66" s="691">
        <v>1</v>
      </c>
      <c r="IQ66" s="691">
        <v>0</v>
      </c>
      <c r="IR66" s="691">
        <v>0</v>
      </c>
      <c r="IS66" s="691">
        <v>10</v>
      </c>
      <c r="IT66" s="691"/>
      <c r="IU66" s="692"/>
    </row>
    <row r="67" spans="3:255">
      <c r="D67" s="4800" t="s">
        <v>1239</v>
      </c>
      <c r="E67" s="4606"/>
      <c r="F67" s="4606"/>
      <c r="G67" s="4606"/>
      <c r="H67" s="4606"/>
      <c r="I67" s="4606"/>
      <c r="J67" s="4606"/>
      <c r="K67" s="4606"/>
      <c r="L67" s="4606"/>
      <c r="M67" s="4606"/>
      <c r="N67" s="4606"/>
      <c r="O67" s="4606"/>
      <c r="P67" s="4606">
        <v>0</v>
      </c>
      <c r="Q67" s="4606">
        <v>2</v>
      </c>
      <c r="R67" s="4606">
        <v>0</v>
      </c>
      <c r="S67" s="2552">
        <v>3</v>
      </c>
      <c r="T67" s="2552"/>
      <c r="U67" s="2552">
        <v>5</v>
      </c>
      <c r="V67" s="2552"/>
      <c r="AA67" s="37" t="s">
        <v>1344</v>
      </c>
      <c r="AB67" s="4803"/>
      <c r="AC67" s="4803"/>
      <c r="AD67" s="4803"/>
      <c r="AE67" s="4803"/>
      <c r="AF67" s="4803"/>
      <c r="AG67" s="4803"/>
      <c r="AH67" s="4803"/>
      <c r="AI67" s="4803"/>
      <c r="AJ67" s="4803"/>
      <c r="AK67" s="4803"/>
      <c r="AL67" s="4803"/>
      <c r="AM67" s="4803">
        <v>1</v>
      </c>
      <c r="AN67" s="4803">
        <v>0</v>
      </c>
      <c r="AO67" s="4803">
        <v>0</v>
      </c>
      <c r="AP67" s="1788">
        <v>0</v>
      </c>
      <c r="AQ67" s="1788">
        <v>1</v>
      </c>
      <c r="AT67" s="41"/>
      <c r="AU67" s="41"/>
      <c r="AV67" s="41"/>
      <c r="AW67" s="41" t="s">
        <v>1239</v>
      </c>
      <c r="AX67" s="690">
        <v>0</v>
      </c>
      <c r="AY67" s="690"/>
      <c r="AZ67" s="690"/>
      <c r="BA67" s="690">
        <v>0</v>
      </c>
      <c r="BB67" s="690"/>
      <c r="BC67" s="690"/>
      <c r="BD67" s="690"/>
      <c r="BE67" s="690"/>
      <c r="BF67" s="690"/>
      <c r="BG67" s="690"/>
      <c r="BH67" s="690"/>
      <c r="BI67" s="690"/>
      <c r="BJ67" s="690"/>
      <c r="BK67" s="690">
        <v>0</v>
      </c>
      <c r="BL67" s="690">
        <v>2</v>
      </c>
      <c r="BM67" s="41">
        <v>1</v>
      </c>
      <c r="BN67" s="41"/>
      <c r="BO67" s="41">
        <v>3</v>
      </c>
      <c r="BP67" s="41"/>
      <c r="BR67" s="41"/>
      <c r="BS67" s="41"/>
      <c r="BT67" s="41"/>
      <c r="BU67" s="461" t="s">
        <v>15</v>
      </c>
      <c r="BV67" s="2002"/>
      <c r="BW67" s="2002"/>
      <c r="BX67" s="2002"/>
      <c r="BY67" s="2002"/>
      <c r="BZ67" s="2002">
        <v>2</v>
      </c>
      <c r="CA67" s="2002"/>
      <c r="CB67" s="2002"/>
      <c r="CC67" s="2002"/>
      <c r="CD67" s="2002"/>
      <c r="CE67" s="2002"/>
      <c r="CF67" s="2002"/>
      <c r="CG67" s="2002">
        <v>1</v>
      </c>
      <c r="CH67" s="2002">
        <v>1</v>
      </c>
      <c r="CI67" s="2002"/>
      <c r="CJ67" s="2002">
        <v>2</v>
      </c>
      <c r="CK67" s="96">
        <v>1</v>
      </c>
      <c r="CL67" s="96"/>
      <c r="CM67" s="96">
        <v>7</v>
      </c>
      <c r="CN67" s="635">
        <f>+CM65/CM67</f>
        <v>0.14285714285714285</v>
      </c>
      <c r="CR67" s="41"/>
      <c r="CS67" s="461" t="s">
        <v>15</v>
      </c>
      <c r="CT67" s="1666"/>
      <c r="CU67" s="1666"/>
      <c r="CV67" s="1666"/>
      <c r="CW67" s="1666"/>
      <c r="CX67" s="1666"/>
      <c r="CY67" s="1666">
        <v>1</v>
      </c>
      <c r="CZ67" s="1666"/>
      <c r="DA67" s="1666">
        <v>1</v>
      </c>
      <c r="DB67" s="1666"/>
      <c r="DC67" s="1666"/>
      <c r="DD67" s="1666"/>
      <c r="DE67" s="1666"/>
      <c r="DF67" s="1666">
        <v>2</v>
      </c>
      <c r="DG67" s="1666">
        <v>2</v>
      </c>
      <c r="DH67" s="1666">
        <v>2</v>
      </c>
      <c r="DI67" s="461">
        <v>2</v>
      </c>
      <c r="DJ67" s="461">
        <v>1</v>
      </c>
      <c r="DK67" s="461">
        <v>11</v>
      </c>
      <c r="DL67" s="635">
        <f>+DK66/DK67</f>
        <v>0.18181818181818182</v>
      </c>
      <c r="DN67" s="1375"/>
      <c r="DO67" s="1375"/>
      <c r="DP67" s="1375"/>
      <c r="DQ67" s="1376" t="s">
        <v>1239</v>
      </c>
      <c r="DR67" s="1377"/>
      <c r="DS67" s="1377"/>
      <c r="DT67" s="1377"/>
      <c r="DU67" s="1377"/>
      <c r="DV67" s="1377"/>
      <c r="DW67" s="1377"/>
      <c r="DX67" s="1377"/>
      <c r="DY67" s="1377"/>
      <c r="DZ67" s="1377"/>
      <c r="EA67" s="1377"/>
      <c r="EB67" s="1377"/>
      <c r="EC67" s="1378">
        <v>0</v>
      </c>
      <c r="ED67" s="1378">
        <v>9</v>
      </c>
      <c r="EE67" s="1379"/>
      <c r="EF67" s="1379"/>
      <c r="EG67" s="1380">
        <v>9</v>
      </c>
      <c r="EH67" s="41"/>
      <c r="EJ67" s="678"/>
      <c r="EK67" s="678"/>
      <c r="EL67" s="678"/>
      <c r="EM67" s="679" t="s">
        <v>1344</v>
      </c>
      <c r="EN67" s="680"/>
      <c r="EO67" s="681">
        <v>0</v>
      </c>
      <c r="EP67" s="680"/>
      <c r="EQ67" s="680"/>
      <c r="ER67" s="680"/>
      <c r="ES67" s="681">
        <v>0</v>
      </c>
      <c r="ET67" s="680"/>
      <c r="EU67" s="681">
        <v>0</v>
      </c>
      <c r="EV67" s="680"/>
      <c r="EW67" s="680"/>
      <c r="EX67" s="680"/>
      <c r="EY67" s="681">
        <v>0</v>
      </c>
      <c r="EZ67" s="681">
        <v>2</v>
      </c>
      <c r="FA67" s="681">
        <v>1</v>
      </c>
      <c r="FB67" s="681">
        <v>1</v>
      </c>
      <c r="FC67" s="683">
        <v>0</v>
      </c>
      <c r="FD67" s="683">
        <v>0</v>
      </c>
      <c r="FE67" s="683">
        <v>4</v>
      </c>
      <c r="FF67" s="105"/>
      <c r="FH67" s="511"/>
      <c r="FI67" s="511"/>
      <c r="FJ67" s="511"/>
      <c r="FK67" s="511"/>
      <c r="FL67" s="512" t="s">
        <v>1235</v>
      </c>
      <c r="FM67" s="684"/>
      <c r="FN67" s="684"/>
      <c r="FO67" s="684"/>
      <c r="FP67" s="685">
        <v>0</v>
      </c>
      <c r="FQ67" s="684"/>
      <c r="FR67" s="684"/>
      <c r="FS67" s="684"/>
      <c r="FT67" s="685">
        <v>0</v>
      </c>
      <c r="FU67" s="685">
        <v>0</v>
      </c>
      <c r="FV67" s="684"/>
      <c r="FW67" s="685">
        <v>1</v>
      </c>
      <c r="FX67" s="685">
        <v>2</v>
      </c>
      <c r="FY67" s="685">
        <v>1</v>
      </c>
      <c r="FZ67" s="685">
        <v>1</v>
      </c>
      <c r="GA67" s="685">
        <v>1</v>
      </c>
      <c r="GB67" s="687">
        <v>0</v>
      </c>
      <c r="GC67" s="687">
        <v>0</v>
      </c>
      <c r="GD67" s="687">
        <v>6</v>
      </c>
      <c r="GE67" s="635"/>
      <c r="GF67" s="41"/>
      <c r="GG67" s="688"/>
      <c r="GH67" s="688"/>
      <c r="GI67" s="688"/>
      <c r="GJ67" s="704" t="s">
        <v>15</v>
      </c>
      <c r="GK67" s="705"/>
      <c r="GL67" s="705"/>
      <c r="GM67" s="463">
        <v>1</v>
      </c>
      <c r="GN67" s="705"/>
      <c r="GO67" s="705"/>
      <c r="GP67" s="705"/>
      <c r="GQ67" s="705"/>
      <c r="GR67" s="705"/>
      <c r="GS67" s="705"/>
      <c r="GT67" s="705"/>
      <c r="GU67" s="705"/>
      <c r="GV67" s="705"/>
      <c r="GW67" s="705"/>
      <c r="GX67" s="463">
        <v>1</v>
      </c>
      <c r="GY67" s="628">
        <v>0</v>
      </c>
      <c r="GZ67" s="41"/>
      <c r="HA67" s="41"/>
      <c r="HB67" s="105"/>
      <c r="HC67" s="105"/>
      <c r="HD67" s="41"/>
      <c r="HE67" s="41" t="s">
        <v>1236</v>
      </c>
      <c r="HF67" s="105"/>
      <c r="HG67" s="105">
        <v>0</v>
      </c>
      <c r="HH67" s="105">
        <v>1</v>
      </c>
      <c r="HI67" s="105"/>
      <c r="HJ67" s="105">
        <v>0</v>
      </c>
      <c r="HK67" s="105"/>
      <c r="HL67" s="105"/>
      <c r="HM67" s="105"/>
      <c r="HN67" s="105"/>
      <c r="HO67" s="105">
        <v>0</v>
      </c>
      <c r="HP67" s="105">
        <v>0</v>
      </c>
      <c r="HQ67" s="105">
        <v>8</v>
      </c>
      <c r="HR67" s="105">
        <v>0</v>
      </c>
      <c r="HS67" s="105"/>
      <c r="HT67" s="105"/>
      <c r="HU67" s="105"/>
      <c r="HV67" s="105">
        <v>9</v>
      </c>
      <c r="HW67" s="41"/>
      <c r="HX67" s="41"/>
      <c r="HY67" s="691"/>
      <c r="HZ67" s="691"/>
      <c r="IA67" s="691"/>
      <c r="IB67" s="702" t="s">
        <v>15</v>
      </c>
      <c r="IC67" s="702">
        <v>1</v>
      </c>
      <c r="ID67" s="702">
        <v>0</v>
      </c>
      <c r="IE67" s="702">
        <v>0</v>
      </c>
      <c r="IF67" s="702">
        <v>0</v>
      </c>
      <c r="IG67" s="702">
        <v>0</v>
      </c>
      <c r="IH67" s="702">
        <v>0</v>
      </c>
      <c r="II67" s="702">
        <v>0</v>
      </c>
      <c r="IJ67" s="702">
        <v>0</v>
      </c>
      <c r="IK67" s="702">
        <v>0</v>
      </c>
      <c r="IL67" s="702">
        <v>3</v>
      </c>
      <c r="IM67" s="702">
        <v>6</v>
      </c>
      <c r="IN67" s="702">
        <v>0</v>
      </c>
      <c r="IO67" s="702">
        <v>3</v>
      </c>
      <c r="IP67" s="702">
        <v>6</v>
      </c>
      <c r="IQ67" s="702">
        <v>1</v>
      </c>
      <c r="IR67" s="702">
        <v>3</v>
      </c>
      <c r="IS67" s="702">
        <v>23</v>
      </c>
      <c r="IT67" s="703">
        <f>+(IS66+IS64)/IS67</f>
        <v>0.56521739130434778</v>
      </c>
      <c r="IU67" s="692">
        <f>+IS64+IS66</f>
        <v>13</v>
      </c>
    </row>
    <row r="68" spans="3:255">
      <c r="D68" s="4800" t="s">
        <v>1344</v>
      </c>
      <c r="E68" s="4606"/>
      <c r="F68" s="4606"/>
      <c r="G68" s="4606"/>
      <c r="H68" s="4606"/>
      <c r="I68" s="4606"/>
      <c r="J68" s="4606"/>
      <c r="K68" s="4606"/>
      <c r="L68" s="4606"/>
      <c r="M68" s="4606"/>
      <c r="N68" s="4606"/>
      <c r="O68" s="4606"/>
      <c r="P68" s="4606">
        <v>1</v>
      </c>
      <c r="Q68" s="4606">
        <v>0</v>
      </c>
      <c r="R68" s="4606">
        <v>1</v>
      </c>
      <c r="S68" s="2552">
        <v>0</v>
      </c>
      <c r="T68" s="2552"/>
      <c r="U68" s="2552">
        <v>2</v>
      </c>
      <c r="V68" s="2552"/>
      <c r="AA68" s="1793" t="s">
        <v>15</v>
      </c>
      <c r="AB68" s="4804"/>
      <c r="AC68" s="4804"/>
      <c r="AD68" s="4804"/>
      <c r="AE68" s="4804"/>
      <c r="AF68" s="4804"/>
      <c r="AG68" s="4804"/>
      <c r="AH68" s="4804"/>
      <c r="AI68" s="4804"/>
      <c r="AJ68" s="4804"/>
      <c r="AK68" s="4804"/>
      <c r="AL68" s="4804"/>
      <c r="AM68" s="4804">
        <v>3</v>
      </c>
      <c r="AN68" s="4804">
        <v>4</v>
      </c>
      <c r="AO68" s="4804">
        <v>2</v>
      </c>
      <c r="AP68" s="4702">
        <v>2</v>
      </c>
      <c r="AQ68" s="4702">
        <v>11</v>
      </c>
      <c r="AR68" s="4703">
        <f>+AQ67/AQ68</f>
        <v>9.0909090909090912E-2</v>
      </c>
      <c r="AT68" s="41"/>
      <c r="AU68" s="41"/>
      <c r="AV68" s="41"/>
      <c r="AW68" s="41" t="s">
        <v>1344</v>
      </c>
      <c r="AX68" s="690">
        <v>0</v>
      </c>
      <c r="AY68" s="690"/>
      <c r="AZ68" s="690"/>
      <c r="BA68" s="690">
        <v>0</v>
      </c>
      <c r="BB68" s="690"/>
      <c r="BC68" s="690"/>
      <c r="BD68" s="690"/>
      <c r="BE68" s="690"/>
      <c r="BF68" s="690"/>
      <c r="BG68" s="690"/>
      <c r="BH68" s="690"/>
      <c r="BI68" s="690"/>
      <c r="BJ68" s="690"/>
      <c r="BK68" s="690">
        <v>0</v>
      </c>
      <c r="BL68" s="690">
        <v>1</v>
      </c>
      <c r="BM68" s="41">
        <v>0</v>
      </c>
      <c r="BN68" s="41"/>
      <c r="BO68" s="41">
        <v>1</v>
      </c>
      <c r="BP68" s="41"/>
      <c r="BR68" s="41"/>
      <c r="BS68" s="41"/>
      <c r="BT68" s="41" t="s">
        <v>795</v>
      </c>
      <c r="BU68" s="41" t="s">
        <v>1239</v>
      </c>
      <c r="BV68" s="2001"/>
      <c r="BW68" s="2001"/>
      <c r="BX68" s="2001"/>
      <c r="BY68" s="2001"/>
      <c r="BZ68" s="2001"/>
      <c r="CA68" s="2001"/>
      <c r="CB68" s="2001"/>
      <c r="CC68" s="2001"/>
      <c r="CD68" s="2001"/>
      <c r="CE68" s="2001"/>
      <c r="CF68" s="2001"/>
      <c r="CG68" s="2001"/>
      <c r="CH68" s="2001"/>
      <c r="CI68" s="2001"/>
      <c r="CJ68" s="2001"/>
      <c r="CK68" s="105"/>
      <c r="CL68" s="105">
        <v>5</v>
      </c>
      <c r="CM68" s="105">
        <v>5</v>
      </c>
      <c r="CN68" s="41"/>
      <c r="CR68" s="41" t="s">
        <v>544</v>
      </c>
      <c r="CS68" s="41" t="s">
        <v>1230</v>
      </c>
      <c r="CT68" s="1665"/>
      <c r="CU68" s="1665">
        <v>0</v>
      </c>
      <c r="CV68" s="1665"/>
      <c r="CW68" s="1665"/>
      <c r="CX68" s="1665"/>
      <c r="CY68" s="1665">
        <v>0</v>
      </c>
      <c r="CZ68" s="1665"/>
      <c r="DA68" s="1665">
        <v>0</v>
      </c>
      <c r="DB68" s="1665"/>
      <c r="DC68" s="1665">
        <v>0</v>
      </c>
      <c r="DD68" s="1665"/>
      <c r="DE68" s="1665"/>
      <c r="DF68" s="1665">
        <v>0</v>
      </c>
      <c r="DG68" s="1665">
        <v>0</v>
      </c>
      <c r="DH68" s="1665">
        <v>3</v>
      </c>
      <c r="DI68" s="41">
        <v>0</v>
      </c>
      <c r="DJ68" s="41">
        <v>1</v>
      </c>
      <c r="DK68" s="41">
        <v>4</v>
      </c>
      <c r="DL68" s="41"/>
      <c r="DN68" s="1375"/>
      <c r="DO68" s="1375"/>
      <c r="DP68" s="1375"/>
      <c r="DQ68" s="1372" t="s">
        <v>15</v>
      </c>
      <c r="DR68" s="1381"/>
      <c r="DS68" s="1381"/>
      <c r="DT68" s="1381"/>
      <c r="DU68" s="1381"/>
      <c r="DV68" s="1381"/>
      <c r="DW68" s="1381"/>
      <c r="DX68" s="1381"/>
      <c r="DY68" s="1381"/>
      <c r="DZ68" s="1381"/>
      <c r="EA68" s="1381"/>
      <c r="EB68" s="1381"/>
      <c r="EC68" s="1382">
        <v>2</v>
      </c>
      <c r="ED68" s="1382">
        <v>9</v>
      </c>
      <c r="EE68" s="1383"/>
      <c r="EF68" s="1383"/>
      <c r="EG68" s="1384">
        <v>11</v>
      </c>
      <c r="EH68" s="1325">
        <f>+EG66/EG68</f>
        <v>9.0909090909090912E-2</v>
      </c>
      <c r="EJ68" s="678"/>
      <c r="EK68" s="678"/>
      <c r="EL68" s="678"/>
      <c r="EM68" s="697" t="s">
        <v>544</v>
      </c>
      <c r="EN68" s="698"/>
      <c r="EO68" s="699">
        <v>1</v>
      </c>
      <c r="EP68" s="698"/>
      <c r="EQ68" s="698"/>
      <c r="ER68" s="698"/>
      <c r="ES68" s="699">
        <v>1</v>
      </c>
      <c r="ET68" s="698"/>
      <c r="EU68" s="699">
        <v>1</v>
      </c>
      <c r="EV68" s="698"/>
      <c r="EW68" s="698"/>
      <c r="EX68" s="698"/>
      <c r="EY68" s="699">
        <v>1</v>
      </c>
      <c r="EZ68" s="699">
        <v>5</v>
      </c>
      <c r="FA68" s="699">
        <v>4</v>
      </c>
      <c r="FB68" s="699">
        <v>15</v>
      </c>
      <c r="FC68" s="701">
        <v>4</v>
      </c>
      <c r="FD68" s="701">
        <v>11</v>
      </c>
      <c r="FE68" s="701">
        <v>43</v>
      </c>
      <c r="FF68" s="635">
        <f>+(FE65+FE67)/FE68</f>
        <v>0.13953488372093023</v>
      </c>
      <c r="FH68" s="511"/>
      <c r="FI68" s="511"/>
      <c r="FJ68" s="511"/>
      <c r="FK68" s="511"/>
      <c r="FL68" s="512" t="s">
        <v>1239</v>
      </c>
      <c r="FM68" s="684"/>
      <c r="FN68" s="684"/>
      <c r="FO68" s="684"/>
      <c r="FP68" s="685">
        <v>0</v>
      </c>
      <c r="FQ68" s="684"/>
      <c r="FR68" s="684"/>
      <c r="FS68" s="684"/>
      <c r="FT68" s="685">
        <v>0</v>
      </c>
      <c r="FU68" s="685">
        <v>0</v>
      </c>
      <c r="FV68" s="684"/>
      <c r="FW68" s="685">
        <v>0</v>
      </c>
      <c r="FX68" s="685">
        <v>0</v>
      </c>
      <c r="FY68" s="685">
        <v>0</v>
      </c>
      <c r="FZ68" s="685">
        <v>1</v>
      </c>
      <c r="GA68" s="685">
        <v>9</v>
      </c>
      <c r="GB68" s="687">
        <v>3</v>
      </c>
      <c r="GC68" s="687">
        <v>6</v>
      </c>
      <c r="GD68" s="687">
        <v>19</v>
      </c>
      <c r="GE68" s="635"/>
      <c r="GF68" s="41"/>
      <c r="GG68" s="688"/>
      <c r="GH68" s="688" t="s">
        <v>41</v>
      </c>
      <c r="GI68" s="688" t="s">
        <v>129</v>
      </c>
      <c r="GJ68" s="457" t="s">
        <v>1230</v>
      </c>
      <c r="GK68" s="458">
        <v>0</v>
      </c>
      <c r="GL68" s="689"/>
      <c r="GM68" s="689"/>
      <c r="GN68" s="458">
        <v>1</v>
      </c>
      <c r="GO68" s="689"/>
      <c r="GP68" s="689"/>
      <c r="GQ68" s="458">
        <v>0</v>
      </c>
      <c r="GR68" s="689"/>
      <c r="GS68" s="458">
        <v>0</v>
      </c>
      <c r="GT68" s="458">
        <v>0</v>
      </c>
      <c r="GU68" s="458">
        <v>0</v>
      </c>
      <c r="GV68" s="458">
        <v>0</v>
      </c>
      <c r="GW68" s="458">
        <v>0</v>
      </c>
      <c r="GX68" s="458">
        <v>1</v>
      </c>
      <c r="GY68" s="690"/>
      <c r="GZ68" s="41"/>
      <c r="HA68" s="41"/>
      <c r="HB68" s="105"/>
      <c r="HC68" s="105"/>
      <c r="HD68" s="41"/>
      <c r="HE68" s="41" t="s">
        <v>1344</v>
      </c>
      <c r="HF68" s="105"/>
      <c r="HG68" s="105">
        <v>0</v>
      </c>
      <c r="HH68" s="105">
        <v>0</v>
      </c>
      <c r="HI68" s="105"/>
      <c r="HJ68" s="105">
        <v>0</v>
      </c>
      <c r="HK68" s="105"/>
      <c r="HL68" s="105"/>
      <c r="HM68" s="105"/>
      <c r="HN68" s="105"/>
      <c r="HO68" s="105">
        <v>0</v>
      </c>
      <c r="HP68" s="105">
        <v>1</v>
      </c>
      <c r="HQ68" s="105">
        <v>0</v>
      </c>
      <c r="HR68" s="105">
        <v>0</v>
      </c>
      <c r="HS68" s="105"/>
      <c r="HT68" s="105"/>
      <c r="HU68" s="105"/>
      <c r="HV68" s="105">
        <v>1</v>
      </c>
      <c r="HW68" s="41"/>
      <c r="HX68" s="41"/>
      <c r="HY68" s="691"/>
      <c r="HZ68" s="691"/>
      <c r="IA68" s="691" t="s">
        <v>846</v>
      </c>
      <c r="IB68" s="691" t="s">
        <v>1235</v>
      </c>
      <c r="IC68" s="691">
        <v>0</v>
      </c>
      <c r="ID68" s="691">
        <v>0</v>
      </c>
      <c r="IE68" s="691">
        <v>0</v>
      </c>
      <c r="IF68" s="691">
        <v>0</v>
      </c>
      <c r="IG68" s="691">
        <v>0</v>
      </c>
      <c r="IH68" s="691">
        <v>0</v>
      </c>
      <c r="II68" s="691">
        <v>0</v>
      </c>
      <c r="IJ68" s="691">
        <v>0</v>
      </c>
      <c r="IK68" s="691">
        <v>0</v>
      </c>
      <c r="IL68" s="691">
        <v>0</v>
      </c>
      <c r="IM68" s="691">
        <v>0</v>
      </c>
      <c r="IN68" s="691">
        <v>0</v>
      </c>
      <c r="IO68" s="691">
        <v>0</v>
      </c>
      <c r="IP68" s="691">
        <v>0</v>
      </c>
      <c r="IQ68" s="691">
        <v>1</v>
      </c>
      <c r="IR68" s="691">
        <v>0</v>
      </c>
      <c r="IS68" s="691">
        <v>1</v>
      </c>
      <c r="IT68" s="691"/>
      <c r="IU68" s="692"/>
    </row>
    <row r="69" spans="3:255">
      <c r="D69" s="4800" t="s">
        <v>15</v>
      </c>
      <c r="E69" s="4606"/>
      <c r="F69" s="4606"/>
      <c r="G69" s="4606"/>
      <c r="H69" s="4606"/>
      <c r="I69" s="4606"/>
      <c r="J69" s="4606"/>
      <c r="K69" s="4606"/>
      <c r="L69" s="4606"/>
      <c r="M69" s="4606"/>
      <c r="N69" s="4606"/>
      <c r="O69" s="4606"/>
      <c r="P69" s="4606">
        <v>2</v>
      </c>
      <c r="Q69" s="4606">
        <v>4</v>
      </c>
      <c r="R69" s="4606">
        <v>2</v>
      </c>
      <c r="S69" s="2552">
        <v>3</v>
      </c>
      <c r="T69" s="2552"/>
      <c r="U69" s="2552">
        <v>11</v>
      </c>
      <c r="V69" s="1977">
        <f>+(U68)/(U69)</f>
        <v>0.18181818181818182</v>
      </c>
      <c r="Z69" s="37" t="s">
        <v>122</v>
      </c>
      <c r="AA69" s="37" t="s">
        <v>1239</v>
      </c>
      <c r="AB69" s="4803"/>
      <c r="AC69" s="4803"/>
      <c r="AD69" s="4803"/>
      <c r="AE69" s="4803"/>
      <c r="AF69" s="4803"/>
      <c r="AG69" s="4803"/>
      <c r="AH69" s="4803"/>
      <c r="AI69" s="4803"/>
      <c r="AJ69" s="4803"/>
      <c r="AK69" s="4803"/>
      <c r="AL69" s="4803"/>
      <c r="AM69" s="4803">
        <v>0</v>
      </c>
      <c r="AN69" s="4803">
        <v>1</v>
      </c>
      <c r="AO69" s="4803"/>
      <c r="AP69" s="1788"/>
      <c r="AQ69" s="1788">
        <v>1</v>
      </c>
      <c r="AT69" s="41"/>
      <c r="AU69" s="41"/>
      <c r="AV69" s="41"/>
      <c r="AW69" s="461" t="s">
        <v>15</v>
      </c>
      <c r="AX69" s="2489">
        <v>1</v>
      </c>
      <c r="AY69" s="2489"/>
      <c r="AZ69" s="2489"/>
      <c r="BA69" s="2489">
        <v>1</v>
      </c>
      <c r="BB69" s="2489"/>
      <c r="BC69" s="2489"/>
      <c r="BD69" s="2489"/>
      <c r="BE69" s="2489"/>
      <c r="BF69" s="2489"/>
      <c r="BG69" s="2489"/>
      <c r="BH69" s="2489"/>
      <c r="BI69" s="2489"/>
      <c r="BJ69" s="2489"/>
      <c r="BK69" s="2489">
        <v>1</v>
      </c>
      <c r="BL69" s="2489">
        <v>4</v>
      </c>
      <c r="BM69" s="461">
        <v>1</v>
      </c>
      <c r="BN69" s="461"/>
      <c r="BO69" s="461">
        <v>8</v>
      </c>
      <c r="BP69" s="635">
        <f>+(BO68+BO66)/BO69</f>
        <v>0.375</v>
      </c>
      <c r="BQ69" s="1977"/>
      <c r="BR69" s="41"/>
      <c r="BS69" s="41"/>
      <c r="BT69" s="41"/>
      <c r="BU69" s="461" t="s">
        <v>15</v>
      </c>
      <c r="BV69" s="2002"/>
      <c r="BW69" s="2002"/>
      <c r="BX69" s="2002"/>
      <c r="BY69" s="2002"/>
      <c r="BZ69" s="2002"/>
      <c r="CA69" s="2002"/>
      <c r="CB69" s="2002"/>
      <c r="CC69" s="2002"/>
      <c r="CD69" s="2002"/>
      <c r="CE69" s="2002"/>
      <c r="CF69" s="2002"/>
      <c r="CG69" s="2002"/>
      <c r="CH69" s="2002"/>
      <c r="CI69" s="2002"/>
      <c r="CJ69" s="2002"/>
      <c r="CK69" s="96"/>
      <c r="CL69" s="96">
        <v>5</v>
      </c>
      <c r="CM69" s="96">
        <v>5</v>
      </c>
      <c r="CN69" s="635">
        <v>0</v>
      </c>
      <c r="CR69" s="41"/>
      <c r="CS69" s="41" t="s">
        <v>1231</v>
      </c>
      <c r="CT69" s="1665"/>
      <c r="CU69" s="1665">
        <v>0</v>
      </c>
      <c r="CV69" s="1665"/>
      <c r="CW69" s="1665"/>
      <c r="CX69" s="1665"/>
      <c r="CY69" s="1665">
        <v>2</v>
      </c>
      <c r="CZ69" s="1665"/>
      <c r="DA69" s="1665">
        <v>1</v>
      </c>
      <c r="DB69" s="1665"/>
      <c r="DC69" s="1665">
        <v>0</v>
      </c>
      <c r="DD69" s="1665"/>
      <c r="DE69" s="1665"/>
      <c r="DF69" s="1665">
        <v>2</v>
      </c>
      <c r="DG69" s="1665">
        <v>0</v>
      </c>
      <c r="DH69" s="1665">
        <v>0</v>
      </c>
      <c r="DI69" s="41">
        <v>1</v>
      </c>
      <c r="DJ69" s="41">
        <v>0</v>
      </c>
      <c r="DK69" s="41">
        <v>6</v>
      </c>
      <c r="DL69" s="41"/>
      <c r="DN69" s="1375"/>
      <c r="DO69" s="1375"/>
      <c r="DP69" s="1375" t="s">
        <v>125</v>
      </c>
      <c r="DQ69" s="1376" t="s">
        <v>1231</v>
      </c>
      <c r="DR69" s="1377"/>
      <c r="DS69" s="1378">
        <v>1</v>
      </c>
      <c r="DT69" s="1378">
        <v>0</v>
      </c>
      <c r="DU69" s="1377"/>
      <c r="DV69" s="1377"/>
      <c r="DW69" s="1377"/>
      <c r="DX69" s="1377"/>
      <c r="DY69" s="1377"/>
      <c r="DZ69" s="1378">
        <v>0</v>
      </c>
      <c r="EA69" s="1378">
        <v>0</v>
      </c>
      <c r="EB69" s="1378">
        <v>0</v>
      </c>
      <c r="EC69" s="1378">
        <v>2</v>
      </c>
      <c r="ED69" s="1378">
        <v>2</v>
      </c>
      <c r="EE69" s="1380">
        <v>1</v>
      </c>
      <c r="EF69" s="1380">
        <v>0</v>
      </c>
      <c r="EG69" s="1380">
        <v>6</v>
      </c>
      <c r="EH69" s="41"/>
      <c r="EJ69" s="678"/>
      <c r="EK69" s="678" t="s">
        <v>16</v>
      </c>
      <c r="EL69" s="678" t="s">
        <v>107</v>
      </c>
      <c r="EM69" s="679" t="s">
        <v>1230</v>
      </c>
      <c r="EN69" s="680"/>
      <c r="EO69" s="680"/>
      <c r="EP69" s="680"/>
      <c r="EQ69" s="680"/>
      <c r="ER69" s="680"/>
      <c r="ES69" s="680"/>
      <c r="ET69" s="680"/>
      <c r="EU69" s="680"/>
      <c r="EV69" s="680"/>
      <c r="EW69" s="680"/>
      <c r="EX69" s="681">
        <v>0</v>
      </c>
      <c r="EY69" s="680"/>
      <c r="EZ69" s="680"/>
      <c r="FA69" s="680"/>
      <c r="FB69" s="681">
        <v>1</v>
      </c>
      <c r="FC69" s="682"/>
      <c r="FD69" s="682"/>
      <c r="FE69" s="683">
        <v>1</v>
      </c>
      <c r="FF69" s="105"/>
      <c r="FH69" s="511"/>
      <c r="FI69" s="511"/>
      <c r="FJ69" s="511"/>
      <c r="FK69" s="511"/>
      <c r="FL69" s="512" t="s">
        <v>1344</v>
      </c>
      <c r="FM69" s="684"/>
      <c r="FN69" s="684"/>
      <c r="FO69" s="684"/>
      <c r="FP69" s="685">
        <v>0</v>
      </c>
      <c r="FQ69" s="684"/>
      <c r="FR69" s="684"/>
      <c r="FS69" s="684"/>
      <c r="FT69" s="685">
        <v>0</v>
      </c>
      <c r="FU69" s="685">
        <v>0</v>
      </c>
      <c r="FV69" s="684"/>
      <c r="FW69" s="685">
        <v>0</v>
      </c>
      <c r="FX69" s="685">
        <v>1</v>
      </c>
      <c r="FY69" s="685">
        <v>1</v>
      </c>
      <c r="FZ69" s="685">
        <v>0</v>
      </c>
      <c r="GA69" s="685">
        <v>1</v>
      </c>
      <c r="GB69" s="687">
        <v>0</v>
      </c>
      <c r="GC69" s="687">
        <v>0</v>
      </c>
      <c r="GD69" s="687">
        <v>3</v>
      </c>
      <c r="GE69" s="635"/>
      <c r="GF69" s="41"/>
      <c r="GG69" s="688"/>
      <c r="GH69" s="688"/>
      <c r="GI69" s="688"/>
      <c r="GJ69" s="457" t="s">
        <v>1231</v>
      </c>
      <c r="GK69" s="458">
        <v>1</v>
      </c>
      <c r="GL69" s="689"/>
      <c r="GM69" s="689"/>
      <c r="GN69" s="458">
        <v>0</v>
      </c>
      <c r="GO69" s="689"/>
      <c r="GP69" s="689"/>
      <c r="GQ69" s="458">
        <v>0</v>
      </c>
      <c r="GR69" s="689"/>
      <c r="GS69" s="458">
        <v>0</v>
      </c>
      <c r="GT69" s="458">
        <v>0</v>
      </c>
      <c r="GU69" s="458">
        <v>0</v>
      </c>
      <c r="GV69" s="458">
        <v>0</v>
      </c>
      <c r="GW69" s="458">
        <v>0</v>
      </c>
      <c r="GX69" s="458">
        <v>1</v>
      </c>
      <c r="GY69" s="690"/>
      <c r="GZ69" s="41"/>
      <c r="HA69" s="41"/>
      <c r="HB69" s="105"/>
      <c r="HC69" s="105"/>
      <c r="HD69" s="41"/>
      <c r="HE69" s="461" t="s">
        <v>15</v>
      </c>
      <c r="HF69" s="96"/>
      <c r="HG69" s="96">
        <v>1</v>
      </c>
      <c r="HH69" s="96">
        <v>1</v>
      </c>
      <c r="HI69" s="96"/>
      <c r="HJ69" s="96">
        <v>1</v>
      </c>
      <c r="HK69" s="96"/>
      <c r="HL69" s="96"/>
      <c r="HM69" s="96"/>
      <c r="HN69" s="96"/>
      <c r="HO69" s="96">
        <v>2</v>
      </c>
      <c r="HP69" s="96">
        <v>2</v>
      </c>
      <c r="HQ69" s="96">
        <v>11</v>
      </c>
      <c r="HR69" s="96">
        <v>1</v>
      </c>
      <c r="HS69" s="96"/>
      <c r="HT69" s="96"/>
      <c r="HU69" s="96"/>
      <c r="HV69" s="96">
        <v>19</v>
      </c>
      <c r="HW69" s="706">
        <f>+(HV66+HV68)/HV69</f>
        <v>0.36842105263157893</v>
      </c>
      <c r="HX69" s="41"/>
      <c r="HY69" s="691"/>
      <c r="HZ69" s="691"/>
      <c r="IA69" s="691"/>
      <c r="IB69" s="691" t="s">
        <v>1344</v>
      </c>
      <c r="IC69" s="691">
        <v>0</v>
      </c>
      <c r="ID69" s="691">
        <v>0</v>
      </c>
      <c r="IE69" s="691">
        <v>0</v>
      </c>
      <c r="IF69" s="691">
        <v>0</v>
      </c>
      <c r="IG69" s="691">
        <v>0</v>
      </c>
      <c r="IH69" s="691">
        <v>0</v>
      </c>
      <c r="II69" s="691">
        <v>0</v>
      </c>
      <c r="IJ69" s="691">
        <v>0</v>
      </c>
      <c r="IK69" s="691">
        <v>1</v>
      </c>
      <c r="IL69" s="691">
        <v>0</v>
      </c>
      <c r="IM69" s="691">
        <v>0</v>
      </c>
      <c r="IN69" s="691">
        <v>0</v>
      </c>
      <c r="IO69" s="691">
        <v>0</v>
      </c>
      <c r="IP69" s="691">
        <v>0</v>
      </c>
      <c r="IQ69" s="691">
        <v>0</v>
      </c>
      <c r="IR69" s="691">
        <v>0</v>
      </c>
      <c r="IS69" s="691">
        <v>1</v>
      </c>
      <c r="IT69" s="691"/>
      <c r="IU69" s="692"/>
    </row>
    <row r="70" spans="3:255">
      <c r="C70" s="4800" t="s">
        <v>122</v>
      </c>
      <c r="D70" s="4800" t="s">
        <v>1239</v>
      </c>
      <c r="E70" s="4606"/>
      <c r="F70" s="4606"/>
      <c r="G70" s="4606"/>
      <c r="H70" s="4606"/>
      <c r="I70" s="4606"/>
      <c r="J70" s="4606"/>
      <c r="K70" s="4606"/>
      <c r="L70" s="4606"/>
      <c r="M70" s="4606"/>
      <c r="N70" s="4606"/>
      <c r="O70" s="4606"/>
      <c r="P70" s="4606">
        <v>0</v>
      </c>
      <c r="Q70" s="4606">
        <v>1</v>
      </c>
      <c r="R70" s="4606"/>
      <c r="S70" s="2552"/>
      <c r="T70" s="2552"/>
      <c r="U70" s="2552">
        <v>1</v>
      </c>
      <c r="V70" s="2552"/>
      <c r="AA70" s="37" t="s">
        <v>1344</v>
      </c>
      <c r="AB70" s="4803"/>
      <c r="AC70" s="4803"/>
      <c r="AD70" s="4803"/>
      <c r="AE70" s="4803"/>
      <c r="AF70" s="4803"/>
      <c r="AG70" s="4803"/>
      <c r="AH70" s="4803"/>
      <c r="AI70" s="4803"/>
      <c r="AJ70" s="4803"/>
      <c r="AK70" s="4803"/>
      <c r="AL70" s="4803"/>
      <c r="AM70" s="4803">
        <v>1</v>
      </c>
      <c r="AN70" s="4803">
        <v>0</v>
      </c>
      <c r="AO70" s="4803"/>
      <c r="AP70" s="1788"/>
      <c r="AQ70" s="1788">
        <v>1</v>
      </c>
      <c r="AT70" s="41"/>
      <c r="AU70" s="41"/>
      <c r="AV70" s="41" t="s">
        <v>121</v>
      </c>
      <c r="AW70" s="41" t="s">
        <v>1231</v>
      </c>
      <c r="AX70" s="690"/>
      <c r="AY70" s="690"/>
      <c r="AZ70" s="690">
        <v>1</v>
      </c>
      <c r="BA70" s="690"/>
      <c r="BB70" s="690"/>
      <c r="BC70" s="690"/>
      <c r="BD70" s="690"/>
      <c r="BE70" s="690"/>
      <c r="BF70" s="690"/>
      <c r="BG70" s="690"/>
      <c r="BH70" s="690"/>
      <c r="BI70" s="690">
        <v>0</v>
      </c>
      <c r="BJ70" s="690"/>
      <c r="BK70" s="690">
        <v>0</v>
      </c>
      <c r="BL70" s="690">
        <v>0</v>
      </c>
      <c r="BM70" s="41">
        <v>0</v>
      </c>
      <c r="BN70" s="41">
        <v>0</v>
      </c>
      <c r="BO70" s="41">
        <v>1</v>
      </c>
      <c r="BP70" s="41"/>
      <c r="BR70" s="41"/>
      <c r="BS70" s="41"/>
      <c r="BT70" s="41" t="s">
        <v>544</v>
      </c>
      <c r="BU70" s="41" t="s">
        <v>1231</v>
      </c>
      <c r="BV70" s="2001"/>
      <c r="BW70" s="2001"/>
      <c r="BX70" s="2001"/>
      <c r="BY70" s="2001"/>
      <c r="BZ70" s="2001">
        <v>4</v>
      </c>
      <c r="CA70" s="2001"/>
      <c r="CB70" s="2001">
        <v>1</v>
      </c>
      <c r="CC70" s="2001"/>
      <c r="CD70" s="2001"/>
      <c r="CE70" s="2001"/>
      <c r="CF70" s="2001"/>
      <c r="CG70" s="2001">
        <v>1</v>
      </c>
      <c r="CH70" s="2001">
        <v>0</v>
      </c>
      <c r="CI70" s="2001">
        <v>0</v>
      </c>
      <c r="CJ70" s="2001">
        <v>1</v>
      </c>
      <c r="CK70" s="105">
        <v>1</v>
      </c>
      <c r="CL70" s="105">
        <v>0</v>
      </c>
      <c r="CM70" s="105">
        <v>8</v>
      </c>
      <c r="CN70" s="41"/>
      <c r="CR70" s="41"/>
      <c r="CS70" s="41" t="s">
        <v>1233</v>
      </c>
      <c r="CT70" s="1665"/>
      <c r="CU70" s="1665">
        <v>1</v>
      </c>
      <c r="CV70" s="1665"/>
      <c r="CW70" s="1665"/>
      <c r="CX70" s="1665"/>
      <c r="CY70" s="1665">
        <v>0</v>
      </c>
      <c r="CZ70" s="1665"/>
      <c r="DA70" s="1665">
        <v>0</v>
      </c>
      <c r="DB70" s="1665"/>
      <c r="DC70" s="1665">
        <v>0</v>
      </c>
      <c r="DD70" s="1665"/>
      <c r="DE70" s="1665"/>
      <c r="DF70" s="1665">
        <v>0</v>
      </c>
      <c r="DG70" s="1665">
        <v>0</v>
      </c>
      <c r="DH70" s="1665">
        <v>0</v>
      </c>
      <c r="DI70" s="41">
        <v>0</v>
      </c>
      <c r="DJ70" s="41">
        <v>0</v>
      </c>
      <c r="DK70" s="41">
        <v>1</v>
      </c>
      <c r="DL70" s="41"/>
      <c r="DN70" s="1375"/>
      <c r="DO70" s="1375"/>
      <c r="DP70" s="1375"/>
      <c r="DQ70" s="1376" t="s">
        <v>1235</v>
      </c>
      <c r="DR70" s="1377"/>
      <c r="DS70" s="1378">
        <v>0</v>
      </c>
      <c r="DT70" s="1378">
        <v>0</v>
      </c>
      <c r="DU70" s="1377"/>
      <c r="DV70" s="1377"/>
      <c r="DW70" s="1377"/>
      <c r="DX70" s="1377"/>
      <c r="DY70" s="1377"/>
      <c r="DZ70" s="1378">
        <v>0</v>
      </c>
      <c r="EA70" s="1378">
        <v>0</v>
      </c>
      <c r="EB70" s="1378">
        <v>1</v>
      </c>
      <c r="EC70" s="1378">
        <v>0</v>
      </c>
      <c r="ED70" s="1378">
        <v>0</v>
      </c>
      <c r="EE70" s="1380">
        <v>0</v>
      </c>
      <c r="EF70" s="1380">
        <v>0</v>
      </c>
      <c r="EG70" s="1380">
        <v>1</v>
      </c>
      <c r="EH70" s="41"/>
      <c r="EJ70" s="678"/>
      <c r="EK70" s="678"/>
      <c r="EL70" s="678"/>
      <c r="EM70" s="679" t="s">
        <v>1239</v>
      </c>
      <c r="EN70" s="680"/>
      <c r="EO70" s="680"/>
      <c r="EP70" s="680"/>
      <c r="EQ70" s="680"/>
      <c r="ER70" s="680"/>
      <c r="ES70" s="680"/>
      <c r="ET70" s="680"/>
      <c r="EU70" s="680"/>
      <c r="EV70" s="680"/>
      <c r="EW70" s="680"/>
      <c r="EX70" s="681">
        <v>0</v>
      </c>
      <c r="EY70" s="680"/>
      <c r="EZ70" s="680"/>
      <c r="FA70" s="680"/>
      <c r="FB70" s="681">
        <v>7</v>
      </c>
      <c r="FC70" s="682"/>
      <c r="FD70" s="682"/>
      <c r="FE70" s="683">
        <v>7</v>
      </c>
      <c r="FF70" s="105"/>
      <c r="FH70" s="511"/>
      <c r="FI70" s="511"/>
      <c r="FJ70" s="511"/>
      <c r="FK70" s="41"/>
      <c r="FL70" s="532" t="s">
        <v>544</v>
      </c>
      <c r="FM70" s="693"/>
      <c r="FN70" s="693"/>
      <c r="FO70" s="693"/>
      <c r="FP70" s="694">
        <v>1</v>
      </c>
      <c r="FQ70" s="693"/>
      <c r="FR70" s="693"/>
      <c r="FS70" s="693"/>
      <c r="FT70" s="694">
        <v>1</v>
      </c>
      <c r="FU70" s="694">
        <v>2</v>
      </c>
      <c r="FV70" s="693"/>
      <c r="FW70" s="694">
        <v>1</v>
      </c>
      <c r="FX70" s="694">
        <v>3</v>
      </c>
      <c r="FY70" s="694">
        <v>3</v>
      </c>
      <c r="FZ70" s="694">
        <v>4</v>
      </c>
      <c r="GA70" s="694">
        <v>15</v>
      </c>
      <c r="GB70" s="696">
        <v>4</v>
      </c>
      <c r="GC70" s="696">
        <v>6</v>
      </c>
      <c r="GD70" s="696">
        <v>40</v>
      </c>
      <c r="GE70" s="635">
        <f>+(GD69+GD67)/GD70</f>
        <v>0.22500000000000001</v>
      </c>
      <c r="GF70" s="41"/>
      <c r="GG70" s="688"/>
      <c r="GH70" s="688"/>
      <c r="GI70" s="688"/>
      <c r="GJ70" s="457" t="s">
        <v>1233</v>
      </c>
      <c r="GK70" s="458">
        <v>0</v>
      </c>
      <c r="GL70" s="689"/>
      <c r="GM70" s="689"/>
      <c r="GN70" s="458">
        <v>1</v>
      </c>
      <c r="GO70" s="689"/>
      <c r="GP70" s="689"/>
      <c r="GQ70" s="458">
        <v>0</v>
      </c>
      <c r="GR70" s="689"/>
      <c r="GS70" s="458">
        <v>0</v>
      </c>
      <c r="GT70" s="458">
        <v>0</v>
      </c>
      <c r="GU70" s="458">
        <v>0</v>
      </c>
      <c r="GV70" s="458">
        <v>0</v>
      </c>
      <c r="GW70" s="458">
        <v>0</v>
      </c>
      <c r="GX70" s="458">
        <v>1</v>
      </c>
      <c r="GY70" s="690"/>
      <c r="GZ70" s="41"/>
      <c r="HA70" s="41"/>
      <c r="HB70" s="105"/>
      <c r="HC70" s="105"/>
      <c r="HD70" s="41" t="s">
        <v>127</v>
      </c>
      <c r="HE70" s="41" t="s">
        <v>1235</v>
      </c>
      <c r="HF70" s="105"/>
      <c r="HG70" s="105"/>
      <c r="HH70" s="105"/>
      <c r="HI70" s="105"/>
      <c r="HJ70" s="105"/>
      <c r="HK70" s="105"/>
      <c r="HL70" s="105"/>
      <c r="HM70" s="105"/>
      <c r="HN70" s="105"/>
      <c r="HO70" s="105">
        <v>1</v>
      </c>
      <c r="HP70" s="105">
        <v>2</v>
      </c>
      <c r="HQ70" s="105">
        <v>2</v>
      </c>
      <c r="HR70" s="105">
        <v>1</v>
      </c>
      <c r="HS70" s="105"/>
      <c r="HT70" s="105"/>
      <c r="HU70" s="105"/>
      <c r="HV70" s="105">
        <v>6</v>
      </c>
      <c r="HW70" s="41"/>
      <c r="HX70" s="41"/>
      <c r="HY70" s="691"/>
      <c r="HZ70" s="691"/>
      <c r="IA70" s="691"/>
      <c r="IB70" s="702" t="s">
        <v>15</v>
      </c>
      <c r="IC70" s="702">
        <v>0</v>
      </c>
      <c r="ID70" s="702">
        <v>0</v>
      </c>
      <c r="IE70" s="702">
        <v>0</v>
      </c>
      <c r="IF70" s="702">
        <v>0</v>
      </c>
      <c r="IG70" s="702">
        <v>0</v>
      </c>
      <c r="IH70" s="702">
        <v>0</v>
      </c>
      <c r="II70" s="702">
        <v>0</v>
      </c>
      <c r="IJ70" s="702">
        <v>0</v>
      </c>
      <c r="IK70" s="702">
        <v>1</v>
      </c>
      <c r="IL70" s="702">
        <v>0</v>
      </c>
      <c r="IM70" s="702">
        <v>0</v>
      </c>
      <c r="IN70" s="702">
        <v>0</v>
      </c>
      <c r="IO70" s="702">
        <v>0</v>
      </c>
      <c r="IP70" s="702">
        <v>0</v>
      </c>
      <c r="IQ70" s="702">
        <v>1</v>
      </c>
      <c r="IR70" s="702">
        <v>0</v>
      </c>
      <c r="IS70" s="702">
        <v>2</v>
      </c>
      <c r="IT70" s="703">
        <f>+(IS69+IS68-IQ68)/IS70</f>
        <v>0.5</v>
      </c>
      <c r="IU70" s="692">
        <f>+IS69</f>
        <v>1</v>
      </c>
    </row>
    <row r="71" spans="3:255">
      <c r="D71" s="4800" t="s">
        <v>1344</v>
      </c>
      <c r="E71" s="4606"/>
      <c r="F71" s="4606"/>
      <c r="G71" s="4606"/>
      <c r="H71" s="4606"/>
      <c r="I71" s="4606"/>
      <c r="J71" s="4606"/>
      <c r="K71" s="4606"/>
      <c r="L71" s="4606"/>
      <c r="M71" s="4606"/>
      <c r="N71" s="4606"/>
      <c r="O71" s="4606"/>
      <c r="P71" s="4606">
        <v>1</v>
      </c>
      <c r="Q71" s="4606">
        <v>0</v>
      </c>
      <c r="R71" s="4606"/>
      <c r="S71" s="2552"/>
      <c r="T71" s="2552"/>
      <c r="U71" s="2552">
        <v>1</v>
      </c>
      <c r="V71" s="2552"/>
      <c r="AA71" s="1793" t="s">
        <v>15</v>
      </c>
      <c r="AB71" s="4804"/>
      <c r="AC71" s="4804"/>
      <c r="AD71" s="4804"/>
      <c r="AE71" s="4804"/>
      <c r="AF71" s="4804"/>
      <c r="AG71" s="4804"/>
      <c r="AH71" s="4804"/>
      <c r="AI71" s="4804"/>
      <c r="AJ71" s="4804"/>
      <c r="AK71" s="4804"/>
      <c r="AL71" s="4804"/>
      <c r="AM71" s="4804">
        <v>1</v>
      </c>
      <c r="AN71" s="4804">
        <v>1</v>
      </c>
      <c r="AO71" s="4804"/>
      <c r="AP71" s="4702"/>
      <c r="AQ71" s="4702">
        <v>2</v>
      </c>
      <c r="AR71" s="4703">
        <f>+AQ70/AQ71</f>
        <v>0.5</v>
      </c>
      <c r="AT71" s="41"/>
      <c r="AU71" s="41"/>
      <c r="AV71" s="41"/>
      <c r="AW71" s="41" t="s">
        <v>1235</v>
      </c>
      <c r="AX71" s="690"/>
      <c r="AY71" s="690"/>
      <c r="AZ71" s="690">
        <v>0</v>
      </c>
      <c r="BA71" s="690"/>
      <c r="BB71" s="690"/>
      <c r="BC71" s="690"/>
      <c r="BD71" s="690"/>
      <c r="BE71" s="690"/>
      <c r="BF71" s="690"/>
      <c r="BG71" s="690"/>
      <c r="BH71" s="690"/>
      <c r="BI71" s="690">
        <v>1</v>
      </c>
      <c r="BJ71" s="690"/>
      <c r="BK71" s="690">
        <v>1</v>
      </c>
      <c r="BL71" s="690">
        <v>1</v>
      </c>
      <c r="BM71" s="41">
        <v>0</v>
      </c>
      <c r="BN71" s="41">
        <v>0</v>
      </c>
      <c r="BO71" s="41">
        <v>3</v>
      </c>
      <c r="BP71" s="41"/>
      <c r="BR71" s="41"/>
      <c r="BS71" s="41"/>
      <c r="BT71" s="41"/>
      <c r="BU71" s="41" t="s">
        <v>1235</v>
      </c>
      <c r="BV71" s="2001"/>
      <c r="BW71" s="2001"/>
      <c r="BX71" s="2001"/>
      <c r="BY71" s="2001"/>
      <c r="BZ71" s="2001">
        <v>0</v>
      </c>
      <c r="CA71" s="2001"/>
      <c r="CB71" s="2001">
        <v>0</v>
      </c>
      <c r="CC71" s="2001"/>
      <c r="CD71" s="2001"/>
      <c r="CE71" s="2001"/>
      <c r="CF71" s="2001"/>
      <c r="CG71" s="2001">
        <v>0</v>
      </c>
      <c r="CH71" s="2001">
        <v>3</v>
      </c>
      <c r="CI71" s="2001">
        <v>3</v>
      </c>
      <c r="CJ71" s="2001">
        <v>1</v>
      </c>
      <c r="CK71" s="105">
        <v>1</v>
      </c>
      <c r="CL71" s="105">
        <v>0</v>
      </c>
      <c r="CM71" s="105">
        <v>8</v>
      </c>
      <c r="CN71" s="41"/>
      <c r="CR71" s="41"/>
      <c r="CS71" s="41" t="s">
        <v>1235</v>
      </c>
      <c r="CT71" s="1665"/>
      <c r="CU71" s="1665">
        <v>0</v>
      </c>
      <c r="CV71" s="1665"/>
      <c r="CW71" s="1665"/>
      <c r="CX71" s="1665"/>
      <c r="CY71" s="1665">
        <v>0</v>
      </c>
      <c r="CZ71" s="1665"/>
      <c r="DA71" s="1665">
        <v>0</v>
      </c>
      <c r="DB71" s="1665"/>
      <c r="DC71" s="1665">
        <v>0</v>
      </c>
      <c r="DD71" s="1665"/>
      <c r="DE71" s="1665"/>
      <c r="DF71" s="1665">
        <v>0</v>
      </c>
      <c r="DG71" s="1665">
        <v>1</v>
      </c>
      <c r="DH71" s="1665">
        <v>0</v>
      </c>
      <c r="DI71" s="41">
        <v>0</v>
      </c>
      <c r="DJ71" s="41">
        <v>0</v>
      </c>
      <c r="DK71" s="41">
        <v>1</v>
      </c>
      <c r="DL71" s="41"/>
      <c r="DN71" s="1375"/>
      <c r="DO71" s="1375"/>
      <c r="DP71" s="1375"/>
      <c r="DQ71" s="1376" t="s">
        <v>1236</v>
      </c>
      <c r="DR71" s="1377"/>
      <c r="DS71" s="1378">
        <v>0</v>
      </c>
      <c r="DT71" s="1378">
        <v>1</v>
      </c>
      <c r="DU71" s="1377"/>
      <c r="DV71" s="1377"/>
      <c r="DW71" s="1377"/>
      <c r="DX71" s="1377"/>
      <c r="DY71" s="1377"/>
      <c r="DZ71" s="1378">
        <v>0</v>
      </c>
      <c r="EA71" s="1378">
        <v>0</v>
      </c>
      <c r="EB71" s="1378">
        <v>0</v>
      </c>
      <c r="EC71" s="1378">
        <v>0</v>
      </c>
      <c r="ED71" s="1378">
        <v>0</v>
      </c>
      <c r="EE71" s="1380">
        <v>0</v>
      </c>
      <c r="EF71" s="1380">
        <v>0</v>
      </c>
      <c r="EG71" s="1380">
        <v>1</v>
      </c>
      <c r="EH71" s="41"/>
      <c r="EJ71" s="678"/>
      <c r="EK71" s="678"/>
      <c r="EL71" s="678"/>
      <c r="EM71" s="679" t="s">
        <v>1344</v>
      </c>
      <c r="EN71" s="680"/>
      <c r="EO71" s="680"/>
      <c r="EP71" s="680"/>
      <c r="EQ71" s="680"/>
      <c r="ER71" s="680"/>
      <c r="ES71" s="680"/>
      <c r="ET71" s="680"/>
      <c r="EU71" s="680"/>
      <c r="EV71" s="680"/>
      <c r="EW71" s="680"/>
      <c r="EX71" s="681">
        <v>1</v>
      </c>
      <c r="EY71" s="680"/>
      <c r="EZ71" s="680"/>
      <c r="FA71" s="680"/>
      <c r="FB71" s="681">
        <v>0</v>
      </c>
      <c r="FC71" s="682"/>
      <c r="FD71" s="682"/>
      <c r="FE71" s="683">
        <v>1</v>
      </c>
      <c r="FF71" s="105"/>
      <c r="FH71" s="511"/>
      <c r="FI71" s="511" t="s">
        <v>16</v>
      </c>
      <c r="FJ71" s="511" t="s">
        <v>107</v>
      </c>
      <c r="FK71" s="511" t="s">
        <v>1229</v>
      </c>
      <c r="FL71" s="512" t="s">
        <v>1230</v>
      </c>
      <c r="FM71" s="684"/>
      <c r="FN71" s="684"/>
      <c r="FO71" s="685">
        <v>0</v>
      </c>
      <c r="FP71" s="684"/>
      <c r="FQ71" s="684"/>
      <c r="FR71" s="684"/>
      <c r="FS71" s="685">
        <v>0</v>
      </c>
      <c r="FT71" s="684"/>
      <c r="FU71" s="685">
        <v>0</v>
      </c>
      <c r="FV71" s="685">
        <v>0</v>
      </c>
      <c r="FW71" s="685">
        <v>0</v>
      </c>
      <c r="FX71" s="685">
        <v>0</v>
      </c>
      <c r="FY71" s="684"/>
      <c r="FZ71" s="685">
        <v>0</v>
      </c>
      <c r="GA71" s="685">
        <v>1</v>
      </c>
      <c r="GB71" s="686"/>
      <c r="GC71" s="687">
        <v>0</v>
      </c>
      <c r="GD71" s="687">
        <v>1</v>
      </c>
      <c r="GE71" s="635"/>
      <c r="GF71" s="41"/>
      <c r="GG71" s="688"/>
      <c r="GH71" s="688"/>
      <c r="GI71" s="688"/>
      <c r="GJ71" s="457" t="s">
        <v>1235</v>
      </c>
      <c r="GK71" s="458">
        <v>0</v>
      </c>
      <c r="GL71" s="689"/>
      <c r="GM71" s="689"/>
      <c r="GN71" s="458">
        <v>0</v>
      </c>
      <c r="GO71" s="689"/>
      <c r="GP71" s="689"/>
      <c r="GQ71" s="458">
        <v>0</v>
      </c>
      <c r="GR71" s="689"/>
      <c r="GS71" s="458">
        <v>1</v>
      </c>
      <c r="GT71" s="458">
        <v>2</v>
      </c>
      <c r="GU71" s="458">
        <v>2</v>
      </c>
      <c r="GV71" s="458">
        <v>1</v>
      </c>
      <c r="GW71" s="458">
        <v>0</v>
      </c>
      <c r="GX71" s="458">
        <v>6</v>
      </c>
      <c r="GY71" s="690"/>
      <c r="GZ71" s="41"/>
      <c r="HA71" s="41"/>
      <c r="HB71" s="105"/>
      <c r="HC71" s="105"/>
      <c r="HD71" s="41"/>
      <c r="HE71" s="461" t="s">
        <v>15</v>
      </c>
      <c r="HF71" s="96"/>
      <c r="HG71" s="96"/>
      <c r="HH71" s="96"/>
      <c r="HI71" s="96"/>
      <c r="HJ71" s="96"/>
      <c r="HK71" s="96"/>
      <c r="HL71" s="96"/>
      <c r="HM71" s="96"/>
      <c r="HN71" s="96"/>
      <c r="HO71" s="96">
        <v>1</v>
      </c>
      <c r="HP71" s="96">
        <v>2</v>
      </c>
      <c r="HQ71" s="96">
        <v>2</v>
      </c>
      <c r="HR71" s="96">
        <v>1</v>
      </c>
      <c r="HS71" s="96"/>
      <c r="HT71" s="96"/>
      <c r="HU71" s="96"/>
      <c r="HV71" s="96">
        <v>6</v>
      </c>
      <c r="HW71" s="707">
        <f>+HV70/HV71</f>
        <v>1</v>
      </c>
      <c r="HX71" s="41"/>
      <c r="HY71" s="691"/>
      <c r="HZ71" s="691"/>
      <c r="IA71" s="691" t="s">
        <v>130</v>
      </c>
      <c r="IB71" s="691" t="s">
        <v>1235</v>
      </c>
      <c r="IC71" s="691">
        <v>0</v>
      </c>
      <c r="ID71" s="691">
        <v>0</v>
      </c>
      <c r="IE71" s="691">
        <v>0</v>
      </c>
      <c r="IF71" s="691">
        <v>0</v>
      </c>
      <c r="IG71" s="691">
        <v>0</v>
      </c>
      <c r="IH71" s="691">
        <v>0</v>
      </c>
      <c r="II71" s="691">
        <v>0</v>
      </c>
      <c r="IJ71" s="691">
        <v>0</v>
      </c>
      <c r="IK71" s="691">
        <v>0</v>
      </c>
      <c r="IL71" s="691">
        <v>0</v>
      </c>
      <c r="IM71" s="691">
        <v>0</v>
      </c>
      <c r="IN71" s="691">
        <v>0</v>
      </c>
      <c r="IO71" s="691">
        <v>0</v>
      </c>
      <c r="IP71" s="691">
        <v>1</v>
      </c>
      <c r="IQ71" s="691">
        <v>1</v>
      </c>
      <c r="IR71" s="691">
        <v>0</v>
      </c>
      <c r="IS71" s="691">
        <v>2</v>
      </c>
      <c r="IT71" s="691"/>
      <c r="IU71" s="692"/>
    </row>
    <row r="72" spans="3:255">
      <c r="D72" s="4800" t="s">
        <v>15</v>
      </c>
      <c r="E72" s="4606"/>
      <c r="F72" s="4606"/>
      <c r="G72" s="4606"/>
      <c r="H72" s="4606"/>
      <c r="I72" s="4606"/>
      <c r="J72" s="4606"/>
      <c r="K72" s="4606"/>
      <c r="L72" s="4606"/>
      <c r="M72" s="4606"/>
      <c r="N72" s="4606"/>
      <c r="O72" s="4606"/>
      <c r="P72" s="4606">
        <v>1</v>
      </c>
      <c r="Q72" s="4606">
        <v>1</v>
      </c>
      <c r="R72" s="4606"/>
      <c r="S72" s="2552"/>
      <c r="T72" s="2552"/>
      <c r="U72" s="2552">
        <v>2</v>
      </c>
      <c r="V72" s="1977">
        <f>+(U71)/(U72)</f>
        <v>0.5</v>
      </c>
      <c r="Z72" s="37" t="s">
        <v>123</v>
      </c>
      <c r="AA72" s="37" t="s">
        <v>1231</v>
      </c>
      <c r="AB72" s="4803"/>
      <c r="AC72" s="4803"/>
      <c r="AD72" s="4803"/>
      <c r="AE72" s="4803"/>
      <c r="AF72" s="4803"/>
      <c r="AG72" s="4803"/>
      <c r="AH72" s="4803"/>
      <c r="AI72" s="4803"/>
      <c r="AJ72" s="4803">
        <v>1</v>
      </c>
      <c r="AK72" s="4803"/>
      <c r="AL72" s="4803"/>
      <c r="AM72" s="4803">
        <v>0</v>
      </c>
      <c r="AN72" s="4803">
        <v>0</v>
      </c>
      <c r="AO72" s="4803">
        <v>0</v>
      </c>
      <c r="AP72" s="1788"/>
      <c r="AQ72" s="1788">
        <v>1</v>
      </c>
      <c r="AT72" s="41"/>
      <c r="AU72" s="41"/>
      <c r="AV72" s="41"/>
      <c r="AW72" s="41" t="s">
        <v>1239</v>
      </c>
      <c r="AX72" s="690"/>
      <c r="AY72" s="690"/>
      <c r="AZ72" s="690">
        <v>0</v>
      </c>
      <c r="BA72" s="690"/>
      <c r="BB72" s="690"/>
      <c r="BC72" s="690"/>
      <c r="BD72" s="690"/>
      <c r="BE72" s="690"/>
      <c r="BF72" s="690"/>
      <c r="BG72" s="690"/>
      <c r="BH72" s="690"/>
      <c r="BI72" s="690">
        <v>0</v>
      </c>
      <c r="BJ72" s="690"/>
      <c r="BK72" s="690">
        <v>0</v>
      </c>
      <c r="BL72" s="690">
        <v>2</v>
      </c>
      <c r="BM72" s="41">
        <v>2</v>
      </c>
      <c r="BN72" s="41">
        <v>1</v>
      </c>
      <c r="BO72" s="41">
        <v>5</v>
      </c>
      <c r="BP72" s="41"/>
      <c r="BR72" s="41"/>
      <c r="BS72" s="41"/>
      <c r="BT72" s="41"/>
      <c r="BU72" s="41" t="s">
        <v>1239</v>
      </c>
      <c r="BV72" s="2001"/>
      <c r="BW72" s="2001"/>
      <c r="BX72" s="2001"/>
      <c r="BY72" s="2001"/>
      <c r="BZ72" s="2001">
        <v>0</v>
      </c>
      <c r="CA72" s="2001"/>
      <c r="CB72" s="2001">
        <v>0</v>
      </c>
      <c r="CC72" s="2001"/>
      <c r="CD72" s="2001"/>
      <c r="CE72" s="2001"/>
      <c r="CF72" s="2001"/>
      <c r="CG72" s="2001">
        <v>0</v>
      </c>
      <c r="CH72" s="2001">
        <v>0</v>
      </c>
      <c r="CI72" s="2001">
        <v>0</v>
      </c>
      <c r="CJ72" s="2001">
        <v>11</v>
      </c>
      <c r="CK72" s="105">
        <v>4</v>
      </c>
      <c r="CL72" s="105">
        <v>12</v>
      </c>
      <c r="CM72" s="105">
        <v>27</v>
      </c>
      <c r="CN72" s="41"/>
      <c r="CR72" s="41"/>
      <c r="CS72" s="41" t="s">
        <v>1236</v>
      </c>
      <c r="CT72" s="1665"/>
      <c r="CU72" s="1665">
        <v>0</v>
      </c>
      <c r="CV72" s="1665"/>
      <c r="CW72" s="1665"/>
      <c r="CX72" s="1665"/>
      <c r="CY72" s="1665">
        <v>0</v>
      </c>
      <c r="CZ72" s="1665"/>
      <c r="DA72" s="1665">
        <v>0</v>
      </c>
      <c r="DB72" s="1665"/>
      <c r="DC72" s="1665">
        <v>1</v>
      </c>
      <c r="DD72" s="1665"/>
      <c r="DE72" s="1665"/>
      <c r="DF72" s="1665">
        <v>0</v>
      </c>
      <c r="DG72" s="1665">
        <v>0</v>
      </c>
      <c r="DH72" s="1665">
        <v>0</v>
      </c>
      <c r="DI72" s="41">
        <v>0</v>
      </c>
      <c r="DJ72" s="41">
        <v>0</v>
      </c>
      <c r="DK72" s="41">
        <v>1</v>
      </c>
      <c r="DL72" s="41"/>
      <c r="DN72" s="1375"/>
      <c r="DO72" s="1375"/>
      <c r="DP72" s="1375"/>
      <c r="DQ72" s="1376" t="s">
        <v>1239</v>
      </c>
      <c r="DR72" s="1377"/>
      <c r="DS72" s="1378">
        <v>0</v>
      </c>
      <c r="DT72" s="1378">
        <v>0</v>
      </c>
      <c r="DU72" s="1377"/>
      <c r="DV72" s="1377"/>
      <c r="DW72" s="1377"/>
      <c r="DX72" s="1377"/>
      <c r="DY72" s="1377"/>
      <c r="DZ72" s="1378">
        <v>0</v>
      </c>
      <c r="EA72" s="1378">
        <v>0</v>
      </c>
      <c r="EB72" s="1378">
        <v>0</v>
      </c>
      <c r="EC72" s="1378">
        <v>0</v>
      </c>
      <c r="ED72" s="1378">
        <v>0</v>
      </c>
      <c r="EE72" s="1380">
        <v>0</v>
      </c>
      <c r="EF72" s="1380">
        <v>1</v>
      </c>
      <c r="EG72" s="1380">
        <v>1</v>
      </c>
      <c r="EH72" s="41"/>
      <c r="EJ72" s="678"/>
      <c r="EK72" s="678"/>
      <c r="EL72" s="678"/>
      <c r="EM72" s="697" t="s">
        <v>15</v>
      </c>
      <c r="EN72" s="698"/>
      <c r="EO72" s="698"/>
      <c r="EP72" s="698"/>
      <c r="EQ72" s="698"/>
      <c r="ER72" s="698"/>
      <c r="ES72" s="698"/>
      <c r="ET72" s="698"/>
      <c r="EU72" s="698"/>
      <c r="EV72" s="698"/>
      <c r="EW72" s="698"/>
      <c r="EX72" s="699">
        <v>1</v>
      </c>
      <c r="EY72" s="698"/>
      <c r="EZ72" s="698"/>
      <c r="FA72" s="698"/>
      <c r="FB72" s="699">
        <v>8</v>
      </c>
      <c r="FC72" s="700"/>
      <c r="FD72" s="700"/>
      <c r="FE72" s="701">
        <v>9</v>
      </c>
      <c r="FF72" s="635">
        <f>+FE71/FE72</f>
        <v>0.1111111111111111</v>
      </c>
      <c r="FH72" s="511"/>
      <c r="FI72" s="511"/>
      <c r="FJ72" s="511"/>
      <c r="FK72" s="511"/>
      <c r="FL72" s="512" t="s">
        <v>1231</v>
      </c>
      <c r="FM72" s="684"/>
      <c r="FN72" s="684"/>
      <c r="FO72" s="685">
        <v>1</v>
      </c>
      <c r="FP72" s="684"/>
      <c r="FQ72" s="684"/>
      <c r="FR72" s="684"/>
      <c r="FS72" s="685">
        <v>1</v>
      </c>
      <c r="FT72" s="684"/>
      <c r="FU72" s="685">
        <v>0</v>
      </c>
      <c r="FV72" s="685">
        <v>2</v>
      </c>
      <c r="FW72" s="685">
        <v>0</v>
      </c>
      <c r="FX72" s="685">
        <v>0</v>
      </c>
      <c r="FY72" s="684"/>
      <c r="FZ72" s="685">
        <v>1</v>
      </c>
      <c r="GA72" s="685">
        <v>0</v>
      </c>
      <c r="GB72" s="686"/>
      <c r="GC72" s="687">
        <v>0</v>
      </c>
      <c r="GD72" s="687">
        <v>5</v>
      </c>
      <c r="GE72" s="635"/>
      <c r="GF72" s="41"/>
      <c r="GG72" s="688"/>
      <c r="GH72" s="688"/>
      <c r="GI72" s="688"/>
      <c r="GJ72" s="457" t="s">
        <v>1239</v>
      </c>
      <c r="GK72" s="458">
        <v>0</v>
      </c>
      <c r="GL72" s="689"/>
      <c r="GM72" s="689"/>
      <c r="GN72" s="458">
        <v>0</v>
      </c>
      <c r="GO72" s="689"/>
      <c r="GP72" s="689"/>
      <c r="GQ72" s="458">
        <v>0</v>
      </c>
      <c r="GR72" s="689"/>
      <c r="GS72" s="458">
        <v>0</v>
      </c>
      <c r="GT72" s="458">
        <v>0</v>
      </c>
      <c r="GU72" s="458">
        <v>5</v>
      </c>
      <c r="GV72" s="458">
        <v>0</v>
      </c>
      <c r="GW72" s="458">
        <v>1</v>
      </c>
      <c r="GX72" s="458">
        <v>6</v>
      </c>
      <c r="GY72" s="690"/>
      <c r="GZ72" s="41"/>
      <c r="HA72" s="41"/>
      <c r="HB72" s="105"/>
      <c r="HC72" s="105"/>
      <c r="HD72" s="41" t="s">
        <v>128</v>
      </c>
      <c r="HE72" s="41" t="s">
        <v>1230</v>
      </c>
      <c r="HF72" s="105">
        <v>0</v>
      </c>
      <c r="HG72" s="105"/>
      <c r="HH72" s="105"/>
      <c r="HI72" s="105"/>
      <c r="HJ72" s="105">
        <v>1</v>
      </c>
      <c r="HK72" s="105"/>
      <c r="HL72" s="105"/>
      <c r="HM72" s="105"/>
      <c r="HN72" s="105"/>
      <c r="HO72" s="105"/>
      <c r="HP72" s="105">
        <v>0</v>
      </c>
      <c r="HQ72" s="105">
        <v>0</v>
      </c>
      <c r="HR72" s="105">
        <v>0</v>
      </c>
      <c r="HS72" s="105"/>
      <c r="HT72" s="105"/>
      <c r="HU72" s="105">
        <v>0</v>
      </c>
      <c r="HV72" s="105">
        <v>1</v>
      </c>
      <c r="HW72" s="41"/>
      <c r="HX72" s="41"/>
      <c r="HY72" s="691"/>
      <c r="HZ72" s="691"/>
      <c r="IA72" s="691"/>
      <c r="IB72" s="691" t="s">
        <v>1239</v>
      </c>
      <c r="IC72" s="691">
        <v>0</v>
      </c>
      <c r="ID72" s="691">
        <v>0</v>
      </c>
      <c r="IE72" s="691">
        <v>0</v>
      </c>
      <c r="IF72" s="691">
        <v>0</v>
      </c>
      <c r="IG72" s="691">
        <v>0</v>
      </c>
      <c r="IH72" s="691">
        <v>0</v>
      </c>
      <c r="II72" s="691">
        <v>0</v>
      </c>
      <c r="IJ72" s="691">
        <v>0</v>
      </c>
      <c r="IK72" s="691">
        <v>0</v>
      </c>
      <c r="IL72" s="691">
        <v>0</v>
      </c>
      <c r="IM72" s="691">
        <v>0</v>
      </c>
      <c r="IN72" s="691">
        <v>0</v>
      </c>
      <c r="IO72" s="691">
        <v>0</v>
      </c>
      <c r="IP72" s="691">
        <v>1</v>
      </c>
      <c r="IQ72" s="691">
        <v>0</v>
      </c>
      <c r="IR72" s="691">
        <v>1</v>
      </c>
      <c r="IS72" s="691">
        <v>2</v>
      </c>
      <c r="IT72" s="691"/>
      <c r="IU72" s="692"/>
    </row>
    <row r="73" spans="3:255">
      <c r="C73" s="4800" t="s">
        <v>123</v>
      </c>
      <c r="D73" s="4800" t="s">
        <v>1231</v>
      </c>
      <c r="E73" s="4606"/>
      <c r="F73" s="4606"/>
      <c r="G73" s="4606"/>
      <c r="H73" s="4606"/>
      <c r="I73" s="4606"/>
      <c r="J73" s="4606"/>
      <c r="K73" s="4606"/>
      <c r="L73" s="4606"/>
      <c r="M73" s="4606">
        <v>1</v>
      </c>
      <c r="N73" s="4606"/>
      <c r="O73" s="4606"/>
      <c r="P73" s="4606">
        <v>0</v>
      </c>
      <c r="Q73" s="4606">
        <v>0</v>
      </c>
      <c r="R73" s="4606">
        <v>0</v>
      </c>
      <c r="S73" s="2552"/>
      <c r="T73" s="2552"/>
      <c r="U73" s="2552">
        <v>1</v>
      </c>
      <c r="V73" s="2552"/>
      <c r="AA73" s="37" t="s">
        <v>1239</v>
      </c>
      <c r="AB73" s="4803"/>
      <c r="AC73" s="4803"/>
      <c r="AD73" s="4803"/>
      <c r="AE73" s="4803"/>
      <c r="AF73" s="4803"/>
      <c r="AG73" s="4803"/>
      <c r="AH73" s="4803"/>
      <c r="AI73" s="4803"/>
      <c r="AJ73" s="4803">
        <v>0</v>
      </c>
      <c r="AK73" s="4803"/>
      <c r="AL73" s="4803"/>
      <c r="AM73" s="4803">
        <v>0</v>
      </c>
      <c r="AN73" s="4803">
        <v>1</v>
      </c>
      <c r="AO73" s="4803">
        <v>2</v>
      </c>
      <c r="AP73" s="1788"/>
      <c r="AQ73" s="1788">
        <v>3</v>
      </c>
      <c r="AT73" s="41"/>
      <c r="AU73" s="41"/>
      <c r="AV73" s="41"/>
      <c r="AW73" s="41" t="s">
        <v>1344</v>
      </c>
      <c r="AX73" s="690"/>
      <c r="AY73" s="690"/>
      <c r="AZ73" s="690">
        <v>0</v>
      </c>
      <c r="BA73" s="690"/>
      <c r="BB73" s="690"/>
      <c r="BC73" s="690"/>
      <c r="BD73" s="690"/>
      <c r="BE73" s="690"/>
      <c r="BF73" s="690"/>
      <c r="BG73" s="690"/>
      <c r="BH73" s="690"/>
      <c r="BI73" s="690">
        <v>1</v>
      </c>
      <c r="BJ73" s="690"/>
      <c r="BK73" s="690">
        <v>0</v>
      </c>
      <c r="BL73" s="690">
        <v>0</v>
      </c>
      <c r="BM73" s="41">
        <v>0</v>
      </c>
      <c r="BN73" s="41">
        <v>0</v>
      </c>
      <c r="BO73" s="41">
        <v>1</v>
      </c>
      <c r="BP73" s="41"/>
      <c r="BR73" s="41"/>
      <c r="BS73" s="41"/>
      <c r="BT73" s="41"/>
      <c r="BU73" s="41" t="s">
        <v>1344</v>
      </c>
      <c r="BV73" s="2001"/>
      <c r="BW73" s="2001"/>
      <c r="BX73" s="2001"/>
      <c r="BY73" s="2001"/>
      <c r="BZ73" s="2001">
        <v>0</v>
      </c>
      <c r="CA73" s="2001"/>
      <c r="CB73" s="2001">
        <v>0</v>
      </c>
      <c r="CC73" s="2001"/>
      <c r="CD73" s="2001"/>
      <c r="CE73" s="2001"/>
      <c r="CF73" s="2001"/>
      <c r="CG73" s="2001">
        <v>2</v>
      </c>
      <c r="CH73" s="2001">
        <v>4</v>
      </c>
      <c r="CI73" s="2001">
        <v>3</v>
      </c>
      <c r="CJ73" s="2001">
        <v>1</v>
      </c>
      <c r="CK73" s="105">
        <v>0</v>
      </c>
      <c r="CL73" s="105">
        <v>0</v>
      </c>
      <c r="CM73" s="105">
        <v>10</v>
      </c>
      <c r="CN73" s="41"/>
      <c r="CR73" s="41"/>
      <c r="CS73" s="41" t="s">
        <v>1239</v>
      </c>
      <c r="CT73" s="1665"/>
      <c r="CU73" s="1665">
        <v>0</v>
      </c>
      <c r="CV73" s="1665"/>
      <c r="CW73" s="1665"/>
      <c r="CX73" s="1665"/>
      <c r="CY73" s="1665">
        <v>0</v>
      </c>
      <c r="CZ73" s="1665"/>
      <c r="DA73" s="1665">
        <v>0</v>
      </c>
      <c r="DB73" s="1665"/>
      <c r="DC73" s="1665">
        <v>0</v>
      </c>
      <c r="DD73" s="1665"/>
      <c r="DE73" s="1665"/>
      <c r="DF73" s="1665">
        <v>0</v>
      </c>
      <c r="DG73" s="1665">
        <v>0</v>
      </c>
      <c r="DH73" s="1665">
        <v>17</v>
      </c>
      <c r="DI73" s="41">
        <v>7</v>
      </c>
      <c r="DJ73" s="41">
        <v>4</v>
      </c>
      <c r="DK73" s="41">
        <v>28</v>
      </c>
      <c r="DL73" s="41"/>
      <c r="DN73" s="1375"/>
      <c r="DO73" s="1375"/>
      <c r="DP73" s="1375"/>
      <c r="DQ73" s="1376" t="s">
        <v>1344</v>
      </c>
      <c r="DR73" s="1377"/>
      <c r="DS73" s="1378">
        <v>0</v>
      </c>
      <c r="DT73" s="1378">
        <v>0</v>
      </c>
      <c r="DU73" s="1377"/>
      <c r="DV73" s="1377"/>
      <c r="DW73" s="1377"/>
      <c r="DX73" s="1377"/>
      <c r="DY73" s="1377"/>
      <c r="DZ73" s="1378">
        <v>1</v>
      </c>
      <c r="EA73" s="1378">
        <v>1</v>
      </c>
      <c r="EB73" s="1378">
        <v>4</v>
      </c>
      <c r="EC73" s="1378">
        <v>0</v>
      </c>
      <c r="ED73" s="1378">
        <v>0</v>
      </c>
      <c r="EE73" s="1380">
        <v>0</v>
      </c>
      <c r="EF73" s="1380">
        <v>0</v>
      </c>
      <c r="EG73" s="1380">
        <v>6</v>
      </c>
      <c r="EH73" s="41"/>
      <c r="EJ73" s="678"/>
      <c r="EK73" s="678"/>
      <c r="EL73" s="678" t="s">
        <v>125</v>
      </c>
      <c r="EM73" s="679" t="s">
        <v>1231</v>
      </c>
      <c r="EN73" s="680"/>
      <c r="EO73" s="680"/>
      <c r="EP73" s="680"/>
      <c r="EQ73" s="680"/>
      <c r="ER73" s="680"/>
      <c r="ES73" s="680"/>
      <c r="ET73" s="680"/>
      <c r="EU73" s="680"/>
      <c r="EV73" s="680"/>
      <c r="EW73" s="681">
        <v>1</v>
      </c>
      <c r="EX73" s="681">
        <v>1</v>
      </c>
      <c r="EY73" s="681">
        <v>2</v>
      </c>
      <c r="EZ73" s="681">
        <v>1</v>
      </c>
      <c r="FA73" s="681">
        <v>1</v>
      </c>
      <c r="FB73" s="681">
        <v>0</v>
      </c>
      <c r="FC73" s="682"/>
      <c r="FD73" s="682"/>
      <c r="FE73" s="683">
        <v>6</v>
      </c>
      <c r="FF73" s="105"/>
      <c r="FH73" s="511"/>
      <c r="FI73" s="511"/>
      <c r="FJ73" s="511"/>
      <c r="FK73" s="511"/>
      <c r="FL73" s="512" t="s">
        <v>1235</v>
      </c>
      <c r="FM73" s="684"/>
      <c r="FN73" s="684"/>
      <c r="FO73" s="685">
        <v>0</v>
      </c>
      <c r="FP73" s="684"/>
      <c r="FQ73" s="684"/>
      <c r="FR73" s="684"/>
      <c r="FS73" s="685">
        <v>0</v>
      </c>
      <c r="FT73" s="684"/>
      <c r="FU73" s="685">
        <v>0</v>
      </c>
      <c r="FV73" s="685">
        <v>0</v>
      </c>
      <c r="FW73" s="685">
        <v>0</v>
      </c>
      <c r="FX73" s="685">
        <v>0</v>
      </c>
      <c r="FY73" s="684"/>
      <c r="FZ73" s="685">
        <v>3</v>
      </c>
      <c r="GA73" s="685">
        <v>1</v>
      </c>
      <c r="GB73" s="686"/>
      <c r="GC73" s="687">
        <v>0</v>
      </c>
      <c r="GD73" s="687">
        <v>4</v>
      </c>
      <c r="GE73" s="635"/>
      <c r="GF73" s="41"/>
      <c r="GG73" s="688"/>
      <c r="GH73" s="688"/>
      <c r="GI73" s="688"/>
      <c r="GJ73" s="457" t="s">
        <v>1344</v>
      </c>
      <c r="GK73" s="458">
        <v>0</v>
      </c>
      <c r="GL73" s="689"/>
      <c r="GM73" s="689"/>
      <c r="GN73" s="458">
        <v>0</v>
      </c>
      <c r="GO73" s="689"/>
      <c r="GP73" s="689"/>
      <c r="GQ73" s="458">
        <v>1</v>
      </c>
      <c r="GR73" s="689"/>
      <c r="GS73" s="458">
        <v>4</v>
      </c>
      <c r="GT73" s="458">
        <v>2</v>
      </c>
      <c r="GU73" s="458">
        <v>0</v>
      </c>
      <c r="GV73" s="458">
        <v>0</v>
      </c>
      <c r="GW73" s="458">
        <v>0</v>
      </c>
      <c r="GX73" s="458">
        <v>7</v>
      </c>
      <c r="GY73" s="690"/>
      <c r="GZ73" s="41"/>
      <c r="HA73" s="41"/>
      <c r="HB73" s="105"/>
      <c r="HC73" s="105"/>
      <c r="HD73" s="41"/>
      <c r="HE73" s="41" t="s">
        <v>1231</v>
      </c>
      <c r="HF73" s="105">
        <v>2</v>
      </c>
      <c r="HG73" s="105"/>
      <c r="HH73" s="105"/>
      <c r="HI73" s="105"/>
      <c r="HJ73" s="105">
        <v>1</v>
      </c>
      <c r="HK73" s="105"/>
      <c r="HL73" s="105"/>
      <c r="HM73" s="105"/>
      <c r="HN73" s="105"/>
      <c r="HO73" s="105"/>
      <c r="HP73" s="105">
        <v>1</v>
      </c>
      <c r="HQ73" s="105">
        <v>0</v>
      </c>
      <c r="HR73" s="105">
        <v>1</v>
      </c>
      <c r="HS73" s="105"/>
      <c r="HT73" s="105"/>
      <c r="HU73" s="105">
        <v>0</v>
      </c>
      <c r="HV73" s="105">
        <v>5</v>
      </c>
      <c r="HW73" s="41"/>
      <c r="HX73" s="41"/>
      <c r="HY73" s="691"/>
      <c r="HZ73" s="691"/>
      <c r="IA73" s="691"/>
      <c r="IB73" s="702" t="s">
        <v>15</v>
      </c>
      <c r="IC73" s="702">
        <v>0</v>
      </c>
      <c r="ID73" s="702">
        <v>0</v>
      </c>
      <c r="IE73" s="702">
        <v>0</v>
      </c>
      <c r="IF73" s="702">
        <v>0</v>
      </c>
      <c r="IG73" s="702">
        <v>0</v>
      </c>
      <c r="IH73" s="702">
        <v>0</v>
      </c>
      <c r="II73" s="702">
        <v>0</v>
      </c>
      <c r="IJ73" s="702">
        <v>0</v>
      </c>
      <c r="IK73" s="702">
        <v>0</v>
      </c>
      <c r="IL73" s="702">
        <v>0</v>
      </c>
      <c r="IM73" s="702">
        <v>0</v>
      </c>
      <c r="IN73" s="702">
        <v>0</v>
      </c>
      <c r="IO73" s="702">
        <v>0</v>
      </c>
      <c r="IP73" s="702">
        <v>2</v>
      </c>
      <c r="IQ73" s="702">
        <v>1</v>
      </c>
      <c r="IR73" s="702">
        <v>1</v>
      </c>
      <c r="IS73" s="702">
        <v>4</v>
      </c>
      <c r="IT73" s="703">
        <f>+(IS71-IQ71)/IS73</f>
        <v>0.25</v>
      </c>
      <c r="IU73" s="692">
        <f>+IS71-IR72</f>
        <v>1</v>
      </c>
    </row>
    <row r="74" spans="3:255">
      <c r="D74" s="4800" t="s">
        <v>1239</v>
      </c>
      <c r="E74" s="4606"/>
      <c r="F74" s="4606"/>
      <c r="G74" s="4606"/>
      <c r="H74" s="4606"/>
      <c r="I74" s="4606"/>
      <c r="J74" s="4606"/>
      <c r="K74" s="4606"/>
      <c r="L74" s="4606"/>
      <c r="M74" s="4606">
        <v>0</v>
      </c>
      <c r="N74" s="4606"/>
      <c r="O74" s="4606"/>
      <c r="P74" s="4606">
        <v>0</v>
      </c>
      <c r="Q74" s="4606">
        <v>1</v>
      </c>
      <c r="R74" s="4606">
        <v>2</v>
      </c>
      <c r="S74" s="2552"/>
      <c r="T74" s="2552"/>
      <c r="U74" s="2552">
        <v>3</v>
      </c>
      <c r="V74" s="2552"/>
      <c r="AA74" s="37" t="s">
        <v>1344</v>
      </c>
      <c r="AB74" s="4803"/>
      <c r="AC74" s="4803"/>
      <c r="AD74" s="4803"/>
      <c r="AE74" s="4803"/>
      <c r="AF74" s="4803"/>
      <c r="AG74" s="4803"/>
      <c r="AH74" s="4803"/>
      <c r="AI74" s="4803"/>
      <c r="AJ74" s="4803">
        <v>0</v>
      </c>
      <c r="AK74" s="4803"/>
      <c r="AL74" s="4803"/>
      <c r="AM74" s="4803">
        <v>1</v>
      </c>
      <c r="AN74" s="4803">
        <v>0</v>
      </c>
      <c r="AO74" s="4803">
        <v>0</v>
      </c>
      <c r="AP74" s="1788"/>
      <c r="AQ74" s="1788">
        <v>1</v>
      </c>
      <c r="AT74" s="41"/>
      <c r="AU74" s="41"/>
      <c r="AV74" s="41"/>
      <c r="AW74" s="461" t="s">
        <v>15</v>
      </c>
      <c r="AX74" s="2489"/>
      <c r="AY74" s="2489"/>
      <c r="AZ74" s="2489">
        <v>1</v>
      </c>
      <c r="BA74" s="2489"/>
      <c r="BB74" s="2489"/>
      <c r="BC74" s="2489"/>
      <c r="BD74" s="2489"/>
      <c r="BE74" s="2489"/>
      <c r="BF74" s="2489"/>
      <c r="BG74" s="2489"/>
      <c r="BH74" s="2489"/>
      <c r="BI74" s="2489">
        <v>2</v>
      </c>
      <c r="BJ74" s="2489"/>
      <c r="BK74" s="2489">
        <v>1</v>
      </c>
      <c r="BL74" s="2489">
        <v>3</v>
      </c>
      <c r="BM74" s="461">
        <v>2</v>
      </c>
      <c r="BN74" s="461">
        <v>1</v>
      </c>
      <c r="BO74" s="461">
        <v>10</v>
      </c>
      <c r="BP74" s="635">
        <f>+(BO73+BO71)/BO74</f>
        <v>0.4</v>
      </c>
      <c r="BQ74" s="1977"/>
      <c r="BR74" s="41"/>
      <c r="BS74" s="41"/>
      <c r="BT74" s="41"/>
      <c r="BU74" s="461" t="s">
        <v>544</v>
      </c>
      <c r="BV74" s="2002"/>
      <c r="BW74" s="2002"/>
      <c r="BX74" s="2002"/>
      <c r="BY74" s="2002"/>
      <c r="BZ74" s="2002">
        <v>4</v>
      </c>
      <c r="CA74" s="2002"/>
      <c r="CB74" s="2002">
        <v>1</v>
      </c>
      <c r="CC74" s="2002"/>
      <c r="CD74" s="2002"/>
      <c r="CE74" s="2002"/>
      <c r="CF74" s="2002"/>
      <c r="CG74" s="2002">
        <v>3</v>
      </c>
      <c r="CH74" s="2002">
        <v>7</v>
      </c>
      <c r="CI74" s="2002">
        <v>6</v>
      </c>
      <c r="CJ74" s="2002">
        <v>14</v>
      </c>
      <c r="CK74" s="96">
        <v>6</v>
      </c>
      <c r="CL74" s="96">
        <v>12</v>
      </c>
      <c r="CM74" s="96">
        <v>53</v>
      </c>
      <c r="CN74" s="635">
        <f>+(CM71-CK71+CM73)/CM74</f>
        <v>0.32075471698113206</v>
      </c>
      <c r="CR74" s="41"/>
      <c r="CS74" s="41" t="s">
        <v>1344</v>
      </c>
      <c r="CT74" s="1665"/>
      <c r="CU74" s="1665">
        <v>0</v>
      </c>
      <c r="CV74" s="1665"/>
      <c r="CW74" s="1665"/>
      <c r="CX74" s="1665"/>
      <c r="CY74" s="1665">
        <v>0</v>
      </c>
      <c r="CZ74" s="1665"/>
      <c r="DA74" s="1665">
        <v>0</v>
      </c>
      <c r="DB74" s="1665"/>
      <c r="DC74" s="1665">
        <v>0</v>
      </c>
      <c r="DD74" s="1665"/>
      <c r="DE74" s="1665"/>
      <c r="DF74" s="1665">
        <v>1</v>
      </c>
      <c r="DG74" s="1665">
        <v>7</v>
      </c>
      <c r="DH74" s="1665">
        <v>0</v>
      </c>
      <c r="DI74" s="41">
        <v>0</v>
      </c>
      <c r="DJ74" s="41">
        <v>0</v>
      </c>
      <c r="DK74" s="41">
        <v>8</v>
      </c>
      <c r="DL74" s="41"/>
      <c r="DN74" s="1375"/>
      <c r="DO74" s="1375"/>
      <c r="DP74" s="1375"/>
      <c r="DQ74" s="1372" t="s">
        <v>15</v>
      </c>
      <c r="DR74" s="1381"/>
      <c r="DS74" s="1382">
        <v>1</v>
      </c>
      <c r="DT74" s="1382">
        <v>1</v>
      </c>
      <c r="DU74" s="1381"/>
      <c r="DV74" s="1381"/>
      <c r="DW74" s="1381"/>
      <c r="DX74" s="1381"/>
      <c r="DY74" s="1381"/>
      <c r="DZ74" s="1382">
        <v>1</v>
      </c>
      <c r="EA74" s="1382">
        <v>1</v>
      </c>
      <c r="EB74" s="1382">
        <v>5</v>
      </c>
      <c r="EC74" s="1382">
        <v>2</v>
      </c>
      <c r="ED74" s="1382">
        <v>2</v>
      </c>
      <c r="EE74" s="1384">
        <v>1</v>
      </c>
      <c r="EF74" s="1384">
        <v>1</v>
      </c>
      <c r="EG74" s="1384">
        <v>15</v>
      </c>
      <c r="EH74" s="1325">
        <f>+(EG70+EG73)/EG74</f>
        <v>0.46666666666666667</v>
      </c>
      <c r="EJ74" s="678"/>
      <c r="EK74" s="678"/>
      <c r="EL74" s="678"/>
      <c r="EM74" s="679" t="s">
        <v>1235</v>
      </c>
      <c r="EN74" s="680"/>
      <c r="EO74" s="680"/>
      <c r="EP74" s="680"/>
      <c r="EQ74" s="680"/>
      <c r="ER74" s="680"/>
      <c r="ES74" s="680"/>
      <c r="ET74" s="680"/>
      <c r="EU74" s="680"/>
      <c r="EV74" s="680"/>
      <c r="EW74" s="681">
        <v>0</v>
      </c>
      <c r="EX74" s="681">
        <v>0</v>
      </c>
      <c r="EY74" s="681">
        <v>1</v>
      </c>
      <c r="EZ74" s="681">
        <v>1</v>
      </c>
      <c r="FA74" s="681">
        <v>0</v>
      </c>
      <c r="FB74" s="681">
        <v>0</v>
      </c>
      <c r="FC74" s="682"/>
      <c r="FD74" s="682"/>
      <c r="FE74" s="683">
        <v>2</v>
      </c>
      <c r="FF74" s="105"/>
      <c r="FH74" s="511"/>
      <c r="FI74" s="511"/>
      <c r="FJ74" s="511"/>
      <c r="FK74" s="511"/>
      <c r="FL74" s="512" t="s">
        <v>1239</v>
      </c>
      <c r="FM74" s="684"/>
      <c r="FN74" s="684"/>
      <c r="FO74" s="685">
        <v>0</v>
      </c>
      <c r="FP74" s="684"/>
      <c r="FQ74" s="684"/>
      <c r="FR74" s="684"/>
      <c r="FS74" s="685">
        <v>0</v>
      </c>
      <c r="FT74" s="684"/>
      <c r="FU74" s="685">
        <v>0</v>
      </c>
      <c r="FV74" s="685">
        <v>0</v>
      </c>
      <c r="FW74" s="685">
        <v>0</v>
      </c>
      <c r="FX74" s="685">
        <v>0</v>
      </c>
      <c r="FY74" s="684"/>
      <c r="FZ74" s="685">
        <v>0</v>
      </c>
      <c r="GA74" s="685">
        <v>15</v>
      </c>
      <c r="GB74" s="686"/>
      <c r="GC74" s="687">
        <v>1</v>
      </c>
      <c r="GD74" s="687">
        <v>16</v>
      </c>
      <c r="GE74" s="635"/>
      <c r="GF74" s="41"/>
      <c r="GG74" s="688"/>
      <c r="GH74" s="688"/>
      <c r="GI74" s="688"/>
      <c r="GJ74" s="704" t="s">
        <v>15</v>
      </c>
      <c r="GK74" s="463">
        <v>1</v>
      </c>
      <c r="GL74" s="705"/>
      <c r="GM74" s="705"/>
      <c r="GN74" s="463">
        <v>2</v>
      </c>
      <c r="GO74" s="705"/>
      <c r="GP74" s="705"/>
      <c r="GQ74" s="463">
        <v>1</v>
      </c>
      <c r="GR74" s="705"/>
      <c r="GS74" s="463">
        <v>5</v>
      </c>
      <c r="GT74" s="463">
        <v>4</v>
      </c>
      <c r="GU74" s="463">
        <v>7</v>
      </c>
      <c r="GV74" s="463">
        <v>1</v>
      </c>
      <c r="GW74" s="463">
        <v>1</v>
      </c>
      <c r="GX74" s="463">
        <v>22</v>
      </c>
      <c r="GY74" s="628">
        <f>+(GX73+GX71-GV71)/GX74</f>
        <v>0.54545454545454541</v>
      </c>
      <c r="GZ74" s="41"/>
      <c r="HA74" s="41"/>
      <c r="HB74" s="105"/>
      <c r="HC74" s="105"/>
      <c r="HD74" s="41"/>
      <c r="HE74" s="41" t="s">
        <v>1235</v>
      </c>
      <c r="HF74" s="105">
        <v>0</v>
      </c>
      <c r="HG74" s="105"/>
      <c r="HH74" s="105"/>
      <c r="HI74" s="105"/>
      <c r="HJ74" s="105">
        <v>0</v>
      </c>
      <c r="HK74" s="105"/>
      <c r="HL74" s="105"/>
      <c r="HM74" s="105"/>
      <c r="HN74" s="105"/>
      <c r="HO74" s="105"/>
      <c r="HP74" s="105">
        <v>0</v>
      </c>
      <c r="HQ74" s="105">
        <v>1</v>
      </c>
      <c r="HR74" s="105">
        <v>0</v>
      </c>
      <c r="HS74" s="105"/>
      <c r="HT74" s="105"/>
      <c r="HU74" s="105">
        <v>0</v>
      </c>
      <c r="HV74" s="105">
        <v>1</v>
      </c>
      <c r="HW74" s="41"/>
      <c r="HX74" s="41"/>
      <c r="HY74" s="691"/>
      <c r="HZ74" s="691"/>
      <c r="IA74" s="691" t="s">
        <v>333</v>
      </c>
      <c r="IB74" s="691" t="s">
        <v>1239</v>
      </c>
      <c r="IC74" s="691">
        <v>0</v>
      </c>
      <c r="ID74" s="691">
        <v>0</v>
      </c>
      <c r="IE74" s="691">
        <v>0</v>
      </c>
      <c r="IF74" s="691">
        <v>0</v>
      </c>
      <c r="IG74" s="691">
        <v>0</v>
      </c>
      <c r="IH74" s="691">
        <v>0</v>
      </c>
      <c r="II74" s="691">
        <v>0</v>
      </c>
      <c r="IJ74" s="691">
        <v>0</v>
      </c>
      <c r="IK74" s="691">
        <v>0</v>
      </c>
      <c r="IL74" s="691">
        <v>0</v>
      </c>
      <c r="IM74" s="691">
        <v>0</v>
      </c>
      <c r="IN74" s="691">
        <v>0</v>
      </c>
      <c r="IO74" s="691">
        <v>1</v>
      </c>
      <c r="IP74" s="691">
        <v>0</v>
      </c>
      <c r="IQ74" s="691">
        <v>0</v>
      </c>
      <c r="IR74" s="691">
        <v>1</v>
      </c>
      <c r="IS74" s="691">
        <v>2</v>
      </c>
      <c r="IT74" s="691"/>
      <c r="IU74" s="692"/>
    </row>
    <row r="75" spans="3:255">
      <c r="D75" s="4800" t="s">
        <v>1344</v>
      </c>
      <c r="E75" s="4606"/>
      <c r="F75" s="4606"/>
      <c r="G75" s="4606"/>
      <c r="H75" s="4606"/>
      <c r="I75" s="4606"/>
      <c r="J75" s="4606"/>
      <c r="K75" s="4606"/>
      <c r="L75" s="4606"/>
      <c r="M75" s="4606">
        <v>0</v>
      </c>
      <c r="N75" s="4606"/>
      <c r="O75" s="4606"/>
      <c r="P75" s="4606">
        <v>1</v>
      </c>
      <c r="Q75" s="4606">
        <v>0</v>
      </c>
      <c r="R75" s="4606">
        <v>0</v>
      </c>
      <c r="S75" s="2552"/>
      <c r="T75" s="2552"/>
      <c r="U75" s="2552">
        <v>1</v>
      </c>
      <c r="V75" s="2552"/>
      <c r="AA75" s="1793" t="s">
        <v>15</v>
      </c>
      <c r="AB75" s="4804"/>
      <c r="AC75" s="4804"/>
      <c r="AD75" s="4804"/>
      <c r="AE75" s="4804"/>
      <c r="AF75" s="4804"/>
      <c r="AG75" s="4804"/>
      <c r="AH75" s="4804"/>
      <c r="AI75" s="4804"/>
      <c r="AJ75" s="4804">
        <v>1</v>
      </c>
      <c r="AK75" s="4804"/>
      <c r="AL75" s="4804"/>
      <c r="AM75" s="4804">
        <v>1</v>
      </c>
      <c r="AN75" s="4804">
        <v>1</v>
      </c>
      <c r="AO75" s="4804">
        <v>2</v>
      </c>
      <c r="AP75" s="4702"/>
      <c r="AQ75" s="4702">
        <v>5</v>
      </c>
      <c r="AR75" s="4703">
        <f>+AQ74/AQ75</f>
        <v>0.2</v>
      </c>
      <c r="AT75" s="41"/>
      <c r="AU75" s="41"/>
      <c r="AV75" s="41" t="s">
        <v>122</v>
      </c>
      <c r="AW75" s="41" t="s">
        <v>1235</v>
      </c>
      <c r="AX75" s="690"/>
      <c r="AY75" s="690"/>
      <c r="AZ75" s="690"/>
      <c r="BA75" s="690"/>
      <c r="BB75" s="690"/>
      <c r="BC75" s="690"/>
      <c r="BD75" s="690"/>
      <c r="BE75" s="690"/>
      <c r="BF75" s="690"/>
      <c r="BG75" s="690"/>
      <c r="BH75" s="690"/>
      <c r="BI75" s="690"/>
      <c r="BJ75" s="690">
        <v>1</v>
      </c>
      <c r="BK75" s="690">
        <v>1</v>
      </c>
      <c r="BL75" s="690">
        <v>0</v>
      </c>
      <c r="BM75" s="41"/>
      <c r="BN75" s="41">
        <v>0</v>
      </c>
      <c r="BO75" s="41">
        <v>2</v>
      </c>
      <c r="BP75" s="41"/>
      <c r="BR75" s="41"/>
      <c r="BS75" s="41" t="s">
        <v>16</v>
      </c>
      <c r="BT75" s="41" t="s">
        <v>126</v>
      </c>
      <c r="BU75" s="41" t="s">
        <v>1231</v>
      </c>
      <c r="BV75" s="2001"/>
      <c r="BW75" s="2001"/>
      <c r="BX75" s="2001"/>
      <c r="BY75" s="2001"/>
      <c r="BZ75" s="2001">
        <v>1</v>
      </c>
      <c r="CA75" s="2001"/>
      <c r="CB75" s="2001"/>
      <c r="CC75" s="2001"/>
      <c r="CD75" s="2001"/>
      <c r="CE75" s="2001"/>
      <c r="CF75" s="2001"/>
      <c r="CG75" s="2001">
        <v>0</v>
      </c>
      <c r="CH75" s="2001">
        <v>4</v>
      </c>
      <c r="CI75" s="2001">
        <v>3</v>
      </c>
      <c r="CJ75" s="2001">
        <v>0</v>
      </c>
      <c r="CK75" s="105"/>
      <c r="CL75" s="105"/>
      <c r="CM75" s="105">
        <v>8</v>
      </c>
      <c r="CN75" s="41"/>
      <c r="CR75" s="41"/>
      <c r="CS75" s="461" t="s">
        <v>544</v>
      </c>
      <c r="CT75" s="1666"/>
      <c r="CU75" s="1666">
        <v>1</v>
      </c>
      <c r="CV75" s="1666"/>
      <c r="CW75" s="1666"/>
      <c r="CX75" s="1666"/>
      <c r="CY75" s="1666">
        <v>2</v>
      </c>
      <c r="CZ75" s="1666"/>
      <c r="DA75" s="1666">
        <v>1</v>
      </c>
      <c r="DB75" s="1666"/>
      <c r="DC75" s="1666">
        <v>1</v>
      </c>
      <c r="DD75" s="1666"/>
      <c r="DE75" s="1666"/>
      <c r="DF75" s="1666">
        <v>3</v>
      </c>
      <c r="DG75" s="1666">
        <v>8</v>
      </c>
      <c r="DH75" s="1666">
        <v>20</v>
      </c>
      <c r="DI75" s="461">
        <v>8</v>
      </c>
      <c r="DJ75" s="461">
        <v>5</v>
      </c>
      <c r="DK75" s="461">
        <v>49</v>
      </c>
      <c r="DL75" s="635">
        <f>+(DK71+DK74)/DK75</f>
        <v>0.18367346938775511</v>
      </c>
      <c r="DN75" s="1375"/>
      <c r="DO75" s="1375"/>
      <c r="DP75" s="1375" t="s">
        <v>126</v>
      </c>
      <c r="DQ75" s="1376" t="s">
        <v>1231</v>
      </c>
      <c r="DR75" s="1377"/>
      <c r="DS75" s="1378">
        <v>0</v>
      </c>
      <c r="DT75" s="1378">
        <v>0</v>
      </c>
      <c r="DU75" s="1377"/>
      <c r="DV75" s="1378">
        <v>0</v>
      </c>
      <c r="DW75" s="1377"/>
      <c r="DX75" s="1378">
        <v>0</v>
      </c>
      <c r="DY75" s="1378">
        <v>1</v>
      </c>
      <c r="DZ75" s="1378">
        <v>2</v>
      </c>
      <c r="EA75" s="1378">
        <v>1</v>
      </c>
      <c r="EB75" s="1378">
        <v>1</v>
      </c>
      <c r="EC75" s="1378">
        <v>0</v>
      </c>
      <c r="ED75" s="1378">
        <v>0</v>
      </c>
      <c r="EE75" s="1379"/>
      <c r="EF75" s="1379"/>
      <c r="EG75" s="1380">
        <v>5</v>
      </c>
      <c r="EH75" s="41"/>
      <c r="EJ75" s="678"/>
      <c r="EK75" s="678"/>
      <c r="EL75" s="678"/>
      <c r="EM75" s="679" t="s">
        <v>1239</v>
      </c>
      <c r="EN75" s="680"/>
      <c r="EO75" s="680"/>
      <c r="EP75" s="680"/>
      <c r="EQ75" s="680"/>
      <c r="ER75" s="680"/>
      <c r="ES75" s="680"/>
      <c r="ET75" s="680"/>
      <c r="EU75" s="680"/>
      <c r="EV75" s="680"/>
      <c r="EW75" s="681">
        <v>0</v>
      </c>
      <c r="EX75" s="681">
        <v>0</v>
      </c>
      <c r="EY75" s="681">
        <v>0</v>
      </c>
      <c r="EZ75" s="681">
        <v>0</v>
      </c>
      <c r="FA75" s="681">
        <v>1</v>
      </c>
      <c r="FB75" s="681">
        <v>4</v>
      </c>
      <c r="FC75" s="682"/>
      <c r="FD75" s="682"/>
      <c r="FE75" s="683">
        <v>5</v>
      </c>
      <c r="FF75" s="105"/>
      <c r="FH75" s="511"/>
      <c r="FI75" s="511"/>
      <c r="FJ75" s="511"/>
      <c r="FK75" s="511"/>
      <c r="FL75" s="512" t="s">
        <v>1344</v>
      </c>
      <c r="FM75" s="684"/>
      <c r="FN75" s="684"/>
      <c r="FO75" s="685">
        <v>0</v>
      </c>
      <c r="FP75" s="684"/>
      <c r="FQ75" s="684"/>
      <c r="FR75" s="684"/>
      <c r="FS75" s="685">
        <v>0</v>
      </c>
      <c r="FT75" s="684"/>
      <c r="FU75" s="685">
        <v>1</v>
      </c>
      <c r="FV75" s="685">
        <v>0</v>
      </c>
      <c r="FW75" s="685">
        <v>1</v>
      </c>
      <c r="FX75" s="685">
        <v>1</v>
      </c>
      <c r="FY75" s="684"/>
      <c r="FZ75" s="685">
        <v>0</v>
      </c>
      <c r="GA75" s="685">
        <v>0</v>
      </c>
      <c r="GB75" s="686"/>
      <c r="GC75" s="687">
        <v>0</v>
      </c>
      <c r="GD75" s="687">
        <v>3</v>
      </c>
      <c r="GE75" s="635"/>
      <c r="GF75" s="41"/>
      <c r="GG75" s="688"/>
      <c r="GH75" s="688"/>
      <c r="GI75" s="688" t="s">
        <v>130</v>
      </c>
      <c r="GJ75" s="457" t="s">
        <v>1230</v>
      </c>
      <c r="GK75" s="689"/>
      <c r="GL75" s="689"/>
      <c r="GM75" s="689"/>
      <c r="GN75" s="689"/>
      <c r="GO75" s="689"/>
      <c r="GP75" s="689"/>
      <c r="GQ75" s="689"/>
      <c r="GR75" s="458">
        <v>0</v>
      </c>
      <c r="GS75" s="689"/>
      <c r="GT75" s="689"/>
      <c r="GU75" s="458">
        <v>2</v>
      </c>
      <c r="GV75" s="689"/>
      <c r="GW75" s="458">
        <v>0</v>
      </c>
      <c r="GX75" s="458">
        <v>2</v>
      </c>
      <c r="GY75" s="690"/>
      <c r="GZ75" s="41"/>
      <c r="HA75" s="41"/>
      <c r="HB75" s="105"/>
      <c r="HC75" s="105"/>
      <c r="HD75" s="41"/>
      <c r="HE75" s="41" t="s">
        <v>1239</v>
      </c>
      <c r="HF75" s="105">
        <v>0</v>
      </c>
      <c r="HG75" s="105"/>
      <c r="HH75" s="105"/>
      <c r="HI75" s="105"/>
      <c r="HJ75" s="105">
        <v>0</v>
      </c>
      <c r="HK75" s="105"/>
      <c r="HL75" s="105"/>
      <c r="HM75" s="105"/>
      <c r="HN75" s="105"/>
      <c r="HO75" s="105"/>
      <c r="HP75" s="105">
        <v>0</v>
      </c>
      <c r="HQ75" s="105">
        <v>0</v>
      </c>
      <c r="HR75" s="105">
        <v>0</v>
      </c>
      <c r="HS75" s="105"/>
      <c r="HT75" s="105"/>
      <c r="HU75" s="105">
        <v>1</v>
      </c>
      <c r="HV75" s="105">
        <v>1</v>
      </c>
      <c r="HW75" s="41"/>
      <c r="HX75" s="41"/>
      <c r="HY75" s="691"/>
      <c r="HZ75" s="691"/>
      <c r="IA75" s="691"/>
      <c r="IB75" s="702" t="s">
        <v>15</v>
      </c>
      <c r="IC75" s="702">
        <v>0</v>
      </c>
      <c r="ID75" s="702">
        <v>0</v>
      </c>
      <c r="IE75" s="702">
        <v>0</v>
      </c>
      <c r="IF75" s="702">
        <v>0</v>
      </c>
      <c r="IG75" s="702">
        <v>0</v>
      </c>
      <c r="IH75" s="702">
        <v>0</v>
      </c>
      <c r="II75" s="702">
        <v>0</v>
      </c>
      <c r="IJ75" s="702">
        <v>0</v>
      </c>
      <c r="IK75" s="702">
        <v>0</v>
      </c>
      <c r="IL75" s="702">
        <v>0</v>
      </c>
      <c r="IM75" s="702">
        <v>0</v>
      </c>
      <c r="IN75" s="702">
        <v>0</v>
      </c>
      <c r="IO75" s="702">
        <v>1</v>
      </c>
      <c r="IP75" s="702">
        <v>0</v>
      </c>
      <c r="IQ75" s="702">
        <v>0</v>
      </c>
      <c r="IR75" s="702">
        <v>1</v>
      </c>
      <c r="IS75" s="702">
        <v>2</v>
      </c>
      <c r="IT75" s="703">
        <f>0/IS75</f>
        <v>0</v>
      </c>
      <c r="IU75" s="692">
        <v>0</v>
      </c>
    </row>
    <row r="76" spans="3:255">
      <c r="D76" s="4800" t="s">
        <v>15</v>
      </c>
      <c r="E76" s="4606"/>
      <c r="F76" s="4606"/>
      <c r="G76" s="4606"/>
      <c r="H76" s="4606"/>
      <c r="I76" s="4606"/>
      <c r="J76" s="4606"/>
      <c r="K76" s="4606"/>
      <c r="L76" s="4606"/>
      <c r="M76" s="4606">
        <v>1</v>
      </c>
      <c r="N76" s="4606"/>
      <c r="O76" s="4606"/>
      <c r="P76" s="4606">
        <v>1</v>
      </c>
      <c r="Q76" s="4606">
        <v>1</v>
      </c>
      <c r="R76" s="4606">
        <v>2</v>
      </c>
      <c r="S76" s="2552"/>
      <c r="T76" s="2552"/>
      <c r="U76" s="2552">
        <v>5</v>
      </c>
      <c r="V76" s="1977">
        <f>+(U75)/(U76)</f>
        <v>0.2</v>
      </c>
      <c r="Z76" s="37" t="s">
        <v>124</v>
      </c>
      <c r="AA76" s="37" t="s">
        <v>1231</v>
      </c>
      <c r="AB76" s="4803">
        <v>0</v>
      </c>
      <c r="AC76" s="4803"/>
      <c r="AD76" s="4803"/>
      <c r="AE76" s="4803"/>
      <c r="AF76" s="4803">
        <v>1</v>
      </c>
      <c r="AG76" s="4803"/>
      <c r="AH76" s="4803"/>
      <c r="AI76" s="4803"/>
      <c r="AJ76" s="4803"/>
      <c r="AK76" s="4803">
        <v>1</v>
      </c>
      <c r="AL76" s="4803"/>
      <c r="AM76" s="4803">
        <v>0</v>
      </c>
      <c r="AN76" s="4803">
        <v>1</v>
      </c>
      <c r="AO76" s="4803">
        <v>1</v>
      </c>
      <c r="AP76" s="1788">
        <v>0</v>
      </c>
      <c r="AQ76" s="1788">
        <v>4</v>
      </c>
      <c r="AT76" s="41"/>
      <c r="AU76" s="41"/>
      <c r="AV76" s="41"/>
      <c r="AW76" s="41" t="s">
        <v>1239</v>
      </c>
      <c r="AX76" s="690"/>
      <c r="AY76" s="690"/>
      <c r="AZ76" s="690"/>
      <c r="BA76" s="690"/>
      <c r="BB76" s="690"/>
      <c r="BC76" s="690"/>
      <c r="BD76" s="690"/>
      <c r="BE76" s="690"/>
      <c r="BF76" s="690"/>
      <c r="BG76" s="690"/>
      <c r="BH76" s="690"/>
      <c r="BI76" s="690"/>
      <c r="BJ76" s="690">
        <v>0</v>
      </c>
      <c r="BK76" s="690">
        <v>0</v>
      </c>
      <c r="BL76" s="690">
        <v>6</v>
      </c>
      <c r="BM76" s="41"/>
      <c r="BN76" s="41">
        <v>2</v>
      </c>
      <c r="BO76" s="41">
        <v>8</v>
      </c>
      <c r="BP76" s="41"/>
      <c r="BR76" s="41"/>
      <c r="BS76" s="41"/>
      <c r="BT76" s="41"/>
      <c r="BU76" s="41" t="s">
        <v>1235</v>
      </c>
      <c r="BV76" s="2001"/>
      <c r="BW76" s="2001"/>
      <c r="BX76" s="2001"/>
      <c r="BY76" s="2001"/>
      <c r="BZ76" s="2001">
        <v>0</v>
      </c>
      <c r="CA76" s="2001"/>
      <c r="CB76" s="2001"/>
      <c r="CC76" s="2001"/>
      <c r="CD76" s="2001"/>
      <c r="CE76" s="2001"/>
      <c r="CF76" s="2001"/>
      <c r="CG76" s="2001">
        <v>0</v>
      </c>
      <c r="CH76" s="2001">
        <v>3</v>
      </c>
      <c r="CI76" s="2001">
        <v>2</v>
      </c>
      <c r="CJ76" s="2001">
        <v>0</v>
      </c>
      <c r="CK76" s="105"/>
      <c r="CL76" s="105"/>
      <c r="CM76" s="105">
        <v>5</v>
      </c>
      <c r="CN76" s="41"/>
      <c r="CQ76" s="105" t="s">
        <v>16</v>
      </c>
      <c r="CR76" s="41" t="s">
        <v>107</v>
      </c>
      <c r="CS76" s="41" t="s">
        <v>1231</v>
      </c>
      <c r="CT76" s="1665"/>
      <c r="CU76" s="1665"/>
      <c r="CV76" s="1665"/>
      <c r="CW76" s="1665"/>
      <c r="CX76" s="1665"/>
      <c r="CY76" s="1665"/>
      <c r="CZ76" s="1665"/>
      <c r="DA76" s="1665"/>
      <c r="DB76" s="1665"/>
      <c r="DC76" s="1665"/>
      <c r="DD76" s="1665"/>
      <c r="DE76" s="1665"/>
      <c r="DF76" s="1665">
        <v>2</v>
      </c>
      <c r="DG76" s="1665">
        <v>4</v>
      </c>
      <c r="DH76" s="1665"/>
      <c r="DI76" s="41"/>
      <c r="DJ76" s="41"/>
      <c r="DK76" s="41">
        <v>6</v>
      </c>
      <c r="DL76" s="41"/>
      <c r="DN76" s="1375"/>
      <c r="DO76" s="1375"/>
      <c r="DP76" s="1375"/>
      <c r="DQ76" s="1376" t="s">
        <v>1233</v>
      </c>
      <c r="DR76" s="1377"/>
      <c r="DS76" s="1378">
        <v>1</v>
      </c>
      <c r="DT76" s="1378">
        <v>0</v>
      </c>
      <c r="DU76" s="1377"/>
      <c r="DV76" s="1378">
        <v>0</v>
      </c>
      <c r="DW76" s="1377"/>
      <c r="DX76" s="1378">
        <v>0</v>
      </c>
      <c r="DY76" s="1378">
        <v>0</v>
      </c>
      <c r="DZ76" s="1378">
        <v>0</v>
      </c>
      <c r="EA76" s="1378">
        <v>0</v>
      </c>
      <c r="EB76" s="1378">
        <v>0</v>
      </c>
      <c r="EC76" s="1378">
        <v>0</v>
      </c>
      <c r="ED76" s="1378">
        <v>0</v>
      </c>
      <c r="EE76" s="1379"/>
      <c r="EF76" s="1379"/>
      <c r="EG76" s="1380">
        <v>1</v>
      </c>
      <c r="EH76" s="41"/>
      <c r="EJ76" s="678"/>
      <c r="EK76" s="678"/>
      <c r="EL76" s="678"/>
      <c r="EM76" s="679" t="s">
        <v>1344</v>
      </c>
      <c r="EN76" s="680"/>
      <c r="EO76" s="680"/>
      <c r="EP76" s="680"/>
      <c r="EQ76" s="680"/>
      <c r="ER76" s="680"/>
      <c r="ES76" s="680"/>
      <c r="ET76" s="680"/>
      <c r="EU76" s="680"/>
      <c r="EV76" s="680"/>
      <c r="EW76" s="681">
        <v>0</v>
      </c>
      <c r="EX76" s="681">
        <v>2</v>
      </c>
      <c r="EY76" s="681">
        <v>3</v>
      </c>
      <c r="EZ76" s="681">
        <v>2</v>
      </c>
      <c r="FA76" s="681">
        <v>2</v>
      </c>
      <c r="FB76" s="681">
        <v>0</v>
      </c>
      <c r="FC76" s="682"/>
      <c r="FD76" s="682"/>
      <c r="FE76" s="683">
        <v>9</v>
      </c>
      <c r="FF76" s="105"/>
      <c r="FH76" s="511"/>
      <c r="FI76" s="511"/>
      <c r="FJ76" s="511"/>
      <c r="FK76" s="41"/>
      <c r="FL76" s="532" t="s">
        <v>15</v>
      </c>
      <c r="FM76" s="693"/>
      <c r="FN76" s="693"/>
      <c r="FO76" s="694">
        <v>1</v>
      </c>
      <c r="FP76" s="693"/>
      <c r="FQ76" s="693"/>
      <c r="FR76" s="693"/>
      <c r="FS76" s="694">
        <v>1</v>
      </c>
      <c r="FT76" s="693"/>
      <c r="FU76" s="694">
        <v>1</v>
      </c>
      <c r="FV76" s="694">
        <v>2</v>
      </c>
      <c r="FW76" s="694">
        <v>1</v>
      </c>
      <c r="FX76" s="694">
        <v>1</v>
      </c>
      <c r="FY76" s="693"/>
      <c r="FZ76" s="694">
        <v>4</v>
      </c>
      <c r="GA76" s="694">
        <v>17</v>
      </c>
      <c r="GB76" s="695"/>
      <c r="GC76" s="696">
        <v>1</v>
      </c>
      <c r="GD76" s="696">
        <v>29</v>
      </c>
      <c r="GE76" s="635">
        <f>+(GD75+GD73)/GD76</f>
        <v>0.2413793103448276</v>
      </c>
      <c r="GF76" s="41"/>
      <c r="GG76" s="688"/>
      <c r="GH76" s="688"/>
      <c r="GI76" s="688"/>
      <c r="GJ76" s="457" t="s">
        <v>1235</v>
      </c>
      <c r="GK76" s="689"/>
      <c r="GL76" s="689"/>
      <c r="GM76" s="689"/>
      <c r="GN76" s="689"/>
      <c r="GO76" s="689"/>
      <c r="GP76" s="689"/>
      <c r="GQ76" s="689"/>
      <c r="GR76" s="458">
        <v>1</v>
      </c>
      <c r="GS76" s="689"/>
      <c r="GT76" s="689"/>
      <c r="GU76" s="458">
        <v>0</v>
      </c>
      <c r="GV76" s="689"/>
      <c r="GW76" s="458">
        <v>0</v>
      </c>
      <c r="GX76" s="458">
        <v>1</v>
      </c>
      <c r="GY76" s="690"/>
      <c r="GZ76" s="41"/>
      <c r="HA76" s="41"/>
      <c r="HB76" s="105"/>
      <c r="HC76" s="105"/>
      <c r="HD76" s="41"/>
      <c r="HE76" s="461" t="s">
        <v>15</v>
      </c>
      <c r="HF76" s="96">
        <v>2</v>
      </c>
      <c r="HG76" s="96"/>
      <c r="HH76" s="96"/>
      <c r="HI76" s="96"/>
      <c r="HJ76" s="96">
        <v>2</v>
      </c>
      <c r="HK76" s="96"/>
      <c r="HL76" s="96"/>
      <c r="HM76" s="96"/>
      <c r="HN76" s="96"/>
      <c r="HO76" s="96"/>
      <c r="HP76" s="96">
        <v>1</v>
      </c>
      <c r="HQ76" s="96">
        <v>1</v>
      </c>
      <c r="HR76" s="96">
        <v>1</v>
      </c>
      <c r="HS76" s="96"/>
      <c r="HT76" s="96"/>
      <c r="HU76" s="96">
        <v>1</v>
      </c>
      <c r="HV76" s="96">
        <v>8</v>
      </c>
      <c r="HW76" s="706">
        <f>+HV74/HV76</f>
        <v>0.125</v>
      </c>
      <c r="HX76" s="41"/>
      <c r="HY76" s="691" t="s">
        <v>48</v>
      </c>
      <c r="HZ76" s="691" t="s">
        <v>16</v>
      </c>
      <c r="IA76" s="691" t="s">
        <v>128</v>
      </c>
      <c r="IB76" s="691" t="s">
        <v>1231</v>
      </c>
      <c r="IC76" s="691">
        <v>0</v>
      </c>
      <c r="ID76" s="691">
        <v>0</v>
      </c>
      <c r="IE76" s="691">
        <v>0</v>
      </c>
      <c r="IF76" s="691">
        <v>0</v>
      </c>
      <c r="IG76" s="691">
        <v>0</v>
      </c>
      <c r="IH76" s="691">
        <v>0</v>
      </c>
      <c r="II76" s="691">
        <v>0</v>
      </c>
      <c r="IJ76" s="691">
        <v>0</v>
      </c>
      <c r="IK76" s="691">
        <v>0</v>
      </c>
      <c r="IL76" s="691">
        <v>0</v>
      </c>
      <c r="IM76" s="691">
        <v>0</v>
      </c>
      <c r="IN76" s="691">
        <v>1</v>
      </c>
      <c r="IO76" s="691">
        <v>0</v>
      </c>
      <c r="IP76" s="691">
        <v>0</v>
      </c>
      <c r="IQ76" s="691">
        <v>0</v>
      </c>
      <c r="IR76" s="691">
        <v>0</v>
      </c>
      <c r="IS76" s="691">
        <v>1</v>
      </c>
      <c r="IT76" s="691"/>
      <c r="IU76" s="692"/>
    </row>
    <row r="77" spans="3:255">
      <c r="C77" s="4800" t="s">
        <v>124</v>
      </c>
      <c r="D77" s="4800" t="s">
        <v>1231</v>
      </c>
      <c r="E77" s="4606"/>
      <c r="F77" s="4606"/>
      <c r="G77" s="4606"/>
      <c r="H77" s="4606"/>
      <c r="I77" s="4606">
        <v>1</v>
      </c>
      <c r="J77" s="4606"/>
      <c r="K77" s="4606"/>
      <c r="L77" s="4606"/>
      <c r="M77" s="4606"/>
      <c r="N77" s="4606">
        <v>1</v>
      </c>
      <c r="O77" s="4606"/>
      <c r="P77" s="4606">
        <v>0</v>
      </c>
      <c r="Q77" s="4606">
        <v>1</v>
      </c>
      <c r="R77" s="4606"/>
      <c r="S77" s="2552">
        <v>0</v>
      </c>
      <c r="T77" s="2552"/>
      <c r="U77" s="2552">
        <v>3</v>
      </c>
      <c r="V77" s="2552"/>
      <c r="AA77" s="37" t="s">
        <v>1235</v>
      </c>
      <c r="AB77" s="4803">
        <v>0</v>
      </c>
      <c r="AC77" s="4803"/>
      <c r="AD77" s="4803"/>
      <c r="AE77" s="4803"/>
      <c r="AF77" s="4803">
        <v>0</v>
      </c>
      <c r="AG77" s="4803"/>
      <c r="AH77" s="4803"/>
      <c r="AI77" s="4803"/>
      <c r="AJ77" s="4803"/>
      <c r="AK77" s="4803">
        <v>0</v>
      </c>
      <c r="AL77" s="4803"/>
      <c r="AM77" s="4803">
        <v>1</v>
      </c>
      <c r="AN77" s="4803">
        <v>0</v>
      </c>
      <c r="AO77" s="4803">
        <v>0</v>
      </c>
      <c r="AP77" s="1788">
        <v>0</v>
      </c>
      <c r="AQ77" s="1788">
        <v>1</v>
      </c>
      <c r="AT77" s="41"/>
      <c r="AU77" s="41"/>
      <c r="AV77" s="41"/>
      <c r="AW77" s="41" t="s">
        <v>1344</v>
      </c>
      <c r="AX77" s="690"/>
      <c r="AY77" s="690"/>
      <c r="AZ77" s="690"/>
      <c r="BA77" s="690"/>
      <c r="BB77" s="690"/>
      <c r="BC77" s="690"/>
      <c r="BD77" s="690"/>
      <c r="BE77" s="690"/>
      <c r="BF77" s="690"/>
      <c r="BG77" s="690"/>
      <c r="BH77" s="690"/>
      <c r="BI77" s="690"/>
      <c r="BJ77" s="690">
        <v>0</v>
      </c>
      <c r="BK77" s="690">
        <v>1</v>
      </c>
      <c r="BL77" s="690">
        <v>0</v>
      </c>
      <c r="BM77" s="41"/>
      <c r="BN77" s="41">
        <v>0</v>
      </c>
      <c r="BO77" s="41">
        <v>1</v>
      </c>
      <c r="BP77" s="41"/>
      <c r="BR77" s="41"/>
      <c r="BS77" s="41"/>
      <c r="BT77" s="41"/>
      <c r="BU77" s="41" t="s">
        <v>1239</v>
      </c>
      <c r="BV77" s="2001"/>
      <c r="BW77" s="2001"/>
      <c r="BX77" s="2001"/>
      <c r="BY77" s="2001"/>
      <c r="BZ77" s="2001">
        <v>0</v>
      </c>
      <c r="CA77" s="2001"/>
      <c r="CB77" s="2001"/>
      <c r="CC77" s="2001"/>
      <c r="CD77" s="2001"/>
      <c r="CE77" s="2001"/>
      <c r="CF77" s="2001"/>
      <c r="CG77" s="2001">
        <v>0</v>
      </c>
      <c r="CH77" s="2001">
        <v>0</v>
      </c>
      <c r="CI77" s="2001">
        <v>0</v>
      </c>
      <c r="CJ77" s="2001">
        <v>7</v>
      </c>
      <c r="CK77" s="105"/>
      <c r="CL77" s="105"/>
      <c r="CM77" s="105">
        <v>7</v>
      </c>
      <c r="CN77" s="41"/>
      <c r="CR77" s="41"/>
      <c r="CS77" s="41" t="s">
        <v>1235</v>
      </c>
      <c r="CT77" s="1665"/>
      <c r="CU77" s="1665"/>
      <c r="CV77" s="1665"/>
      <c r="CW77" s="1665"/>
      <c r="CX77" s="1665"/>
      <c r="CY77" s="1665"/>
      <c r="CZ77" s="1665"/>
      <c r="DA77" s="1665"/>
      <c r="DB77" s="1665"/>
      <c r="DC77" s="1665"/>
      <c r="DD77" s="1665"/>
      <c r="DE77" s="1665"/>
      <c r="DF77" s="1665">
        <v>1</v>
      </c>
      <c r="DG77" s="1665">
        <v>2</v>
      </c>
      <c r="DH77" s="1665"/>
      <c r="DI77" s="41"/>
      <c r="DJ77" s="41"/>
      <c r="DK77" s="41">
        <v>3</v>
      </c>
      <c r="DL77" s="41"/>
      <c r="DN77" s="1375"/>
      <c r="DO77" s="1375"/>
      <c r="DP77" s="1375"/>
      <c r="DQ77" s="1376" t="s">
        <v>1235</v>
      </c>
      <c r="DR77" s="1377"/>
      <c r="DS77" s="1378">
        <v>0</v>
      </c>
      <c r="DT77" s="1378">
        <v>0</v>
      </c>
      <c r="DU77" s="1377"/>
      <c r="DV77" s="1378">
        <v>0</v>
      </c>
      <c r="DW77" s="1377"/>
      <c r="DX77" s="1378">
        <v>2</v>
      </c>
      <c r="DY77" s="1378">
        <v>4</v>
      </c>
      <c r="DZ77" s="1378">
        <v>4</v>
      </c>
      <c r="EA77" s="1378">
        <v>1</v>
      </c>
      <c r="EB77" s="1378">
        <v>5</v>
      </c>
      <c r="EC77" s="1378">
        <v>1</v>
      </c>
      <c r="ED77" s="1378">
        <v>0</v>
      </c>
      <c r="EE77" s="1379"/>
      <c r="EF77" s="1379"/>
      <c r="EG77" s="1380">
        <v>17</v>
      </c>
      <c r="EH77" s="41"/>
      <c r="EJ77" s="678"/>
      <c r="EK77" s="678"/>
      <c r="EL77" s="678"/>
      <c r="EM77" s="697" t="s">
        <v>15</v>
      </c>
      <c r="EN77" s="698"/>
      <c r="EO77" s="698"/>
      <c r="EP77" s="698"/>
      <c r="EQ77" s="698"/>
      <c r="ER77" s="698"/>
      <c r="ES77" s="698"/>
      <c r="ET77" s="698"/>
      <c r="EU77" s="698"/>
      <c r="EV77" s="698"/>
      <c r="EW77" s="699">
        <v>1</v>
      </c>
      <c r="EX77" s="699">
        <v>3</v>
      </c>
      <c r="EY77" s="699">
        <v>6</v>
      </c>
      <c r="EZ77" s="699">
        <v>4</v>
      </c>
      <c r="FA77" s="699">
        <v>4</v>
      </c>
      <c r="FB77" s="699">
        <v>4</v>
      </c>
      <c r="FC77" s="700"/>
      <c r="FD77" s="700"/>
      <c r="FE77" s="701">
        <v>22</v>
      </c>
      <c r="FF77" s="635">
        <f>+(FE74+FE76)/FE77</f>
        <v>0.5</v>
      </c>
      <c r="FH77" s="511"/>
      <c r="FI77" s="511"/>
      <c r="FJ77" s="511" t="s">
        <v>125</v>
      </c>
      <c r="FK77" s="511" t="s">
        <v>1229</v>
      </c>
      <c r="FL77" s="512" t="s">
        <v>1231</v>
      </c>
      <c r="FM77" s="684"/>
      <c r="FN77" s="684"/>
      <c r="FO77" s="684"/>
      <c r="FP77" s="684"/>
      <c r="FQ77" s="684"/>
      <c r="FR77" s="684"/>
      <c r="FS77" s="684"/>
      <c r="FT77" s="684"/>
      <c r="FU77" s="684"/>
      <c r="FV77" s="684"/>
      <c r="FW77" s="684"/>
      <c r="FX77" s="685">
        <v>1</v>
      </c>
      <c r="FY77" s="685">
        <v>4</v>
      </c>
      <c r="FZ77" s="684"/>
      <c r="GA77" s="684"/>
      <c r="GB77" s="687">
        <v>0</v>
      </c>
      <c r="GC77" s="686"/>
      <c r="GD77" s="687">
        <v>5</v>
      </c>
      <c r="GE77" s="635"/>
      <c r="GF77" s="41"/>
      <c r="GG77" s="688"/>
      <c r="GH77" s="688"/>
      <c r="GI77" s="688"/>
      <c r="GJ77" s="457" t="s">
        <v>1239</v>
      </c>
      <c r="GK77" s="689"/>
      <c r="GL77" s="689"/>
      <c r="GM77" s="689"/>
      <c r="GN77" s="689"/>
      <c r="GO77" s="689"/>
      <c r="GP77" s="689"/>
      <c r="GQ77" s="689"/>
      <c r="GR77" s="458">
        <v>0</v>
      </c>
      <c r="GS77" s="689"/>
      <c r="GT77" s="689"/>
      <c r="GU77" s="458">
        <v>1</v>
      </c>
      <c r="GV77" s="689"/>
      <c r="GW77" s="458">
        <v>3</v>
      </c>
      <c r="GX77" s="458">
        <v>4</v>
      </c>
      <c r="GY77" s="690"/>
      <c r="GZ77" s="41"/>
      <c r="HA77" s="41"/>
      <c r="HB77" s="105"/>
      <c r="HC77" s="105" t="s">
        <v>41</v>
      </c>
      <c r="HD77" s="41" t="s">
        <v>129</v>
      </c>
      <c r="HE77" s="41" t="s">
        <v>1239</v>
      </c>
      <c r="HF77" s="105"/>
      <c r="HG77" s="105"/>
      <c r="HH77" s="105"/>
      <c r="HI77" s="105"/>
      <c r="HJ77" s="105"/>
      <c r="HK77" s="105"/>
      <c r="HL77" s="105"/>
      <c r="HM77" s="105"/>
      <c r="HN77" s="105"/>
      <c r="HO77" s="105">
        <v>0</v>
      </c>
      <c r="HP77" s="105">
        <v>0</v>
      </c>
      <c r="HQ77" s="105"/>
      <c r="HR77" s="105">
        <v>0</v>
      </c>
      <c r="HS77" s="105">
        <v>2</v>
      </c>
      <c r="HT77" s="105"/>
      <c r="HU77" s="105">
        <v>2</v>
      </c>
      <c r="HV77" s="105">
        <v>4</v>
      </c>
      <c r="HW77" s="41"/>
      <c r="HX77" s="41"/>
      <c r="HY77" s="691"/>
      <c r="HZ77" s="691"/>
      <c r="IA77" s="691"/>
      <c r="IB77" s="691" t="s">
        <v>1239</v>
      </c>
      <c r="IC77" s="691">
        <v>0</v>
      </c>
      <c r="ID77" s="691">
        <v>0</v>
      </c>
      <c r="IE77" s="691">
        <v>0</v>
      </c>
      <c r="IF77" s="691">
        <v>0</v>
      </c>
      <c r="IG77" s="691">
        <v>0</v>
      </c>
      <c r="IH77" s="691">
        <v>0</v>
      </c>
      <c r="II77" s="691">
        <v>0</v>
      </c>
      <c r="IJ77" s="691">
        <v>0</v>
      </c>
      <c r="IK77" s="691">
        <v>0</v>
      </c>
      <c r="IL77" s="691">
        <v>0</v>
      </c>
      <c r="IM77" s="691">
        <v>0</v>
      </c>
      <c r="IN77" s="691">
        <v>0</v>
      </c>
      <c r="IO77" s="691">
        <v>0</v>
      </c>
      <c r="IP77" s="691">
        <v>0</v>
      </c>
      <c r="IQ77" s="691">
        <v>0</v>
      </c>
      <c r="IR77" s="691">
        <v>1</v>
      </c>
      <c r="IS77" s="691">
        <v>1</v>
      </c>
      <c r="IT77" s="691"/>
      <c r="IU77" s="692"/>
    </row>
    <row r="78" spans="3:255">
      <c r="D78" s="4800" t="s">
        <v>1235</v>
      </c>
      <c r="E78" s="4606"/>
      <c r="F78" s="4606"/>
      <c r="G78" s="4606"/>
      <c r="H78" s="4606"/>
      <c r="I78" s="4606">
        <v>0</v>
      </c>
      <c r="J78" s="4606"/>
      <c r="K78" s="4606"/>
      <c r="L78" s="4606"/>
      <c r="M78" s="4606"/>
      <c r="N78" s="4606">
        <v>0</v>
      </c>
      <c r="O78" s="4606"/>
      <c r="P78" s="4606">
        <v>1</v>
      </c>
      <c r="Q78" s="4606">
        <v>0</v>
      </c>
      <c r="R78" s="4606"/>
      <c r="S78" s="2552">
        <v>0</v>
      </c>
      <c r="T78" s="2552"/>
      <c r="U78" s="2552">
        <v>1</v>
      </c>
      <c r="V78" s="2552"/>
      <c r="AA78" s="37" t="s">
        <v>1239</v>
      </c>
      <c r="AB78" s="4803">
        <v>0</v>
      </c>
      <c r="AC78" s="4803"/>
      <c r="AD78" s="4803"/>
      <c r="AE78" s="4803"/>
      <c r="AF78" s="4803">
        <v>0</v>
      </c>
      <c r="AG78" s="4803"/>
      <c r="AH78" s="4803"/>
      <c r="AI78" s="4803"/>
      <c r="AJ78" s="4803"/>
      <c r="AK78" s="4803">
        <v>0</v>
      </c>
      <c r="AL78" s="4803"/>
      <c r="AM78" s="4803">
        <v>0</v>
      </c>
      <c r="AN78" s="4803">
        <v>1</v>
      </c>
      <c r="AO78" s="4803">
        <v>0</v>
      </c>
      <c r="AP78" s="1788">
        <v>1</v>
      </c>
      <c r="AQ78" s="1788">
        <v>2</v>
      </c>
      <c r="AT78" s="41"/>
      <c r="AU78" s="41"/>
      <c r="AV78" s="41"/>
      <c r="AW78" s="461" t="s">
        <v>15</v>
      </c>
      <c r="AX78" s="2489"/>
      <c r="AY78" s="2489"/>
      <c r="AZ78" s="2489"/>
      <c r="BA78" s="2489"/>
      <c r="BB78" s="2489"/>
      <c r="BC78" s="2489"/>
      <c r="BD78" s="2489"/>
      <c r="BE78" s="2489"/>
      <c r="BF78" s="2489"/>
      <c r="BG78" s="2489"/>
      <c r="BH78" s="2489"/>
      <c r="BI78" s="2489"/>
      <c r="BJ78" s="2489">
        <v>1</v>
      </c>
      <c r="BK78" s="2489">
        <v>2</v>
      </c>
      <c r="BL78" s="2489">
        <v>6</v>
      </c>
      <c r="BM78" s="461"/>
      <c r="BN78" s="461">
        <v>2</v>
      </c>
      <c r="BO78" s="461">
        <v>11</v>
      </c>
      <c r="BP78" s="635">
        <f>+(BO77+BO75)/BO78</f>
        <v>0.27272727272727271</v>
      </c>
      <c r="BQ78" s="1977"/>
      <c r="BR78" s="41"/>
      <c r="BS78" s="41"/>
      <c r="BT78" s="41"/>
      <c r="BU78" s="41" t="s">
        <v>1344</v>
      </c>
      <c r="BV78" s="2001"/>
      <c r="BW78" s="2001"/>
      <c r="BX78" s="2001"/>
      <c r="BY78" s="2001"/>
      <c r="BZ78" s="2001">
        <v>0</v>
      </c>
      <c r="CA78" s="2001"/>
      <c r="CB78" s="2001"/>
      <c r="CC78" s="2001"/>
      <c r="CD78" s="2001"/>
      <c r="CE78" s="2001"/>
      <c r="CF78" s="2001"/>
      <c r="CG78" s="2001">
        <v>1</v>
      </c>
      <c r="CH78" s="2001">
        <v>1</v>
      </c>
      <c r="CI78" s="2001">
        <v>0</v>
      </c>
      <c r="CJ78" s="2001">
        <v>0</v>
      </c>
      <c r="CK78" s="105"/>
      <c r="CL78" s="105"/>
      <c r="CM78" s="105">
        <v>2</v>
      </c>
      <c r="CN78" s="41"/>
      <c r="CR78" s="41"/>
      <c r="CS78" s="41" t="s">
        <v>1239</v>
      </c>
      <c r="CT78" s="1665"/>
      <c r="CU78" s="1665"/>
      <c r="CV78" s="1665"/>
      <c r="CW78" s="1665"/>
      <c r="CX78" s="1665"/>
      <c r="CY78" s="1665"/>
      <c r="CZ78" s="1665"/>
      <c r="DA78" s="1665"/>
      <c r="DB78" s="1665"/>
      <c r="DC78" s="1665"/>
      <c r="DD78" s="1665"/>
      <c r="DE78" s="1665"/>
      <c r="DF78" s="1665">
        <v>0</v>
      </c>
      <c r="DG78" s="1665">
        <v>1</v>
      </c>
      <c r="DH78" s="1665"/>
      <c r="DI78" s="41"/>
      <c r="DJ78" s="41"/>
      <c r="DK78" s="41">
        <v>1</v>
      </c>
      <c r="DL78" s="41"/>
      <c r="DN78" s="1375"/>
      <c r="DO78" s="1375"/>
      <c r="DP78" s="1375"/>
      <c r="DQ78" s="1376" t="s">
        <v>1236</v>
      </c>
      <c r="DR78" s="1377"/>
      <c r="DS78" s="1378">
        <v>0</v>
      </c>
      <c r="DT78" s="1378">
        <v>1</v>
      </c>
      <c r="DU78" s="1377"/>
      <c r="DV78" s="1378">
        <v>1</v>
      </c>
      <c r="DW78" s="1377"/>
      <c r="DX78" s="1378">
        <v>0</v>
      </c>
      <c r="DY78" s="1378">
        <v>0</v>
      </c>
      <c r="DZ78" s="1378">
        <v>0</v>
      </c>
      <c r="EA78" s="1378">
        <v>0</v>
      </c>
      <c r="EB78" s="1378">
        <v>0</v>
      </c>
      <c r="EC78" s="1378">
        <v>0</v>
      </c>
      <c r="ED78" s="1378">
        <v>0</v>
      </c>
      <c r="EE78" s="1379"/>
      <c r="EF78" s="1379"/>
      <c r="EG78" s="1380">
        <v>2</v>
      </c>
      <c r="EH78" s="41"/>
      <c r="EJ78" s="678"/>
      <c r="EK78" s="678"/>
      <c r="EL78" s="678" t="s">
        <v>126</v>
      </c>
      <c r="EM78" s="679" t="s">
        <v>1231</v>
      </c>
      <c r="EN78" s="680"/>
      <c r="EO78" s="681">
        <v>1</v>
      </c>
      <c r="EP78" s="680"/>
      <c r="EQ78" s="681">
        <v>1</v>
      </c>
      <c r="ER78" s="681">
        <v>1</v>
      </c>
      <c r="ES78" s="680"/>
      <c r="ET78" s="681">
        <v>1</v>
      </c>
      <c r="EU78" s="681">
        <v>1</v>
      </c>
      <c r="EV78" s="681">
        <v>2</v>
      </c>
      <c r="EW78" s="681">
        <v>0</v>
      </c>
      <c r="EX78" s="681">
        <v>1</v>
      </c>
      <c r="EY78" s="680"/>
      <c r="EZ78" s="681">
        <v>1</v>
      </c>
      <c r="FA78" s="681">
        <v>0</v>
      </c>
      <c r="FB78" s="681">
        <v>0</v>
      </c>
      <c r="FC78" s="682"/>
      <c r="FD78" s="682"/>
      <c r="FE78" s="683">
        <v>9</v>
      </c>
      <c r="FF78" s="105"/>
      <c r="FH78" s="511"/>
      <c r="FI78" s="511"/>
      <c r="FJ78" s="511"/>
      <c r="FK78" s="511"/>
      <c r="FL78" s="512" t="s">
        <v>1239</v>
      </c>
      <c r="FM78" s="684"/>
      <c r="FN78" s="684"/>
      <c r="FO78" s="684"/>
      <c r="FP78" s="684"/>
      <c r="FQ78" s="684"/>
      <c r="FR78" s="684"/>
      <c r="FS78" s="684"/>
      <c r="FT78" s="684"/>
      <c r="FU78" s="684"/>
      <c r="FV78" s="684"/>
      <c r="FW78" s="684"/>
      <c r="FX78" s="685">
        <v>0</v>
      </c>
      <c r="FY78" s="685">
        <v>0</v>
      </c>
      <c r="FZ78" s="684"/>
      <c r="GA78" s="684"/>
      <c r="GB78" s="687">
        <v>1</v>
      </c>
      <c r="GC78" s="686"/>
      <c r="GD78" s="687">
        <v>1</v>
      </c>
      <c r="GE78" s="635"/>
      <c r="GF78" s="41"/>
      <c r="GG78" s="688"/>
      <c r="GH78" s="688"/>
      <c r="GI78" s="688"/>
      <c r="GJ78" s="704" t="s">
        <v>15</v>
      </c>
      <c r="GK78" s="705"/>
      <c r="GL78" s="705"/>
      <c r="GM78" s="705"/>
      <c r="GN78" s="705"/>
      <c r="GO78" s="705"/>
      <c r="GP78" s="705"/>
      <c r="GQ78" s="705"/>
      <c r="GR78" s="463">
        <v>1</v>
      </c>
      <c r="GS78" s="705"/>
      <c r="GT78" s="705"/>
      <c r="GU78" s="463">
        <v>3</v>
      </c>
      <c r="GV78" s="705"/>
      <c r="GW78" s="463">
        <v>3</v>
      </c>
      <c r="GX78" s="463">
        <v>7</v>
      </c>
      <c r="GY78" s="628">
        <f>+GX76/GX78</f>
        <v>0.14285714285714285</v>
      </c>
      <c r="GZ78" s="41"/>
      <c r="HA78" s="41"/>
      <c r="HB78" s="105"/>
      <c r="HC78" s="105"/>
      <c r="HD78" s="41"/>
      <c r="HE78" s="41" t="s">
        <v>1344</v>
      </c>
      <c r="HF78" s="105"/>
      <c r="HG78" s="105"/>
      <c r="HH78" s="105"/>
      <c r="HI78" s="105"/>
      <c r="HJ78" s="105"/>
      <c r="HK78" s="105"/>
      <c r="HL78" s="105"/>
      <c r="HM78" s="105"/>
      <c r="HN78" s="105"/>
      <c r="HO78" s="105">
        <v>2</v>
      </c>
      <c r="HP78" s="105">
        <v>2</v>
      </c>
      <c r="HQ78" s="105"/>
      <c r="HR78" s="105">
        <v>2</v>
      </c>
      <c r="HS78" s="105">
        <v>0</v>
      </c>
      <c r="HT78" s="105"/>
      <c r="HU78" s="105">
        <v>0</v>
      </c>
      <c r="HV78" s="105">
        <v>6</v>
      </c>
      <c r="HW78" s="41"/>
      <c r="HX78" s="41"/>
      <c r="HY78" s="691"/>
      <c r="HZ78" s="691"/>
      <c r="IA78" s="691"/>
      <c r="IB78" s="702" t="s">
        <v>15</v>
      </c>
      <c r="IC78" s="702">
        <v>0</v>
      </c>
      <c r="ID78" s="702">
        <v>0</v>
      </c>
      <c r="IE78" s="702">
        <v>0</v>
      </c>
      <c r="IF78" s="702">
        <v>0</v>
      </c>
      <c r="IG78" s="702">
        <v>0</v>
      </c>
      <c r="IH78" s="702">
        <v>0</v>
      </c>
      <c r="II78" s="702">
        <v>0</v>
      </c>
      <c r="IJ78" s="702">
        <v>0</v>
      </c>
      <c r="IK78" s="702">
        <v>0</v>
      </c>
      <c r="IL78" s="702">
        <v>0</v>
      </c>
      <c r="IM78" s="702">
        <v>0</v>
      </c>
      <c r="IN78" s="702">
        <v>1</v>
      </c>
      <c r="IO78" s="702">
        <v>0</v>
      </c>
      <c r="IP78" s="702">
        <v>0</v>
      </c>
      <c r="IQ78" s="702">
        <v>0</v>
      </c>
      <c r="IR78" s="702">
        <v>1</v>
      </c>
      <c r="IS78" s="702">
        <v>2</v>
      </c>
      <c r="IT78" s="703">
        <f>0/IS78</f>
        <v>0</v>
      </c>
      <c r="IU78" s="692">
        <v>0</v>
      </c>
    </row>
    <row r="79" spans="3:255">
      <c r="D79" s="4800" t="s">
        <v>1239</v>
      </c>
      <c r="E79" s="4606"/>
      <c r="F79" s="4606"/>
      <c r="G79" s="4606"/>
      <c r="H79" s="4606"/>
      <c r="I79" s="4606">
        <v>0</v>
      </c>
      <c r="J79" s="4606"/>
      <c r="K79" s="4606"/>
      <c r="L79" s="4606"/>
      <c r="M79" s="4606"/>
      <c r="N79" s="4606">
        <v>0</v>
      </c>
      <c r="O79" s="4606"/>
      <c r="P79" s="4606">
        <v>0</v>
      </c>
      <c r="Q79" s="4606">
        <v>1</v>
      </c>
      <c r="R79" s="4606"/>
      <c r="S79" s="2552">
        <v>2</v>
      </c>
      <c r="T79" s="2552"/>
      <c r="U79" s="2552">
        <v>3</v>
      </c>
      <c r="V79" s="2552"/>
      <c r="AA79" s="1793" t="s">
        <v>15</v>
      </c>
      <c r="AB79" s="4804">
        <v>0</v>
      </c>
      <c r="AC79" s="4804"/>
      <c r="AD79" s="4804"/>
      <c r="AE79" s="4804"/>
      <c r="AF79" s="4804">
        <v>1</v>
      </c>
      <c r="AG79" s="4804"/>
      <c r="AH79" s="4804"/>
      <c r="AI79" s="4804"/>
      <c r="AJ79" s="4804"/>
      <c r="AK79" s="4804">
        <v>1</v>
      </c>
      <c r="AL79" s="4804"/>
      <c r="AM79" s="4804">
        <v>1</v>
      </c>
      <c r="AN79" s="4804">
        <v>2</v>
      </c>
      <c r="AO79" s="4804">
        <v>1</v>
      </c>
      <c r="AP79" s="4702">
        <v>1</v>
      </c>
      <c r="AQ79" s="4702">
        <v>7</v>
      </c>
      <c r="AR79" s="4703">
        <f>+AQ77/AQ79</f>
        <v>0.14285714285714285</v>
      </c>
      <c r="AT79" s="41"/>
      <c r="AU79" s="41"/>
      <c r="AV79" s="41" t="s">
        <v>123</v>
      </c>
      <c r="AW79" s="41" t="s">
        <v>1231</v>
      </c>
      <c r="AX79" s="690"/>
      <c r="AY79" s="690"/>
      <c r="AZ79" s="690"/>
      <c r="BA79" s="690"/>
      <c r="BB79" s="690"/>
      <c r="BC79" s="690"/>
      <c r="BD79" s="690"/>
      <c r="BE79" s="690"/>
      <c r="BF79" s="690"/>
      <c r="BG79" s="690"/>
      <c r="BH79" s="690"/>
      <c r="BI79" s="690"/>
      <c r="BJ79" s="690"/>
      <c r="BK79" s="690">
        <v>1</v>
      </c>
      <c r="BL79" s="690">
        <v>0</v>
      </c>
      <c r="BM79" s="41"/>
      <c r="BN79" s="41"/>
      <c r="BO79" s="41">
        <v>1</v>
      </c>
      <c r="BP79" s="41"/>
      <c r="BR79" s="41"/>
      <c r="BS79" s="41"/>
      <c r="BT79" s="41"/>
      <c r="BU79" s="461" t="s">
        <v>15</v>
      </c>
      <c r="BV79" s="2002"/>
      <c r="BW79" s="2002"/>
      <c r="BX79" s="2002"/>
      <c r="BY79" s="2002"/>
      <c r="BZ79" s="2002">
        <v>1</v>
      </c>
      <c r="CA79" s="2002"/>
      <c r="CB79" s="2002"/>
      <c r="CC79" s="2002"/>
      <c r="CD79" s="2002"/>
      <c r="CE79" s="2002"/>
      <c r="CF79" s="2002"/>
      <c r="CG79" s="2002">
        <v>1</v>
      </c>
      <c r="CH79" s="2002">
        <v>8</v>
      </c>
      <c r="CI79" s="2002">
        <v>5</v>
      </c>
      <c r="CJ79" s="2002">
        <v>7</v>
      </c>
      <c r="CK79" s="96"/>
      <c r="CL79" s="96"/>
      <c r="CM79" s="96">
        <v>22</v>
      </c>
      <c r="CN79" s="635">
        <f>+(CM76+CM78)/CM79</f>
        <v>0.31818181818181818</v>
      </c>
      <c r="CR79" s="41"/>
      <c r="CS79" s="461" t="s">
        <v>15</v>
      </c>
      <c r="CT79" s="1666"/>
      <c r="CU79" s="1666"/>
      <c r="CV79" s="1666"/>
      <c r="CW79" s="1666"/>
      <c r="CX79" s="1666"/>
      <c r="CY79" s="1666"/>
      <c r="CZ79" s="1666"/>
      <c r="DA79" s="1666"/>
      <c r="DB79" s="1666"/>
      <c r="DC79" s="1666"/>
      <c r="DD79" s="1666"/>
      <c r="DE79" s="1666"/>
      <c r="DF79" s="1666">
        <v>3</v>
      </c>
      <c r="DG79" s="1666">
        <v>7</v>
      </c>
      <c r="DH79" s="1666"/>
      <c r="DI79" s="461"/>
      <c r="DJ79" s="461"/>
      <c r="DK79" s="461">
        <v>10</v>
      </c>
      <c r="DL79" s="635">
        <f>+DK77/DK79</f>
        <v>0.3</v>
      </c>
      <c r="DN79" s="1375"/>
      <c r="DO79" s="1375"/>
      <c r="DP79" s="1375"/>
      <c r="DQ79" s="1376" t="s">
        <v>1239</v>
      </c>
      <c r="DR79" s="1377"/>
      <c r="DS79" s="1378">
        <v>0</v>
      </c>
      <c r="DT79" s="1378">
        <v>0</v>
      </c>
      <c r="DU79" s="1377"/>
      <c r="DV79" s="1378">
        <v>0</v>
      </c>
      <c r="DW79" s="1377"/>
      <c r="DX79" s="1378">
        <v>0</v>
      </c>
      <c r="DY79" s="1378">
        <v>0</v>
      </c>
      <c r="DZ79" s="1378">
        <v>0</v>
      </c>
      <c r="EA79" s="1378">
        <v>0</v>
      </c>
      <c r="EB79" s="1378">
        <v>0</v>
      </c>
      <c r="EC79" s="1378">
        <v>0</v>
      </c>
      <c r="ED79" s="1378">
        <v>6</v>
      </c>
      <c r="EE79" s="1379"/>
      <c r="EF79" s="1379"/>
      <c r="EG79" s="1380">
        <v>6</v>
      </c>
      <c r="EH79" s="41"/>
      <c r="EJ79" s="678"/>
      <c r="EK79" s="678"/>
      <c r="EL79" s="678"/>
      <c r="EM79" s="679" t="s">
        <v>1235</v>
      </c>
      <c r="EN79" s="680"/>
      <c r="EO79" s="681">
        <v>0</v>
      </c>
      <c r="EP79" s="680"/>
      <c r="EQ79" s="681">
        <v>0</v>
      </c>
      <c r="ER79" s="681">
        <v>0</v>
      </c>
      <c r="ES79" s="680"/>
      <c r="ET79" s="681">
        <v>1</v>
      </c>
      <c r="EU79" s="681">
        <v>2</v>
      </c>
      <c r="EV79" s="681">
        <v>1</v>
      </c>
      <c r="EW79" s="681">
        <v>0</v>
      </c>
      <c r="EX79" s="681">
        <v>0</v>
      </c>
      <c r="EY79" s="680"/>
      <c r="EZ79" s="681">
        <v>1</v>
      </c>
      <c r="FA79" s="681">
        <v>8</v>
      </c>
      <c r="FB79" s="681">
        <v>0</v>
      </c>
      <c r="FC79" s="682"/>
      <c r="FD79" s="682"/>
      <c r="FE79" s="683">
        <v>13</v>
      </c>
      <c r="FF79" s="105"/>
      <c r="FH79" s="511"/>
      <c r="FI79" s="511"/>
      <c r="FJ79" s="511"/>
      <c r="FK79" s="511"/>
      <c r="FL79" s="512" t="s">
        <v>1344</v>
      </c>
      <c r="FM79" s="684"/>
      <c r="FN79" s="684"/>
      <c r="FO79" s="684"/>
      <c r="FP79" s="684"/>
      <c r="FQ79" s="684"/>
      <c r="FR79" s="684"/>
      <c r="FS79" s="684"/>
      <c r="FT79" s="684"/>
      <c r="FU79" s="684"/>
      <c r="FV79" s="684"/>
      <c r="FW79" s="684"/>
      <c r="FX79" s="685">
        <v>0</v>
      </c>
      <c r="FY79" s="685">
        <v>9</v>
      </c>
      <c r="FZ79" s="684"/>
      <c r="GA79" s="684"/>
      <c r="GB79" s="687">
        <v>0</v>
      </c>
      <c r="GC79" s="686"/>
      <c r="GD79" s="687">
        <v>9</v>
      </c>
      <c r="GE79" s="635"/>
      <c r="GF79" s="41"/>
      <c r="GG79" s="688"/>
      <c r="GH79" s="688"/>
      <c r="GI79" s="688" t="s">
        <v>333</v>
      </c>
      <c r="GJ79" s="457" t="s">
        <v>1231</v>
      </c>
      <c r="GK79" s="689"/>
      <c r="GL79" s="689"/>
      <c r="GM79" s="689"/>
      <c r="GN79" s="689"/>
      <c r="GO79" s="689"/>
      <c r="GP79" s="458">
        <v>0</v>
      </c>
      <c r="GQ79" s="689"/>
      <c r="GR79" s="458">
        <v>1</v>
      </c>
      <c r="GS79" s="458">
        <v>0</v>
      </c>
      <c r="GT79" s="689"/>
      <c r="GU79" s="458">
        <v>0</v>
      </c>
      <c r="GV79" s="458">
        <v>1</v>
      </c>
      <c r="GW79" s="458">
        <v>0</v>
      </c>
      <c r="GX79" s="458">
        <v>2</v>
      </c>
      <c r="GY79" s="690"/>
      <c r="GZ79" s="41"/>
      <c r="HA79" s="41"/>
      <c r="HB79" s="105"/>
      <c r="HC79" s="105"/>
      <c r="HD79" s="41"/>
      <c r="HE79" s="461" t="s">
        <v>15</v>
      </c>
      <c r="HF79" s="96"/>
      <c r="HG79" s="96"/>
      <c r="HH79" s="96"/>
      <c r="HI79" s="96"/>
      <c r="HJ79" s="96"/>
      <c r="HK79" s="96"/>
      <c r="HL79" s="96"/>
      <c r="HM79" s="96"/>
      <c r="HN79" s="96"/>
      <c r="HO79" s="96">
        <v>2</v>
      </c>
      <c r="HP79" s="96">
        <v>2</v>
      </c>
      <c r="HQ79" s="96"/>
      <c r="HR79" s="96">
        <v>2</v>
      </c>
      <c r="HS79" s="96">
        <v>2</v>
      </c>
      <c r="HT79" s="96"/>
      <c r="HU79" s="96">
        <v>2</v>
      </c>
      <c r="HV79" s="96">
        <v>10</v>
      </c>
      <c r="HW79" s="706">
        <f>+HV78/HV79</f>
        <v>0.6</v>
      </c>
      <c r="HX79" s="41"/>
      <c r="HY79" s="691"/>
      <c r="HZ79" s="691" t="s">
        <v>41</v>
      </c>
      <c r="IA79" s="691" t="s">
        <v>846</v>
      </c>
      <c r="IB79" s="691" t="s">
        <v>1240</v>
      </c>
      <c r="IC79" s="691">
        <v>0</v>
      </c>
      <c r="ID79" s="691">
        <v>0</v>
      </c>
      <c r="IE79" s="691">
        <v>0</v>
      </c>
      <c r="IF79" s="691">
        <v>0</v>
      </c>
      <c r="IG79" s="691">
        <v>0</v>
      </c>
      <c r="IH79" s="691">
        <v>0</v>
      </c>
      <c r="II79" s="691">
        <v>0</v>
      </c>
      <c r="IJ79" s="691">
        <v>0</v>
      </c>
      <c r="IK79" s="691">
        <v>0</v>
      </c>
      <c r="IL79" s="691">
        <v>2</v>
      </c>
      <c r="IM79" s="691">
        <v>0</v>
      </c>
      <c r="IN79" s="691">
        <v>1</v>
      </c>
      <c r="IO79" s="691">
        <v>2</v>
      </c>
      <c r="IP79" s="691">
        <v>0</v>
      </c>
      <c r="IQ79" s="691">
        <v>0</v>
      </c>
      <c r="IR79" s="691">
        <v>0</v>
      </c>
      <c r="IS79" s="691">
        <v>5</v>
      </c>
      <c r="IT79" s="691"/>
      <c r="IU79" s="692"/>
    </row>
    <row r="80" spans="3:255">
      <c r="D80" s="4800" t="s">
        <v>15</v>
      </c>
      <c r="E80" s="4606"/>
      <c r="F80" s="4606"/>
      <c r="G80" s="4606"/>
      <c r="H80" s="4606"/>
      <c r="I80" s="4606">
        <v>1</v>
      </c>
      <c r="J80" s="4606"/>
      <c r="K80" s="4606"/>
      <c r="L80" s="4606"/>
      <c r="M80" s="4606"/>
      <c r="N80" s="4606">
        <v>1</v>
      </c>
      <c r="O80" s="4606"/>
      <c r="P80" s="4606">
        <v>1</v>
      </c>
      <c r="Q80" s="4606">
        <v>2</v>
      </c>
      <c r="R80" s="4606"/>
      <c r="S80" s="2552">
        <v>2</v>
      </c>
      <c r="T80" s="2552"/>
      <c r="U80" s="2552">
        <v>7</v>
      </c>
      <c r="V80" s="1977">
        <f>+(U78)/(U80)</f>
        <v>0.14285714285714285</v>
      </c>
      <c r="Z80" s="37" t="s">
        <v>417</v>
      </c>
      <c r="AA80" s="37" t="s">
        <v>1230</v>
      </c>
      <c r="AB80" s="4803">
        <v>0</v>
      </c>
      <c r="AC80" s="4803"/>
      <c r="AD80" s="4803"/>
      <c r="AE80" s="4803"/>
      <c r="AF80" s="4803"/>
      <c r="AG80" s="4803"/>
      <c r="AH80" s="4803"/>
      <c r="AI80" s="4803"/>
      <c r="AJ80" s="4803"/>
      <c r="AK80" s="4803"/>
      <c r="AL80" s="4803"/>
      <c r="AM80" s="4803"/>
      <c r="AN80" s="4803">
        <v>1</v>
      </c>
      <c r="AO80" s="4803">
        <v>0</v>
      </c>
      <c r="AP80" s="1788"/>
      <c r="AQ80" s="1788">
        <v>1</v>
      </c>
      <c r="AT80" s="41"/>
      <c r="AU80" s="41"/>
      <c r="AV80" s="41"/>
      <c r="AW80" s="41" t="s">
        <v>1239</v>
      </c>
      <c r="AX80" s="690"/>
      <c r="AY80" s="690"/>
      <c r="AZ80" s="690"/>
      <c r="BA80" s="690"/>
      <c r="BB80" s="690"/>
      <c r="BC80" s="690"/>
      <c r="BD80" s="690"/>
      <c r="BE80" s="690"/>
      <c r="BF80" s="690"/>
      <c r="BG80" s="690"/>
      <c r="BH80" s="690"/>
      <c r="BI80" s="690"/>
      <c r="BJ80" s="690"/>
      <c r="BK80" s="690">
        <v>0</v>
      </c>
      <c r="BL80" s="690">
        <v>2</v>
      </c>
      <c r="BM80" s="41"/>
      <c r="BN80" s="41"/>
      <c r="BO80" s="41">
        <v>2</v>
      </c>
      <c r="BP80" s="41"/>
      <c r="BR80" s="41"/>
      <c r="BS80" s="41"/>
      <c r="BT80" s="41" t="s">
        <v>128</v>
      </c>
      <c r="BU80" s="41" t="s">
        <v>1231</v>
      </c>
      <c r="BV80" s="2001"/>
      <c r="BW80" s="2001">
        <v>2</v>
      </c>
      <c r="BX80" s="2001"/>
      <c r="BY80" s="2001">
        <v>1</v>
      </c>
      <c r="BZ80" s="2001"/>
      <c r="CA80" s="2001"/>
      <c r="CB80" s="2001"/>
      <c r="CC80" s="2001"/>
      <c r="CD80" s="2001"/>
      <c r="CE80" s="2001"/>
      <c r="CF80" s="2001"/>
      <c r="CG80" s="2001">
        <v>1</v>
      </c>
      <c r="CH80" s="2001">
        <v>3</v>
      </c>
      <c r="CI80" s="2001">
        <v>1</v>
      </c>
      <c r="CJ80" s="2001">
        <v>0</v>
      </c>
      <c r="CK80" s="105"/>
      <c r="CL80" s="105">
        <v>0</v>
      </c>
      <c r="CM80" s="105">
        <v>8</v>
      </c>
      <c r="CN80" s="41"/>
      <c r="CR80" s="41" t="s">
        <v>125</v>
      </c>
      <c r="CS80" s="41" t="s">
        <v>1231</v>
      </c>
      <c r="CT80" s="1665"/>
      <c r="CU80" s="1665">
        <v>0</v>
      </c>
      <c r="CV80" s="1665"/>
      <c r="CW80" s="1665"/>
      <c r="CX80" s="1665"/>
      <c r="CY80" s="1665"/>
      <c r="CZ80" s="1665"/>
      <c r="DA80" s="1665"/>
      <c r="DB80" s="1665"/>
      <c r="DC80" s="1665"/>
      <c r="DD80" s="1665"/>
      <c r="DE80" s="1665"/>
      <c r="DF80" s="1665">
        <v>1</v>
      </c>
      <c r="DG80" s="1665"/>
      <c r="DH80" s="1665">
        <v>0</v>
      </c>
      <c r="DI80" s="41"/>
      <c r="DJ80" s="41"/>
      <c r="DK80" s="41">
        <v>1</v>
      </c>
      <c r="DL80" s="41"/>
      <c r="DN80" s="1375"/>
      <c r="DO80" s="1375"/>
      <c r="DP80" s="1375"/>
      <c r="DQ80" s="1376" t="s">
        <v>1344</v>
      </c>
      <c r="DR80" s="1377"/>
      <c r="DS80" s="1378">
        <v>0</v>
      </c>
      <c r="DT80" s="1378">
        <v>0</v>
      </c>
      <c r="DU80" s="1377"/>
      <c r="DV80" s="1378">
        <v>0</v>
      </c>
      <c r="DW80" s="1377"/>
      <c r="DX80" s="1378">
        <v>1</v>
      </c>
      <c r="DY80" s="1378">
        <v>3</v>
      </c>
      <c r="DZ80" s="1378">
        <v>0</v>
      </c>
      <c r="EA80" s="1378">
        <v>1</v>
      </c>
      <c r="EB80" s="1378">
        <v>2</v>
      </c>
      <c r="EC80" s="1378">
        <v>0</v>
      </c>
      <c r="ED80" s="1378">
        <v>0</v>
      </c>
      <c r="EE80" s="1379"/>
      <c r="EF80" s="1379"/>
      <c r="EG80" s="1380">
        <v>7</v>
      </c>
      <c r="EH80" s="41"/>
      <c r="EJ80" s="678"/>
      <c r="EK80" s="678"/>
      <c r="EL80" s="678"/>
      <c r="EM80" s="679" t="s">
        <v>1236</v>
      </c>
      <c r="EN80" s="680"/>
      <c r="EO80" s="681">
        <v>0</v>
      </c>
      <c r="EP80" s="680"/>
      <c r="EQ80" s="681">
        <v>1</v>
      </c>
      <c r="ER80" s="681">
        <v>1</v>
      </c>
      <c r="ES80" s="680"/>
      <c r="ET80" s="681">
        <v>0</v>
      </c>
      <c r="EU80" s="681">
        <v>0</v>
      </c>
      <c r="EV80" s="681">
        <v>0</v>
      </c>
      <c r="EW80" s="681">
        <v>0</v>
      </c>
      <c r="EX80" s="681">
        <v>0</v>
      </c>
      <c r="EY80" s="680"/>
      <c r="EZ80" s="681">
        <v>0</v>
      </c>
      <c r="FA80" s="681">
        <v>0</v>
      </c>
      <c r="FB80" s="681">
        <v>0</v>
      </c>
      <c r="FC80" s="682"/>
      <c r="FD80" s="682"/>
      <c r="FE80" s="683">
        <v>2</v>
      </c>
      <c r="FF80" s="105"/>
      <c r="FH80" s="511"/>
      <c r="FI80" s="511"/>
      <c r="FJ80" s="511"/>
      <c r="FK80" s="41"/>
      <c r="FL80" s="532" t="s">
        <v>15</v>
      </c>
      <c r="FM80" s="693"/>
      <c r="FN80" s="693"/>
      <c r="FO80" s="693"/>
      <c r="FP80" s="693"/>
      <c r="FQ80" s="693"/>
      <c r="FR80" s="693"/>
      <c r="FS80" s="693"/>
      <c r="FT80" s="693"/>
      <c r="FU80" s="693"/>
      <c r="FV80" s="693"/>
      <c r="FW80" s="693"/>
      <c r="FX80" s="694">
        <v>1</v>
      </c>
      <c r="FY80" s="694">
        <v>13</v>
      </c>
      <c r="FZ80" s="693"/>
      <c r="GA80" s="693"/>
      <c r="GB80" s="696">
        <v>1</v>
      </c>
      <c r="GC80" s="695"/>
      <c r="GD80" s="696">
        <v>15</v>
      </c>
      <c r="GE80" s="635">
        <f>+GD79/GD80</f>
        <v>0.6</v>
      </c>
      <c r="GF80" s="41"/>
      <c r="GG80" s="688"/>
      <c r="GH80" s="688"/>
      <c r="GI80" s="688"/>
      <c r="GJ80" s="457" t="s">
        <v>1239</v>
      </c>
      <c r="GK80" s="689"/>
      <c r="GL80" s="689"/>
      <c r="GM80" s="689"/>
      <c r="GN80" s="689"/>
      <c r="GO80" s="689"/>
      <c r="GP80" s="458">
        <v>0</v>
      </c>
      <c r="GQ80" s="689"/>
      <c r="GR80" s="458">
        <v>0</v>
      </c>
      <c r="GS80" s="458">
        <v>1</v>
      </c>
      <c r="GT80" s="689"/>
      <c r="GU80" s="458">
        <v>7</v>
      </c>
      <c r="GV80" s="458">
        <v>0</v>
      </c>
      <c r="GW80" s="458">
        <v>1</v>
      </c>
      <c r="GX80" s="458">
        <v>9</v>
      </c>
      <c r="GY80" s="690"/>
      <c r="GZ80" s="41"/>
      <c r="HA80" s="41"/>
      <c r="HB80" s="105"/>
      <c r="HC80" s="105"/>
      <c r="HD80" s="41" t="s">
        <v>846</v>
      </c>
      <c r="HE80" s="41" t="s">
        <v>1344</v>
      </c>
      <c r="HF80" s="105"/>
      <c r="HG80" s="105"/>
      <c r="HH80" s="105"/>
      <c r="HI80" s="105"/>
      <c r="HJ80" s="105"/>
      <c r="HK80" s="105"/>
      <c r="HL80" s="105">
        <v>1</v>
      </c>
      <c r="HM80" s="105"/>
      <c r="HN80" s="105"/>
      <c r="HO80" s="105"/>
      <c r="HP80" s="105"/>
      <c r="HQ80" s="105"/>
      <c r="HR80" s="105"/>
      <c r="HS80" s="105"/>
      <c r="HT80" s="105"/>
      <c r="HU80" s="105"/>
      <c r="HV80" s="105">
        <v>1</v>
      </c>
      <c r="HW80" s="41"/>
      <c r="HX80" s="41"/>
      <c r="HY80" s="691"/>
      <c r="HZ80" s="691"/>
      <c r="IA80" s="691"/>
      <c r="IB80" s="691" t="s">
        <v>1344</v>
      </c>
      <c r="IC80" s="691">
        <v>0</v>
      </c>
      <c r="ID80" s="691">
        <v>0</v>
      </c>
      <c r="IE80" s="691">
        <v>0</v>
      </c>
      <c r="IF80" s="691">
        <v>0</v>
      </c>
      <c r="IG80" s="691">
        <v>0</v>
      </c>
      <c r="IH80" s="691">
        <v>0</v>
      </c>
      <c r="II80" s="691">
        <v>0</v>
      </c>
      <c r="IJ80" s="691">
        <v>1</v>
      </c>
      <c r="IK80" s="691">
        <v>0</v>
      </c>
      <c r="IL80" s="691">
        <v>0</v>
      </c>
      <c r="IM80" s="691">
        <v>0</v>
      </c>
      <c r="IN80" s="691">
        <v>0</v>
      </c>
      <c r="IO80" s="691">
        <v>0</v>
      </c>
      <c r="IP80" s="691">
        <v>0</v>
      </c>
      <c r="IQ80" s="691">
        <v>0</v>
      </c>
      <c r="IR80" s="691">
        <v>0</v>
      </c>
      <c r="IS80" s="691">
        <v>1</v>
      </c>
      <c r="IT80" s="691"/>
      <c r="IU80" s="692"/>
    </row>
    <row r="81" spans="2:255">
      <c r="C81" s="4800" t="s">
        <v>417</v>
      </c>
      <c r="D81" s="4800" t="s">
        <v>1230</v>
      </c>
      <c r="E81" s="4606"/>
      <c r="F81" s="4606"/>
      <c r="G81" s="4606"/>
      <c r="H81" s="4606"/>
      <c r="I81" s="4606"/>
      <c r="J81" s="4606"/>
      <c r="K81" s="4606"/>
      <c r="L81" s="4606"/>
      <c r="M81" s="4606"/>
      <c r="N81" s="4606"/>
      <c r="O81" s="4606"/>
      <c r="P81" s="4606"/>
      <c r="Q81" s="4606">
        <v>0</v>
      </c>
      <c r="R81" s="4606">
        <v>1</v>
      </c>
      <c r="S81" s="2552"/>
      <c r="T81" s="2552"/>
      <c r="U81" s="2552">
        <v>1</v>
      </c>
      <c r="V81" s="2552"/>
      <c r="AA81" s="37" t="s">
        <v>1239</v>
      </c>
      <c r="AB81" s="4803">
        <v>0</v>
      </c>
      <c r="AC81" s="4803"/>
      <c r="AD81" s="4803"/>
      <c r="AE81" s="4803"/>
      <c r="AF81" s="4803"/>
      <c r="AG81" s="4803"/>
      <c r="AH81" s="4803"/>
      <c r="AI81" s="4803"/>
      <c r="AJ81" s="4803"/>
      <c r="AK81" s="4803"/>
      <c r="AL81" s="4803"/>
      <c r="AM81" s="4803"/>
      <c r="AN81" s="4803">
        <v>1</v>
      </c>
      <c r="AO81" s="4803">
        <v>1</v>
      </c>
      <c r="AP81" s="1788"/>
      <c r="AQ81" s="1788">
        <v>2</v>
      </c>
      <c r="AT81" s="41"/>
      <c r="AU81" s="41"/>
      <c r="AV81" s="41"/>
      <c r="AW81" s="41" t="s">
        <v>1344</v>
      </c>
      <c r="AX81" s="690"/>
      <c r="AY81" s="690"/>
      <c r="AZ81" s="690"/>
      <c r="BA81" s="690"/>
      <c r="BB81" s="690"/>
      <c r="BC81" s="690"/>
      <c r="BD81" s="690"/>
      <c r="BE81" s="690"/>
      <c r="BF81" s="690"/>
      <c r="BG81" s="690"/>
      <c r="BH81" s="690"/>
      <c r="BI81" s="690"/>
      <c r="BJ81" s="690"/>
      <c r="BK81" s="690">
        <v>1</v>
      </c>
      <c r="BL81" s="690">
        <v>0</v>
      </c>
      <c r="BM81" s="41"/>
      <c r="BN81" s="41"/>
      <c r="BO81" s="41">
        <v>1</v>
      </c>
      <c r="BP81" s="41"/>
      <c r="BR81" s="41"/>
      <c r="BS81" s="41"/>
      <c r="BT81" s="41"/>
      <c r="BU81" s="41" t="s">
        <v>1235</v>
      </c>
      <c r="BV81" s="2001"/>
      <c r="BW81" s="2001">
        <v>0</v>
      </c>
      <c r="BX81" s="2001"/>
      <c r="BY81" s="2001">
        <v>0</v>
      </c>
      <c r="BZ81" s="2001"/>
      <c r="CA81" s="2001"/>
      <c r="CB81" s="2001"/>
      <c r="CC81" s="2001"/>
      <c r="CD81" s="2001"/>
      <c r="CE81" s="2001"/>
      <c r="CF81" s="2001"/>
      <c r="CG81" s="2001">
        <v>0</v>
      </c>
      <c r="CH81" s="2001">
        <v>1</v>
      </c>
      <c r="CI81" s="2001">
        <v>1</v>
      </c>
      <c r="CJ81" s="2001">
        <v>1</v>
      </c>
      <c r="CK81" s="105"/>
      <c r="CL81" s="105">
        <v>0</v>
      </c>
      <c r="CM81" s="105">
        <v>3</v>
      </c>
      <c r="CN81" s="41"/>
      <c r="CR81" s="41"/>
      <c r="CS81" s="41" t="s">
        <v>1235</v>
      </c>
      <c r="CT81" s="1665"/>
      <c r="CU81" s="1665">
        <v>0</v>
      </c>
      <c r="CV81" s="1665"/>
      <c r="CW81" s="1665"/>
      <c r="CX81" s="1665"/>
      <c r="CY81" s="1665"/>
      <c r="CZ81" s="1665"/>
      <c r="DA81" s="1665"/>
      <c r="DB81" s="1665"/>
      <c r="DC81" s="1665"/>
      <c r="DD81" s="1665"/>
      <c r="DE81" s="1665"/>
      <c r="DF81" s="1665">
        <v>4</v>
      </c>
      <c r="DG81" s="1665"/>
      <c r="DH81" s="1665">
        <v>0</v>
      </c>
      <c r="DI81" s="41"/>
      <c r="DJ81" s="41"/>
      <c r="DK81" s="41">
        <v>4</v>
      </c>
      <c r="DL81" s="41"/>
      <c r="DN81" s="1375"/>
      <c r="DO81" s="1375"/>
      <c r="DP81" s="1375"/>
      <c r="DQ81" s="1372" t="s">
        <v>15</v>
      </c>
      <c r="DR81" s="1381"/>
      <c r="DS81" s="1382">
        <v>1</v>
      </c>
      <c r="DT81" s="1382">
        <v>1</v>
      </c>
      <c r="DU81" s="1381"/>
      <c r="DV81" s="1382">
        <v>1</v>
      </c>
      <c r="DW81" s="1381"/>
      <c r="DX81" s="1382">
        <v>3</v>
      </c>
      <c r="DY81" s="1382">
        <v>8</v>
      </c>
      <c r="DZ81" s="1382">
        <v>6</v>
      </c>
      <c r="EA81" s="1382">
        <v>3</v>
      </c>
      <c r="EB81" s="1382">
        <v>8</v>
      </c>
      <c r="EC81" s="1382">
        <v>1</v>
      </c>
      <c r="ED81" s="1382">
        <v>6</v>
      </c>
      <c r="EE81" s="1383"/>
      <c r="EF81" s="1383"/>
      <c r="EG81" s="1384">
        <v>38</v>
      </c>
      <c r="EH81" s="1325">
        <f>+(EG77+EG80)/EG81</f>
        <v>0.63157894736842102</v>
      </c>
      <c r="EJ81" s="678"/>
      <c r="EK81" s="678"/>
      <c r="EL81" s="678"/>
      <c r="EM81" s="679" t="s">
        <v>1239</v>
      </c>
      <c r="EN81" s="680"/>
      <c r="EO81" s="681">
        <v>0</v>
      </c>
      <c r="EP81" s="680"/>
      <c r="EQ81" s="681">
        <v>0</v>
      </c>
      <c r="ER81" s="681">
        <v>0</v>
      </c>
      <c r="ES81" s="680"/>
      <c r="ET81" s="681">
        <v>0</v>
      </c>
      <c r="EU81" s="681">
        <v>0</v>
      </c>
      <c r="EV81" s="681">
        <v>0</v>
      </c>
      <c r="EW81" s="681">
        <v>0</v>
      </c>
      <c r="EX81" s="681">
        <v>0</v>
      </c>
      <c r="EY81" s="680"/>
      <c r="EZ81" s="681">
        <v>0</v>
      </c>
      <c r="FA81" s="681">
        <v>1</v>
      </c>
      <c r="FB81" s="681">
        <v>6</v>
      </c>
      <c r="FC81" s="682"/>
      <c r="FD81" s="682"/>
      <c r="FE81" s="683">
        <v>7</v>
      </c>
      <c r="FF81" s="105"/>
      <c r="FH81" s="511"/>
      <c r="FI81" s="511"/>
      <c r="FJ81" s="511" t="s">
        <v>126</v>
      </c>
      <c r="FK81" s="511" t="s">
        <v>1229</v>
      </c>
      <c r="FL81" s="512" t="s">
        <v>1231</v>
      </c>
      <c r="FM81" s="684"/>
      <c r="FN81" s="684"/>
      <c r="FO81" s="684"/>
      <c r="FP81" s="684"/>
      <c r="FQ81" s="685">
        <v>1</v>
      </c>
      <c r="FR81" s="684"/>
      <c r="FS81" s="685">
        <v>0</v>
      </c>
      <c r="FT81" s="684"/>
      <c r="FU81" s="684"/>
      <c r="FV81" s="685">
        <v>0</v>
      </c>
      <c r="FW81" s="685">
        <v>0</v>
      </c>
      <c r="FX81" s="685">
        <v>0</v>
      </c>
      <c r="FY81" s="685">
        <v>0</v>
      </c>
      <c r="FZ81" s="685">
        <v>0</v>
      </c>
      <c r="GA81" s="685">
        <v>0</v>
      </c>
      <c r="GB81" s="686"/>
      <c r="GC81" s="686"/>
      <c r="GD81" s="687">
        <v>1</v>
      </c>
      <c r="GE81" s="635"/>
      <c r="GF81" s="41"/>
      <c r="GG81" s="688"/>
      <c r="GH81" s="688"/>
      <c r="GI81" s="688"/>
      <c r="GJ81" s="457" t="s">
        <v>1344</v>
      </c>
      <c r="GK81" s="689"/>
      <c r="GL81" s="689"/>
      <c r="GM81" s="689"/>
      <c r="GN81" s="689"/>
      <c r="GO81" s="689"/>
      <c r="GP81" s="458">
        <v>1</v>
      </c>
      <c r="GQ81" s="689"/>
      <c r="GR81" s="458">
        <v>1</v>
      </c>
      <c r="GS81" s="458">
        <v>0</v>
      </c>
      <c r="GT81" s="689"/>
      <c r="GU81" s="458">
        <v>0</v>
      </c>
      <c r="GV81" s="458">
        <v>0</v>
      </c>
      <c r="GW81" s="458">
        <v>0</v>
      </c>
      <c r="GX81" s="458">
        <v>2</v>
      </c>
      <c r="GY81" s="690"/>
      <c r="GZ81" s="41"/>
      <c r="HA81" s="41"/>
      <c r="HB81" s="105"/>
      <c r="HC81" s="105"/>
      <c r="HD81" s="41"/>
      <c r="HE81" s="461" t="s">
        <v>15</v>
      </c>
      <c r="HF81" s="96"/>
      <c r="HG81" s="96"/>
      <c r="HH81" s="96"/>
      <c r="HI81" s="96"/>
      <c r="HJ81" s="96"/>
      <c r="HK81" s="96"/>
      <c r="HL81" s="96">
        <v>1</v>
      </c>
      <c r="HM81" s="96"/>
      <c r="HN81" s="96"/>
      <c r="HO81" s="96"/>
      <c r="HP81" s="96"/>
      <c r="HQ81" s="96"/>
      <c r="HR81" s="96"/>
      <c r="HS81" s="96"/>
      <c r="HT81" s="96"/>
      <c r="HU81" s="96"/>
      <c r="HV81" s="96">
        <v>1</v>
      </c>
      <c r="HW81" s="707">
        <f>+HV80/HV81</f>
        <v>1</v>
      </c>
      <c r="HX81" s="41"/>
      <c r="HY81" s="691"/>
      <c r="HZ81" s="691"/>
      <c r="IA81" s="691"/>
      <c r="IB81" s="702" t="s">
        <v>15</v>
      </c>
      <c r="IC81" s="702">
        <v>0</v>
      </c>
      <c r="ID81" s="702">
        <v>0</v>
      </c>
      <c r="IE81" s="702">
        <v>0</v>
      </c>
      <c r="IF81" s="702">
        <v>0</v>
      </c>
      <c r="IG81" s="702">
        <v>0</v>
      </c>
      <c r="IH81" s="702">
        <v>0</v>
      </c>
      <c r="II81" s="702">
        <v>0</v>
      </c>
      <c r="IJ81" s="702">
        <v>1</v>
      </c>
      <c r="IK81" s="702">
        <v>0</v>
      </c>
      <c r="IL81" s="702">
        <v>2</v>
      </c>
      <c r="IM81" s="702">
        <v>0</v>
      </c>
      <c r="IN81" s="702">
        <v>1</v>
      </c>
      <c r="IO81" s="702">
        <v>2</v>
      </c>
      <c r="IP81" s="702">
        <v>0</v>
      </c>
      <c r="IQ81" s="702">
        <v>0</v>
      </c>
      <c r="IR81" s="702">
        <v>0</v>
      </c>
      <c r="IS81" s="702">
        <v>6</v>
      </c>
      <c r="IT81" s="703">
        <f>+(IS80+IS79)/IS81</f>
        <v>1</v>
      </c>
      <c r="IU81" s="692">
        <f>+IS79+IS80</f>
        <v>6</v>
      </c>
    </row>
    <row r="82" spans="2:255">
      <c r="D82" s="4800" t="s">
        <v>1239</v>
      </c>
      <c r="E82" s="4606"/>
      <c r="F82" s="4606"/>
      <c r="G82" s="4606"/>
      <c r="H82" s="4606"/>
      <c r="I82" s="4606"/>
      <c r="J82" s="4606"/>
      <c r="K82" s="4606"/>
      <c r="L82" s="4606"/>
      <c r="M82" s="4606"/>
      <c r="N82" s="4606"/>
      <c r="O82" s="4606"/>
      <c r="P82" s="4606"/>
      <c r="Q82" s="4606">
        <v>1</v>
      </c>
      <c r="R82" s="4606">
        <v>1</v>
      </c>
      <c r="S82" s="2552"/>
      <c r="T82" s="2552"/>
      <c r="U82" s="2552">
        <v>2</v>
      </c>
      <c r="V82" s="2552"/>
      <c r="AA82" s="1793" t="s">
        <v>15</v>
      </c>
      <c r="AB82" s="4804">
        <v>0</v>
      </c>
      <c r="AC82" s="4804"/>
      <c r="AD82" s="4804"/>
      <c r="AE82" s="4804"/>
      <c r="AF82" s="4804"/>
      <c r="AG82" s="4804"/>
      <c r="AH82" s="4804"/>
      <c r="AI82" s="4804"/>
      <c r="AJ82" s="4804"/>
      <c r="AK82" s="4804"/>
      <c r="AL82" s="4804"/>
      <c r="AM82" s="4804"/>
      <c r="AN82" s="4804">
        <v>2</v>
      </c>
      <c r="AO82" s="4804">
        <v>1</v>
      </c>
      <c r="AP82" s="4702"/>
      <c r="AQ82" s="4702">
        <v>3</v>
      </c>
      <c r="AR82" s="4703">
        <v>0</v>
      </c>
      <c r="AT82" s="41"/>
      <c r="AU82" s="41"/>
      <c r="AV82" s="41"/>
      <c r="AW82" s="461" t="s">
        <v>15</v>
      </c>
      <c r="AX82" s="2489"/>
      <c r="AY82" s="2489"/>
      <c r="AZ82" s="2489"/>
      <c r="BA82" s="2489"/>
      <c r="BB82" s="2489"/>
      <c r="BC82" s="2489"/>
      <c r="BD82" s="2489"/>
      <c r="BE82" s="2489"/>
      <c r="BF82" s="2489"/>
      <c r="BG82" s="2489"/>
      <c r="BH82" s="2489"/>
      <c r="BI82" s="2489"/>
      <c r="BJ82" s="2489"/>
      <c r="BK82" s="2489">
        <v>2</v>
      </c>
      <c r="BL82" s="2489">
        <v>2</v>
      </c>
      <c r="BM82" s="461"/>
      <c r="BN82" s="461"/>
      <c r="BO82" s="461">
        <v>4</v>
      </c>
      <c r="BP82" s="635">
        <f>+BO81/BO82</f>
        <v>0.25</v>
      </c>
      <c r="BQ82" s="1977"/>
      <c r="BR82" s="41"/>
      <c r="BS82" s="41"/>
      <c r="BT82" s="41"/>
      <c r="BU82" s="41" t="s">
        <v>1239</v>
      </c>
      <c r="BV82" s="2001"/>
      <c r="BW82" s="2001">
        <v>0</v>
      </c>
      <c r="BX82" s="2001"/>
      <c r="BY82" s="2001">
        <v>0</v>
      </c>
      <c r="BZ82" s="2001"/>
      <c r="CA82" s="2001"/>
      <c r="CB82" s="2001"/>
      <c r="CC82" s="2001"/>
      <c r="CD82" s="2001"/>
      <c r="CE82" s="2001"/>
      <c r="CF82" s="2001"/>
      <c r="CG82" s="2001">
        <v>0</v>
      </c>
      <c r="CH82" s="2001">
        <v>0</v>
      </c>
      <c r="CI82" s="2001">
        <v>0</v>
      </c>
      <c r="CJ82" s="2001">
        <v>0</v>
      </c>
      <c r="CK82" s="105"/>
      <c r="CL82" s="105">
        <v>1</v>
      </c>
      <c r="CM82" s="105">
        <v>1</v>
      </c>
      <c r="CN82" s="41"/>
      <c r="CR82" s="41"/>
      <c r="CS82" s="41" t="s">
        <v>1236</v>
      </c>
      <c r="CT82" s="1665"/>
      <c r="CU82" s="1665">
        <v>2</v>
      </c>
      <c r="CV82" s="1665"/>
      <c r="CW82" s="1665"/>
      <c r="CX82" s="1665"/>
      <c r="CY82" s="1665"/>
      <c r="CZ82" s="1665"/>
      <c r="DA82" s="1665"/>
      <c r="DB82" s="1665"/>
      <c r="DC82" s="1665"/>
      <c r="DD82" s="1665"/>
      <c r="DE82" s="1665"/>
      <c r="DF82" s="1665">
        <v>0</v>
      </c>
      <c r="DG82" s="1665"/>
      <c r="DH82" s="1665">
        <v>0</v>
      </c>
      <c r="DI82" s="41"/>
      <c r="DJ82" s="41"/>
      <c r="DK82" s="41">
        <v>2</v>
      </c>
      <c r="DL82" s="41"/>
      <c r="DN82" s="1375"/>
      <c r="DO82" s="1375"/>
      <c r="DP82" s="1375" t="s">
        <v>127</v>
      </c>
      <c r="DQ82" s="1376" t="s">
        <v>1235</v>
      </c>
      <c r="DR82" s="1377"/>
      <c r="DS82" s="1377"/>
      <c r="DT82" s="1377"/>
      <c r="DU82" s="1377"/>
      <c r="DV82" s="1377"/>
      <c r="DW82" s="1377"/>
      <c r="DX82" s="1377"/>
      <c r="DY82" s="1377"/>
      <c r="DZ82" s="1377"/>
      <c r="EA82" s="1377"/>
      <c r="EB82" s="1378">
        <v>2</v>
      </c>
      <c r="EC82" s="1377"/>
      <c r="ED82" s="1377"/>
      <c r="EE82" s="1379"/>
      <c r="EF82" s="1379"/>
      <c r="EG82" s="1380">
        <v>2</v>
      </c>
      <c r="EH82" s="41"/>
      <c r="EJ82" s="678"/>
      <c r="EK82" s="678"/>
      <c r="EL82" s="678"/>
      <c r="EM82" s="679" t="s">
        <v>1344</v>
      </c>
      <c r="EN82" s="680"/>
      <c r="EO82" s="681">
        <v>0</v>
      </c>
      <c r="EP82" s="680"/>
      <c r="EQ82" s="681">
        <v>0</v>
      </c>
      <c r="ER82" s="681">
        <v>0</v>
      </c>
      <c r="ES82" s="680"/>
      <c r="ET82" s="681">
        <v>2</v>
      </c>
      <c r="EU82" s="681">
        <v>1</v>
      </c>
      <c r="EV82" s="681">
        <v>2</v>
      </c>
      <c r="EW82" s="681">
        <v>2</v>
      </c>
      <c r="EX82" s="681">
        <v>2</v>
      </c>
      <c r="EY82" s="680"/>
      <c r="EZ82" s="681">
        <v>0</v>
      </c>
      <c r="FA82" s="681">
        <v>0</v>
      </c>
      <c r="FB82" s="681">
        <v>0</v>
      </c>
      <c r="FC82" s="682"/>
      <c r="FD82" s="682"/>
      <c r="FE82" s="683">
        <v>9</v>
      </c>
      <c r="FF82" s="105"/>
      <c r="FH82" s="511"/>
      <c r="FI82" s="511"/>
      <c r="FJ82" s="511"/>
      <c r="FK82" s="511"/>
      <c r="FL82" s="512" t="s">
        <v>1235</v>
      </c>
      <c r="FM82" s="684"/>
      <c r="FN82" s="684"/>
      <c r="FO82" s="684"/>
      <c r="FP82" s="684"/>
      <c r="FQ82" s="685">
        <v>0</v>
      </c>
      <c r="FR82" s="684"/>
      <c r="FS82" s="685">
        <v>1</v>
      </c>
      <c r="FT82" s="684"/>
      <c r="FU82" s="684"/>
      <c r="FV82" s="685">
        <v>0</v>
      </c>
      <c r="FW82" s="685">
        <v>4</v>
      </c>
      <c r="FX82" s="685">
        <v>3</v>
      </c>
      <c r="FY82" s="685">
        <v>3</v>
      </c>
      <c r="FZ82" s="685">
        <v>2</v>
      </c>
      <c r="GA82" s="685">
        <v>0</v>
      </c>
      <c r="GB82" s="686"/>
      <c r="GC82" s="686"/>
      <c r="GD82" s="687">
        <v>13</v>
      </c>
      <c r="GE82" s="635"/>
      <c r="GF82" s="41"/>
      <c r="GG82" s="688"/>
      <c r="GH82" s="688"/>
      <c r="GI82" s="688"/>
      <c r="GJ82" s="704" t="s">
        <v>15</v>
      </c>
      <c r="GK82" s="705"/>
      <c r="GL82" s="705"/>
      <c r="GM82" s="705"/>
      <c r="GN82" s="705"/>
      <c r="GO82" s="705"/>
      <c r="GP82" s="463">
        <v>1</v>
      </c>
      <c r="GQ82" s="705"/>
      <c r="GR82" s="463">
        <v>2</v>
      </c>
      <c r="GS82" s="463">
        <v>1</v>
      </c>
      <c r="GT82" s="705"/>
      <c r="GU82" s="463">
        <v>7</v>
      </c>
      <c r="GV82" s="463">
        <v>1</v>
      </c>
      <c r="GW82" s="463">
        <v>1</v>
      </c>
      <c r="GX82" s="463">
        <v>13</v>
      </c>
      <c r="GY82" s="628">
        <f>+GX81/GX82</f>
        <v>0.15384615384615385</v>
      </c>
      <c r="GZ82" s="41"/>
      <c r="HA82" s="41"/>
      <c r="HB82" s="105"/>
      <c r="HC82" s="105"/>
      <c r="HD82" s="41" t="s">
        <v>130</v>
      </c>
      <c r="HE82" s="41" t="s">
        <v>1235</v>
      </c>
      <c r="HF82" s="105"/>
      <c r="HG82" s="105"/>
      <c r="HH82" s="105"/>
      <c r="HI82" s="105"/>
      <c r="HJ82" s="105"/>
      <c r="HK82" s="105">
        <v>0</v>
      </c>
      <c r="HL82" s="105">
        <v>0</v>
      </c>
      <c r="HM82" s="105"/>
      <c r="HN82" s="105"/>
      <c r="HO82" s="105"/>
      <c r="HP82" s="105"/>
      <c r="HQ82" s="105"/>
      <c r="HR82" s="105"/>
      <c r="HS82" s="105">
        <v>0</v>
      </c>
      <c r="HT82" s="105">
        <v>1</v>
      </c>
      <c r="HU82" s="105">
        <v>0</v>
      </c>
      <c r="HV82" s="105">
        <v>1</v>
      </c>
      <c r="HW82" s="41"/>
      <c r="HX82" s="41"/>
      <c r="HY82" s="691"/>
      <c r="HZ82" s="691"/>
      <c r="IA82" s="691" t="s">
        <v>145</v>
      </c>
      <c r="IB82" s="691" t="s">
        <v>1231</v>
      </c>
      <c r="IC82" s="691">
        <v>0</v>
      </c>
      <c r="ID82" s="691">
        <v>0</v>
      </c>
      <c r="IE82" s="691">
        <v>0</v>
      </c>
      <c r="IF82" s="691">
        <v>0</v>
      </c>
      <c r="IG82" s="691">
        <v>0</v>
      </c>
      <c r="IH82" s="691">
        <v>0</v>
      </c>
      <c r="II82" s="691">
        <v>0</v>
      </c>
      <c r="IJ82" s="691">
        <v>2</v>
      </c>
      <c r="IK82" s="691">
        <v>3</v>
      </c>
      <c r="IL82" s="691">
        <v>2</v>
      </c>
      <c r="IM82" s="691">
        <v>1</v>
      </c>
      <c r="IN82" s="691">
        <v>0</v>
      </c>
      <c r="IO82" s="691">
        <v>0</v>
      </c>
      <c r="IP82" s="691">
        <v>0</v>
      </c>
      <c r="IQ82" s="691">
        <v>0</v>
      </c>
      <c r="IR82" s="691">
        <v>0</v>
      </c>
      <c r="IS82" s="691">
        <v>8</v>
      </c>
      <c r="IT82" s="691"/>
      <c r="IU82" s="692"/>
    </row>
    <row r="83" spans="2:255">
      <c r="D83" s="4800" t="s">
        <v>15</v>
      </c>
      <c r="E83" s="4606"/>
      <c r="F83" s="4606"/>
      <c r="G83" s="4606"/>
      <c r="H83" s="4606"/>
      <c r="I83" s="4606"/>
      <c r="J83" s="4606"/>
      <c r="K83" s="4606"/>
      <c r="L83" s="4606"/>
      <c r="M83" s="4606"/>
      <c r="N83" s="4606"/>
      <c r="O83" s="4606"/>
      <c r="P83" s="4606"/>
      <c r="Q83" s="4606">
        <v>1</v>
      </c>
      <c r="R83" s="4606">
        <v>2</v>
      </c>
      <c r="S83" s="2552"/>
      <c r="T83" s="2552"/>
      <c r="U83" s="2552">
        <v>3</v>
      </c>
      <c r="V83" s="1977">
        <v>0</v>
      </c>
      <c r="Z83" s="37" t="s">
        <v>795</v>
      </c>
      <c r="AA83" s="37" t="s">
        <v>1230</v>
      </c>
      <c r="AB83" s="4803"/>
      <c r="AC83" s="4803"/>
      <c r="AD83" s="4803"/>
      <c r="AE83" s="4803"/>
      <c r="AF83" s="4803"/>
      <c r="AG83" s="4803"/>
      <c r="AH83" s="4803"/>
      <c r="AI83" s="4803"/>
      <c r="AJ83" s="4803"/>
      <c r="AK83" s="4803">
        <v>1</v>
      </c>
      <c r="AL83" s="4803"/>
      <c r="AM83" s="4803">
        <v>0</v>
      </c>
      <c r="AN83" s="4803"/>
      <c r="AO83" s="4803"/>
      <c r="AP83" s="1788"/>
      <c r="AQ83" s="1788">
        <v>1</v>
      </c>
      <c r="AT83" s="41"/>
      <c r="AU83" s="41"/>
      <c r="AV83" s="41" t="s">
        <v>124</v>
      </c>
      <c r="AW83" s="41" t="s">
        <v>1231</v>
      </c>
      <c r="AX83" s="690"/>
      <c r="AY83" s="690"/>
      <c r="AZ83" s="690"/>
      <c r="BA83" s="690"/>
      <c r="BB83" s="690"/>
      <c r="BC83" s="690"/>
      <c r="BD83" s="690"/>
      <c r="BE83" s="690"/>
      <c r="BF83" s="690"/>
      <c r="BG83" s="690"/>
      <c r="BH83" s="690"/>
      <c r="BI83" s="690">
        <v>1</v>
      </c>
      <c r="BJ83" s="690"/>
      <c r="BK83" s="690"/>
      <c r="BL83" s="690">
        <v>1</v>
      </c>
      <c r="BM83" s="41">
        <v>0</v>
      </c>
      <c r="BN83" s="41"/>
      <c r="BO83" s="41">
        <v>2</v>
      </c>
      <c r="BP83" s="41"/>
      <c r="BR83" s="41"/>
      <c r="BS83" s="41"/>
      <c r="BT83" s="41"/>
      <c r="BU83" s="41" t="s">
        <v>1344</v>
      </c>
      <c r="BV83" s="2001"/>
      <c r="BW83" s="2001">
        <v>0</v>
      </c>
      <c r="BX83" s="2001"/>
      <c r="BY83" s="2001">
        <v>0</v>
      </c>
      <c r="BZ83" s="2001"/>
      <c r="CA83" s="2001"/>
      <c r="CB83" s="2001"/>
      <c r="CC83" s="2001"/>
      <c r="CD83" s="2001"/>
      <c r="CE83" s="2001"/>
      <c r="CF83" s="2001"/>
      <c r="CG83" s="2001">
        <v>0</v>
      </c>
      <c r="CH83" s="2001">
        <v>2</v>
      </c>
      <c r="CI83" s="2001">
        <v>0</v>
      </c>
      <c r="CJ83" s="2001">
        <v>0</v>
      </c>
      <c r="CK83" s="105"/>
      <c r="CL83" s="105">
        <v>0</v>
      </c>
      <c r="CM83" s="105">
        <v>2</v>
      </c>
      <c r="CN83" s="41"/>
      <c r="CR83" s="41"/>
      <c r="CS83" s="41" t="s">
        <v>1239</v>
      </c>
      <c r="CT83" s="1665"/>
      <c r="CU83" s="1665">
        <v>0</v>
      </c>
      <c r="CV83" s="1665"/>
      <c r="CW83" s="1665"/>
      <c r="CX83" s="1665"/>
      <c r="CY83" s="1665"/>
      <c r="CZ83" s="1665"/>
      <c r="DA83" s="1665"/>
      <c r="DB83" s="1665"/>
      <c r="DC83" s="1665"/>
      <c r="DD83" s="1665"/>
      <c r="DE83" s="1665"/>
      <c r="DF83" s="1665">
        <v>0</v>
      </c>
      <c r="DG83" s="1665"/>
      <c r="DH83" s="1665">
        <v>1</v>
      </c>
      <c r="DI83" s="41"/>
      <c r="DJ83" s="41"/>
      <c r="DK83" s="41">
        <v>1</v>
      </c>
      <c r="DL83" s="41"/>
      <c r="DN83" s="1375"/>
      <c r="DO83" s="1375"/>
      <c r="DP83" s="1375"/>
      <c r="DQ83" s="1372" t="s">
        <v>15</v>
      </c>
      <c r="DR83" s="1381"/>
      <c r="DS83" s="1381"/>
      <c r="DT83" s="1381"/>
      <c r="DU83" s="1381"/>
      <c r="DV83" s="1381"/>
      <c r="DW83" s="1381"/>
      <c r="DX83" s="1381"/>
      <c r="DY83" s="1381"/>
      <c r="DZ83" s="1381"/>
      <c r="EA83" s="1381"/>
      <c r="EB83" s="1382">
        <v>2</v>
      </c>
      <c r="EC83" s="1381"/>
      <c r="ED83" s="1381"/>
      <c r="EE83" s="1383"/>
      <c r="EF83" s="1383"/>
      <c r="EG83" s="1384">
        <v>2</v>
      </c>
      <c r="EH83" s="1325">
        <f>+EG82/EG83</f>
        <v>1</v>
      </c>
      <c r="EJ83" s="678"/>
      <c r="EK83" s="678"/>
      <c r="EL83" s="678"/>
      <c r="EM83" s="697" t="s">
        <v>15</v>
      </c>
      <c r="EN83" s="698"/>
      <c r="EO83" s="699">
        <v>1</v>
      </c>
      <c r="EP83" s="698"/>
      <c r="EQ83" s="699">
        <v>2</v>
      </c>
      <c r="ER83" s="699">
        <v>2</v>
      </c>
      <c r="ES83" s="698"/>
      <c r="ET83" s="699">
        <v>4</v>
      </c>
      <c r="EU83" s="699">
        <v>4</v>
      </c>
      <c r="EV83" s="699">
        <v>5</v>
      </c>
      <c r="EW83" s="699">
        <v>2</v>
      </c>
      <c r="EX83" s="699">
        <v>3</v>
      </c>
      <c r="EY83" s="698"/>
      <c r="EZ83" s="699">
        <v>2</v>
      </c>
      <c r="FA83" s="699">
        <v>9</v>
      </c>
      <c r="FB83" s="699">
        <v>6</v>
      </c>
      <c r="FC83" s="700"/>
      <c r="FD83" s="700"/>
      <c r="FE83" s="701">
        <v>40</v>
      </c>
      <c r="FF83" s="635">
        <f>+(FE79+FE82)/FE83</f>
        <v>0.55000000000000004</v>
      </c>
      <c r="FH83" s="511"/>
      <c r="FI83" s="511"/>
      <c r="FJ83" s="511"/>
      <c r="FK83" s="511"/>
      <c r="FL83" s="512" t="s">
        <v>1236</v>
      </c>
      <c r="FM83" s="684"/>
      <c r="FN83" s="684"/>
      <c r="FO83" s="684"/>
      <c r="FP83" s="684"/>
      <c r="FQ83" s="685">
        <v>0</v>
      </c>
      <c r="FR83" s="684"/>
      <c r="FS83" s="685">
        <v>0</v>
      </c>
      <c r="FT83" s="684"/>
      <c r="FU83" s="684"/>
      <c r="FV83" s="685">
        <v>1</v>
      </c>
      <c r="FW83" s="685">
        <v>0</v>
      </c>
      <c r="FX83" s="685">
        <v>0</v>
      </c>
      <c r="FY83" s="685">
        <v>0</v>
      </c>
      <c r="FZ83" s="685">
        <v>0</v>
      </c>
      <c r="GA83" s="685">
        <v>0</v>
      </c>
      <c r="GB83" s="686"/>
      <c r="GC83" s="686"/>
      <c r="GD83" s="687">
        <v>1</v>
      </c>
      <c r="GE83" s="635"/>
      <c r="GF83" s="41"/>
      <c r="GG83" s="41"/>
      <c r="GH83" s="41"/>
      <c r="GI83" s="41"/>
      <c r="GJ83" s="41"/>
      <c r="GK83" s="41"/>
      <c r="GL83" s="41"/>
      <c r="GM83" s="41"/>
      <c r="GN83" s="41"/>
      <c r="GO83" s="41"/>
      <c r="GP83" s="41"/>
      <c r="GQ83" s="41"/>
      <c r="GR83" s="41"/>
      <c r="GS83" s="41"/>
      <c r="GT83" s="41"/>
      <c r="GU83" s="41"/>
      <c r="GV83" s="41"/>
      <c r="GW83" s="41"/>
      <c r="GX83" s="41"/>
      <c r="GY83" s="41"/>
      <c r="GZ83" s="41"/>
      <c r="HA83" s="41"/>
      <c r="HB83" s="105"/>
      <c r="HC83" s="105"/>
      <c r="HD83" s="41"/>
      <c r="HE83" s="41" t="s">
        <v>1239</v>
      </c>
      <c r="HF83" s="105"/>
      <c r="HG83" s="105"/>
      <c r="HH83" s="105"/>
      <c r="HI83" s="105"/>
      <c r="HJ83" s="105"/>
      <c r="HK83" s="105">
        <v>0</v>
      </c>
      <c r="HL83" s="105">
        <v>0</v>
      </c>
      <c r="HM83" s="105"/>
      <c r="HN83" s="105"/>
      <c r="HO83" s="105"/>
      <c r="HP83" s="105"/>
      <c r="HQ83" s="105"/>
      <c r="HR83" s="105"/>
      <c r="HS83" s="105">
        <v>3</v>
      </c>
      <c r="HT83" s="105">
        <v>0</v>
      </c>
      <c r="HU83" s="105">
        <v>4</v>
      </c>
      <c r="HV83" s="105">
        <v>7</v>
      </c>
      <c r="HW83" s="41"/>
      <c r="HX83" s="41"/>
      <c r="HY83" s="691"/>
      <c r="HZ83" s="691"/>
      <c r="IA83" s="691"/>
      <c r="IB83" s="691" t="s">
        <v>1344</v>
      </c>
      <c r="IC83" s="691">
        <v>0</v>
      </c>
      <c r="ID83" s="691">
        <v>0</v>
      </c>
      <c r="IE83" s="691">
        <v>0</v>
      </c>
      <c r="IF83" s="691">
        <v>0</v>
      </c>
      <c r="IG83" s="691">
        <v>0</v>
      </c>
      <c r="IH83" s="691">
        <v>0</v>
      </c>
      <c r="II83" s="691">
        <v>0</v>
      </c>
      <c r="IJ83" s="691">
        <v>1</v>
      </c>
      <c r="IK83" s="691">
        <v>0</v>
      </c>
      <c r="IL83" s="691">
        <v>0</v>
      </c>
      <c r="IM83" s="691">
        <v>1</v>
      </c>
      <c r="IN83" s="691">
        <v>0</v>
      </c>
      <c r="IO83" s="691">
        <v>0</v>
      </c>
      <c r="IP83" s="691">
        <v>0</v>
      </c>
      <c r="IQ83" s="691">
        <v>0</v>
      </c>
      <c r="IR83" s="691">
        <v>0</v>
      </c>
      <c r="IS83" s="691">
        <v>2</v>
      </c>
      <c r="IT83" s="691"/>
      <c r="IU83" s="692"/>
    </row>
    <row r="84" spans="2:255">
      <c r="C84" s="4800" t="s">
        <v>795</v>
      </c>
      <c r="D84" s="4800" t="s">
        <v>1239</v>
      </c>
      <c r="E84" s="4606"/>
      <c r="F84" s="4606"/>
      <c r="G84" s="4606"/>
      <c r="H84" s="4606"/>
      <c r="I84" s="4606"/>
      <c r="J84" s="4606"/>
      <c r="K84" s="4606"/>
      <c r="L84" s="4606"/>
      <c r="M84" s="4606"/>
      <c r="N84" s="4606"/>
      <c r="O84" s="4606">
        <v>1</v>
      </c>
      <c r="P84" s="4606">
        <v>0</v>
      </c>
      <c r="Q84" s="4606"/>
      <c r="R84" s="4606"/>
      <c r="S84" s="2552"/>
      <c r="T84" s="2552"/>
      <c r="U84" s="2552">
        <v>1</v>
      </c>
      <c r="V84" s="2552"/>
      <c r="AA84" s="37" t="s">
        <v>1235</v>
      </c>
      <c r="AB84" s="4803"/>
      <c r="AC84" s="4803"/>
      <c r="AD84" s="4803"/>
      <c r="AE84" s="4803"/>
      <c r="AF84" s="4803"/>
      <c r="AG84" s="4803"/>
      <c r="AH84" s="4803"/>
      <c r="AI84" s="4803"/>
      <c r="AJ84" s="4803"/>
      <c r="AK84" s="4803">
        <v>0</v>
      </c>
      <c r="AL84" s="4803"/>
      <c r="AM84" s="4803">
        <v>2</v>
      </c>
      <c r="AN84" s="4803"/>
      <c r="AO84" s="4803"/>
      <c r="AP84" s="1788"/>
      <c r="AQ84" s="1788">
        <v>2</v>
      </c>
      <c r="AT84" s="41"/>
      <c r="AU84" s="41"/>
      <c r="AV84" s="41"/>
      <c r="AW84" s="41" t="s">
        <v>1239</v>
      </c>
      <c r="AX84" s="690"/>
      <c r="AY84" s="690"/>
      <c r="AZ84" s="690"/>
      <c r="BA84" s="690"/>
      <c r="BB84" s="690"/>
      <c r="BC84" s="690"/>
      <c r="BD84" s="690"/>
      <c r="BE84" s="690"/>
      <c r="BF84" s="690"/>
      <c r="BG84" s="690"/>
      <c r="BH84" s="690"/>
      <c r="BI84" s="690">
        <v>0</v>
      </c>
      <c r="BJ84" s="690"/>
      <c r="BK84" s="690"/>
      <c r="BL84" s="690">
        <v>0</v>
      </c>
      <c r="BM84" s="41">
        <v>1</v>
      </c>
      <c r="BN84" s="41"/>
      <c r="BO84" s="41">
        <v>1</v>
      </c>
      <c r="BP84" s="41"/>
      <c r="BR84" s="41"/>
      <c r="BS84" s="41"/>
      <c r="BT84" s="41"/>
      <c r="BU84" s="461" t="s">
        <v>15</v>
      </c>
      <c r="BV84" s="2002"/>
      <c r="BW84" s="2002">
        <v>2</v>
      </c>
      <c r="BX84" s="2002"/>
      <c r="BY84" s="2002">
        <v>1</v>
      </c>
      <c r="BZ84" s="2002"/>
      <c r="CA84" s="2002"/>
      <c r="CB84" s="2002"/>
      <c r="CC84" s="2002"/>
      <c r="CD84" s="2002"/>
      <c r="CE84" s="2002"/>
      <c r="CF84" s="2002"/>
      <c r="CG84" s="2002">
        <v>1</v>
      </c>
      <c r="CH84" s="2002">
        <v>6</v>
      </c>
      <c r="CI84" s="2002">
        <v>2</v>
      </c>
      <c r="CJ84" s="2002">
        <v>1</v>
      </c>
      <c r="CK84" s="96"/>
      <c r="CL84" s="96">
        <v>1</v>
      </c>
      <c r="CM84" s="96">
        <v>14</v>
      </c>
      <c r="CN84" s="635">
        <f>+(CM81+CM83)/CM84</f>
        <v>0.35714285714285715</v>
      </c>
      <c r="CR84" s="41"/>
      <c r="CS84" s="41" t="s">
        <v>1344</v>
      </c>
      <c r="CT84" s="1665"/>
      <c r="CU84" s="1665">
        <v>0</v>
      </c>
      <c r="CV84" s="1665"/>
      <c r="CW84" s="1665"/>
      <c r="CX84" s="1665"/>
      <c r="CY84" s="1665"/>
      <c r="CZ84" s="1665"/>
      <c r="DA84" s="1665"/>
      <c r="DB84" s="1665"/>
      <c r="DC84" s="1665"/>
      <c r="DD84" s="1665"/>
      <c r="DE84" s="1665"/>
      <c r="DF84" s="1665">
        <v>3</v>
      </c>
      <c r="DG84" s="1665"/>
      <c r="DH84" s="1665">
        <v>0</v>
      </c>
      <c r="DI84" s="41"/>
      <c r="DJ84" s="41"/>
      <c r="DK84" s="41">
        <v>3</v>
      </c>
      <c r="DL84" s="41"/>
      <c r="DN84" s="1375"/>
      <c r="DO84" s="1375"/>
      <c r="DP84" s="1375" t="s">
        <v>128</v>
      </c>
      <c r="DQ84" s="1376" t="s">
        <v>1231</v>
      </c>
      <c r="DR84" s="1377"/>
      <c r="DS84" s="1377"/>
      <c r="DT84" s="1377"/>
      <c r="DU84" s="1377"/>
      <c r="DV84" s="1377"/>
      <c r="DW84" s="1377"/>
      <c r="DX84" s="1377"/>
      <c r="DY84" s="1377"/>
      <c r="DZ84" s="1377"/>
      <c r="EA84" s="1377"/>
      <c r="EB84" s="1378">
        <v>2</v>
      </c>
      <c r="EC84" s="1378">
        <v>1</v>
      </c>
      <c r="ED84" s="1378">
        <v>2</v>
      </c>
      <c r="EE84" s="1380">
        <v>0</v>
      </c>
      <c r="EF84" s="1380">
        <v>0</v>
      </c>
      <c r="EG84" s="1380">
        <v>5</v>
      </c>
      <c r="EH84" s="41"/>
      <c r="EJ84" s="678"/>
      <c r="EK84" s="678"/>
      <c r="EL84" s="678" t="s">
        <v>127</v>
      </c>
      <c r="EM84" s="679" t="s">
        <v>1231</v>
      </c>
      <c r="EN84" s="680"/>
      <c r="EO84" s="681">
        <v>2</v>
      </c>
      <c r="EP84" s="681">
        <v>2</v>
      </c>
      <c r="EQ84" s="681">
        <v>0</v>
      </c>
      <c r="ER84" s="680"/>
      <c r="ES84" s="681">
        <v>1</v>
      </c>
      <c r="ET84" s="680"/>
      <c r="EU84" s="680"/>
      <c r="EV84" s="680"/>
      <c r="EW84" s="680"/>
      <c r="EX84" s="681">
        <v>0</v>
      </c>
      <c r="EY84" s="680"/>
      <c r="EZ84" s="680"/>
      <c r="FA84" s="681">
        <v>0</v>
      </c>
      <c r="FB84" s="681">
        <v>0</v>
      </c>
      <c r="FC84" s="682"/>
      <c r="FD84" s="682"/>
      <c r="FE84" s="683">
        <v>5</v>
      </c>
      <c r="FF84" s="105"/>
      <c r="FH84" s="511"/>
      <c r="FI84" s="511"/>
      <c r="FJ84" s="511"/>
      <c r="FK84" s="511"/>
      <c r="FL84" s="512" t="s">
        <v>1239</v>
      </c>
      <c r="FM84" s="684"/>
      <c r="FN84" s="684"/>
      <c r="FO84" s="684"/>
      <c r="FP84" s="684"/>
      <c r="FQ84" s="685">
        <v>0</v>
      </c>
      <c r="FR84" s="684"/>
      <c r="FS84" s="685">
        <v>0</v>
      </c>
      <c r="FT84" s="684"/>
      <c r="FU84" s="684"/>
      <c r="FV84" s="685">
        <v>0</v>
      </c>
      <c r="FW84" s="685">
        <v>0</v>
      </c>
      <c r="FX84" s="685">
        <v>0</v>
      </c>
      <c r="FY84" s="685">
        <v>0</v>
      </c>
      <c r="FZ84" s="685">
        <v>0</v>
      </c>
      <c r="GA84" s="685">
        <v>8</v>
      </c>
      <c r="GB84" s="686"/>
      <c r="GC84" s="686"/>
      <c r="GD84" s="687">
        <v>8</v>
      </c>
      <c r="GE84" s="635"/>
      <c r="GF84" s="41"/>
      <c r="GG84" s="41"/>
      <c r="GH84" s="41"/>
      <c r="GI84" s="41"/>
      <c r="GJ84" s="41"/>
      <c r="GK84" s="41"/>
      <c r="GL84" s="41"/>
      <c r="GM84" s="41"/>
      <c r="GN84" s="41"/>
      <c r="GO84" s="41"/>
      <c r="GP84" s="41"/>
      <c r="GQ84" s="41"/>
      <c r="GR84" s="41"/>
      <c r="GS84" s="41"/>
      <c r="GT84" s="41"/>
      <c r="GU84" s="41"/>
      <c r="GV84" s="41"/>
      <c r="GW84" s="41"/>
      <c r="GX84" s="41"/>
      <c r="GY84" s="41"/>
      <c r="GZ84" s="41"/>
      <c r="HA84" s="41"/>
      <c r="HB84" s="105"/>
      <c r="HC84" s="105"/>
      <c r="HD84" s="41"/>
      <c r="HE84" s="41" t="s">
        <v>1344</v>
      </c>
      <c r="HF84" s="105"/>
      <c r="HG84" s="105"/>
      <c r="HH84" s="105"/>
      <c r="HI84" s="105"/>
      <c r="HJ84" s="105"/>
      <c r="HK84" s="105">
        <v>1</v>
      </c>
      <c r="HL84" s="105">
        <v>1</v>
      </c>
      <c r="HM84" s="105"/>
      <c r="HN84" s="105"/>
      <c r="HO84" s="105"/>
      <c r="HP84" s="105"/>
      <c r="HQ84" s="105"/>
      <c r="HR84" s="105"/>
      <c r="HS84" s="105">
        <v>0</v>
      </c>
      <c r="HT84" s="105">
        <v>0</v>
      </c>
      <c r="HU84" s="105">
        <v>0</v>
      </c>
      <c r="HV84" s="105">
        <v>2</v>
      </c>
      <c r="HW84" s="41"/>
      <c r="HX84" s="41"/>
      <c r="HY84" s="691"/>
      <c r="HZ84" s="691"/>
      <c r="IA84" s="691"/>
      <c r="IB84" s="708" t="s">
        <v>15</v>
      </c>
      <c r="IC84" s="691">
        <v>0</v>
      </c>
      <c r="ID84" s="691">
        <v>0</v>
      </c>
      <c r="IE84" s="691">
        <v>0</v>
      </c>
      <c r="IF84" s="691">
        <v>0</v>
      </c>
      <c r="IG84" s="691">
        <v>0</v>
      </c>
      <c r="IH84" s="691">
        <v>0</v>
      </c>
      <c r="II84" s="702">
        <v>0</v>
      </c>
      <c r="IJ84" s="702">
        <v>3</v>
      </c>
      <c r="IK84" s="702">
        <v>3</v>
      </c>
      <c r="IL84" s="702">
        <v>2</v>
      </c>
      <c r="IM84" s="702">
        <v>2</v>
      </c>
      <c r="IN84" s="702">
        <v>0</v>
      </c>
      <c r="IO84" s="702">
        <v>0</v>
      </c>
      <c r="IP84" s="702">
        <v>0</v>
      </c>
      <c r="IQ84" s="702">
        <v>0</v>
      </c>
      <c r="IR84" s="702">
        <v>0</v>
      </c>
      <c r="IS84" s="702">
        <v>10</v>
      </c>
      <c r="IT84" s="703">
        <f>+IS83/IS84</f>
        <v>0.2</v>
      </c>
      <c r="IU84" s="692">
        <f>+IS83</f>
        <v>2</v>
      </c>
    </row>
    <row r="85" spans="2:255">
      <c r="D85" s="4800" t="s">
        <v>1344</v>
      </c>
      <c r="E85" s="4606"/>
      <c r="F85" s="4606"/>
      <c r="G85" s="4606"/>
      <c r="H85" s="4606"/>
      <c r="I85" s="4606"/>
      <c r="J85" s="4606"/>
      <c r="K85" s="4606"/>
      <c r="L85" s="4606"/>
      <c r="M85" s="4606"/>
      <c r="N85" s="4606"/>
      <c r="O85" s="4606">
        <v>0</v>
      </c>
      <c r="P85" s="4606">
        <v>2</v>
      </c>
      <c r="Q85" s="4606"/>
      <c r="R85" s="4606"/>
      <c r="S85" s="2552"/>
      <c r="T85" s="2552"/>
      <c r="U85" s="2552">
        <v>2</v>
      </c>
      <c r="V85" s="2552"/>
      <c r="AA85" s="1793" t="s">
        <v>15</v>
      </c>
      <c r="AB85" s="4804"/>
      <c r="AC85" s="4804"/>
      <c r="AD85" s="4804"/>
      <c r="AE85" s="4804"/>
      <c r="AF85" s="4804"/>
      <c r="AG85" s="4804"/>
      <c r="AH85" s="4804"/>
      <c r="AI85" s="4804"/>
      <c r="AJ85" s="4804"/>
      <c r="AK85" s="4804">
        <v>1</v>
      </c>
      <c r="AL85" s="4804"/>
      <c r="AM85" s="4804">
        <v>2</v>
      </c>
      <c r="AN85" s="4804"/>
      <c r="AO85" s="4804"/>
      <c r="AP85" s="4702"/>
      <c r="AQ85" s="4702">
        <v>3</v>
      </c>
      <c r="AR85" s="4703">
        <f>+AQ84/AQ85</f>
        <v>0.66666666666666663</v>
      </c>
      <c r="AT85" s="41"/>
      <c r="AU85" s="41"/>
      <c r="AV85" s="41"/>
      <c r="AW85" s="461" t="s">
        <v>15</v>
      </c>
      <c r="AX85" s="2489"/>
      <c r="AY85" s="2489"/>
      <c r="AZ85" s="2489"/>
      <c r="BA85" s="2489"/>
      <c r="BB85" s="2489"/>
      <c r="BC85" s="2489"/>
      <c r="BD85" s="2489"/>
      <c r="BE85" s="2489"/>
      <c r="BF85" s="2489"/>
      <c r="BG85" s="2489"/>
      <c r="BH85" s="2489"/>
      <c r="BI85" s="2489">
        <v>1</v>
      </c>
      <c r="BJ85" s="2489"/>
      <c r="BK85" s="2489"/>
      <c r="BL85" s="2489">
        <v>1</v>
      </c>
      <c r="BM85" s="461">
        <v>1</v>
      </c>
      <c r="BN85" s="461"/>
      <c r="BO85" s="461">
        <v>3</v>
      </c>
      <c r="BP85" s="635">
        <v>0</v>
      </c>
      <c r="BQ85" s="1977"/>
      <c r="BR85" s="41"/>
      <c r="BS85" s="41"/>
      <c r="BT85" s="41" t="s">
        <v>545</v>
      </c>
      <c r="BU85" s="41" t="s">
        <v>1231</v>
      </c>
      <c r="BV85" s="2001"/>
      <c r="BW85" s="2001">
        <v>2</v>
      </c>
      <c r="BX85" s="2001"/>
      <c r="BY85" s="2001">
        <v>1</v>
      </c>
      <c r="BZ85" s="2001">
        <v>1</v>
      </c>
      <c r="CA85" s="2001"/>
      <c r="CB85" s="2001"/>
      <c r="CC85" s="2001"/>
      <c r="CD85" s="2001"/>
      <c r="CE85" s="2001"/>
      <c r="CF85" s="2001"/>
      <c r="CG85" s="2001">
        <v>1</v>
      </c>
      <c r="CH85" s="2001">
        <v>7</v>
      </c>
      <c r="CI85" s="2001">
        <v>4</v>
      </c>
      <c r="CJ85" s="2001">
        <v>0</v>
      </c>
      <c r="CK85" s="105"/>
      <c r="CL85" s="105">
        <v>0</v>
      </c>
      <c r="CM85" s="105">
        <v>16</v>
      </c>
      <c r="CN85" s="41"/>
      <c r="CR85" s="41"/>
      <c r="CS85" s="461" t="s">
        <v>15</v>
      </c>
      <c r="CT85" s="1666"/>
      <c r="CU85" s="1666">
        <v>2</v>
      </c>
      <c r="CV85" s="1666"/>
      <c r="CW85" s="1666"/>
      <c r="CX85" s="1666"/>
      <c r="CY85" s="1666"/>
      <c r="CZ85" s="1666"/>
      <c r="DA85" s="1666"/>
      <c r="DB85" s="1666"/>
      <c r="DC85" s="1666"/>
      <c r="DD85" s="1666"/>
      <c r="DE85" s="1666"/>
      <c r="DF85" s="1666">
        <v>8</v>
      </c>
      <c r="DG85" s="1666"/>
      <c r="DH85" s="1666">
        <v>1</v>
      </c>
      <c r="DI85" s="461"/>
      <c r="DJ85" s="461"/>
      <c r="DK85" s="461">
        <v>11</v>
      </c>
      <c r="DL85" s="635">
        <f>+(DK81+DK84)/DK85</f>
        <v>0.63636363636363635</v>
      </c>
      <c r="DN85" s="1375"/>
      <c r="DO85" s="1375"/>
      <c r="DP85" s="1375"/>
      <c r="DQ85" s="1376" t="s">
        <v>1239</v>
      </c>
      <c r="DR85" s="1377"/>
      <c r="DS85" s="1377"/>
      <c r="DT85" s="1377"/>
      <c r="DU85" s="1377"/>
      <c r="DV85" s="1377"/>
      <c r="DW85" s="1377"/>
      <c r="DX85" s="1377"/>
      <c r="DY85" s="1377"/>
      <c r="DZ85" s="1377"/>
      <c r="EA85" s="1377"/>
      <c r="EB85" s="1378">
        <v>0</v>
      </c>
      <c r="EC85" s="1378">
        <v>0</v>
      </c>
      <c r="ED85" s="1378">
        <v>1</v>
      </c>
      <c r="EE85" s="1380">
        <v>1</v>
      </c>
      <c r="EF85" s="1380">
        <v>7</v>
      </c>
      <c r="EG85" s="1380">
        <v>9</v>
      </c>
      <c r="EH85" s="41"/>
      <c r="EJ85" s="678"/>
      <c r="EK85" s="678"/>
      <c r="EL85" s="678"/>
      <c r="EM85" s="679" t="s">
        <v>1233</v>
      </c>
      <c r="EN85" s="680"/>
      <c r="EO85" s="681">
        <v>0</v>
      </c>
      <c r="EP85" s="681">
        <v>0</v>
      </c>
      <c r="EQ85" s="681">
        <v>1</v>
      </c>
      <c r="ER85" s="680"/>
      <c r="ES85" s="681">
        <v>0</v>
      </c>
      <c r="ET85" s="680"/>
      <c r="EU85" s="680"/>
      <c r="EV85" s="680"/>
      <c r="EW85" s="680"/>
      <c r="EX85" s="681">
        <v>0</v>
      </c>
      <c r="EY85" s="680"/>
      <c r="EZ85" s="680"/>
      <c r="FA85" s="681">
        <v>0</v>
      </c>
      <c r="FB85" s="681">
        <v>0</v>
      </c>
      <c r="FC85" s="682"/>
      <c r="FD85" s="682"/>
      <c r="FE85" s="683">
        <v>1</v>
      </c>
      <c r="FF85" s="105"/>
      <c r="FH85" s="511"/>
      <c r="FI85" s="511"/>
      <c r="FJ85" s="511"/>
      <c r="FK85" s="511"/>
      <c r="FL85" s="512" t="s">
        <v>1344</v>
      </c>
      <c r="FM85" s="684"/>
      <c r="FN85" s="684"/>
      <c r="FO85" s="684"/>
      <c r="FP85" s="684"/>
      <c r="FQ85" s="685">
        <v>0</v>
      </c>
      <c r="FR85" s="684"/>
      <c r="FS85" s="685">
        <v>0</v>
      </c>
      <c r="FT85" s="684"/>
      <c r="FU85" s="684"/>
      <c r="FV85" s="685">
        <v>1</v>
      </c>
      <c r="FW85" s="685">
        <v>0</v>
      </c>
      <c r="FX85" s="685">
        <v>0</v>
      </c>
      <c r="FY85" s="685">
        <v>0</v>
      </c>
      <c r="FZ85" s="685">
        <v>0</v>
      </c>
      <c r="GA85" s="685">
        <v>0</v>
      </c>
      <c r="GB85" s="686"/>
      <c r="GC85" s="686"/>
      <c r="GD85" s="687">
        <v>1</v>
      </c>
      <c r="GE85" s="635"/>
      <c r="GF85" s="41"/>
      <c r="GG85" s="41"/>
      <c r="GH85" s="41"/>
      <c r="GI85" s="41"/>
      <c r="GJ85" s="41"/>
      <c r="GK85" s="41"/>
      <c r="GL85" s="41"/>
      <c r="GM85" s="41"/>
      <c r="GN85" s="41"/>
      <c r="GO85" s="41"/>
      <c r="GP85" s="41"/>
      <c r="GQ85" s="41"/>
      <c r="GR85" s="41"/>
      <c r="GS85" s="41"/>
      <c r="GT85" s="41"/>
      <c r="GU85" s="41"/>
      <c r="GV85" s="41"/>
      <c r="GW85" s="41"/>
      <c r="GX85" s="41"/>
      <c r="GY85" s="41"/>
      <c r="GZ85" s="41"/>
      <c r="HA85" s="41"/>
      <c r="HB85" s="105"/>
      <c r="HC85" s="105"/>
      <c r="HD85" s="41"/>
      <c r="HE85" s="461" t="s">
        <v>15</v>
      </c>
      <c r="HF85" s="96"/>
      <c r="HG85" s="96"/>
      <c r="HH85" s="96"/>
      <c r="HI85" s="96"/>
      <c r="HJ85" s="96"/>
      <c r="HK85" s="96">
        <v>1</v>
      </c>
      <c r="HL85" s="96">
        <v>1</v>
      </c>
      <c r="HM85" s="96"/>
      <c r="HN85" s="96"/>
      <c r="HO85" s="96"/>
      <c r="HP85" s="96"/>
      <c r="HQ85" s="96"/>
      <c r="HR85" s="96"/>
      <c r="HS85" s="96">
        <v>3</v>
      </c>
      <c r="HT85" s="96">
        <v>1</v>
      </c>
      <c r="HU85" s="96">
        <v>4</v>
      </c>
      <c r="HV85" s="96">
        <v>10</v>
      </c>
      <c r="HW85" s="706">
        <f>+(HV82+HV84)/HV85</f>
        <v>0.3</v>
      </c>
      <c r="HX85" s="41"/>
      <c r="HY85" s="691"/>
      <c r="HZ85" s="691"/>
      <c r="IA85" s="691" t="s">
        <v>333</v>
      </c>
      <c r="IB85" s="691" t="s">
        <v>1231</v>
      </c>
      <c r="IC85" s="691">
        <v>0</v>
      </c>
      <c r="ID85" s="691">
        <v>0</v>
      </c>
      <c r="IE85" s="691">
        <v>1</v>
      </c>
      <c r="IF85" s="691">
        <v>0</v>
      </c>
      <c r="IG85" s="691">
        <v>0</v>
      </c>
      <c r="IH85" s="691">
        <v>1</v>
      </c>
      <c r="II85" s="691">
        <v>0</v>
      </c>
      <c r="IJ85" s="691">
        <v>0</v>
      </c>
      <c r="IK85" s="691">
        <v>2</v>
      </c>
      <c r="IL85" s="691">
        <v>0</v>
      </c>
      <c r="IM85" s="691">
        <v>0</v>
      </c>
      <c r="IN85" s="691">
        <v>0</v>
      </c>
      <c r="IO85" s="691">
        <v>0</v>
      </c>
      <c r="IP85" s="691">
        <v>0</v>
      </c>
      <c r="IQ85" s="691">
        <v>0</v>
      </c>
      <c r="IR85" s="691">
        <v>0</v>
      </c>
      <c r="IS85" s="691">
        <v>4</v>
      </c>
      <c r="IT85" s="703"/>
      <c r="IU85" s="692"/>
    </row>
    <row r="86" spans="2:255">
      <c r="D86" s="4800" t="s">
        <v>15</v>
      </c>
      <c r="E86" s="4606"/>
      <c r="F86" s="4606"/>
      <c r="G86" s="4606"/>
      <c r="H86" s="4606"/>
      <c r="I86" s="4606"/>
      <c r="J86" s="4606"/>
      <c r="K86" s="4606"/>
      <c r="L86" s="4606"/>
      <c r="M86" s="4606"/>
      <c r="N86" s="4606"/>
      <c r="O86" s="4606">
        <v>1</v>
      </c>
      <c r="P86" s="4606">
        <v>2</v>
      </c>
      <c r="Q86" s="4606"/>
      <c r="R86" s="4606"/>
      <c r="S86" s="2552"/>
      <c r="T86" s="2552"/>
      <c r="U86" s="2552">
        <v>3</v>
      </c>
      <c r="V86" s="1977">
        <f>+(U85)/(U86)</f>
        <v>0.66666666666666663</v>
      </c>
      <c r="Z86" s="1793" t="s">
        <v>544</v>
      </c>
      <c r="AA86" s="1793" t="s">
        <v>1230</v>
      </c>
      <c r="AB86" s="4804">
        <v>0</v>
      </c>
      <c r="AC86" s="4804"/>
      <c r="AD86" s="4804"/>
      <c r="AE86" s="4804"/>
      <c r="AF86" s="4804">
        <v>0</v>
      </c>
      <c r="AG86" s="4804"/>
      <c r="AH86" s="4804"/>
      <c r="AI86" s="4804"/>
      <c r="AJ86" s="4804">
        <v>0</v>
      </c>
      <c r="AK86" s="4804">
        <v>1</v>
      </c>
      <c r="AL86" s="4804"/>
      <c r="AM86" s="4804">
        <v>1</v>
      </c>
      <c r="AN86" s="4804">
        <v>5</v>
      </c>
      <c r="AO86" s="4804">
        <v>0</v>
      </c>
      <c r="AP86" s="4702">
        <v>0</v>
      </c>
      <c r="AQ86" s="4702">
        <v>7</v>
      </c>
      <c r="AR86" s="1793"/>
      <c r="AT86" s="41"/>
      <c r="AU86" s="41"/>
      <c r="AV86" s="41" t="s">
        <v>417</v>
      </c>
      <c r="AW86" s="41" t="s">
        <v>1231</v>
      </c>
      <c r="AX86" s="690"/>
      <c r="AY86" s="690"/>
      <c r="AZ86" s="690"/>
      <c r="BA86" s="690"/>
      <c r="BB86" s="690"/>
      <c r="BC86" s="690"/>
      <c r="BD86" s="690"/>
      <c r="BE86" s="690"/>
      <c r="BF86" s="690"/>
      <c r="BG86" s="690"/>
      <c r="BH86" s="690">
        <v>0</v>
      </c>
      <c r="BI86" s="690"/>
      <c r="BJ86" s="690"/>
      <c r="BK86" s="690">
        <v>1</v>
      </c>
      <c r="BL86" s="690">
        <v>0</v>
      </c>
      <c r="BM86" s="41">
        <v>0</v>
      </c>
      <c r="BN86" s="41"/>
      <c r="BO86" s="41">
        <v>1</v>
      </c>
      <c r="BP86" s="41"/>
      <c r="BR86" s="41"/>
      <c r="BS86" s="41"/>
      <c r="BT86" s="41"/>
      <c r="BU86" s="41" t="s">
        <v>1235</v>
      </c>
      <c r="BV86" s="2001"/>
      <c r="BW86" s="2001">
        <v>0</v>
      </c>
      <c r="BX86" s="2001"/>
      <c r="BY86" s="2001">
        <v>0</v>
      </c>
      <c r="BZ86" s="2001">
        <v>0</v>
      </c>
      <c r="CA86" s="2001"/>
      <c r="CB86" s="2001"/>
      <c r="CC86" s="2001"/>
      <c r="CD86" s="2001"/>
      <c r="CE86" s="2001"/>
      <c r="CF86" s="2001"/>
      <c r="CG86" s="2001">
        <v>0</v>
      </c>
      <c r="CH86" s="2001">
        <v>4</v>
      </c>
      <c r="CI86" s="2001">
        <v>3</v>
      </c>
      <c r="CJ86" s="2001">
        <v>1</v>
      </c>
      <c r="CK86" s="105"/>
      <c r="CL86" s="105">
        <v>0</v>
      </c>
      <c r="CM86" s="105">
        <v>8</v>
      </c>
      <c r="CN86" s="41"/>
      <c r="CR86" s="41" t="s">
        <v>126</v>
      </c>
      <c r="CS86" s="41" t="s">
        <v>1231</v>
      </c>
      <c r="CT86" s="1665"/>
      <c r="CU86" s="1665">
        <v>2</v>
      </c>
      <c r="CV86" s="1665"/>
      <c r="CW86" s="1665">
        <v>1</v>
      </c>
      <c r="CX86" s="1665"/>
      <c r="CY86" s="1665"/>
      <c r="CZ86" s="1665"/>
      <c r="DA86" s="1665"/>
      <c r="DB86" s="1665">
        <v>1</v>
      </c>
      <c r="DC86" s="1665"/>
      <c r="DD86" s="1665"/>
      <c r="DE86" s="1665"/>
      <c r="DF86" s="1665">
        <v>3</v>
      </c>
      <c r="DG86" s="1665">
        <v>2</v>
      </c>
      <c r="DH86" s="1665">
        <v>0</v>
      </c>
      <c r="DI86" s="41"/>
      <c r="DJ86" s="41"/>
      <c r="DK86" s="41">
        <v>9</v>
      </c>
      <c r="DL86" s="41"/>
      <c r="DN86" s="1375"/>
      <c r="DO86" s="1375"/>
      <c r="DP86" s="1375"/>
      <c r="DQ86" s="1376" t="s">
        <v>1344</v>
      </c>
      <c r="DR86" s="1377"/>
      <c r="DS86" s="1377"/>
      <c r="DT86" s="1377"/>
      <c r="DU86" s="1377"/>
      <c r="DV86" s="1377"/>
      <c r="DW86" s="1377"/>
      <c r="DX86" s="1377"/>
      <c r="DY86" s="1377"/>
      <c r="DZ86" s="1377"/>
      <c r="EA86" s="1377"/>
      <c r="EB86" s="1378">
        <v>1</v>
      </c>
      <c r="EC86" s="1378">
        <v>0</v>
      </c>
      <c r="ED86" s="1378">
        <v>0</v>
      </c>
      <c r="EE86" s="1380">
        <v>0</v>
      </c>
      <c r="EF86" s="1380">
        <v>0</v>
      </c>
      <c r="EG86" s="1380">
        <v>1</v>
      </c>
      <c r="EH86" s="41"/>
      <c r="EJ86" s="678"/>
      <c r="EK86" s="678"/>
      <c r="EL86" s="678"/>
      <c r="EM86" s="679" t="s">
        <v>1235</v>
      </c>
      <c r="EN86" s="680"/>
      <c r="EO86" s="681">
        <v>0</v>
      </c>
      <c r="EP86" s="681">
        <v>0</v>
      </c>
      <c r="EQ86" s="681">
        <v>0</v>
      </c>
      <c r="ER86" s="680"/>
      <c r="ES86" s="681">
        <v>0</v>
      </c>
      <c r="ET86" s="680"/>
      <c r="EU86" s="680"/>
      <c r="EV86" s="680"/>
      <c r="EW86" s="680"/>
      <c r="EX86" s="681">
        <v>0</v>
      </c>
      <c r="EY86" s="680"/>
      <c r="EZ86" s="680"/>
      <c r="FA86" s="681">
        <v>8</v>
      </c>
      <c r="FB86" s="681">
        <v>0</v>
      </c>
      <c r="FC86" s="682"/>
      <c r="FD86" s="682"/>
      <c r="FE86" s="683">
        <v>8</v>
      </c>
      <c r="FF86" s="105"/>
      <c r="FH86" s="511"/>
      <c r="FI86" s="511"/>
      <c r="FJ86" s="511"/>
      <c r="FK86" s="41"/>
      <c r="FL86" s="532" t="s">
        <v>15</v>
      </c>
      <c r="FM86" s="693"/>
      <c r="FN86" s="693"/>
      <c r="FO86" s="693"/>
      <c r="FP86" s="693"/>
      <c r="FQ86" s="694">
        <v>1</v>
      </c>
      <c r="FR86" s="693"/>
      <c r="FS86" s="694">
        <v>1</v>
      </c>
      <c r="FT86" s="693"/>
      <c r="FU86" s="693"/>
      <c r="FV86" s="694">
        <v>2</v>
      </c>
      <c r="FW86" s="694">
        <v>4</v>
      </c>
      <c r="FX86" s="694">
        <v>3</v>
      </c>
      <c r="FY86" s="694">
        <v>3</v>
      </c>
      <c r="FZ86" s="694">
        <v>2</v>
      </c>
      <c r="GA86" s="694">
        <v>8</v>
      </c>
      <c r="GB86" s="695"/>
      <c r="GC86" s="695"/>
      <c r="GD86" s="696">
        <v>24</v>
      </c>
      <c r="GE86" s="635">
        <f>+(GD85+GD82)/GD86</f>
        <v>0.58333333333333337</v>
      </c>
      <c r="GF86" s="41"/>
      <c r="GG86" s="41"/>
      <c r="GH86" s="41"/>
      <c r="GI86" s="41"/>
      <c r="GJ86" s="41"/>
      <c r="GK86" s="41"/>
      <c r="GL86" s="41"/>
      <c r="GM86" s="41"/>
      <c r="GN86" s="41"/>
      <c r="GO86" s="41"/>
      <c r="GP86" s="41"/>
      <c r="GQ86" s="41"/>
      <c r="GR86" s="41"/>
      <c r="GS86" s="41"/>
      <c r="GT86" s="41"/>
      <c r="GU86" s="41"/>
      <c r="GV86" s="41"/>
      <c r="GW86" s="41"/>
      <c r="GX86" s="41"/>
      <c r="GY86" s="41"/>
      <c r="GZ86" s="41"/>
      <c r="HA86" s="41"/>
      <c r="HB86" s="105"/>
      <c r="HC86" s="105"/>
      <c r="HD86" s="41" t="s">
        <v>333</v>
      </c>
      <c r="HE86" s="41" t="s">
        <v>1231</v>
      </c>
      <c r="HF86" s="105"/>
      <c r="HG86" s="105"/>
      <c r="HH86" s="105"/>
      <c r="HI86" s="105"/>
      <c r="HJ86" s="105"/>
      <c r="HK86" s="105"/>
      <c r="HL86" s="105"/>
      <c r="HM86" s="105"/>
      <c r="HN86" s="105">
        <v>1</v>
      </c>
      <c r="HO86" s="105">
        <v>1</v>
      </c>
      <c r="HP86" s="105"/>
      <c r="HQ86" s="105"/>
      <c r="HR86" s="105"/>
      <c r="HS86" s="105">
        <v>0</v>
      </c>
      <c r="HT86" s="105"/>
      <c r="HU86" s="105"/>
      <c r="HV86" s="105">
        <v>2</v>
      </c>
      <c r="HW86" s="41"/>
      <c r="HX86" s="41"/>
      <c r="HY86" s="691"/>
      <c r="HZ86" s="691"/>
      <c r="IA86" s="691"/>
      <c r="IB86" s="691" t="s">
        <v>1239</v>
      </c>
      <c r="IC86" s="691">
        <v>0</v>
      </c>
      <c r="ID86" s="691">
        <v>0</v>
      </c>
      <c r="IE86" s="691">
        <v>0</v>
      </c>
      <c r="IF86" s="691">
        <v>0</v>
      </c>
      <c r="IG86" s="691">
        <v>0</v>
      </c>
      <c r="IH86" s="691">
        <v>0</v>
      </c>
      <c r="II86" s="691">
        <v>0</v>
      </c>
      <c r="IJ86" s="691">
        <v>1</v>
      </c>
      <c r="IK86" s="691">
        <v>0</v>
      </c>
      <c r="IL86" s="691">
        <v>0</v>
      </c>
      <c r="IM86" s="691">
        <v>0</v>
      </c>
      <c r="IN86" s="691">
        <v>0</v>
      </c>
      <c r="IO86" s="691">
        <v>0</v>
      </c>
      <c r="IP86" s="691">
        <v>2</v>
      </c>
      <c r="IQ86" s="691">
        <v>0</v>
      </c>
      <c r="IR86" s="691">
        <v>2</v>
      </c>
      <c r="IS86" s="691">
        <v>5</v>
      </c>
      <c r="IT86" s="691"/>
      <c r="IU86" s="692"/>
    </row>
    <row r="87" spans="2:255">
      <c r="C87" s="32" t="s">
        <v>544</v>
      </c>
      <c r="D87" s="32" t="s">
        <v>1230</v>
      </c>
      <c r="E87" s="4607"/>
      <c r="F87" s="4607"/>
      <c r="G87" s="4607"/>
      <c r="H87" s="4607"/>
      <c r="I87" s="4607">
        <v>0</v>
      </c>
      <c r="J87" s="4607"/>
      <c r="K87" s="4607"/>
      <c r="L87" s="4607"/>
      <c r="M87" s="4607">
        <v>0</v>
      </c>
      <c r="N87" s="4607">
        <v>0</v>
      </c>
      <c r="O87" s="4607">
        <v>0</v>
      </c>
      <c r="P87" s="4607">
        <v>0</v>
      </c>
      <c r="Q87" s="4607">
        <v>1</v>
      </c>
      <c r="R87" s="4607">
        <v>2</v>
      </c>
      <c r="S87" s="4583">
        <v>0</v>
      </c>
      <c r="T87" s="4583">
        <v>0</v>
      </c>
      <c r="U87" s="4583">
        <v>3</v>
      </c>
      <c r="V87" s="4583"/>
      <c r="Z87" s="1793"/>
      <c r="AA87" s="1793" t="s">
        <v>1231</v>
      </c>
      <c r="AB87" s="4804">
        <v>0</v>
      </c>
      <c r="AC87" s="4804"/>
      <c r="AD87" s="4804"/>
      <c r="AE87" s="4804"/>
      <c r="AF87" s="4804">
        <v>1</v>
      </c>
      <c r="AG87" s="4804"/>
      <c r="AH87" s="4804"/>
      <c r="AI87" s="4804"/>
      <c r="AJ87" s="4804">
        <v>2</v>
      </c>
      <c r="AK87" s="4804">
        <v>1</v>
      </c>
      <c r="AL87" s="4804"/>
      <c r="AM87" s="4804">
        <v>2</v>
      </c>
      <c r="AN87" s="4804">
        <v>2</v>
      </c>
      <c r="AO87" s="4804">
        <v>1</v>
      </c>
      <c r="AP87" s="4702">
        <v>0</v>
      </c>
      <c r="AQ87" s="4702">
        <v>9</v>
      </c>
      <c r="AR87" s="1793"/>
      <c r="AT87" s="41"/>
      <c r="AU87" s="41"/>
      <c r="AV87" s="41"/>
      <c r="AW87" s="41" t="s">
        <v>1235</v>
      </c>
      <c r="AX87" s="690"/>
      <c r="AY87" s="690"/>
      <c r="AZ87" s="690"/>
      <c r="BA87" s="690"/>
      <c r="BB87" s="690"/>
      <c r="BC87" s="690"/>
      <c r="BD87" s="690"/>
      <c r="BE87" s="690"/>
      <c r="BF87" s="690"/>
      <c r="BG87" s="690"/>
      <c r="BH87" s="690">
        <v>0</v>
      </c>
      <c r="BI87" s="690"/>
      <c r="BJ87" s="690"/>
      <c r="BK87" s="690">
        <v>0</v>
      </c>
      <c r="BL87" s="690">
        <v>0</v>
      </c>
      <c r="BM87" s="41">
        <v>1</v>
      </c>
      <c r="BN87" s="41"/>
      <c r="BO87" s="41">
        <v>1</v>
      </c>
      <c r="BP87" s="41"/>
      <c r="BR87" s="41"/>
      <c r="BS87" s="41"/>
      <c r="BT87" s="41"/>
      <c r="BU87" s="41" t="s">
        <v>1239</v>
      </c>
      <c r="BV87" s="2001"/>
      <c r="BW87" s="2001">
        <v>0</v>
      </c>
      <c r="BX87" s="2001"/>
      <c r="BY87" s="2001">
        <v>0</v>
      </c>
      <c r="BZ87" s="2001">
        <v>0</v>
      </c>
      <c r="CA87" s="2001"/>
      <c r="CB87" s="2001"/>
      <c r="CC87" s="2001"/>
      <c r="CD87" s="2001"/>
      <c r="CE87" s="2001"/>
      <c r="CF87" s="2001"/>
      <c r="CG87" s="2001">
        <v>0</v>
      </c>
      <c r="CH87" s="2001">
        <v>0</v>
      </c>
      <c r="CI87" s="2001">
        <v>0</v>
      </c>
      <c r="CJ87" s="2001">
        <v>7</v>
      </c>
      <c r="CK87" s="105"/>
      <c r="CL87" s="105">
        <v>1</v>
      </c>
      <c r="CM87" s="105">
        <v>8</v>
      </c>
      <c r="CN87" s="41"/>
      <c r="CR87" s="41"/>
      <c r="CS87" s="41" t="s">
        <v>1235</v>
      </c>
      <c r="CT87" s="1665"/>
      <c r="CU87" s="1665">
        <v>0</v>
      </c>
      <c r="CV87" s="1665"/>
      <c r="CW87" s="1665">
        <v>0</v>
      </c>
      <c r="CX87" s="1665"/>
      <c r="CY87" s="1665"/>
      <c r="CZ87" s="1665"/>
      <c r="DA87" s="1665"/>
      <c r="DB87" s="1665">
        <v>0</v>
      </c>
      <c r="DC87" s="1665"/>
      <c r="DD87" s="1665"/>
      <c r="DE87" s="1665"/>
      <c r="DF87" s="1665">
        <v>5</v>
      </c>
      <c r="DG87" s="1665">
        <v>12</v>
      </c>
      <c r="DH87" s="1665">
        <v>0</v>
      </c>
      <c r="DI87" s="41"/>
      <c r="DJ87" s="41"/>
      <c r="DK87" s="41">
        <v>17</v>
      </c>
      <c r="DL87" s="41"/>
      <c r="DN87" s="1375"/>
      <c r="DO87" s="1375"/>
      <c r="DP87" s="1375"/>
      <c r="DQ87" s="1372" t="s">
        <v>15</v>
      </c>
      <c r="DR87" s="1381"/>
      <c r="DS87" s="1381"/>
      <c r="DT87" s="1381"/>
      <c r="DU87" s="1381"/>
      <c r="DV87" s="1381"/>
      <c r="DW87" s="1381"/>
      <c r="DX87" s="1381"/>
      <c r="DY87" s="1381"/>
      <c r="DZ87" s="1381"/>
      <c r="EA87" s="1381"/>
      <c r="EB87" s="1382">
        <v>3</v>
      </c>
      <c r="EC87" s="1382">
        <v>1</v>
      </c>
      <c r="ED87" s="1382">
        <v>3</v>
      </c>
      <c r="EE87" s="1384">
        <v>1</v>
      </c>
      <c r="EF87" s="1384">
        <v>7</v>
      </c>
      <c r="EG87" s="1384">
        <v>15</v>
      </c>
      <c r="EH87" s="1325">
        <f>+EG86/EG87</f>
        <v>6.6666666666666666E-2</v>
      </c>
      <c r="EJ87" s="678"/>
      <c r="EK87" s="678"/>
      <c r="EL87" s="678"/>
      <c r="EM87" s="679" t="s">
        <v>1236</v>
      </c>
      <c r="EN87" s="680"/>
      <c r="EO87" s="681">
        <v>0</v>
      </c>
      <c r="EP87" s="681">
        <v>1</v>
      </c>
      <c r="EQ87" s="681">
        <v>0</v>
      </c>
      <c r="ER87" s="680"/>
      <c r="ES87" s="681">
        <v>0</v>
      </c>
      <c r="ET87" s="680"/>
      <c r="EU87" s="680"/>
      <c r="EV87" s="680"/>
      <c r="EW87" s="680"/>
      <c r="EX87" s="681">
        <v>0</v>
      </c>
      <c r="EY87" s="680"/>
      <c r="EZ87" s="680"/>
      <c r="FA87" s="681">
        <v>0</v>
      </c>
      <c r="FB87" s="681">
        <v>0</v>
      </c>
      <c r="FC87" s="682"/>
      <c r="FD87" s="682"/>
      <c r="FE87" s="683">
        <v>1</v>
      </c>
      <c r="FF87" s="105"/>
      <c r="FH87" s="511"/>
      <c r="FI87" s="511"/>
      <c r="FJ87" s="511" t="s">
        <v>127</v>
      </c>
      <c r="FK87" s="511" t="s">
        <v>1229</v>
      </c>
      <c r="FL87" s="512" t="s">
        <v>1231</v>
      </c>
      <c r="FM87" s="684"/>
      <c r="FN87" s="684"/>
      <c r="FO87" s="685">
        <v>0</v>
      </c>
      <c r="FP87" s="684"/>
      <c r="FQ87" s="684"/>
      <c r="FR87" s="684"/>
      <c r="FS87" s="684"/>
      <c r="FT87" s="684"/>
      <c r="FU87" s="684"/>
      <c r="FV87" s="684"/>
      <c r="FW87" s="684"/>
      <c r="FX87" s="684"/>
      <c r="FY87" s="685">
        <v>0</v>
      </c>
      <c r="FZ87" s="685">
        <v>1</v>
      </c>
      <c r="GA87" s="684"/>
      <c r="GB87" s="687">
        <v>0</v>
      </c>
      <c r="GC87" s="686"/>
      <c r="GD87" s="687">
        <v>1</v>
      </c>
      <c r="GE87" s="635"/>
      <c r="GF87" s="41"/>
      <c r="GG87" s="41"/>
      <c r="GH87" s="41"/>
      <c r="GI87" s="41"/>
      <c r="GJ87" s="41"/>
      <c r="GK87" s="41"/>
      <c r="GL87" s="41"/>
      <c r="GM87" s="41"/>
      <c r="GN87" s="41"/>
      <c r="GO87" s="41"/>
      <c r="GP87" s="41"/>
      <c r="GQ87" s="41"/>
      <c r="GR87" s="41"/>
      <c r="GS87" s="41"/>
      <c r="GT87" s="41"/>
      <c r="GU87" s="41"/>
      <c r="GV87" s="41"/>
      <c r="GW87" s="41"/>
      <c r="GX87" s="41"/>
      <c r="GY87" s="41"/>
      <c r="GZ87" s="41"/>
      <c r="HA87" s="41"/>
      <c r="HB87" s="105"/>
      <c r="HC87" s="105"/>
      <c r="HD87" s="41"/>
      <c r="HE87" s="41" t="s">
        <v>1239</v>
      </c>
      <c r="HF87" s="105"/>
      <c r="HG87" s="105"/>
      <c r="HH87" s="105"/>
      <c r="HI87" s="105"/>
      <c r="HJ87" s="105"/>
      <c r="HK87" s="105"/>
      <c r="HL87" s="105"/>
      <c r="HM87" s="105"/>
      <c r="HN87" s="105">
        <v>0</v>
      </c>
      <c r="HO87" s="105">
        <v>0</v>
      </c>
      <c r="HP87" s="105"/>
      <c r="HQ87" s="105"/>
      <c r="HR87" s="105"/>
      <c r="HS87" s="105">
        <v>3</v>
      </c>
      <c r="HT87" s="105"/>
      <c r="HU87" s="105"/>
      <c r="HV87" s="105">
        <v>3</v>
      </c>
      <c r="HW87" s="41"/>
      <c r="HX87" s="41"/>
      <c r="HY87" s="691"/>
      <c r="HZ87" s="691"/>
      <c r="IA87" s="691"/>
      <c r="IB87" s="702" t="s">
        <v>15</v>
      </c>
      <c r="IC87" s="702">
        <v>0</v>
      </c>
      <c r="ID87" s="702">
        <v>0</v>
      </c>
      <c r="IE87" s="702">
        <v>1</v>
      </c>
      <c r="IF87" s="702">
        <v>0</v>
      </c>
      <c r="IG87" s="702">
        <v>0</v>
      </c>
      <c r="IH87" s="702">
        <v>1</v>
      </c>
      <c r="II87" s="702">
        <v>0</v>
      </c>
      <c r="IJ87" s="702">
        <v>1</v>
      </c>
      <c r="IK87" s="702">
        <v>2</v>
      </c>
      <c r="IL87" s="702">
        <v>0</v>
      </c>
      <c r="IM87" s="702">
        <v>0</v>
      </c>
      <c r="IN87" s="702">
        <v>0</v>
      </c>
      <c r="IO87" s="702">
        <v>0</v>
      </c>
      <c r="IP87" s="702">
        <v>2</v>
      </c>
      <c r="IQ87" s="702">
        <v>0</v>
      </c>
      <c r="IR87" s="702">
        <v>2</v>
      </c>
      <c r="IS87" s="702">
        <v>9</v>
      </c>
      <c r="IT87" s="703">
        <f>0/IS87</f>
        <v>0</v>
      </c>
      <c r="IU87" s="692">
        <v>0</v>
      </c>
    </row>
    <row r="88" spans="2:255">
      <c r="C88" s="32"/>
      <c r="D88" s="32" t="s">
        <v>1231</v>
      </c>
      <c r="E88" s="4607"/>
      <c r="F88" s="4607"/>
      <c r="G88" s="4607"/>
      <c r="H88" s="4607"/>
      <c r="I88" s="4607">
        <v>1</v>
      </c>
      <c r="J88" s="4607"/>
      <c r="K88" s="4607"/>
      <c r="L88" s="4607"/>
      <c r="M88" s="4607">
        <v>2</v>
      </c>
      <c r="N88" s="4607">
        <v>1</v>
      </c>
      <c r="O88" s="4607">
        <v>0</v>
      </c>
      <c r="P88" s="4607">
        <v>2</v>
      </c>
      <c r="Q88" s="4607">
        <v>4</v>
      </c>
      <c r="R88" s="4607">
        <v>0</v>
      </c>
      <c r="S88" s="4583">
        <v>0</v>
      </c>
      <c r="T88" s="4583">
        <v>0</v>
      </c>
      <c r="U88" s="4583">
        <v>10</v>
      </c>
      <c r="V88" s="4583"/>
      <c r="Z88" s="1793"/>
      <c r="AA88" s="1793" t="s">
        <v>1233</v>
      </c>
      <c r="AB88" s="4804">
        <v>0</v>
      </c>
      <c r="AC88" s="4804"/>
      <c r="AD88" s="4804"/>
      <c r="AE88" s="4804"/>
      <c r="AF88" s="4804">
        <v>0</v>
      </c>
      <c r="AG88" s="4804"/>
      <c r="AH88" s="4804"/>
      <c r="AI88" s="4804"/>
      <c r="AJ88" s="4804">
        <v>1</v>
      </c>
      <c r="AK88" s="4804">
        <v>0</v>
      </c>
      <c r="AL88" s="4804"/>
      <c r="AM88" s="4804">
        <v>0</v>
      </c>
      <c r="AN88" s="4804">
        <v>0</v>
      </c>
      <c r="AO88" s="4804">
        <v>0</v>
      </c>
      <c r="AP88" s="4702">
        <v>0</v>
      </c>
      <c r="AQ88" s="4702">
        <v>1</v>
      </c>
      <c r="AR88" s="1793"/>
      <c r="AT88" s="41"/>
      <c r="AU88" s="41"/>
      <c r="AV88" s="41"/>
      <c r="AW88" s="41" t="s">
        <v>1239</v>
      </c>
      <c r="AX88" s="690"/>
      <c r="AY88" s="690"/>
      <c r="AZ88" s="690"/>
      <c r="BA88" s="690"/>
      <c r="BB88" s="690"/>
      <c r="BC88" s="690"/>
      <c r="BD88" s="690"/>
      <c r="BE88" s="690"/>
      <c r="BF88" s="690"/>
      <c r="BG88" s="690"/>
      <c r="BH88" s="690">
        <v>0</v>
      </c>
      <c r="BI88" s="690"/>
      <c r="BJ88" s="690"/>
      <c r="BK88" s="690">
        <v>0</v>
      </c>
      <c r="BL88" s="690">
        <v>3</v>
      </c>
      <c r="BM88" s="41">
        <v>1</v>
      </c>
      <c r="BN88" s="41"/>
      <c r="BO88" s="41">
        <v>4</v>
      </c>
      <c r="BP88" s="41"/>
      <c r="BR88" s="41"/>
      <c r="BS88" s="41"/>
      <c r="BT88" s="41"/>
      <c r="BU88" s="41" t="s">
        <v>1344</v>
      </c>
      <c r="BV88" s="2001"/>
      <c r="BW88" s="2001">
        <v>0</v>
      </c>
      <c r="BX88" s="2001"/>
      <c r="BY88" s="2001">
        <v>0</v>
      </c>
      <c r="BZ88" s="2001">
        <v>0</v>
      </c>
      <c r="CA88" s="2001"/>
      <c r="CB88" s="2001"/>
      <c r="CC88" s="2001"/>
      <c r="CD88" s="2001"/>
      <c r="CE88" s="2001"/>
      <c r="CF88" s="2001"/>
      <c r="CG88" s="2001">
        <v>1</v>
      </c>
      <c r="CH88" s="2001">
        <v>3</v>
      </c>
      <c r="CI88" s="2001">
        <v>0</v>
      </c>
      <c r="CJ88" s="2001">
        <v>0</v>
      </c>
      <c r="CK88" s="105"/>
      <c r="CL88" s="105">
        <v>0</v>
      </c>
      <c r="CM88" s="105">
        <v>4</v>
      </c>
      <c r="CN88" s="41"/>
      <c r="CR88" s="41"/>
      <c r="CS88" s="41" t="s">
        <v>1239</v>
      </c>
      <c r="CT88" s="1665"/>
      <c r="CU88" s="1665">
        <v>0</v>
      </c>
      <c r="CV88" s="1665"/>
      <c r="CW88" s="1665">
        <v>0</v>
      </c>
      <c r="CX88" s="1665"/>
      <c r="CY88" s="1665"/>
      <c r="CZ88" s="1665"/>
      <c r="DA88" s="1665"/>
      <c r="DB88" s="1665">
        <v>0</v>
      </c>
      <c r="DC88" s="1665"/>
      <c r="DD88" s="1665"/>
      <c r="DE88" s="1665"/>
      <c r="DF88" s="1665">
        <v>0</v>
      </c>
      <c r="DG88" s="1665">
        <v>0</v>
      </c>
      <c r="DH88" s="1665">
        <v>3</v>
      </c>
      <c r="DI88" s="41"/>
      <c r="DJ88" s="41"/>
      <c r="DK88" s="41">
        <v>3</v>
      </c>
      <c r="DL88" s="41"/>
      <c r="DN88" s="1375"/>
      <c r="DO88" s="1375"/>
      <c r="DP88" s="1375" t="s">
        <v>545</v>
      </c>
      <c r="DQ88" s="1376" t="s">
        <v>1231</v>
      </c>
      <c r="DR88" s="1377"/>
      <c r="DS88" s="1378">
        <v>1</v>
      </c>
      <c r="DT88" s="1378">
        <v>0</v>
      </c>
      <c r="DU88" s="1377"/>
      <c r="DV88" s="1378">
        <v>0</v>
      </c>
      <c r="DW88" s="1377"/>
      <c r="DX88" s="1378">
        <v>0</v>
      </c>
      <c r="DY88" s="1378">
        <v>1</v>
      </c>
      <c r="DZ88" s="1378">
        <v>2</v>
      </c>
      <c r="EA88" s="1378">
        <v>1</v>
      </c>
      <c r="EB88" s="1378">
        <v>3</v>
      </c>
      <c r="EC88" s="1378">
        <v>4</v>
      </c>
      <c r="ED88" s="1378">
        <v>4</v>
      </c>
      <c r="EE88" s="1380">
        <v>1</v>
      </c>
      <c r="EF88" s="1380">
        <v>0</v>
      </c>
      <c r="EG88" s="1380">
        <v>17</v>
      </c>
      <c r="EH88" s="41"/>
      <c r="EJ88" s="678"/>
      <c r="EK88" s="678"/>
      <c r="EL88" s="678"/>
      <c r="EM88" s="679" t="s">
        <v>1239</v>
      </c>
      <c r="EN88" s="680"/>
      <c r="EO88" s="681">
        <v>0</v>
      </c>
      <c r="EP88" s="681">
        <v>0</v>
      </c>
      <c r="EQ88" s="681">
        <v>0</v>
      </c>
      <c r="ER88" s="680"/>
      <c r="ES88" s="681">
        <v>0</v>
      </c>
      <c r="ET88" s="680"/>
      <c r="EU88" s="680"/>
      <c r="EV88" s="680"/>
      <c r="EW88" s="680"/>
      <c r="EX88" s="681">
        <v>0</v>
      </c>
      <c r="EY88" s="680"/>
      <c r="EZ88" s="680"/>
      <c r="FA88" s="681">
        <v>0</v>
      </c>
      <c r="FB88" s="681">
        <v>5</v>
      </c>
      <c r="FC88" s="682"/>
      <c r="FD88" s="682"/>
      <c r="FE88" s="683">
        <v>5</v>
      </c>
      <c r="FF88" s="105"/>
      <c r="FH88" s="511"/>
      <c r="FI88" s="511"/>
      <c r="FJ88" s="511"/>
      <c r="FK88" s="511"/>
      <c r="FL88" s="512" t="s">
        <v>1235</v>
      </c>
      <c r="FM88" s="684"/>
      <c r="FN88" s="684"/>
      <c r="FO88" s="685">
        <v>0</v>
      </c>
      <c r="FP88" s="684"/>
      <c r="FQ88" s="684"/>
      <c r="FR88" s="684"/>
      <c r="FS88" s="684"/>
      <c r="FT88" s="684"/>
      <c r="FU88" s="684"/>
      <c r="FV88" s="684"/>
      <c r="FW88" s="684"/>
      <c r="FX88" s="684"/>
      <c r="FY88" s="685">
        <v>3</v>
      </c>
      <c r="FZ88" s="685">
        <v>1</v>
      </c>
      <c r="GA88" s="684"/>
      <c r="GB88" s="687">
        <v>1</v>
      </c>
      <c r="GC88" s="686"/>
      <c r="GD88" s="687">
        <v>5</v>
      </c>
      <c r="GE88" s="635"/>
      <c r="GF88" s="41"/>
      <c r="GG88" s="41"/>
      <c r="GH88" s="41"/>
      <c r="GI88" s="41"/>
      <c r="GJ88" s="41"/>
      <c r="GK88" s="41"/>
      <c r="GL88" s="41"/>
      <c r="GM88" s="41"/>
      <c r="GN88" s="41"/>
      <c r="GO88" s="41"/>
      <c r="GP88" s="41"/>
      <c r="GQ88" s="41"/>
      <c r="GR88" s="41"/>
      <c r="GS88" s="41"/>
      <c r="GT88" s="41"/>
      <c r="GU88" s="41"/>
      <c r="GV88" s="41"/>
      <c r="GW88" s="41"/>
      <c r="GX88" s="41"/>
      <c r="GY88" s="41"/>
      <c r="GZ88" s="41"/>
      <c r="HA88" s="41"/>
      <c r="HB88" s="105"/>
      <c r="HC88" s="105"/>
      <c r="HD88" s="41"/>
      <c r="HE88" s="461" t="s">
        <v>15</v>
      </c>
      <c r="HF88" s="96"/>
      <c r="HG88" s="96"/>
      <c r="HH88" s="96"/>
      <c r="HI88" s="96"/>
      <c r="HJ88" s="96"/>
      <c r="HK88" s="96"/>
      <c r="HL88" s="96"/>
      <c r="HM88" s="96"/>
      <c r="HN88" s="96">
        <v>1</v>
      </c>
      <c r="HO88" s="96">
        <v>1</v>
      </c>
      <c r="HP88" s="96"/>
      <c r="HQ88" s="96"/>
      <c r="HR88" s="96"/>
      <c r="HS88" s="96">
        <v>3</v>
      </c>
      <c r="HT88" s="96"/>
      <c r="HU88" s="96"/>
      <c r="HV88" s="96">
        <v>5</v>
      </c>
      <c r="HW88" s="707">
        <v>0</v>
      </c>
      <c r="HX88" s="41"/>
      <c r="HY88" s="691"/>
      <c r="HZ88" s="691" t="s">
        <v>104</v>
      </c>
      <c r="IA88" s="691" t="s">
        <v>146</v>
      </c>
      <c r="IB88" s="691" t="s">
        <v>1231</v>
      </c>
      <c r="IC88" s="691">
        <v>0</v>
      </c>
      <c r="ID88" s="691">
        <v>0</v>
      </c>
      <c r="IE88" s="691">
        <v>0</v>
      </c>
      <c r="IF88" s="691">
        <v>2</v>
      </c>
      <c r="IG88" s="691">
        <v>0</v>
      </c>
      <c r="IH88" s="691">
        <v>0</v>
      </c>
      <c r="II88" s="691">
        <v>0</v>
      </c>
      <c r="IJ88" s="691">
        <v>0</v>
      </c>
      <c r="IK88" s="691">
        <v>1</v>
      </c>
      <c r="IL88" s="691">
        <v>2</v>
      </c>
      <c r="IM88" s="691">
        <v>0</v>
      </c>
      <c r="IN88" s="691">
        <v>2</v>
      </c>
      <c r="IO88" s="691">
        <v>2</v>
      </c>
      <c r="IP88" s="691">
        <v>0</v>
      </c>
      <c r="IQ88" s="691">
        <v>0</v>
      </c>
      <c r="IR88" s="691">
        <v>0</v>
      </c>
      <c r="IS88" s="691">
        <v>9</v>
      </c>
      <c r="IT88" s="691"/>
      <c r="IU88" s="692"/>
    </row>
    <row r="89" spans="2:255">
      <c r="C89" s="32"/>
      <c r="D89" s="32" t="s">
        <v>1233</v>
      </c>
      <c r="E89" s="4607"/>
      <c r="F89" s="4607"/>
      <c r="G89" s="4607"/>
      <c r="H89" s="4607"/>
      <c r="I89" s="4607">
        <v>0</v>
      </c>
      <c r="J89" s="4607"/>
      <c r="K89" s="4607"/>
      <c r="L89" s="4607"/>
      <c r="M89" s="4607">
        <v>1</v>
      </c>
      <c r="N89" s="4607">
        <v>0</v>
      </c>
      <c r="O89" s="4607">
        <v>0</v>
      </c>
      <c r="P89" s="4607">
        <v>0</v>
      </c>
      <c r="Q89" s="4607">
        <v>0</v>
      </c>
      <c r="R89" s="4607">
        <v>0</v>
      </c>
      <c r="S89" s="4583">
        <v>0</v>
      </c>
      <c r="T89" s="4583">
        <v>0</v>
      </c>
      <c r="U89" s="4583">
        <v>1</v>
      </c>
      <c r="V89" s="4583"/>
      <c r="Z89" s="1793"/>
      <c r="AA89" s="1793" t="s">
        <v>1235</v>
      </c>
      <c r="AB89" s="4804">
        <v>0</v>
      </c>
      <c r="AC89" s="4804"/>
      <c r="AD89" s="4804"/>
      <c r="AE89" s="4804"/>
      <c r="AF89" s="4804">
        <v>0</v>
      </c>
      <c r="AG89" s="4804"/>
      <c r="AH89" s="4804"/>
      <c r="AI89" s="4804"/>
      <c r="AJ89" s="4804">
        <v>0</v>
      </c>
      <c r="AK89" s="4804">
        <v>0</v>
      </c>
      <c r="AL89" s="4804"/>
      <c r="AM89" s="4804">
        <v>3</v>
      </c>
      <c r="AN89" s="4804">
        <v>0</v>
      </c>
      <c r="AO89" s="4804">
        <v>1</v>
      </c>
      <c r="AP89" s="4702">
        <v>0</v>
      </c>
      <c r="AQ89" s="4702">
        <v>4</v>
      </c>
      <c r="AR89" s="1793"/>
      <c r="AT89" s="41"/>
      <c r="AU89" s="41"/>
      <c r="AV89" s="41"/>
      <c r="AW89" s="41" t="s">
        <v>1344</v>
      </c>
      <c r="AX89" s="690"/>
      <c r="AY89" s="690"/>
      <c r="AZ89" s="690"/>
      <c r="BA89" s="690"/>
      <c r="BB89" s="690"/>
      <c r="BC89" s="690"/>
      <c r="BD89" s="690"/>
      <c r="BE89" s="690"/>
      <c r="BF89" s="690"/>
      <c r="BG89" s="690"/>
      <c r="BH89" s="690">
        <v>1</v>
      </c>
      <c r="BI89" s="690"/>
      <c r="BJ89" s="690"/>
      <c r="BK89" s="690">
        <v>0</v>
      </c>
      <c r="BL89" s="690">
        <v>0</v>
      </c>
      <c r="BM89" s="41">
        <v>0</v>
      </c>
      <c r="BN89" s="41"/>
      <c r="BO89" s="41">
        <v>1</v>
      </c>
      <c r="BP89" s="41"/>
      <c r="BR89" s="41"/>
      <c r="BS89" s="41"/>
      <c r="BT89" s="41"/>
      <c r="BU89" s="461" t="s">
        <v>545</v>
      </c>
      <c r="BV89" s="2002"/>
      <c r="BW89" s="2002">
        <v>2</v>
      </c>
      <c r="BX89" s="2002"/>
      <c r="BY89" s="2002">
        <v>1</v>
      </c>
      <c r="BZ89" s="2002">
        <v>1</v>
      </c>
      <c r="CA89" s="2002"/>
      <c r="CB89" s="2002"/>
      <c r="CC89" s="2002"/>
      <c r="CD89" s="2002"/>
      <c r="CE89" s="2002"/>
      <c r="CF89" s="2002"/>
      <c r="CG89" s="2002">
        <v>2</v>
      </c>
      <c r="CH89" s="2002">
        <v>14</v>
      </c>
      <c r="CI89" s="2002">
        <v>7</v>
      </c>
      <c r="CJ89" s="2002">
        <v>8</v>
      </c>
      <c r="CK89" s="96"/>
      <c r="CL89" s="96">
        <v>1</v>
      </c>
      <c r="CM89" s="96">
        <v>36</v>
      </c>
      <c r="CN89" s="635">
        <f>+(CM86+CM88)/CM89</f>
        <v>0.33333333333333331</v>
      </c>
      <c r="CR89" s="41"/>
      <c r="CS89" s="41" t="s">
        <v>1344</v>
      </c>
      <c r="CT89" s="1665"/>
      <c r="CU89" s="1665">
        <v>0</v>
      </c>
      <c r="CV89" s="1665"/>
      <c r="CW89" s="1665">
        <v>0</v>
      </c>
      <c r="CX89" s="1665"/>
      <c r="CY89" s="1665"/>
      <c r="CZ89" s="1665"/>
      <c r="DA89" s="1665"/>
      <c r="DB89" s="1665">
        <v>0</v>
      </c>
      <c r="DC89" s="1665"/>
      <c r="DD89" s="1665"/>
      <c r="DE89" s="1665"/>
      <c r="DF89" s="1665">
        <v>1</v>
      </c>
      <c r="DG89" s="1665">
        <v>0</v>
      </c>
      <c r="DH89" s="1665">
        <v>0</v>
      </c>
      <c r="DI89" s="41"/>
      <c r="DJ89" s="41"/>
      <c r="DK89" s="41">
        <v>1</v>
      </c>
      <c r="DL89" s="41"/>
      <c r="DN89" s="1375"/>
      <c r="DO89" s="1375"/>
      <c r="DP89" s="1375"/>
      <c r="DQ89" s="1376" t="s">
        <v>1233</v>
      </c>
      <c r="DR89" s="1377"/>
      <c r="DS89" s="1378">
        <v>1</v>
      </c>
      <c r="DT89" s="1378">
        <v>0</v>
      </c>
      <c r="DU89" s="1377"/>
      <c r="DV89" s="1378">
        <v>0</v>
      </c>
      <c r="DW89" s="1377"/>
      <c r="DX89" s="1378">
        <v>0</v>
      </c>
      <c r="DY89" s="1378">
        <v>0</v>
      </c>
      <c r="DZ89" s="1378">
        <v>0</v>
      </c>
      <c r="EA89" s="1378">
        <v>0</v>
      </c>
      <c r="EB89" s="1378">
        <v>0</v>
      </c>
      <c r="EC89" s="1378">
        <v>0</v>
      </c>
      <c r="ED89" s="1378">
        <v>0</v>
      </c>
      <c r="EE89" s="1380">
        <v>0</v>
      </c>
      <c r="EF89" s="1380">
        <v>0</v>
      </c>
      <c r="EG89" s="1380">
        <v>1</v>
      </c>
      <c r="EH89" s="41"/>
      <c r="EJ89" s="678"/>
      <c r="EK89" s="678"/>
      <c r="EL89" s="678"/>
      <c r="EM89" s="679" t="s">
        <v>1344</v>
      </c>
      <c r="EN89" s="680"/>
      <c r="EO89" s="681">
        <v>0</v>
      </c>
      <c r="EP89" s="681">
        <v>0</v>
      </c>
      <c r="EQ89" s="681">
        <v>0</v>
      </c>
      <c r="ER89" s="680"/>
      <c r="ES89" s="681">
        <v>0</v>
      </c>
      <c r="ET89" s="680"/>
      <c r="EU89" s="680"/>
      <c r="EV89" s="680"/>
      <c r="EW89" s="680"/>
      <c r="EX89" s="681">
        <v>1</v>
      </c>
      <c r="EY89" s="680"/>
      <c r="EZ89" s="680"/>
      <c r="FA89" s="681">
        <v>1</v>
      </c>
      <c r="FB89" s="681">
        <v>0</v>
      </c>
      <c r="FC89" s="682"/>
      <c r="FD89" s="682"/>
      <c r="FE89" s="683">
        <v>2</v>
      </c>
      <c r="FF89" s="105"/>
      <c r="FH89" s="511"/>
      <c r="FI89" s="511"/>
      <c r="FJ89" s="511"/>
      <c r="FK89" s="511"/>
      <c r="FL89" s="512" t="s">
        <v>1236</v>
      </c>
      <c r="FM89" s="684"/>
      <c r="FN89" s="684"/>
      <c r="FO89" s="685">
        <v>1</v>
      </c>
      <c r="FP89" s="684"/>
      <c r="FQ89" s="684"/>
      <c r="FR89" s="684"/>
      <c r="FS89" s="684"/>
      <c r="FT89" s="684"/>
      <c r="FU89" s="684"/>
      <c r="FV89" s="684"/>
      <c r="FW89" s="684"/>
      <c r="FX89" s="684"/>
      <c r="FY89" s="685">
        <v>0</v>
      </c>
      <c r="FZ89" s="685">
        <v>0</v>
      </c>
      <c r="GA89" s="684"/>
      <c r="GB89" s="687">
        <v>0</v>
      </c>
      <c r="GC89" s="686"/>
      <c r="GD89" s="687">
        <v>1</v>
      </c>
      <c r="GE89" s="635"/>
      <c r="GF89" s="41"/>
      <c r="GG89" s="688" t="s">
        <v>48</v>
      </c>
      <c r="GH89" s="688" t="s">
        <v>16</v>
      </c>
      <c r="GI89" s="688" t="s">
        <v>144</v>
      </c>
      <c r="GJ89" s="457" t="s">
        <v>1231</v>
      </c>
      <c r="GK89" s="689"/>
      <c r="GL89" s="689"/>
      <c r="GM89" s="689"/>
      <c r="GN89" s="689"/>
      <c r="GO89" s="689"/>
      <c r="GP89" s="689"/>
      <c r="GQ89" s="458">
        <v>4</v>
      </c>
      <c r="GR89" s="458">
        <v>5</v>
      </c>
      <c r="GS89" s="458">
        <v>3</v>
      </c>
      <c r="GT89" s="689"/>
      <c r="GU89" s="689"/>
      <c r="GV89" s="689"/>
      <c r="GW89" s="689"/>
      <c r="GX89" s="458">
        <v>12</v>
      </c>
      <c r="GY89" s="690"/>
      <c r="GZ89" s="41"/>
      <c r="HA89" s="41"/>
      <c r="HB89" s="105" t="s">
        <v>48</v>
      </c>
      <c r="HC89" s="105" t="s">
        <v>16</v>
      </c>
      <c r="HD89" s="41" t="s">
        <v>144</v>
      </c>
      <c r="HE89" s="41" t="s">
        <v>1231</v>
      </c>
      <c r="HF89" s="105"/>
      <c r="HG89" s="105">
        <v>1</v>
      </c>
      <c r="HH89" s="105">
        <v>2</v>
      </c>
      <c r="HI89" s="105">
        <v>1</v>
      </c>
      <c r="HJ89" s="105">
        <v>1</v>
      </c>
      <c r="HK89" s="105"/>
      <c r="HL89" s="105"/>
      <c r="HM89" s="105"/>
      <c r="HN89" s="105">
        <v>11</v>
      </c>
      <c r="HO89" s="105">
        <v>4</v>
      </c>
      <c r="HP89" s="105">
        <v>8</v>
      </c>
      <c r="HQ89" s="105">
        <v>10</v>
      </c>
      <c r="HR89" s="105">
        <v>3</v>
      </c>
      <c r="HS89" s="105">
        <v>0</v>
      </c>
      <c r="HT89" s="105">
        <v>1</v>
      </c>
      <c r="HU89" s="105">
        <v>0</v>
      </c>
      <c r="HV89" s="105">
        <v>42</v>
      </c>
      <c r="HW89" s="41"/>
      <c r="HX89" s="41"/>
      <c r="HY89" s="691"/>
      <c r="HZ89" s="691"/>
      <c r="IA89" s="691"/>
      <c r="IB89" s="691" t="s">
        <v>1235</v>
      </c>
      <c r="IC89" s="691">
        <v>0</v>
      </c>
      <c r="ID89" s="691">
        <v>0</v>
      </c>
      <c r="IE89" s="691">
        <v>0</v>
      </c>
      <c r="IF89" s="691">
        <v>0</v>
      </c>
      <c r="IG89" s="691">
        <v>0</v>
      </c>
      <c r="IH89" s="691">
        <v>0</v>
      </c>
      <c r="II89" s="691">
        <v>0</v>
      </c>
      <c r="IJ89" s="691">
        <v>0</v>
      </c>
      <c r="IK89" s="691">
        <v>0</v>
      </c>
      <c r="IL89" s="691">
        <v>0</v>
      </c>
      <c r="IM89" s="691">
        <v>0</v>
      </c>
      <c r="IN89" s="691">
        <v>1</v>
      </c>
      <c r="IO89" s="691">
        <v>0</v>
      </c>
      <c r="IP89" s="691">
        <v>0</v>
      </c>
      <c r="IQ89" s="691">
        <v>1</v>
      </c>
      <c r="IR89" s="691">
        <v>0</v>
      </c>
      <c r="IS89" s="691">
        <v>2</v>
      </c>
      <c r="IT89" s="691"/>
      <c r="IU89" s="692"/>
    </row>
    <row r="90" spans="2:255">
      <c r="C90" s="32"/>
      <c r="D90" s="32" t="s">
        <v>1235</v>
      </c>
      <c r="E90" s="4607"/>
      <c r="F90" s="4607"/>
      <c r="G90" s="4607"/>
      <c r="H90" s="4607"/>
      <c r="I90" s="4607">
        <v>0</v>
      </c>
      <c r="J90" s="4607"/>
      <c r="K90" s="4607"/>
      <c r="L90" s="4607"/>
      <c r="M90" s="4607">
        <v>0</v>
      </c>
      <c r="N90" s="4607">
        <v>0</v>
      </c>
      <c r="O90" s="4607">
        <v>0</v>
      </c>
      <c r="P90" s="4607">
        <v>1</v>
      </c>
      <c r="Q90" s="4607">
        <v>0</v>
      </c>
      <c r="R90" s="4607">
        <v>1</v>
      </c>
      <c r="S90" s="4583">
        <v>0</v>
      </c>
      <c r="T90" s="4583">
        <v>0</v>
      </c>
      <c r="U90" s="4583">
        <v>2</v>
      </c>
      <c r="V90" s="4583"/>
      <c r="Z90" s="1793"/>
      <c r="AA90" s="1793" t="s">
        <v>1239</v>
      </c>
      <c r="AB90" s="4804">
        <v>0</v>
      </c>
      <c r="AC90" s="4804"/>
      <c r="AD90" s="4804"/>
      <c r="AE90" s="4804"/>
      <c r="AF90" s="4804">
        <v>0</v>
      </c>
      <c r="AG90" s="4804"/>
      <c r="AH90" s="4804"/>
      <c r="AI90" s="4804"/>
      <c r="AJ90" s="4804">
        <v>0</v>
      </c>
      <c r="AK90" s="4804">
        <v>0</v>
      </c>
      <c r="AL90" s="4804"/>
      <c r="AM90" s="4804">
        <v>0</v>
      </c>
      <c r="AN90" s="4804">
        <v>7</v>
      </c>
      <c r="AO90" s="4804">
        <v>5</v>
      </c>
      <c r="AP90" s="4702">
        <v>4</v>
      </c>
      <c r="AQ90" s="4702">
        <v>16</v>
      </c>
      <c r="AR90" s="1793"/>
      <c r="AT90" s="41"/>
      <c r="AU90" s="41"/>
      <c r="AV90" s="41"/>
      <c r="AW90" s="461" t="s">
        <v>15</v>
      </c>
      <c r="AX90" s="2489"/>
      <c r="AY90" s="2489"/>
      <c r="AZ90" s="2489"/>
      <c r="BA90" s="2489"/>
      <c r="BB90" s="2489"/>
      <c r="BC90" s="2489"/>
      <c r="BD90" s="2489"/>
      <c r="BE90" s="2489"/>
      <c r="BF90" s="2489"/>
      <c r="BG90" s="2489"/>
      <c r="BH90" s="2489">
        <v>1</v>
      </c>
      <c r="BI90" s="2489"/>
      <c r="BJ90" s="2489"/>
      <c r="BK90" s="2489">
        <v>1</v>
      </c>
      <c r="BL90" s="2489">
        <v>3</v>
      </c>
      <c r="BM90" s="461">
        <v>2</v>
      </c>
      <c r="BN90" s="461"/>
      <c r="BO90" s="461">
        <v>7</v>
      </c>
      <c r="BP90" s="635">
        <f>+(BO89+BO87-BM87)/BO90</f>
        <v>0.14285714285714285</v>
      </c>
      <c r="BQ90" s="1977"/>
      <c r="BR90" s="41"/>
      <c r="BS90" s="41" t="s">
        <v>41</v>
      </c>
      <c r="BT90" s="41" t="s">
        <v>129</v>
      </c>
      <c r="BU90" s="41" t="s">
        <v>1231</v>
      </c>
      <c r="BV90" s="2001">
        <v>1</v>
      </c>
      <c r="BW90" s="2001"/>
      <c r="BX90" s="2001">
        <v>1</v>
      </c>
      <c r="BY90" s="2001"/>
      <c r="BZ90" s="2001"/>
      <c r="CA90" s="2001"/>
      <c r="CB90" s="2001">
        <v>1</v>
      </c>
      <c r="CC90" s="2001"/>
      <c r="CD90" s="2001"/>
      <c r="CE90" s="2001"/>
      <c r="CF90" s="2001"/>
      <c r="CG90" s="2001"/>
      <c r="CH90" s="2001">
        <v>1</v>
      </c>
      <c r="CI90" s="2001">
        <v>2</v>
      </c>
      <c r="CJ90" s="2001">
        <v>1</v>
      </c>
      <c r="CK90" s="105"/>
      <c r="CL90" s="105">
        <v>0</v>
      </c>
      <c r="CM90" s="105">
        <v>7</v>
      </c>
      <c r="CN90" s="41"/>
      <c r="CR90" s="41"/>
      <c r="CS90" s="461" t="s">
        <v>15</v>
      </c>
      <c r="CT90" s="1666"/>
      <c r="CU90" s="1666">
        <v>2</v>
      </c>
      <c r="CV90" s="1666"/>
      <c r="CW90" s="1666">
        <v>1</v>
      </c>
      <c r="CX90" s="1666"/>
      <c r="CY90" s="1666"/>
      <c r="CZ90" s="1666"/>
      <c r="DA90" s="1666"/>
      <c r="DB90" s="1666">
        <v>1</v>
      </c>
      <c r="DC90" s="1666"/>
      <c r="DD90" s="1666"/>
      <c r="DE90" s="1666"/>
      <c r="DF90" s="1666">
        <v>9</v>
      </c>
      <c r="DG90" s="1666">
        <v>14</v>
      </c>
      <c r="DH90" s="1666">
        <v>3</v>
      </c>
      <c r="DI90" s="461"/>
      <c r="DJ90" s="461"/>
      <c r="DK90" s="461">
        <v>30</v>
      </c>
      <c r="DL90" s="635">
        <f>+(DK87+DK89)/DK90</f>
        <v>0.6</v>
      </c>
      <c r="DN90" s="1375"/>
      <c r="DO90" s="1375"/>
      <c r="DP90" s="1375"/>
      <c r="DQ90" s="1376" t="s">
        <v>1235</v>
      </c>
      <c r="DR90" s="1377"/>
      <c r="DS90" s="1378">
        <v>0</v>
      </c>
      <c r="DT90" s="1378">
        <v>0</v>
      </c>
      <c r="DU90" s="1377"/>
      <c r="DV90" s="1378">
        <v>0</v>
      </c>
      <c r="DW90" s="1377"/>
      <c r="DX90" s="1378">
        <v>2</v>
      </c>
      <c r="DY90" s="1378">
        <v>4</v>
      </c>
      <c r="DZ90" s="1378">
        <v>4</v>
      </c>
      <c r="EA90" s="1378">
        <v>1</v>
      </c>
      <c r="EB90" s="1378">
        <v>8</v>
      </c>
      <c r="EC90" s="1378">
        <v>2</v>
      </c>
      <c r="ED90" s="1378">
        <v>0</v>
      </c>
      <c r="EE90" s="1380">
        <v>0</v>
      </c>
      <c r="EF90" s="1380">
        <v>0</v>
      </c>
      <c r="EG90" s="1380">
        <v>21</v>
      </c>
      <c r="EH90" s="41"/>
      <c r="EJ90" s="678"/>
      <c r="EK90" s="678"/>
      <c r="EL90" s="678"/>
      <c r="EM90" s="697" t="s">
        <v>15</v>
      </c>
      <c r="EN90" s="698"/>
      <c r="EO90" s="699">
        <v>2</v>
      </c>
      <c r="EP90" s="699">
        <v>3</v>
      </c>
      <c r="EQ90" s="699">
        <v>1</v>
      </c>
      <c r="ER90" s="698"/>
      <c r="ES90" s="699">
        <v>1</v>
      </c>
      <c r="ET90" s="698"/>
      <c r="EU90" s="698"/>
      <c r="EV90" s="698"/>
      <c r="EW90" s="698"/>
      <c r="EX90" s="699">
        <v>1</v>
      </c>
      <c r="EY90" s="698"/>
      <c r="EZ90" s="698"/>
      <c r="FA90" s="699">
        <v>9</v>
      </c>
      <c r="FB90" s="699">
        <v>5</v>
      </c>
      <c r="FC90" s="700"/>
      <c r="FD90" s="700"/>
      <c r="FE90" s="701">
        <v>22</v>
      </c>
      <c r="FF90" s="635">
        <f>+(FE86+FE89)/FE90</f>
        <v>0.45454545454545453</v>
      </c>
      <c r="FH90" s="511"/>
      <c r="FI90" s="511"/>
      <c r="FJ90" s="511"/>
      <c r="FK90" s="41"/>
      <c r="FL90" s="532" t="s">
        <v>15</v>
      </c>
      <c r="FM90" s="693"/>
      <c r="FN90" s="693"/>
      <c r="FO90" s="694">
        <v>1</v>
      </c>
      <c r="FP90" s="693"/>
      <c r="FQ90" s="693"/>
      <c r="FR90" s="693"/>
      <c r="FS90" s="693"/>
      <c r="FT90" s="693"/>
      <c r="FU90" s="693"/>
      <c r="FV90" s="693"/>
      <c r="FW90" s="693"/>
      <c r="FX90" s="693"/>
      <c r="FY90" s="694">
        <v>3</v>
      </c>
      <c r="FZ90" s="694">
        <v>2</v>
      </c>
      <c r="GA90" s="693"/>
      <c r="GB90" s="696">
        <v>1</v>
      </c>
      <c r="GC90" s="695"/>
      <c r="GD90" s="696">
        <v>7</v>
      </c>
      <c r="GE90" s="635">
        <f>+GD88/GD90</f>
        <v>0.7142857142857143</v>
      </c>
      <c r="GF90" s="41"/>
      <c r="GG90" s="688"/>
      <c r="GH90" s="688"/>
      <c r="GI90" s="688"/>
      <c r="GJ90" s="457" t="s">
        <v>1344</v>
      </c>
      <c r="GK90" s="689"/>
      <c r="GL90" s="689"/>
      <c r="GM90" s="689"/>
      <c r="GN90" s="689"/>
      <c r="GO90" s="689"/>
      <c r="GP90" s="689"/>
      <c r="GQ90" s="458">
        <v>0</v>
      </c>
      <c r="GR90" s="458">
        <v>1</v>
      </c>
      <c r="GS90" s="458">
        <v>0</v>
      </c>
      <c r="GT90" s="689"/>
      <c r="GU90" s="689"/>
      <c r="GV90" s="689"/>
      <c r="GW90" s="689"/>
      <c r="GX90" s="458">
        <v>1</v>
      </c>
      <c r="GY90" s="690"/>
      <c r="GZ90" s="41"/>
      <c r="HA90" s="41"/>
      <c r="HB90" s="105"/>
      <c r="HC90" s="105"/>
      <c r="HD90" s="41"/>
      <c r="HE90" s="41" t="s">
        <v>1235</v>
      </c>
      <c r="HF90" s="105"/>
      <c r="HG90" s="105">
        <v>0</v>
      </c>
      <c r="HH90" s="105">
        <v>0</v>
      </c>
      <c r="HI90" s="105">
        <v>0</v>
      </c>
      <c r="HJ90" s="105">
        <v>0</v>
      </c>
      <c r="HK90" s="105"/>
      <c r="HL90" s="105"/>
      <c r="HM90" s="105"/>
      <c r="HN90" s="105">
        <v>1</v>
      </c>
      <c r="HO90" s="105">
        <v>0</v>
      </c>
      <c r="HP90" s="105">
        <v>0</v>
      </c>
      <c r="HQ90" s="105">
        <v>0</v>
      </c>
      <c r="HR90" s="105">
        <v>0</v>
      </c>
      <c r="HS90" s="105">
        <v>1</v>
      </c>
      <c r="HT90" s="105">
        <v>0</v>
      </c>
      <c r="HU90" s="105">
        <v>0</v>
      </c>
      <c r="HV90" s="105">
        <v>2</v>
      </c>
      <c r="HW90" s="41"/>
      <c r="HX90" s="41"/>
      <c r="HY90" s="691"/>
      <c r="HZ90" s="691"/>
      <c r="IA90" s="691"/>
      <c r="IB90" s="691" t="s">
        <v>1239</v>
      </c>
      <c r="IC90" s="691">
        <v>0</v>
      </c>
      <c r="ID90" s="691">
        <v>0</v>
      </c>
      <c r="IE90" s="691">
        <v>0</v>
      </c>
      <c r="IF90" s="691">
        <v>0</v>
      </c>
      <c r="IG90" s="691">
        <v>0</v>
      </c>
      <c r="IH90" s="691">
        <v>0</v>
      </c>
      <c r="II90" s="691">
        <v>0</v>
      </c>
      <c r="IJ90" s="691">
        <v>0</v>
      </c>
      <c r="IK90" s="691">
        <v>0</v>
      </c>
      <c r="IL90" s="691">
        <v>0</v>
      </c>
      <c r="IM90" s="691">
        <v>1</v>
      </c>
      <c r="IN90" s="691">
        <v>0</v>
      </c>
      <c r="IO90" s="691">
        <v>0</v>
      </c>
      <c r="IP90" s="691">
        <v>0</v>
      </c>
      <c r="IQ90" s="691">
        <v>0</v>
      </c>
      <c r="IR90" s="691">
        <v>2</v>
      </c>
      <c r="IS90" s="691">
        <v>3</v>
      </c>
      <c r="IT90" s="691"/>
      <c r="IU90" s="692"/>
    </row>
    <row r="91" spans="2:255">
      <c r="C91" s="32"/>
      <c r="D91" s="32" t="s">
        <v>1239</v>
      </c>
      <c r="E91" s="4607"/>
      <c r="F91" s="4607"/>
      <c r="G91" s="4607"/>
      <c r="H91" s="4607"/>
      <c r="I91" s="4607">
        <v>0</v>
      </c>
      <c r="J91" s="4607"/>
      <c r="K91" s="4607"/>
      <c r="L91" s="4607"/>
      <c r="M91" s="4607">
        <v>0</v>
      </c>
      <c r="N91" s="4607">
        <v>0</v>
      </c>
      <c r="O91" s="4607">
        <v>1</v>
      </c>
      <c r="P91" s="4607">
        <v>0</v>
      </c>
      <c r="Q91" s="4607">
        <v>7</v>
      </c>
      <c r="R91" s="4607">
        <v>4</v>
      </c>
      <c r="S91" s="4583">
        <v>5</v>
      </c>
      <c r="T91" s="4583">
        <v>1</v>
      </c>
      <c r="U91" s="4583">
        <v>18</v>
      </c>
      <c r="V91" s="4583"/>
      <c r="Z91" s="1793"/>
      <c r="AA91" s="1793" t="s">
        <v>1344</v>
      </c>
      <c r="AB91" s="4804">
        <v>0</v>
      </c>
      <c r="AC91" s="4804"/>
      <c r="AD91" s="4804"/>
      <c r="AE91" s="4804"/>
      <c r="AF91" s="4804">
        <v>0</v>
      </c>
      <c r="AG91" s="4804"/>
      <c r="AH91" s="4804"/>
      <c r="AI91" s="4804"/>
      <c r="AJ91" s="4804">
        <v>0</v>
      </c>
      <c r="AK91" s="4804">
        <v>0</v>
      </c>
      <c r="AL91" s="4804"/>
      <c r="AM91" s="4804">
        <v>4</v>
      </c>
      <c r="AN91" s="4804">
        <v>1</v>
      </c>
      <c r="AO91" s="4804">
        <v>0</v>
      </c>
      <c r="AP91" s="4702">
        <v>0</v>
      </c>
      <c r="AQ91" s="4702">
        <v>5</v>
      </c>
      <c r="AR91" s="1793"/>
      <c r="AT91" s="41"/>
      <c r="AU91" s="41"/>
      <c r="AV91" s="41" t="s">
        <v>795</v>
      </c>
      <c r="AW91" s="41" t="s">
        <v>1233</v>
      </c>
      <c r="AX91" s="690"/>
      <c r="AY91" s="690">
        <v>1</v>
      </c>
      <c r="AZ91" s="690"/>
      <c r="BA91" s="690"/>
      <c r="BB91" s="690"/>
      <c r="BC91" s="690"/>
      <c r="BD91" s="690"/>
      <c r="BE91" s="690"/>
      <c r="BF91" s="690"/>
      <c r="BG91" s="690"/>
      <c r="BH91" s="690"/>
      <c r="BI91" s="690"/>
      <c r="BJ91" s="690"/>
      <c r="BK91" s="690"/>
      <c r="BL91" s="690"/>
      <c r="BM91" s="41">
        <v>0</v>
      </c>
      <c r="BN91" s="41"/>
      <c r="BO91" s="41">
        <v>1</v>
      </c>
      <c r="BP91" s="41"/>
      <c r="BR91" s="41"/>
      <c r="BS91" s="41"/>
      <c r="BT91" s="41"/>
      <c r="BU91" s="41" t="s">
        <v>1235</v>
      </c>
      <c r="BV91" s="2001">
        <v>0</v>
      </c>
      <c r="BW91" s="2001"/>
      <c r="BX91" s="2001">
        <v>0</v>
      </c>
      <c r="BY91" s="2001"/>
      <c r="BZ91" s="2001"/>
      <c r="CA91" s="2001"/>
      <c r="CB91" s="2001">
        <v>0</v>
      </c>
      <c r="CC91" s="2001"/>
      <c r="CD91" s="2001"/>
      <c r="CE91" s="2001"/>
      <c r="CF91" s="2001"/>
      <c r="CG91" s="2001"/>
      <c r="CH91" s="2001">
        <v>0</v>
      </c>
      <c r="CI91" s="2001">
        <v>1</v>
      </c>
      <c r="CJ91" s="2001">
        <v>0</v>
      </c>
      <c r="CK91" s="105"/>
      <c r="CL91" s="105">
        <v>0</v>
      </c>
      <c r="CM91" s="105">
        <v>1</v>
      </c>
      <c r="CN91" s="41"/>
      <c r="CR91" s="41" t="s">
        <v>127</v>
      </c>
      <c r="CS91" s="41" t="s">
        <v>1231</v>
      </c>
      <c r="CT91" s="1665">
        <v>1</v>
      </c>
      <c r="CU91" s="1665"/>
      <c r="CV91" s="1665"/>
      <c r="CW91" s="1665">
        <v>0</v>
      </c>
      <c r="CX91" s="1665"/>
      <c r="CY91" s="1665"/>
      <c r="CZ91" s="1665"/>
      <c r="DA91" s="1665"/>
      <c r="DB91" s="1665"/>
      <c r="DC91" s="1665">
        <v>0</v>
      </c>
      <c r="DD91" s="1665"/>
      <c r="DE91" s="1665"/>
      <c r="DF91" s="1665">
        <v>4</v>
      </c>
      <c r="DG91" s="1665">
        <v>3</v>
      </c>
      <c r="DH91" s="1665">
        <v>0</v>
      </c>
      <c r="DI91" s="41"/>
      <c r="DJ91" s="41"/>
      <c r="DK91" s="41">
        <v>8</v>
      </c>
      <c r="DL91" s="41"/>
      <c r="DN91" s="1375"/>
      <c r="DO91" s="1375"/>
      <c r="DP91" s="1375"/>
      <c r="DQ91" s="1376" t="s">
        <v>1236</v>
      </c>
      <c r="DR91" s="1377"/>
      <c r="DS91" s="1378">
        <v>0</v>
      </c>
      <c r="DT91" s="1378">
        <v>2</v>
      </c>
      <c r="DU91" s="1377"/>
      <c r="DV91" s="1378">
        <v>1</v>
      </c>
      <c r="DW91" s="1377"/>
      <c r="DX91" s="1378">
        <v>0</v>
      </c>
      <c r="DY91" s="1378">
        <v>0</v>
      </c>
      <c r="DZ91" s="1378">
        <v>0</v>
      </c>
      <c r="EA91" s="1378">
        <v>0</v>
      </c>
      <c r="EB91" s="1378">
        <v>0</v>
      </c>
      <c r="EC91" s="1378">
        <v>0</v>
      </c>
      <c r="ED91" s="1378">
        <v>0</v>
      </c>
      <c r="EE91" s="1380">
        <v>0</v>
      </c>
      <c r="EF91" s="1380">
        <v>0</v>
      </c>
      <c r="EG91" s="1380">
        <v>3</v>
      </c>
      <c r="EH91" s="41"/>
      <c r="EJ91" s="678"/>
      <c r="EK91" s="678"/>
      <c r="EL91" s="678" t="s">
        <v>128</v>
      </c>
      <c r="EM91" s="679" t="s">
        <v>1231</v>
      </c>
      <c r="EN91" s="680"/>
      <c r="EO91" s="680"/>
      <c r="EP91" s="680"/>
      <c r="EQ91" s="680"/>
      <c r="ER91" s="680"/>
      <c r="ES91" s="680"/>
      <c r="ET91" s="680"/>
      <c r="EU91" s="680"/>
      <c r="EV91" s="680"/>
      <c r="EW91" s="680"/>
      <c r="EX91" s="680"/>
      <c r="EY91" s="680"/>
      <c r="EZ91" s="681">
        <v>5</v>
      </c>
      <c r="FA91" s="681">
        <v>2</v>
      </c>
      <c r="FB91" s="680"/>
      <c r="FC91" s="683">
        <v>0</v>
      </c>
      <c r="FD91" s="683">
        <v>0</v>
      </c>
      <c r="FE91" s="683">
        <v>7</v>
      </c>
      <c r="FF91" s="105"/>
      <c r="FH91" s="511"/>
      <c r="FI91" s="511"/>
      <c r="FJ91" s="511" t="s">
        <v>128</v>
      </c>
      <c r="FK91" s="511" t="s">
        <v>1229</v>
      </c>
      <c r="FL91" s="512" t="s">
        <v>1231</v>
      </c>
      <c r="FM91" s="684"/>
      <c r="FN91" s="684"/>
      <c r="FO91" s="685">
        <v>1</v>
      </c>
      <c r="FP91" s="684"/>
      <c r="FQ91" s="684"/>
      <c r="FR91" s="684"/>
      <c r="FS91" s="684"/>
      <c r="FT91" s="684"/>
      <c r="FU91" s="684"/>
      <c r="FV91" s="684"/>
      <c r="FW91" s="684"/>
      <c r="FX91" s="684"/>
      <c r="FY91" s="685">
        <v>3</v>
      </c>
      <c r="FZ91" s="685">
        <v>1</v>
      </c>
      <c r="GA91" s="685">
        <v>1</v>
      </c>
      <c r="GB91" s="687">
        <v>0</v>
      </c>
      <c r="GC91" s="687">
        <v>0</v>
      </c>
      <c r="GD91" s="687">
        <v>6</v>
      </c>
      <c r="GE91" s="635"/>
      <c r="GF91" s="41"/>
      <c r="GG91" s="688"/>
      <c r="GH91" s="688"/>
      <c r="GI91" s="688"/>
      <c r="GJ91" s="704" t="s">
        <v>15</v>
      </c>
      <c r="GK91" s="705"/>
      <c r="GL91" s="705"/>
      <c r="GM91" s="705"/>
      <c r="GN91" s="705"/>
      <c r="GO91" s="705"/>
      <c r="GP91" s="705"/>
      <c r="GQ91" s="463">
        <v>4</v>
      </c>
      <c r="GR91" s="463">
        <v>6</v>
      </c>
      <c r="GS91" s="463">
        <v>3</v>
      </c>
      <c r="GT91" s="705"/>
      <c r="GU91" s="705"/>
      <c r="GV91" s="705"/>
      <c r="GW91" s="705"/>
      <c r="GX91" s="463">
        <v>13</v>
      </c>
      <c r="GY91" s="628">
        <f>+GX90/GX91</f>
        <v>7.6923076923076927E-2</v>
      </c>
      <c r="GZ91" s="41"/>
      <c r="HA91" s="41"/>
      <c r="HB91" s="105"/>
      <c r="HC91" s="105"/>
      <c r="HD91" s="41"/>
      <c r="HE91" s="41" t="s">
        <v>1239</v>
      </c>
      <c r="HF91" s="105"/>
      <c r="HG91" s="105">
        <v>0</v>
      </c>
      <c r="HH91" s="105">
        <v>0</v>
      </c>
      <c r="HI91" s="105">
        <v>0</v>
      </c>
      <c r="HJ91" s="105">
        <v>0</v>
      </c>
      <c r="HK91" s="105"/>
      <c r="HL91" s="105"/>
      <c r="HM91" s="105"/>
      <c r="HN91" s="105">
        <v>0</v>
      </c>
      <c r="HO91" s="105">
        <v>2</v>
      </c>
      <c r="HP91" s="105">
        <v>1</v>
      </c>
      <c r="HQ91" s="105">
        <v>1</v>
      </c>
      <c r="HR91" s="105">
        <v>1</v>
      </c>
      <c r="HS91" s="105">
        <v>0</v>
      </c>
      <c r="HT91" s="105">
        <v>3</v>
      </c>
      <c r="HU91" s="105">
        <v>6</v>
      </c>
      <c r="HV91" s="105">
        <v>14</v>
      </c>
      <c r="HW91" s="41"/>
      <c r="HX91" s="41"/>
      <c r="HY91" s="691"/>
      <c r="HZ91" s="691"/>
      <c r="IA91" s="691"/>
      <c r="IB91" s="691" t="s">
        <v>1344</v>
      </c>
      <c r="IC91" s="691">
        <v>0</v>
      </c>
      <c r="ID91" s="691">
        <v>0</v>
      </c>
      <c r="IE91" s="691">
        <v>0</v>
      </c>
      <c r="IF91" s="691">
        <v>0</v>
      </c>
      <c r="IG91" s="691">
        <v>0</v>
      </c>
      <c r="IH91" s="691">
        <v>0</v>
      </c>
      <c r="II91" s="691">
        <v>0</v>
      </c>
      <c r="IJ91" s="691">
        <v>0</v>
      </c>
      <c r="IK91" s="691">
        <v>0</v>
      </c>
      <c r="IL91" s="691">
        <v>0</v>
      </c>
      <c r="IM91" s="691">
        <v>0</v>
      </c>
      <c r="IN91" s="691">
        <v>2</v>
      </c>
      <c r="IO91" s="691">
        <v>0</v>
      </c>
      <c r="IP91" s="691">
        <v>0</v>
      </c>
      <c r="IQ91" s="691">
        <v>0</v>
      </c>
      <c r="IR91" s="691">
        <v>0</v>
      </c>
      <c r="IS91" s="691">
        <v>2</v>
      </c>
      <c r="IT91" s="691"/>
      <c r="IU91" s="692"/>
    </row>
    <row r="92" spans="2:255" ht="15" thickBot="1">
      <c r="C92" s="32"/>
      <c r="D92" s="32" t="s">
        <v>1344</v>
      </c>
      <c r="E92" s="4607"/>
      <c r="F92" s="4607"/>
      <c r="G92" s="4607"/>
      <c r="H92" s="4607"/>
      <c r="I92" s="4607">
        <v>0</v>
      </c>
      <c r="J92" s="4607"/>
      <c r="K92" s="4607"/>
      <c r="L92" s="4607"/>
      <c r="M92" s="4607">
        <v>0</v>
      </c>
      <c r="N92" s="4607">
        <v>0</v>
      </c>
      <c r="O92" s="4607">
        <v>0</v>
      </c>
      <c r="P92" s="4607">
        <v>6</v>
      </c>
      <c r="Q92" s="4607">
        <v>1</v>
      </c>
      <c r="R92" s="4607">
        <v>1</v>
      </c>
      <c r="S92" s="4583">
        <v>0</v>
      </c>
      <c r="T92" s="4583">
        <v>0</v>
      </c>
      <c r="U92" s="4583">
        <v>8</v>
      </c>
      <c r="V92" s="4583"/>
      <c r="Z92" s="1793"/>
      <c r="AA92" s="1793" t="s">
        <v>544</v>
      </c>
      <c r="AB92" s="4804">
        <v>0</v>
      </c>
      <c r="AC92" s="4804"/>
      <c r="AD92" s="4804"/>
      <c r="AE92" s="4804"/>
      <c r="AF92" s="4804">
        <v>1</v>
      </c>
      <c r="AG92" s="4804"/>
      <c r="AH92" s="4804"/>
      <c r="AI92" s="4804"/>
      <c r="AJ92" s="4804">
        <v>3</v>
      </c>
      <c r="AK92" s="4804">
        <v>2</v>
      </c>
      <c r="AL92" s="4804"/>
      <c r="AM92" s="4804">
        <v>10</v>
      </c>
      <c r="AN92" s="4804">
        <v>15</v>
      </c>
      <c r="AO92" s="4804">
        <v>7</v>
      </c>
      <c r="AP92" s="4702">
        <v>4</v>
      </c>
      <c r="AQ92" s="4702">
        <v>42</v>
      </c>
      <c r="AR92" s="4703">
        <f>+(AQ89+AQ91)/AQ92</f>
        <v>0.21428571428571427</v>
      </c>
      <c r="AT92" s="41"/>
      <c r="AU92" s="41"/>
      <c r="AV92" s="41"/>
      <c r="AW92" s="41" t="s">
        <v>1235</v>
      </c>
      <c r="AX92" s="690"/>
      <c r="AY92" s="690">
        <v>0</v>
      </c>
      <c r="AZ92" s="690"/>
      <c r="BA92" s="690"/>
      <c r="BB92" s="690"/>
      <c r="BC92" s="690"/>
      <c r="BD92" s="690"/>
      <c r="BE92" s="690"/>
      <c r="BF92" s="690"/>
      <c r="BG92" s="690"/>
      <c r="BH92" s="690"/>
      <c r="BI92" s="690"/>
      <c r="BJ92" s="690"/>
      <c r="BK92" s="690"/>
      <c r="BL92" s="690"/>
      <c r="BM92" s="41">
        <v>1</v>
      </c>
      <c r="BN92" s="41"/>
      <c r="BO92" s="41">
        <v>1</v>
      </c>
      <c r="BP92" s="41"/>
      <c r="BR92" s="41"/>
      <c r="BS92" s="41"/>
      <c r="BT92" s="41"/>
      <c r="BU92" s="41" t="s">
        <v>1239</v>
      </c>
      <c r="BV92" s="2001">
        <v>0</v>
      </c>
      <c r="BW92" s="2001"/>
      <c r="BX92" s="2001">
        <v>0</v>
      </c>
      <c r="BY92" s="2001"/>
      <c r="BZ92" s="2001"/>
      <c r="CA92" s="2001"/>
      <c r="CB92" s="2001">
        <v>0</v>
      </c>
      <c r="CC92" s="2001"/>
      <c r="CD92" s="2001"/>
      <c r="CE92" s="2001"/>
      <c r="CF92" s="2001"/>
      <c r="CG92" s="2001"/>
      <c r="CH92" s="2001">
        <v>0</v>
      </c>
      <c r="CI92" s="2001">
        <v>0</v>
      </c>
      <c r="CJ92" s="2001">
        <v>6</v>
      </c>
      <c r="CK92" s="105"/>
      <c r="CL92" s="105">
        <v>1</v>
      </c>
      <c r="CM92" s="105">
        <v>7</v>
      </c>
      <c r="CN92" s="41"/>
      <c r="CR92" s="41"/>
      <c r="CS92" s="41" t="s">
        <v>1235</v>
      </c>
      <c r="CT92" s="1665">
        <v>0</v>
      </c>
      <c r="CU92" s="1665"/>
      <c r="CV92" s="1665"/>
      <c r="CW92" s="1665">
        <v>0</v>
      </c>
      <c r="CX92" s="1665"/>
      <c r="CY92" s="1665"/>
      <c r="CZ92" s="1665"/>
      <c r="DA92" s="1665"/>
      <c r="DB92" s="1665"/>
      <c r="DC92" s="1665">
        <v>0</v>
      </c>
      <c r="DD92" s="1665"/>
      <c r="DE92" s="1665"/>
      <c r="DF92" s="1665">
        <v>8</v>
      </c>
      <c r="DG92" s="1665">
        <v>2</v>
      </c>
      <c r="DH92" s="1665">
        <v>0</v>
      </c>
      <c r="DI92" s="41"/>
      <c r="DJ92" s="41"/>
      <c r="DK92" s="41">
        <v>10</v>
      </c>
      <c r="DL92" s="41"/>
      <c r="DN92" s="1375"/>
      <c r="DO92" s="1375"/>
      <c r="DP92" s="1375"/>
      <c r="DQ92" s="1376" t="s">
        <v>1239</v>
      </c>
      <c r="DR92" s="1377"/>
      <c r="DS92" s="1378">
        <v>0</v>
      </c>
      <c r="DT92" s="1378">
        <v>0</v>
      </c>
      <c r="DU92" s="1377"/>
      <c r="DV92" s="1378">
        <v>0</v>
      </c>
      <c r="DW92" s="1377"/>
      <c r="DX92" s="1378">
        <v>0</v>
      </c>
      <c r="DY92" s="1378">
        <v>0</v>
      </c>
      <c r="DZ92" s="1378">
        <v>0</v>
      </c>
      <c r="EA92" s="1378">
        <v>0</v>
      </c>
      <c r="EB92" s="1378">
        <v>0</v>
      </c>
      <c r="EC92" s="1378">
        <v>0</v>
      </c>
      <c r="ED92" s="1378">
        <v>16</v>
      </c>
      <c r="EE92" s="1380">
        <v>1</v>
      </c>
      <c r="EF92" s="1380">
        <v>8</v>
      </c>
      <c r="EG92" s="1380">
        <v>25</v>
      </c>
      <c r="EH92" s="41"/>
      <c r="EJ92" s="678"/>
      <c r="EK92" s="678"/>
      <c r="EL92" s="678"/>
      <c r="EM92" s="679" t="s">
        <v>1235</v>
      </c>
      <c r="EN92" s="680"/>
      <c r="EO92" s="680"/>
      <c r="EP92" s="680"/>
      <c r="EQ92" s="680"/>
      <c r="ER92" s="680"/>
      <c r="ES92" s="680"/>
      <c r="ET92" s="680"/>
      <c r="EU92" s="680"/>
      <c r="EV92" s="680"/>
      <c r="EW92" s="680"/>
      <c r="EX92" s="680"/>
      <c r="EY92" s="680"/>
      <c r="EZ92" s="681">
        <v>0</v>
      </c>
      <c r="FA92" s="681">
        <v>1</v>
      </c>
      <c r="FB92" s="680"/>
      <c r="FC92" s="683">
        <v>0</v>
      </c>
      <c r="FD92" s="683">
        <v>0</v>
      </c>
      <c r="FE92" s="683">
        <v>1</v>
      </c>
      <c r="FF92" s="105"/>
      <c r="FH92" s="511"/>
      <c r="FI92" s="511"/>
      <c r="FJ92" s="511"/>
      <c r="FK92" s="511"/>
      <c r="FL92" s="512" t="s">
        <v>1235</v>
      </c>
      <c r="FM92" s="684"/>
      <c r="FN92" s="684"/>
      <c r="FO92" s="685">
        <v>0</v>
      </c>
      <c r="FP92" s="684"/>
      <c r="FQ92" s="684"/>
      <c r="FR92" s="684"/>
      <c r="FS92" s="684"/>
      <c r="FT92" s="684"/>
      <c r="FU92" s="684"/>
      <c r="FV92" s="684"/>
      <c r="FW92" s="684"/>
      <c r="FX92" s="684"/>
      <c r="FY92" s="685">
        <v>0</v>
      </c>
      <c r="FZ92" s="685">
        <v>0</v>
      </c>
      <c r="GA92" s="685">
        <v>0</v>
      </c>
      <c r="GB92" s="687">
        <v>2</v>
      </c>
      <c r="GC92" s="687">
        <v>0</v>
      </c>
      <c r="GD92" s="687">
        <v>2</v>
      </c>
      <c r="GE92" s="635"/>
      <c r="GF92" s="41"/>
      <c r="GG92" s="688"/>
      <c r="GH92" s="688"/>
      <c r="GI92" s="688" t="s">
        <v>128</v>
      </c>
      <c r="GJ92" s="457" t="s">
        <v>1231</v>
      </c>
      <c r="GK92" s="689"/>
      <c r="GL92" s="689"/>
      <c r="GM92" s="689"/>
      <c r="GN92" s="689"/>
      <c r="GO92" s="689"/>
      <c r="GP92" s="689"/>
      <c r="GQ92" s="689"/>
      <c r="GR92" s="689"/>
      <c r="GS92" s="458">
        <v>1</v>
      </c>
      <c r="GT92" s="689"/>
      <c r="GU92" s="689"/>
      <c r="GV92" s="689"/>
      <c r="GW92" s="458">
        <v>0</v>
      </c>
      <c r="GX92" s="458">
        <v>1</v>
      </c>
      <c r="GY92" s="690"/>
      <c r="GZ92" s="41"/>
      <c r="HA92" s="41"/>
      <c r="HB92" s="105"/>
      <c r="HC92" s="105"/>
      <c r="HD92" s="41"/>
      <c r="HE92" s="41" t="s">
        <v>1240</v>
      </c>
      <c r="HF92" s="105"/>
      <c r="HG92" s="105">
        <v>0</v>
      </c>
      <c r="HH92" s="105">
        <v>0</v>
      </c>
      <c r="HI92" s="105">
        <v>0</v>
      </c>
      <c r="HJ92" s="105">
        <v>0</v>
      </c>
      <c r="HK92" s="105"/>
      <c r="HL92" s="105"/>
      <c r="HM92" s="105"/>
      <c r="HN92" s="105">
        <v>1</v>
      </c>
      <c r="HO92" s="105">
        <v>0</v>
      </c>
      <c r="HP92" s="105">
        <v>0</v>
      </c>
      <c r="HQ92" s="105">
        <v>3</v>
      </c>
      <c r="HR92" s="105">
        <v>0</v>
      </c>
      <c r="HS92" s="105">
        <v>0</v>
      </c>
      <c r="HT92" s="105">
        <v>0</v>
      </c>
      <c r="HU92" s="105">
        <v>0</v>
      </c>
      <c r="HV92" s="105">
        <v>4</v>
      </c>
      <c r="HW92" s="41"/>
      <c r="HX92" s="41"/>
      <c r="HY92" s="709"/>
      <c r="HZ92" s="709"/>
      <c r="IA92" s="709"/>
      <c r="IB92" s="709" t="s">
        <v>15</v>
      </c>
      <c r="IC92" s="709">
        <v>0</v>
      </c>
      <c r="ID92" s="709">
        <v>0</v>
      </c>
      <c r="IE92" s="709">
        <v>0</v>
      </c>
      <c r="IF92" s="709">
        <v>2</v>
      </c>
      <c r="IG92" s="709">
        <v>0</v>
      </c>
      <c r="IH92" s="709">
        <v>0</v>
      </c>
      <c r="II92" s="709">
        <v>0</v>
      </c>
      <c r="IJ92" s="709">
        <v>0</v>
      </c>
      <c r="IK92" s="709">
        <v>1</v>
      </c>
      <c r="IL92" s="709">
        <v>2</v>
      </c>
      <c r="IM92" s="709">
        <v>1</v>
      </c>
      <c r="IN92" s="709">
        <v>5</v>
      </c>
      <c r="IO92" s="709">
        <v>2</v>
      </c>
      <c r="IP92" s="709">
        <v>0</v>
      </c>
      <c r="IQ92" s="709">
        <v>1</v>
      </c>
      <c r="IR92" s="709">
        <v>2</v>
      </c>
      <c r="IS92" s="709">
        <v>16</v>
      </c>
      <c r="IT92" s="710">
        <f>+(IS91+IS89-IQ89)/IS92</f>
        <v>0.1875</v>
      </c>
      <c r="IU92" s="711">
        <f>+IS89+IS91-IQ89</f>
        <v>3</v>
      </c>
    </row>
    <row r="93" spans="2:255">
      <c r="C93" s="32"/>
      <c r="D93" s="4800" t="s">
        <v>15</v>
      </c>
      <c r="E93" s="4607"/>
      <c r="F93" s="4607"/>
      <c r="G93" s="4607"/>
      <c r="H93" s="4607"/>
      <c r="I93" s="4607">
        <v>1</v>
      </c>
      <c r="J93" s="4607"/>
      <c r="K93" s="4607"/>
      <c r="L93" s="4607"/>
      <c r="M93" s="4607">
        <v>3</v>
      </c>
      <c r="N93" s="4607">
        <v>1</v>
      </c>
      <c r="O93" s="4607">
        <v>1</v>
      </c>
      <c r="P93" s="4607">
        <v>9</v>
      </c>
      <c r="Q93" s="4607">
        <v>13</v>
      </c>
      <c r="R93" s="4607">
        <v>8</v>
      </c>
      <c r="S93" s="4583">
        <v>5</v>
      </c>
      <c r="T93" s="4583">
        <v>1</v>
      </c>
      <c r="U93" s="4583">
        <v>42</v>
      </c>
      <c r="V93" s="1977">
        <f>+(U90+U92)/(U93)</f>
        <v>0.23809523809523808</v>
      </c>
      <c r="Y93" s="37" t="s">
        <v>16</v>
      </c>
      <c r="Z93" s="37" t="s">
        <v>125</v>
      </c>
      <c r="AA93" s="37" t="s">
        <v>1344</v>
      </c>
      <c r="AB93" s="4803">
        <v>0</v>
      </c>
      <c r="AC93" s="4803"/>
      <c r="AD93" s="4803"/>
      <c r="AE93" s="4803"/>
      <c r="AF93" s="4803"/>
      <c r="AG93" s="4803"/>
      <c r="AH93" s="4803"/>
      <c r="AI93" s="4803"/>
      <c r="AJ93" s="4803">
        <v>10</v>
      </c>
      <c r="AK93" s="4803"/>
      <c r="AL93" s="4803">
        <v>1</v>
      </c>
      <c r="AM93" s="4803"/>
      <c r="AN93" s="4803"/>
      <c r="AO93" s="4803"/>
      <c r="AP93" s="1788"/>
      <c r="AQ93" s="1788">
        <v>11</v>
      </c>
      <c r="AT93" s="41"/>
      <c r="AU93" s="41"/>
      <c r="AV93" s="41"/>
      <c r="AW93" s="41" t="s">
        <v>1239</v>
      </c>
      <c r="AX93" s="690"/>
      <c r="AY93" s="690">
        <v>0</v>
      </c>
      <c r="AZ93" s="690"/>
      <c r="BA93" s="690"/>
      <c r="BB93" s="690"/>
      <c r="BC93" s="690"/>
      <c r="BD93" s="690"/>
      <c r="BE93" s="690"/>
      <c r="BF93" s="690"/>
      <c r="BG93" s="690"/>
      <c r="BH93" s="690"/>
      <c r="BI93" s="690"/>
      <c r="BJ93" s="690"/>
      <c r="BK93" s="690"/>
      <c r="BL93" s="690"/>
      <c r="BM93" s="41">
        <v>1</v>
      </c>
      <c r="BN93" s="41"/>
      <c r="BO93" s="41">
        <v>1</v>
      </c>
      <c r="BP93" s="41"/>
      <c r="BR93" s="41"/>
      <c r="BS93" s="41"/>
      <c r="BT93" s="41"/>
      <c r="BU93" s="41" t="s">
        <v>1344</v>
      </c>
      <c r="BV93" s="2001">
        <v>0</v>
      </c>
      <c r="BW93" s="2001"/>
      <c r="BX93" s="2001">
        <v>0</v>
      </c>
      <c r="BY93" s="2001"/>
      <c r="BZ93" s="2001"/>
      <c r="CA93" s="2001"/>
      <c r="CB93" s="2001">
        <v>0</v>
      </c>
      <c r="CC93" s="2001"/>
      <c r="CD93" s="2001"/>
      <c r="CE93" s="2001"/>
      <c r="CF93" s="2001"/>
      <c r="CG93" s="2001"/>
      <c r="CH93" s="2001">
        <v>0</v>
      </c>
      <c r="CI93" s="2001">
        <v>2</v>
      </c>
      <c r="CJ93" s="2001">
        <v>1</v>
      </c>
      <c r="CK93" s="105"/>
      <c r="CL93" s="105">
        <v>0</v>
      </c>
      <c r="CM93" s="105">
        <v>3</v>
      </c>
      <c r="CN93" s="41"/>
      <c r="CR93" s="41"/>
      <c r="CS93" s="41" t="s">
        <v>1236</v>
      </c>
      <c r="CT93" s="1665">
        <v>0</v>
      </c>
      <c r="CU93" s="1665"/>
      <c r="CV93" s="1665"/>
      <c r="CW93" s="1665">
        <v>1</v>
      </c>
      <c r="CX93" s="1665"/>
      <c r="CY93" s="1665"/>
      <c r="CZ93" s="1665"/>
      <c r="DA93" s="1665"/>
      <c r="DB93" s="1665"/>
      <c r="DC93" s="1665">
        <v>1</v>
      </c>
      <c r="DD93" s="1665"/>
      <c r="DE93" s="1665"/>
      <c r="DF93" s="1665">
        <v>0</v>
      </c>
      <c r="DG93" s="1665">
        <v>1</v>
      </c>
      <c r="DH93" s="1665">
        <v>0</v>
      </c>
      <c r="DI93" s="41"/>
      <c r="DJ93" s="41"/>
      <c r="DK93" s="41">
        <v>3</v>
      </c>
      <c r="DL93" s="41"/>
      <c r="DN93" s="1375"/>
      <c r="DO93" s="1375"/>
      <c r="DP93" s="1375"/>
      <c r="DQ93" s="1376" t="s">
        <v>1344</v>
      </c>
      <c r="DR93" s="1377"/>
      <c r="DS93" s="1378">
        <v>0</v>
      </c>
      <c r="DT93" s="1378">
        <v>0</v>
      </c>
      <c r="DU93" s="1377"/>
      <c r="DV93" s="1378">
        <v>0</v>
      </c>
      <c r="DW93" s="1377"/>
      <c r="DX93" s="1378">
        <v>1</v>
      </c>
      <c r="DY93" s="1378">
        <v>3</v>
      </c>
      <c r="DZ93" s="1378">
        <v>1</v>
      </c>
      <c r="EA93" s="1378">
        <v>2</v>
      </c>
      <c r="EB93" s="1378">
        <v>7</v>
      </c>
      <c r="EC93" s="1378">
        <v>0</v>
      </c>
      <c r="ED93" s="1378">
        <v>0</v>
      </c>
      <c r="EE93" s="1380">
        <v>0</v>
      </c>
      <c r="EF93" s="1380">
        <v>0</v>
      </c>
      <c r="EG93" s="1380">
        <v>14</v>
      </c>
      <c r="EH93" s="41"/>
      <c r="EJ93" s="678"/>
      <c r="EK93" s="678"/>
      <c r="EL93" s="678"/>
      <c r="EM93" s="679" t="s">
        <v>1239</v>
      </c>
      <c r="EN93" s="680"/>
      <c r="EO93" s="680"/>
      <c r="EP93" s="680"/>
      <c r="EQ93" s="680"/>
      <c r="ER93" s="680"/>
      <c r="ES93" s="680"/>
      <c r="ET93" s="680"/>
      <c r="EU93" s="680"/>
      <c r="EV93" s="680"/>
      <c r="EW93" s="680"/>
      <c r="EX93" s="680"/>
      <c r="EY93" s="680"/>
      <c r="EZ93" s="681">
        <v>0</v>
      </c>
      <c r="FA93" s="681">
        <v>0</v>
      </c>
      <c r="FB93" s="680"/>
      <c r="FC93" s="683">
        <v>2</v>
      </c>
      <c r="FD93" s="683">
        <v>5</v>
      </c>
      <c r="FE93" s="683">
        <v>7</v>
      </c>
      <c r="FF93" s="105"/>
      <c r="FH93" s="511"/>
      <c r="FI93" s="511"/>
      <c r="FJ93" s="511"/>
      <c r="FK93" s="511"/>
      <c r="FL93" s="512" t="s">
        <v>1239</v>
      </c>
      <c r="FM93" s="684"/>
      <c r="FN93" s="684"/>
      <c r="FO93" s="685">
        <v>0</v>
      </c>
      <c r="FP93" s="684"/>
      <c r="FQ93" s="684"/>
      <c r="FR93" s="684"/>
      <c r="FS93" s="684"/>
      <c r="FT93" s="684"/>
      <c r="FU93" s="684"/>
      <c r="FV93" s="684"/>
      <c r="FW93" s="684"/>
      <c r="FX93" s="684"/>
      <c r="FY93" s="685">
        <v>0</v>
      </c>
      <c r="FZ93" s="685">
        <v>0</v>
      </c>
      <c r="GA93" s="685">
        <v>0</v>
      </c>
      <c r="GB93" s="687">
        <v>0</v>
      </c>
      <c r="GC93" s="687">
        <v>3</v>
      </c>
      <c r="GD93" s="687">
        <v>3</v>
      </c>
      <c r="GE93" s="635"/>
      <c r="GF93" s="41"/>
      <c r="GG93" s="688"/>
      <c r="GH93" s="688"/>
      <c r="GI93" s="688"/>
      <c r="GJ93" s="457" t="s">
        <v>1239</v>
      </c>
      <c r="GK93" s="689"/>
      <c r="GL93" s="689"/>
      <c r="GM93" s="689"/>
      <c r="GN93" s="689"/>
      <c r="GO93" s="689"/>
      <c r="GP93" s="689"/>
      <c r="GQ93" s="689"/>
      <c r="GR93" s="689"/>
      <c r="GS93" s="458">
        <v>0</v>
      </c>
      <c r="GT93" s="689"/>
      <c r="GU93" s="689"/>
      <c r="GV93" s="689"/>
      <c r="GW93" s="458">
        <v>1</v>
      </c>
      <c r="GX93" s="458">
        <v>1</v>
      </c>
      <c r="GY93" s="690"/>
      <c r="GZ93" s="41"/>
      <c r="HA93" s="41"/>
      <c r="HB93" s="105"/>
      <c r="HC93" s="105"/>
      <c r="HD93" s="41"/>
      <c r="HE93" s="41" t="s">
        <v>1344</v>
      </c>
      <c r="HF93" s="105"/>
      <c r="HG93" s="105">
        <v>0</v>
      </c>
      <c r="HH93" s="105">
        <v>0</v>
      </c>
      <c r="HI93" s="105">
        <v>0</v>
      </c>
      <c r="HJ93" s="105">
        <v>0</v>
      </c>
      <c r="HK93" s="105"/>
      <c r="HL93" s="105"/>
      <c r="HM93" s="105"/>
      <c r="HN93" s="105">
        <v>7</v>
      </c>
      <c r="HO93" s="105">
        <v>1</v>
      </c>
      <c r="HP93" s="105">
        <v>2</v>
      </c>
      <c r="HQ93" s="105">
        <v>8</v>
      </c>
      <c r="HR93" s="105">
        <v>0</v>
      </c>
      <c r="HS93" s="105">
        <v>0</v>
      </c>
      <c r="HT93" s="105">
        <v>0</v>
      </c>
      <c r="HU93" s="105">
        <v>0</v>
      </c>
      <c r="HV93" s="105">
        <v>18</v>
      </c>
      <c r="HW93" s="41"/>
      <c r="HX93" s="41"/>
      <c r="HY93" s="691"/>
      <c r="HZ93" s="691"/>
      <c r="IA93" s="691"/>
      <c r="IB93" s="691"/>
      <c r="IC93" s="691"/>
      <c r="ID93" s="691"/>
      <c r="IE93" s="691"/>
      <c r="IF93" s="691"/>
      <c r="IG93" s="691"/>
      <c r="IH93" s="691"/>
      <c r="II93" s="691"/>
      <c r="IJ93" s="691"/>
      <c r="IK93" s="691"/>
      <c r="IL93" s="691"/>
      <c r="IM93" s="691"/>
      <c r="IN93" s="691"/>
      <c r="IO93" s="691"/>
      <c r="IP93" s="691"/>
      <c r="IQ93" s="691"/>
      <c r="IR93" s="691"/>
      <c r="IS93" s="691"/>
      <c r="IT93" s="691"/>
      <c r="IU93" s="692"/>
    </row>
    <row r="94" spans="2:255">
      <c r="B94" s="4800" t="s">
        <v>16</v>
      </c>
      <c r="C94" s="4800" t="s">
        <v>125</v>
      </c>
      <c r="D94" s="4800" t="s">
        <v>1344</v>
      </c>
      <c r="E94" s="4606"/>
      <c r="F94" s="4606"/>
      <c r="G94" s="4606"/>
      <c r="H94" s="4606"/>
      <c r="I94" s="4606"/>
      <c r="J94" s="4606"/>
      <c r="K94" s="4606"/>
      <c r="L94" s="4606"/>
      <c r="M94" s="4606">
        <v>10</v>
      </c>
      <c r="N94" s="4606"/>
      <c r="O94" s="4606">
        <v>1</v>
      </c>
      <c r="P94" s="4606"/>
      <c r="Q94" s="4606"/>
      <c r="R94" s="4606"/>
      <c r="S94" s="2552"/>
      <c r="T94" s="2552"/>
      <c r="U94" s="2552">
        <v>11</v>
      </c>
      <c r="V94" s="2552"/>
      <c r="AA94" s="1793" t="s">
        <v>15</v>
      </c>
      <c r="AB94" s="4804">
        <v>0</v>
      </c>
      <c r="AC94" s="4804"/>
      <c r="AD94" s="4804"/>
      <c r="AE94" s="4804"/>
      <c r="AF94" s="4804"/>
      <c r="AG94" s="4804"/>
      <c r="AH94" s="4804"/>
      <c r="AI94" s="4804"/>
      <c r="AJ94" s="4804">
        <v>10</v>
      </c>
      <c r="AK94" s="4804"/>
      <c r="AL94" s="4804">
        <v>1</v>
      </c>
      <c r="AM94" s="4804"/>
      <c r="AN94" s="4804"/>
      <c r="AO94" s="4804"/>
      <c r="AP94" s="4702"/>
      <c r="AQ94" s="4702">
        <v>11</v>
      </c>
      <c r="AR94" s="4703">
        <f>+AQ93/AQ94</f>
        <v>1</v>
      </c>
      <c r="AT94" s="41"/>
      <c r="AU94" s="41"/>
      <c r="AV94" s="41"/>
      <c r="AW94" s="461" t="s">
        <v>15</v>
      </c>
      <c r="AX94" s="2489"/>
      <c r="AY94" s="2489">
        <v>1</v>
      </c>
      <c r="AZ94" s="2489"/>
      <c r="BA94" s="2489"/>
      <c r="BB94" s="2489"/>
      <c r="BC94" s="2489"/>
      <c r="BD94" s="2489"/>
      <c r="BE94" s="2489"/>
      <c r="BF94" s="2489"/>
      <c r="BG94" s="2489"/>
      <c r="BH94" s="2489"/>
      <c r="BI94" s="2489"/>
      <c r="BJ94" s="2489"/>
      <c r="BK94" s="2489"/>
      <c r="BL94" s="2489"/>
      <c r="BM94" s="461">
        <v>2</v>
      </c>
      <c r="BN94" s="461"/>
      <c r="BO94" s="461">
        <v>3</v>
      </c>
      <c r="BP94" s="635">
        <f>+(BO92-BM92)/BO94</f>
        <v>0</v>
      </c>
      <c r="BQ94" s="1977"/>
      <c r="BR94" s="41"/>
      <c r="BS94" s="41"/>
      <c r="BT94" s="41"/>
      <c r="BU94" s="41" t="s">
        <v>1940</v>
      </c>
      <c r="BV94" s="2001">
        <v>1</v>
      </c>
      <c r="BW94" s="2001"/>
      <c r="BX94" s="2001">
        <v>0</v>
      </c>
      <c r="BY94" s="2001"/>
      <c r="BZ94" s="2001"/>
      <c r="CA94" s="2001"/>
      <c r="CB94" s="2001">
        <v>0</v>
      </c>
      <c r="CC94" s="2001"/>
      <c r="CD94" s="2001"/>
      <c r="CE94" s="2001"/>
      <c r="CF94" s="2001"/>
      <c r="CG94" s="2001"/>
      <c r="CH94" s="2001">
        <v>0</v>
      </c>
      <c r="CI94" s="2001">
        <v>0</v>
      </c>
      <c r="CJ94" s="2001">
        <v>0</v>
      </c>
      <c r="CK94" s="105"/>
      <c r="CL94" s="105">
        <v>0</v>
      </c>
      <c r="CM94" s="105">
        <v>1</v>
      </c>
      <c r="CN94" s="41"/>
      <c r="CR94" s="41"/>
      <c r="CS94" s="41" t="s">
        <v>1239</v>
      </c>
      <c r="CT94" s="1665">
        <v>0</v>
      </c>
      <c r="CU94" s="1665"/>
      <c r="CV94" s="1665"/>
      <c r="CW94" s="1665">
        <v>0</v>
      </c>
      <c r="CX94" s="1665"/>
      <c r="CY94" s="1665"/>
      <c r="CZ94" s="1665"/>
      <c r="DA94" s="1665"/>
      <c r="DB94" s="1665"/>
      <c r="DC94" s="1665">
        <v>0</v>
      </c>
      <c r="DD94" s="1665"/>
      <c r="DE94" s="1665"/>
      <c r="DF94" s="1665">
        <v>0</v>
      </c>
      <c r="DG94" s="1665">
        <v>0</v>
      </c>
      <c r="DH94" s="1665">
        <v>3</v>
      </c>
      <c r="DI94" s="41"/>
      <c r="DJ94" s="41"/>
      <c r="DK94" s="41">
        <v>3</v>
      </c>
      <c r="DL94" s="41"/>
      <c r="DN94" s="1375"/>
      <c r="DO94" s="1375"/>
      <c r="DP94" s="1375"/>
      <c r="DQ94" s="1372" t="s">
        <v>545</v>
      </c>
      <c r="DR94" s="1381"/>
      <c r="DS94" s="1382">
        <v>2</v>
      </c>
      <c r="DT94" s="1382">
        <v>2</v>
      </c>
      <c r="DU94" s="1381"/>
      <c r="DV94" s="1382">
        <v>1</v>
      </c>
      <c r="DW94" s="1381"/>
      <c r="DX94" s="1382">
        <v>3</v>
      </c>
      <c r="DY94" s="1382">
        <v>8</v>
      </c>
      <c r="DZ94" s="1382">
        <v>7</v>
      </c>
      <c r="EA94" s="1382">
        <v>4</v>
      </c>
      <c r="EB94" s="1382">
        <v>18</v>
      </c>
      <c r="EC94" s="1382">
        <v>6</v>
      </c>
      <c r="ED94" s="1382">
        <v>20</v>
      </c>
      <c r="EE94" s="1384">
        <v>2</v>
      </c>
      <c r="EF94" s="1384">
        <v>8</v>
      </c>
      <c r="EG94" s="1384">
        <v>81</v>
      </c>
      <c r="EH94" s="1325">
        <f>+(EG90+EG93)/EG94</f>
        <v>0.43209876543209874</v>
      </c>
      <c r="EJ94" s="678"/>
      <c r="EK94" s="678"/>
      <c r="EL94" s="678"/>
      <c r="EM94" s="697" t="s">
        <v>15</v>
      </c>
      <c r="EN94" s="698"/>
      <c r="EO94" s="698"/>
      <c r="EP94" s="698"/>
      <c r="EQ94" s="698"/>
      <c r="ER94" s="698"/>
      <c r="ES94" s="698"/>
      <c r="ET94" s="698"/>
      <c r="EU94" s="698"/>
      <c r="EV94" s="698"/>
      <c r="EW94" s="698"/>
      <c r="EX94" s="698"/>
      <c r="EY94" s="698"/>
      <c r="EZ94" s="699">
        <v>5</v>
      </c>
      <c r="FA94" s="699">
        <v>3</v>
      </c>
      <c r="FB94" s="698"/>
      <c r="FC94" s="701">
        <v>2</v>
      </c>
      <c r="FD94" s="701">
        <v>5</v>
      </c>
      <c r="FE94" s="701">
        <v>15</v>
      </c>
      <c r="FF94" s="635">
        <f>+FE92/FE94</f>
        <v>6.6666666666666666E-2</v>
      </c>
      <c r="FH94" s="511"/>
      <c r="FI94" s="511"/>
      <c r="FJ94" s="511"/>
      <c r="FK94" s="511"/>
      <c r="FL94" s="512" t="s">
        <v>1344</v>
      </c>
      <c r="FM94" s="684"/>
      <c r="FN94" s="684"/>
      <c r="FO94" s="685">
        <v>0</v>
      </c>
      <c r="FP94" s="684"/>
      <c r="FQ94" s="684"/>
      <c r="FR94" s="684"/>
      <c r="FS94" s="684"/>
      <c r="FT94" s="684"/>
      <c r="FU94" s="684"/>
      <c r="FV94" s="684"/>
      <c r="FW94" s="684"/>
      <c r="FX94" s="684"/>
      <c r="FY94" s="685">
        <v>0</v>
      </c>
      <c r="FZ94" s="685">
        <v>1</v>
      </c>
      <c r="GA94" s="685">
        <v>0</v>
      </c>
      <c r="GB94" s="687">
        <v>0</v>
      </c>
      <c r="GC94" s="687">
        <v>0</v>
      </c>
      <c r="GD94" s="687">
        <v>1</v>
      </c>
      <c r="GE94" s="635"/>
      <c r="GF94" s="41"/>
      <c r="GG94" s="688"/>
      <c r="GH94" s="688"/>
      <c r="GI94" s="688"/>
      <c r="GJ94" s="704" t="s">
        <v>15</v>
      </c>
      <c r="GK94" s="705"/>
      <c r="GL94" s="705"/>
      <c r="GM94" s="705"/>
      <c r="GN94" s="705"/>
      <c r="GO94" s="705"/>
      <c r="GP94" s="705"/>
      <c r="GQ94" s="705"/>
      <c r="GR94" s="705"/>
      <c r="GS94" s="463">
        <v>1</v>
      </c>
      <c r="GT94" s="705"/>
      <c r="GU94" s="705"/>
      <c r="GV94" s="705"/>
      <c r="GW94" s="463">
        <v>1</v>
      </c>
      <c r="GX94" s="463">
        <v>2</v>
      </c>
      <c r="GY94" s="628">
        <v>0</v>
      </c>
      <c r="GZ94" s="41"/>
      <c r="HA94" s="41"/>
      <c r="HB94" s="105"/>
      <c r="HC94" s="105"/>
      <c r="HD94" s="41"/>
      <c r="HE94" s="461" t="s">
        <v>15</v>
      </c>
      <c r="HF94" s="96"/>
      <c r="HG94" s="96">
        <v>1</v>
      </c>
      <c r="HH94" s="96">
        <v>2</v>
      </c>
      <c r="HI94" s="96">
        <v>1</v>
      </c>
      <c r="HJ94" s="96">
        <v>1</v>
      </c>
      <c r="HK94" s="96"/>
      <c r="HL94" s="96"/>
      <c r="HM94" s="96"/>
      <c r="HN94" s="96">
        <v>20</v>
      </c>
      <c r="HO94" s="96">
        <v>7</v>
      </c>
      <c r="HP94" s="96">
        <v>11</v>
      </c>
      <c r="HQ94" s="96">
        <v>22</v>
      </c>
      <c r="HR94" s="96">
        <v>4</v>
      </c>
      <c r="HS94" s="96">
        <v>1</v>
      </c>
      <c r="HT94" s="96">
        <v>4</v>
      </c>
      <c r="HU94" s="96">
        <v>6</v>
      </c>
      <c r="HV94" s="96">
        <v>80</v>
      </c>
      <c r="HW94" s="706">
        <f>+(HV90+HV92+HV93)/HV94</f>
        <v>0.3</v>
      </c>
      <c r="HX94" s="41"/>
      <c r="HY94" s="691"/>
      <c r="HZ94" s="691"/>
      <c r="IA94" s="691"/>
      <c r="IB94" s="691"/>
      <c r="IC94" s="691"/>
      <c r="ID94" s="691"/>
      <c r="IE94" s="691"/>
      <c r="IF94" s="691"/>
      <c r="IG94" s="691"/>
      <c r="IH94" s="691"/>
      <c r="II94" s="691"/>
      <c r="IJ94" s="691"/>
      <c r="IK94" s="691"/>
      <c r="IL94" s="691"/>
      <c r="IM94" s="691"/>
      <c r="IN94" s="691"/>
      <c r="IO94" s="691"/>
      <c r="IP94" s="691"/>
      <c r="IQ94" s="691"/>
      <c r="IR94" s="691"/>
      <c r="IS94" s="691"/>
      <c r="IT94" s="691"/>
      <c r="IU94" s="692"/>
    </row>
    <row r="95" spans="2:255">
      <c r="D95" s="4800" t="s">
        <v>15</v>
      </c>
      <c r="E95" s="4606"/>
      <c r="F95" s="4606"/>
      <c r="G95" s="4606"/>
      <c r="H95" s="4606"/>
      <c r="I95" s="4606"/>
      <c r="J95" s="4606"/>
      <c r="K95" s="4606"/>
      <c r="L95" s="4606"/>
      <c r="M95" s="4606">
        <v>10</v>
      </c>
      <c r="N95" s="4606"/>
      <c r="O95" s="4606">
        <v>1</v>
      </c>
      <c r="P95" s="4606"/>
      <c r="Q95" s="4606"/>
      <c r="R95" s="4606"/>
      <c r="S95" s="2552"/>
      <c r="T95" s="2552"/>
      <c r="U95" s="2552">
        <v>11</v>
      </c>
      <c r="V95" s="1977">
        <f>+(U94)/(U95)</f>
        <v>1</v>
      </c>
      <c r="Z95" s="37" t="s">
        <v>126</v>
      </c>
      <c r="AA95" s="37" t="s">
        <v>1235</v>
      </c>
      <c r="AB95" s="4803">
        <v>0</v>
      </c>
      <c r="AC95" s="4803"/>
      <c r="AD95" s="4803"/>
      <c r="AE95" s="4803"/>
      <c r="AF95" s="4803"/>
      <c r="AG95" s="4803">
        <v>0</v>
      </c>
      <c r="AH95" s="4803">
        <v>0</v>
      </c>
      <c r="AI95" s="4803"/>
      <c r="AJ95" s="4803"/>
      <c r="AK95" s="4803">
        <v>1</v>
      </c>
      <c r="AL95" s="4803">
        <v>0</v>
      </c>
      <c r="AM95" s="4803">
        <v>2</v>
      </c>
      <c r="AN95" s="4803">
        <v>1</v>
      </c>
      <c r="AO95" s="4803"/>
      <c r="AP95" s="1788"/>
      <c r="AQ95" s="1788">
        <v>4</v>
      </c>
      <c r="AT95" s="41"/>
      <c r="AU95" s="41"/>
      <c r="AV95" s="461" t="s">
        <v>544</v>
      </c>
      <c r="AW95" s="461" t="s">
        <v>1231</v>
      </c>
      <c r="AX95" s="2489">
        <v>1</v>
      </c>
      <c r="AY95" s="2489">
        <v>0</v>
      </c>
      <c r="AZ95" s="2489">
        <v>1</v>
      </c>
      <c r="BA95" s="2489">
        <v>1</v>
      </c>
      <c r="BB95" s="2489"/>
      <c r="BC95" s="2489"/>
      <c r="BD95" s="2489"/>
      <c r="BE95" s="2489"/>
      <c r="BF95" s="2489"/>
      <c r="BG95" s="2489"/>
      <c r="BH95" s="2489">
        <v>0</v>
      </c>
      <c r="BI95" s="2489">
        <v>1</v>
      </c>
      <c r="BJ95" s="2489">
        <v>0</v>
      </c>
      <c r="BK95" s="2489">
        <v>2</v>
      </c>
      <c r="BL95" s="2489">
        <v>1</v>
      </c>
      <c r="BM95" s="461">
        <v>0</v>
      </c>
      <c r="BN95" s="461">
        <v>0</v>
      </c>
      <c r="BO95" s="461">
        <v>7</v>
      </c>
      <c r="BP95" s="41"/>
      <c r="BR95" s="41"/>
      <c r="BS95" s="41"/>
      <c r="BT95" s="41"/>
      <c r="BU95" s="461" t="s">
        <v>15</v>
      </c>
      <c r="BV95" s="2002">
        <v>2</v>
      </c>
      <c r="BW95" s="2002"/>
      <c r="BX95" s="2002">
        <v>1</v>
      </c>
      <c r="BY95" s="2002"/>
      <c r="BZ95" s="2002"/>
      <c r="CA95" s="2002"/>
      <c r="CB95" s="2002">
        <v>1</v>
      </c>
      <c r="CC95" s="2002"/>
      <c r="CD95" s="2002"/>
      <c r="CE95" s="2002"/>
      <c r="CF95" s="2002"/>
      <c r="CG95" s="2002"/>
      <c r="CH95" s="2002">
        <v>1</v>
      </c>
      <c r="CI95" s="2002">
        <v>5</v>
      </c>
      <c r="CJ95" s="2002">
        <v>8</v>
      </c>
      <c r="CK95" s="96"/>
      <c r="CL95" s="96">
        <v>1</v>
      </c>
      <c r="CM95" s="96">
        <v>19</v>
      </c>
      <c r="CN95" s="635">
        <f>+(CM91+CM93)/(CM95-CM94)</f>
        <v>0.22222222222222221</v>
      </c>
      <c r="CR95" s="41"/>
      <c r="CS95" s="41" t="s">
        <v>1344</v>
      </c>
      <c r="CT95" s="1665">
        <v>0</v>
      </c>
      <c r="CU95" s="1665"/>
      <c r="CV95" s="1665"/>
      <c r="CW95" s="1665">
        <v>0</v>
      </c>
      <c r="CX95" s="1665"/>
      <c r="CY95" s="1665"/>
      <c r="CZ95" s="1665"/>
      <c r="DA95" s="1665"/>
      <c r="DB95" s="1665"/>
      <c r="DC95" s="1665">
        <v>0</v>
      </c>
      <c r="DD95" s="1665"/>
      <c r="DE95" s="1665"/>
      <c r="DF95" s="1665">
        <v>4</v>
      </c>
      <c r="DG95" s="1665">
        <v>1</v>
      </c>
      <c r="DH95" s="1665">
        <v>0</v>
      </c>
      <c r="DI95" s="41"/>
      <c r="DJ95" s="41"/>
      <c r="DK95" s="41">
        <v>5</v>
      </c>
      <c r="DL95" s="41"/>
      <c r="DN95" s="1375"/>
      <c r="DO95" s="1375" t="s">
        <v>41</v>
      </c>
      <c r="DP95" s="1375" t="s">
        <v>129</v>
      </c>
      <c r="DQ95" s="1376" t="s">
        <v>1230</v>
      </c>
      <c r="DR95" s="1377"/>
      <c r="DS95" s="1378">
        <v>0</v>
      </c>
      <c r="DT95" s="1378">
        <v>0</v>
      </c>
      <c r="DU95" s="1377"/>
      <c r="DV95" s="1377"/>
      <c r="DW95" s="1377"/>
      <c r="DX95" s="1377"/>
      <c r="DY95" s="1377"/>
      <c r="DZ95" s="1377"/>
      <c r="EA95" s="1378">
        <v>0</v>
      </c>
      <c r="EB95" s="1378">
        <v>0</v>
      </c>
      <c r="EC95" s="1378">
        <v>0</v>
      </c>
      <c r="ED95" s="1378">
        <v>3</v>
      </c>
      <c r="EE95" s="1380">
        <v>1</v>
      </c>
      <c r="EF95" s="1380">
        <v>0</v>
      </c>
      <c r="EG95" s="1380">
        <v>4</v>
      </c>
      <c r="EH95" s="41"/>
      <c r="EJ95" s="678"/>
      <c r="EK95" s="678"/>
      <c r="EL95" s="678" t="s">
        <v>545</v>
      </c>
      <c r="EM95" s="679" t="s">
        <v>1230</v>
      </c>
      <c r="EN95" s="680"/>
      <c r="EO95" s="681">
        <v>0</v>
      </c>
      <c r="EP95" s="681">
        <v>0</v>
      </c>
      <c r="EQ95" s="681">
        <v>0</v>
      </c>
      <c r="ER95" s="681">
        <v>0</v>
      </c>
      <c r="ES95" s="681">
        <v>0</v>
      </c>
      <c r="ET95" s="681">
        <v>0</v>
      </c>
      <c r="EU95" s="681">
        <v>0</v>
      </c>
      <c r="EV95" s="681">
        <v>0</v>
      </c>
      <c r="EW95" s="681">
        <v>0</v>
      </c>
      <c r="EX95" s="681">
        <v>0</v>
      </c>
      <c r="EY95" s="681">
        <v>0</v>
      </c>
      <c r="EZ95" s="681">
        <v>0</v>
      </c>
      <c r="FA95" s="681">
        <v>0</v>
      </c>
      <c r="FB95" s="681">
        <v>1</v>
      </c>
      <c r="FC95" s="683">
        <v>0</v>
      </c>
      <c r="FD95" s="683">
        <v>0</v>
      </c>
      <c r="FE95" s="683">
        <v>1</v>
      </c>
      <c r="FF95" s="105"/>
      <c r="FH95" s="511"/>
      <c r="FI95" s="511"/>
      <c r="FJ95" s="511"/>
      <c r="FK95" s="41"/>
      <c r="FL95" s="532" t="s">
        <v>15</v>
      </c>
      <c r="FM95" s="693"/>
      <c r="FN95" s="693"/>
      <c r="FO95" s="694">
        <v>1</v>
      </c>
      <c r="FP95" s="693"/>
      <c r="FQ95" s="693"/>
      <c r="FR95" s="693"/>
      <c r="FS95" s="693"/>
      <c r="FT95" s="693"/>
      <c r="FU95" s="693"/>
      <c r="FV95" s="693"/>
      <c r="FW95" s="693"/>
      <c r="FX95" s="693"/>
      <c r="FY95" s="694">
        <v>3</v>
      </c>
      <c r="FZ95" s="694">
        <v>2</v>
      </c>
      <c r="GA95" s="694">
        <v>1</v>
      </c>
      <c r="GB95" s="696">
        <v>2</v>
      </c>
      <c r="GC95" s="696">
        <v>3</v>
      </c>
      <c r="GD95" s="696">
        <v>12</v>
      </c>
      <c r="GE95" s="635">
        <f>+(GD94+GD92-GB92)/GD95</f>
        <v>8.3333333333333329E-2</v>
      </c>
      <c r="GF95" s="41"/>
      <c r="GG95" s="688"/>
      <c r="GH95" s="688" t="s">
        <v>41</v>
      </c>
      <c r="GI95" s="688" t="s">
        <v>333</v>
      </c>
      <c r="GJ95" s="457" t="s">
        <v>1231</v>
      </c>
      <c r="GK95" s="689"/>
      <c r="GL95" s="689"/>
      <c r="GM95" s="689"/>
      <c r="GN95" s="689"/>
      <c r="GO95" s="458">
        <v>0</v>
      </c>
      <c r="GP95" s="458">
        <v>1</v>
      </c>
      <c r="GQ95" s="458">
        <v>0</v>
      </c>
      <c r="GR95" s="689"/>
      <c r="GS95" s="458">
        <v>0</v>
      </c>
      <c r="GT95" s="458">
        <v>0</v>
      </c>
      <c r="GU95" s="458">
        <v>0</v>
      </c>
      <c r="GV95" s="689"/>
      <c r="GW95" s="458">
        <v>0</v>
      </c>
      <c r="GX95" s="458">
        <v>1</v>
      </c>
      <c r="GY95" s="690"/>
      <c r="GZ95" s="41"/>
      <c r="HA95" s="41"/>
      <c r="HB95" s="105"/>
      <c r="HC95" s="105"/>
      <c r="HD95" s="41" t="s">
        <v>111</v>
      </c>
      <c r="HE95" s="41" t="s">
        <v>1231</v>
      </c>
      <c r="HF95" s="105"/>
      <c r="HG95" s="105"/>
      <c r="HH95" s="105"/>
      <c r="HI95" s="105"/>
      <c r="HJ95" s="105"/>
      <c r="HK95" s="105"/>
      <c r="HL95" s="105"/>
      <c r="HM95" s="105"/>
      <c r="HN95" s="105"/>
      <c r="HO95" s="105"/>
      <c r="HP95" s="105"/>
      <c r="HQ95" s="105">
        <v>16</v>
      </c>
      <c r="HR95" s="105"/>
      <c r="HS95" s="105"/>
      <c r="HT95" s="105"/>
      <c r="HU95" s="105"/>
      <c r="HV95" s="105">
        <v>16</v>
      </c>
      <c r="HW95" s="41"/>
      <c r="HX95" s="41"/>
      <c r="HY95" s="702"/>
      <c r="HZ95" s="702"/>
      <c r="IA95" s="702"/>
      <c r="IB95" s="702"/>
      <c r="IC95" s="702"/>
      <c r="ID95" s="702"/>
      <c r="IE95" s="702"/>
      <c r="IF95" s="702"/>
      <c r="IG95" s="702"/>
      <c r="IH95" s="702"/>
      <c r="II95" s="702"/>
      <c r="IJ95" s="702"/>
      <c r="IK95" s="702"/>
      <c r="IL95" s="702"/>
      <c r="IM95" s="702"/>
      <c r="IN95" s="702"/>
      <c r="IO95" s="702"/>
      <c r="IP95" s="702"/>
      <c r="IQ95" s="702"/>
      <c r="IR95" s="702"/>
      <c r="IS95" s="702"/>
      <c r="IT95" s="691"/>
      <c r="IU95" s="692"/>
    </row>
    <row r="96" spans="2:255">
      <c r="C96" s="4800" t="s">
        <v>126</v>
      </c>
      <c r="D96" s="4800" t="s">
        <v>1235</v>
      </c>
      <c r="E96" s="4606"/>
      <c r="F96" s="4606"/>
      <c r="G96" s="4606"/>
      <c r="H96" s="4606"/>
      <c r="I96" s="4606"/>
      <c r="J96" s="4606">
        <v>0</v>
      </c>
      <c r="K96" s="4606">
        <v>0</v>
      </c>
      <c r="L96" s="4606"/>
      <c r="M96" s="4606"/>
      <c r="N96" s="4606">
        <v>0</v>
      </c>
      <c r="O96" s="4606">
        <v>0</v>
      </c>
      <c r="P96" s="4606">
        <v>0</v>
      </c>
      <c r="Q96" s="4606">
        <v>12</v>
      </c>
      <c r="R96" s="4606"/>
      <c r="S96" s="2552"/>
      <c r="T96" s="2552"/>
      <c r="U96" s="2552">
        <v>12</v>
      </c>
      <c r="V96" s="2552"/>
      <c r="AA96" s="37" t="s">
        <v>1236</v>
      </c>
      <c r="AB96" s="4803">
        <v>0</v>
      </c>
      <c r="AC96" s="4803"/>
      <c r="AD96" s="4803"/>
      <c r="AE96" s="4803"/>
      <c r="AF96" s="4803"/>
      <c r="AG96" s="4803">
        <v>1</v>
      </c>
      <c r="AH96" s="4803">
        <v>1</v>
      </c>
      <c r="AI96" s="4803"/>
      <c r="AJ96" s="4803"/>
      <c r="AK96" s="4803">
        <v>0</v>
      </c>
      <c r="AL96" s="4803">
        <v>2</v>
      </c>
      <c r="AM96" s="4803">
        <v>0</v>
      </c>
      <c r="AN96" s="4803">
        <v>0</v>
      </c>
      <c r="AO96" s="4803"/>
      <c r="AP96" s="1788"/>
      <c r="AQ96" s="1788">
        <v>4</v>
      </c>
      <c r="AT96" s="41"/>
      <c r="AU96" s="41"/>
      <c r="AV96" s="461"/>
      <c r="AW96" s="461" t="s">
        <v>1233</v>
      </c>
      <c r="AX96" s="2489">
        <v>0</v>
      </c>
      <c r="AY96" s="2489">
        <v>1</v>
      </c>
      <c r="AZ96" s="2489">
        <v>0</v>
      </c>
      <c r="BA96" s="2489">
        <v>0</v>
      </c>
      <c r="BB96" s="2489"/>
      <c r="BC96" s="2489"/>
      <c r="BD96" s="2489"/>
      <c r="BE96" s="2489"/>
      <c r="BF96" s="2489"/>
      <c r="BG96" s="2489"/>
      <c r="BH96" s="2489">
        <v>0</v>
      </c>
      <c r="BI96" s="2489">
        <v>0</v>
      </c>
      <c r="BJ96" s="2489">
        <v>0</v>
      </c>
      <c r="BK96" s="2489">
        <v>0</v>
      </c>
      <c r="BL96" s="2489">
        <v>0</v>
      </c>
      <c r="BM96" s="461">
        <v>0</v>
      </c>
      <c r="BN96" s="461">
        <v>0</v>
      </c>
      <c r="BO96" s="461">
        <v>1</v>
      </c>
      <c r="BP96" s="41"/>
      <c r="BR96" s="41"/>
      <c r="BS96" s="41"/>
      <c r="BT96" s="41" t="s">
        <v>130</v>
      </c>
      <c r="BU96" s="41" t="s">
        <v>1231</v>
      </c>
      <c r="BV96" s="2001"/>
      <c r="BW96" s="2001">
        <v>0</v>
      </c>
      <c r="BX96" s="2001"/>
      <c r="BY96" s="2001"/>
      <c r="BZ96" s="2001"/>
      <c r="CA96" s="2001"/>
      <c r="CB96" s="2001"/>
      <c r="CC96" s="2001"/>
      <c r="CD96" s="2001"/>
      <c r="CE96" s="2001"/>
      <c r="CF96" s="2001"/>
      <c r="CG96" s="2001">
        <v>0</v>
      </c>
      <c r="CH96" s="2001">
        <v>0</v>
      </c>
      <c r="CI96" s="2001">
        <v>1</v>
      </c>
      <c r="CJ96" s="2001">
        <v>0</v>
      </c>
      <c r="CK96" s="105">
        <v>1</v>
      </c>
      <c r="CL96" s="105"/>
      <c r="CM96" s="105">
        <v>2</v>
      </c>
      <c r="CN96" s="41"/>
      <c r="CR96" s="41"/>
      <c r="CS96" s="461" t="s">
        <v>15</v>
      </c>
      <c r="CT96" s="1666">
        <v>1</v>
      </c>
      <c r="CU96" s="1666"/>
      <c r="CV96" s="1666"/>
      <c r="CW96" s="1666">
        <v>1</v>
      </c>
      <c r="CX96" s="1666"/>
      <c r="CY96" s="1666"/>
      <c r="CZ96" s="1666"/>
      <c r="DA96" s="1666"/>
      <c r="DB96" s="1666"/>
      <c r="DC96" s="1666">
        <v>1</v>
      </c>
      <c r="DD96" s="1666"/>
      <c r="DE96" s="1666"/>
      <c r="DF96" s="1666">
        <v>16</v>
      </c>
      <c r="DG96" s="1666">
        <v>7</v>
      </c>
      <c r="DH96" s="1666">
        <v>3</v>
      </c>
      <c r="DI96" s="461"/>
      <c r="DJ96" s="461"/>
      <c r="DK96" s="461">
        <v>29</v>
      </c>
      <c r="DL96" s="635">
        <f>+(DK92+DK95)/DK96</f>
        <v>0.51724137931034486</v>
      </c>
      <c r="DN96" s="1375"/>
      <c r="DO96" s="1375"/>
      <c r="DP96" s="1375"/>
      <c r="DQ96" s="1376" t="s">
        <v>1231</v>
      </c>
      <c r="DR96" s="1377"/>
      <c r="DS96" s="1378">
        <v>2</v>
      </c>
      <c r="DT96" s="1378">
        <v>1</v>
      </c>
      <c r="DU96" s="1377"/>
      <c r="DV96" s="1377"/>
      <c r="DW96" s="1377"/>
      <c r="DX96" s="1377"/>
      <c r="DY96" s="1377"/>
      <c r="DZ96" s="1377"/>
      <c r="EA96" s="1378">
        <v>0</v>
      </c>
      <c r="EB96" s="1378">
        <v>0</v>
      </c>
      <c r="EC96" s="1378">
        <v>0</v>
      </c>
      <c r="ED96" s="1378">
        <v>1</v>
      </c>
      <c r="EE96" s="1380">
        <v>0</v>
      </c>
      <c r="EF96" s="1380">
        <v>0</v>
      </c>
      <c r="EG96" s="1380">
        <v>4</v>
      </c>
      <c r="EH96" s="41"/>
      <c r="EJ96" s="678"/>
      <c r="EK96" s="678"/>
      <c r="EL96" s="678"/>
      <c r="EM96" s="679" t="s">
        <v>1231</v>
      </c>
      <c r="EN96" s="680"/>
      <c r="EO96" s="681">
        <v>3</v>
      </c>
      <c r="EP96" s="681">
        <v>2</v>
      </c>
      <c r="EQ96" s="681">
        <v>1</v>
      </c>
      <c r="ER96" s="681">
        <v>1</v>
      </c>
      <c r="ES96" s="681">
        <v>1</v>
      </c>
      <c r="ET96" s="681">
        <v>1</v>
      </c>
      <c r="EU96" s="681">
        <v>1</v>
      </c>
      <c r="EV96" s="681">
        <v>2</v>
      </c>
      <c r="EW96" s="681">
        <v>1</v>
      </c>
      <c r="EX96" s="681">
        <v>2</v>
      </c>
      <c r="EY96" s="681">
        <v>2</v>
      </c>
      <c r="EZ96" s="681">
        <v>7</v>
      </c>
      <c r="FA96" s="681">
        <v>3</v>
      </c>
      <c r="FB96" s="681">
        <v>0</v>
      </c>
      <c r="FC96" s="683">
        <v>0</v>
      </c>
      <c r="FD96" s="683">
        <v>0</v>
      </c>
      <c r="FE96" s="683">
        <v>27</v>
      </c>
      <c r="FF96" s="105"/>
      <c r="FH96" s="511"/>
      <c r="FI96" s="511"/>
      <c r="FJ96" s="532" t="s">
        <v>545</v>
      </c>
      <c r="FK96" s="511" t="s">
        <v>1229</v>
      </c>
      <c r="FL96" s="512" t="s">
        <v>1230</v>
      </c>
      <c r="FM96" s="684"/>
      <c r="FN96" s="684"/>
      <c r="FO96" s="685">
        <v>0</v>
      </c>
      <c r="FP96" s="684"/>
      <c r="FQ96" s="685">
        <v>0</v>
      </c>
      <c r="FR96" s="684"/>
      <c r="FS96" s="685">
        <v>0</v>
      </c>
      <c r="FT96" s="684"/>
      <c r="FU96" s="685">
        <v>0</v>
      </c>
      <c r="FV96" s="685">
        <v>0</v>
      </c>
      <c r="FW96" s="685">
        <v>0</v>
      </c>
      <c r="FX96" s="685">
        <v>0</v>
      </c>
      <c r="FY96" s="685">
        <v>0</v>
      </c>
      <c r="FZ96" s="685">
        <v>0</v>
      </c>
      <c r="GA96" s="685">
        <v>1</v>
      </c>
      <c r="GB96" s="687">
        <v>0</v>
      </c>
      <c r="GC96" s="687">
        <v>0</v>
      </c>
      <c r="GD96" s="687">
        <v>1</v>
      </c>
      <c r="GE96" s="635"/>
      <c r="GF96" s="41"/>
      <c r="GG96" s="688"/>
      <c r="GH96" s="688"/>
      <c r="GI96" s="688"/>
      <c r="GJ96" s="457" t="s">
        <v>1235</v>
      </c>
      <c r="GK96" s="689"/>
      <c r="GL96" s="689"/>
      <c r="GM96" s="689"/>
      <c r="GN96" s="689"/>
      <c r="GO96" s="458">
        <v>0</v>
      </c>
      <c r="GP96" s="458">
        <v>0</v>
      </c>
      <c r="GQ96" s="458">
        <v>0</v>
      </c>
      <c r="GR96" s="689"/>
      <c r="GS96" s="458">
        <v>0</v>
      </c>
      <c r="GT96" s="458">
        <v>1</v>
      </c>
      <c r="GU96" s="458">
        <v>0</v>
      </c>
      <c r="GV96" s="689"/>
      <c r="GW96" s="458">
        <v>0</v>
      </c>
      <c r="GX96" s="458">
        <v>1</v>
      </c>
      <c r="GY96" s="690"/>
      <c r="GZ96" s="41"/>
      <c r="HA96" s="41"/>
      <c r="HB96" s="105"/>
      <c r="HC96" s="105"/>
      <c r="HD96" s="41"/>
      <c r="HE96" s="41" t="s">
        <v>1344</v>
      </c>
      <c r="HF96" s="105"/>
      <c r="HG96" s="105"/>
      <c r="HH96" s="105"/>
      <c r="HI96" s="105"/>
      <c r="HJ96" s="105"/>
      <c r="HK96" s="105"/>
      <c r="HL96" s="105"/>
      <c r="HM96" s="105"/>
      <c r="HN96" s="105"/>
      <c r="HO96" s="105"/>
      <c r="HP96" s="105"/>
      <c r="HQ96" s="105">
        <v>1</v>
      </c>
      <c r="HR96" s="105"/>
      <c r="HS96" s="105"/>
      <c r="HT96" s="105"/>
      <c r="HU96" s="105"/>
      <c r="HV96" s="105">
        <v>1</v>
      </c>
      <c r="HW96" s="41"/>
      <c r="HX96" s="41"/>
      <c r="HY96" s="691"/>
      <c r="HZ96" s="691"/>
      <c r="IA96" s="691"/>
      <c r="IB96" s="691"/>
      <c r="IC96" s="691"/>
      <c r="ID96" s="691"/>
      <c r="IE96" s="691"/>
      <c r="IF96" s="691"/>
      <c r="IG96" s="691"/>
      <c r="IH96" s="691"/>
      <c r="II96" s="691"/>
      <c r="IJ96" s="691"/>
      <c r="IK96" s="691"/>
      <c r="IL96" s="691"/>
      <c r="IM96" s="691"/>
      <c r="IN96" s="691"/>
      <c r="IO96" s="691"/>
      <c r="IP96" s="691"/>
      <c r="IQ96" s="691"/>
      <c r="IR96" s="691"/>
      <c r="IS96" s="691"/>
      <c r="IT96" s="691"/>
      <c r="IU96" s="692"/>
    </row>
    <row r="97" spans="2:255">
      <c r="D97" s="4800" t="s">
        <v>1236</v>
      </c>
      <c r="E97" s="4606"/>
      <c r="F97" s="4606"/>
      <c r="G97" s="4606"/>
      <c r="H97" s="4606"/>
      <c r="I97" s="4606"/>
      <c r="J97" s="4606">
        <v>1</v>
      </c>
      <c r="K97" s="4606">
        <v>1</v>
      </c>
      <c r="L97" s="4606"/>
      <c r="M97" s="4606"/>
      <c r="N97" s="4606">
        <v>0</v>
      </c>
      <c r="O97" s="4606">
        <v>2</v>
      </c>
      <c r="P97" s="4606">
        <v>0</v>
      </c>
      <c r="Q97" s="4606">
        <v>0</v>
      </c>
      <c r="R97" s="4606"/>
      <c r="S97" s="2552"/>
      <c r="T97" s="2552"/>
      <c r="U97" s="2552">
        <v>4</v>
      </c>
      <c r="V97" s="2552"/>
      <c r="AA97" s="37" t="s">
        <v>1239</v>
      </c>
      <c r="AB97" s="4803">
        <v>0</v>
      </c>
      <c r="AC97" s="4803"/>
      <c r="AD97" s="4803"/>
      <c r="AE97" s="4803"/>
      <c r="AF97" s="4803"/>
      <c r="AG97" s="4803">
        <v>0</v>
      </c>
      <c r="AH97" s="4803">
        <v>0</v>
      </c>
      <c r="AI97" s="4803"/>
      <c r="AJ97" s="4803"/>
      <c r="AK97" s="4803">
        <v>0</v>
      </c>
      <c r="AL97" s="4803">
        <v>0</v>
      </c>
      <c r="AM97" s="4803">
        <v>0</v>
      </c>
      <c r="AN97" s="4803">
        <v>19</v>
      </c>
      <c r="AO97" s="4803"/>
      <c r="AP97" s="1788"/>
      <c r="AQ97" s="1788">
        <v>19</v>
      </c>
      <c r="AT97" s="41"/>
      <c r="AU97" s="41"/>
      <c r="AV97" s="461"/>
      <c r="AW97" s="461" t="s">
        <v>1235</v>
      </c>
      <c r="AX97" s="2489">
        <v>0</v>
      </c>
      <c r="AY97" s="2489">
        <v>0</v>
      </c>
      <c r="AZ97" s="2489">
        <v>0</v>
      </c>
      <c r="BA97" s="2489">
        <v>0</v>
      </c>
      <c r="BB97" s="2489"/>
      <c r="BC97" s="2489"/>
      <c r="BD97" s="2489"/>
      <c r="BE97" s="2489"/>
      <c r="BF97" s="2489"/>
      <c r="BG97" s="2489"/>
      <c r="BH97" s="2489">
        <v>0</v>
      </c>
      <c r="BI97" s="2489">
        <v>1</v>
      </c>
      <c r="BJ97" s="2489">
        <v>1</v>
      </c>
      <c r="BK97" s="2489">
        <v>3</v>
      </c>
      <c r="BL97" s="2489">
        <v>2</v>
      </c>
      <c r="BM97" s="461">
        <v>2</v>
      </c>
      <c r="BN97" s="461">
        <v>0</v>
      </c>
      <c r="BO97" s="461">
        <v>9</v>
      </c>
      <c r="BP97" s="41"/>
      <c r="BR97" s="41"/>
      <c r="BS97" s="41"/>
      <c r="BT97" s="41"/>
      <c r="BU97" s="41" t="s">
        <v>1233</v>
      </c>
      <c r="BV97" s="2001"/>
      <c r="BW97" s="2001">
        <v>1</v>
      </c>
      <c r="BX97" s="2001"/>
      <c r="BY97" s="2001"/>
      <c r="BZ97" s="2001"/>
      <c r="CA97" s="2001"/>
      <c r="CB97" s="2001"/>
      <c r="CC97" s="2001"/>
      <c r="CD97" s="2001"/>
      <c r="CE97" s="2001"/>
      <c r="CF97" s="2001"/>
      <c r="CG97" s="2001">
        <v>0</v>
      </c>
      <c r="CH97" s="2001">
        <v>0</v>
      </c>
      <c r="CI97" s="2001">
        <v>0</v>
      </c>
      <c r="CJ97" s="2001">
        <v>0</v>
      </c>
      <c r="CK97" s="105">
        <v>0</v>
      </c>
      <c r="CL97" s="105"/>
      <c r="CM97" s="105">
        <v>1</v>
      </c>
      <c r="CN97" s="41"/>
      <c r="CR97" s="41" t="s">
        <v>128</v>
      </c>
      <c r="CS97" s="41" t="s">
        <v>1231</v>
      </c>
      <c r="CT97" s="1665"/>
      <c r="CU97" s="1665"/>
      <c r="CV97" s="1665"/>
      <c r="CW97" s="1665"/>
      <c r="CX97" s="1665"/>
      <c r="CY97" s="1665"/>
      <c r="CZ97" s="1665"/>
      <c r="DA97" s="1665"/>
      <c r="DB97" s="1665"/>
      <c r="DC97" s="1665"/>
      <c r="DD97" s="1665">
        <v>1</v>
      </c>
      <c r="DE97" s="1665"/>
      <c r="DF97" s="1665">
        <v>1</v>
      </c>
      <c r="DG97" s="1665">
        <v>0</v>
      </c>
      <c r="DH97" s="1665">
        <v>0</v>
      </c>
      <c r="DI97" s="41">
        <v>0</v>
      </c>
      <c r="DJ97" s="41">
        <v>0</v>
      </c>
      <c r="DK97" s="41">
        <v>2</v>
      </c>
      <c r="DL97" s="41"/>
      <c r="DN97" s="1375"/>
      <c r="DO97" s="1375"/>
      <c r="DP97" s="1375"/>
      <c r="DQ97" s="1376" t="s">
        <v>1235</v>
      </c>
      <c r="DR97" s="1377"/>
      <c r="DS97" s="1378">
        <v>0</v>
      </c>
      <c r="DT97" s="1378">
        <v>0</v>
      </c>
      <c r="DU97" s="1377"/>
      <c r="DV97" s="1377"/>
      <c r="DW97" s="1377"/>
      <c r="DX97" s="1377"/>
      <c r="DY97" s="1377"/>
      <c r="DZ97" s="1377"/>
      <c r="EA97" s="1378">
        <v>0</v>
      </c>
      <c r="EB97" s="1378">
        <v>1</v>
      </c>
      <c r="EC97" s="1378">
        <v>1</v>
      </c>
      <c r="ED97" s="1378">
        <v>0</v>
      </c>
      <c r="EE97" s="1380">
        <v>0</v>
      </c>
      <c r="EF97" s="1380">
        <v>0</v>
      </c>
      <c r="EG97" s="1380">
        <v>2</v>
      </c>
      <c r="EH97" s="41"/>
      <c r="EJ97" s="678"/>
      <c r="EK97" s="678"/>
      <c r="EL97" s="678"/>
      <c r="EM97" s="679" t="s">
        <v>1233</v>
      </c>
      <c r="EN97" s="680"/>
      <c r="EO97" s="681">
        <v>0</v>
      </c>
      <c r="EP97" s="681">
        <v>0</v>
      </c>
      <c r="EQ97" s="681">
        <v>1</v>
      </c>
      <c r="ER97" s="681">
        <v>0</v>
      </c>
      <c r="ES97" s="681">
        <v>0</v>
      </c>
      <c r="ET97" s="681">
        <v>0</v>
      </c>
      <c r="EU97" s="681">
        <v>0</v>
      </c>
      <c r="EV97" s="681">
        <v>0</v>
      </c>
      <c r="EW97" s="681">
        <v>0</v>
      </c>
      <c r="EX97" s="681">
        <v>0</v>
      </c>
      <c r="EY97" s="681">
        <v>0</v>
      </c>
      <c r="EZ97" s="681">
        <v>0</v>
      </c>
      <c r="FA97" s="681">
        <v>0</v>
      </c>
      <c r="FB97" s="681">
        <v>0</v>
      </c>
      <c r="FC97" s="683">
        <v>0</v>
      </c>
      <c r="FD97" s="683">
        <v>0</v>
      </c>
      <c r="FE97" s="683">
        <v>1</v>
      </c>
      <c r="FF97" s="105"/>
      <c r="FH97" s="511"/>
      <c r="FI97" s="511"/>
      <c r="FJ97" s="511"/>
      <c r="FK97" s="511"/>
      <c r="FL97" s="512" t="s">
        <v>1231</v>
      </c>
      <c r="FM97" s="684"/>
      <c r="FN97" s="684"/>
      <c r="FO97" s="685">
        <v>2</v>
      </c>
      <c r="FP97" s="684"/>
      <c r="FQ97" s="685">
        <v>1</v>
      </c>
      <c r="FR97" s="684"/>
      <c r="FS97" s="685">
        <v>1</v>
      </c>
      <c r="FT97" s="684"/>
      <c r="FU97" s="685">
        <v>0</v>
      </c>
      <c r="FV97" s="685">
        <v>2</v>
      </c>
      <c r="FW97" s="685">
        <v>0</v>
      </c>
      <c r="FX97" s="685">
        <v>1</v>
      </c>
      <c r="FY97" s="685">
        <v>7</v>
      </c>
      <c r="FZ97" s="685">
        <v>3</v>
      </c>
      <c r="GA97" s="685">
        <v>1</v>
      </c>
      <c r="GB97" s="687">
        <v>0</v>
      </c>
      <c r="GC97" s="687">
        <v>0</v>
      </c>
      <c r="GD97" s="687">
        <v>18</v>
      </c>
      <c r="GE97" s="635"/>
      <c r="GF97" s="41"/>
      <c r="GG97" s="688"/>
      <c r="GH97" s="688"/>
      <c r="GI97" s="688"/>
      <c r="GJ97" s="457" t="s">
        <v>1239</v>
      </c>
      <c r="GK97" s="689"/>
      <c r="GL97" s="689"/>
      <c r="GM97" s="689"/>
      <c r="GN97" s="689"/>
      <c r="GO97" s="458">
        <v>1</v>
      </c>
      <c r="GP97" s="458">
        <v>0</v>
      </c>
      <c r="GQ97" s="458">
        <v>0</v>
      </c>
      <c r="GR97" s="689"/>
      <c r="GS97" s="458">
        <v>0</v>
      </c>
      <c r="GT97" s="458">
        <v>0</v>
      </c>
      <c r="GU97" s="458">
        <v>3</v>
      </c>
      <c r="GV97" s="689"/>
      <c r="GW97" s="458">
        <v>1</v>
      </c>
      <c r="GX97" s="458">
        <v>5</v>
      </c>
      <c r="GY97" s="690"/>
      <c r="GZ97" s="41"/>
      <c r="HA97" s="41"/>
      <c r="HB97" s="105"/>
      <c r="HC97" s="105"/>
      <c r="HD97" s="41"/>
      <c r="HE97" s="461" t="s">
        <v>15</v>
      </c>
      <c r="HF97" s="96"/>
      <c r="HG97" s="96"/>
      <c r="HH97" s="96"/>
      <c r="HI97" s="96"/>
      <c r="HJ97" s="96"/>
      <c r="HK97" s="96"/>
      <c r="HL97" s="96"/>
      <c r="HM97" s="96"/>
      <c r="HN97" s="96"/>
      <c r="HO97" s="96"/>
      <c r="HP97" s="96"/>
      <c r="HQ97" s="96">
        <v>17</v>
      </c>
      <c r="HR97" s="96"/>
      <c r="HS97" s="96"/>
      <c r="HT97" s="96"/>
      <c r="HU97" s="96"/>
      <c r="HV97" s="96">
        <v>17</v>
      </c>
      <c r="HW97" s="706">
        <f>+HV96/HV97</f>
        <v>5.8823529411764705E-2</v>
      </c>
      <c r="HX97" s="41"/>
      <c r="HY97" s="691"/>
      <c r="HZ97" s="691"/>
      <c r="IA97" s="691"/>
      <c r="IB97" s="691"/>
      <c r="IC97" s="691"/>
      <c r="ID97" s="691"/>
      <c r="IE97" s="691"/>
      <c r="IF97" s="691"/>
      <c r="IG97" s="691"/>
      <c r="IH97" s="691"/>
      <c r="II97" s="691"/>
      <c r="IJ97" s="691"/>
      <c r="IK97" s="691"/>
      <c r="IL97" s="691"/>
      <c r="IM97" s="691"/>
      <c r="IN97" s="691"/>
      <c r="IO97" s="691"/>
      <c r="IP97" s="691"/>
      <c r="IQ97" s="691"/>
      <c r="IR97" s="691"/>
      <c r="IS97" s="691"/>
      <c r="IT97" s="691"/>
      <c r="IU97" s="692"/>
    </row>
    <row r="98" spans="2:255">
      <c r="D98" s="4800" t="s">
        <v>1239</v>
      </c>
      <c r="E98" s="4606"/>
      <c r="F98" s="4606"/>
      <c r="G98" s="4606"/>
      <c r="H98" s="4606"/>
      <c r="I98" s="4606"/>
      <c r="J98" s="4606">
        <v>0</v>
      </c>
      <c r="K98" s="4606">
        <v>0</v>
      </c>
      <c r="L98" s="4606"/>
      <c r="M98" s="4606"/>
      <c r="N98" s="4606">
        <v>0</v>
      </c>
      <c r="O98" s="4606">
        <v>0</v>
      </c>
      <c r="P98" s="4606">
        <v>0</v>
      </c>
      <c r="Q98" s="4606">
        <v>8</v>
      </c>
      <c r="R98" s="4606"/>
      <c r="S98" s="2552"/>
      <c r="T98" s="2552"/>
      <c r="U98" s="2552">
        <v>8</v>
      </c>
      <c r="V98" s="2552"/>
      <c r="AA98" s="1793" t="s">
        <v>15</v>
      </c>
      <c r="AB98" s="4804">
        <v>0</v>
      </c>
      <c r="AC98" s="4804"/>
      <c r="AD98" s="4804"/>
      <c r="AE98" s="4804"/>
      <c r="AF98" s="4804"/>
      <c r="AG98" s="4804">
        <v>1</v>
      </c>
      <c r="AH98" s="4804">
        <v>1</v>
      </c>
      <c r="AI98" s="4804"/>
      <c r="AJ98" s="4804"/>
      <c r="AK98" s="4804">
        <v>1</v>
      </c>
      <c r="AL98" s="4804">
        <v>2</v>
      </c>
      <c r="AM98" s="4804">
        <v>2</v>
      </c>
      <c r="AN98" s="4804">
        <v>20</v>
      </c>
      <c r="AO98" s="4804"/>
      <c r="AP98" s="4702"/>
      <c r="AQ98" s="4702">
        <v>27</v>
      </c>
      <c r="AR98" s="4703">
        <f>+AQ95/AQ98</f>
        <v>0.14814814814814814</v>
      </c>
      <c r="AT98" s="41"/>
      <c r="AU98" s="41"/>
      <c r="AV98" s="461"/>
      <c r="AW98" s="461" t="s">
        <v>1239</v>
      </c>
      <c r="AX98" s="2489">
        <v>0</v>
      </c>
      <c r="AY98" s="2489">
        <v>0</v>
      </c>
      <c r="AZ98" s="2489">
        <v>0</v>
      </c>
      <c r="BA98" s="2489">
        <v>0</v>
      </c>
      <c r="BB98" s="2489"/>
      <c r="BC98" s="2489"/>
      <c r="BD98" s="2489"/>
      <c r="BE98" s="2489"/>
      <c r="BF98" s="2489"/>
      <c r="BG98" s="2489"/>
      <c r="BH98" s="2489">
        <v>0</v>
      </c>
      <c r="BI98" s="2489">
        <v>0</v>
      </c>
      <c r="BJ98" s="2489">
        <v>0</v>
      </c>
      <c r="BK98" s="2489">
        <v>0</v>
      </c>
      <c r="BL98" s="2489">
        <v>15</v>
      </c>
      <c r="BM98" s="461">
        <v>6</v>
      </c>
      <c r="BN98" s="461">
        <v>3</v>
      </c>
      <c r="BO98" s="461">
        <v>24</v>
      </c>
      <c r="BP98" s="41"/>
      <c r="BR98" s="41"/>
      <c r="BS98" s="41"/>
      <c r="BT98" s="41"/>
      <c r="BU98" s="41" t="s">
        <v>1235</v>
      </c>
      <c r="BV98" s="2001"/>
      <c r="BW98" s="2001">
        <v>0</v>
      </c>
      <c r="BX98" s="2001"/>
      <c r="BY98" s="2001"/>
      <c r="BZ98" s="2001"/>
      <c r="CA98" s="2001"/>
      <c r="CB98" s="2001"/>
      <c r="CC98" s="2001"/>
      <c r="CD98" s="2001"/>
      <c r="CE98" s="2001"/>
      <c r="CF98" s="2001"/>
      <c r="CG98" s="2001">
        <v>0</v>
      </c>
      <c r="CH98" s="2001">
        <v>2</v>
      </c>
      <c r="CI98" s="2001">
        <v>2</v>
      </c>
      <c r="CJ98" s="2001">
        <v>0</v>
      </c>
      <c r="CK98" s="105">
        <v>0</v>
      </c>
      <c r="CL98" s="105"/>
      <c r="CM98" s="105">
        <v>4</v>
      </c>
      <c r="CN98" s="41"/>
      <c r="CR98" s="41"/>
      <c r="CS98" s="41" t="s">
        <v>1235</v>
      </c>
      <c r="CT98" s="1665"/>
      <c r="CU98" s="1665"/>
      <c r="CV98" s="1665"/>
      <c r="CW98" s="1665"/>
      <c r="CX98" s="1665"/>
      <c r="CY98" s="1665"/>
      <c r="CZ98" s="1665"/>
      <c r="DA98" s="1665"/>
      <c r="DB98" s="1665"/>
      <c r="DC98" s="1665"/>
      <c r="DD98" s="1665">
        <v>0</v>
      </c>
      <c r="DE98" s="1665"/>
      <c r="DF98" s="1665">
        <v>1</v>
      </c>
      <c r="DG98" s="1665">
        <v>0</v>
      </c>
      <c r="DH98" s="1665">
        <v>0</v>
      </c>
      <c r="DI98" s="41">
        <v>0</v>
      </c>
      <c r="DJ98" s="41">
        <v>0</v>
      </c>
      <c r="DK98" s="41">
        <v>1</v>
      </c>
      <c r="DL98" s="41"/>
      <c r="DN98" s="1375"/>
      <c r="DO98" s="1375"/>
      <c r="DP98" s="1375"/>
      <c r="DQ98" s="1376" t="s">
        <v>1239</v>
      </c>
      <c r="DR98" s="1377"/>
      <c r="DS98" s="1378">
        <v>0</v>
      </c>
      <c r="DT98" s="1378">
        <v>0</v>
      </c>
      <c r="DU98" s="1377"/>
      <c r="DV98" s="1377"/>
      <c r="DW98" s="1377"/>
      <c r="DX98" s="1377"/>
      <c r="DY98" s="1377"/>
      <c r="DZ98" s="1377"/>
      <c r="EA98" s="1378">
        <v>0</v>
      </c>
      <c r="EB98" s="1378">
        <v>0</v>
      </c>
      <c r="EC98" s="1378">
        <v>1</v>
      </c>
      <c r="ED98" s="1378">
        <v>6</v>
      </c>
      <c r="EE98" s="1380">
        <v>0</v>
      </c>
      <c r="EF98" s="1380">
        <v>1</v>
      </c>
      <c r="EG98" s="1380">
        <v>8</v>
      </c>
      <c r="EH98" s="41"/>
      <c r="EJ98" s="678"/>
      <c r="EK98" s="678"/>
      <c r="EL98" s="678"/>
      <c r="EM98" s="679" t="s">
        <v>1235</v>
      </c>
      <c r="EN98" s="680"/>
      <c r="EO98" s="681">
        <v>0</v>
      </c>
      <c r="EP98" s="681">
        <v>0</v>
      </c>
      <c r="EQ98" s="681">
        <v>0</v>
      </c>
      <c r="ER98" s="681">
        <v>0</v>
      </c>
      <c r="ES98" s="681">
        <v>0</v>
      </c>
      <c r="ET98" s="681">
        <v>1</v>
      </c>
      <c r="EU98" s="681">
        <v>2</v>
      </c>
      <c r="EV98" s="681">
        <v>1</v>
      </c>
      <c r="EW98" s="681">
        <v>0</v>
      </c>
      <c r="EX98" s="681">
        <v>0</v>
      </c>
      <c r="EY98" s="681">
        <v>1</v>
      </c>
      <c r="EZ98" s="681">
        <v>2</v>
      </c>
      <c r="FA98" s="681">
        <v>17</v>
      </c>
      <c r="FB98" s="681">
        <v>0</v>
      </c>
      <c r="FC98" s="683">
        <v>0</v>
      </c>
      <c r="FD98" s="683">
        <v>0</v>
      </c>
      <c r="FE98" s="683">
        <v>24</v>
      </c>
      <c r="FF98" s="105"/>
      <c r="FH98" s="511"/>
      <c r="FI98" s="511"/>
      <c r="FJ98" s="511"/>
      <c r="FK98" s="511"/>
      <c r="FL98" s="512" t="s">
        <v>1235</v>
      </c>
      <c r="FM98" s="684"/>
      <c r="FN98" s="684"/>
      <c r="FO98" s="685">
        <v>0</v>
      </c>
      <c r="FP98" s="684"/>
      <c r="FQ98" s="685">
        <v>0</v>
      </c>
      <c r="FR98" s="684"/>
      <c r="FS98" s="685">
        <v>1</v>
      </c>
      <c r="FT98" s="684"/>
      <c r="FU98" s="685">
        <v>0</v>
      </c>
      <c r="FV98" s="685">
        <v>0</v>
      </c>
      <c r="FW98" s="685">
        <v>4</v>
      </c>
      <c r="FX98" s="685">
        <v>3</v>
      </c>
      <c r="FY98" s="685">
        <v>6</v>
      </c>
      <c r="FZ98" s="685">
        <v>6</v>
      </c>
      <c r="GA98" s="685">
        <v>1</v>
      </c>
      <c r="GB98" s="687">
        <v>3</v>
      </c>
      <c r="GC98" s="687">
        <v>0</v>
      </c>
      <c r="GD98" s="687">
        <v>24</v>
      </c>
      <c r="GE98" s="635"/>
      <c r="GF98" s="41"/>
      <c r="GG98" s="688"/>
      <c r="GH98" s="688"/>
      <c r="GI98" s="688"/>
      <c r="GJ98" s="457" t="s">
        <v>1240</v>
      </c>
      <c r="GK98" s="689"/>
      <c r="GL98" s="689"/>
      <c r="GM98" s="689"/>
      <c r="GN98" s="689"/>
      <c r="GO98" s="458">
        <v>0</v>
      </c>
      <c r="GP98" s="458">
        <v>0</v>
      </c>
      <c r="GQ98" s="458">
        <v>0</v>
      </c>
      <c r="GR98" s="689"/>
      <c r="GS98" s="458">
        <v>0</v>
      </c>
      <c r="GT98" s="458">
        <v>2</v>
      </c>
      <c r="GU98" s="458">
        <v>0</v>
      </c>
      <c r="GV98" s="689"/>
      <c r="GW98" s="458">
        <v>0</v>
      </c>
      <c r="GX98" s="458">
        <v>2</v>
      </c>
      <c r="GY98" s="690"/>
      <c r="GZ98" s="41"/>
      <c r="HA98" s="41"/>
      <c r="HB98" s="105"/>
      <c r="HC98" s="105" t="s">
        <v>41</v>
      </c>
      <c r="HD98" s="41" t="s">
        <v>846</v>
      </c>
      <c r="HE98" s="41" t="s">
        <v>1344</v>
      </c>
      <c r="HF98" s="105"/>
      <c r="HG98" s="105"/>
      <c r="HH98" s="105"/>
      <c r="HI98" s="105"/>
      <c r="HJ98" s="105"/>
      <c r="HK98" s="105"/>
      <c r="HL98" s="105">
        <v>1</v>
      </c>
      <c r="HM98" s="105"/>
      <c r="HN98" s="105"/>
      <c r="HO98" s="105">
        <v>1</v>
      </c>
      <c r="HP98" s="105"/>
      <c r="HQ98" s="105">
        <v>1</v>
      </c>
      <c r="HR98" s="105"/>
      <c r="HS98" s="105"/>
      <c r="HT98" s="105"/>
      <c r="HU98" s="105"/>
      <c r="HV98" s="105">
        <v>3</v>
      </c>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row>
    <row r="99" spans="2:255">
      <c r="D99" s="4800" t="s">
        <v>1344</v>
      </c>
      <c r="E99" s="4606"/>
      <c r="F99" s="4606"/>
      <c r="G99" s="4606"/>
      <c r="H99" s="4606"/>
      <c r="I99" s="4606"/>
      <c r="J99" s="4606">
        <v>0</v>
      </c>
      <c r="K99" s="4606">
        <v>0</v>
      </c>
      <c r="L99" s="4606"/>
      <c r="M99" s="4606"/>
      <c r="N99" s="4606">
        <v>1</v>
      </c>
      <c r="O99" s="4606">
        <v>0</v>
      </c>
      <c r="P99" s="4606">
        <v>2</v>
      </c>
      <c r="Q99" s="4606">
        <v>0</v>
      </c>
      <c r="R99" s="4606"/>
      <c r="S99" s="2552"/>
      <c r="T99" s="2552"/>
      <c r="U99" s="2552">
        <v>3</v>
      </c>
      <c r="V99" s="2552"/>
      <c r="Z99" s="37" t="s">
        <v>128</v>
      </c>
      <c r="AA99" s="37" t="s">
        <v>1231</v>
      </c>
      <c r="AB99" s="4803">
        <v>0</v>
      </c>
      <c r="AC99" s="4803">
        <v>0</v>
      </c>
      <c r="AD99" s="4803"/>
      <c r="AE99" s="4803"/>
      <c r="AF99" s="4803"/>
      <c r="AG99" s="4803"/>
      <c r="AH99" s="4803"/>
      <c r="AI99" s="4803"/>
      <c r="AJ99" s="4803"/>
      <c r="AK99" s="4803"/>
      <c r="AL99" s="4803"/>
      <c r="AM99" s="4803"/>
      <c r="AN99" s="4803">
        <v>2</v>
      </c>
      <c r="AO99" s="4803">
        <v>0</v>
      </c>
      <c r="AP99" s="1788">
        <v>0</v>
      </c>
      <c r="AQ99" s="1788">
        <v>2</v>
      </c>
      <c r="AT99" s="41"/>
      <c r="AU99" s="41"/>
      <c r="AV99" s="461"/>
      <c r="AW99" s="461" t="s">
        <v>1344</v>
      </c>
      <c r="AX99" s="2489">
        <v>0</v>
      </c>
      <c r="AY99" s="2489">
        <v>0</v>
      </c>
      <c r="AZ99" s="2489">
        <v>0</v>
      </c>
      <c r="BA99" s="2489">
        <v>0</v>
      </c>
      <c r="BB99" s="2489"/>
      <c r="BC99" s="2489"/>
      <c r="BD99" s="2489"/>
      <c r="BE99" s="2489"/>
      <c r="BF99" s="2489"/>
      <c r="BG99" s="2489"/>
      <c r="BH99" s="2489">
        <v>1</v>
      </c>
      <c r="BI99" s="2489">
        <v>1</v>
      </c>
      <c r="BJ99" s="2489">
        <v>0</v>
      </c>
      <c r="BK99" s="2489">
        <v>2</v>
      </c>
      <c r="BL99" s="2489">
        <v>1</v>
      </c>
      <c r="BM99" s="461">
        <v>0</v>
      </c>
      <c r="BN99" s="461">
        <v>0</v>
      </c>
      <c r="BO99" s="461">
        <v>5</v>
      </c>
      <c r="BP99" s="41"/>
      <c r="BR99" s="41"/>
      <c r="BS99" s="41"/>
      <c r="BT99" s="41"/>
      <c r="BU99" s="41" t="s">
        <v>1239</v>
      </c>
      <c r="BV99" s="2001"/>
      <c r="BW99" s="2001">
        <v>0</v>
      </c>
      <c r="BX99" s="2001"/>
      <c r="BY99" s="2001"/>
      <c r="BZ99" s="2001"/>
      <c r="CA99" s="2001"/>
      <c r="CB99" s="2001"/>
      <c r="CC99" s="2001"/>
      <c r="CD99" s="2001"/>
      <c r="CE99" s="2001"/>
      <c r="CF99" s="2001"/>
      <c r="CG99" s="2001">
        <v>0</v>
      </c>
      <c r="CH99" s="2001">
        <v>0</v>
      </c>
      <c r="CI99" s="2001">
        <v>0</v>
      </c>
      <c r="CJ99" s="2001">
        <v>1</v>
      </c>
      <c r="CK99" s="105">
        <v>0</v>
      </c>
      <c r="CL99" s="105"/>
      <c r="CM99" s="105">
        <v>1</v>
      </c>
      <c r="CN99" s="41"/>
      <c r="CR99" s="41"/>
      <c r="CS99" s="41" t="s">
        <v>1239</v>
      </c>
      <c r="CT99" s="1665"/>
      <c r="CU99" s="1665"/>
      <c r="CV99" s="1665"/>
      <c r="CW99" s="1665"/>
      <c r="CX99" s="1665"/>
      <c r="CY99" s="1665"/>
      <c r="CZ99" s="1665"/>
      <c r="DA99" s="1665"/>
      <c r="DB99" s="1665"/>
      <c r="DC99" s="1665"/>
      <c r="DD99" s="1665">
        <v>0</v>
      </c>
      <c r="DE99" s="1665"/>
      <c r="DF99" s="1665">
        <v>0</v>
      </c>
      <c r="DG99" s="1665">
        <v>0</v>
      </c>
      <c r="DH99" s="1665">
        <v>1</v>
      </c>
      <c r="DI99" s="41">
        <v>2</v>
      </c>
      <c r="DJ99" s="41">
        <v>8</v>
      </c>
      <c r="DK99" s="41">
        <v>11</v>
      </c>
      <c r="DL99" s="41"/>
      <c r="DN99" s="1375"/>
      <c r="DO99" s="1375"/>
      <c r="DP99" s="1375"/>
      <c r="DQ99" s="1376" t="s">
        <v>1344</v>
      </c>
      <c r="DR99" s="1377"/>
      <c r="DS99" s="1378">
        <v>0</v>
      </c>
      <c r="DT99" s="1378">
        <v>0</v>
      </c>
      <c r="DU99" s="1377"/>
      <c r="DV99" s="1377"/>
      <c r="DW99" s="1377"/>
      <c r="DX99" s="1377"/>
      <c r="DY99" s="1377"/>
      <c r="DZ99" s="1377"/>
      <c r="EA99" s="1378">
        <v>1</v>
      </c>
      <c r="EB99" s="1378">
        <v>3</v>
      </c>
      <c r="EC99" s="1378">
        <v>1</v>
      </c>
      <c r="ED99" s="1378">
        <v>0</v>
      </c>
      <c r="EE99" s="1380">
        <v>0</v>
      </c>
      <c r="EF99" s="1380">
        <v>0</v>
      </c>
      <c r="EG99" s="1380">
        <v>5</v>
      </c>
      <c r="EH99" s="41"/>
      <c r="EJ99" s="678"/>
      <c r="EK99" s="678"/>
      <c r="EL99" s="678"/>
      <c r="EM99" s="679" t="s">
        <v>1236</v>
      </c>
      <c r="EN99" s="680"/>
      <c r="EO99" s="681">
        <v>0</v>
      </c>
      <c r="EP99" s="681">
        <v>1</v>
      </c>
      <c r="EQ99" s="681">
        <v>1</v>
      </c>
      <c r="ER99" s="681">
        <v>1</v>
      </c>
      <c r="ES99" s="681">
        <v>0</v>
      </c>
      <c r="ET99" s="681">
        <v>0</v>
      </c>
      <c r="EU99" s="681">
        <v>0</v>
      </c>
      <c r="EV99" s="681">
        <v>0</v>
      </c>
      <c r="EW99" s="681">
        <v>0</v>
      </c>
      <c r="EX99" s="681">
        <v>0</v>
      </c>
      <c r="EY99" s="681">
        <v>0</v>
      </c>
      <c r="EZ99" s="681">
        <v>0</v>
      </c>
      <c r="FA99" s="681">
        <v>0</v>
      </c>
      <c r="FB99" s="681">
        <v>0</v>
      </c>
      <c r="FC99" s="683">
        <v>0</v>
      </c>
      <c r="FD99" s="683">
        <v>0</v>
      </c>
      <c r="FE99" s="683">
        <v>3</v>
      </c>
      <c r="FF99" s="105"/>
      <c r="FH99" s="511"/>
      <c r="FI99" s="511"/>
      <c r="FJ99" s="511"/>
      <c r="FK99" s="511"/>
      <c r="FL99" s="512" t="s">
        <v>1236</v>
      </c>
      <c r="FM99" s="684"/>
      <c r="FN99" s="684"/>
      <c r="FO99" s="685">
        <v>1</v>
      </c>
      <c r="FP99" s="684"/>
      <c r="FQ99" s="685">
        <v>0</v>
      </c>
      <c r="FR99" s="684"/>
      <c r="FS99" s="685">
        <v>0</v>
      </c>
      <c r="FT99" s="684"/>
      <c r="FU99" s="685">
        <v>0</v>
      </c>
      <c r="FV99" s="685">
        <v>1</v>
      </c>
      <c r="FW99" s="685">
        <v>0</v>
      </c>
      <c r="FX99" s="685">
        <v>0</v>
      </c>
      <c r="FY99" s="685">
        <v>0</v>
      </c>
      <c r="FZ99" s="685">
        <v>0</v>
      </c>
      <c r="GA99" s="685">
        <v>0</v>
      </c>
      <c r="GB99" s="687">
        <v>0</v>
      </c>
      <c r="GC99" s="687">
        <v>0</v>
      </c>
      <c r="GD99" s="687">
        <v>2</v>
      </c>
      <c r="GE99" s="635"/>
      <c r="GF99" s="41"/>
      <c r="GG99" s="688"/>
      <c r="GH99" s="688"/>
      <c r="GI99" s="688"/>
      <c r="GJ99" s="457" t="s">
        <v>1344</v>
      </c>
      <c r="GK99" s="689"/>
      <c r="GL99" s="689"/>
      <c r="GM99" s="689"/>
      <c r="GN99" s="689"/>
      <c r="GO99" s="458">
        <v>0</v>
      </c>
      <c r="GP99" s="458">
        <v>1</v>
      </c>
      <c r="GQ99" s="458">
        <v>1</v>
      </c>
      <c r="GR99" s="689"/>
      <c r="GS99" s="458">
        <v>1</v>
      </c>
      <c r="GT99" s="458">
        <v>0</v>
      </c>
      <c r="GU99" s="458">
        <v>0</v>
      </c>
      <c r="GV99" s="689"/>
      <c r="GW99" s="458">
        <v>0</v>
      </c>
      <c r="GX99" s="458">
        <v>3</v>
      </c>
      <c r="GY99" s="690"/>
      <c r="GZ99" s="41"/>
      <c r="HA99" s="41"/>
      <c r="HB99" s="105"/>
      <c r="HC99" s="105"/>
      <c r="HD99" s="41"/>
      <c r="HE99" s="461" t="s">
        <v>15</v>
      </c>
      <c r="HF99" s="96"/>
      <c r="HG99" s="96"/>
      <c r="HH99" s="96"/>
      <c r="HI99" s="96"/>
      <c r="HJ99" s="96"/>
      <c r="HK99" s="96"/>
      <c r="HL99" s="96">
        <v>1</v>
      </c>
      <c r="HM99" s="96"/>
      <c r="HN99" s="96"/>
      <c r="HO99" s="96">
        <v>1</v>
      </c>
      <c r="HP99" s="96"/>
      <c r="HQ99" s="96">
        <v>1</v>
      </c>
      <c r="HR99" s="96"/>
      <c r="HS99" s="96"/>
      <c r="HT99" s="96"/>
      <c r="HU99" s="96"/>
      <c r="HV99" s="96">
        <v>3</v>
      </c>
      <c r="HW99" s="707">
        <f>+HV98/HV99</f>
        <v>1</v>
      </c>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row>
    <row r="100" spans="2:255">
      <c r="D100" s="4800" t="s">
        <v>15</v>
      </c>
      <c r="E100" s="4606"/>
      <c r="F100" s="4606"/>
      <c r="G100" s="4606"/>
      <c r="H100" s="4606"/>
      <c r="I100" s="4606"/>
      <c r="J100" s="4606">
        <v>1</v>
      </c>
      <c r="K100" s="4606">
        <v>1</v>
      </c>
      <c r="L100" s="4606"/>
      <c r="M100" s="4606"/>
      <c r="N100" s="4606">
        <v>1</v>
      </c>
      <c r="O100" s="4606">
        <v>2</v>
      </c>
      <c r="P100" s="4606">
        <v>2</v>
      </c>
      <c r="Q100" s="4606">
        <v>20</v>
      </c>
      <c r="R100" s="4606"/>
      <c r="S100" s="2552"/>
      <c r="T100" s="2552"/>
      <c r="U100" s="2552">
        <v>27</v>
      </c>
      <c r="V100" s="1977">
        <f>+(U96+U99)/(U100)</f>
        <v>0.55555555555555558</v>
      </c>
      <c r="AA100" s="37" t="s">
        <v>1235</v>
      </c>
      <c r="AB100" s="4803">
        <v>0</v>
      </c>
      <c r="AC100" s="4803">
        <v>0</v>
      </c>
      <c r="AD100" s="4803"/>
      <c r="AE100" s="4803"/>
      <c r="AF100" s="4803"/>
      <c r="AG100" s="4803"/>
      <c r="AH100" s="4803"/>
      <c r="AI100" s="4803"/>
      <c r="AJ100" s="4803"/>
      <c r="AK100" s="4803"/>
      <c r="AL100" s="4803"/>
      <c r="AM100" s="4803"/>
      <c r="AN100" s="4803">
        <v>1</v>
      </c>
      <c r="AO100" s="4803">
        <v>0</v>
      </c>
      <c r="AP100" s="1788">
        <v>0</v>
      </c>
      <c r="AQ100" s="1788">
        <v>1</v>
      </c>
      <c r="AT100" s="41"/>
      <c r="AU100" s="41"/>
      <c r="AV100" s="461"/>
      <c r="AW100" s="461" t="s">
        <v>544</v>
      </c>
      <c r="AX100" s="2489">
        <v>1</v>
      </c>
      <c r="AY100" s="2489">
        <v>1</v>
      </c>
      <c r="AZ100" s="2489">
        <v>1</v>
      </c>
      <c r="BA100" s="2489">
        <v>1</v>
      </c>
      <c r="BB100" s="2489"/>
      <c r="BC100" s="2489"/>
      <c r="BD100" s="2489"/>
      <c r="BE100" s="2489"/>
      <c r="BF100" s="2489"/>
      <c r="BG100" s="2489"/>
      <c r="BH100" s="2489">
        <v>1</v>
      </c>
      <c r="BI100" s="2489">
        <v>3</v>
      </c>
      <c r="BJ100" s="2489">
        <v>1</v>
      </c>
      <c r="BK100" s="2489">
        <v>7</v>
      </c>
      <c r="BL100" s="2489">
        <v>19</v>
      </c>
      <c r="BM100" s="461">
        <v>8</v>
      </c>
      <c r="BN100" s="461">
        <v>3</v>
      </c>
      <c r="BO100" s="461">
        <v>46</v>
      </c>
      <c r="BP100" s="635">
        <f>+(BO99+BO97-BM97)/BO100</f>
        <v>0.2608695652173913</v>
      </c>
      <c r="BQ100" s="1977"/>
      <c r="BR100" s="41"/>
      <c r="BS100" s="41"/>
      <c r="BT100" s="41"/>
      <c r="BU100" s="41" t="s">
        <v>1344</v>
      </c>
      <c r="BV100" s="2001"/>
      <c r="BW100" s="2001">
        <v>0</v>
      </c>
      <c r="BX100" s="2001"/>
      <c r="BY100" s="2001"/>
      <c r="BZ100" s="2001"/>
      <c r="CA100" s="2001"/>
      <c r="CB100" s="2001"/>
      <c r="CC100" s="2001"/>
      <c r="CD100" s="2001"/>
      <c r="CE100" s="2001"/>
      <c r="CF100" s="2001"/>
      <c r="CG100" s="2001">
        <v>1</v>
      </c>
      <c r="CH100" s="2001">
        <v>1</v>
      </c>
      <c r="CI100" s="2001">
        <v>5</v>
      </c>
      <c r="CJ100" s="2001">
        <v>0</v>
      </c>
      <c r="CK100" s="105">
        <v>0</v>
      </c>
      <c r="CL100" s="105"/>
      <c r="CM100" s="105">
        <v>7</v>
      </c>
      <c r="CN100" s="41"/>
      <c r="CR100" s="41"/>
      <c r="CS100" s="41" t="s">
        <v>1344</v>
      </c>
      <c r="CT100" s="1665"/>
      <c r="CU100" s="1665"/>
      <c r="CV100" s="1665"/>
      <c r="CW100" s="1665"/>
      <c r="CX100" s="1665"/>
      <c r="CY100" s="1665"/>
      <c r="CZ100" s="1665"/>
      <c r="DA100" s="1665"/>
      <c r="DB100" s="1665"/>
      <c r="DC100" s="1665"/>
      <c r="DD100" s="1665">
        <v>0</v>
      </c>
      <c r="DE100" s="1665"/>
      <c r="DF100" s="1665">
        <v>0</v>
      </c>
      <c r="DG100" s="1665">
        <v>1</v>
      </c>
      <c r="DH100" s="1665">
        <v>0</v>
      </c>
      <c r="DI100" s="41">
        <v>0</v>
      </c>
      <c r="DJ100" s="41">
        <v>0</v>
      </c>
      <c r="DK100" s="41">
        <v>1</v>
      </c>
      <c r="DL100" s="41"/>
      <c r="DN100" s="1375"/>
      <c r="DO100" s="1375"/>
      <c r="DP100" s="1375"/>
      <c r="DQ100" s="1372" t="s">
        <v>15</v>
      </c>
      <c r="DR100" s="1381"/>
      <c r="DS100" s="1382">
        <v>2</v>
      </c>
      <c r="DT100" s="1382">
        <v>1</v>
      </c>
      <c r="DU100" s="1381"/>
      <c r="DV100" s="1381"/>
      <c r="DW100" s="1381"/>
      <c r="DX100" s="1381"/>
      <c r="DY100" s="1381"/>
      <c r="DZ100" s="1381"/>
      <c r="EA100" s="1382">
        <v>1</v>
      </c>
      <c r="EB100" s="1382">
        <v>4</v>
      </c>
      <c r="EC100" s="1382">
        <v>3</v>
      </c>
      <c r="ED100" s="1382">
        <v>10</v>
      </c>
      <c r="EE100" s="1384">
        <v>1</v>
      </c>
      <c r="EF100" s="1384">
        <v>1</v>
      </c>
      <c r="EG100" s="1384">
        <v>23</v>
      </c>
      <c r="EH100" s="1325">
        <f>+(EG97+EG99)/EG100</f>
        <v>0.30434782608695654</v>
      </c>
      <c r="EJ100" s="678"/>
      <c r="EK100" s="678"/>
      <c r="EL100" s="678"/>
      <c r="EM100" s="679" t="s">
        <v>1239</v>
      </c>
      <c r="EN100" s="680"/>
      <c r="EO100" s="681">
        <v>0</v>
      </c>
      <c r="EP100" s="681">
        <v>0</v>
      </c>
      <c r="EQ100" s="681">
        <v>0</v>
      </c>
      <c r="ER100" s="681">
        <v>0</v>
      </c>
      <c r="ES100" s="681">
        <v>0</v>
      </c>
      <c r="ET100" s="681">
        <v>0</v>
      </c>
      <c r="EU100" s="681">
        <v>0</v>
      </c>
      <c r="EV100" s="681">
        <v>0</v>
      </c>
      <c r="EW100" s="681">
        <v>0</v>
      </c>
      <c r="EX100" s="681">
        <v>0</v>
      </c>
      <c r="EY100" s="681">
        <v>0</v>
      </c>
      <c r="EZ100" s="681">
        <v>0</v>
      </c>
      <c r="FA100" s="681">
        <v>2</v>
      </c>
      <c r="FB100" s="681">
        <v>22</v>
      </c>
      <c r="FC100" s="683">
        <v>2</v>
      </c>
      <c r="FD100" s="683">
        <v>5</v>
      </c>
      <c r="FE100" s="683">
        <v>31</v>
      </c>
      <c r="FF100" s="105"/>
      <c r="FH100" s="511"/>
      <c r="FI100" s="511"/>
      <c r="FJ100" s="511"/>
      <c r="FK100" s="511"/>
      <c r="FL100" s="512" t="s">
        <v>1239</v>
      </c>
      <c r="FM100" s="684"/>
      <c r="FN100" s="684"/>
      <c r="FO100" s="685">
        <v>0</v>
      </c>
      <c r="FP100" s="684"/>
      <c r="FQ100" s="685">
        <v>0</v>
      </c>
      <c r="FR100" s="684"/>
      <c r="FS100" s="685">
        <v>0</v>
      </c>
      <c r="FT100" s="684"/>
      <c r="FU100" s="685">
        <v>0</v>
      </c>
      <c r="FV100" s="685">
        <v>0</v>
      </c>
      <c r="FW100" s="685">
        <v>0</v>
      </c>
      <c r="FX100" s="685">
        <v>0</v>
      </c>
      <c r="FY100" s="685">
        <v>0</v>
      </c>
      <c r="FZ100" s="685">
        <v>0</v>
      </c>
      <c r="GA100" s="685">
        <v>23</v>
      </c>
      <c r="GB100" s="687">
        <v>1</v>
      </c>
      <c r="GC100" s="687">
        <v>4</v>
      </c>
      <c r="GD100" s="687">
        <v>28</v>
      </c>
      <c r="GE100" s="635"/>
      <c r="GF100" s="41"/>
      <c r="GG100" s="688"/>
      <c r="GH100" s="688"/>
      <c r="GI100" s="688"/>
      <c r="GJ100" s="704" t="s">
        <v>15</v>
      </c>
      <c r="GK100" s="705"/>
      <c r="GL100" s="705"/>
      <c r="GM100" s="705"/>
      <c r="GN100" s="705"/>
      <c r="GO100" s="463">
        <v>1</v>
      </c>
      <c r="GP100" s="463">
        <v>2</v>
      </c>
      <c r="GQ100" s="463">
        <v>1</v>
      </c>
      <c r="GR100" s="705"/>
      <c r="GS100" s="463">
        <v>1</v>
      </c>
      <c r="GT100" s="463">
        <v>3</v>
      </c>
      <c r="GU100" s="463">
        <v>3</v>
      </c>
      <c r="GV100" s="705"/>
      <c r="GW100" s="463">
        <v>1</v>
      </c>
      <c r="GX100" s="463">
        <v>12</v>
      </c>
      <c r="GY100" s="628">
        <f>+(GX99+GX98+GX96)/GX100</f>
        <v>0.5</v>
      </c>
      <c r="GZ100" s="41"/>
      <c r="HA100" s="41"/>
      <c r="HB100" s="105"/>
      <c r="HC100" s="105"/>
      <c r="HD100" s="41" t="s">
        <v>145</v>
      </c>
      <c r="HE100" s="41" t="s">
        <v>1231</v>
      </c>
      <c r="HF100" s="105"/>
      <c r="HG100" s="105">
        <v>0</v>
      </c>
      <c r="HH100" s="105"/>
      <c r="HI100" s="105"/>
      <c r="HJ100" s="105"/>
      <c r="HK100" s="105"/>
      <c r="HL100" s="105"/>
      <c r="HM100" s="105">
        <v>3</v>
      </c>
      <c r="HN100" s="105">
        <v>4</v>
      </c>
      <c r="HO100" s="105">
        <v>1</v>
      </c>
      <c r="HP100" s="105"/>
      <c r="HQ100" s="105"/>
      <c r="HR100" s="105">
        <v>0</v>
      </c>
      <c r="HS100" s="105"/>
      <c r="HT100" s="105"/>
      <c r="HU100" s="105"/>
      <c r="HV100" s="105">
        <v>8</v>
      </c>
      <c r="HW100" s="41"/>
      <c r="HX100" s="41"/>
      <c r="HY100" s="41"/>
      <c r="HZ100" s="41"/>
      <c r="IA100" s="41"/>
      <c r="IB100" s="41"/>
      <c r="IC100" s="41"/>
      <c r="ID100" s="41"/>
      <c r="IE100" s="41"/>
      <c r="IF100" s="41"/>
      <c r="IG100" s="41"/>
      <c r="IH100" s="41"/>
      <c r="II100" s="41"/>
      <c r="IJ100" s="41"/>
      <c r="IK100" s="41"/>
      <c r="IL100" s="41"/>
      <c r="IM100" s="41"/>
      <c r="IN100" s="41"/>
      <c r="IO100" s="41"/>
      <c r="IP100" s="41"/>
      <c r="IQ100" s="41"/>
      <c r="IR100" s="41"/>
      <c r="IS100" s="41"/>
      <c r="IT100" s="41"/>
      <c r="IU100" s="41"/>
    </row>
    <row r="101" spans="2:255">
      <c r="C101" s="4800" t="s">
        <v>128</v>
      </c>
      <c r="D101" s="4800" t="s">
        <v>1235</v>
      </c>
      <c r="E101" s="4606"/>
      <c r="F101" s="4606">
        <v>0</v>
      </c>
      <c r="G101" s="4606"/>
      <c r="H101" s="4606"/>
      <c r="I101" s="4606"/>
      <c r="J101" s="4606"/>
      <c r="K101" s="4606"/>
      <c r="L101" s="4606"/>
      <c r="M101" s="4606"/>
      <c r="N101" s="4606"/>
      <c r="O101" s="4606"/>
      <c r="P101" s="4606"/>
      <c r="Q101" s="4606">
        <v>2</v>
      </c>
      <c r="R101" s="4606">
        <v>0</v>
      </c>
      <c r="S101" s="2552">
        <v>2</v>
      </c>
      <c r="T101" s="2552"/>
      <c r="U101" s="2552">
        <v>4</v>
      </c>
      <c r="V101" s="2552"/>
      <c r="AA101" s="37" t="s">
        <v>1236</v>
      </c>
      <c r="AB101" s="4803">
        <v>0</v>
      </c>
      <c r="AC101" s="4803">
        <v>1</v>
      </c>
      <c r="AD101" s="4803"/>
      <c r="AE101" s="4803"/>
      <c r="AF101" s="4803"/>
      <c r="AG101" s="4803"/>
      <c r="AH101" s="4803"/>
      <c r="AI101" s="4803"/>
      <c r="AJ101" s="4803"/>
      <c r="AK101" s="4803"/>
      <c r="AL101" s="4803"/>
      <c r="AM101" s="4803"/>
      <c r="AN101" s="4803">
        <v>0</v>
      </c>
      <c r="AO101" s="4803">
        <v>0</v>
      </c>
      <c r="AP101" s="1788">
        <v>0</v>
      </c>
      <c r="AQ101" s="1788">
        <v>1</v>
      </c>
      <c r="AT101" s="41"/>
      <c r="AU101" s="41" t="s">
        <v>16</v>
      </c>
      <c r="AV101" s="41" t="s">
        <v>107</v>
      </c>
      <c r="AW101" s="41" t="s">
        <v>1231</v>
      </c>
      <c r="AX101" s="690"/>
      <c r="AY101" s="690"/>
      <c r="AZ101" s="690"/>
      <c r="BA101" s="690"/>
      <c r="BB101" s="690"/>
      <c r="BC101" s="690">
        <v>1</v>
      </c>
      <c r="BD101" s="690"/>
      <c r="BE101" s="690"/>
      <c r="BF101" s="690"/>
      <c r="BG101" s="690"/>
      <c r="BH101" s="690"/>
      <c r="BI101" s="690">
        <v>1</v>
      </c>
      <c r="BJ101" s="690">
        <v>2</v>
      </c>
      <c r="BK101" s="690">
        <v>0</v>
      </c>
      <c r="BL101" s="690">
        <v>0</v>
      </c>
      <c r="BM101" s="41"/>
      <c r="BN101" s="41"/>
      <c r="BO101" s="41">
        <v>4</v>
      </c>
      <c r="BP101" s="41"/>
      <c r="BR101" s="41"/>
      <c r="BS101" s="41"/>
      <c r="BT101" s="41"/>
      <c r="BU101" s="461" t="s">
        <v>15</v>
      </c>
      <c r="BV101" s="2002"/>
      <c r="BW101" s="2002">
        <v>1</v>
      </c>
      <c r="BX101" s="2002"/>
      <c r="BY101" s="2002"/>
      <c r="BZ101" s="2002"/>
      <c r="CA101" s="2002"/>
      <c r="CB101" s="2002"/>
      <c r="CC101" s="2002"/>
      <c r="CD101" s="2002"/>
      <c r="CE101" s="2002"/>
      <c r="CF101" s="2002"/>
      <c r="CG101" s="2002">
        <v>1</v>
      </c>
      <c r="CH101" s="2002">
        <v>3</v>
      </c>
      <c r="CI101" s="2002">
        <v>8</v>
      </c>
      <c r="CJ101" s="2002">
        <v>1</v>
      </c>
      <c r="CK101" s="96">
        <v>1</v>
      </c>
      <c r="CL101" s="96"/>
      <c r="CM101" s="96">
        <v>15</v>
      </c>
      <c r="CN101" s="635">
        <f>+(CM98+CM100)/CM101</f>
        <v>0.73333333333333328</v>
      </c>
      <c r="CR101" s="41"/>
      <c r="CS101" s="461" t="s">
        <v>15</v>
      </c>
      <c r="CT101" s="1666"/>
      <c r="CU101" s="1666"/>
      <c r="CV101" s="1666"/>
      <c r="CW101" s="1666"/>
      <c r="CX101" s="1666"/>
      <c r="CY101" s="1666"/>
      <c r="CZ101" s="1666"/>
      <c r="DA101" s="1666"/>
      <c r="DB101" s="1666"/>
      <c r="DC101" s="1666"/>
      <c r="DD101" s="1666">
        <v>1</v>
      </c>
      <c r="DE101" s="1666"/>
      <c r="DF101" s="1666">
        <v>2</v>
      </c>
      <c r="DG101" s="1666">
        <v>1</v>
      </c>
      <c r="DH101" s="1666">
        <v>1</v>
      </c>
      <c r="DI101" s="461">
        <v>2</v>
      </c>
      <c r="DJ101" s="461">
        <v>8</v>
      </c>
      <c r="DK101" s="461">
        <v>15</v>
      </c>
      <c r="DL101" s="635">
        <f>+(DK98+DK100)/DK101</f>
        <v>0.13333333333333333</v>
      </c>
      <c r="DN101" s="1375"/>
      <c r="DO101" s="1375"/>
      <c r="DP101" s="1375" t="s">
        <v>130</v>
      </c>
      <c r="DQ101" s="1376" t="s">
        <v>1230</v>
      </c>
      <c r="DR101" s="1377"/>
      <c r="DS101" s="1377"/>
      <c r="DT101" s="1377"/>
      <c r="DU101" s="1377"/>
      <c r="DV101" s="1377"/>
      <c r="DW101" s="1377"/>
      <c r="DX101" s="1377"/>
      <c r="DY101" s="1377"/>
      <c r="DZ101" s="1377"/>
      <c r="EA101" s="1378">
        <v>0</v>
      </c>
      <c r="EB101" s="1378">
        <v>0</v>
      </c>
      <c r="EC101" s="1378">
        <v>0</v>
      </c>
      <c r="ED101" s="1378">
        <v>1</v>
      </c>
      <c r="EE101" s="1379"/>
      <c r="EF101" s="1379"/>
      <c r="EG101" s="1380">
        <v>1</v>
      </c>
      <c r="EH101" s="41"/>
      <c r="EJ101" s="678"/>
      <c r="EK101" s="678"/>
      <c r="EL101" s="678"/>
      <c r="EM101" s="679" t="s">
        <v>1344</v>
      </c>
      <c r="EN101" s="680"/>
      <c r="EO101" s="681">
        <v>0</v>
      </c>
      <c r="EP101" s="681">
        <v>0</v>
      </c>
      <c r="EQ101" s="681">
        <v>0</v>
      </c>
      <c r="ER101" s="681">
        <v>0</v>
      </c>
      <c r="ES101" s="681">
        <v>0</v>
      </c>
      <c r="ET101" s="681">
        <v>2</v>
      </c>
      <c r="EU101" s="681">
        <v>1</v>
      </c>
      <c r="EV101" s="681">
        <v>2</v>
      </c>
      <c r="EW101" s="681">
        <v>2</v>
      </c>
      <c r="EX101" s="681">
        <v>6</v>
      </c>
      <c r="EY101" s="681">
        <v>3</v>
      </c>
      <c r="EZ101" s="681">
        <v>2</v>
      </c>
      <c r="FA101" s="681">
        <v>3</v>
      </c>
      <c r="FB101" s="681">
        <v>0</v>
      </c>
      <c r="FC101" s="683">
        <v>0</v>
      </c>
      <c r="FD101" s="683">
        <v>0</v>
      </c>
      <c r="FE101" s="683">
        <v>21</v>
      </c>
      <c r="FF101" s="105"/>
      <c r="FH101" s="511"/>
      <c r="FI101" s="511"/>
      <c r="FJ101" s="511"/>
      <c r="FK101" s="511"/>
      <c r="FL101" s="512" t="s">
        <v>1344</v>
      </c>
      <c r="FM101" s="684"/>
      <c r="FN101" s="684"/>
      <c r="FO101" s="685">
        <v>0</v>
      </c>
      <c r="FP101" s="684"/>
      <c r="FQ101" s="685">
        <v>0</v>
      </c>
      <c r="FR101" s="684"/>
      <c r="FS101" s="685">
        <v>0</v>
      </c>
      <c r="FT101" s="684"/>
      <c r="FU101" s="685">
        <v>1</v>
      </c>
      <c r="FV101" s="685">
        <v>1</v>
      </c>
      <c r="FW101" s="685">
        <v>1</v>
      </c>
      <c r="FX101" s="685">
        <v>1</v>
      </c>
      <c r="FY101" s="685">
        <v>9</v>
      </c>
      <c r="FZ101" s="685">
        <v>1</v>
      </c>
      <c r="GA101" s="685">
        <v>0</v>
      </c>
      <c r="GB101" s="687">
        <v>0</v>
      </c>
      <c r="GC101" s="687">
        <v>0</v>
      </c>
      <c r="GD101" s="687">
        <v>14</v>
      </c>
      <c r="GE101" s="635"/>
      <c r="GF101" s="41"/>
      <c r="GG101" s="688"/>
      <c r="GH101" s="688" t="s">
        <v>104</v>
      </c>
      <c r="GI101" s="688" t="s">
        <v>146</v>
      </c>
      <c r="GJ101" s="457" t="s">
        <v>1231</v>
      </c>
      <c r="GK101" s="689"/>
      <c r="GL101" s="689"/>
      <c r="GM101" s="689"/>
      <c r="GN101" s="689"/>
      <c r="GO101" s="689"/>
      <c r="GP101" s="689"/>
      <c r="GQ101" s="689"/>
      <c r="GR101" s="689"/>
      <c r="GS101" s="458">
        <v>0</v>
      </c>
      <c r="GT101" s="458">
        <v>1</v>
      </c>
      <c r="GU101" s="458">
        <v>2</v>
      </c>
      <c r="GV101" s="458">
        <v>0</v>
      </c>
      <c r="GW101" s="458">
        <v>0</v>
      </c>
      <c r="GX101" s="458">
        <v>3</v>
      </c>
      <c r="GY101" s="690"/>
      <c r="GZ101" s="41"/>
      <c r="HA101" s="41"/>
      <c r="HB101" s="105"/>
      <c r="HC101" s="105"/>
      <c r="HD101" s="41"/>
      <c r="HE101" s="41" t="s">
        <v>1233</v>
      </c>
      <c r="HF101" s="105"/>
      <c r="HG101" s="105">
        <v>1</v>
      </c>
      <c r="HH101" s="105"/>
      <c r="HI101" s="105"/>
      <c r="HJ101" s="105"/>
      <c r="HK101" s="105"/>
      <c r="HL101" s="105"/>
      <c r="HM101" s="105">
        <v>0</v>
      </c>
      <c r="HN101" s="105">
        <v>0</v>
      </c>
      <c r="HO101" s="105">
        <v>0</v>
      </c>
      <c r="HP101" s="105"/>
      <c r="HQ101" s="105"/>
      <c r="HR101" s="105">
        <v>0</v>
      </c>
      <c r="HS101" s="105"/>
      <c r="HT101" s="105"/>
      <c r="HU101" s="105"/>
      <c r="HV101" s="105">
        <v>1</v>
      </c>
      <c r="HW101" s="41"/>
      <c r="HX101" s="41"/>
      <c r="HY101" s="41"/>
      <c r="HZ101" s="41"/>
      <c r="IA101" s="41"/>
      <c r="IB101" s="41"/>
      <c r="IC101" s="41"/>
      <c r="ID101" s="41"/>
      <c r="IE101" s="41"/>
      <c r="IF101" s="41"/>
      <c r="IG101" s="41"/>
      <c r="IH101" s="41"/>
      <c r="II101" s="41"/>
      <c r="IJ101" s="41"/>
      <c r="IK101" s="41"/>
      <c r="IL101" s="41"/>
      <c r="IM101" s="41"/>
      <c r="IN101" s="41"/>
      <c r="IO101" s="41"/>
      <c r="IP101" s="41"/>
      <c r="IQ101" s="41"/>
      <c r="IR101" s="41"/>
      <c r="IS101" s="41"/>
      <c r="IT101" s="41"/>
      <c r="IU101" s="41"/>
    </row>
    <row r="102" spans="2:255">
      <c r="D102" s="4800" t="s">
        <v>1236</v>
      </c>
      <c r="E102" s="4606"/>
      <c r="F102" s="4606">
        <v>1</v>
      </c>
      <c r="G102" s="4606"/>
      <c r="H102" s="4606"/>
      <c r="I102" s="4606"/>
      <c r="J102" s="4606"/>
      <c r="K102" s="4606"/>
      <c r="L102" s="4606"/>
      <c r="M102" s="4606"/>
      <c r="N102" s="4606"/>
      <c r="O102" s="4606"/>
      <c r="P102" s="4606"/>
      <c r="Q102" s="4606">
        <v>0</v>
      </c>
      <c r="R102" s="4606">
        <v>0</v>
      </c>
      <c r="S102" s="2552">
        <v>0</v>
      </c>
      <c r="T102" s="2552"/>
      <c r="U102" s="2552">
        <v>1</v>
      </c>
      <c r="V102" s="2552"/>
      <c r="AA102" s="37" t="s">
        <v>1239</v>
      </c>
      <c r="AB102" s="4803">
        <v>0</v>
      </c>
      <c r="AC102" s="4803">
        <v>0</v>
      </c>
      <c r="AD102" s="4803"/>
      <c r="AE102" s="4803"/>
      <c r="AF102" s="4803"/>
      <c r="AG102" s="4803"/>
      <c r="AH102" s="4803"/>
      <c r="AI102" s="4803"/>
      <c r="AJ102" s="4803"/>
      <c r="AK102" s="4803"/>
      <c r="AL102" s="4803"/>
      <c r="AM102" s="4803"/>
      <c r="AN102" s="4803">
        <v>0</v>
      </c>
      <c r="AO102" s="4803">
        <v>0</v>
      </c>
      <c r="AP102" s="1788">
        <v>6</v>
      </c>
      <c r="AQ102" s="1788">
        <v>6</v>
      </c>
      <c r="AT102" s="41"/>
      <c r="AU102" s="41"/>
      <c r="AV102" s="41"/>
      <c r="AW102" s="41" t="s">
        <v>1235</v>
      </c>
      <c r="AX102" s="690"/>
      <c r="AY102" s="690"/>
      <c r="AZ102" s="690"/>
      <c r="BA102" s="690"/>
      <c r="BB102" s="690"/>
      <c r="BC102" s="690">
        <v>0</v>
      </c>
      <c r="BD102" s="690"/>
      <c r="BE102" s="690"/>
      <c r="BF102" s="690"/>
      <c r="BG102" s="690"/>
      <c r="BH102" s="690"/>
      <c r="BI102" s="690">
        <v>0</v>
      </c>
      <c r="BJ102" s="690">
        <v>0</v>
      </c>
      <c r="BK102" s="690">
        <v>1</v>
      </c>
      <c r="BL102" s="690">
        <v>0</v>
      </c>
      <c r="BM102" s="41"/>
      <c r="BN102" s="41"/>
      <c r="BO102" s="41">
        <v>1</v>
      </c>
      <c r="BP102" s="41"/>
      <c r="BR102" s="41"/>
      <c r="BS102" s="41"/>
      <c r="BT102" s="41" t="s">
        <v>333</v>
      </c>
      <c r="BU102" s="41" t="s">
        <v>1231</v>
      </c>
      <c r="BV102" s="2001"/>
      <c r="BW102" s="2001"/>
      <c r="BX102" s="2001"/>
      <c r="BY102" s="2001"/>
      <c r="BZ102" s="2001"/>
      <c r="CA102" s="2001"/>
      <c r="CB102" s="2001"/>
      <c r="CC102" s="2001">
        <v>1</v>
      </c>
      <c r="CD102" s="2001">
        <v>1</v>
      </c>
      <c r="CE102" s="2001">
        <v>0</v>
      </c>
      <c r="CF102" s="2001"/>
      <c r="CG102" s="2001"/>
      <c r="CH102" s="2001">
        <v>1</v>
      </c>
      <c r="CI102" s="2001">
        <v>1</v>
      </c>
      <c r="CJ102" s="2001">
        <v>0</v>
      </c>
      <c r="CK102" s="105"/>
      <c r="CL102" s="105">
        <v>0</v>
      </c>
      <c r="CM102" s="105">
        <v>4</v>
      </c>
      <c r="CN102" s="41"/>
      <c r="CR102" s="41" t="s">
        <v>545</v>
      </c>
      <c r="CS102" s="41" t="s">
        <v>1231</v>
      </c>
      <c r="CT102" s="1665">
        <v>1</v>
      </c>
      <c r="CU102" s="1665">
        <v>2</v>
      </c>
      <c r="CV102" s="1665"/>
      <c r="CW102" s="1665">
        <v>1</v>
      </c>
      <c r="CX102" s="1665"/>
      <c r="CY102" s="1665"/>
      <c r="CZ102" s="1665"/>
      <c r="DA102" s="1665"/>
      <c r="DB102" s="1665">
        <v>1</v>
      </c>
      <c r="DC102" s="1665">
        <v>0</v>
      </c>
      <c r="DD102" s="1665">
        <v>1</v>
      </c>
      <c r="DE102" s="1665"/>
      <c r="DF102" s="1665">
        <v>11</v>
      </c>
      <c r="DG102" s="1665">
        <v>9</v>
      </c>
      <c r="DH102" s="1665">
        <v>0</v>
      </c>
      <c r="DI102" s="41">
        <v>0</v>
      </c>
      <c r="DJ102" s="41">
        <v>0</v>
      </c>
      <c r="DK102" s="41">
        <v>26</v>
      </c>
      <c r="DL102" s="41"/>
      <c r="DN102" s="1375"/>
      <c r="DO102" s="1375"/>
      <c r="DP102" s="1375"/>
      <c r="DQ102" s="1376" t="s">
        <v>1231</v>
      </c>
      <c r="DR102" s="1377"/>
      <c r="DS102" s="1377"/>
      <c r="DT102" s="1377"/>
      <c r="DU102" s="1377"/>
      <c r="DV102" s="1377"/>
      <c r="DW102" s="1377"/>
      <c r="DX102" s="1377"/>
      <c r="DY102" s="1377"/>
      <c r="DZ102" s="1377"/>
      <c r="EA102" s="1378">
        <v>0</v>
      </c>
      <c r="EB102" s="1378">
        <v>1</v>
      </c>
      <c r="EC102" s="1378">
        <v>1</v>
      </c>
      <c r="ED102" s="1378">
        <v>0</v>
      </c>
      <c r="EE102" s="1379"/>
      <c r="EF102" s="1379"/>
      <c r="EG102" s="1380">
        <v>2</v>
      </c>
      <c r="EH102" s="41"/>
      <c r="EJ102" s="678"/>
      <c r="EK102" s="678"/>
      <c r="EL102" s="678"/>
      <c r="EM102" s="697" t="s">
        <v>545</v>
      </c>
      <c r="EN102" s="698"/>
      <c r="EO102" s="699">
        <v>3</v>
      </c>
      <c r="EP102" s="699">
        <v>3</v>
      </c>
      <c r="EQ102" s="699">
        <v>3</v>
      </c>
      <c r="ER102" s="699">
        <v>2</v>
      </c>
      <c r="ES102" s="699">
        <v>1</v>
      </c>
      <c r="ET102" s="699">
        <v>4</v>
      </c>
      <c r="EU102" s="699">
        <v>4</v>
      </c>
      <c r="EV102" s="699">
        <v>5</v>
      </c>
      <c r="EW102" s="699">
        <v>3</v>
      </c>
      <c r="EX102" s="699">
        <v>8</v>
      </c>
      <c r="EY102" s="699">
        <v>6</v>
      </c>
      <c r="EZ102" s="699">
        <v>11</v>
      </c>
      <c r="FA102" s="699">
        <v>25</v>
      </c>
      <c r="FB102" s="699">
        <v>23</v>
      </c>
      <c r="FC102" s="701">
        <v>2</v>
      </c>
      <c r="FD102" s="701">
        <v>5</v>
      </c>
      <c r="FE102" s="701">
        <v>108</v>
      </c>
      <c r="FF102" s="635">
        <f>+(FE98+FE101)/FE102</f>
        <v>0.41666666666666669</v>
      </c>
      <c r="FH102" s="511"/>
      <c r="FI102" s="511"/>
      <c r="FJ102" s="511"/>
      <c r="FK102" s="41"/>
      <c r="FL102" s="532" t="s">
        <v>545</v>
      </c>
      <c r="FM102" s="693"/>
      <c r="FN102" s="693"/>
      <c r="FO102" s="694">
        <v>3</v>
      </c>
      <c r="FP102" s="693"/>
      <c r="FQ102" s="694">
        <v>1</v>
      </c>
      <c r="FR102" s="693"/>
      <c r="FS102" s="694">
        <v>2</v>
      </c>
      <c r="FT102" s="693"/>
      <c r="FU102" s="694">
        <v>1</v>
      </c>
      <c r="FV102" s="694">
        <v>4</v>
      </c>
      <c r="FW102" s="694">
        <v>5</v>
      </c>
      <c r="FX102" s="694">
        <v>5</v>
      </c>
      <c r="FY102" s="694">
        <v>22</v>
      </c>
      <c r="FZ102" s="694">
        <v>10</v>
      </c>
      <c r="GA102" s="694">
        <v>26</v>
      </c>
      <c r="GB102" s="696">
        <v>4</v>
      </c>
      <c r="GC102" s="696">
        <v>4</v>
      </c>
      <c r="GD102" s="696">
        <v>87</v>
      </c>
      <c r="GE102" s="635">
        <f>+(GD101+GD98-GB98)/GD102</f>
        <v>0.40229885057471265</v>
      </c>
      <c r="GF102" s="41"/>
      <c r="GG102" s="688"/>
      <c r="GH102" s="688"/>
      <c r="GI102" s="688"/>
      <c r="GJ102" s="457" t="s">
        <v>1235</v>
      </c>
      <c r="GK102" s="689"/>
      <c r="GL102" s="689"/>
      <c r="GM102" s="689"/>
      <c r="GN102" s="689"/>
      <c r="GO102" s="689"/>
      <c r="GP102" s="689"/>
      <c r="GQ102" s="689"/>
      <c r="GR102" s="689"/>
      <c r="GS102" s="458">
        <v>0</v>
      </c>
      <c r="GT102" s="458">
        <v>0</v>
      </c>
      <c r="GU102" s="458">
        <v>0</v>
      </c>
      <c r="GV102" s="458">
        <v>1</v>
      </c>
      <c r="GW102" s="458">
        <v>0</v>
      </c>
      <c r="GX102" s="458">
        <v>1</v>
      </c>
      <c r="GY102" s="690"/>
      <c r="GZ102" s="41"/>
      <c r="HA102" s="41"/>
      <c r="HB102" s="105"/>
      <c r="HC102" s="105"/>
      <c r="HD102" s="41"/>
      <c r="HE102" s="41" t="s">
        <v>1239</v>
      </c>
      <c r="HF102" s="105"/>
      <c r="HG102" s="105">
        <v>0</v>
      </c>
      <c r="HH102" s="105"/>
      <c r="HI102" s="105"/>
      <c r="HJ102" s="105"/>
      <c r="HK102" s="105"/>
      <c r="HL102" s="105"/>
      <c r="HM102" s="105">
        <v>0</v>
      </c>
      <c r="HN102" s="105">
        <v>0</v>
      </c>
      <c r="HO102" s="105">
        <v>0</v>
      </c>
      <c r="HP102" s="105"/>
      <c r="HQ102" s="105"/>
      <c r="HR102" s="105">
        <v>1</v>
      </c>
      <c r="HS102" s="105"/>
      <c r="HT102" s="105"/>
      <c r="HU102" s="105"/>
      <c r="HV102" s="105">
        <v>1</v>
      </c>
      <c r="HW102" s="41"/>
      <c r="HX102" s="41"/>
      <c r="HY102" s="41"/>
      <c r="HZ102" s="41"/>
      <c r="IA102" s="41"/>
      <c r="IB102" s="41"/>
      <c r="IC102" s="41"/>
      <c r="ID102" s="41"/>
      <c r="IE102" s="41"/>
      <c r="IF102" s="41"/>
      <c r="IG102" s="41"/>
      <c r="IH102" s="41"/>
      <c r="II102" s="41"/>
      <c r="IJ102" s="41"/>
      <c r="IK102" s="41"/>
      <c r="IL102" s="41"/>
      <c r="IM102" s="41"/>
      <c r="IN102" s="41"/>
      <c r="IO102" s="41"/>
      <c r="IP102" s="41"/>
      <c r="IQ102" s="41"/>
      <c r="IR102" s="41"/>
      <c r="IS102" s="41"/>
      <c r="IT102" s="41"/>
      <c r="IU102" s="41"/>
    </row>
    <row r="103" spans="2:255">
      <c r="D103" s="4800" t="s">
        <v>1239</v>
      </c>
      <c r="E103" s="4606"/>
      <c r="F103" s="4606">
        <v>0</v>
      </c>
      <c r="G103" s="4606"/>
      <c r="H103" s="4606"/>
      <c r="I103" s="4606"/>
      <c r="J103" s="4606"/>
      <c r="K103" s="4606"/>
      <c r="L103" s="4606"/>
      <c r="M103" s="4606"/>
      <c r="N103" s="4606"/>
      <c r="O103" s="4606"/>
      <c r="P103" s="4606"/>
      <c r="Q103" s="4606">
        <v>0</v>
      </c>
      <c r="R103" s="4606">
        <v>2</v>
      </c>
      <c r="S103" s="2552">
        <v>4</v>
      </c>
      <c r="T103" s="2552"/>
      <c r="U103" s="2552">
        <v>6</v>
      </c>
      <c r="V103" s="2552"/>
      <c r="AA103" s="37" t="s">
        <v>1240</v>
      </c>
      <c r="AB103" s="4803">
        <v>0</v>
      </c>
      <c r="AC103" s="4803">
        <v>0</v>
      </c>
      <c r="AD103" s="4803"/>
      <c r="AE103" s="4803"/>
      <c r="AF103" s="4803"/>
      <c r="AG103" s="4803"/>
      <c r="AH103" s="4803"/>
      <c r="AI103" s="4803"/>
      <c r="AJ103" s="4803"/>
      <c r="AK103" s="4803"/>
      <c r="AL103" s="4803"/>
      <c r="AM103" s="4803"/>
      <c r="AN103" s="4803">
        <v>1</v>
      </c>
      <c r="AO103" s="4803">
        <v>1</v>
      </c>
      <c r="AP103" s="1788">
        <v>0</v>
      </c>
      <c r="AQ103" s="1788">
        <v>2</v>
      </c>
      <c r="AT103" s="41"/>
      <c r="AU103" s="41"/>
      <c r="AV103" s="41"/>
      <c r="AW103" s="41" t="s">
        <v>1239</v>
      </c>
      <c r="AX103" s="690"/>
      <c r="AY103" s="690"/>
      <c r="AZ103" s="690"/>
      <c r="BA103" s="690"/>
      <c r="BB103" s="690"/>
      <c r="BC103" s="690">
        <v>0</v>
      </c>
      <c r="BD103" s="690"/>
      <c r="BE103" s="690"/>
      <c r="BF103" s="690"/>
      <c r="BG103" s="690"/>
      <c r="BH103" s="690"/>
      <c r="BI103" s="690">
        <v>0</v>
      </c>
      <c r="BJ103" s="690">
        <v>0</v>
      </c>
      <c r="BK103" s="690">
        <v>8</v>
      </c>
      <c r="BL103" s="690">
        <v>6</v>
      </c>
      <c r="BM103" s="41"/>
      <c r="BN103" s="41"/>
      <c r="BO103" s="41">
        <v>14</v>
      </c>
      <c r="BP103" s="41"/>
      <c r="BR103" s="41"/>
      <c r="BS103" s="41"/>
      <c r="BT103" s="41"/>
      <c r="BU103" s="41" t="s">
        <v>1235</v>
      </c>
      <c r="BV103" s="2001"/>
      <c r="BW103" s="2001"/>
      <c r="BX103" s="2001"/>
      <c r="BY103" s="2001"/>
      <c r="BZ103" s="2001"/>
      <c r="CA103" s="2001"/>
      <c r="CB103" s="2001"/>
      <c r="CC103" s="2001">
        <v>1</v>
      </c>
      <c r="CD103" s="2001">
        <v>0</v>
      </c>
      <c r="CE103" s="2001">
        <v>0</v>
      </c>
      <c r="CF103" s="2001"/>
      <c r="CG103" s="2001"/>
      <c r="CH103" s="2001">
        <v>0</v>
      </c>
      <c r="CI103" s="2001">
        <v>1</v>
      </c>
      <c r="CJ103" s="2001">
        <v>0</v>
      </c>
      <c r="CK103" s="105"/>
      <c r="CL103" s="105">
        <v>0</v>
      </c>
      <c r="CM103" s="105">
        <v>2</v>
      </c>
      <c r="CN103" s="41"/>
      <c r="CR103" s="41"/>
      <c r="CS103" s="41" t="s">
        <v>1235</v>
      </c>
      <c r="CT103" s="1665">
        <v>0</v>
      </c>
      <c r="CU103" s="1665">
        <v>0</v>
      </c>
      <c r="CV103" s="1665"/>
      <c r="CW103" s="1665">
        <v>0</v>
      </c>
      <c r="CX103" s="1665"/>
      <c r="CY103" s="1665"/>
      <c r="CZ103" s="1665"/>
      <c r="DA103" s="1665"/>
      <c r="DB103" s="1665">
        <v>0</v>
      </c>
      <c r="DC103" s="1665">
        <v>0</v>
      </c>
      <c r="DD103" s="1665">
        <v>0</v>
      </c>
      <c r="DE103" s="1665"/>
      <c r="DF103" s="1665">
        <v>19</v>
      </c>
      <c r="DG103" s="1665">
        <v>16</v>
      </c>
      <c r="DH103" s="1665">
        <v>0</v>
      </c>
      <c r="DI103" s="41">
        <v>0</v>
      </c>
      <c r="DJ103" s="41">
        <v>0</v>
      </c>
      <c r="DK103" s="41">
        <v>35</v>
      </c>
      <c r="DL103" s="41"/>
      <c r="DN103" s="1375"/>
      <c r="DO103" s="1375"/>
      <c r="DP103" s="1375"/>
      <c r="DQ103" s="1376" t="s">
        <v>1235</v>
      </c>
      <c r="DR103" s="1377"/>
      <c r="DS103" s="1377"/>
      <c r="DT103" s="1377"/>
      <c r="DU103" s="1377"/>
      <c r="DV103" s="1377"/>
      <c r="DW103" s="1377"/>
      <c r="DX103" s="1377"/>
      <c r="DY103" s="1377"/>
      <c r="DZ103" s="1377"/>
      <c r="EA103" s="1378">
        <v>0</v>
      </c>
      <c r="EB103" s="1378">
        <v>1</v>
      </c>
      <c r="EC103" s="1378">
        <v>1</v>
      </c>
      <c r="ED103" s="1378">
        <v>1</v>
      </c>
      <c r="EE103" s="1379"/>
      <c r="EF103" s="1379"/>
      <c r="EG103" s="1380">
        <v>3</v>
      </c>
      <c r="EH103" s="41"/>
      <c r="EJ103" s="678"/>
      <c r="EK103" s="678" t="s">
        <v>41</v>
      </c>
      <c r="EL103" s="678" t="s">
        <v>129</v>
      </c>
      <c r="EM103" s="679" t="s">
        <v>1230</v>
      </c>
      <c r="EN103" s="680"/>
      <c r="EO103" s="680"/>
      <c r="EP103" s="680"/>
      <c r="EQ103" s="680"/>
      <c r="ER103" s="680"/>
      <c r="ES103" s="680"/>
      <c r="ET103" s="680"/>
      <c r="EU103" s="680"/>
      <c r="EV103" s="680"/>
      <c r="EW103" s="680"/>
      <c r="EX103" s="680"/>
      <c r="EY103" s="680"/>
      <c r="EZ103" s="681">
        <v>0</v>
      </c>
      <c r="FA103" s="681">
        <v>0</v>
      </c>
      <c r="FB103" s="681">
        <v>2</v>
      </c>
      <c r="FC103" s="683">
        <v>0</v>
      </c>
      <c r="FD103" s="683">
        <v>0</v>
      </c>
      <c r="FE103" s="683">
        <v>2</v>
      </c>
      <c r="FF103" s="105"/>
      <c r="FH103" s="511"/>
      <c r="FI103" s="511" t="s">
        <v>41</v>
      </c>
      <c r="FJ103" s="511" t="s">
        <v>129</v>
      </c>
      <c r="FK103" s="511" t="s">
        <v>1229</v>
      </c>
      <c r="FL103" s="512" t="s">
        <v>1231</v>
      </c>
      <c r="FM103" s="684"/>
      <c r="FN103" s="684"/>
      <c r="FO103" s="684"/>
      <c r="FP103" s="684"/>
      <c r="FQ103" s="684"/>
      <c r="FR103" s="684"/>
      <c r="FS103" s="684"/>
      <c r="FT103" s="684"/>
      <c r="FU103" s="684"/>
      <c r="FV103" s="685">
        <v>1</v>
      </c>
      <c r="FW103" s="685">
        <v>0</v>
      </c>
      <c r="FX103" s="685">
        <v>0</v>
      </c>
      <c r="FY103" s="685">
        <v>0</v>
      </c>
      <c r="FZ103" s="685">
        <v>0</v>
      </c>
      <c r="GA103" s="685">
        <v>1</v>
      </c>
      <c r="GB103" s="686"/>
      <c r="GC103" s="686"/>
      <c r="GD103" s="687">
        <v>2</v>
      </c>
      <c r="GE103" s="635"/>
      <c r="GF103" s="41"/>
      <c r="GG103" s="688"/>
      <c r="GH103" s="688"/>
      <c r="GI103" s="688"/>
      <c r="GJ103" s="457" t="s">
        <v>1239</v>
      </c>
      <c r="GK103" s="689"/>
      <c r="GL103" s="689"/>
      <c r="GM103" s="689"/>
      <c r="GN103" s="689"/>
      <c r="GO103" s="689"/>
      <c r="GP103" s="689"/>
      <c r="GQ103" s="689"/>
      <c r="GR103" s="689"/>
      <c r="GS103" s="458">
        <v>0</v>
      </c>
      <c r="GT103" s="458">
        <v>0</v>
      </c>
      <c r="GU103" s="458">
        <v>0</v>
      </c>
      <c r="GV103" s="458">
        <v>0</v>
      </c>
      <c r="GW103" s="458">
        <v>4</v>
      </c>
      <c r="GX103" s="458">
        <v>4</v>
      </c>
      <c r="GY103" s="690"/>
      <c r="GZ103" s="41"/>
      <c r="HA103" s="41"/>
      <c r="HB103" s="105"/>
      <c r="HC103" s="105"/>
      <c r="HD103" s="41"/>
      <c r="HE103" s="41" t="s">
        <v>1344</v>
      </c>
      <c r="HF103" s="105"/>
      <c r="HG103" s="105">
        <v>0</v>
      </c>
      <c r="HH103" s="105"/>
      <c r="HI103" s="105"/>
      <c r="HJ103" s="105"/>
      <c r="HK103" s="105"/>
      <c r="HL103" s="105"/>
      <c r="HM103" s="105">
        <v>2</v>
      </c>
      <c r="HN103" s="105">
        <v>0</v>
      </c>
      <c r="HO103" s="105">
        <v>0</v>
      </c>
      <c r="HP103" s="105"/>
      <c r="HQ103" s="105"/>
      <c r="HR103" s="105">
        <v>0</v>
      </c>
      <c r="HS103" s="105"/>
      <c r="HT103" s="105"/>
      <c r="HU103" s="105"/>
      <c r="HV103" s="105">
        <v>2</v>
      </c>
      <c r="HW103" s="41"/>
      <c r="HX103" s="41"/>
      <c r="HY103" s="41"/>
      <c r="HZ103" s="41"/>
      <c r="IA103" s="41"/>
      <c r="IB103" s="41"/>
      <c r="IC103" s="41"/>
      <c r="ID103" s="41"/>
      <c r="IE103" s="41"/>
      <c r="IF103" s="41"/>
      <c r="IG103" s="41"/>
      <c r="IH103" s="41"/>
      <c r="II103" s="41"/>
      <c r="IJ103" s="41"/>
      <c r="IK103" s="41"/>
      <c r="IL103" s="41"/>
      <c r="IM103" s="41"/>
      <c r="IN103" s="41"/>
      <c r="IO103" s="41"/>
      <c r="IP103" s="41"/>
      <c r="IQ103" s="41"/>
      <c r="IR103" s="41"/>
      <c r="IS103" s="41"/>
      <c r="IT103" s="41"/>
      <c r="IU103" s="41"/>
    </row>
    <row r="104" spans="2:255">
      <c r="D104" s="4800" t="s">
        <v>1240</v>
      </c>
      <c r="E104" s="4606"/>
      <c r="F104" s="4606">
        <v>0</v>
      </c>
      <c r="G104" s="4606"/>
      <c r="H104" s="4606"/>
      <c r="I104" s="4606"/>
      <c r="J104" s="4606"/>
      <c r="K104" s="4606"/>
      <c r="L104" s="4606"/>
      <c r="M104" s="4606"/>
      <c r="N104" s="4606"/>
      <c r="O104" s="4606"/>
      <c r="P104" s="4606"/>
      <c r="Q104" s="4606">
        <v>0</v>
      </c>
      <c r="R104" s="4606">
        <v>1</v>
      </c>
      <c r="S104" s="2552">
        <v>0</v>
      </c>
      <c r="T104" s="2552"/>
      <c r="U104" s="2552">
        <v>1</v>
      </c>
      <c r="V104" s="2552"/>
      <c r="AA104" s="1793" t="s">
        <v>15</v>
      </c>
      <c r="AB104" s="4804">
        <v>0</v>
      </c>
      <c r="AC104" s="4804">
        <v>1</v>
      </c>
      <c r="AD104" s="4804"/>
      <c r="AE104" s="4804"/>
      <c r="AF104" s="4804"/>
      <c r="AG104" s="4804"/>
      <c r="AH104" s="4804"/>
      <c r="AI104" s="4804"/>
      <c r="AJ104" s="4804"/>
      <c r="AK104" s="4804"/>
      <c r="AL104" s="4804"/>
      <c r="AM104" s="4804"/>
      <c r="AN104" s="4804">
        <v>4</v>
      </c>
      <c r="AO104" s="4804">
        <v>1</v>
      </c>
      <c r="AP104" s="4702">
        <v>6</v>
      </c>
      <c r="AQ104" s="4702">
        <v>12</v>
      </c>
      <c r="AR104" s="4703">
        <f>+(AQ100+AQ103)/AQ104</f>
        <v>0.25</v>
      </c>
      <c r="AT104" s="41"/>
      <c r="AU104" s="41"/>
      <c r="AV104" s="41"/>
      <c r="AW104" s="41" t="s">
        <v>1344</v>
      </c>
      <c r="AX104" s="690"/>
      <c r="AY104" s="690"/>
      <c r="AZ104" s="690"/>
      <c r="BA104" s="690"/>
      <c r="BB104" s="690"/>
      <c r="BC104" s="690">
        <v>0</v>
      </c>
      <c r="BD104" s="690"/>
      <c r="BE104" s="690"/>
      <c r="BF104" s="690"/>
      <c r="BG104" s="690"/>
      <c r="BH104" s="690"/>
      <c r="BI104" s="690">
        <v>0</v>
      </c>
      <c r="BJ104" s="690">
        <v>1</v>
      </c>
      <c r="BK104" s="690">
        <v>0</v>
      </c>
      <c r="BL104" s="690">
        <v>0</v>
      </c>
      <c r="BM104" s="41"/>
      <c r="BN104" s="41"/>
      <c r="BO104" s="41">
        <v>1</v>
      </c>
      <c r="BP104" s="41"/>
      <c r="BR104" s="41"/>
      <c r="BS104" s="41"/>
      <c r="BT104" s="41"/>
      <c r="BU104" s="41" t="s">
        <v>1239</v>
      </c>
      <c r="BV104" s="2001"/>
      <c r="BW104" s="2001"/>
      <c r="BX104" s="2001"/>
      <c r="BY104" s="2001"/>
      <c r="BZ104" s="2001"/>
      <c r="CA104" s="2001"/>
      <c r="CB104" s="2001"/>
      <c r="CC104" s="2001">
        <v>0</v>
      </c>
      <c r="CD104" s="2001">
        <v>0</v>
      </c>
      <c r="CE104" s="2001">
        <v>0</v>
      </c>
      <c r="CF104" s="2001"/>
      <c r="CG104" s="2001"/>
      <c r="CH104" s="2001">
        <v>0</v>
      </c>
      <c r="CI104" s="2001">
        <v>0</v>
      </c>
      <c r="CJ104" s="2001">
        <v>7</v>
      </c>
      <c r="CK104" s="105"/>
      <c r="CL104" s="105">
        <v>1</v>
      </c>
      <c r="CM104" s="105">
        <v>8</v>
      </c>
      <c r="CN104" s="41"/>
      <c r="CR104" s="41"/>
      <c r="CS104" s="41" t="s">
        <v>1236</v>
      </c>
      <c r="CT104" s="1665">
        <v>0</v>
      </c>
      <c r="CU104" s="1665">
        <v>2</v>
      </c>
      <c r="CV104" s="1665"/>
      <c r="CW104" s="1665">
        <v>1</v>
      </c>
      <c r="CX104" s="1665"/>
      <c r="CY104" s="1665"/>
      <c r="CZ104" s="1665"/>
      <c r="DA104" s="1665"/>
      <c r="DB104" s="1665">
        <v>0</v>
      </c>
      <c r="DC104" s="1665">
        <v>1</v>
      </c>
      <c r="DD104" s="1665">
        <v>0</v>
      </c>
      <c r="DE104" s="1665"/>
      <c r="DF104" s="1665">
        <v>0</v>
      </c>
      <c r="DG104" s="1665">
        <v>1</v>
      </c>
      <c r="DH104" s="1665">
        <v>0</v>
      </c>
      <c r="DI104" s="41">
        <v>0</v>
      </c>
      <c r="DJ104" s="41">
        <v>0</v>
      </c>
      <c r="DK104" s="41">
        <v>5</v>
      </c>
      <c r="DL104" s="41"/>
      <c r="DN104" s="1375"/>
      <c r="DO104" s="1375"/>
      <c r="DP104" s="1375"/>
      <c r="DQ104" s="1376" t="s">
        <v>1239</v>
      </c>
      <c r="DR104" s="1377"/>
      <c r="DS104" s="1377"/>
      <c r="DT104" s="1377"/>
      <c r="DU104" s="1377"/>
      <c r="DV104" s="1377"/>
      <c r="DW104" s="1377"/>
      <c r="DX104" s="1377"/>
      <c r="DY104" s="1377"/>
      <c r="DZ104" s="1377"/>
      <c r="EA104" s="1378">
        <v>0</v>
      </c>
      <c r="EB104" s="1378">
        <v>0</v>
      </c>
      <c r="EC104" s="1378">
        <v>0</v>
      </c>
      <c r="ED104" s="1378">
        <v>1</v>
      </c>
      <c r="EE104" s="1379"/>
      <c r="EF104" s="1379"/>
      <c r="EG104" s="1380">
        <v>1</v>
      </c>
      <c r="EH104" s="41"/>
      <c r="EJ104" s="678"/>
      <c r="EK104" s="678"/>
      <c r="EL104" s="678"/>
      <c r="EM104" s="679" t="s">
        <v>1231</v>
      </c>
      <c r="EN104" s="680"/>
      <c r="EO104" s="680"/>
      <c r="EP104" s="680"/>
      <c r="EQ104" s="680"/>
      <c r="ER104" s="680"/>
      <c r="ES104" s="680"/>
      <c r="ET104" s="680"/>
      <c r="EU104" s="680"/>
      <c r="EV104" s="680"/>
      <c r="EW104" s="680"/>
      <c r="EX104" s="680"/>
      <c r="EY104" s="680"/>
      <c r="EZ104" s="681">
        <v>0</v>
      </c>
      <c r="FA104" s="681">
        <v>2</v>
      </c>
      <c r="FB104" s="681">
        <v>0</v>
      </c>
      <c r="FC104" s="683">
        <v>0</v>
      </c>
      <c r="FD104" s="683">
        <v>0</v>
      </c>
      <c r="FE104" s="683">
        <v>2</v>
      </c>
      <c r="FF104" s="105"/>
      <c r="FH104" s="511"/>
      <c r="FI104" s="511"/>
      <c r="FJ104" s="511"/>
      <c r="FK104" s="511"/>
      <c r="FL104" s="512" t="s">
        <v>1235</v>
      </c>
      <c r="FM104" s="684"/>
      <c r="FN104" s="684"/>
      <c r="FO104" s="684"/>
      <c r="FP104" s="684"/>
      <c r="FQ104" s="684"/>
      <c r="FR104" s="684"/>
      <c r="FS104" s="684"/>
      <c r="FT104" s="684"/>
      <c r="FU104" s="684"/>
      <c r="FV104" s="685">
        <v>0</v>
      </c>
      <c r="FW104" s="685">
        <v>0</v>
      </c>
      <c r="FX104" s="685">
        <v>0</v>
      </c>
      <c r="FY104" s="685">
        <v>0</v>
      </c>
      <c r="FZ104" s="685">
        <v>0</v>
      </c>
      <c r="GA104" s="685">
        <v>1</v>
      </c>
      <c r="GB104" s="686"/>
      <c r="GC104" s="686"/>
      <c r="GD104" s="687">
        <v>1</v>
      </c>
      <c r="GE104" s="635"/>
      <c r="GF104" s="41"/>
      <c r="GG104" s="688"/>
      <c r="GH104" s="688"/>
      <c r="GI104" s="688"/>
      <c r="GJ104" s="457" t="s">
        <v>1240</v>
      </c>
      <c r="GK104" s="689"/>
      <c r="GL104" s="689"/>
      <c r="GM104" s="689"/>
      <c r="GN104" s="689"/>
      <c r="GO104" s="689"/>
      <c r="GP104" s="689"/>
      <c r="GQ104" s="689"/>
      <c r="GR104" s="689"/>
      <c r="GS104" s="458">
        <v>0</v>
      </c>
      <c r="GT104" s="458">
        <v>0</v>
      </c>
      <c r="GU104" s="458">
        <v>1</v>
      </c>
      <c r="GV104" s="458">
        <v>0</v>
      </c>
      <c r="GW104" s="458">
        <v>0</v>
      </c>
      <c r="GX104" s="458">
        <v>1</v>
      </c>
      <c r="GY104" s="690"/>
      <c r="GZ104" s="41"/>
      <c r="HA104" s="41"/>
      <c r="HB104" s="105"/>
      <c r="HC104" s="105"/>
      <c r="HD104" s="41"/>
      <c r="HE104" s="461" t="s">
        <v>15</v>
      </c>
      <c r="HF104" s="96"/>
      <c r="HG104" s="96">
        <v>1</v>
      </c>
      <c r="HH104" s="96"/>
      <c r="HI104" s="96"/>
      <c r="HJ104" s="96"/>
      <c r="HK104" s="96"/>
      <c r="HL104" s="96"/>
      <c r="HM104" s="96">
        <v>5</v>
      </c>
      <c r="HN104" s="96">
        <v>4</v>
      </c>
      <c r="HO104" s="96">
        <v>1</v>
      </c>
      <c r="HP104" s="96"/>
      <c r="HQ104" s="96"/>
      <c r="HR104" s="96">
        <v>1</v>
      </c>
      <c r="HS104" s="96"/>
      <c r="HT104" s="96"/>
      <c r="HU104" s="96"/>
      <c r="HV104" s="96">
        <v>12</v>
      </c>
      <c r="HW104" s="706">
        <f>+HV103/HV104</f>
        <v>0.16666666666666666</v>
      </c>
      <c r="HX104" s="41"/>
      <c r="HY104" s="41"/>
      <c r="HZ104" s="41"/>
      <c r="IA104" s="41"/>
      <c r="IB104" s="41"/>
      <c r="IC104" s="41"/>
      <c r="ID104" s="41"/>
      <c r="IE104" s="41"/>
      <c r="IF104" s="41"/>
      <c r="IG104" s="41"/>
      <c r="IH104" s="41"/>
      <c r="II104" s="41"/>
      <c r="IJ104" s="41"/>
      <c r="IK104" s="41"/>
      <c r="IL104" s="41"/>
      <c r="IM104" s="41"/>
      <c r="IN104" s="41"/>
      <c r="IO104" s="41"/>
      <c r="IP104" s="41"/>
      <c r="IQ104" s="41"/>
      <c r="IR104" s="41"/>
      <c r="IS104" s="41"/>
      <c r="IT104" s="41"/>
      <c r="IU104" s="41"/>
    </row>
    <row r="105" spans="2:255">
      <c r="D105" s="4800" t="s">
        <v>15</v>
      </c>
      <c r="E105" s="4606"/>
      <c r="F105" s="4606">
        <v>1</v>
      </c>
      <c r="G105" s="4606"/>
      <c r="H105" s="4606"/>
      <c r="I105" s="4606"/>
      <c r="J105" s="4606"/>
      <c r="K105" s="4606"/>
      <c r="L105" s="4606"/>
      <c r="M105" s="4606"/>
      <c r="N105" s="4606"/>
      <c r="O105" s="4606"/>
      <c r="P105" s="4606"/>
      <c r="Q105" s="4606">
        <v>2</v>
      </c>
      <c r="R105" s="4606">
        <v>3</v>
      </c>
      <c r="S105" s="2552">
        <v>6</v>
      </c>
      <c r="T105" s="2552"/>
      <c r="U105" s="2552">
        <v>12</v>
      </c>
      <c r="V105" s="1977">
        <f>+(U101+U104)/(U105)</f>
        <v>0.41666666666666669</v>
      </c>
      <c r="Z105" s="1793" t="s">
        <v>545</v>
      </c>
      <c r="AA105" s="1793" t="s">
        <v>1231</v>
      </c>
      <c r="AB105" s="4804">
        <v>0</v>
      </c>
      <c r="AC105" s="4804">
        <v>0</v>
      </c>
      <c r="AD105" s="4804"/>
      <c r="AE105" s="4804"/>
      <c r="AF105" s="4804"/>
      <c r="AG105" s="4804">
        <v>0</v>
      </c>
      <c r="AH105" s="4804">
        <v>0</v>
      </c>
      <c r="AI105" s="4804"/>
      <c r="AJ105" s="4804">
        <v>0</v>
      </c>
      <c r="AK105" s="4804">
        <v>0</v>
      </c>
      <c r="AL105" s="4804">
        <v>0</v>
      </c>
      <c r="AM105" s="4804">
        <v>0</v>
      </c>
      <c r="AN105" s="4804">
        <v>2</v>
      </c>
      <c r="AO105" s="4804">
        <v>0</v>
      </c>
      <c r="AP105" s="4702">
        <v>0</v>
      </c>
      <c r="AQ105" s="4702">
        <v>2</v>
      </c>
      <c r="AR105" s="1793"/>
      <c r="AT105" s="41"/>
      <c r="AU105" s="41"/>
      <c r="AV105" s="41"/>
      <c r="AW105" s="461" t="s">
        <v>15</v>
      </c>
      <c r="AX105" s="2489"/>
      <c r="AY105" s="2489"/>
      <c r="AZ105" s="2489"/>
      <c r="BA105" s="2489"/>
      <c r="BB105" s="2489"/>
      <c r="BC105" s="2489">
        <v>1</v>
      </c>
      <c r="BD105" s="2489"/>
      <c r="BE105" s="2489"/>
      <c r="BF105" s="2489"/>
      <c r="BG105" s="2489"/>
      <c r="BH105" s="2489"/>
      <c r="BI105" s="2489">
        <v>1</v>
      </c>
      <c r="BJ105" s="2489">
        <v>3</v>
      </c>
      <c r="BK105" s="2489">
        <v>9</v>
      </c>
      <c r="BL105" s="2489">
        <v>6</v>
      </c>
      <c r="BM105" s="461"/>
      <c r="BN105" s="461"/>
      <c r="BO105" s="461">
        <v>20</v>
      </c>
      <c r="BP105" s="635">
        <f>+(BO104+BO102)/BO105</f>
        <v>0.1</v>
      </c>
      <c r="BQ105" s="1977"/>
      <c r="BR105" s="41"/>
      <c r="BS105" s="41"/>
      <c r="BT105" s="41"/>
      <c r="BU105" s="41" t="s">
        <v>1344</v>
      </c>
      <c r="BV105" s="2001"/>
      <c r="BW105" s="2001"/>
      <c r="BX105" s="2001"/>
      <c r="BY105" s="2001"/>
      <c r="BZ105" s="2001"/>
      <c r="CA105" s="2001"/>
      <c r="CB105" s="2001"/>
      <c r="CC105" s="2001">
        <v>0</v>
      </c>
      <c r="CD105" s="2001">
        <v>0</v>
      </c>
      <c r="CE105" s="2001">
        <v>1</v>
      </c>
      <c r="CF105" s="2001"/>
      <c r="CG105" s="2001"/>
      <c r="CH105" s="2001">
        <v>0</v>
      </c>
      <c r="CI105" s="2001">
        <v>0</v>
      </c>
      <c r="CJ105" s="2001">
        <v>0</v>
      </c>
      <c r="CK105" s="105"/>
      <c r="CL105" s="105">
        <v>0</v>
      </c>
      <c r="CM105" s="105">
        <v>1</v>
      </c>
      <c r="CN105" s="41"/>
      <c r="CR105" s="41"/>
      <c r="CS105" s="41" t="s">
        <v>1239</v>
      </c>
      <c r="CT105" s="1665">
        <v>0</v>
      </c>
      <c r="CU105" s="1665">
        <v>0</v>
      </c>
      <c r="CV105" s="1665"/>
      <c r="CW105" s="1665">
        <v>0</v>
      </c>
      <c r="CX105" s="1665"/>
      <c r="CY105" s="1665"/>
      <c r="CZ105" s="1665"/>
      <c r="DA105" s="1665"/>
      <c r="DB105" s="1665">
        <v>0</v>
      </c>
      <c r="DC105" s="1665">
        <v>0</v>
      </c>
      <c r="DD105" s="1665">
        <v>0</v>
      </c>
      <c r="DE105" s="1665"/>
      <c r="DF105" s="1665">
        <v>0</v>
      </c>
      <c r="DG105" s="1665">
        <v>1</v>
      </c>
      <c r="DH105" s="1665">
        <v>8</v>
      </c>
      <c r="DI105" s="41">
        <v>2</v>
      </c>
      <c r="DJ105" s="41">
        <v>8</v>
      </c>
      <c r="DK105" s="41">
        <v>19</v>
      </c>
      <c r="DL105" s="41"/>
      <c r="DN105" s="1375"/>
      <c r="DO105" s="1375"/>
      <c r="DP105" s="1375"/>
      <c r="DQ105" s="1376" t="s">
        <v>1344</v>
      </c>
      <c r="DR105" s="1377"/>
      <c r="DS105" s="1377"/>
      <c r="DT105" s="1377"/>
      <c r="DU105" s="1377"/>
      <c r="DV105" s="1377"/>
      <c r="DW105" s="1377"/>
      <c r="DX105" s="1377"/>
      <c r="DY105" s="1377"/>
      <c r="DZ105" s="1377"/>
      <c r="EA105" s="1378">
        <v>2</v>
      </c>
      <c r="EB105" s="1378">
        <v>0</v>
      </c>
      <c r="EC105" s="1378">
        <v>3</v>
      </c>
      <c r="ED105" s="1378">
        <v>0</v>
      </c>
      <c r="EE105" s="1379"/>
      <c r="EF105" s="1379"/>
      <c r="EG105" s="1380">
        <v>5</v>
      </c>
      <c r="EH105" s="41"/>
      <c r="EJ105" s="678"/>
      <c r="EK105" s="678"/>
      <c r="EL105" s="678"/>
      <c r="EM105" s="679" t="s">
        <v>1235</v>
      </c>
      <c r="EN105" s="680"/>
      <c r="EO105" s="680"/>
      <c r="EP105" s="680"/>
      <c r="EQ105" s="680"/>
      <c r="ER105" s="680"/>
      <c r="ES105" s="680"/>
      <c r="ET105" s="680"/>
      <c r="EU105" s="680"/>
      <c r="EV105" s="680"/>
      <c r="EW105" s="680"/>
      <c r="EX105" s="680"/>
      <c r="EY105" s="680"/>
      <c r="EZ105" s="681">
        <v>4</v>
      </c>
      <c r="FA105" s="681">
        <v>5</v>
      </c>
      <c r="FB105" s="681">
        <v>0</v>
      </c>
      <c r="FC105" s="683">
        <v>0</v>
      </c>
      <c r="FD105" s="683">
        <v>0</v>
      </c>
      <c r="FE105" s="683">
        <v>9</v>
      </c>
      <c r="FF105" s="105"/>
      <c r="FH105" s="511"/>
      <c r="FI105" s="511"/>
      <c r="FJ105" s="511"/>
      <c r="FK105" s="511"/>
      <c r="FL105" s="512" t="s">
        <v>1239</v>
      </c>
      <c r="FM105" s="684"/>
      <c r="FN105" s="684"/>
      <c r="FO105" s="684"/>
      <c r="FP105" s="684"/>
      <c r="FQ105" s="684"/>
      <c r="FR105" s="684"/>
      <c r="FS105" s="684"/>
      <c r="FT105" s="684"/>
      <c r="FU105" s="684"/>
      <c r="FV105" s="685">
        <v>0</v>
      </c>
      <c r="FW105" s="685">
        <v>0</v>
      </c>
      <c r="FX105" s="685">
        <v>0</v>
      </c>
      <c r="FY105" s="685">
        <v>0</v>
      </c>
      <c r="FZ105" s="685">
        <v>0</v>
      </c>
      <c r="GA105" s="685">
        <v>2</v>
      </c>
      <c r="GB105" s="686"/>
      <c r="GC105" s="686"/>
      <c r="GD105" s="687">
        <v>2</v>
      </c>
      <c r="GE105" s="635"/>
      <c r="GF105" s="41"/>
      <c r="GG105" s="688"/>
      <c r="GH105" s="688"/>
      <c r="GI105" s="688"/>
      <c r="GJ105" s="457" t="s">
        <v>1344</v>
      </c>
      <c r="GK105" s="689"/>
      <c r="GL105" s="689"/>
      <c r="GM105" s="689"/>
      <c r="GN105" s="689"/>
      <c r="GO105" s="689"/>
      <c r="GP105" s="689"/>
      <c r="GQ105" s="689"/>
      <c r="GR105" s="689"/>
      <c r="GS105" s="458">
        <v>2</v>
      </c>
      <c r="GT105" s="458">
        <v>0</v>
      </c>
      <c r="GU105" s="458">
        <v>0</v>
      </c>
      <c r="GV105" s="458">
        <v>0</v>
      </c>
      <c r="GW105" s="458">
        <v>0</v>
      </c>
      <c r="GX105" s="458">
        <v>2</v>
      </c>
      <c r="GY105" s="690"/>
      <c r="GZ105" s="41"/>
      <c r="HA105" s="41"/>
      <c r="HB105" s="105"/>
      <c r="HC105" s="105"/>
      <c r="HD105" s="41" t="s">
        <v>333</v>
      </c>
      <c r="HE105" s="41" t="s">
        <v>1231</v>
      </c>
      <c r="HF105" s="105"/>
      <c r="HG105" s="105"/>
      <c r="HH105" s="105"/>
      <c r="HI105" s="105">
        <v>1</v>
      </c>
      <c r="HJ105" s="105"/>
      <c r="HK105" s="105"/>
      <c r="HL105" s="105"/>
      <c r="HM105" s="105"/>
      <c r="HN105" s="105">
        <v>0</v>
      </c>
      <c r="HO105" s="105">
        <v>0</v>
      </c>
      <c r="HP105" s="105">
        <v>1</v>
      </c>
      <c r="HQ105" s="105"/>
      <c r="HR105" s="105">
        <v>0</v>
      </c>
      <c r="HS105" s="105">
        <v>0</v>
      </c>
      <c r="HT105" s="105"/>
      <c r="HU105" s="105">
        <v>0</v>
      </c>
      <c r="HV105" s="105">
        <v>2</v>
      </c>
      <c r="HW105" s="41"/>
      <c r="HX105" s="41"/>
      <c r="HY105" s="41"/>
      <c r="HZ105" s="41"/>
      <c r="IA105" s="41"/>
      <c r="IB105" s="41"/>
      <c r="IC105" s="41"/>
      <c r="ID105" s="41"/>
      <c r="IE105" s="41"/>
      <c r="IF105" s="41"/>
      <c r="IG105" s="41"/>
      <c r="IH105" s="41"/>
      <c r="II105" s="41"/>
      <c r="IJ105" s="41"/>
      <c r="IK105" s="41"/>
      <c r="IL105" s="41"/>
      <c r="IM105" s="41"/>
      <c r="IN105" s="41"/>
      <c r="IO105" s="41"/>
      <c r="IP105" s="41"/>
      <c r="IQ105" s="41"/>
      <c r="IR105" s="41"/>
      <c r="IS105" s="41"/>
      <c r="IT105" s="41"/>
      <c r="IU105" s="41"/>
    </row>
    <row r="106" spans="2:255" ht="15" thickBot="1">
      <c r="C106" s="32" t="s">
        <v>545</v>
      </c>
      <c r="D106" s="32" t="s">
        <v>1235</v>
      </c>
      <c r="E106" s="4607"/>
      <c r="F106" s="4607">
        <v>0</v>
      </c>
      <c r="G106" s="4607"/>
      <c r="H106" s="4607"/>
      <c r="I106" s="4607"/>
      <c r="J106" s="4607">
        <v>0</v>
      </c>
      <c r="K106" s="4607">
        <v>0</v>
      </c>
      <c r="L106" s="4607"/>
      <c r="M106" s="4607">
        <v>0</v>
      </c>
      <c r="N106" s="4607">
        <v>0</v>
      </c>
      <c r="O106" s="4607">
        <v>0</v>
      </c>
      <c r="P106" s="4607">
        <v>0</v>
      </c>
      <c r="Q106" s="4607">
        <v>14</v>
      </c>
      <c r="R106" s="4607">
        <v>0</v>
      </c>
      <c r="S106" s="4583">
        <v>2</v>
      </c>
      <c r="T106" s="4583"/>
      <c r="U106" s="4583">
        <v>16</v>
      </c>
      <c r="V106" s="4583"/>
      <c r="Z106" s="1793"/>
      <c r="AA106" s="1793" t="s">
        <v>1235</v>
      </c>
      <c r="AB106" s="4804">
        <v>0</v>
      </c>
      <c r="AC106" s="4804">
        <v>0</v>
      </c>
      <c r="AD106" s="4804"/>
      <c r="AE106" s="4804"/>
      <c r="AF106" s="4804"/>
      <c r="AG106" s="4804">
        <v>0</v>
      </c>
      <c r="AH106" s="4804">
        <v>0</v>
      </c>
      <c r="AI106" s="4804"/>
      <c r="AJ106" s="4804">
        <v>0</v>
      </c>
      <c r="AK106" s="4804">
        <v>1</v>
      </c>
      <c r="AL106" s="4804">
        <v>0</v>
      </c>
      <c r="AM106" s="4804">
        <v>2</v>
      </c>
      <c r="AN106" s="4804">
        <v>2</v>
      </c>
      <c r="AO106" s="4804">
        <v>0</v>
      </c>
      <c r="AP106" s="4702">
        <v>0</v>
      </c>
      <c r="AQ106" s="4702">
        <v>5</v>
      </c>
      <c r="AR106" s="1793"/>
      <c r="AT106" s="41"/>
      <c r="AU106" s="41"/>
      <c r="AV106" s="41" t="s">
        <v>125</v>
      </c>
      <c r="AW106" s="41" t="s">
        <v>1231</v>
      </c>
      <c r="AX106" s="690"/>
      <c r="AY106" s="690">
        <v>0</v>
      </c>
      <c r="AZ106" s="690"/>
      <c r="BA106" s="690">
        <v>1</v>
      </c>
      <c r="BB106" s="690"/>
      <c r="BC106" s="690"/>
      <c r="BD106" s="690"/>
      <c r="BE106" s="690"/>
      <c r="BF106" s="690"/>
      <c r="BG106" s="690"/>
      <c r="BH106" s="690"/>
      <c r="BI106" s="690"/>
      <c r="BJ106" s="690">
        <v>0</v>
      </c>
      <c r="BK106" s="690">
        <v>0</v>
      </c>
      <c r="BL106" s="690">
        <v>0</v>
      </c>
      <c r="BM106" s="41"/>
      <c r="BN106" s="41"/>
      <c r="BO106" s="41">
        <v>1</v>
      </c>
      <c r="BP106" s="41"/>
      <c r="BR106" s="41"/>
      <c r="BS106" s="41"/>
      <c r="BT106" s="41"/>
      <c r="BU106" s="461" t="s">
        <v>15</v>
      </c>
      <c r="BV106" s="2002"/>
      <c r="BW106" s="2002"/>
      <c r="BX106" s="2002"/>
      <c r="BY106" s="2002"/>
      <c r="BZ106" s="2002"/>
      <c r="CA106" s="2002"/>
      <c r="CB106" s="2002"/>
      <c r="CC106" s="2002">
        <v>2</v>
      </c>
      <c r="CD106" s="2002">
        <v>1</v>
      </c>
      <c r="CE106" s="2002">
        <v>1</v>
      </c>
      <c r="CF106" s="2002"/>
      <c r="CG106" s="2002"/>
      <c r="CH106" s="2002">
        <v>1</v>
      </c>
      <c r="CI106" s="2002">
        <v>2</v>
      </c>
      <c r="CJ106" s="2002">
        <v>7</v>
      </c>
      <c r="CK106" s="96"/>
      <c r="CL106" s="96">
        <v>1</v>
      </c>
      <c r="CM106" s="96">
        <v>15</v>
      </c>
      <c r="CN106" s="635">
        <f>+(CM103+CM105)/CM106</f>
        <v>0.2</v>
      </c>
      <c r="CR106" s="41"/>
      <c r="CS106" s="41" t="s">
        <v>1344</v>
      </c>
      <c r="CT106" s="1665">
        <v>0</v>
      </c>
      <c r="CU106" s="1665">
        <v>0</v>
      </c>
      <c r="CV106" s="1665"/>
      <c r="CW106" s="1665">
        <v>0</v>
      </c>
      <c r="CX106" s="1665"/>
      <c r="CY106" s="1665"/>
      <c r="CZ106" s="1665"/>
      <c r="DA106" s="1665"/>
      <c r="DB106" s="1665">
        <v>0</v>
      </c>
      <c r="DC106" s="1665">
        <v>0</v>
      </c>
      <c r="DD106" s="1665">
        <v>0</v>
      </c>
      <c r="DE106" s="1665"/>
      <c r="DF106" s="1665">
        <v>8</v>
      </c>
      <c r="DG106" s="1665">
        <v>2</v>
      </c>
      <c r="DH106" s="1665">
        <v>0</v>
      </c>
      <c r="DI106" s="41">
        <v>0</v>
      </c>
      <c r="DJ106" s="41">
        <v>0</v>
      </c>
      <c r="DK106" s="41">
        <v>10</v>
      </c>
      <c r="DL106" s="41"/>
      <c r="DN106" s="1375"/>
      <c r="DO106" s="1375"/>
      <c r="DP106" s="1375"/>
      <c r="DQ106" s="1372" t="s">
        <v>15</v>
      </c>
      <c r="DR106" s="1381"/>
      <c r="DS106" s="1381"/>
      <c r="DT106" s="1381"/>
      <c r="DU106" s="1381"/>
      <c r="DV106" s="1381"/>
      <c r="DW106" s="1381"/>
      <c r="DX106" s="1381"/>
      <c r="DY106" s="1381"/>
      <c r="DZ106" s="1381"/>
      <c r="EA106" s="1382">
        <v>2</v>
      </c>
      <c r="EB106" s="1382">
        <v>2</v>
      </c>
      <c r="EC106" s="1382">
        <v>5</v>
      </c>
      <c r="ED106" s="1382">
        <v>3</v>
      </c>
      <c r="EE106" s="1383"/>
      <c r="EF106" s="1383"/>
      <c r="EG106" s="1384">
        <v>12</v>
      </c>
      <c r="EH106" s="1325">
        <f>+(EG103+EG105)/EG106</f>
        <v>0.66666666666666663</v>
      </c>
      <c r="EJ106" s="678"/>
      <c r="EK106" s="678"/>
      <c r="EL106" s="678"/>
      <c r="EM106" s="679" t="s">
        <v>1239</v>
      </c>
      <c r="EN106" s="680"/>
      <c r="EO106" s="680"/>
      <c r="EP106" s="680"/>
      <c r="EQ106" s="680"/>
      <c r="ER106" s="680"/>
      <c r="ES106" s="680"/>
      <c r="ET106" s="680"/>
      <c r="EU106" s="680"/>
      <c r="EV106" s="680"/>
      <c r="EW106" s="680"/>
      <c r="EX106" s="680"/>
      <c r="EY106" s="680"/>
      <c r="EZ106" s="681">
        <v>0</v>
      </c>
      <c r="FA106" s="681">
        <v>0</v>
      </c>
      <c r="FB106" s="681">
        <v>1</v>
      </c>
      <c r="FC106" s="683">
        <v>1</v>
      </c>
      <c r="FD106" s="683">
        <v>6</v>
      </c>
      <c r="FE106" s="683">
        <v>8</v>
      </c>
      <c r="FF106" s="105"/>
      <c r="FH106" s="511"/>
      <c r="FI106" s="511"/>
      <c r="FJ106" s="511"/>
      <c r="FK106" s="511"/>
      <c r="FL106" s="512" t="s">
        <v>1344</v>
      </c>
      <c r="FM106" s="684"/>
      <c r="FN106" s="684"/>
      <c r="FO106" s="684"/>
      <c r="FP106" s="684"/>
      <c r="FQ106" s="684"/>
      <c r="FR106" s="684"/>
      <c r="FS106" s="684"/>
      <c r="FT106" s="684"/>
      <c r="FU106" s="684"/>
      <c r="FV106" s="685">
        <v>0</v>
      </c>
      <c r="FW106" s="685">
        <v>1</v>
      </c>
      <c r="FX106" s="685">
        <v>1</v>
      </c>
      <c r="FY106" s="685">
        <v>1</v>
      </c>
      <c r="FZ106" s="685">
        <v>1</v>
      </c>
      <c r="GA106" s="685">
        <v>2</v>
      </c>
      <c r="GB106" s="686"/>
      <c r="GC106" s="686"/>
      <c r="GD106" s="687">
        <v>6</v>
      </c>
      <c r="GE106" s="635"/>
      <c r="GF106" s="41"/>
      <c r="GG106" s="712"/>
      <c r="GH106" s="712"/>
      <c r="GI106" s="712"/>
      <c r="GJ106" s="713" t="s">
        <v>15</v>
      </c>
      <c r="GK106" s="714"/>
      <c r="GL106" s="714"/>
      <c r="GM106" s="714"/>
      <c r="GN106" s="714"/>
      <c r="GO106" s="714"/>
      <c r="GP106" s="714"/>
      <c r="GQ106" s="714"/>
      <c r="GR106" s="714"/>
      <c r="GS106" s="467">
        <v>2</v>
      </c>
      <c r="GT106" s="467">
        <v>1</v>
      </c>
      <c r="GU106" s="467">
        <v>3</v>
      </c>
      <c r="GV106" s="467">
        <v>1</v>
      </c>
      <c r="GW106" s="467">
        <v>4</v>
      </c>
      <c r="GX106" s="467">
        <v>11</v>
      </c>
      <c r="GY106" s="642">
        <f>+(GX105+GX104+GX102-GV102)/GX106</f>
        <v>0.27272727272727271</v>
      </c>
      <c r="GZ106" s="41"/>
      <c r="HA106" s="41"/>
      <c r="HB106" s="105"/>
      <c r="HC106" s="105"/>
      <c r="HD106" s="41"/>
      <c r="HE106" s="41" t="s">
        <v>1239</v>
      </c>
      <c r="HF106" s="105"/>
      <c r="HG106" s="105"/>
      <c r="HH106" s="105"/>
      <c r="HI106" s="105">
        <v>0</v>
      </c>
      <c r="HJ106" s="105"/>
      <c r="HK106" s="105"/>
      <c r="HL106" s="105"/>
      <c r="HM106" s="105"/>
      <c r="HN106" s="105">
        <v>0</v>
      </c>
      <c r="HO106" s="105">
        <v>0</v>
      </c>
      <c r="HP106" s="105">
        <v>0</v>
      </c>
      <c r="HQ106" s="105"/>
      <c r="HR106" s="105">
        <v>2</v>
      </c>
      <c r="HS106" s="105">
        <v>1</v>
      </c>
      <c r="HT106" s="105"/>
      <c r="HU106" s="105">
        <v>1</v>
      </c>
      <c r="HV106" s="105">
        <v>4</v>
      </c>
      <c r="HW106" s="41"/>
      <c r="HX106" s="41"/>
      <c r="HY106" s="41"/>
      <c r="HZ106" s="41"/>
      <c r="IA106" s="41"/>
      <c r="IB106" s="41"/>
      <c r="IC106" s="41"/>
      <c r="ID106" s="41"/>
      <c r="IE106" s="41"/>
      <c r="IF106" s="41"/>
      <c r="IG106" s="41"/>
      <c r="IH106" s="41"/>
      <c r="II106" s="41"/>
      <c r="IJ106" s="41"/>
      <c r="IK106" s="41"/>
      <c r="IL106" s="41"/>
      <c r="IM106" s="41"/>
      <c r="IN106" s="41"/>
      <c r="IO106" s="41"/>
      <c r="IP106" s="41"/>
      <c r="IQ106" s="41"/>
      <c r="IR106" s="41"/>
      <c r="IS106" s="41"/>
      <c r="IT106" s="41"/>
      <c r="IU106" s="41"/>
    </row>
    <row r="107" spans="2:255">
      <c r="C107" s="32"/>
      <c r="D107" s="32" t="s">
        <v>1236</v>
      </c>
      <c r="E107" s="4607"/>
      <c r="F107" s="4607">
        <v>1</v>
      </c>
      <c r="G107" s="4607"/>
      <c r="H107" s="4607"/>
      <c r="I107" s="4607"/>
      <c r="J107" s="4607">
        <v>1</v>
      </c>
      <c r="K107" s="4607">
        <v>1</v>
      </c>
      <c r="L107" s="4607"/>
      <c r="M107" s="4607">
        <v>0</v>
      </c>
      <c r="N107" s="4607">
        <v>0</v>
      </c>
      <c r="O107" s="4607">
        <v>2</v>
      </c>
      <c r="P107" s="4607">
        <v>0</v>
      </c>
      <c r="Q107" s="4607">
        <v>0</v>
      </c>
      <c r="R107" s="4607">
        <v>0</v>
      </c>
      <c r="S107" s="4583">
        <v>0</v>
      </c>
      <c r="T107" s="4583"/>
      <c r="U107" s="4583">
        <v>5</v>
      </c>
      <c r="V107" s="4583"/>
      <c r="Z107" s="1793"/>
      <c r="AA107" s="1793" t="s">
        <v>1236</v>
      </c>
      <c r="AB107" s="4804">
        <v>0</v>
      </c>
      <c r="AC107" s="4804">
        <v>1</v>
      </c>
      <c r="AD107" s="4804"/>
      <c r="AE107" s="4804"/>
      <c r="AF107" s="4804"/>
      <c r="AG107" s="4804">
        <v>1</v>
      </c>
      <c r="AH107" s="4804">
        <v>1</v>
      </c>
      <c r="AI107" s="4804"/>
      <c r="AJ107" s="4804">
        <v>0</v>
      </c>
      <c r="AK107" s="4804">
        <v>0</v>
      </c>
      <c r="AL107" s="4804">
        <v>2</v>
      </c>
      <c r="AM107" s="4804">
        <v>0</v>
      </c>
      <c r="AN107" s="4804">
        <v>0</v>
      </c>
      <c r="AO107" s="4804">
        <v>0</v>
      </c>
      <c r="AP107" s="4702">
        <v>0</v>
      </c>
      <c r="AQ107" s="4702">
        <v>5</v>
      </c>
      <c r="AR107" s="1793"/>
      <c r="AT107" s="41"/>
      <c r="AU107" s="41"/>
      <c r="AV107" s="41"/>
      <c r="AW107" s="41" t="s">
        <v>1235</v>
      </c>
      <c r="AX107" s="690"/>
      <c r="AY107" s="690">
        <v>0</v>
      </c>
      <c r="AZ107" s="690"/>
      <c r="BA107" s="690">
        <v>0</v>
      </c>
      <c r="BB107" s="690"/>
      <c r="BC107" s="690"/>
      <c r="BD107" s="690"/>
      <c r="BE107" s="690"/>
      <c r="BF107" s="690"/>
      <c r="BG107" s="690"/>
      <c r="BH107" s="690"/>
      <c r="BI107" s="690"/>
      <c r="BJ107" s="690">
        <v>4</v>
      </c>
      <c r="BK107" s="690">
        <v>5</v>
      </c>
      <c r="BL107" s="690">
        <v>0</v>
      </c>
      <c r="BM107" s="41"/>
      <c r="BN107" s="41"/>
      <c r="BO107" s="41">
        <v>9</v>
      </c>
      <c r="BP107" s="41"/>
      <c r="BR107" s="41"/>
      <c r="BS107" s="41"/>
      <c r="BT107" s="41" t="s">
        <v>547</v>
      </c>
      <c r="BU107" s="41" t="s">
        <v>1231</v>
      </c>
      <c r="BV107" s="2001">
        <v>1</v>
      </c>
      <c r="BW107" s="2001">
        <v>0</v>
      </c>
      <c r="BX107" s="2001">
        <v>1</v>
      </c>
      <c r="BY107" s="2001"/>
      <c r="BZ107" s="2001"/>
      <c r="CA107" s="2001"/>
      <c r="CB107" s="2001">
        <v>1</v>
      </c>
      <c r="CC107" s="2001">
        <v>1</v>
      </c>
      <c r="CD107" s="2001">
        <v>1</v>
      </c>
      <c r="CE107" s="2001">
        <v>0</v>
      </c>
      <c r="CF107" s="2001"/>
      <c r="CG107" s="2001">
        <v>0</v>
      </c>
      <c r="CH107" s="2001">
        <v>2</v>
      </c>
      <c r="CI107" s="2001">
        <v>4</v>
      </c>
      <c r="CJ107" s="2001">
        <v>1</v>
      </c>
      <c r="CK107" s="105">
        <v>1</v>
      </c>
      <c r="CL107" s="105">
        <v>0</v>
      </c>
      <c r="CM107" s="105">
        <v>13</v>
      </c>
      <c r="CN107" s="41"/>
      <c r="CR107" s="41"/>
      <c r="CS107" s="461" t="s">
        <v>545</v>
      </c>
      <c r="CT107" s="1666">
        <v>1</v>
      </c>
      <c r="CU107" s="1666">
        <v>4</v>
      </c>
      <c r="CV107" s="1666"/>
      <c r="CW107" s="1666">
        <v>2</v>
      </c>
      <c r="CX107" s="1666"/>
      <c r="CY107" s="1666"/>
      <c r="CZ107" s="1666"/>
      <c r="DA107" s="1666"/>
      <c r="DB107" s="1666">
        <v>1</v>
      </c>
      <c r="DC107" s="1666">
        <v>1</v>
      </c>
      <c r="DD107" s="1666">
        <v>1</v>
      </c>
      <c r="DE107" s="1666"/>
      <c r="DF107" s="1666">
        <v>38</v>
      </c>
      <c r="DG107" s="1666">
        <v>29</v>
      </c>
      <c r="DH107" s="1666">
        <v>8</v>
      </c>
      <c r="DI107" s="461">
        <v>2</v>
      </c>
      <c r="DJ107" s="461">
        <v>8</v>
      </c>
      <c r="DK107" s="461">
        <v>95</v>
      </c>
      <c r="DL107" s="635">
        <f>+(DK103+DK106)/DK107</f>
        <v>0.47368421052631576</v>
      </c>
      <c r="DN107" s="1375"/>
      <c r="DO107" s="1375"/>
      <c r="DP107" s="1375" t="s">
        <v>333</v>
      </c>
      <c r="DQ107" s="1376" t="s">
        <v>1230</v>
      </c>
      <c r="DR107" s="1377"/>
      <c r="DS107" s="1377"/>
      <c r="DT107" s="1377"/>
      <c r="DU107" s="1377"/>
      <c r="DV107" s="1377"/>
      <c r="DW107" s="1377"/>
      <c r="DX107" s="1377"/>
      <c r="DY107" s="1377"/>
      <c r="DZ107" s="1377"/>
      <c r="EA107" s="1378">
        <v>0</v>
      </c>
      <c r="EB107" s="1378">
        <v>0</v>
      </c>
      <c r="EC107" s="1378">
        <v>0</v>
      </c>
      <c r="ED107" s="1378">
        <v>2</v>
      </c>
      <c r="EE107" s="1379"/>
      <c r="EF107" s="1380">
        <v>2</v>
      </c>
      <c r="EG107" s="1380">
        <v>4</v>
      </c>
      <c r="EH107" s="41"/>
      <c r="EJ107" s="678"/>
      <c r="EK107" s="678"/>
      <c r="EL107" s="678"/>
      <c r="EM107" s="679" t="s">
        <v>1344</v>
      </c>
      <c r="EN107" s="680"/>
      <c r="EO107" s="680"/>
      <c r="EP107" s="680"/>
      <c r="EQ107" s="680"/>
      <c r="ER107" s="680"/>
      <c r="ES107" s="680"/>
      <c r="ET107" s="680"/>
      <c r="EU107" s="680"/>
      <c r="EV107" s="680"/>
      <c r="EW107" s="680"/>
      <c r="EX107" s="680"/>
      <c r="EY107" s="680"/>
      <c r="EZ107" s="681">
        <v>3</v>
      </c>
      <c r="FA107" s="681">
        <v>4</v>
      </c>
      <c r="FB107" s="681">
        <v>5</v>
      </c>
      <c r="FC107" s="683">
        <v>0</v>
      </c>
      <c r="FD107" s="683">
        <v>0</v>
      </c>
      <c r="FE107" s="683">
        <v>12</v>
      </c>
      <c r="FF107" s="105"/>
      <c r="FH107" s="511"/>
      <c r="FI107" s="511"/>
      <c r="FJ107" s="511"/>
      <c r="FK107" s="41"/>
      <c r="FL107" s="532" t="s">
        <v>15</v>
      </c>
      <c r="FM107" s="693"/>
      <c r="FN107" s="693"/>
      <c r="FO107" s="693"/>
      <c r="FP107" s="693"/>
      <c r="FQ107" s="693"/>
      <c r="FR107" s="693"/>
      <c r="FS107" s="693"/>
      <c r="FT107" s="693"/>
      <c r="FU107" s="693"/>
      <c r="FV107" s="694">
        <v>1</v>
      </c>
      <c r="FW107" s="694">
        <v>1</v>
      </c>
      <c r="FX107" s="694">
        <v>1</v>
      </c>
      <c r="FY107" s="694">
        <v>1</v>
      </c>
      <c r="FZ107" s="694">
        <v>1</v>
      </c>
      <c r="GA107" s="694">
        <v>6</v>
      </c>
      <c r="GB107" s="695"/>
      <c r="GC107" s="695"/>
      <c r="GD107" s="696">
        <v>11</v>
      </c>
      <c r="GE107" s="635">
        <f>+(GD106+GD104)/GD107</f>
        <v>0.63636363636363635</v>
      </c>
      <c r="GF107" s="41"/>
      <c r="GG107" s="41"/>
      <c r="GH107" s="41"/>
      <c r="GI107" s="41"/>
      <c r="GJ107" s="41"/>
      <c r="GK107" s="41"/>
      <c r="GL107" s="41"/>
      <c r="GM107" s="41"/>
      <c r="GN107" s="41"/>
      <c r="GO107" s="41"/>
      <c r="GP107" s="41"/>
      <c r="GQ107" s="41"/>
      <c r="GR107" s="41"/>
      <c r="GS107" s="41"/>
      <c r="GT107" s="41"/>
      <c r="GU107" s="41"/>
      <c r="GV107" s="41"/>
      <c r="GW107" s="41"/>
      <c r="GX107" s="41"/>
      <c r="GY107" s="41"/>
      <c r="GZ107" s="41"/>
      <c r="HA107" s="41"/>
      <c r="HB107" s="105"/>
      <c r="HC107" s="105"/>
      <c r="HD107" s="41"/>
      <c r="HE107" s="41" t="s">
        <v>1240</v>
      </c>
      <c r="HF107" s="105"/>
      <c r="HG107" s="105"/>
      <c r="HH107" s="105"/>
      <c r="HI107" s="105">
        <v>0</v>
      </c>
      <c r="HJ107" s="105"/>
      <c r="HK107" s="105"/>
      <c r="HL107" s="105"/>
      <c r="HM107" s="105"/>
      <c r="HN107" s="105">
        <v>2</v>
      </c>
      <c r="HO107" s="105">
        <v>1</v>
      </c>
      <c r="HP107" s="105">
        <v>1</v>
      </c>
      <c r="HQ107" s="105"/>
      <c r="HR107" s="105">
        <v>0</v>
      </c>
      <c r="HS107" s="105">
        <v>1</v>
      </c>
      <c r="HT107" s="105"/>
      <c r="HU107" s="105">
        <v>0</v>
      </c>
      <c r="HV107" s="105">
        <v>5</v>
      </c>
      <c r="HW107" s="41"/>
      <c r="HX107" s="41"/>
      <c r="HY107" s="41"/>
      <c r="HZ107" s="41"/>
      <c r="IA107" s="41"/>
      <c r="IB107" s="41"/>
      <c r="IC107" s="41"/>
      <c r="ID107" s="41"/>
      <c r="IE107" s="41"/>
      <c r="IF107" s="41"/>
      <c r="IG107" s="41"/>
      <c r="IH107" s="41"/>
      <c r="II107" s="41"/>
      <c r="IJ107" s="41"/>
      <c r="IK107" s="41"/>
      <c r="IL107" s="41"/>
      <c r="IM107" s="41"/>
      <c r="IN107" s="41"/>
      <c r="IO107" s="41"/>
      <c r="IP107" s="41"/>
      <c r="IQ107" s="41"/>
      <c r="IR107" s="41"/>
      <c r="IS107" s="41"/>
      <c r="IT107" s="41"/>
      <c r="IU107" s="41"/>
    </row>
    <row r="108" spans="2:255">
      <c r="C108" s="32"/>
      <c r="D108" s="32" t="s">
        <v>1239</v>
      </c>
      <c r="E108" s="4607"/>
      <c r="F108" s="4607">
        <v>0</v>
      </c>
      <c r="G108" s="4607"/>
      <c r="H108" s="4607"/>
      <c r="I108" s="4607"/>
      <c r="J108" s="4607">
        <v>0</v>
      </c>
      <c r="K108" s="4607">
        <v>0</v>
      </c>
      <c r="L108" s="4607"/>
      <c r="M108" s="4607">
        <v>0</v>
      </c>
      <c r="N108" s="4607">
        <v>0</v>
      </c>
      <c r="O108" s="4607">
        <v>0</v>
      </c>
      <c r="P108" s="4607">
        <v>0</v>
      </c>
      <c r="Q108" s="4607">
        <v>8</v>
      </c>
      <c r="R108" s="4607">
        <v>2</v>
      </c>
      <c r="S108" s="4583">
        <v>4</v>
      </c>
      <c r="T108" s="4583"/>
      <c r="U108" s="4583">
        <v>14</v>
      </c>
      <c r="V108" s="4583"/>
      <c r="Z108" s="1793"/>
      <c r="AA108" s="1793" t="s">
        <v>1239</v>
      </c>
      <c r="AB108" s="4804">
        <v>0</v>
      </c>
      <c r="AC108" s="4804">
        <v>0</v>
      </c>
      <c r="AD108" s="4804"/>
      <c r="AE108" s="4804"/>
      <c r="AF108" s="4804"/>
      <c r="AG108" s="4804">
        <v>0</v>
      </c>
      <c r="AH108" s="4804">
        <v>0</v>
      </c>
      <c r="AI108" s="4804"/>
      <c r="AJ108" s="4804">
        <v>0</v>
      </c>
      <c r="AK108" s="4804">
        <v>0</v>
      </c>
      <c r="AL108" s="4804">
        <v>0</v>
      </c>
      <c r="AM108" s="4804">
        <v>0</v>
      </c>
      <c r="AN108" s="4804">
        <v>19</v>
      </c>
      <c r="AO108" s="4804">
        <v>0</v>
      </c>
      <c r="AP108" s="4702">
        <v>6</v>
      </c>
      <c r="AQ108" s="4702">
        <v>25</v>
      </c>
      <c r="AR108" s="1793"/>
      <c r="AT108" s="41"/>
      <c r="AU108" s="41"/>
      <c r="AV108" s="41"/>
      <c r="AW108" s="41" t="s">
        <v>1236</v>
      </c>
      <c r="AX108" s="690"/>
      <c r="AY108" s="690">
        <v>1</v>
      </c>
      <c r="AZ108" s="690"/>
      <c r="BA108" s="690">
        <v>0</v>
      </c>
      <c r="BB108" s="690"/>
      <c r="BC108" s="690"/>
      <c r="BD108" s="690"/>
      <c r="BE108" s="690"/>
      <c r="BF108" s="690"/>
      <c r="BG108" s="690"/>
      <c r="BH108" s="690"/>
      <c r="BI108" s="690"/>
      <c r="BJ108" s="690">
        <v>0</v>
      </c>
      <c r="BK108" s="690">
        <v>0</v>
      </c>
      <c r="BL108" s="690">
        <v>0</v>
      </c>
      <c r="BM108" s="41"/>
      <c r="BN108" s="41"/>
      <c r="BO108" s="41">
        <v>1</v>
      </c>
      <c r="BP108" s="41"/>
      <c r="BR108" s="41"/>
      <c r="BS108" s="41"/>
      <c r="BT108" s="41"/>
      <c r="BU108" s="41" t="s">
        <v>1233</v>
      </c>
      <c r="BV108" s="2001">
        <v>0</v>
      </c>
      <c r="BW108" s="2001">
        <v>1</v>
      </c>
      <c r="BX108" s="2001">
        <v>0</v>
      </c>
      <c r="BY108" s="2001"/>
      <c r="BZ108" s="2001"/>
      <c r="CA108" s="2001"/>
      <c r="CB108" s="2001">
        <v>0</v>
      </c>
      <c r="CC108" s="2001">
        <v>0</v>
      </c>
      <c r="CD108" s="2001">
        <v>0</v>
      </c>
      <c r="CE108" s="2001">
        <v>0</v>
      </c>
      <c r="CF108" s="2001"/>
      <c r="CG108" s="2001">
        <v>0</v>
      </c>
      <c r="CH108" s="2001">
        <v>0</v>
      </c>
      <c r="CI108" s="2001">
        <v>0</v>
      </c>
      <c r="CJ108" s="2001">
        <v>0</v>
      </c>
      <c r="CK108" s="105">
        <v>0</v>
      </c>
      <c r="CL108" s="105">
        <v>0</v>
      </c>
      <c r="CM108" s="105">
        <v>1</v>
      </c>
      <c r="CN108" s="41"/>
      <c r="CQ108" s="105" t="s">
        <v>41</v>
      </c>
      <c r="CR108" s="41" t="s">
        <v>129</v>
      </c>
      <c r="CS108" s="41" t="s">
        <v>1230</v>
      </c>
      <c r="CT108" s="1665">
        <v>0</v>
      </c>
      <c r="CU108" s="1665"/>
      <c r="CV108" s="1665">
        <v>0</v>
      </c>
      <c r="CW108" s="1665"/>
      <c r="CX108" s="1665"/>
      <c r="CY108" s="1665"/>
      <c r="CZ108" s="1665"/>
      <c r="DA108" s="1665">
        <v>0</v>
      </c>
      <c r="DB108" s="1665">
        <v>0</v>
      </c>
      <c r="DC108" s="1665"/>
      <c r="DD108" s="1665"/>
      <c r="DE108" s="1665"/>
      <c r="DF108" s="1665">
        <v>0</v>
      </c>
      <c r="DG108" s="1665">
        <v>0</v>
      </c>
      <c r="DH108" s="1665">
        <v>0</v>
      </c>
      <c r="DI108" s="41"/>
      <c r="DJ108" s="41">
        <v>1</v>
      </c>
      <c r="DK108" s="41">
        <v>1</v>
      </c>
      <c r="DL108" s="41"/>
      <c r="DN108" s="1375"/>
      <c r="DO108" s="1375"/>
      <c r="DP108" s="1375"/>
      <c r="DQ108" s="1376" t="s">
        <v>1231</v>
      </c>
      <c r="DR108" s="1377"/>
      <c r="DS108" s="1377"/>
      <c r="DT108" s="1377"/>
      <c r="DU108" s="1377"/>
      <c r="DV108" s="1377"/>
      <c r="DW108" s="1377"/>
      <c r="DX108" s="1377"/>
      <c r="DY108" s="1377"/>
      <c r="DZ108" s="1377"/>
      <c r="EA108" s="1378">
        <v>1</v>
      </c>
      <c r="EB108" s="1378">
        <v>1</v>
      </c>
      <c r="EC108" s="1378">
        <v>0</v>
      </c>
      <c r="ED108" s="1378">
        <v>1</v>
      </c>
      <c r="EE108" s="1379"/>
      <c r="EF108" s="1380">
        <v>0</v>
      </c>
      <c r="EG108" s="1380">
        <v>3</v>
      </c>
      <c r="EH108" s="41"/>
      <c r="EJ108" s="678"/>
      <c r="EK108" s="678"/>
      <c r="EL108" s="678"/>
      <c r="EM108" s="697" t="s">
        <v>15</v>
      </c>
      <c r="EN108" s="698"/>
      <c r="EO108" s="698"/>
      <c r="EP108" s="698"/>
      <c r="EQ108" s="698"/>
      <c r="ER108" s="698"/>
      <c r="ES108" s="698"/>
      <c r="ET108" s="698"/>
      <c r="EU108" s="698"/>
      <c r="EV108" s="698"/>
      <c r="EW108" s="698"/>
      <c r="EX108" s="698"/>
      <c r="EY108" s="698"/>
      <c r="EZ108" s="699">
        <v>7</v>
      </c>
      <c r="FA108" s="699">
        <v>11</v>
      </c>
      <c r="FB108" s="699">
        <v>8</v>
      </c>
      <c r="FC108" s="701">
        <v>1</v>
      </c>
      <c r="FD108" s="701">
        <v>6</v>
      </c>
      <c r="FE108" s="701">
        <v>33</v>
      </c>
      <c r="FF108" s="635">
        <f>+(FE105+FE107)/FE108</f>
        <v>0.63636363636363635</v>
      </c>
      <c r="FH108" s="511"/>
      <c r="FI108" s="511"/>
      <c r="FJ108" s="511" t="s">
        <v>130</v>
      </c>
      <c r="FK108" s="511" t="s">
        <v>1229</v>
      </c>
      <c r="FL108" s="512" t="s">
        <v>1231</v>
      </c>
      <c r="FM108" s="684"/>
      <c r="FN108" s="684"/>
      <c r="FO108" s="684"/>
      <c r="FP108" s="684"/>
      <c r="FQ108" s="684"/>
      <c r="FR108" s="684"/>
      <c r="FS108" s="684"/>
      <c r="FT108" s="684"/>
      <c r="FU108" s="684"/>
      <c r="FV108" s="684"/>
      <c r="FW108" s="684"/>
      <c r="FX108" s="684"/>
      <c r="FY108" s="685">
        <v>1</v>
      </c>
      <c r="FZ108" s="685">
        <v>0</v>
      </c>
      <c r="GA108" s="685">
        <v>0</v>
      </c>
      <c r="GB108" s="686"/>
      <c r="GC108" s="687">
        <v>0</v>
      </c>
      <c r="GD108" s="687">
        <v>1</v>
      </c>
      <c r="GE108" s="635"/>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105"/>
      <c r="HC108" s="105"/>
      <c r="HD108" s="41"/>
      <c r="HE108" s="41" t="s">
        <v>1344</v>
      </c>
      <c r="HF108" s="105"/>
      <c r="HG108" s="105"/>
      <c r="HH108" s="105"/>
      <c r="HI108" s="105">
        <v>0</v>
      </c>
      <c r="HJ108" s="105"/>
      <c r="HK108" s="105"/>
      <c r="HL108" s="105"/>
      <c r="HM108" s="105"/>
      <c r="HN108" s="105">
        <v>1</v>
      </c>
      <c r="HO108" s="105">
        <v>0</v>
      </c>
      <c r="HP108" s="105">
        <v>0</v>
      </c>
      <c r="HQ108" s="105"/>
      <c r="HR108" s="105">
        <v>0</v>
      </c>
      <c r="HS108" s="105">
        <v>0</v>
      </c>
      <c r="HT108" s="105"/>
      <c r="HU108" s="105">
        <v>0</v>
      </c>
      <c r="HV108" s="105">
        <v>1</v>
      </c>
      <c r="HW108" s="41"/>
      <c r="HX108" s="41"/>
      <c r="HY108" s="41"/>
      <c r="HZ108" s="41"/>
      <c r="IA108" s="41"/>
      <c r="IB108" s="41"/>
      <c r="IC108" s="41"/>
      <c r="ID108" s="41"/>
      <c r="IE108" s="41"/>
      <c r="IF108" s="41"/>
      <c r="IG108" s="41"/>
      <c r="IH108" s="41"/>
      <c r="II108" s="41"/>
      <c r="IJ108" s="41"/>
      <c r="IK108" s="41"/>
      <c r="IL108" s="41"/>
      <c r="IM108" s="41"/>
      <c r="IN108" s="41"/>
      <c r="IO108" s="41"/>
      <c r="IP108" s="41"/>
      <c r="IQ108" s="41"/>
      <c r="IR108" s="41"/>
      <c r="IS108" s="41"/>
      <c r="IT108" s="41"/>
      <c r="IU108" s="41"/>
    </row>
    <row r="109" spans="2:255">
      <c r="C109" s="32"/>
      <c r="D109" s="32" t="s">
        <v>1240</v>
      </c>
      <c r="E109" s="4607"/>
      <c r="F109" s="4607">
        <v>0</v>
      </c>
      <c r="G109" s="4607"/>
      <c r="H109" s="4607"/>
      <c r="I109" s="4607"/>
      <c r="J109" s="4607">
        <v>0</v>
      </c>
      <c r="K109" s="4607">
        <v>0</v>
      </c>
      <c r="L109" s="4607"/>
      <c r="M109" s="4607">
        <v>0</v>
      </c>
      <c r="N109" s="4607">
        <v>0</v>
      </c>
      <c r="O109" s="4607">
        <v>0</v>
      </c>
      <c r="P109" s="4607">
        <v>0</v>
      </c>
      <c r="Q109" s="4607">
        <v>0</v>
      </c>
      <c r="R109" s="4607">
        <v>1</v>
      </c>
      <c r="S109" s="4583">
        <v>0</v>
      </c>
      <c r="T109" s="4583"/>
      <c r="U109" s="4583">
        <v>1</v>
      </c>
      <c r="V109" s="4583"/>
      <c r="Z109" s="1793"/>
      <c r="AA109" s="1793" t="s">
        <v>1240</v>
      </c>
      <c r="AB109" s="4804">
        <v>0</v>
      </c>
      <c r="AC109" s="4804">
        <v>0</v>
      </c>
      <c r="AD109" s="4804"/>
      <c r="AE109" s="4804"/>
      <c r="AF109" s="4804"/>
      <c r="AG109" s="4804">
        <v>0</v>
      </c>
      <c r="AH109" s="4804">
        <v>0</v>
      </c>
      <c r="AI109" s="4804"/>
      <c r="AJ109" s="4804">
        <v>0</v>
      </c>
      <c r="AK109" s="4804">
        <v>0</v>
      </c>
      <c r="AL109" s="4804">
        <v>0</v>
      </c>
      <c r="AM109" s="4804">
        <v>0</v>
      </c>
      <c r="AN109" s="4804">
        <v>1</v>
      </c>
      <c r="AO109" s="4804">
        <v>1</v>
      </c>
      <c r="AP109" s="4702">
        <v>0</v>
      </c>
      <c r="AQ109" s="4702">
        <v>2</v>
      </c>
      <c r="AR109" s="1793"/>
      <c r="AT109" s="41"/>
      <c r="AU109" s="41"/>
      <c r="AV109" s="41"/>
      <c r="AW109" s="41" t="s">
        <v>1239</v>
      </c>
      <c r="AX109" s="690"/>
      <c r="AY109" s="690">
        <v>0</v>
      </c>
      <c r="AZ109" s="690"/>
      <c r="BA109" s="690">
        <v>0</v>
      </c>
      <c r="BB109" s="690"/>
      <c r="BC109" s="690"/>
      <c r="BD109" s="690"/>
      <c r="BE109" s="690"/>
      <c r="BF109" s="690"/>
      <c r="BG109" s="690"/>
      <c r="BH109" s="690"/>
      <c r="BI109" s="690"/>
      <c r="BJ109" s="690">
        <v>0</v>
      </c>
      <c r="BK109" s="690">
        <v>0</v>
      </c>
      <c r="BL109" s="690">
        <v>1</v>
      </c>
      <c r="BM109" s="41"/>
      <c r="BN109" s="41"/>
      <c r="BO109" s="41">
        <v>1</v>
      </c>
      <c r="BP109" s="41"/>
      <c r="BR109" s="41"/>
      <c r="BS109" s="41"/>
      <c r="BT109" s="41"/>
      <c r="BU109" s="41" t="s">
        <v>1235</v>
      </c>
      <c r="BV109" s="2001">
        <v>0</v>
      </c>
      <c r="BW109" s="2001">
        <v>0</v>
      </c>
      <c r="BX109" s="2001">
        <v>0</v>
      </c>
      <c r="BY109" s="2001"/>
      <c r="BZ109" s="2001"/>
      <c r="CA109" s="2001"/>
      <c r="CB109" s="2001">
        <v>0</v>
      </c>
      <c r="CC109" s="2001">
        <v>1</v>
      </c>
      <c r="CD109" s="2001">
        <v>0</v>
      </c>
      <c r="CE109" s="2001">
        <v>0</v>
      </c>
      <c r="CF109" s="2001"/>
      <c r="CG109" s="2001">
        <v>0</v>
      </c>
      <c r="CH109" s="2001">
        <v>2</v>
      </c>
      <c r="CI109" s="2001">
        <v>4</v>
      </c>
      <c r="CJ109" s="2001">
        <v>0</v>
      </c>
      <c r="CK109" s="105">
        <v>0</v>
      </c>
      <c r="CL109" s="105">
        <v>0</v>
      </c>
      <c r="CM109" s="105">
        <v>7</v>
      </c>
      <c r="CN109" s="41"/>
      <c r="CR109" s="41"/>
      <c r="CS109" s="41" t="s">
        <v>1231</v>
      </c>
      <c r="CT109" s="1665">
        <v>0</v>
      </c>
      <c r="CU109" s="1665"/>
      <c r="CV109" s="1665">
        <v>1</v>
      </c>
      <c r="CW109" s="1665"/>
      <c r="CX109" s="1665"/>
      <c r="CY109" s="1665"/>
      <c r="CZ109" s="1665"/>
      <c r="DA109" s="1665">
        <v>1</v>
      </c>
      <c r="DB109" s="1665">
        <v>1</v>
      </c>
      <c r="DC109" s="1665"/>
      <c r="DD109" s="1665"/>
      <c r="DE109" s="1665"/>
      <c r="DF109" s="1665">
        <v>1</v>
      </c>
      <c r="DG109" s="1665">
        <v>2</v>
      </c>
      <c r="DH109" s="1665">
        <v>0</v>
      </c>
      <c r="DI109" s="41"/>
      <c r="DJ109" s="41">
        <v>0</v>
      </c>
      <c r="DK109" s="41">
        <v>6</v>
      </c>
      <c r="DL109" s="41"/>
      <c r="DN109" s="1375"/>
      <c r="DO109" s="1375"/>
      <c r="DP109" s="1375"/>
      <c r="DQ109" s="1376" t="s">
        <v>1235</v>
      </c>
      <c r="DR109" s="1377"/>
      <c r="DS109" s="1377"/>
      <c r="DT109" s="1377"/>
      <c r="DU109" s="1377"/>
      <c r="DV109" s="1377"/>
      <c r="DW109" s="1377"/>
      <c r="DX109" s="1377"/>
      <c r="DY109" s="1377"/>
      <c r="DZ109" s="1377"/>
      <c r="EA109" s="1378">
        <v>0</v>
      </c>
      <c r="EB109" s="1378">
        <v>0</v>
      </c>
      <c r="EC109" s="1378">
        <v>1</v>
      </c>
      <c r="ED109" s="1378">
        <v>0</v>
      </c>
      <c r="EE109" s="1379"/>
      <c r="EF109" s="1380">
        <v>0</v>
      </c>
      <c r="EG109" s="1380">
        <v>1</v>
      </c>
      <c r="EH109" s="41"/>
      <c r="EJ109" s="678"/>
      <c r="EK109" s="678"/>
      <c r="EL109" s="678" t="s">
        <v>130</v>
      </c>
      <c r="EM109" s="679" t="s">
        <v>1230</v>
      </c>
      <c r="EN109" s="680"/>
      <c r="EO109" s="681">
        <v>0</v>
      </c>
      <c r="EP109" s="680"/>
      <c r="EQ109" s="680"/>
      <c r="ER109" s="680"/>
      <c r="ES109" s="680"/>
      <c r="ET109" s="680"/>
      <c r="EU109" s="680"/>
      <c r="EV109" s="680"/>
      <c r="EW109" s="680"/>
      <c r="EX109" s="680"/>
      <c r="EY109" s="680"/>
      <c r="EZ109" s="681">
        <v>1</v>
      </c>
      <c r="FA109" s="681">
        <v>0</v>
      </c>
      <c r="FB109" s="681">
        <v>1</v>
      </c>
      <c r="FC109" s="682"/>
      <c r="FD109" s="683">
        <v>0</v>
      </c>
      <c r="FE109" s="683">
        <v>2</v>
      </c>
      <c r="FF109" s="105"/>
      <c r="FH109" s="511"/>
      <c r="FI109" s="511"/>
      <c r="FJ109" s="511"/>
      <c r="FK109" s="511"/>
      <c r="FL109" s="512" t="s">
        <v>1235</v>
      </c>
      <c r="FM109" s="684"/>
      <c r="FN109" s="684"/>
      <c r="FO109" s="684"/>
      <c r="FP109" s="684"/>
      <c r="FQ109" s="684"/>
      <c r="FR109" s="684"/>
      <c r="FS109" s="684"/>
      <c r="FT109" s="684"/>
      <c r="FU109" s="684"/>
      <c r="FV109" s="684"/>
      <c r="FW109" s="684"/>
      <c r="FX109" s="684"/>
      <c r="FY109" s="685">
        <v>2</v>
      </c>
      <c r="FZ109" s="685">
        <v>3</v>
      </c>
      <c r="GA109" s="685">
        <v>0</v>
      </c>
      <c r="GB109" s="686"/>
      <c r="GC109" s="687">
        <v>0</v>
      </c>
      <c r="GD109" s="687">
        <v>5</v>
      </c>
      <c r="GE109" s="635"/>
      <c r="GF109" s="41"/>
      <c r="GG109" s="41"/>
      <c r="GH109" s="41"/>
      <c r="GI109" s="41"/>
      <c r="GJ109" s="41"/>
      <c r="GK109" s="41"/>
      <c r="GL109" s="41"/>
      <c r="GM109" s="41"/>
      <c r="GN109" s="41"/>
      <c r="GO109" s="41"/>
      <c r="GP109" s="41"/>
      <c r="GQ109" s="41"/>
      <c r="GR109" s="41"/>
      <c r="GS109" s="41"/>
      <c r="GT109" s="41"/>
      <c r="GU109" s="41"/>
      <c r="GV109" s="41"/>
      <c r="GW109" s="41"/>
      <c r="GX109" s="41"/>
      <c r="GY109" s="41"/>
      <c r="GZ109" s="41"/>
      <c r="HA109" s="41"/>
      <c r="HB109" s="105"/>
      <c r="HC109" s="105"/>
      <c r="HD109" s="41"/>
      <c r="HE109" s="461" t="s">
        <v>15</v>
      </c>
      <c r="HF109" s="96"/>
      <c r="HG109" s="96"/>
      <c r="HH109" s="96"/>
      <c r="HI109" s="96">
        <v>1</v>
      </c>
      <c r="HJ109" s="96"/>
      <c r="HK109" s="96"/>
      <c r="HL109" s="96"/>
      <c r="HM109" s="96"/>
      <c r="HN109" s="96">
        <v>3</v>
      </c>
      <c r="HO109" s="96">
        <v>1</v>
      </c>
      <c r="HP109" s="96">
        <v>2</v>
      </c>
      <c r="HQ109" s="96"/>
      <c r="HR109" s="96">
        <v>2</v>
      </c>
      <c r="HS109" s="96">
        <v>2</v>
      </c>
      <c r="HT109" s="96"/>
      <c r="HU109" s="96">
        <v>1</v>
      </c>
      <c r="HV109" s="96">
        <v>12</v>
      </c>
      <c r="HW109" s="706">
        <f>+(HV107+HV108)/HV109</f>
        <v>0.5</v>
      </c>
      <c r="HX109" s="41"/>
      <c r="HY109" s="41"/>
      <c r="HZ109" s="41"/>
      <c r="IA109" s="41"/>
      <c r="IB109" s="41"/>
      <c r="IC109" s="41"/>
      <c r="ID109" s="41"/>
      <c r="IE109" s="41"/>
      <c r="IF109" s="41"/>
      <c r="IG109" s="41"/>
      <c r="IH109" s="41"/>
      <c r="II109" s="41"/>
      <c r="IJ109" s="41"/>
      <c r="IK109" s="41"/>
      <c r="IL109" s="41"/>
      <c r="IM109" s="41"/>
      <c r="IN109" s="41"/>
      <c r="IO109" s="41"/>
      <c r="IP109" s="41"/>
      <c r="IQ109" s="41"/>
      <c r="IR109" s="41"/>
      <c r="IS109" s="41"/>
      <c r="IT109" s="41"/>
      <c r="IU109" s="41"/>
    </row>
    <row r="110" spans="2:255">
      <c r="C110" s="32"/>
      <c r="D110" s="32" t="s">
        <v>1344</v>
      </c>
      <c r="E110" s="4607"/>
      <c r="F110" s="4607">
        <v>0</v>
      </c>
      <c r="G110" s="4607"/>
      <c r="H110" s="4607"/>
      <c r="I110" s="4607"/>
      <c r="J110" s="4607">
        <v>0</v>
      </c>
      <c r="K110" s="4607">
        <v>0</v>
      </c>
      <c r="L110" s="4607"/>
      <c r="M110" s="4607">
        <v>10</v>
      </c>
      <c r="N110" s="4607">
        <v>1</v>
      </c>
      <c r="O110" s="4607">
        <v>1</v>
      </c>
      <c r="P110" s="4607">
        <v>2</v>
      </c>
      <c r="Q110" s="4607">
        <v>0</v>
      </c>
      <c r="R110" s="4607">
        <v>0</v>
      </c>
      <c r="S110" s="4583">
        <v>0</v>
      </c>
      <c r="T110" s="4583"/>
      <c r="U110" s="4583">
        <v>14</v>
      </c>
      <c r="V110" s="4583"/>
      <c r="Z110" s="1793"/>
      <c r="AA110" s="1793" t="s">
        <v>1344</v>
      </c>
      <c r="AB110" s="4804">
        <v>0</v>
      </c>
      <c r="AC110" s="4804">
        <v>0</v>
      </c>
      <c r="AD110" s="4804"/>
      <c r="AE110" s="4804"/>
      <c r="AF110" s="4804"/>
      <c r="AG110" s="4804">
        <v>0</v>
      </c>
      <c r="AH110" s="4804">
        <v>0</v>
      </c>
      <c r="AI110" s="4804"/>
      <c r="AJ110" s="4804">
        <v>10</v>
      </c>
      <c r="AK110" s="4804">
        <v>0</v>
      </c>
      <c r="AL110" s="4804">
        <v>1</v>
      </c>
      <c r="AM110" s="4804">
        <v>0</v>
      </c>
      <c r="AN110" s="4804">
        <v>0</v>
      </c>
      <c r="AO110" s="4804">
        <v>0</v>
      </c>
      <c r="AP110" s="4702">
        <v>0</v>
      </c>
      <c r="AQ110" s="4702">
        <v>11</v>
      </c>
      <c r="AR110" s="1793"/>
      <c r="AT110" s="41"/>
      <c r="AU110" s="41"/>
      <c r="AV110" s="41"/>
      <c r="AW110" s="41" t="s">
        <v>1344</v>
      </c>
      <c r="AX110" s="690"/>
      <c r="AY110" s="690">
        <v>0</v>
      </c>
      <c r="AZ110" s="690"/>
      <c r="BA110" s="690">
        <v>0</v>
      </c>
      <c r="BB110" s="690"/>
      <c r="BC110" s="690"/>
      <c r="BD110" s="690"/>
      <c r="BE110" s="690"/>
      <c r="BF110" s="690"/>
      <c r="BG110" s="690"/>
      <c r="BH110" s="690"/>
      <c r="BI110" s="690"/>
      <c r="BJ110" s="690">
        <v>3</v>
      </c>
      <c r="BK110" s="690">
        <v>0</v>
      </c>
      <c r="BL110" s="690">
        <v>0</v>
      </c>
      <c r="BM110" s="41"/>
      <c r="BN110" s="41"/>
      <c r="BO110" s="41">
        <v>3</v>
      </c>
      <c r="BP110" s="41"/>
      <c r="BR110" s="41"/>
      <c r="BS110" s="41"/>
      <c r="BT110" s="41"/>
      <c r="BU110" s="41" t="s">
        <v>1239</v>
      </c>
      <c r="BV110" s="2001">
        <v>0</v>
      </c>
      <c r="BW110" s="2001">
        <v>0</v>
      </c>
      <c r="BX110" s="2001">
        <v>0</v>
      </c>
      <c r="BY110" s="2001"/>
      <c r="BZ110" s="2001"/>
      <c r="CA110" s="2001"/>
      <c r="CB110" s="2001">
        <v>0</v>
      </c>
      <c r="CC110" s="2001">
        <v>0</v>
      </c>
      <c r="CD110" s="2001">
        <v>0</v>
      </c>
      <c r="CE110" s="2001">
        <v>0</v>
      </c>
      <c r="CF110" s="2001"/>
      <c r="CG110" s="2001">
        <v>0</v>
      </c>
      <c r="CH110" s="2001">
        <v>0</v>
      </c>
      <c r="CI110" s="2001">
        <v>0</v>
      </c>
      <c r="CJ110" s="2001">
        <v>14</v>
      </c>
      <c r="CK110" s="105">
        <v>0</v>
      </c>
      <c r="CL110" s="105">
        <v>2</v>
      </c>
      <c r="CM110" s="105">
        <v>16</v>
      </c>
      <c r="CN110" s="41"/>
      <c r="CR110" s="41"/>
      <c r="CS110" s="41" t="s">
        <v>1235</v>
      </c>
      <c r="CT110" s="1665">
        <v>0</v>
      </c>
      <c r="CU110" s="1665"/>
      <c r="CV110" s="1665">
        <v>0</v>
      </c>
      <c r="CW110" s="1665"/>
      <c r="CX110" s="1665"/>
      <c r="CY110" s="1665"/>
      <c r="CZ110" s="1665"/>
      <c r="DA110" s="1665">
        <v>0</v>
      </c>
      <c r="DB110" s="1665">
        <v>0</v>
      </c>
      <c r="DC110" s="1665"/>
      <c r="DD110" s="1665"/>
      <c r="DE110" s="1665"/>
      <c r="DF110" s="1665">
        <v>0</v>
      </c>
      <c r="DG110" s="1665">
        <v>1</v>
      </c>
      <c r="DH110" s="1665">
        <v>0</v>
      </c>
      <c r="DI110" s="41"/>
      <c r="DJ110" s="41">
        <v>0</v>
      </c>
      <c r="DK110" s="41">
        <v>1</v>
      </c>
      <c r="DL110" s="41"/>
      <c r="DN110" s="1375"/>
      <c r="DO110" s="1375"/>
      <c r="DP110" s="1375"/>
      <c r="DQ110" s="1376" t="s">
        <v>1239</v>
      </c>
      <c r="DR110" s="1377"/>
      <c r="DS110" s="1377"/>
      <c r="DT110" s="1377"/>
      <c r="DU110" s="1377"/>
      <c r="DV110" s="1377"/>
      <c r="DW110" s="1377"/>
      <c r="DX110" s="1377"/>
      <c r="DY110" s="1377"/>
      <c r="DZ110" s="1377"/>
      <c r="EA110" s="1378">
        <v>0</v>
      </c>
      <c r="EB110" s="1378">
        <v>0</v>
      </c>
      <c r="EC110" s="1378">
        <v>0</v>
      </c>
      <c r="ED110" s="1378">
        <v>3</v>
      </c>
      <c r="EE110" s="1379"/>
      <c r="EF110" s="1380">
        <v>2</v>
      </c>
      <c r="EG110" s="1380">
        <v>5</v>
      </c>
      <c r="EH110" s="41"/>
      <c r="EJ110" s="678"/>
      <c r="EK110" s="678"/>
      <c r="EL110" s="678"/>
      <c r="EM110" s="679" t="s">
        <v>1231</v>
      </c>
      <c r="EN110" s="680"/>
      <c r="EO110" s="681">
        <v>1</v>
      </c>
      <c r="EP110" s="680"/>
      <c r="EQ110" s="680"/>
      <c r="ER110" s="680"/>
      <c r="ES110" s="680"/>
      <c r="ET110" s="680"/>
      <c r="EU110" s="680"/>
      <c r="EV110" s="680"/>
      <c r="EW110" s="680"/>
      <c r="EX110" s="680"/>
      <c r="EY110" s="680"/>
      <c r="EZ110" s="681">
        <v>0</v>
      </c>
      <c r="FA110" s="681">
        <v>0</v>
      </c>
      <c r="FB110" s="681">
        <v>0</v>
      </c>
      <c r="FC110" s="682"/>
      <c r="FD110" s="683">
        <v>0</v>
      </c>
      <c r="FE110" s="683">
        <v>1</v>
      </c>
      <c r="FF110" s="105"/>
      <c r="FH110" s="511"/>
      <c r="FI110" s="511"/>
      <c r="FJ110" s="511"/>
      <c r="FK110" s="511"/>
      <c r="FL110" s="512" t="s">
        <v>1239</v>
      </c>
      <c r="FM110" s="684"/>
      <c r="FN110" s="684"/>
      <c r="FO110" s="684"/>
      <c r="FP110" s="684"/>
      <c r="FQ110" s="684"/>
      <c r="FR110" s="684"/>
      <c r="FS110" s="684"/>
      <c r="FT110" s="684"/>
      <c r="FU110" s="684"/>
      <c r="FV110" s="684"/>
      <c r="FW110" s="684"/>
      <c r="FX110" s="684"/>
      <c r="FY110" s="685">
        <v>1</v>
      </c>
      <c r="FZ110" s="685">
        <v>0</v>
      </c>
      <c r="GA110" s="685">
        <v>4</v>
      </c>
      <c r="GB110" s="686"/>
      <c r="GC110" s="687">
        <v>2</v>
      </c>
      <c r="GD110" s="687">
        <v>7</v>
      </c>
      <c r="GE110" s="635"/>
      <c r="GF110" s="41"/>
      <c r="GG110" s="41"/>
      <c r="GH110" s="41"/>
      <c r="GI110" s="41"/>
      <c r="GJ110" s="41"/>
      <c r="GK110" s="41"/>
      <c r="GL110" s="41"/>
      <c r="GM110" s="41"/>
      <c r="GN110" s="41"/>
      <c r="GO110" s="41"/>
      <c r="GP110" s="41"/>
      <c r="GQ110" s="41"/>
      <c r="GR110" s="41"/>
      <c r="GS110" s="41"/>
      <c r="GT110" s="41"/>
      <c r="GU110" s="41"/>
      <c r="GV110" s="41"/>
      <c r="GW110" s="41"/>
      <c r="GX110" s="41"/>
      <c r="GY110" s="41"/>
      <c r="GZ110" s="41"/>
      <c r="HA110" s="41"/>
      <c r="HB110" s="105"/>
      <c r="HC110" s="105" t="s">
        <v>104</v>
      </c>
      <c r="HD110" s="41" t="s">
        <v>146</v>
      </c>
      <c r="HE110" s="41" t="s">
        <v>1231</v>
      </c>
      <c r="HF110" s="105"/>
      <c r="HG110" s="105"/>
      <c r="HH110" s="105">
        <v>1</v>
      </c>
      <c r="HI110" s="105">
        <v>1</v>
      </c>
      <c r="HJ110" s="105"/>
      <c r="HK110" s="105">
        <v>1</v>
      </c>
      <c r="HL110" s="105"/>
      <c r="HM110" s="105"/>
      <c r="HN110" s="105"/>
      <c r="HO110" s="105"/>
      <c r="HP110" s="105">
        <v>1</v>
      </c>
      <c r="HQ110" s="105"/>
      <c r="HR110" s="105"/>
      <c r="HS110" s="105"/>
      <c r="HT110" s="105">
        <v>0</v>
      </c>
      <c r="HU110" s="105">
        <v>0</v>
      </c>
      <c r="HV110" s="105">
        <v>4</v>
      </c>
      <c r="HW110" s="41"/>
      <c r="HX110" s="41"/>
      <c r="HY110" s="41"/>
      <c r="HZ110" s="41"/>
      <c r="IA110" s="41"/>
      <c r="IB110" s="41"/>
      <c r="IC110" s="41"/>
      <c r="ID110" s="41"/>
      <c r="IE110" s="41"/>
      <c r="IF110" s="41"/>
      <c r="IG110" s="41"/>
      <c r="IH110" s="41"/>
      <c r="II110" s="41"/>
      <c r="IJ110" s="41"/>
      <c r="IK110" s="41"/>
      <c r="IL110" s="41"/>
      <c r="IM110" s="41"/>
      <c r="IN110" s="41"/>
      <c r="IO110" s="41"/>
      <c r="IP110" s="41"/>
      <c r="IQ110" s="41"/>
      <c r="IR110" s="41"/>
      <c r="IS110" s="41"/>
      <c r="IT110" s="41"/>
      <c r="IU110" s="41"/>
    </row>
    <row r="111" spans="2:255">
      <c r="C111" s="32"/>
      <c r="D111" s="4800" t="s">
        <v>15</v>
      </c>
      <c r="E111" s="4607"/>
      <c r="F111" s="4607">
        <v>1</v>
      </c>
      <c r="G111" s="4607"/>
      <c r="H111" s="4607"/>
      <c r="I111" s="4607"/>
      <c r="J111" s="4607">
        <v>1</v>
      </c>
      <c r="K111" s="4607">
        <v>1</v>
      </c>
      <c r="L111" s="4607"/>
      <c r="M111" s="4607">
        <v>10</v>
      </c>
      <c r="N111" s="4607">
        <v>1</v>
      </c>
      <c r="O111" s="4607">
        <v>3</v>
      </c>
      <c r="P111" s="4607">
        <v>2</v>
      </c>
      <c r="Q111" s="4607">
        <v>22</v>
      </c>
      <c r="R111" s="4607">
        <v>3</v>
      </c>
      <c r="S111" s="4583">
        <v>6</v>
      </c>
      <c r="T111" s="4583"/>
      <c r="U111" s="4583">
        <v>50</v>
      </c>
      <c r="V111" s="1977">
        <f>+(U106+U109+U110)/(U111)</f>
        <v>0.62</v>
      </c>
      <c r="Z111" s="1793"/>
      <c r="AA111" s="1793" t="s">
        <v>545</v>
      </c>
      <c r="AB111" s="4804">
        <v>0</v>
      </c>
      <c r="AC111" s="4804">
        <v>1</v>
      </c>
      <c r="AD111" s="4804"/>
      <c r="AE111" s="4804"/>
      <c r="AF111" s="4804"/>
      <c r="AG111" s="4804">
        <v>1</v>
      </c>
      <c r="AH111" s="4804">
        <v>1</v>
      </c>
      <c r="AI111" s="4804"/>
      <c r="AJ111" s="4804">
        <v>10</v>
      </c>
      <c r="AK111" s="4804">
        <v>1</v>
      </c>
      <c r="AL111" s="4804">
        <v>3</v>
      </c>
      <c r="AM111" s="4804">
        <v>2</v>
      </c>
      <c r="AN111" s="4804">
        <v>24</v>
      </c>
      <c r="AO111" s="4804">
        <v>1</v>
      </c>
      <c r="AP111" s="4702">
        <v>6</v>
      </c>
      <c r="AQ111" s="4702">
        <v>50</v>
      </c>
      <c r="AR111" s="4703">
        <f>+(AQ106+AQ109+AQ110)/AQ111</f>
        <v>0.36</v>
      </c>
      <c r="AT111" s="41"/>
      <c r="AU111" s="41"/>
      <c r="AV111" s="41"/>
      <c r="AW111" s="461" t="s">
        <v>15</v>
      </c>
      <c r="AX111" s="2489"/>
      <c r="AY111" s="2489">
        <v>1</v>
      </c>
      <c r="AZ111" s="2489"/>
      <c r="BA111" s="2489">
        <v>1</v>
      </c>
      <c r="BB111" s="2489"/>
      <c r="BC111" s="2489"/>
      <c r="BD111" s="2489"/>
      <c r="BE111" s="2489"/>
      <c r="BF111" s="2489"/>
      <c r="BG111" s="2489"/>
      <c r="BH111" s="2489"/>
      <c r="BI111" s="2489"/>
      <c r="BJ111" s="2489">
        <v>7</v>
      </c>
      <c r="BK111" s="2489">
        <v>5</v>
      </c>
      <c r="BL111" s="2489">
        <v>1</v>
      </c>
      <c r="BM111" s="461"/>
      <c r="BN111" s="461"/>
      <c r="BO111" s="461">
        <v>15</v>
      </c>
      <c r="BP111" s="635">
        <f>+(BO110+BO107)/BO111</f>
        <v>0.8</v>
      </c>
      <c r="BQ111" s="1977"/>
      <c r="BR111" s="41"/>
      <c r="BS111" s="41"/>
      <c r="BT111" s="41"/>
      <c r="BU111" s="41" t="s">
        <v>1344</v>
      </c>
      <c r="BV111" s="2001">
        <v>0</v>
      </c>
      <c r="BW111" s="2001">
        <v>0</v>
      </c>
      <c r="BX111" s="2001">
        <v>0</v>
      </c>
      <c r="BY111" s="2001"/>
      <c r="BZ111" s="2001"/>
      <c r="CA111" s="2001"/>
      <c r="CB111" s="2001">
        <v>0</v>
      </c>
      <c r="CC111" s="2001">
        <v>0</v>
      </c>
      <c r="CD111" s="2001">
        <v>0</v>
      </c>
      <c r="CE111" s="2001">
        <v>1</v>
      </c>
      <c r="CF111" s="2001"/>
      <c r="CG111" s="2001">
        <v>1</v>
      </c>
      <c r="CH111" s="2001">
        <v>1</v>
      </c>
      <c r="CI111" s="2001">
        <v>7</v>
      </c>
      <c r="CJ111" s="2001">
        <v>1</v>
      </c>
      <c r="CK111" s="105">
        <v>0</v>
      </c>
      <c r="CL111" s="105">
        <v>0</v>
      </c>
      <c r="CM111" s="105">
        <v>11</v>
      </c>
      <c r="CN111" s="41"/>
      <c r="CR111" s="41"/>
      <c r="CS111" s="41" t="s">
        <v>1239</v>
      </c>
      <c r="CT111" s="1665">
        <v>0</v>
      </c>
      <c r="CU111" s="1665"/>
      <c r="CV111" s="1665">
        <v>0</v>
      </c>
      <c r="CW111" s="1665"/>
      <c r="CX111" s="1665"/>
      <c r="CY111" s="1665"/>
      <c r="CZ111" s="1665"/>
      <c r="DA111" s="1665">
        <v>0</v>
      </c>
      <c r="DB111" s="1665">
        <v>0</v>
      </c>
      <c r="DC111" s="1665"/>
      <c r="DD111" s="1665"/>
      <c r="DE111" s="1665"/>
      <c r="DF111" s="1665">
        <v>0</v>
      </c>
      <c r="DG111" s="1665">
        <v>0</v>
      </c>
      <c r="DH111" s="1665">
        <v>10</v>
      </c>
      <c r="DI111" s="41"/>
      <c r="DJ111" s="41">
        <v>2</v>
      </c>
      <c r="DK111" s="41">
        <v>12</v>
      </c>
      <c r="DL111" s="41"/>
      <c r="DN111" s="1375"/>
      <c r="DO111" s="1375"/>
      <c r="DP111" s="1375"/>
      <c r="DQ111" s="1372" t="s">
        <v>15</v>
      </c>
      <c r="DR111" s="1381"/>
      <c r="DS111" s="1381"/>
      <c r="DT111" s="1381"/>
      <c r="DU111" s="1381"/>
      <c r="DV111" s="1381"/>
      <c r="DW111" s="1381"/>
      <c r="DX111" s="1381"/>
      <c r="DY111" s="1381"/>
      <c r="DZ111" s="1381"/>
      <c r="EA111" s="1382">
        <v>1</v>
      </c>
      <c r="EB111" s="1382">
        <v>1</v>
      </c>
      <c r="EC111" s="1382">
        <v>1</v>
      </c>
      <c r="ED111" s="1382">
        <v>6</v>
      </c>
      <c r="EE111" s="1383"/>
      <c r="EF111" s="1384">
        <v>4</v>
      </c>
      <c r="EG111" s="1384">
        <v>13</v>
      </c>
      <c r="EH111" s="1325">
        <f>+EG109/EG111</f>
        <v>7.6923076923076927E-2</v>
      </c>
      <c r="EJ111" s="678"/>
      <c r="EK111" s="678"/>
      <c r="EL111" s="678"/>
      <c r="EM111" s="679" t="s">
        <v>1235</v>
      </c>
      <c r="EN111" s="680"/>
      <c r="EO111" s="681">
        <v>0</v>
      </c>
      <c r="EP111" s="680"/>
      <c r="EQ111" s="680"/>
      <c r="ER111" s="680"/>
      <c r="ES111" s="680"/>
      <c r="ET111" s="680"/>
      <c r="EU111" s="680"/>
      <c r="EV111" s="680"/>
      <c r="EW111" s="680"/>
      <c r="EX111" s="680"/>
      <c r="EY111" s="680"/>
      <c r="EZ111" s="681">
        <v>0</v>
      </c>
      <c r="FA111" s="681">
        <v>2</v>
      </c>
      <c r="FB111" s="681">
        <v>0</v>
      </c>
      <c r="FC111" s="682"/>
      <c r="FD111" s="683">
        <v>0</v>
      </c>
      <c r="FE111" s="683">
        <v>2</v>
      </c>
      <c r="FF111" s="105"/>
      <c r="FH111" s="511"/>
      <c r="FI111" s="511"/>
      <c r="FJ111" s="511"/>
      <c r="FK111" s="511"/>
      <c r="FL111" s="512" t="s">
        <v>1344</v>
      </c>
      <c r="FM111" s="684"/>
      <c r="FN111" s="684"/>
      <c r="FO111" s="684"/>
      <c r="FP111" s="684"/>
      <c r="FQ111" s="684"/>
      <c r="FR111" s="684"/>
      <c r="FS111" s="684"/>
      <c r="FT111" s="684"/>
      <c r="FU111" s="684"/>
      <c r="FV111" s="684"/>
      <c r="FW111" s="684"/>
      <c r="FX111" s="684"/>
      <c r="FY111" s="685">
        <v>1</v>
      </c>
      <c r="FZ111" s="685">
        <v>0</v>
      </c>
      <c r="GA111" s="685">
        <v>0</v>
      </c>
      <c r="GB111" s="686"/>
      <c r="GC111" s="687">
        <v>0</v>
      </c>
      <c r="GD111" s="687">
        <v>1</v>
      </c>
      <c r="GE111" s="635"/>
      <c r="GF111" s="41"/>
      <c r="GG111" s="41"/>
      <c r="GH111" s="41"/>
      <c r="GI111" s="41"/>
      <c r="GJ111" s="41"/>
      <c r="GK111" s="41"/>
      <c r="GL111" s="41"/>
      <c r="GM111" s="41"/>
      <c r="GN111" s="41"/>
      <c r="GO111" s="41"/>
      <c r="GP111" s="41"/>
      <c r="GQ111" s="41"/>
      <c r="GR111" s="41"/>
      <c r="GS111" s="41"/>
      <c r="GT111" s="41"/>
      <c r="GU111" s="41"/>
      <c r="GV111" s="41"/>
      <c r="GW111" s="41"/>
      <c r="GX111" s="41"/>
      <c r="GY111" s="41"/>
      <c r="GZ111" s="41"/>
      <c r="HA111" s="41"/>
      <c r="HB111" s="105"/>
      <c r="HC111" s="105"/>
      <c r="HD111" s="41"/>
      <c r="HE111" s="41" t="s">
        <v>1239</v>
      </c>
      <c r="HF111" s="105"/>
      <c r="HG111" s="105"/>
      <c r="HH111" s="105">
        <v>0</v>
      </c>
      <c r="HI111" s="105">
        <v>0</v>
      </c>
      <c r="HJ111" s="105"/>
      <c r="HK111" s="105">
        <v>0</v>
      </c>
      <c r="HL111" s="105"/>
      <c r="HM111" s="105"/>
      <c r="HN111" s="105"/>
      <c r="HO111" s="105"/>
      <c r="HP111" s="105">
        <v>0</v>
      </c>
      <c r="HQ111" s="105"/>
      <c r="HR111" s="105"/>
      <c r="HS111" s="105"/>
      <c r="HT111" s="105">
        <v>1</v>
      </c>
      <c r="HU111" s="105">
        <v>1</v>
      </c>
      <c r="HV111" s="105">
        <v>2</v>
      </c>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row>
    <row r="112" spans="2:255" ht="15" thickBot="1">
      <c r="B112" s="4800" t="s">
        <v>41</v>
      </c>
      <c r="C112" s="4800" t="s">
        <v>129</v>
      </c>
      <c r="D112" s="4800" t="s">
        <v>1230</v>
      </c>
      <c r="E112" s="4606"/>
      <c r="F112" s="4606"/>
      <c r="G112" s="4606"/>
      <c r="H112" s="4606"/>
      <c r="I112" s="4606"/>
      <c r="J112" s="4606"/>
      <c r="K112" s="4606"/>
      <c r="L112" s="4606"/>
      <c r="M112" s="4606"/>
      <c r="N112" s="4606">
        <v>0</v>
      </c>
      <c r="O112" s="4606">
        <v>0</v>
      </c>
      <c r="P112" s="4606">
        <v>0</v>
      </c>
      <c r="Q112" s="4606">
        <v>0</v>
      </c>
      <c r="R112" s="4606">
        <v>1</v>
      </c>
      <c r="S112" s="2552">
        <v>0</v>
      </c>
      <c r="T112" s="2552">
        <v>0</v>
      </c>
      <c r="U112" s="2552">
        <v>1</v>
      </c>
      <c r="V112" s="2552"/>
      <c r="Y112" s="37" t="s">
        <v>41</v>
      </c>
      <c r="Z112" s="37" t="s">
        <v>129</v>
      </c>
      <c r="AA112" s="37" t="s">
        <v>1230</v>
      </c>
      <c r="AB112" s="4803">
        <v>0</v>
      </c>
      <c r="AC112" s="4803"/>
      <c r="AD112" s="4803"/>
      <c r="AE112" s="4803"/>
      <c r="AF112" s="4803"/>
      <c r="AG112" s="4803"/>
      <c r="AH112" s="4803"/>
      <c r="AI112" s="4803"/>
      <c r="AJ112" s="4803"/>
      <c r="AK112" s="4803">
        <v>0</v>
      </c>
      <c r="AL112" s="4803">
        <v>0</v>
      </c>
      <c r="AM112" s="4803">
        <v>0</v>
      </c>
      <c r="AN112" s="4803">
        <v>6</v>
      </c>
      <c r="AO112" s="4803"/>
      <c r="AP112" s="1788">
        <v>1</v>
      </c>
      <c r="AQ112" s="1788">
        <v>7</v>
      </c>
      <c r="AT112" s="41"/>
      <c r="AU112" s="41"/>
      <c r="AV112" s="41" t="s">
        <v>126</v>
      </c>
      <c r="AW112" s="41" t="s">
        <v>1231</v>
      </c>
      <c r="AX112" s="690"/>
      <c r="AY112" s="690">
        <v>0</v>
      </c>
      <c r="AZ112" s="690"/>
      <c r="BA112" s="690"/>
      <c r="BB112" s="690"/>
      <c r="BC112" s="690"/>
      <c r="BD112" s="690"/>
      <c r="BE112" s="690"/>
      <c r="BF112" s="690"/>
      <c r="BG112" s="690">
        <v>1</v>
      </c>
      <c r="BH112" s="690"/>
      <c r="BI112" s="690"/>
      <c r="BJ112" s="690">
        <v>0</v>
      </c>
      <c r="BK112" s="690">
        <v>3</v>
      </c>
      <c r="BL112" s="690">
        <v>0</v>
      </c>
      <c r="BM112" s="41"/>
      <c r="BN112" s="41"/>
      <c r="BO112" s="41">
        <v>4</v>
      </c>
      <c r="BP112" s="41"/>
      <c r="BR112" s="41"/>
      <c r="BS112" s="41"/>
      <c r="BT112" s="41"/>
      <c r="BU112" s="41" t="s">
        <v>1940</v>
      </c>
      <c r="BV112" s="2001">
        <v>1</v>
      </c>
      <c r="BW112" s="2001">
        <v>0</v>
      </c>
      <c r="BX112" s="2001">
        <v>0</v>
      </c>
      <c r="BY112" s="2001"/>
      <c r="BZ112" s="2001"/>
      <c r="CA112" s="2001"/>
      <c r="CB112" s="2001">
        <v>0</v>
      </c>
      <c r="CC112" s="2001">
        <v>0</v>
      </c>
      <c r="CD112" s="2001">
        <v>0</v>
      </c>
      <c r="CE112" s="2001">
        <v>0</v>
      </c>
      <c r="CF112" s="2001"/>
      <c r="CG112" s="2001">
        <v>0</v>
      </c>
      <c r="CH112" s="2001">
        <v>0</v>
      </c>
      <c r="CI112" s="2001">
        <v>0</v>
      </c>
      <c r="CJ112" s="2001">
        <v>0</v>
      </c>
      <c r="CK112" s="105">
        <v>0</v>
      </c>
      <c r="CL112" s="105">
        <v>0</v>
      </c>
      <c r="CM112" s="105">
        <v>1</v>
      </c>
      <c r="CN112" s="41"/>
      <c r="CR112" s="41"/>
      <c r="CS112" s="41" t="s">
        <v>1344</v>
      </c>
      <c r="CT112" s="1665">
        <v>0</v>
      </c>
      <c r="CU112" s="1665"/>
      <c r="CV112" s="1665">
        <v>0</v>
      </c>
      <c r="CW112" s="1665"/>
      <c r="CX112" s="1665"/>
      <c r="CY112" s="1665"/>
      <c r="CZ112" s="1665"/>
      <c r="DA112" s="1665">
        <v>0</v>
      </c>
      <c r="DB112" s="1665">
        <v>0</v>
      </c>
      <c r="DC112" s="1665"/>
      <c r="DD112" s="1665"/>
      <c r="DE112" s="1665"/>
      <c r="DF112" s="1665">
        <v>1</v>
      </c>
      <c r="DG112" s="1665">
        <v>1</v>
      </c>
      <c r="DH112" s="1665">
        <v>1</v>
      </c>
      <c r="DI112" s="41"/>
      <c r="DJ112" s="41">
        <v>0</v>
      </c>
      <c r="DK112" s="41">
        <v>3</v>
      </c>
      <c r="DL112" s="41"/>
      <c r="DN112" s="1375"/>
      <c r="DO112" s="1375"/>
      <c r="DP112" s="1375" t="s">
        <v>547</v>
      </c>
      <c r="DQ112" s="1376" t="s">
        <v>1230</v>
      </c>
      <c r="DR112" s="1377"/>
      <c r="DS112" s="1378">
        <v>0</v>
      </c>
      <c r="DT112" s="1378">
        <v>0</v>
      </c>
      <c r="DU112" s="1377"/>
      <c r="DV112" s="1377"/>
      <c r="DW112" s="1377"/>
      <c r="DX112" s="1377"/>
      <c r="DY112" s="1377"/>
      <c r="DZ112" s="1377"/>
      <c r="EA112" s="1378">
        <v>0</v>
      </c>
      <c r="EB112" s="1378">
        <v>0</v>
      </c>
      <c r="EC112" s="1378">
        <v>0</v>
      </c>
      <c r="ED112" s="1378">
        <v>6</v>
      </c>
      <c r="EE112" s="1380">
        <v>1</v>
      </c>
      <c r="EF112" s="1380">
        <v>2</v>
      </c>
      <c r="EG112" s="1380">
        <v>9</v>
      </c>
      <c r="EH112" s="41"/>
      <c r="EJ112" s="678"/>
      <c r="EK112" s="678"/>
      <c r="EL112" s="678"/>
      <c r="EM112" s="679" t="s">
        <v>1239</v>
      </c>
      <c r="EN112" s="680"/>
      <c r="EO112" s="681">
        <v>0</v>
      </c>
      <c r="EP112" s="680"/>
      <c r="EQ112" s="680"/>
      <c r="ER112" s="680"/>
      <c r="ES112" s="680"/>
      <c r="ET112" s="680"/>
      <c r="EU112" s="680"/>
      <c r="EV112" s="680"/>
      <c r="EW112" s="680"/>
      <c r="EX112" s="680"/>
      <c r="EY112" s="680"/>
      <c r="EZ112" s="681">
        <v>0</v>
      </c>
      <c r="FA112" s="681">
        <v>0</v>
      </c>
      <c r="FB112" s="681">
        <v>1</v>
      </c>
      <c r="FC112" s="682"/>
      <c r="FD112" s="683">
        <v>1</v>
      </c>
      <c r="FE112" s="683">
        <v>2</v>
      </c>
      <c r="FF112" s="105"/>
      <c r="FH112" s="511"/>
      <c r="FI112" s="511"/>
      <c r="FJ112" s="511"/>
      <c r="FK112" s="41"/>
      <c r="FL112" s="532" t="s">
        <v>15</v>
      </c>
      <c r="FM112" s="693"/>
      <c r="FN112" s="693"/>
      <c r="FO112" s="693"/>
      <c r="FP112" s="693"/>
      <c r="FQ112" s="693"/>
      <c r="FR112" s="693"/>
      <c r="FS112" s="693"/>
      <c r="FT112" s="693"/>
      <c r="FU112" s="693"/>
      <c r="FV112" s="693"/>
      <c r="FW112" s="693"/>
      <c r="FX112" s="693"/>
      <c r="FY112" s="694">
        <v>5</v>
      </c>
      <c r="FZ112" s="694">
        <v>3</v>
      </c>
      <c r="GA112" s="694">
        <v>4</v>
      </c>
      <c r="GB112" s="695"/>
      <c r="GC112" s="696">
        <v>2</v>
      </c>
      <c r="GD112" s="696">
        <v>14</v>
      </c>
      <c r="GE112" s="635">
        <f>+(GD111+GD109)/GD112</f>
        <v>0.42857142857142855</v>
      </c>
      <c r="GF112" s="41"/>
      <c r="GG112" s="41"/>
      <c r="GH112" s="41"/>
      <c r="GI112" s="41"/>
      <c r="GJ112" s="41"/>
      <c r="GK112" s="41"/>
      <c r="GL112" s="41"/>
      <c r="GM112" s="41"/>
      <c r="GN112" s="41"/>
      <c r="GO112" s="41"/>
      <c r="GP112" s="41"/>
      <c r="GQ112" s="41"/>
      <c r="GR112" s="41"/>
      <c r="GS112" s="41"/>
      <c r="GT112" s="41"/>
      <c r="GU112" s="41"/>
      <c r="GV112" s="41"/>
      <c r="GW112" s="41"/>
      <c r="GX112" s="41"/>
      <c r="GY112" s="41"/>
      <c r="GZ112" s="41"/>
      <c r="HA112" s="41"/>
      <c r="HB112" s="464"/>
      <c r="HC112" s="464"/>
      <c r="HD112" s="469"/>
      <c r="HE112" s="465" t="s">
        <v>15</v>
      </c>
      <c r="HF112" s="466"/>
      <c r="HG112" s="466"/>
      <c r="HH112" s="466">
        <v>1</v>
      </c>
      <c r="HI112" s="466">
        <v>1</v>
      </c>
      <c r="HJ112" s="466"/>
      <c r="HK112" s="466">
        <v>1</v>
      </c>
      <c r="HL112" s="466"/>
      <c r="HM112" s="466"/>
      <c r="HN112" s="466"/>
      <c r="HO112" s="466"/>
      <c r="HP112" s="466">
        <v>1</v>
      </c>
      <c r="HQ112" s="466"/>
      <c r="HR112" s="466"/>
      <c r="HS112" s="466"/>
      <c r="HT112" s="466">
        <v>1</v>
      </c>
      <c r="HU112" s="466">
        <v>1</v>
      </c>
      <c r="HV112" s="466">
        <v>6</v>
      </c>
      <c r="HW112" s="715">
        <v>0</v>
      </c>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row>
    <row r="113" spans="3:255">
      <c r="D113" s="4800" t="s">
        <v>1231</v>
      </c>
      <c r="E113" s="4606"/>
      <c r="F113" s="4606"/>
      <c r="G113" s="4606"/>
      <c r="H113" s="4606"/>
      <c r="I113" s="4606"/>
      <c r="J113" s="4606"/>
      <c r="K113" s="4606"/>
      <c r="L113" s="4606"/>
      <c r="M113" s="4606"/>
      <c r="N113" s="4606">
        <v>1</v>
      </c>
      <c r="O113" s="4606">
        <v>1</v>
      </c>
      <c r="P113" s="4606">
        <v>0</v>
      </c>
      <c r="Q113" s="4606">
        <v>1</v>
      </c>
      <c r="R113" s="4606">
        <v>0</v>
      </c>
      <c r="S113" s="2552">
        <v>0</v>
      </c>
      <c r="T113" s="2552">
        <v>0</v>
      </c>
      <c r="U113" s="2552">
        <v>3</v>
      </c>
      <c r="V113" s="2552"/>
      <c r="AA113" s="37" t="s">
        <v>1231</v>
      </c>
      <c r="AB113" s="4803">
        <v>0</v>
      </c>
      <c r="AC113" s="4803"/>
      <c r="AD113" s="4803"/>
      <c r="AE113" s="4803"/>
      <c r="AF113" s="4803"/>
      <c r="AG113" s="4803"/>
      <c r="AH113" s="4803"/>
      <c r="AI113" s="4803"/>
      <c r="AJ113" s="4803"/>
      <c r="AK113" s="4803">
        <v>1</v>
      </c>
      <c r="AL113" s="4803">
        <v>1</v>
      </c>
      <c r="AM113" s="4803">
        <v>0</v>
      </c>
      <c r="AN113" s="4803">
        <v>1</v>
      </c>
      <c r="AO113" s="4803"/>
      <c r="AP113" s="1788">
        <v>0</v>
      </c>
      <c r="AQ113" s="1788">
        <v>3</v>
      </c>
      <c r="AT113" s="41"/>
      <c r="AU113" s="41"/>
      <c r="AV113" s="41"/>
      <c r="AW113" s="41" t="s">
        <v>1233</v>
      </c>
      <c r="AX113" s="690"/>
      <c r="AY113" s="690">
        <v>1</v>
      </c>
      <c r="AZ113" s="690"/>
      <c r="BA113" s="690"/>
      <c r="BB113" s="690"/>
      <c r="BC113" s="690"/>
      <c r="BD113" s="690"/>
      <c r="BE113" s="690"/>
      <c r="BF113" s="690"/>
      <c r="BG113" s="690">
        <v>0</v>
      </c>
      <c r="BH113" s="690"/>
      <c r="BI113" s="690"/>
      <c r="BJ113" s="690">
        <v>0</v>
      </c>
      <c r="BK113" s="690">
        <v>0</v>
      </c>
      <c r="BL113" s="690">
        <v>0</v>
      </c>
      <c r="BM113" s="41"/>
      <c r="BN113" s="41"/>
      <c r="BO113" s="41">
        <v>1</v>
      </c>
      <c r="BP113" s="41"/>
      <c r="BR113" s="41"/>
      <c r="BS113" s="41"/>
      <c r="BT113" s="41"/>
      <c r="BU113" s="461" t="s">
        <v>547</v>
      </c>
      <c r="BV113" s="2002">
        <v>2</v>
      </c>
      <c r="BW113" s="2002">
        <v>1</v>
      </c>
      <c r="BX113" s="2002">
        <v>1</v>
      </c>
      <c r="BY113" s="2002"/>
      <c r="BZ113" s="2002"/>
      <c r="CA113" s="2002"/>
      <c r="CB113" s="2002">
        <v>1</v>
      </c>
      <c r="CC113" s="2002">
        <v>2</v>
      </c>
      <c r="CD113" s="2002">
        <v>1</v>
      </c>
      <c r="CE113" s="2002">
        <v>1</v>
      </c>
      <c r="CF113" s="2002"/>
      <c r="CG113" s="2002">
        <v>1</v>
      </c>
      <c r="CH113" s="2002">
        <v>5</v>
      </c>
      <c r="CI113" s="2002">
        <v>15</v>
      </c>
      <c r="CJ113" s="2002">
        <v>16</v>
      </c>
      <c r="CK113" s="96">
        <v>1</v>
      </c>
      <c r="CL113" s="96">
        <v>2</v>
      </c>
      <c r="CM113" s="96">
        <v>49</v>
      </c>
      <c r="CN113" s="635">
        <f>+(CM109+CM111)/(CM113-CM112)</f>
        <v>0.375</v>
      </c>
      <c r="CR113" s="41"/>
      <c r="CS113" s="41" t="s">
        <v>1940</v>
      </c>
      <c r="CT113" s="1665">
        <v>1</v>
      </c>
      <c r="CU113" s="1665"/>
      <c r="CV113" s="1665">
        <v>0</v>
      </c>
      <c r="CW113" s="1665"/>
      <c r="CX113" s="1665"/>
      <c r="CY113" s="1665"/>
      <c r="CZ113" s="1665"/>
      <c r="DA113" s="1665">
        <v>0</v>
      </c>
      <c r="DB113" s="1665">
        <v>0</v>
      </c>
      <c r="DC113" s="1665"/>
      <c r="DD113" s="1665"/>
      <c r="DE113" s="1665"/>
      <c r="DF113" s="1665">
        <v>0</v>
      </c>
      <c r="DG113" s="1665">
        <v>0</v>
      </c>
      <c r="DH113" s="1665">
        <v>0</v>
      </c>
      <c r="DI113" s="41"/>
      <c r="DJ113" s="41">
        <v>0</v>
      </c>
      <c r="DK113" s="41">
        <v>1</v>
      </c>
      <c r="DL113" s="41"/>
      <c r="DN113" s="1375"/>
      <c r="DO113" s="1375"/>
      <c r="DP113" s="1375"/>
      <c r="DQ113" s="1376" t="s">
        <v>1231</v>
      </c>
      <c r="DR113" s="1377"/>
      <c r="DS113" s="1378">
        <v>2</v>
      </c>
      <c r="DT113" s="1378">
        <v>1</v>
      </c>
      <c r="DU113" s="1377"/>
      <c r="DV113" s="1377"/>
      <c r="DW113" s="1377"/>
      <c r="DX113" s="1377"/>
      <c r="DY113" s="1377"/>
      <c r="DZ113" s="1377"/>
      <c r="EA113" s="1378">
        <v>1</v>
      </c>
      <c r="EB113" s="1378">
        <v>2</v>
      </c>
      <c r="EC113" s="1378">
        <v>1</v>
      </c>
      <c r="ED113" s="1378">
        <v>2</v>
      </c>
      <c r="EE113" s="1380">
        <v>0</v>
      </c>
      <c r="EF113" s="1380">
        <v>0</v>
      </c>
      <c r="EG113" s="1380">
        <v>9</v>
      </c>
      <c r="EH113" s="41"/>
      <c r="EJ113" s="678"/>
      <c r="EK113" s="678"/>
      <c r="EL113" s="678"/>
      <c r="EM113" s="679" t="s">
        <v>1344</v>
      </c>
      <c r="EN113" s="680"/>
      <c r="EO113" s="681">
        <v>0</v>
      </c>
      <c r="EP113" s="680"/>
      <c r="EQ113" s="680"/>
      <c r="ER113" s="680"/>
      <c r="ES113" s="680"/>
      <c r="ET113" s="680"/>
      <c r="EU113" s="680"/>
      <c r="EV113" s="680"/>
      <c r="EW113" s="680"/>
      <c r="EX113" s="680"/>
      <c r="EY113" s="680"/>
      <c r="EZ113" s="681">
        <v>2</v>
      </c>
      <c r="FA113" s="681">
        <v>0</v>
      </c>
      <c r="FB113" s="681">
        <v>1</v>
      </c>
      <c r="FC113" s="682"/>
      <c r="FD113" s="683">
        <v>0</v>
      </c>
      <c r="FE113" s="683">
        <v>3</v>
      </c>
      <c r="FF113" s="105"/>
      <c r="FH113" s="511"/>
      <c r="FI113" s="511"/>
      <c r="FJ113" s="511" t="s">
        <v>333</v>
      </c>
      <c r="FK113" s="511" t="s">
        <v>1229</v>
      </c>
      <c r="FL113" s="512" t="s">
        <v>1231</v>
      </c>
      <c r="FM113" s="684"/>
      <c r="FN113" s="685">
        <v>1</v>
      </c>
      <c r="FO113" s="684"/>
      <c r="FP113" s="684"/>
      <c r="FQ113" s="684"/>
      <c r="FR113" s="684"/>
      <c r="FS113" s="684"/>
      <c r="FT113" s="684"/>
      <c r="FU113" s="684"/>
      <c r="FV113" s="685">
        <v>0</v>
      </c>
      <c r="FW113" s="685">
        <v>0</v>
      </c>
      <c r="FX113" s="684"/>
      <c r="FY113" s="684"/>
      <c r="FZ113" s="685">
        <v>1</v>
      </c>
      <c r="GA113" s="685">
        <v>0</v>
      </c>
      <c r="GB113" s="686"/>
      <c r="GC113" s="686"/>
      <c r="GD113" s="687">
        <v>2</v>
      </c>
      <c r="GE113" s="635"/>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105"/>
      <c r="HC113" s="105"/>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row>
    <row r="114" spans="3:255">
      <c r="D114" s="4800" t="s">
        <v>1235</v>
      </c>
      <c r="E114" s="4606"/>
      <c r="F114" s="4606"/>
      <c r="G114" s="4606"/>
      <c r="H114" s="4606"/>
      <c r="I114" s="4606"/>
      <c r="J114" s="4606"/>
      <c r="K114" s="4606"/>
      <c r="L114" s="4606"/>
      <c r="M114" s="4606"/>
      <c r="N114" s="4606">
        <v>0</v>
      </c>
      <c r="O114" s="4606">
        <v>0</v>
      </c>
      <c r="P114" s="4606">
        <v>1</v>
      </c>
      <c r="Q114" s="4606">
        <v>1</v>
      </c>
      <c r="R114" s="4606">
        <v>0</v>
      </c>
      <c r="S114" s="2552">
        <v>0</v>
      </c>
      <c r="T114" s="2552">
        <v>0</v>
      </c>
      <c r="U114" s="2552">
        <v>2</v>
      </c>
      <c r="V114" s="2552"/>
      <c r="AA114" s="37" t="s">
        <v>1235</v>
      </c>
      <c r="AB114" s="4803">
        <v>0</v>
      </c>
      <c r="AC114" s="4803"/>
      <c r="AD114" s="4803"/>
      <c r="AE114" s="4803"/>
      <c r="AF114" s="4803"/>
      <c r="AG114" s="4803"/>
      <c r="AH114" s="4803"/>
      <c r="AI114" s="4803"/>
      <c r="AJ114" s="4803"/>
      <c r="AK114" s="4803">
        <v>0</v>
      </c>
      <c r="AL114" s="4803">
        <v>0</v>
      </c>
      <c r="AM114" s="4803">
        <v>1</v>
      </c>
      <c r="AN114" s="4803">
        <v>1</v>
      </c>
      <c r="AO114" s="4803"/>
      <c r="AP114" s="1788">
        <v>0</v>
      </c>
      <c r="AQ114" s="1788">
        <v>2</v>
      </c>
      <c r="AT114" s="41"/>
      <c r="AU114" s="41"/>
      <c r="AV114" s="41"/>
      <c r="AW114" s="41" t="s">
        <v>1235</v>
      </c>
      <c r="AX114" s="690"/>
      <c r="AY114" s="690">
        <v>0</v>
      </c>
      <c r="AZ114" s="690"/>
      <c r="BA114" s="690"/>
      <c r="BB114" s="690"/>
      <c r="BC114" s="690"/>
      <c r="BD114" s="690"/>
      <c r="BE114" s="690"/>
      <c r="BF114" s="690"/>
      <c r="BG114" s="690">
        <v>0</v>
      </c>
      <c r="BH114" s="690"/>
      <c r="BI114" s="690"/>
      <c r="BJ114" s="690">
        <v>0</v>
      </c>
      <c r="BK114" s="690">
        <v>5</v>
      </c>
      <c r="BL114" s="690">
        <v>0</v>
      </c>
      <c r="BM114" s="41"/>
      <c r="BN114" s="41"/>
      <c r="BO114" s="41">
        <v>5</v>
      </c>
      <c r="BP114" s="41"/>
      <c r="BR114" s="41"/>
      <c r="BS114" s="41"/>
      <c r="BT114" s="41" t="s">
        <v>110</v>
      </c>
      <c r="BU114" s="41" t="s">
        <v>1231</v>
      </c>
      <c r="BV114" s="2001">
        <v>1</v>
      </c>
      <c r="BW114" s="2001">
        <v>2</v>
      </c>
      <c r="BX114" s="2001">
        <v>1</v>
      </c>
      <c r="BY114" s="2001">
        <v>1</v>
      </c>
      <c r="BZ114" s="2001">
        <v>5</v>
      </c>
      <c r="CA114" s="2001"/>
      <c r="CB114" s="2001">
        <v>2</v>
      </c>
      <c r="CC114" s="2001">
        <v>1</v>
      </c>
      <c r="CD114" s="2001">
        <v>1</v>
      </c>
      <c r="CE114" s="2001">
        <v>0</v>
      </c>
      <c r="CF114" s="2001"/>
      <c r="CG114" s="2001">
        <v>2</v>
      </c>
      <c r="CH114" s="2001">
        <v>9</v>
      </c>
      <c r="CI114" s="2001">
        <v>8</v>
      </c>
      <c r="CJ114" s="2001">
        <v>2</v>
      </c>
      <c r="CK114" s="105">
        <v>2</v>
      </c>
      <c r="CL114" s="105">
        <v>0</v>
      </c>
      <c r="CM114" s="105">
        <v>37</v>
      </c>
      <c r="CN114" s="41"/>
      <c r="CR114" s="41"/>
      <c r="CS114" s="461" t="s">
        <v>15</v>
      </c>
      <c r="CT114" s="1666">
        <v>1</v>
      </c>
      <c r="CU114" s="1666"/>
      <c r="CV114" s="1666">
        <v>1</v>
      </c>
      <c r="CW114" s="1666"/>
      <c r="CX114" s="1666"/>
      <c r="CY114" s="1666"/>
      <c r="CZ114" s="1666"/>
      <c r="DA114" s="1666">
        <v>1</v>
      </c>
      <c r="DB114" s="1666">
        <v>1</v>
      </c>
      <c r="DC114" s="1666"/>
      <c r="DD114" s="1666"/>
      <c r="DE114" s="1666"/>
      <c r="DF114" s="1666">
        <v>2</v>
      </c>
      <c r="DG114" s="1666">
        <v>4</v>
      </c>
      <c r="DH114" s="1666">
        <v>11</v>
      </c>
      <c r="DI114" s="461"/>
      <c r="DJ114" s="461">
        <v>3</v>
      </c>
      <c r="DK114" s="461">
        <v>24</v>
      </c>
      <c r="DL114" s="635">
        <f>+(DK110+DK112)/(DK114-DK113)</f>
        <v>0.17391304347826086</v>
      </c>
      <c r="DN114" s="1375"/>
      <c r="DO114" s="1375"/>
      <c r="DP114" s="1375"/>
      <c r="DQ114" s="1376" t="s">
        <v>1235</v>
      </c>
      <c r="DR114" s="1377"/>
      <c r="DS114" s="1378">
        <v>0</v>
      </c>
      <c r="DT114" s="1378">
        <v>0</v>
      </c>
      <c r="DU114" s="1377"/>
      <c r="DV114" s="1377"/>
      <c r="DW114" s="1377"/>
      <c r="DX114" s="1377"/>
      <c r="DY114" s="1377"/>
      <c r="DZ114" s="1377"/>
      <c r="EA114" s="1378">
        <v>0</v>
      </c>
      <c r="EB114" s="1378">
        <v>2</v>
      </c>
      <c r="EC114" s="1378">
        <v>3</v>
      </c>
      <c r="ED114" s="1378">
        <v>1</v>
      </c>
      <c r="EE114" s="1380">
        <v>0</v>
      </c>
      <c r="EF114" s="1380">
        <v>0</v>
      </c>
      <c r="EG114" s="1380">
        <v>6</v>
      </c>
      <c r="EH114" s="41"/>
      <c r="EJ114" s="678"/>
      <c r="EK114" s="678"/>
      <c r="EL114" s="678"/>
      <c r="EM114" s="697" t="s">
        <v>15</v>
      </c>
      <c r="EN114" s="698"/>
      <c r="EO114" s="699">
        <v>1</v>
      </c>
      <c r="EP114" s="698"/>
      <c r="EQ114" s="698"/>
      <c r="ER114" s="698"/>
      <c r="ES114" s="698"/>
      <c r="ET114" s="698"/>
      <c r="EU114" s="698"/>
      <c r="EV114" s="698"/>
      <c r="EW114" s="698"/>
      <c r="EX114" s="698"/>
      <c r="EY114" s="698"/>
      <c r="EZ114" s="699">
        <v>3</v>
      </c>
      <c r="FA114" s="699">
        <v>2</v>
      </c>
      <c r="FB114" s="699">
        <v>3</v>
      </c>
      <c r="FC114" s="700"/>
      <c r="FD114" s="701">
        <v>1</v>
      </c>
      <c r="FE114" s="701">
        <v>10</v>
      </c>
      <c r="FF114" s="635">
        <f>+(FE111+FE113)/FE114</f>
        <v>0.5</v>
      </c>
      <c r="FH114" s="511"/>
      <c r="FI114" s="511"/>
      <c r="FJ114" s="511"/>
      <c r="FK114" s="511"/>
      <c r="FL114" s="512" t="s">
        <v>1233</v>
      </c>
      <c r="FM114" s="684"/>
      <c r="FN114" s="685">
        <v>0</v>
      </c>
      <c r="FO114" s="684"/>
      <c r="FP114" s="684"/>
      <c r="FQ114" s="684"/>
      <c r="FR114" s="684"/>
      <c r="FS114" s="684"/>
      <c r="FT114" s="684"/>
      <c r="FU114" s="684"/>
      <c r="FV114" s="685">
        <v>1</v>
      </c>
      <c r="FW114" s="685">
        <v>0</v>
      </c>
      <c r="FX114" s="684"/>
      <c r="FY114" s="684"/>
      <c r="FZ114" s="685">
        <v>0</v>
      </c>
      <c r="GA114" s="685">
        <v>0</v>
      </c>
      <c r="GB114" s="686"/>
      <c r="GC114" s="686"/>
      <c r="GD114" s="687">
        <v>1</v>
      </c>
      <c r="GE114" s="635"/>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105"/>
      <c r="HC114" s="105"/>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row>
    <row r="115" spans="3:255">
      <c r="D115" s="4800" t="s">
        <v>1239</v>
      </c>
      <c r="E115" s="4606"/>
      <c r="F115" s="4606"/>
      <c r="G115" s="4606"/>
      <c r="H115" s="4606"/>
      <c r="I115" s="4606"/>
      <c r="J115" s="4606"/>
      <c r="K115" s="4606"/>
      <c r="L115" s="4606"/>
      <c r="M115" s="4606"/>
      <c r="N115" s="4606">
        <v>0</v>
      </c>
      <c r="O115" s="4606">
        <v>0</v>
      </c>
      <c r="P115" s="4606">
        <v>0</v>
      </c>
      <c r="Q115" s="4606">
        <v>5</v>
      </c>
      <c r="R115" s="4606">
        <v>10</v>
      </c>
      <c r="S115" s="2552">
        <v>1</v>
      </c>
      <c r="T115" s="2552">
        <v>1</v>
      </c>
      <c r="U115" s="2552">
        <v>17</v>
      </c>
      <c r="V115" s="2552"/>
      <c r="AA115" s="37" t="s">
        <v>1239</v>
      </c>
      <c r="AB115" s="4803">
        <v>0</v>
      </c>
      <c r="AC115" s="4803"/>
      <c r="AD115" s="4803"/>
      <c r="AE115" s="4803"/>
      <c r="AF115" s="4803"/>
      <c r="AG115" s="4803"/>
      <c r="AH115" s="4803"/>
      <c r="AI115" s="4803"/>
      <c r="AJ115" s="4803"/>
      <c r="AK115" s="4803">
        <v>0</v>
      </c>
      <c r="AL115" s="4803">
        <v>0</v>
      </c>
      <c r="AM115" s="4803">
        <v>0</v>
      </c>
      <c r="AN115" s="4803">
        <v>11</v>
      </c>
      <c r="AO115" s="4803"/>
      <c r="AP115" s="1788">
        <v>1</v>
      </c>
      <c r="AQ115" s="1788">
        <v>12</v>
      </c>
      <c r="AT115" s="41"/>
      <c r="AU115" s="41"/>
      <c r="AV115" s="41"/>
      <c r="AW115" s="41" t="s">
        <v>1239</v>
      </c>
      <c r="AX115" s="690"/>
      <c r="AY115" s="690">
        <v>0</v>
      </c>
      <c r="AZ115" s="690"/>
      <c r="BA115" s="690"/>
      <c r="BB115" s="690"/>
      <c r="BC115" s="690"/>
      <c r="BD115" s="690"/>
      <c r="BE115" s="690"/>
      <c r="BF115" s="690"/>
      <c r="BG115" s="690">
        <v>0</v>
      </c>
      <c r="BH115" s="690"/>
      <c r="BI115" s="690"/>
      <c r="BJ115" s="690">
        <v>0</v>
      </c>
      <c r="BK115" s="690">
        <v>1</v>
      </c>
      <c r="BL115" s="690">
        <v>15</v>
      </c>
      <c r="BM115" s="41"/>
      <c r="BN115" s="41"/>
      <c r="BO115" s="41">
        <v>16</v>
      </c>
      <c r="BP115" s="41"/>
      <c r="BR115" s="41"/>
      <c r="BS115" s="41"/>
      <c r="BT115" s="41"/>
      <c r="BU115" s="41" t="s">
        <v>1233</v>
      </c>
      <c r="BV115" s="2001">
        <v>0</v>
      </c>
      <c r="BW115" s="2001">
        <v>1</v>
      </c>
      <c r="BX115" s="2001">
        <v>0</v>
      </c>
      <c r="BY115" s="2001">
        <v>0</v>
      </c>
      <c r="BZ115" s="2001">
        <v>0</v>
      </c>
      <c r="CA115" s="2001"/>
      <c r="CB115" s="2001">
        <v>0</v>
      </c>
      <c r="CC115" s="2001">
        <v>0</v>
      </c>
      <c r="CD115" s="2001">
        <v>0</v>
      </c>
      <c r="CE115" s="2001">
        <v>0</v>
      </c>
      <c r="CF115" s="2001"/>
      <c r="CG115" s="2001">
        <v>0</v>
      </c>
      <c r="CH115" s="2001">
        <v>0</v>
      </c>
      <c r="CI115" s="2001">
        <v>0</v>
      </c>
      <c r="CJ115" s="2001">
        <v>0</v>
      </c>
      <c r="CK115" s="105">
        <v>0</v>
      </c>
      <c r="CL115" s="105">
        <v>0</v>
      </c>
      <c r="CM115" s="105">
        <v>1</v>
      </c>
      <c r="CN115" s="41"/>
      <c r="CR115" s="41" t="s">
        <v>130</v>
      </c>
      <c r="CS115" s="41" t="s">
        <v>1231</v>
      </c>
      <c r="CT115" s="1665"/>
      <c r="CU115" s="1665">
        <v>1</v>
      </c>
      <c r="CV115" s="1665"/>
      <c r="CW115" s="1665"/>
      <c r="CX115" s="1665"/>
      <c r="CY115" s="1665"/>
      <c r="CZ115" s="1665"/>
      <c r="DA115" s="1665"/>
      <c r="DB115" s="1665"/>
      <c r="DC115" s="1665"/>
      <c r="DD115" s="1665"/>
      <c r="DE115" s="1665"/>
      <c r="DF115" s="1665"/>
      <c r="DG115" s="1665">
        <v>0</v>
      </c>
      <c r="DH115" s="1665">
        <v>0</v>
      </c>
      <c r="DI115" s="41">
        <v>1</v>
      </c>
      <c r="DJ115" s="41">
        <v>0</v>
      </c>
      <c r="DK115" s="41">
        <v>2</v>
      </c>
      <c r="DL115" s="41"/>
      <c r="DN115" s="1375"/>
      <c r="DO115" s="1375"/>
      <c r="DP115" s="1375"/>
      <c r="DQ115" s="1376" t="s">
        <v>1239</v>
      </c>
      <c r="DR115" s="1377"/>
      <c r="DS115" s="1378">
        <v>0</v>
      </c>
      <c r="DT115" s="1378">
        <v>0</v>
      </c>
      <c r="DU115" s="1377"/>
      <c r="DV115" s="1377"/>
      <c r="DW115" s="1377"/>
      <c r="DX115" s="1377"/>
      <c r="DY115" s="1377"/>
      <c r="DZ115" s="1377"/>
      <c r="EA115" s="1378">
        <v>0</v>
      </c>
      <c r="EB115" s="1378">
        <v>0</v>
      </c>
      <c r="EC115" s="1378">
        <v>1</v>
      </c>
      <c r="ED115" s="1378">
        <v>10</v>
      </c>
      <c r="EE115" s="1380">
        <v>0</v>
      </c>
      <c r="EF115" s="1380">
        <v>3</v>
      </c>
      <c r="EG115" s="1380">
        <v>14</v>
      </c>
      <c r="EH115" s="41"/>
      <c r="EJ115" s="678"/>
      <c r="EK115" s="678"/>
      <c r="EL115" s="678" t="s">
        <v>333</v>
      </c>
      <c r="EM115" s="679" t="s">
        <v>1231</v>
      </c>
      <c r="EN115" s="680"/>
      <c r="EO115" s="680"/>
      <c r="EP115" s="680"/>
      <c r="EQ115" s="681">
        <v>1</v>
      </c>
      <c r="ER115" s="680"/>
      <c r="ES115" s="680"/>
      <c r="ET115" s="680"/>
      <c r="EU115" s="680"/>
      <c r="EV115" s="680"/>
      <c r="EW115" s="680"/>
      <c r="EX115" s="680"/>
      <c r="EY115" s="681">
        <v>0</v>
      </c>
      <c r="EZ115" s="681">
        <v>0</v>
      </c>
      <c r="FA115" s="681">
        <v>0</v>
      </c>
      <c r="FB115" s="681">
        <v>0</v>
      </c>
      <c r="FC115" s="682"/>
      <c r="FD115" s="683">
        <v>0</v>
      </c>
      <c r="FE115" s="683">
        <v>1</v>
      </c>
      <c r="FF115" s="105"/>
      <c r="FH115" s="511"/>
      <c r="FI115" s="511"/>
      <c r="FJ115" s="511"/>
      <c r="FK115" s="511"/>
      <c r="FL115" s="512" t="s">
        <v>1235</v>
      </c>
      <c r="FM115" s="684"/>
      <c r="FN115" s="685">
        <v>0</v>
      </c>
      <c r="FO115" s="684"/>
      <c r="FP115" s="684"/>
      <c r="FQ115" s="684"/>
      <c r="FR115" s="684"/>
      <c r="FS115" s="684"/>
      <c r="FT115" s="684"/>
      <c r="FU115" s="684"/>
      <c r="FV115" s="685">
        <v>0</v>
      </c>
      <c r="FW115" s="685">
        <v>1</v>
      </c>
      <c r="FX115" s="684"/>
      <c r="FY115" s="684"/>
      <c r="FZ115" s="685">
        <v>2</v>
      </c>
      <c r="GA115" s="685">
        <v>0</v>
      </c>
      <c r="GB115" s="686"/>
      <c r="GC115" s="686"/>
      <c r="GD115" s="687">
        <v>3</v>
      </c>
      <c r="GE115" s="635"/>
      <c r="GF115" s="41"/>
      <c r="GG115" s="41"/>
      <c r="GH115" s="41"/>
      <c r="GI115" s="41"/>
      <c r="GJ115" s="41"/>
      <c r="GK115" s="41"/>
      <c r="GL115" s="41"/>
      <c r="GM115" s="41"/>
      <c r="GN115" s="41"/>
      <c r="GO115" s="41"/>
      <c r="GP115" s="41"/>
      <c r="GQ115" s="41"/>
      <c r="GR115" s="41"/>
      <c r="GS115" s="41"/>
      <c r="GT115" s="41"/>
      <c r="GU115" s="41"/>
      <c r="GV115" s="41"/>
      <c r="GW115" s="41"/>
      <c r="GX115" s="41"/>
      <c r="GY115" s="41"/>
      <c r="GZ115" s="41"/>
      <c r="HA115" s="41"/>
      <c r="HB115" s="105"/>
      <c r="HC115" s="105"/>
      <c r="HD115" s="41"/>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row>
    <row r="116" spans="3:255">
      <c r="D116" s="4800" t="s">
        <v>1344</v>
      </c>
      <c r="E116" s="4606"/>
      <c r="F116" s="4606"/>
      <c r="G116" s="4606"/>
      <c r="H116" s="4606"/>
      <c r="I116" s="4606"/>
      <c r="J116" s="4606"/>
      <c r="K116" s="4606"/>
      <c r="L116" s="4606"/>
      <c r="M116" s="4606"/>
      <c r="N116" s="4606">
        <v>0</v>
      </c>
      <c r="O116" s="4606">
        <v>0</v>
      </c>
      <c r="P116" s="4606">
        <v>2</v>
      </c>
      <c r="Q116" s="4606">
        <v>1</v>
      </c>
      <c r="R116" s="4606">
        <v>0</v>
      </c>
      <c r="S116" s="2552">
        <v>0</v>
      </c>
      <c r="T116" s="2552">
        <v>0</v>
      </c>
      <c r="U116" s="2552">
        <v>3</v>
      </c>
      <c r="V116" s="2552"/>
      <c r="AA116" s="37" t="s">
        <v>1344</v>
      </c>
      <c r="AB116" s="4803">
        <v>0</v>
      </c>
      <c r="AC116" s="4803"/>
      <c r="AD116" s="4803"/>
      <c r="AE116" s="4803"/>
      <c r="AF116" s="4803"/>
      <c r="AG116" s="4803"/>
      <c r="AH116" s="4803"/>
      <c r="AI116" s="4803"/>
      <c r="AJ116" s="4803"/>
      <c r="AK116" s="4803">
        <v>0</v>
      </c>
      <c r="AL116" s="4803">
        <v>0</v>
      </c>
      <c r="AM116" s="4803">
        <v>2</v>
      </c>
      <c r="AN116" s="4803">
        <v>0</v>
      </c>
      <c r="AO116" s="4803"/>
      <c r="AP116" s="1788">
        <v>0</v>
      </c>
      <c r="AQ116" s="1788">
        <v>2</v>
      </c>
      <c r="AT116" s="41"/>
      <c r="AU116" s="41"/>
      <c r="AV116" s="41"/>
      <c r="AW116" s="41" t="s">
        <v>1344</v>
      </c>
      <c r="AX116" s="690"/>
      <c r="AY116" s="690">
        <v>0</v>
      </c>
      <c r="AZ116" s="690"/>
      <c r="BA116" s="690"/>
      <c r="BB116" s="690"/>
      <c r="BC116" s="690"/>
      <c r="BD116" s="690"/>
      <c r="BE116" s="690"/>
      <c r="BF116" s="690"/>
      <c r="BG116" s="690">
        <v>0</v>
      </c>
      <c r="BH116" s="690"/>
      <c r="BI116" s="690"/>
      <c r="BJ116" s="690">
        <v>2</v>
      </c>
      <c r="BK116" s="690">
        <v>0</v>
      </c>
      <c r="BL116" s="690">
        <v>0</v>
      </c>
      <c r="BM116" s="41"/>
      <c r="BN116" s="41"/>
      <c r="BO116" s="41">
        <v>2</v>
      </c>
      <c r="BP116" s="41"/>
      <c r="BR116" s="41"/>
      <c r="BS116" s="41"/>
      <c r="BT116" s="41"/>
      <c r="BU116" s="41" t="s">
        <v>1235</v>
      </c>
      <c r="BV116" s="2001">
        <v>0</v>
      </c>
      <c r="BW116" s="2001">
        <v>0</v>
      </c>
      <c r="BX116" s="2001">
        <v>0</v>
      </c>
      <c r="BY116" s="2001">
        <v>0</v>
      </c>
      <c r="BZ116" s="2001">
        <v>0</v>
      </c>
      <c r="CA116" s="2001"/>
      <c r="CB116" s="2001">
        <v>0</v>
      </c>
      <c r="CC116" s="2001">
        <v>1</v>
      </c>
      <c r="CD116" s="2001">
        <v>0</v>
      </c>
      <c r="CE116" s="2001">
        <v>0</v>
      </c>
      <c r="CF116" s="2001"/>
      <c r="CG116" s="2001">
        <v>0</v>
      </c>
      <c r="CH116" s="2001">
        <v>9</v>
      </c>
      <c r="CI116" s="2001">
        <v>10</v>
      </c>
      <c r="CJ116" s="2001">
        <v>2</v>
      </c>
      <c r="CK116" s="105">
        <v>1</v>
      </c>
      <c r="CL116" s="105">
        <v>0</v>
      </c>
      <c r="CM116" s="105">
        <v>23</v>
      </c>
      <c r="CN116" s="41"/>
      <c r="CR116" s="41"/>
      <c r="CS116" s="41" t="s">
        <v>1235</v>
      </c>
      <c r="CT116" s="1665"/>
      <c r="CU116" s="1665">
        <v>0</v>
      </c>
      <c r="CV116" s="1665"/>
      <c r="CW116" s="1665"/>
      <c r="CX116" s="1665"/>
      <c r="CY116" s="1665"/>
      <c r="CZ116" s="1665"/>
      <c r="DA116" s="1665"/>
      <c r="DB116" s="1665"/>
      <c r="DC116" s="1665"/>
      <c r="DD116" s="1665"/>
      <c r="DE116" s="1665"/>
      <c r="DF116" s="1665"/>
      <c r="DG116" s="1665">
        <v>1</v>
      </c>
      <c r="DH116" s="1665">
        <v>3</v>
      </c>
      <c r="DI116" s="41">
        <v>0</v>
      </c>
      <c r="DJ116" s="41">
        <v>0</v>
      </c>
      <c r="DK116" s="41">
        <v>4</v>
      </c>
      <c r="DL116" s="41"/>
      <c r="DN116" s="1375"/>
      <c r="DO116" s="1375"/>
      <c r="DP116" s="1375"/>
      <c r="DQ116" s="1376" t="s">
        <v>1344</v>
      </c>
      <c r="DR116" s="1377"/>
      <c r="DS116" s="1378">
        <v>0</v>
      </c>
      <c r="DT116" s="1378">
        <v>0</v>
      </c>
      <c r="DU116" s="1377"/>
      <c r="DV116" s="1377"/>
      <c r="DW116" s="1377"/>
      <c r="DX116" s="1377"/>
      <c r="DY116" s="1377"/>
      <c r="DZ116" s="1377"/>
      <c r="EA116" s="1378">
        <v>3</v>
      </c>
      <c r="EB116" s="1378">
        <v>3</v>
      </c>
      <c r="EC116" s="1378">
        <v>4</v>
      </c>
      <c r="ED116" s="1378">
        <v>0</v>
      </c>
      <c r="EE116" s="1380">
        <v>0</v>
      </c>
      <c r="EF116" s="1380">
        <v>0</v>
      </c>
      <c r="EG116" s="1380">
        <v>10</v>
      </c>
      <c r="EH116" s="41"/>
      <c r="EJ116" s="678"/>
      <c r="EK116" s="678"/>
      <c r="EL116" s="678"/>
      <c r="EM116" s="679" t="s">
        <v>1235</v>
      </c>
      <c r="EN116" s="680"/>
      <c r="EO116" s="680"/>
      <c r="EP116" s="680"/>
      <c r="EQ116" s="681">
        <v>0</v>
      </c>
      <c r="ER116" s="680"/>
      <c r="ES116" s="680"/>
      <c r="ET116" s="680"/>
      <c r="EU116" s="680"/>
      <c r="EV116" s="680"/>
      <c r="EW116" s="680"/>
      <c r="EX116" s="680"/>
      <c r="EY116" s="681">
        <v>1</v>
      </c>
      <c r="EZ116" s="681">
        <v>0</v>
      </c>
      <c r="FA116" s="681">
        <v>1</v>
      </c>
      <c r="FB116" s="681">
        <v>0</v>
      </c>
      <c r="FC116" s="682"/>
      <c r="FD116" s="683">
        <v>0</v>
      </c>
      <c r="FE116" s="683">
        <v>2</v>
      </c>
      <c r="FF116" s="105"/>
      <c r="FH116" s="511"/>
      <c r="FI116" s="511"/>
      <c r="FJ116" s="511"/>
      <c r="FK116" s="511"/>
      <c r="FL116" s="512" t="s">
        <v>1239</v>
      </c>
      <c r="FM116" s="684"/>
      <c r="FN116" s="685">
        <v>0</v>
      </c>
      <c r="FO116" s="684"/>
      <c r="FP116" s="684"/>
      <c r="FQ116" s="684"/>
      <c r="FR116" s="684"/>
      <c r="FS116" s="684"/>
      <c r="FT116" s="684"/>
      <c r="FU116" s="684"/>
      <c r="FV116" s="685">
        <v>0</v>
      </c>
      <c r="FW116" s="685">
        <v>0</v>
      </c>
      <c r="FX116" s="684"/>
      <c r="FY116" s="684"/>
      <c r="FZ116" s="685">
        <v>0</v>
      </c>
      <c r="GA116" s="685">
        <v>5</v>
      </c>
      <c r="GB116" s="686"/>
      <c r="GC116" s="686"/>
      <c r="GD116" s="687">
        <v>5</v>
      </c>
      <c r="GE116" s="635"/>
      <c r="GF116" s="41"/>
      <c r="GG116" s="41"/>
      <c r="GH116" s="41"/>
      <c r="GI116" s="41"/>
      <c r="GJ116" s="41"/>
      <c r="GK116" s="41"/>
      <c r="GL116" s="41"/>
      <c r="GM116" s="41"/>
      <c r="GN116" s="41"/>
      <c r="GO116" s="41"/>
      <c r="GP116" s="41"/>
      <c r="GQ116" s="41"/>
      <c r="GR116" s="41"/>
      <c r="GS116" s="41"/>
      <c r="GT116" s="41"/>
      <c r="GU116" s="41"/>
      <c r="GV116" s="41"/>
      <c r="GW116" s="41"/>
      <c r="GX116" s="41"/>
      <c r="GY116" s="41"/>
      <c r="GZ116" s="41"/>
      <c r="HA116" s="41"/>
      <c r="HB116" s="105"/>
      <c r="HC116" s="105"/>
      <c r="HD116" s="41"/>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row>
    <row r="117" spans="3:255">
      <c r="D117" s="4800" t="s">
        <v>15</v>
      </c>
      <c r="E117" s="4606"/>
      <c r="F117" s="4606"/>
      <c r="G117" s="4606"/>
      <c r="H117" s="4606"/>
      <c r="I117" s="4606"/>
      <c r="J117" s="4606"/>
      <c r="K117" s="4606"/>
      <c r="L117" s="4606"/>
      <c r="M117" s="4606"/>
      <c r="N117" s="4606">
        <v>1</v>
      </c>
      <c r="O117" s="4606">
        <v>1</v>
      </c>
      <c r="P117" s="4606">
        <v>3</v>
      </c>
      <c r="Q117" s="4606">
        <v>8</v>
      </c>
      <c r="R117" s="4606">
        <v>11</v>
      </c>
      <c r="S117" s="2552">
        <v>1</v>
      </c>
      <c r="T117" s="2552">
        <v>1</v>
      </c>
      <c r="U117" s="2552">
        <v>26</v>
      </c>
      <c r="V117" s="1977">
        <f>+(U114+U116)/(U117)</f>
        <v>0.19230769230769232</v>
      </c>
      <c r="AA117" s="1793" t="s">
        <v>15</v>
      </c>
      <c r="AB117" s="4804">
        <v>0</v>
      </c>
      <c r="AC117" s="4804"/>
      <c r="AD117" s="4804"/>
      <c r="AE117" s="4804"/>
      <c r="AF117" s="4804"/>
      <c r="AG117" s="4804"/>
      <c r="AH117" s="4804"/>
      <c r="AI117" s="4804"/>
      <c r="AJ117" s="4804"/>
      <c r="AK117" s="4804">
        <v>1</v>
      </c>
      <c r="AL117" s="4804">
        <v>1</v>
      </c>
      <c r="AM117" s="4804">
        <v>3</v>
      </c>
      <c r="AN117" s="4804">
        <v>19</v>
      </c>
      <c r="AO117" s="4804"/>
      <c r="AP117" s="4702">
        <v>2</v>
      </c>
      <c r="AQ117" s="4702">
        <v>26</v>
      </c>
      <c r="AR117" s="4703">
        <f>+(AQ114+AQ116)/AQ117</f>
        <v>0.15384615384615385</v>
      </c>
      <c r="AT117" s="41"/>
      <c r="AU117" s="41"/>
      <c r="AV117" s="41"/>
      <c r="AW117" s="461" t="s">
        <v>15</v>
      </c>
      <c r="AX117" s="2489"/>
      <c r="AY117" s="2489">
        <v>1</v>
      </c>
      <c r="AZ117" s="2489"/>
      <c r="BA117" s="2489"/>
      <c r="BB117" s="2489"/>
      <c r="BC117" s="2489"/>
      <c r="BD117" s="2489"/>
      <c r="BE117" s="2489"/>
      <c r="BF117" s="2489"/>
      <c r="BG117" s="2489">
        <v>1</v>
      </c>
      <c r="BH117" s="2489"/>
      <c r="BI117" s="2489"/>
      <c r="BJ117" s="2489">
        <v>2</v>
      </c>
      <c r="BK117" s="2489">
        <v>9</v>
      </c>
      <c r="BL117" s="2489">
        <v>15</v>
      </c>
      <c r="BM117" s="461"/>
      <c r="BN117" s="461"/>
      <c r="BO117" s="461">
        <v>28</v>
      </c>
      <c r="BP117" s="635">
        <f>+(BO116+BO114)/BO117</f>
        <v>0.25</v>
      </c>
      <c r="BQ117" s="1977"/>
      <c r="BR117" s="41"/>
      <c r="BS117" s="41"/>
      <c r="BT117" s="41"/>
      <c r="BU117" s="41" t="s">
        <v>1239</v>
      </c>
      <c r="BV117" s="2001">
        <v>0</v>
      </c>
      <c r="BW117" s="2001">
        <v>0</v>
      </c>
      <c r="BX117" s="2001">
        <v>0</v>
      </c>
      <c r="BY117" s="2001">
        <v>0</v>
      </c>
      <c r="BZ117" s="2001">
        <v>0</v>
      </c>
      <c r="CA117" s="2001"/>
      <c r="CB117" s="2001">
        <v>0</v>
      </c>
      <c r="CC117" s="2001">
        <v>0</v>
      </c>
      <c r="CD117" s="2001">
        <v>0</v>
      </c>
      <c r="CE117" s="2001">
        <v>0</v>
      </c>
      <c r="CF117" s="2001"/>
      <c r="CG117" s="2001">
        <v>0</v>
      </c>
      <c r="CH117" s="2001">
        <v>0</v>
      </c>
      <c r="CI117" s="2001">
        <v>0</v>
      </c>
      <c r="CJ117" s="2001">
        <v>32</v>
      </c>
      <c r="CK117" s="105">
        <v>4</v>
      </c>
      <c r="CL117" s="105">
        <v>15</v>
      </c>
      <c r="CM117" s="105">
        <v>51</v>
      </c>
      <c r="CN117" s="41"/>
      <c r="CR117" s="41"/>
      <c r="CS117" s="41" t="s">
        <v>1239</v>
      </c>
      <c r="CT117" s="1665"/>
      <c r="CU117" s="1665">
        <v>0</v>
      </c>
      <c r="CV117" s="1665"/>
      <c r="CW117" s="1665"/>
      <c r="CX117" s="1665"/>
      <c r="CY117" s="1665"/>
      <c r="CZ117" s="1665"/>
      <c r="DA117" s="1665"/>
      <c r="DB117" s="1665"/>
      <c r="DC117" s="1665"/>
      <c r="DD117" s="1665"/>
      <c r="DE117" s="1665"/>
      <c r="DF117" s="1665"/>
      <c r="DG117" s="1665">
        <v>0</v>
      </c>
      <c r="DH117" s="1665">
        <v>2</v>
      </c>
      <c r="DI117" s="41">
        <v>0</v>
      </c>
      <c r="DJ117" s="41">
        <v>2</v>
      </c>
      <c r="DK117" s="41">
        <v>4</v>
      </c>
      <c r="DL117" s="41"/>
      <c r="DN117" s="1375"/>
      <c r="DO117" s="1375"/>
      <c r="DP117" s="1375"/>
      <c r="DQ117" s="1372" t="s">
        <v>547</v>
      </c>
      <c r="DR117" s="1381"/>
      <c r="DS117" s="1382">
        <v>2</v>
      </c>
      <c r="DT117" s="1382">
        <v>1</v>
      </c>
      <c r="DU117" s="1381"/>
      <c r="DV117" s="1381"/>
      <c r="DW117" s="1381"/>
      <c r="DX117" s="1381"/>
      <c r="DY117" s="1381"/>
      <c r="DZ117" s="1381"/>
      <c r="EA117" s="1382">
        <v>4</v>
      </c>
      <c r="EB117" s="1382">
        <v>7</v>
      </c>
      <c r="EC117" s="1382">
        <v>9</v>
      </c>
      <c r="ED117" s="1382">
        <v>19</v>
      </c>
      <c r="EE117" s="1384">
        <v>1</v>
      </c>
      <c r="EF117" s="1384">
        <v>5</v>
      </c>
      <c r="EG117" s="1384">
        <v>48</v>
      </c>
      <c r="EH117" s="1325">
        <f>+(EG114+EG116)/EG117</f>
        <v>0.33333333333333331</v>
      </c>
      <c r="EJ117" s="678"/>
      <c r="EK117" s="678"/>
      <c r="EL117" s="678"/>
      <c r="EM117" s="679" t="s">
        <v>1239</v>
      </c>
      <c r="EN117" s="680"/>
      <c r="EO117" s="680"/>
      <c r="EP117" s="680"/>
      <c r="EQ117" s="681">
        <v>0</v>
      </c>
      <c r="ER117" s="680"/>
      <c r="ES117" s="680"/>
      <c r="ET117" s="680"/>
      <c r="EU117" s="680"/>
      <c r="EV117" s="680"/>
      <c r="EW117" s="680"/>
      <c r="EX117" s="680"/>
      <c r="EY117" s="681">
        <v>0</v>
      </c>
      <c r="EZ117" s="681">
        <v>0</v>
      </c>
      <c r="FA117" s="681">
        <v>1</v>
      </c>
      <c r="FB117" s="681">
        <v>9</v>
      </c>
      <c r="FC117" s="682"/>
      <c r="FD117" s="683">
        <v>4</v>
      </c>
      <c r="FE117" s="683">
        <v>14</v>
      </c>
      <c r="FF117" s="105"/>
      <c r="FH117" s="511"/>
      <c r="FI117" s="511"/>
      <c r="FJ117" s="511"/>
      <c r="FK117" s="41"/>
      <c r="FL117" s="532" t="s">
        <v>15</v>
      </c>
      <c r="FM117" s="693"/>
      <c r="FN117" s="694">
        <v>1</v>
      </c>
      <c r="FO117" s="693"/>
      <c r="FP117" s="693"/>
      <c r="FQ117" s="693"/>
      <c r="FR117" s="693"/>
      <c r="FS117" s="693"/>
      <c r="FT117" s="693"/>
      <c r="FU117" s="693"/>
      <c r="FV117" s="694">
        <v>1</v>
      </c>
      <c r="FW117" s="694">
        <v>1</v>
      </c>
      <c r="FX117" s="693"/>
      <c r="FY117" s="693"/>
      <c r="FZ117" s="694">
        <v>3</v>
      </c>
      <c r="GA117" s="694">
        <v>5</v>
      </c>
      <c r="GB117" s="695"/>
      <c r="GC117" s="695"/>
      <c r="GD117" s="696">
        <v>11</v>
      </c>
      <c r="GE117" s="635">
        <f>+GD115/GD117</f>
        <v>0.27272727272727271</v>
      </c>
      <c r="GF117" s="41"/>
      <c r="GG117" s="41"/>
      <c r="GH117" s="41"/>
      <c r="GI117" s="670"/>
      <c r="GJ117" s="670"/>
      <c r="GK117" s="5673" t="s">
        <v>1318</v>
      </c>
      <c r="GL117" s="5673"/>
      <c r="GM117" s="5673"/>
      <c r="GN117" s="5673"/>
      <c r="GO117" s="5673"/>
      <c r="GP117" s="5673"/>
      <c r="GQ117" s="5673"/>
      <c r="GR117" s="5673"/>
      <c r="GS117" s="5673"/>
      <c r="GT117" s="5673"/>
      <c r="GU117" s="5673"/>
      <c r="GV117" s="5673"/>
      <c r="GW117" s="5673"/>
      <c r="GX117" s="669"/>
      <c r="GY117" s="41"/>
      <c r="GZ117" s="41"/>
      <c r="HA117" s="41"/>
      <c r="HB117" s="105"/>
      <c r="HC117" s="105"/>
      <c r="HD117" s="41" t="s">
        <v>327</v>
      </c>
      <c r="HE117" s="461" t="s">
        <v>327</v>
      </c>
      <c r="HF117" s="5678" t="s">
        <v>1319</v>
      </c>
      <c r="HG117" s="5678"/>
      <c r="HH117" s="5678"/>
      <c r="HI117" s="5678"/>
      <c r="HJ117" s="5678"/>
      <c r="HK117" s="5678"/>
      <c r="HL117" s="5678"/>
      <c r="HM117" s="5678"/>
      <c r="HN117" s="5678"/>
      <c r="HO117" s="5678"/>
      <c r="HP117" s="5678"/>
      <c r="HQ117" s="5678"/>
      <c r="HR117" s="5678"/>
      <c r="HS117" s="5678"/>
      <c r="HT117" s="5678"/>
      <c r="HU117" s="5678"/>
      <c r="HV117" s="461"/>
      <c r="HW117" s="41"/>
      <c r="HX117" s="41"/>
      <c r="HY117" s="41"/>
      <c r="HZ117" s="41"/>
      <c r="IA117" s="41"/>
      <c r="IB117" s="41"/>
      <c r="IC117" s="5677" t="s">
        <v>1319</v>
      </c>
      <c r="ID117" s="5677"/>
      <c r="IE117" s="5677"/>
      <c r="IF117" s="5677"/>
      <c r="IG117" s="5677"/>
      <c r="IH117" s="5677"/>
      <c r="II117" s="5677"/>
      <c r="IJ117" s="5677"/>
      <c r="IK117" s="5677"/>
      <c r="IL117" s="5677"/>
      <c r="IM117" s="5677"/>
      <c r="IN117" s="5677"/>
      <c r="IO117" s="5677"/>
      <c r="IP117" s="5677"/>
      <c r="IQ117" s="5677"/>
      <c r="IR117" s="5677"/>
      <c r="IS117" s="41"/>
      <c r="IT117" s="41"/>
      <c r="IU117" s="41"/>
    </row>
    <row r="118" spans="3:255" ht="24.6" thickBot="1">
      <c r="C118" s="4800" t="s">
        <v>130</v>
      </c>
      <c r="D118" s="4800" t="s">
        <v>1235</v>
      </c>
      <c r="E118" s="4606"/>
      <c r="F118" s="4606"/>
      <c r="G118" s="4606"/>
      <c r="H118" s="4606"/>
      <c r="I118" s="4606"/>
      <c r="J118" s="4606"/>
      <c r="K118" s="4606"/>
      <c r="L118" s="4606"/>
      <c r="M118" s="4606"/>
      <c r="N118" s="4606"/>
      <c r="O118" s="4606"/>
      <c r="P118" s="4606">
        <v>0</v>
      </c>
      <c r="Q118" s="4606">
        <v>2</v>
      </c>
      <c r="R118" s="4606">
        <v>0</v>
      </c>
      <c r="S118" s="2552"/>
      <c r="T118" s="2552">
        <v>0</v>
      </c>
      <c r="U118" s="2552">
        <v>2</v>
      </c>
      <c r="V118" s="2552"/>
      <c r="Z118" s="37" t="s">
        <v>130</v>
      </c>
      <c r="AA118" s="37" t="s">
        <v>1235</v>
      </c>
      <c r="AB118" s="4803"/>
      <c r="AC118" s="4803"/>
      <c r="AD118" s="4803"/>
      <c r="AE118" s="4803"/>
      <c r="AF118" s="4803"/>
      <c r="AG118" s="4803"/>
      <c r="AH118" s="4803"/>
      <c r="AI118" s="4803"/>
      <c r="AJ118" s="4803"/>
      <c r="AK118" s="4803"/>
      <c r="AL118" s="4803"/>
      <c r="AM118" s="4803">
        <v>2</v>
      </c>
      <c r="AN118" s="4803">
        <v>2</v>
      </c>
      <c r="AO118" s="4803"/>
      <c r="AP118" s="1788">
        <v>0</v>
      </c>
      <c r="AQ118" s="1788">
        <v>4</v>
      </c>
      <c r="AT118" s="41"/>
      <c r="AU118" s="41"/>
      <c r="AV118" s="41" t="s">
        <v>127</v>
      </c>
      <c r="AW118" s="41" t="s">
        <v>1231</v>
      </c>
      <c r="AX118" s="690"/>
      <c r="AY118" s="690"/>
      <c r="AZ118" s="690"/>
      <c r="BA118" s="690">
        <v>0</v>
      </c>
      <c r="BB118" s="690"/>
      <c r="BC118" s="690"/>
      <c r="BD118" s="690">
        <v>0</v>
      </c>
      <c r="BE118" s="690"/>
      <c r="BF118" s="690"/>
      <c r="BG118" s="690"/>
      <c r="BH118" s="690">
        <v>0</v>
      </c>
      <c r="BI118" s="690"/>
      <c r="BJ118" s="690">
        <v>1</v>
      </c>
      <c r="BK118" s="690">
        <v>7</v>
      </c>
      <c r="BL118" s="690">
        <v>0</v>
      </c>
      <c r="BM118" s="41"/>
      <c r="BN118" s="41"/>
      <c r="BO118" s="41">
        <v>8</v>
      </c>
      <c r="BP118" s="41"/>
      <c r="BR118" s="41"/>
      <c r="BS118" s="41"/>
      <c r="BT118" s="41"/>
      <c r="BU118" s="41" t="s">
        <v>1344</v>
      </c>
      <c r="BV118" s="2001">
        <v>0</v>
      </c>
      <c r="BW118" s="2001">
        <v>0</v>
      </c>
      <c r="BX118" s="2001">
        <v>0</v>
      </c>
      <c r="BY118" s="2001">
        <v>0</v>
      </c>
      <c r="BZ118" s="2001">
        <v>0</v>
      </c>
      <c r="CA118" s="2001"/>
      <c r="CB118" s="2001">
        <v>0</v>
      </c>
      <c r="CC118" s="2001">
        <v>0</v>
      </c>
      <c r="CD118" s="2001">
        <v>0</v>
      </c>
      <c r="CE118" s="2001">
        <v>1</v>
      </c>
      <c r="CF118" s="2001"/>
      <c r="CG118" s="2001">
        <v>4</v>
      </c>
      <c r="CH118" s="2001">
        <v>8</v>
      </c>
      <c r="CI118" s="2001">
        <v>10</v>
      </c>
      <c r="CJ118" s="2001">
        <v>2</v>
      </c>
      <c r="CK118" s="105">
        <v>0</v>
      </c>
      <c r="CL118" s="105">
        <v>0</v>
      </c>
      <c r="CM118" s="105">
        <v>25</v>
      </c>
      <c r="CN118" s="41"/>
      <c r="CR118" s="41"/>
      <c r="CS118" s="41" t="s">
        <v>1344</v>
      </c>
      <c r="CT118" s="1665"/>
      <c r="CU118" s="1665">
        <v>0</v>
      </c>
      <c r="CV118" s="1665"/>
      <c r="CW118" s="1665"/>
      <c r="CX118" s="1665"/>
      <c r="CY118" s="1665"/>
      <c r="CZ118" s="1665"/>
      <c r="DA118" s="1665"/>
      <c r="DB118" s="1665"/>
      <c r="DC118" s="1665"/>
      <c r="DD118" s="1665"/>
      <c r="DE118" s="1665"/>
      <c r="DF118" s="1665"/>
      <c r="DG118" s="1665">
        <v>2</v>
      </c>
      <c r="DH118" s="1665">
        <v>1</v>
      </c>
      <c r="DI118" s="41">
        <v>1</v>
      </c>
      <c r="DJ118" s="41">
        <v>0</v>
      </c>
      <c r="DK118" s="41">
        <v>4</v>
      </c>
      <c r="DL118" s="41"/>
      <c r="DN118" s="1375"/>
      <c r="DO118" s="1375"/>
      <c r="DP118" s="1375" t="s">
        <v>110</v>
      </c>
      <c r="DQ118" s="1376" t="s">
        <v>1230</v>
      </c>
      <c r="DR118" s="1377"/>
      <c r="DS118" s="1378">
        <v>0</v>
      </c>
      <c r="DT118" s="1378">
        <v>0</v>
      </c>
      <c r="DU118" s="1377"/>
      <c r="DV118" s="1378">
        <v>0</v>
      </c>
      <c r="DW118" s="1378">
        <v>0</v>
      </c>
      <c r="DX118" s="1378">
        <v>0</v>
      </c>
      <c r="DY118" s="1378">
        <v>0</v>
      </c>
      <c r="DZ118" s="1378">
        <v>0</v>
      </c>
      <c r="EA118" s="1378">
        <v>0</v>
      </c>
      <c r="EB118" s="1378">
        <v>0</v>
      </c>
      <c r="EC118" s="1378">
        <v>0</v>
      </c>
      <c r="ED118" s="1378">
        <v>7</v>
      </c>
      <c r="EE118" s="1380">
        <v>1</v>
      </c>
      <c r="EF118" s="1380">
        <v>2</v>
      </c>
      <c r="EG118" s="1380">
        <v>10</v>
      </c>
      <c r="EH118" s="41"/>
      <c r="EJ118" s="678"/>
      <c r="EK118" s="678"/>
      <c r="EL118" s="678"/>
      <c r="EM118" s="679" t="s">
        <v>1344</v>
      </c>
      <c r="EN118" s="680"/>
      <c r="EO118" s="680"/>
      <c r="EP118" s="680"/>
      <c r="EQ118" s="681">
        <v>0</v>
      </c>
      <c r="ER118" s="680"/>
      <c r="ES118" s="680"/>
      <c r="ET118" s="680"/>
      <c r="EU118" s="680"/>
      <c r="EV118" s="680"/>
      <c r="EW118" s="680"/>
      <c r="EX118" s="680"/>
      <c r="EY118" s="681">
        <v>1</v>
      </c>
      <c r="EZ118" s="681">
        <v>1</v>
      </c>
      <c r="FA118" s="681">
        <v>0</v>
      </c>
      <c r="FB118" s="681">
        <v>2</v>
      </c>
      <c r="FC118" s="682"/>
      <c r="FD118" s="683">
        <v>0</v>
      </c>
      <c r="FE118" s="683">
        <v>4</v>
      </c>
      <c r="FF118" s="105"/>
      <c r="FH118" s="511"/>
      <c r="FI118" s="511"/>
      <c r="FJ118" s="532" t="s">
        <v>547</v>
      </c>
      <c r="FK118" s="511" t="s">
        <v>1229</v>
      </c>
      <c r="FL118" s="512" t="s">
        <v>1231</v>
      </c>
      <c r="FM118" s="684"/>
      <c r="FN118" s="685">
        <v>1</v>
      </c>
      <c r="FO118" s="684"/>
      <c r="FP118" s="684"/>
      <c r="FQ118" s="684"/>
      <c r="FR118" s="684"/>
      <c r="FS118" s="684"/>
      <c r="FT118" s="684"/>
      <c r="FU118" s="684"/>
      <c r="FV118" s="685">
        <v>1</v>
      </c>
      <c r="FW118" s="685">
        <v>0</v>
      </c>
      <c r="FX118" s="685">
        <v>0</v>
      </c>
      <c r="FY118" s="685">
        <v>1</v>
      </c>
      <c r="FZ118" s="685">
        <v>1</v>
      </c>
      <c r="GA118" s="685">
        <v>1</v>
      </c>
      <c r="GB118" s="686"/>
      <c r="GC118" s="687">
        <v>0</v>
      </c>
      <c r="GD118" s="687">
        <v>5</v>
      </c>
      <c r="GE118" s="635"/>
      <c r="GF118" s="41"/>
      <c r="GG118" s="716" t="s">
        <v>0</v>
      </c>
      <c r="GH118" s="716"/>
      <c r="GI118" s="716" t="s">
        <v>1</v>
      </c>
      <c r="GJ118" s="716" t="s">
        <v>1229</v>
      </c>
      <c r="GK118" s="716">
        <v>1</v>
      </c>
      <c r="GL118" s="716">
        <v>5</v>
      </c>
      <c r="GM118" s="716">
        <v>6</v>
      </c>
      <c r="GN118" s="716">
        <v>7</v>
      </c>
      <c r="GO118" s="716">
        <v>8</v>
      </c>
      <c r="GP118" s="716">
        <v>9</v>
      </c>
      <c r="GQ118" s="716">
        <v>10</v>
      </c>
      <c r="GR118" s="716">
        <v>11</v>
      </c>
      <c r="GS118" s="716">
        <v>12</v>
      </c>
      <c r="GT118" s="716">
        <v>13</v>
      </c>
      <c r="GU118" s="716">
        <v>14</v>
      </c>
      <c r="GV118" s="716">
        <v>15</v>
      </c>
      <c r="GW118" s="716">
        <v>16</v>
      </c>
      <c r="GX118" s="716" t="s">
        <v>15</v>
      </c>
      <c r="GY118" s="717" t="s">
        <v>66</v>
      </c>
      <c r="GZ118" s="41"/>
      <c r="HA118" s="41"/>
      <c r="HB118" s="718"/>
      <c r="HC118" s="719" t="s">
        <v>0</v>
      </c>
      <c r="HD118" s="719" t="s">
        <v>1</v>
      </c>
      <c r="HE118" s="719" t="s">
        <v>1229</v>
      </c>
      <c r="HF118" s="719">
        <v>1</v>
      </c>
      <c r="HG118" s="719">
        <v>2</v>
      </c>
      <c r="HH118" s="719">
        <v>3</v>
      </c>
      <c r="HI118" s="719">
        <v>4</v>
      </c>
      <c r="HJ118" s="719">
        <v>5</v>
      </c>
      <c r="HK118" s="719">
        <v>6</v>
      </c>
      <c r="HL118" s="719">
        <v>7</v>
      </c>
      <c r="HM118" s="719">
        <v>8</v>
      </c>
      <c r="HN118" s="719">
        <v>9</v>
      </c>
      <c r="HO118" s="719">
        <v>10</v>
      </c>
      <c r="HP118" s="719">
        <v>11</v>
      </c>
      <c r="HQ118" s="719">
        <v>12</v>
      </c>
      <c r="HR118" s="719">
        <v>13</v>
      </c>
      <c r="HS118" s="719">
        <v>14</v>
      </c>
      <c r="HT118" s="719">
        <v>15</v>
      </c>
      <c r="HU118" s="719">
        <v>16</v>
      </c>
      <c r="HV118" s="719" t="s">
        <v>15</v>
      </c>
      <c r="HW118" s="719" t="s">
        <v>66</v>
      </c>
      <c r="HX118" s="720"/>
      <c r="HY118" s="721"/>
      <c r="HZ118" s="722" t="s">
        <v>0</v>
      </c>
      <c r="IA118" s="722" t="s">
        <v>1</v>
      </c>
      <c r="IB118" s="723" t="s">
        <v>1321</v>
      </c>
      <c r="IC118" s="722">
        <v>0</v>
      </c>
      <c r="ID118" s="722">
        <v>1</v>
      </c>
      <c r="IE118" s="722">
        <v>2</v>
      </c>
      <c r="IF118" s="722">
        <v>3</v>
      </c>
      <c r="IG118" s="722">
        <v>5</v>
      </c>
      <c r="IH118" s="722">
        <v>6</v>
      </c>
      <c r="II118" s="722">
        <v>7</v>
      </c>
      <c r="IJ118" s="722">
        <v>8</v>
      </c>
      <c r="IK118" s="722">
        <v>9</v>
      </c>
      <c r="IL118" s="722">
        <v>10</v>
      </c>
      <c r="IM118" s="722">
        <v>11</v>
      </c>
      <c r="IN118" s="722">
        <v>12</v>
      </c>
      <c r="IO118" s="722">
        <v>13</v>
      </c>
      <c r="IP118" s="722">
        <v>14</v>
      </c>
      <c r="IQ118" s="722">
        <v>15</v>
      </c>
      <c r="IR118" s="722">
        <v>16</v>
      </c>
      <c r="IS118" s="722" t="s">
        <v>15</v>
      </c>
      <c r="IT118" s="723" t="s">
        <v>66</v>
      </c>
      <c r="IU118" s="722" t="s">
        <v>1322</v>
      </c>
    </row>
    <row r="119" spans="3:255">
      <c r="D119" s="4800" t="s">
        <v>1239</v>
      </c>
      <c r="E119" s="4606"/>
      <c r="F119" s="4606"/>
      <c r="G119" s="4606"/>
      <c r="H119" s="4606"/>
      <c r="I119" s="4606"/>
      <c r="J119" s="4606"/>
      <c r="K119" s="4606"/>
      <c r="L119" s="4606"/>
      <c r="M119" s="4606"/>
      <c r="N119" s="4606"/>
      <c r="O119" s="4606"/>
      <c r="P119" s="4606">
        <v>0</v>
      </c>
      <c r="Q119" s="4606">
        <v>1</v>
      </c>
      <c r="R119" s="4606">
        <v>1</v>
      </c>
      <c r="S119" s="2552"/>
      <c r="T119" s="2552">
        <v>1</v>
      </c>
      <c r="U119" s="2552">
        <v>3</v>
      </c>
      <c r="V119" s="2552"/>
      <c r="AA119" s="37" t="s">
        <v>1239</v>
      </c>
      <c r="AB119" s="4803"/>
      <c r="AC119" s="4803"/>
      <c r="AD119" s="4803"/>
      <c r="AE119" s="4803"/>
      <c r="AF119" s="4803"/>
      <c r="AG119" s="4803"/>
      <c r="AH119" s="4803"/>
      <c r="AI119" s="4803"/>
      <c r="AJ119" s="4803"/>
      <c r="AK119" s="4803"/>
      <c r="AL119" s="4803"/>
      <c r="AM119" s="4803">
        <v>0</v>
      </c>
      <c r="AN119" s="4803">
        <v>2</v>
      </c>
      <c r="AO119" s="4803"/>
      <c r="AP119" s="1788">
        <v>1</v>
      </c>
      <c r="AQ119" s="1788">
        <v>3</v>
      </c>
      <c r="AT119" s="41"/>
      <c r="AU119" s="41"/>
      <c r="AV119" s="41"/>
      <c r="AW119" s="41" t="s">
        <v>1233</v>
      </c>
      <c r="AX119" s="690"/>
      <c r="AY119" s="690"/>
      <c r="AZ119" s="690"/>
      <c r="BA119" s="690">
        <v>1</v>
      </c>
      <c r="BB119" s="690"/>
      <c r="BC119" s="690"/>
      <c r="BD119" s="690">
        <v>1</v>
      </c>
      <c r="BE119" s="690"/>
      <c r="BF119" s="690"/>
      <c r="BG119" s="690"/>
      <c r="BH119" s="690">
        <v>0</v>
      </c>
      <c r="BI119" s="690"/>
      <c r="BJ119" s="690">
        <v>0</v>
      </c>
      <c r="BK119" s="690">
        <v>0</v>
      </c>
      <c r="BL119" s="690">
        <v>0</v>
      </c>
      <c r="BM119" s="41"/>
      <c r="BN119" s="41"/>
      <c r="BO119" s="41">
        <v>2</v>
      </c>
      <c r="BP119" s="41"/>
      <c r="BR119" s="41"/>
      <c r="BS119" s="41"/>
      <c r="BT119" s="41"/>
      <c r="BU119" s="41" t="s">
        <v>1940</v>
      </c>
      <c r="BV119" s="2001">
        <v>1</v>
      </c>
      <c r="BW119" s="2001">
        <v>0</v>
      </c>
      <c r="BX119" s="2001">
        <v>0</v>
      </c>
      <c r="BY119" s="2001">
        <v>0</v>
      </c>
      <c r="BZ119" s="2001">
        <v>0</v>
      </c>
      <c r="CA119" s="2001"/>
      <c r="CB119" s="2001">
        <v>0</v>
      </c>
      <c r="CC119" s="2001">
        <v>0</v>
      </c>
      <c r="CD119" s="2001">
        <v>0</v>
      </c>
      <c r="CE119" s="2001">
        <v>0</v>
      </c>
      <c r="CF119" s="2001"/>
      <c r="CG119" s="2001">
        <v>0</v>
      </c>
      <c r="CH119" s="2001">
        <v>0</v>
      </c>
      <c r="CI119" s="2001">
        <v>0</v>
      </c>
      <c r="CJ119" s="2001">
        <v>0</v>
      </c>
      <c r="CK119" s="105">
        <v>0</v>
      </c>
      <c r="CL119" s="105">
        <v>0</v>
      </c>
      <c r="CM119" s="105">
        <v>1</v>
      </c>
      <c r="CN119" s="41"/>
      <c r="CR119" s="41"/>
      <c r="CS119" s="461" t="s">
        <v>15</v>
      </c>
      <c r="CT119" s="1666"/>
      <c r="CU119" s="1666">
        <v>1</v>
      </c>
      <c r="CV119" s="1666"/>
      <c r="CW119" s="1666"/>
      <c r="CX119" s="1666"/>
      <c r="CY119" s="1666"/>
      <c r="CZ119" s="1666"/>
      <c r="DA119" s="1666"/>
      <c r="DB119" s="1666"/>
      <c r="DC119" s="1666"/>
      <c r="DD119" s="1666"/>
      <c r="DE119" s="1666"/>
      <c r="DF119" s="1666"/>
      <c r="DG119" s="1666">
        <v>3</v>
      </c>
      <c r="DH119" s="1666">
        <v>6</v>
      </c>
      <c r="DI119" s="461">
        <v>2</v>
      </c>
      <c r="DJ119" s="461">
        <v>2</v>
      </c>
      <c r="DK119" s="461">
        <v>14</v>
      </c>
      <c r="DL119" s="635">
        <f>+(DK116+DK118-DI118)/DK119</f>
        <v>0.5</v>
      </c>
      <c r="DN119" s="1375"/>
      <c r="DO119" s="1375"/>
      <c r="DP119" s="1375"/>
      <c r="DQ119" s="1376" t="s">
        <v>1231</v>
      </c>
      <c r="DR119" s="1377"/>
      <c r="DS119" s="1378">
        <v>5</v>
      </c>
      <c r="DT119" s="1378">
        <v>1</v>
      </c>
      <c r="DU119" s="1377"/>
      <c r="DV119" s="1378">
        <v>2</v>
      </c>
      <c r="DW119" s="1378">
        <v>1</v>
      </c>
      <c r="DX119" s="1378">
        <v>0</v>
      </c>
      <c r="DY119" s="1378">
        <v>2</v>
      </c>
      <c r="DZ119" s="1378">
        <v>2</v>
      </c>
      <c r="EA119" s="1378">
        <v>2</v>
      </c>
      <c r="EB119" s="1378">
        <v>6</v>
      </c>
      <c r="EC119" s="1378">
        <v>7</v>
      </c>
      <c r="ED119" s="1378">
        <v>6</v>
      </c>
      <c r="EE119" s="1380">
        <v>1</v>
      </c>
      <c r="EF119" s="1380">
        <v>0</v>
      </c>
      <c r="EG119" s="1380">
        <v>35</v>
      </c>
      <c r="EH119" s="41"/>
      <c r="EJ119" s="678"/>
      <c r="EK119" s="678"/>
      <c r="EL119" s="678"/>
      <c r="EM119" s="697" t="s">
        <v>15</v>
      </c>
      <c r="EN119" s="698"/>
      <c r="EO119" s="698"/>
      <c r="EP119" s="698"/>
      <c r="EQ119" s="699">
        <v>1</v>
      </c>
      <c r="ER119" s="698"/>
      <c r="ES119" s="698"/>
      <c r="ET119" s="698"/>
      <c r="EU119" s="698"/>
      <c r="EV119" s="698"/>
      <c r="EW119" s="698"/>
      <c r="EX119" s="698"/>
      <c r="EY119" s="699">
        <v>2</v>
      </c>
      <c r="EZ119" s="699">
        <v>1</v>
      </c>
      <c r="FA119" s="699">
        <v>2</v>
      </c>
      <c r="FB119" s="699">
        <v>11</v>
      </c>
      <c r="FC119" s="700"/>
      <c r="FD119" s="701">
        <v>4</v>
      </c>
      <c r="FE119" s="701">
        <v>21</v>
      </c>
      <c r="FF119" s="635">
        <f>+(FE116+FE118)/FE119</f>
        <v>0.2857142857142857</v>
      </c>
      <c r="FH119" s="511"/>
      <c r="FI119" s="511"/>
      <c r="FJ119" s="511"/>
      <c r="FK119" s="511"/>
      <c r="FL119" s="512" t="s">
        <v>1233</v>
      </c>
      <c r="FM119" s="684"/>
      <c r="FN119" s="685">
        <v>0</v>
      </c>
      <c r="FO119" s="684"/>
      <c r="FP119" s="684"/>
      <c r="FQ119" s="684"/>
      <c r="FR119" s="684"/>
      <c r="FS119" s="684"/>
      <c r="FT119" s="684"/>
      <c r="FU119" s="684"/>
      <c r="FV119" s="685">
        <v>1</v>
      </c>
      <c r="FW119" s="685">
        <v>0</v>
      </c>
      <c r="FX119" s="685">
        <v>0</v>
      </c>
      <c r="FY119" s="685">
        <v>0</v>
      </c>
      <c r="FZ119" s="685">
        <v>0</v>
      </c>
      <c r="GA119" s="685">
        <v>0</v>
      </c>
      <c r="GB119" s="686"/>
      <c r="GC119" s="687">
        <v>0</v>
      </c>
      <c r="GD119" s="687">
        <v>1</v>
      </c>
      <c r="GE119" s="635"/>
      <c r="GF119" s="41"/>
      <c r="GG119" s="688" t="s">
        <v>3</v>
      </c>
      <c r="GH119" s="41"/>
      <c r="GI119" s="688" t="s">
        <v>544</v>
      </c>
      <c r="GJ119" s="457" t="s">
        <v>1231</v>
      </c>
      <c r="GK119" s="689"/>
      <c r="GL119" s="689"/>
      <c r="GM119" s="689"/>
      <c r="GN119" s="458">
        <v>0</v>
      </c>
      <c r="GO119" s="458">
        <v>0</v>
      </c>
      <c r="GP119" s="458">
        <v>0</v>
      </c>
      <c r="GQ119" s="458">
        <v>0</v>
      </c>
      <c r="GR119" s="458">
        <v>0</v>
      </c>
      <c r="GS119" s="458">
        <v>1</v>
      </c>
      <c r="GT119" s="458">
        <v>1</v>
      </c>
      <c r="GU119" s="458">
        <v>0</v>
      </c>
      <c r="GV119" s="689"/>
      <c r="GW119" s="689"/>
      <c r="GX119" s="458">
        <v>2</v>
      </c>
      <c r="GY119" s="690"/>
      <c r="GZ119" s="41"/>
      <c r="HA119" s="41"/>
      <c r="HB119" s="105"/>
      <c r="HC119" s="105" t="s">
        <v>3</v>
      </c>
      <c r="HD119" s="105" t="s">
        <v>4</v>
      </c>
      <c r="HE119" s="41" t="s">
        <v>1233</v>
      </c>
      <c r="HF119" s="41"/>
      <c r="HG119" s="41"/>
      <c r="HH119" s="41">
        <v>1</v>
      </c>
      <c r="HI119" s="41"/>
      <c r="HJ119" s="41"/>
      <c r="HK119" s="41">
        <v>0</v>
      </c>
      <c r="HL119" s="41"/>
      <c r="HM119" s="41"/>
      <c r="HN119" s="41">
        <v>0</v>
      </c>
      <c r="HO119" s="41">
        <v>0</v>
      </c>
      <c r="HP119" s="41">
        <v>0</v>
      </c>
      <c r="HQ119" s="41">
        <v>0</v>
      </c>
      <c r="HR119" s="41">
        <v>0</v>
      </c>
      <c r="HS119" s="41"/>
      <c r="HT119" s="41"/>
      <c r="HU119" s="41"/>
      <c r="HV119" s="41">
        <v>1</v>
      </c>
      <c r="HW119" s="41"/>
      <c r="HX119" s="41"/>
      <c r="HY119" s="691"/>
      <c r="HZ119" s="691" t="s">
        <v>1325</v>
      </c>
      <c r="IA119" s="691" t="s">
        <v>4</v>
      </c>
      <c r="IB119" s="691" t="s">
        <v>1233</v>
      </c>
      <c r="IC119" s="691">
        <v>0</v>
      </c>
      <c r="ID119" s="691">
        <v>0</v>
      </c>
      <c r="IE119" s="691">
        <v>1</v>
      </c>
      <c r="IF119" s="691">
        <v>0</v>
      </c>
      <c r="IG119" s="691">
        <v>0</v>
      </c>
      <c r="IH119" s="691">
        <v>0</v>
      </c>
      <c r="II119" s="691">
        <v>0</v>
      </c>
      <c r="IJ119" s="691">
        <v>0</v>
      </c>
      <c r="IK119" s="691">
        <v>0</v>
      </c>
      <c r="IL119" s="691">
        <v>0</v>
      </c>
      <c r="IM119" s="691">
        <v>0</v>
      </c>
      <c r="IN119" s="691">
        <v>0</v>
      </c>
      <c r="IO119" s="691">
        <v>0</v>
      </c>
      <c r="IP119" s="691">
        <v>0</v>
      </c>
      <c r="IQ119" s="691">
        <v>0</v>
      </c>
      <c r="IR119" s="691">
        <v>0</v>
      </c>
      <c r="IS119" s="691">
        <v>1</v>
      </c>
      <c r="IT119" s="691"/>
      <c r="IU119" s="692"/>
    </row>
    <row r="120" spans="3:255">
      <c r="D120" s="4800" t="s">
        <v>1344</v>
      </c>
      <c r="E120" s="4606"/>
      <c r="F120" s="4606"/>
      <c r="G120" s="4606"/>
      <c r="H120" s="4606"/>
      <c r="I120" s="4606"/>
      <c r="J120" s="4606"/>
      <c r="K120" s="4606"/>
      <c r="L120" s="4606"/>
      <c r="M120" s="4606"/>
      <c r="N120" s="4606"/>
      <c r="O120" s="4606"/>
      <c r="P120" s="4606">
        <v>3</v>
      </c>
      <c r="Q120" s="4606">
        <v>1</v>
      </c>
      <c r="R120" s="4606">
        <v>0</v>
      </c>
      <c r="S120" s="2552"/>
      <c r="T120" s="2552">
        <v>0</v>
      </c>
      <c r="U120" s="2552">
        <v>4</v>
      </c>
      <c r="V120" s="2552"/>
      <c r="AA120" s="37" t="s">
        <v>1344</v>
      </c>
      <c r="AB120" s="4803"/>
      <c r="AC120" s="4803"/>
      <c r="AD120" s="4803"/>
      <c r="AE120" s="4803"/>
      <c r="AF120" s="4803"/>
      <c r="AG120" s="4803"/>
      <c r="AH120" s="4803"/>
      <c r="AI120" s="4803"/>
      <c r="AJ120" s="4803"/>
      <c r="AK120" s="4803"/>
      <c r="AL120" s="4803"/>
      <c r="AM120" s="4803">
        <v>1</v>
      </c>
      <c r="AN120" s="4803">
        <v>1</v>
      </c>
      <c r="AO120" s="4803"/>
      <c r="AP120" s="1788">
        <v>0</v>
      </c>
      <c r="AQ120" s="1788">
        <v>2</v>
      </c>
      <c r="AT120" s="41"/>
      <c r="AU120" s="41"/>
      <c r="AV120" s="41"/>
      <c r="AW120" s="41" t="s">
        <v>1235</v>
      </c>
      <c r="AX120" s="690"/>
      <c r="AY120" s="690"/>
      <c r="AZ120" s="690"/>
      <c r="BA120" s="690">
        <v>0</v>
      </c>
      <c r="BB120" s="690"/>
      <c r="BC120" s="690"/>
      <c r="BD120" s="690">
        <v>0</v>
      </c>
      <c r="BE120" s="690"/>
      <c r="BF120" s="690"/>
      <c r="BG120" s="690"/>
      <c r="BH120" s="690">
        <v>0</v>
      </c>
      <c r="BI120" s="690"/>
      <c r="BJ120" s="690">
        <v>2</v>
      </c>
      <c r="BK120" s="690">
        <v>8</v>
      </c>
      <c r="BL120" s="690">
        <v>0</v>
      </c>
      <c r="BM120" s="41"/>
      <c r="BN120" s="41"/>
      <c r="BO120" s="41">
        <v>10</v>
      </c>
      <c r="BP120" s="41"/>
      <c r="BR120" s="41"/>
      <c r="BS120" s="41"/>
      <c r="BT120" s="41"/>
      <c r="BU120" s="461" t="s">
        <v>110</v>
      </c>
      <c r="BV120" s="2002">
        <v>2</v>
      </c>
      <c r="BW120" s="2002">
        <v>3</v>
      </c>
      <c r="BX120" s="2002">
        <v>1</v>
      </c>
      <c r="BY120" s="2002">
        <v>1</v>
      </c>
      <c r="BZ120" s="2002">
        <v>5</v>
      </c>
      <c r="CA120" s="2002"/>
      <c r="CB120" s="2002">
        <v>2</v>
      </c>
      <c r="CC120" s="2002">
        <v>2</v>
      </c>
      <c r="CD120" s="2002">
        <v>1</v>
      </c>
      <c r="CE120" s="2002">
        <v>1</v>
      </c>
      <c r="CF120" s="2002"/>
      <c r="CG120" s="2002">
        <v>6</v>
      </c>
      <c r="CH120" s="2002">
        <v>26</v>
      </c>
      <c r="CI120" s="2002">
        <v>28</v>
      </c>
      <c r="CJ120" s="2002">
        <v>38</v>
      </c>
      <c r="CK120" s="96">
        <v>7</v>
      </c>
      <c r="CL120" s="96">
        <v>15</v>
      </c>
      <c r="CM120" s="96">
        <v>138</v>
      </c>
      <c r="CN120" s="635">
        <f>+(CM116-CK116+CM118)/(CM120-CM119)</f>
        <v>0.34306569343065696</v>
      </c>
      <c r="CR120" s="41" t="s">
        <v>333</v>
      </c>
      <c r="CS120" s="41" t="s">
        <v>1231</v>
      </c>
      <c r="CT120" s="1665"/>
      <c r="CU120" s="1665"/>
      <c r="CV120" s="1665"/>
      <c r="CW120" s="1665"/>
      <c r="CX120" s="1665"/>
      <c r="CY120" s="1665"/>
      <c r="CZ120" s="1665"/>
      <c r="DA120" s="1665"/>
      <c r="DB120" s="1665"/>
      <c r="DC120" s="1665"/>
      <c r="DD120" s="1665"/>
      <c r="DE120" s="1665">
        <v>2</v>
      </c>
      <c r="DF120" s="1665">
        <v>4</v>
      </c>
      <c r="DG120" s="1665">
        <v>3</v>
      </c>
      <c r="DH120" s="1665">
        <v>0</v>
      </c>
      <c r="DI120" s="41">
        <v>0</v>
      </c>
      <c r="DJ120" s="41">
        <v>0</v>
      </c>
      <c r="DK120" s="41">
        <v>9</v>
      </c>
      <c r="DL120" s="41"/>
      <c r="DN120" s="1375"/>
      <c r="DO120" s="1375"/>
      <c r="DP120" s="1375"/>
      <c r="DQ120" s="1376" t="s">
        <v>1233</v>
      </c>
      <c r="DR120" s="1377"/>
      <c r="DS120" s="1378">
        <v>2</v>
      </c>
      <c r="DT120" s="1378">
        <v>1</v>
      </c>
      <c r="DU120" s="1377"/>
      <c r="DV120" s="1378">
        <v>0</v>
      </c>
      <c r="DW120" s="1378">
        <v>0</v>
      </c>
      <c r="DX120" s="1378">
        <v>0</v>
      </c>
      <c r="DY120" s="1378">
        <v>0</v>
      </c>
      <c r="DZ120" s="1378">
        <v>0</v>
      </c>
      <c r="EA120" s="1378">
        <v>0</v>
      </c>
      <c r="EB120" s="1378">
        <v>0</v>
      </c>
      <c r="EC120" s="1378">
        <v>0</v>
      </c>
      <c r="ED120" s="1378">
        <v>0</v>
      </c>
      <c r="EE120" s="1380">
        <v>0</v>
      </c>
      <c r="EF120" s="1380">
        <v>0</v>
      </c>
      <c r="EG120" s="1380">
        <v>3</v>
      </c>
      <c r="EH120" s="41"/>
      <c r="EJ120" s="678"/>
      <c r="EK120" s="678"/>
      <c r="EL120" s="678" t="s">
        <v>547</v>
      </c>
      <c r="EM120" s="679" t="s">
        <v>1230</v>
      </c>
      <c r="EN120" s="680"/>
      <c r="EO120" s="681">
        <v>0</v>
      </c>
      <c r="EP120" s="680"/>
      <c r="EQ120" s="681">
        <v>0</v>
      </c>
      <c r="ER120" s="680"/>
      <c r="ES120" s="680"/>
      <c r="ET120" s="680"/>
      <c r="EU120" s="680"/>
      <c r="EV120" s="680"/>
      <c r="EW120" s="680"/>
      <c r="EX120" s="680"/>
      <c r="EY120" s="681">
        <v>0</v>
      </c>
      <c r="EZ120" s="681">
        <v>1</v>
      </c>
      <c r="FA120" s="681">
        <v>0</v>
      </c>
      <c r="FB120" s="681">
        <v>3</v>
      </c>
      <c r="FC120" s="683">
        <v>0</v>
      </c>
      <c r="FD120" s="683">
        <v>0</v>
      </c>
      <c r="FE120" s="683">
        <v>4</v>
      </c>
      <c r="FF120" s="105"/>
      <c r="FH120" s="511"/>
      <c r="FI120" s="511"/>
      <c r="FJ120" s="511"/>
      <c r="FK120" s="511"/>
      <c r="FL120" s="512" t="s">
        <v>1235</v>
      </c>
      <c r="FM120" s="684"/>
      <c r="FN120" s="685">
        <v>0</v>
      </c>
      <c r="FO120" s="684"/>
      <c r="FP120" s="684"/>
      <c r="FQ120" s="684"/>
      <c r="FR120" s="684"/>
      <c r="FS120" s="684"/>
      <c r="FT120" s="684"/>
      <c r="FU120" s="684"/>
      <c r="FV120" s="685">
        <v>0</v>
      </c>
      <c r="FW120" s="685">
        <v>1</v>
      </c>
      <c r="FX120" s="685">
        <v>0</v>
      </c>
      <c r="FY120" s="685">
        <v>2</v>
      </c>
      <c r="FZ120" s="685">
        <v>5</v>
      </c>
      <c r="GA120" s="685">
        <v>1</v>
      </c>
      <c r="GB120" s="686"/>
      <c r="GC120" s="687">
        <v>0</v>
      </c>
      <c r="GD120" s="687">
        <v>9</v>
      </c>
      <c r="GE120" s="635"/>
      <c r="GF120" s="41"/>
      <c r="GG120" s="41"/>
      <c r="GH120" s="41"/>
      <c r="GI120" s="688"/>
      <c r="GJ120" s="457" t="s">
        <v>1235</v>
      </c>
      <c r="GK120" s="689"/>
      <c r="GL120" s="689"/>
      <c r="GM120" s="689"/>
      <c r="GN120" s="458">
        <v>0</v>
      </c>
      <c r="GO120" s="458">
        <v>1</v>
      </c>
      <c r="GP120" s="458">
        <v>0</v>
      </c>
      <c r="GQ120" s="458">
        <v>0</v>
      </c>
      <c r="GR120" s="458">
        <v>0</v>
      </c>
      <c r="GS120" s="458">
        <v>0</v>
      </c>
      <c r="GT120" s="458">
        <v>0</v>
      </c>
      <c r="GU120" s="458">
        <v>0</v>
      </c>
      <c r="GV120" s="689"/>
      <c r="GW120" s="689"/>
      <c r="GX120" s="458">
        <v>1</v>
      </c>
      <c r="GY120" s="690"/>
      <c r="GZ120" s="41"/>
      <c r="HA120" s="41"/>
      <c r="HB120" s="105"/>
      <c r="HC120" s="105"/>
      <c r="HD120" s="105"/>
      <c r="HE120" s="41" t="s">
        <v>1235</v>
      </c>
      <c r="HF120" s="41"/>
      <c r="HG120" s="41"/>
      <c r="HH120" s="41">
        <v>0</v>
      </c>
      <c r="HI120" s="41"/>
      <c r="HJ120" s="41"/>
      <c r="HK120" s="41">
        <v>0</v>
      </c>
      <c r="HL120" s="41"/>
      <c r="HM120" s="41"/>
      <c r="HN120" s="41">
        <v>1</v>
      </c>
      <c r="HO120" s="41">
        <v>0</v>
      </c>
      <c r="HP120" s="41">
        <v>0</v>
      </c>
      <c r="HQ120" s="41">
        <v>0</v>
      </c>
      <c r="HR120" s="41">
        <v>0</v>
      </c>
      <c r="HS120" s="41"/>
      <c r="HT120" s="41"/>
      <c r="HU120" s="41"/>
      <c r="HV120" s="41">
        <v>1</v>
      </c>
      <c r="HW120" s="41"/>
      <c r="HX120" s="41"/>
      <c r="HY120" s="691"/>
      <c r="HZ120" s="691"/>
      <c r="IA120" s="691"/>
      <c r="IB120" s="691" t="s">
        <v>1235</v>
      </c>
      <c r="IC120" s="691">
        <v>0</v>
      </c>
      <c r="ID120" s="691">
        <v>0</v>
      </c>
      <c r="IE120" s="691">
        <v>0</v>
      </c>
      <c r="IF120" s="691">
        <v>0</v>
      </c>
      <c r="IG120" s="691">
        <v>0</v>
      </c>
      <c r="IH120" s="691">
        <v>0</v>
      </c>
      <c r="II120" s="691">
        <v>0</v>
      </c>
      <c r="IJ120" s="691">
        <v>0</v>
      </c>
      <c r="IK120" s="691">
        <v>1</v>
      </c>
      <c r="IL120" s="691">
        <v>0</v>
      </c>
      <c r="IM120" s="691">
        <v>0</v>
      </c>
      <c r="IN120" s="691">
        <v>0</v>
      </c>
      <c r="IO120" s="691">
        <v>1</v>
      </c>
      <c r="IP120" s="691">
        <v>0</v>
      </c>
      <c r="IQ120" s="691">
        <v>0</v>
      </c>
      <c r="IR120" s="691">
        <v>0</v>
      </c>
      <c r="IS120" s="691">
        <v>2</v>
      </c>
      <c r="IT120" s="691"/>
      <c r="IU120" s="692"/>
    </row>
    <row r="121" spans="3:255">
      <c r="D121" s="4800" t="s">
        <v>15</v>
      </c>
      <c r="E121" s="4606"/>
      <c r="F121" s="4606"/>
      <c r="G121" s="4606"/>
      <c r="H121" s="4606"/>
      <c r="I121" s="4606"/>
      <c r="J121" s="4606"/>
      <c r="K121" s="4606"/>
      <c r="L121" s="4606"/>
      <c r="M121" s="4606"/>
      <c r="N121" s="4606"/>
      <c r="O121" s="4606"/>
      <c r="P121" s="4606">
        <v>3</v>
      </c>
      <c r="Q121" s="4606">
        <v>4</v>
      </c>
      <c r="R121" s="4606">
        <v>1</v>
      </c>
      <c r="S121" s="2552"/>
      <c r="T121" s="2552">
        <v>1</v>
      </c>
      <c r="U121" s="2552">
        <v>9</v>
      </c>
      <c r="V121" s="1977">
        <f>+(U118+U120)/(U121)</f>
        <v>0.66666666666666663</v>
      </c>
      <c r="AA121" s="1793" t="s">
        <v>15</v>
      </c>
      <c r="AB121" s="4804"/>
      <c r="AC121" s="4804"/>
      <c r="AD121" s="4804"/>
      <c r="AE121" s="4804"/>
      <c r="AF121" s="4804"/>
      <c r="AG121" s="4804"/>
      <c r="AH121" s="4804"/>
      <c r="AI121" s="4804"/>
      <c r="AJ121" s="4804"/>
      <c r="AK121" s="4804"/>
      <c r="AL121" s="4804"/>
      <c r="AM121" s="4804">
        <v>3</v>
      </c>
      <c r="AN121" s="4804">
        <v>5</v>
      </c>
      <c r="AO121" s="4804"/>
      <c r="AP121" s="4702">
        <v>1</v>
      </c>
      <c r="AQ121" s="4702">
        <v>9</v>
      </c>
      <c r="AR121" s="4703">
        <f>+(AQ118+AQ120)/AQ121</f>
        <v>0.66666666666666663</v>
      </c>
      <c r="AT121" s="41"/>
      <c r="AU121" s="41"/>
      <c r="AV121" s="41"/>
      <c r="AW121" s="41" t="s">
        <v>1236</v>
      </c>
      <c r="AX121" s="690"/>
      <c r="AY121" s="690"/>
      <c r="AZ121" s="690"/>
      <c r="BA121" s="690">
        <v>1</v>
      </c>
      <c r="BB121" s="690"/>
      <c r="BC121" s="690"/>
      <c r="BD121" s="690">
        <v>0</v>
      </c>
      <c r="BE121" s="690"/>
      <c r="BF121" s="690"/>
      <c r="BG121" s="690"/>
      <c r="BH121" s="690">
        <v>1</v>
      </c>
      <c r="BI121" s="690"/>
      <c r="BJ121" s="690">
        <v>0</v>
      </c>
      <c r="BK121" s="690">
        <v>0</v>
      </c>
      <c r="BL121" s="690">
        <v>0</v>
      </c>
      <c r="BM121" s="41"/>
      <c r="BN121" s="41"/>
      <c r="BO121" s="41">
        <v>2</v>
      </c>
      <c r="BP121" s="41"/>
      <c r="BR121" s="41" t="s">
        <v>48</v>
      </c>
      <c r="BS121" s="41" t="s">
        <v>16</v>
      </c>
      <c r="BT121" s="41" t="s">
        <v>144</v>
      </c>
      <c r="BU121" s="41" t="s">
        <v>1231</v>
      </c>
      <c r="BV121" s="2001"/>
      <c r="BW121" s="2001">
        <v>1</v>
      </c>
      <c r="BX121" s="2001">
        <v>2</v>
      </c>
      <c r="BY121" s="2001"/>
      <c r="BZ121" s="2001"/>
      <c r="CA121" s="2001"/>
      <c r="CB121" s="2001"/>
      <c r="CC121" s="2001"/>
      <c r="CD121" s="2001">
        <v>1</v>
      </c>
      <c r="CE121" s="2001">
        <v>1</v>
      </c>
      <c r="CF121" s="2001"/>
      <c r="CG121" s="2001"/>
      <c r="CH121" s="2001">
        <v>21</v>
      </c>
      <c r="CI121" s="2001">
        <v>7</v>
      </c>
      <c r="CJ121" s="2001">
        <v>1</v>
      </c>
      <c r="CK121" s="105">
        <v>1</v>
      </c>
      <c r="CL121" s="105">
        <v>0</v>
      </c>
      <c r="CM121" s="105">
        <v>35</v>
      </c>
      <c r="CN121" s="41"/>
      <c r="CR121" s="41"/>
      <c r="CS121" s="41" t="s">
        <v>1235</v>
      </c>
      <c r="CT121" s="1665"/>
      <c r="CU121" s="1665"/>
      <c r="CV121" s="1665"/>
      <c r="CW121" s="1665"/>
      <c r="CX121" s="1665"/>
      <c r="CY121" s="1665"/>
      <c r="CZ121" s="1665"/>
      <c r="DA121" s="1665"/>
      <c r="DB121" s="1665"/>
      <c r="DC121" s="1665"/>
      <c r="DD121" s="1665"/>
      <c r="DE121" s="1665">
        <v>0</v>
      </c>
      <c r="DF121" s="1665">
        <v>0</v>
      </c>
      <c r="DG121" s="1665">
        <v>1</v>
      </c>
      <c r="DH121" s="1665">
        <v>0</v>
      </c>
      <c r="DI121" s="41">
        <v>2</v>
      </c>
      <c r="DJ121" s="41">
        <v>0</v>
      </c>
      <c r="DK121" s="41">
        <v>3</v>
      </c>
      <c r="DL121" s="41"/>
      <c r="DN121" s="1375"/>
      <c r="DO121" s="1375"/>
      <c r="DP121" s="1375"/>
      <c r="DQ121" s="1376" t="s">
        <v>1235</v>
      </c>
      <c r="DR121" s="1377"/>
      <c r="DS121" s="1378">
        <v>0</v>
      </c>
      <c r="DT121" s="1378">
        <v>0</v>
      </c>
      <c r="DU121" s="1377"/>
      <c r="DV121" s="1378">
        <v>0</v>
      </c>
      <c r="DW121" s="1378">
        <v>0</v>
      </c>
      <c r="DX121" s="1378">
        <v>2</v>
      </c>
      <c r="DY121" s="1378">
        <v>4</v>
      </c>
      <c r="DZ121" s="1378">
        <v>4</v>
      </c>
      <c r="EA121" s="1378">
        <v>1</v>
      </c>
      <c r="EB121" s="1378">
        <v>10</v>
      </c>
      <c r="EC121" s="1378">
        <v>6</v>
      </c>
      <c r="ED121" s="1378">
        <v>1</v>
      </c>
      <c r="EE121" s="1380">
        <v>1</v>
      </c>
      <c r="EF121" s="1380">
        <v>0</v>
      </c>
      <c r="EG121" s="1380">
        <v>29</v>
      </c>
      <c r="EH121" s="41"/>
      <c r="EJ121" s="678"/>
      <c r="EK121" s="678"/>
      <c r="EL121" s="678"/>
      <c r="EM121" s="679" t="s">
        <v>1231</v>
      </c>
      <c r="EN121" s="680"/>
      <c r="EO121" s="681">
        <v>1</v>
      </c>
      <c r="EP121" s="680"/>
      <c r="EQ121" s="681">
        <v>1</v>
      </c>
      <c r="ER121" s="680"/>
      <c r="ES121" s="680"/>
      <c r="ET121" s="680"/>
      <c r="EU121" s="680"/>
      <c r="EV121" s="680"/>
      <c r="EW121" s="680"/>
      <c r="EX121" s="680"/>
      <c r="EY121" s="681">
        <v>0</v>
      </c>
      <c r="EZ121" s="681">
        <v>0</v>
      </c>
      <c r="FA121" s="681">
        <v>2</v>
      </c>
      <c r="FB121" s="681">
        <v>0</v>
      </c>
      <c r="FC121" s="683">
        <v>0</v>
      </c>
      <c r="FD121" s="683">
        <v>0</v>
      </c>
      <c r="FE121" s="683">
        <v>4</v>
      </c>
      <c r="FF121" s="105"/>
      <c r="FH121" s="511"/>
      <c r="FI121" s="511"/>
      <c r="FJ121" s="511"/>
      <c r="FK121" s="511"/>
      <c r="FL121" s="512" t="s">
        <v>1239</v>
      </c>
      <c r="FM121" s="684"/>
      <c r="FN121" s="685">
        <v>0</v>
      </c>
      <c r="FO121" s="684"/>
      <c r="FP121" s="684"/>
      <c r="FQ121" s="684"/>
      <c r="FR121" s="684"/>
      <c r="FS121" s="684"/>
      <c r="FT121" s="684"/>
      <c r="FU121" s="684"/>
      <c r="FV121" s="685">
        <v>0</v>
      </c>
      <c r="FW121" s="685">
        <v>0</v>
      </c>
      <c r="FX121" s="685">
        <v>0</v>
      </c>
      <c r="FY121" s="685">
        <v>1</v>
      </c>
      <c r="FZ121" s="685">
        <v>0</v>
      </c>
      <c r="GA121" s="685">
        <v>11</v>
      </c>
      <c r="GB121" s="686"/>
      <c r="GC121" s="687">
        <v>2</v>
      </c>
      <c r="GD121" s="687">
        <v>14</v>
      </c>
      <c r="GE121" s="635"/>
      <c r="GF121" s="41"/>
      <c r="GG121" s="41"/>
      <c r="GH121" s="41"/>
      <c r="GI121" s="688"/>
      <c r="GJ121" s="457" t="s">
        <v>1236</v>
      </c>
      <c r="GK121" s="689"/>
      <c r="GL121" s="689"/>
      <c r="GM121" s="689"/>
      <c r="GN121" s="458">
        <v>1</v>
      </c>
      <c r="GO121" s="458">
        <v>1</v>
      </c>
      <c r="GP121" s="458">
        <v>0</v>
      </c>
      <c r="GQ121" s="458">
        <v>1</v>
      </c>
      <c r="GR121" s="458">
        <v>1</v>
      </c>
      <c r="GS121" s="458">
        <v>0</v>
      </c>
      <c r="GT121" s="458">
        <v>0</v>
      </c>
      <c r="GU121" s="458">
        <v>0</v>
      </c>
      <c r="GV121" s="689"/>
      <c r="GW121" s="689"/>
      <c r="GX121" s="458">
        <v>4</v>
      </c>
      <c r="GY121" s="690"/>
      <c r="GZ121" s="41"/>
      <c r="HA121" s="41"/>
      <c r="HB121" s="105"/>
      <c r="HC121" s="105"/>
      <c r="HD121" s="105"/>
      <c r="HE121" s="41" t="s">
        <v>1236</v>
      </c>
      <c r="HF121" s="41"/>
      <c r="HG121" s="41"/>
      <c r="HH121" s="41">
        <v>0</v>
      </c>
      <c r="HI121" s="41"/>
      <c r="HJ121" s="41"/>
      <c r="HK121" s="41">
        <v>1</v>
      </c>
      <c r="HL121" s="41"/>
      <c r="HM121" s="41"/>
      <c r="HN121" s="41">
        <v>0</v>
      </c>
      <c r="HO121" s="41">
        <v>0</v>
      </c>
      <c r="HP121" s="41">
        <v>0</v>
      </c>
      <c r="HQ121" s="41">
        <v>3</v>
      </c>
      <c r="HR121" s="41">
        <v>0</v>
      </c>
      <c r="HS121" s="41"/>
      <c r="HT121" s="41"/>
      <c r="HU121" s="41"/>
      <c r="HV121" s="41">
        <v>4</v>
      </c>
      <c r="HW121" s="41"/>
      <c r="HX121" s="41"/>
      <c r="HY121" s="691"/>
      <c r="HZ121" s="691"/>
      <c r="IA121" s="691"/>
      <c r="IB121" s="691" t="s">
        <v>1236</v>
      </c>
      <c r="IC121" s="691">
        <v>0</v>
      </c>
      <c r="ID121" s="691">
        <v>0</v>
      </c>
      <c r="IE121" s="691">
        <v>0</v>
      </c>
      <c r="IF121" s="691">
        <v>0</v>
      </c>
      <c r="IG121" s="691">
        <v>0</v>
      </c>
      <c r="IH121" s="691">
        <v>0</v>
      </c>
      <c r="II121" s="691">
        <v>1</v>
      </c>
      <c r="IJ121" s="691">
        <v>0</v>
      </c>
      <c r="IK121" s="691">
        <v>0</v>
      </c>
      <c r="IL121" s="691">
        <v>0</v>
      </c>
      <c r="IM121" s="691">
        <v>0</v>
      </c>
      <c r="IN121" s="691">
        <v>0</v>
      </c>
      <c r="IO121" s="691">
        <v>0</v>
      </c>
      <c r="IP121" s="691">
        <v>0</v>
      </c>
      <c r="IQ121" s="691">
        <v>0</v>
      </c>
      <c r="IR121" s="691">
        <v>0</v>
      </c>
      <c r="IS121" s="691">
        <v>1</v>
      </c>
      <c r="IT121" s="691"/>
      <c r="IU121" s="692"/>
    </row>
    <row r="122" spans="3:255">
      <c r="C122" s="4800" t="s">
        <v>333</v>
      </c>
      <c r="D122" s="4800" t="s">
        <v>1231</v>
      </c>
      <c r="E122" s="4606"/>
      <c r="F122" s="4606"/>
      <c r="G122" s="4606"/>
      <c r="H122" s="4606"/>
      <c r="I122" s="4606"/>
      <c r="J122" s="4606"/>
      <c r="K122" s="4606"/>
      <c r="L122" s="4606">
        <v>0</v>
      </c>
      <c r="M122" s="4606"/>
      <c r="N122" s="4606"/>
      <c r="O122" s="4606">
        <v>0</v>
      </c>
      <c r="P122" s="4606">
        <v>1</v>
      </c>
      <c r="Q122" s="4606">
        <v>0</v>
      </c>
      <c r="R122" s="4606">
        <v>0</v>
      </c>
      <c r="S122" s="2552">
        <v>0</v>
      </c>
      <c r="T122" s="2552">
        <v>0</v>
      </c>
      <c r="U122" s="2552">
        <v>1</v>
      </c>
      <c r="V122" s="2552"/>
      <c r="Z122" s="37" t="s">
        <v>333</v>
      </c>
      <c r="AA122" s="37" t="s">
        <v>1231</v>
      </c>
      <c r="AB122" s="4803">
        <v>0</v>
      </c>
      <c r="AC122" s="4803"/>
      <c r="AD122" s="4803"/>
      <c r="AE122" s="4803"/>
      <c r="AF122" s="4803"/>
      <c r="AG122" s="4803"/>
      <c r="AH122" s="4803"/>
      <c r="AI122" s="4803">
        <v>0</v>
      </c>
      <c r="AJ122" s="4803"/>
      <c r="AK122" s="4803"/>
      <c r="AL122" s="4803">
        <v>0</v>
      </c>
      <c r="AM122" s="4803">
        <v>1</v>
      </c>
      <c r="AN122" s="4803">
        <v>0</v>
      </c>
      <c r="AO122" s="4803">
        <v>0</v>
      </c>
      <c r="AP122" s="1788">
        <v>0</v>
      </c>
      <c r="AQ122" s="1788">
        <v>1</v>
      </c>
      <c r="AT122" s="41"/>
      <c r="AU122" s="41"/>
      <c r="AV122" s="41"/>
      <c r="AW122" s="41" t="s">
        <v>1239</v>
      </c>
      <c r="AX122" s="690"/>
      <c r="AY122" s="690"/>
      <c r="AZ122" s="690"/>
      <c r="BA122" s="690">
        <v>0</v>
      </c>
      <c r="BB122" s="690"/>
      <c r="BC122" s="690"/>
      <c r="BD122" s="690">
        <v>0</v>
      </c>
      <c r="BE122" s="690"/>
      <c r="BF122" s="690"/>
      <c r="BG122" s="690"/>
      <c r="BH122" s="690">
        <v>0</v>
      </c>
      <c r="BI122" s="690"/>
      <c r="BJ122" s="690">
        <v>0</v>
      </c>
      <c r="BK122" s="690">
        <v>0</v>
      </c>
      <c r="BL122" s="690">
        <v>2</v>
      </c>
      <c r="BM122" s="41"/>
      <c r="BN122" s="41"/>
      <c r="BO122" s="41">
        <v>2</v>
      </c>
      <c r="BP122" s="41"/>
      <c r="BR122" s="41"/>
      <c r="BS122" s="41"/>
      <c r="BT122" s="41"/>
      <c r="BU122" s="41" t="s">
        <v>1235</v>
      </c>
      <c r="BV122" s="2001"/>
      <c r="BW122" s="2001">
        <v>0</v>
      </c>
      <c r="BX122" s="2001">
        <v>0</v>
      </c>
      <c r="BY122" s="2001"/>
      <c r="BZ122" s="2001"/>
      <c r="CA122" s="2001"/>
      <c r="CB122" s="2001"/>
      <c r="CC122" s="2001"/>
      <c r="CD122" s="2001">
        <v>0</v>
      </c>
      <c r="CE122" s="2001">
        <v>0</v>
      </c>
      <c r="CF122" s="2001"/>
      <c r="CG122" s="2001"/>
      <c r="CH122" s="2001">
        <v>3</v>
      </c>
      <c r="CI122" s="2001">
        <v>0</v>
      </c>
      <c r="CJ122" s="2001">
        <v>0</v>
      </c>
      <c r="CK122" s="105">
        <v>0</v>
      </c>
      <c r="CL122" s="105">
        <v>0</v>
      </c>
      <c r="CM122" s="105">
        <v>3</v>
      </c>
      <c r="CN122" s="41"/>
      <c r="CR122" s="41"/>
      <c r="CS122" s="41" t="s">
        <v>1239</v>
      </c>
      <c r="CT122" s="1665"/>
      <c r="CU122" s="1665"/>
      <c r="CV122" s="1665"/>
      <c r="CW122" s="1665"/>
      <c r="CX122" s="1665"/>
      <c r="CY122" s="1665"/>
      <c r="CZ122" s="1665"/>
      <c r="DA122" s="1665"/>
      <c r="DB122" s="1665"/>
      <c r="DC122" s="1665"/>
      <c r="DD122" s="1665"/>
      <c r="DE122" s="1665">
        <v>0</v>
      </c>
      <c r="DF122" s="1665">
        <v>0</v>
      </c>
      <c r="DG122" s="1665">
        <v>0</v>
      </c>
      <c r="DH122" s="1665">
        <v>2</v>
      </c>
      <c r="DI122" s="41">
        <v>1</v>
      </c>
      <c r="DJ122" s="41">
        <v>5</v>
      </c>
      <c r="DK122" s="41">
        <v>8</v>
      </c>
      <c r="DL122" s="41"/>
      <c r="DN122" s="1375"/>
      <c r="DO122" s="1375"/>
      <c r="DP122" s="1375"/>
      <c r="DQ122" s="1376" t="s">
        <v>1236</v>
      </c>
      <c r="DR122" s="1377"/>
      <c r="DS122" s="1378">
        <v>0</v>
      </c>
      <c r="DT122" s="1378">
        <v>2</v>
      </c>
      <c r="DU122" s="1377"/>
      <c r="DV122" s="1378">
        <v>1</v>
      </c>
      <c r="DW122" s="1378">
        <v>0</v>
      </c>
      <c r="DX122" s="1378">
        <v>0</v>
      </c>
      <c r="DY122" s="1378">
        <v>0</v>
      </c>
      <c r="DZ122" s="1378">
        <v>1</v>
      </c>
      <c r="EA122" s="1378">
        <v>0</v>
      </c>
      <c r="EB122" s="1378">
        <v>0</v>
      </c>
      <c r="EC122" s="1378">
        <v>0</v>
      </c>
      <c r="ED122" s="1378">
        <v>0</v>
      </c>
      <c r="EE122" s="1380">
        <v>0</v>
      </c>
      <c r="EF122" s="1380">
        <v>0</v>
      </c>
      <c r="EG122" s="1380">
        <v>4</v>
      </c>
      <c r="EH122" s="41"/>
      <c r="EJ122" s="678"/>
      <c r="EK122" s="678"/>
      <c r="EL122" s="678"/>
      <c r="EM122" s="679" t="s">
        <v>1235</v>
      </c>
      <c r="EN122" s="680"/>
      <c r="EO122" s="681">
        <v>0</v>
      </c>
      <c r="EP122" s="680"/>
      <c r="EQ122" s="681">
        <v>0</v>
      </c>
      <c r="ER122" s="680"/>
      <c r="ES122" s="680"/>
      <c r="ET122" s="680"/>
      <c r="EU122" s="680"/>
      <c r="EV122" s="680"/>
      <c r="EW122" s="680"/>
      <c r="EX122" s="680"/>
      <c r="EY122" s="681">
        <v>1</v>
      </c>
      <c r="EZ122" s="681">
        <v>4</v>
      </c>
      <c r="FA122" s="681">
        <v>8</v>
      </c>
      <c r="FB122" s="681">
        <v>0</v>
      </c>
      <c r="FC122" s="683">
        <v>0</v>
      </c>
      <c r="FD122" s="683">
        <v>0</v>
      </c>
      <c r="FE122" s="683">
        <v>13</v>
      </c>
      <c r="FF122" s="105"/>
      <c r="FH122" s="511"/>
      <c r="FI122" s="511"/>
      <c r="FJ122" s="511"/>
      <c r="FK122" s="511"/>
      <c r="FL122" s="512" t="s">
        <v>1344</v>
      </c>
      <c r="FM122" s="684"/>
      <c r="FN122" s="685">
        <v>0</v>
      </c>
      <c r="FO122" s="684"/>
      <c r="FP122" s="684"/>
      <c r="FQ122" s="684"/>
      <c r="FR122" s="684"/>
      <c r="FS122" s="684"/>
      <c r="FT122" s="684"/>
      <c r="FU122" s="684"/>
      <c r="FV122" s="685">
        <v>0</v>
      </c>
      <c r="FW122" s="685">
        <v>1</v>
      </c>
      <c r="FX122" s="685">
        <v>1</v>
      </c>
      <c r="FY122" s="685">
        <v>2</v>
      </c>
      <c r="FZ122" s="685">
        <v>1</v>
      </c>
      <c r="GA122" s="685">
        <v>2</v>
      </c>
      <c r="GB122" s="686"/>
      <c r="GC122" s="687">
        <v>0</v>
      </c>
      <c r="GD122" s="687">
        <v>7</v>
      </c>
      <c r="GE122" s="635"/>
      <c r="GF122" s="41"/>
      <c r="GG122" s="41"/>
      <c r="GH122" s="41"/>
      <c r="GI122" s="688"/>
      <c r="GJ122" s="457" t="s">
        <v>1239</v>
      </c>
      <c r="GK122" s="689"/>
      <c r="GL122" s="689"/>
      <c r="GM122" s="689"/>
      <c r="GN122" s="458">
        <v>0</v>
      </c>
      <c r="GO122" s="458">
        <v>0</v>
      </c>
      <c r="GP122" s="458">
        <v>0</v>
      </c>
      <c r="GQ122" s="458">
        <v>0</v>
      </c>
      <c r="GR122" s="458">
        <v>0</v>
      </c>
      <c r="GS122" s="458">
        <v>0</v>
      </c>
      <c r="GT122" s="458">
        <v>0</v>
      </c>
      <c r="GU122" s="458">
        <v>3</v>
      </c>
      <c r="GV122" s="689"/>
      <c r="GW122" s="689"/>
      <c r="GX122" s="458">
        <v>3</v>
      </c>
      <c r="GY122" s="690"/>
      <c r="GZ122" s="41"/>
      <c r="HA122" s="41"/>
      <c r="HB122" s="105"/>
      <c r="HC122" s="105"/>
      <c r="HD122" s="105"/>
      <c r="HE122" s="41" t="s">
        <v>1239</v>
      </c>
      <c r="HF122" s="41"/>
      <c r="HG122" s="41"/>
      <c r="HH122" s="41">
        <v>0</v>
      </c>
      <c r="HI122" s="41"/>
      <c r="HJ122" s="41"/>
      <c r="HK122" s="41">
        <v>0</v>
      </c>
      <c r="HL122" s="41"/>
      <c r="HM122" s="41"/>
      <c r="HN122" s="41">
        <v>0</v>
      </c>
      <c r="HO122" s="41">
        <v>0</v>
      </c>
      <c r="HP122" s="41">
        <v>1</v>
      </c>
      <c r="HQ122" s="41">
        <v>0</v>
      </c>
      <c r="HR122" s="41">
        <v>0</v>
      </c>
      <c r="HS122" s="41"/>
      <c r="HT122" s="41"/>
      <c r="HU122" s="41"/>
      <c r="HV122" s="41">
        <v>1</v>
      </c>
      <c r="HW122" s="41"/>
      <c r="HX122" s="41"/>
      <c r="HY122" s="691"/>
      <c r="HZ122" s="691"/>
      <c r="IA122" s="691"/>
      <c r="IB122" s="691" t="s">
        <v>1239</v>
      </c>
      <c r="IC122" s="691">
        <v>0</v>
      </c>
      <c r="ID122" s="691">
        <v>0</v>
      </c>
      <c r="IE122" s="691">
        <v>0</v>
      </c>
      <c r="IF122" s="691">
        <v>0</v>
      </c>
      <c r="IG122" s="691">
        <v>0</v>
      </c>
      <c r="IH122" s="691">
        <v>0</v>
      </c>
      <c r="II122" s="691">
        <v>0</v>
      </c>
      <c r="IJ122" s="691">
        <v>0</v>
      </c>
      <c r="IK122" s="691">
        <v>0</v>
      </c>
      <c r="IL122" s="691">
        <v>0</v>
      </c>
      <c r="IM122" s="691">
        <v>0</v>
      </c>
      <c r="IN122" s="691">
        <v>0</v>
      </c>
      <c r="IO122" s="691">
        <v>1</v>
      </c>
      <c r="IP122" s="691">
        <v>0</v>
      </c>
      <c r="IQ122" s="691">
        <v>0</v>
      </c>
      <c r="IR122" s="691">
        <v>0</v>
      </c>
      <c r="IS122" s="691">
        <v>1</v>
      </c>
      <c r="IT122" s="691"/>
      <c r="IU122" s="692"/>
    </row>
    <row r="123" spans="3:255">
      <c r="D123" s="4800" t="s">
        <v>1235</v>
      </c>
      <c r="E123" s="4606"/>
      <c r="F123" s="4606"/>
      <c r="G123" s="4606"/>
      <c r="H123" s="4606"/>
      <c r="I123" s="4606"/>
      <c r="J123" s="4606"/>
      <c r="K123" s="4606"/>
      <c r="L123" s="4606">
        <v>0</v>
      </c>
      <c r="M123" s="4606"/>
      <c r="N123" s="4606"/>
      <c r="O123" s="4606">
        <v>0</v>
      </c>
      <c r="P123" s="4606">
        <v>1</v>
      </c>
      <c r="Q123" s="4606">
        <v>1</v>
      </c>
      <c r="R123" s="4606">
        <v>0</v>
      </c>
      <c r="S123" s="2552">
        <v>0</v>
      </c>
      <c r="T123" s="2552">
        <v>0</v>
      </c>
      <c r="U123" s="2552">
        <v>2</v>
      </c>
      <c r="V123" s="2552"/>
      <c r="AA123" s="37" t="s">
        <v>1235</v>
      </c>
      <c r="AB123" s="4803">
        <v>0</v>
      </c>
      <c r="AC123" s="4803"/>
      <c r="AD123" s="4803"/>
      <c r="AE123" s="4803"/>
      <c r="AF123" s="4803"/>
      <c r="AG123" s="4803"/>
      <c r="AH123" s="4803"/>
      <c r="AI123" s="4803">
        <v>0</v>
      </c>
      <c r="AJ123" s="4803"/>
      <c r="AK123" s="4803"/>
      <c r="AL123" s="4803">
        <v>0</v>
      </c>
      <c r="AM123" s="4803">
        <v>2</v>
      </c>
      <c r="AN123" s="4803">
        <v>0</v>
      </c>
      <c r="AO123" s="4803">
        <v>1</v>
      </c>
      <c r="AP123" s="1788">
        <v>0</v>
      </c>
      <c r="AQ123" s="1788">
        <v>3</v>
      </c>
      <c r="AT123" s="41"/>
      <c r="AU123" s="41"/>
      <c r="AV123" s="41"/>
      <c r="AW123" s="41" t="s">
        <v>1344</v>
      </c>
      <c r="AX123" s="690"/>
      <c r="AY123" s="690"/>
      <c r="AZ123" s="690"/>
      <c r="BA123" s="690">
        <v>0</v>
      </c>
      <c r="BB123" s="690"/>
      <c r="BC123" s="690"/>
      <c r="BD123" s="690">
        <v>0</v>
      </c>
      <c r="BE123" s="690"/>
      <c r="BF123" s="690"/>
      <c r="BG123" s="690"/>
      <c r="BH123" s="690">
        <v>0</v>
      </c>
      <c r="BI123" s="690"/>
      <c r="BJ123" s="690">
        <v>2</v>
      </c>
      <c r="BK123" s="690">
        <v>2</v>
      </c>
      <c r="BL123" s="690">
        <v>0</v>
      </c>
      <c r="BM123" s="41"/>
      <c r="BN123" s="41"/>
      <c r="BO123" s="41">
        <v>4</v>
      </c>
      <c r="BP123" s="41"/>
      <c r="BR123" s="41"/>
      <c r="BS123" s="41"/>
      <c r="BT123" s="41"/>
      <c r="BU123" s="41" t="s">
        <v>1239</v>
      </c>
      <c r="BV123" s="2001"/>
      <c r="BW123" s="2001">
        <v>0</v>
      </c>
      <c r="BX123" s="2001">
        <v>0</v>
      </c>
      <c r="BY123" s="2001"/>
      <c r="BZ123" s="2001"/>
      <c r="CA123" s="2001"/>
      <c r="CB123" s="2001"/>
      <c r="CC123" s="2001"/>
      <c r="CD123" s="2001">
        <v>0</v>
      </c>
      <c r="CE123" s="2001">
        <v>0</v>
      </c>
      <c r="CF123" s="2001"/>
      <c r="CG123" s="2001"/>
      <c r="CH123" s="2001">
        <v>0</v>
      </c>
      <c r="CI123" s="2001">
        <v>0</v>
      </c>
      <c r="CJ123" s="2001">
        <v>1</v>
      </c>
      <c r="CK123" s="105">
        <v>0</v>
      </c>
      <c r="CL123" s="105">
        <v>4</v>
      </c>
      <c r="CM123" s="105">
        <v>5</v>
      </c>
      <c r="CN123" s="41"/>
      <c r="CR123" s="41"/>
      <c r="CS123" s="461" t="s">
        <v>15</v>
      </c>
      <c r="CT123" s="1666"/>
      <c r="CU123" s="1666"/>
      <c r="CV123" s="1666"/>
      <c r="CW123" s="1666"/>
      <c r="CX123" s="1666"/>
      <c r="CY123" s="1666"/>
      <c r="CZ123" s="1666"/>
      <c r="DA123" s="1666"/>
      <c r="DB123" s="1666"/>
      <c r="DC123" s="1666"/>
      <c r="DD123" s="1666"/>
      <c r="DE123" s="1666">
        <v>2</v>
      </c>
      <c r="DF123" s="1666">
        <v>4</v>
      </c>
      <c r="DG123" s="1666">
        <v>4</v>
      </c>
      <c r="DH123" s="1666">
        <v>2</v>
      </c>
      <c r="DI123" s="461">
        <v>3</v>
      </c>
      <c r="DJ123" s="461">
        <v>5</v>
      </c>
      <c r="DK123" s="461">
        <v>20</v>
      </c>
      <c r="DL123" s="635">
        <f>+(DK121-DI121)/DK123</f>
        <v>0.05</v>
      </c>
      <c r="DN123" s="1375"/>
      <c r="DO123" s="1375"/>
      <c r="DP123" s="1375"/>
      <c r="DQ123" s="1376" t="s">
        <v>1239</v>
      </c>
      <c r="DR123" s="1377"/>
      <c r="DS123" s="1378">
        <v>0</v>
      </c>
      <c r="DT123" s="1378">
        <v>0</v>
      </c>
      <c r="DU123" s="1377"/>
      <c r="DV123" s="1378">
        <v>0</v>
      </c>
      <c r="DW123" s="1378">
        <v>0</v>
      </c>
      <c r="DX123" s="1378">
        <v>0</v>
      </c>
      <c r="DY123" s="1378">
        <v>0</v>
      </c>
      <c r="DZ123" s="1378">
        <v>0</v>
      </c>
      <c r="EA123" s="1378">
        <v>0</v>
      </c>
      <c r="EB123" s="1378">
        <v>0</v>
      </c>
      <c r="EC123" s="1378">
        <v>1</v>
      </c>
      <c r="ED123" s="1378">
        <v>46</v>
      </c>
      <c r="EE123" s="1380">
        <v>4</v>
      </c>
      <c r="EF123" s="1380">
        <v>21</v>
      </c>
      <c r="EG123" s="1380">
        <v>72</v>
      </c>
      <c r="EH123" s="41"/>
      <c r="EJ123" s="678"/>
      <c r="EK123" s="678"/>
      <c r="EL123" s="678"/>
      <c r="EM123" s="679" t="s">
        <v>1239</v>
      </c>
      <c r="EN123" s="680"/>
      <c r="EO123" s="681">
        <v>0</v>
      </c>
      <c r="EP123" s="680"/>
      <c r="EQ123" s="681">
        <v>0</v>
      </c>
      <c r="ER123" s="680"/>
      <c r="ES123" s="680"/>
      <c r="ET123" s="680"/>
      <c r="EU123" s="680"/>
      <c r="EV123" s="680"/>
      <c r="EW123" s="680"/>
      <c r="EX123" s="680"/>
      <c r="EY123" s="681">
        <v>0</v>
      </c>
      <c r="EZ123" s="681">
        <v>0</v>
      </c>
      <c r="FA123" s="681">
        <v>1</v>
      </c>
      <c r="FB123" s="681">
        <v>11</v>
      </c>
      <c r="FC123" s="683">
        <v>1</v>
      </c>
      <c r="FD123" s="683">
        <v>11</v>
      </c>
      <c r="FE123" s="683">
        <v>24</v>
      </c>
      <c r="FF123" s="105"/>
      <c r="FH123" s="511"/>
      <c r="FI123" s="511"/>
      <c r="FJ123" s="511"/>
      <c r="FK123" s="41"/>
      <c r="FL123" s="532" t="s">
        <v>547</v>
      </c>
      <c r="FM123" s="693"/>
      <c r="FN123" s="694">
        <v>1</v>
      </c>
      <c r="FO123" s="693"/>
      <c r="FP123" s="693"/>
      <c r="FQ123" s="693"/>
      <c r="FR123" s="693"/>
      <c r="FS123" s="693"/>
      <c r="FT123" s="693"/>
      <c r="FU123" s="693"/>
      <c r="FV123" s="694">
        <v>2</v>
      </c>
      <c r="FW123" s="694">
        <v>2</v>
      </c>
      <c r="FX123" s="694">
        <v>1</v>
      </c>
      <c r="FY123" s="694">
        <v>6</v>
      </c>
      <c r="FZ123" s="694">
        <v>7</v>
      </c>
      <c r="GA123" s="694">
        <v>15</v>
      </c>
      <c r="GB123" s="695"/>
      <c r="GC123" s="696">
        <v>2</v>
      </c>
      <c r="GD123" s="696">
        <v>36</v>
      </c>
      <c r="GE123" s="635">
        <f>+(GD122+GD120)/GD123</f>
        <v>0.44444444444444442</v>
      </c>
      <c r="GF123" s="41"/>
      <c r="GG123" s="41"/>
      <c r="GH123" s="41"/>
      <c r="GI123" s="688"/>
      <c r="GJ123" s="457" t="s">
        <v>1240</v>
      </c>
      <c r="GK123" s="689"/>
      <c r="GL123" s="689"/>
      <c r="GM123" s="689"/>
      <c r="GN123" s="458">
        <v>0</v>
      </c>
      <c r="GO123" s="458">
        <v>0</v>
      </c>
      <c r="GP123" s="458">
        <v>1</v>
      </c>
      <c r="GQ123" s="458">
        <v>0</v>
      </c>
      <c r="GR123" s="458">
        <v>0</v>
      </c>
      <c r="GS123" s="458">
        <v>0</v>
      </c>
      <c r="GT123" s="458">
        <v>1</v>
      </c>
      <c r="GU123" s="458">
        <v>0</v>
      </c>
      <c r="GV123" s="689"/>
      <c r="GW123" s="689"/>
      <c r="GX123" s="458">
        <v>2</v>
      </c>
      <c r="GY123" s="690"/>
      <c r="GZ123" s="41"/>
      <c r="HA123" s="41"/>
      <c r="HB123" s="105"/>
      <c r="HC123" s="105"/>
      <c r="HD123" s="105"/>
      <c r="HE123" s="41" t="s">
        <v>1240</v>
      </c>
      <c r="HF123" s="41"/>
      <c r="HG123" s="41"/>
      <c r="HH123" s="41">
        <v>0</v>
      </c>
      <c r="HI123" s="41"/>
      <c r="HJ123" s="41"/>
      <c r="HK123" s="41">
        <v>0</v>
      </c>
      <c r="HL123" s="41"/>
      <c r="HM123" s="41"/>
      <c r="HN123" s="41">
        <v>0</v>
      </c>
      <c r="HO123" s="41">
        <v>2</v>
      </c>
      <c r="HP123" s="41">
        <v>1</v>
      </c>
      <c r="HQ123" s="41">
        <v>0</v>
      </c>
      <c r="HR123" s="41">
        <v>0</v>
      </c>
      <c r="HS123" s="41"/>
      <c r="HT123" s="41"/>
      <c r="HU123" s="41"/>
      <c r="HV123" s="41">
        <v>3</v>
      </c>
      <c r="HW123" s="41"/>
      <c r="HX123" s="41"/>
      <c r="HY123" s="691"/>
      <c r="HZ123" s="691"/>
      <c r="IA123" s="691"/>
      <c r="IB123" s="691" t="s">
        <v>1344</v>
      </c>
      <c r="IC123" s="691">
        <v>0</v>
      </c>
      <c r="ID123" s="691">
        <v>0</v>
      </c>
      <c r="IE123" s="691">
        <v>0</v>
      </c>
      <c r="IF123" s="691">
        <v>0</v>
      </c>
      <c r="IG123" s="691">
        <v>0</v>
      </c>
      <c r="IH123" s="691">
        <v>0</v>
      </c>
      <c r="II123" s="691">
        <v>0</v>
      </c>
      <c r="IJ123" s="691">
        <v>0</v>
      </c>
      <c r="IK123" s="691">
        <v>0</v>
      </c>
      <c r="IL123" s="691">
        <v>0</v>
      </c>
      <c r="IM123" s="691">
        <v>1</v>
      </c>
      <c r="IN123" s="691">
        <v>3</v>
      </c>
      <c r="IO123" s="691">
        <v>0</v>
      </c>
      <c r="IP123" s="691">
        <v>0</v>
      </c>
      <c r="IQ123" s="691">
        <v>0</v>
      </c>
      <c r="IR123" s="691">
        <v>0</v>
      </c>
      <c r="IS123" s="691">
        <v>4</v>
      </c>
      <c r="IT123" s="691"/>
      <c r="IU123" s="692"/>
    </row>
    <row r="124" spans="3:255">
      <c r="D124" s="4800" t="s">
        <v>1236</v>
      </c>
      <c r="E124" s="4606"/>
      <c r="F124" s="4606"/>
      <c r="G124" s="4606"/>
      <c r="H124" s="4606"/>
      <c r="I124" s="4606"/>
      <c r="J124" s="4606"/>
      <c r="K124" s="4606"/>
      <c r="L124" s="4606">
        <v>1</v>
      </c>
      <c r="M124" s="4606"/>
      <c r="N124" s="4606"/>
      <c r="O124" s="4606">
        <v>0</v>
      </c>
      <c r="P124" s="4606">
        <v>0</v>
      </c>
      <c r="Q124" s="4606">
        <v>0</v>
      </c>
      <c r="R124" s="4606">
        <v>0</v>
      </c>
      <c r="S124" s="2552">
        <v>0</v>
      </c>
      <c r="T124" s="2552">
        <v>0</v>
      </c>
      <c r="U124" s="2552">
        <v>1</v>
      </c>
      <c r="V124" s="2552"/>
      <c r="AA124" s="37" t="s">
        <v>1236</v>
      </c>
      <c r="AB124" s="4803">
        <v>0</v>
      </c>
      <c r="AC124" s="4803"/>
      <c r="AD124" s="4803"/>
      <c r="AE124" s="4803"/>
      <c r="AF124" s="4803"/>
      <c r="AG124" s="4803"/>
      <c r="AH124" s="4803"/>
      <c r="AI124" s="4803">
        <v>1</v>
      </c>
      <c r="AJ124" s="4803"/>
      <c r="AK124" s="4803"/>
      <c r="AL124" s="4803">
        <v>0</v>
      </c>
      <c r="AM124" s="4803">
        <v>0</v>
      </c>
      <c r="AN124" s="4803">
        <v>0</v>
      </c>
      <c r="AO124" s="4803">
        <v>0</v>
      </c>
      <c r="AP124" s="1788">
        <v>0</v>
      </c>
      <c r="AQ124" s="1788">
        <v>1</v>
      </c>
      <c r="AT124" s="41"/>
      <c r="AU124" s="41"/>
      <c r="AV124" s="41"/>
      <c r="AW124" s="461" t="s">
        <v>15</v>
      </c>
      <c r="AX124" s="2489"/>
      <c r="AY124" s="2489"/>
      <c r="AZ124" s="2489"/>
      <c r="BA124" s="2489">
        <v>2</v>
      </c>
      <c r="BB124" s="2489"/>
      <c r="BC124" s="2489"/>
      <c r="BD124" s="2489">
        <v>1</v>
      </c>
      <c r="BE124" s="2489"/>
      <c r="BF124" s="2489"/>
      <c r="BG124" s="2489"/>
      <c r="BH124" s="2489">
        <v>1</v>
      </c>
      <c r="BI124" s="2489"/>
      <c r="BJ124" s="2489">
        <v>5</v>
      </c>
      <c r="BK124" s="2489">
        <v>17</v>
      </c>
      <c r="BL124" s="2489">
        <v>2</v>
      </c>
      <c r="BM124" s="461"/>
      <c r="BN124" s="461"/>
      <c r="BO124" s="461">
        <v>28</v>
      </c>
      <c r="BP124" s="635">
        <f>+(BO123+BO120)/BO124</f>
        <v>0.5</v>
      </c>
      <c r="BQ124" s="1977"/>
      <c r="BR124" s="41"/>
      <c r="BS124" s="41"/>
      <c r="BT124" s="41"/>
      <c r="BU124" s="41" t="s">
        <v>1240</v>
      </c>
      <c r="BV124" s="2001"/>
      <c r="BW124" s="2001">
        <v>0</v>
      </c>
      <c r="BX124" s="2001">
        <v>0</v>
      </c>
      <c r="BY124" s="2001"/>
      <c r="BZ124" s="2001"/>
      <c r="CA124" s="2001"/>
      <c r="CB124" s="2001"/>
      <c r="CC124" s="2001"/>
      <c r="CD124" s="2001">
        <v>0</v>
      </c>
      <c r="CE124" s="2001">
        <v>0</v>
      </c>
      <c r="CF124" s="2001"/>
      <c r="CG124" s="2001"/>
      <c r="CH124" s="2001">
        <v>4</v>
      </c>
      <c r="CI124" s="2001">
        <v>0</v>
      </c>
      <c r="CJ124" s="2001">
        <v>1</v>
      </c>
      <c r="CK124" s="105">
        <v>0</v>
      </c>
      <c r="CL124" s="105">
        <v>0</v>
      </c>
      <c r="CM124" s="105">
        <v>5</v>
      </c>
      <c r="CN124" s="41"/>
      <c r="CR124" s="41" t="s">
        <v>547</v>
      </c>
      <c r="CS124" s="41" t="s">
        <v>1230</v>
      </c>
      <c r="CT124" s="1665">
        <v>0</v>
      </c>
      <c r="CU124" s="1665">
        <v>0</v>
      </c>
      <c r="CV124" s="1665">
        <v>0</v>
      </c>
      <c r="CW124" s="1665"/>
      <c r="CX124" s="1665"/>
      <c r="CY124" s="1665"/>
      <c r="CZ124" s="1665"/>
      <c r="DA124" s="1665">
        <v>0</v>
      </c>
      <c r="DB124" s="1665">
        <v>0</v>
      </c>
      <c r="DC124" s="1665"/>
      <c r="DD124" s="1665"/>
      <c r="DE124" s="1665">
        <v>0</v>
      </c>
      <c r="DF124" s="1665">
        <v>0</v>
      </c>
      <c r="DG124" s="1665">
        <v>0</v>
      </c>
      <c r="DH124" s="1665">
        <v>0</v>
      </c>
      <c r="DI124" s="41">
        <v>0</v>
      </c>
      <c r="DJ124" s="41">
        <v>1</v>
      </c>
      <c r="DK124" s="41">
        <v>1</v>
      </c>
      <c r="DL124" s="41"/>
      <c r="DN124" s="1375"/>
      <c r="DO124" s="1375"/>
      <c r="DP124" s="1375"/>
      <c r="DQ124" s="1376" t="s">
        <v>1344</v>
      </c>
      <c r="DR124" s="1377"/>
      <c r="DS124" s="1378">
        <v>0</v>
      </c>
      <c r="DT124" s="1378">
        <v>0</v>
      </c>
      <c r="DU124" s="1377"/>
      <c r="DV124" s="1378">
        <v>0</v>
      </c>
      <c r="DW124" s="1378">
        <v>0</v>
      </c>
      <c r="DX124" s="1378">
        <v>1</v>
      </c>
      <c r="DY124" s="1378">
        <v>3</v>
      </c>
      <c r="DZ124" s="1378">
        <v>1</v>
      </c>
      <c r="EA124" s="1378">
        <v>5</v>
      </c>
      <c r="EB124" s="1378">
        <v>12</v>
      </c>
      <c r="EC124" s="1378">
        <v>5</v>
      </c>
      <c r="ED124" s="1378">
        <v>0</v>
      </c>
      <c r="EE124" s="1380">
        <v>0</v>
      </c>
      <c r="EF124" s="1380">
        <v>0</v>
      </c>
      <c r="EG124" s="1380">
        <v>27</v>
      </c>
      <c r="EH124" s="41"/>
      <c r="EJ124" s="678"/>
      <c r="EK124" s="678"/>
      <c r="EL124" s="678"/>
      <c r="EM124" s="679" t="s">
        <v>1344</v>
      </c>
      <c r="EN124" s="680"/>
      <c r="EO124" s="681">
        <v>0</v>
      </c>
      <c r="EP124" s="680"/>
      <c r="EQ124" s="681">
        <v>0</v>
      </c>
      <c r="ER124" s="680"/>
      <c r="ES124" s="680"/>
      <c r="ET124" s="680"/>
      <c r="EU124" s="680"/>
      <c r="EV124" s="680"/>
      <c r="EW124" s="680"/>
      <c r="EX124" s="680"/>
      <c r="EY124" s="681">
        <v>1</v>
      </c>
      <c r="EZ124" s="681">
        <v>6</v>
      </c>
      <c r="FA124" s="681">
        <v>4</v>
      </c>
      <c r="FB124" s="681">
        <v>8</v>
      </c>
      <c r="FC124" s="683">
        <v>0</v>
      </c>
      <c r="FD124" s="683">
        <v>0</v>
      </c>
      <c r="FE124" s="683">
        <v>19</v>
      </c>
      <c r="FF124" s="105"/>
      <c r="FH124" s="511"/>
      <c r="FI124" s="511"/>
      <c r="FJ124" s="532" t="s">
        <v>110</v>
      </c>
      <c r="FK124" s="511" t="s">
        <v>1229</v>
      </c>
      <c r="FL124" s="512" t="s">
        <v>1230</v>
      </c>
      <c r="FM124" s="684"/>
      <c r="FN124" s="685">
        <v>0</v>
      </c>
      <c r="FO124" s="685">
        <v>0</v>
      </c>
      <c r="FP124" s="685">
        <v>0</v>
      </c>
      <c r="FQ124" s="685">
        <v>0</v>
      </c>
      <c r="FR124" s="684"/>
      <c r="FS124" s="685">
        <v>0</v>
      </c>
      <c r="FT124" s="685">
        <v>0</v>
      </c>
      <c r="FU124" s="685">
        <v>0</v>
      </c>
      <c r="FV124" s="685">
        <v>0</v>
      </c>
      <c r="FW124" s="685">
        <v>0</v>
      </c>
      <c r="FX124" s="685">
        <v>0</v>
      </c>
      <c r="FY124" s="685">
        <v>0</v>
      </c>
      <c r="FZ124" s="685">
        <v>0</v>
      </c>
      <c r="GA124" s="685">
        <v>4</v>
      </c>
      <c r="GB124" s="687">
        <v>1</v>
      </c>
      <c r="GC124" s="687">
        <v>0</v>
      </c>
      <c r="GD124" s="687">
        <v>5</v>
      </c>
      <c r="GE124" s="635"/>
      <c r="GF124" s="41"/>
      <c r="GG124" s="41"/>
      <c r="GH124" s="41"/>
      <c r="GI124" s="688"/>
      <c r="GJ124" s="457" t="s">
        <v>1344</v>
      </c>
      <c r="GK124" s="689"/>
      <c r="GL124" s="689"/>
      <c r="GM124" s="689"/>
      <c r="GN124" s="458">
        <v>0</v>
      </c>
      <c r="GO124" s="458">
        <v>0</v>
      </c>
      <c r="GP124" s="458">
        <v>1</v>
      </c>
      <c r="GQ124" s="458">
        <v>0</v>
      </c>
      <c r="GR124" s="458">
        <v>0</v>
      </c>
      <c r="GS124" s="458">
        <v>0</v>
      </c>
      <c r="GT124" s="458">
        <v>0</v>
      </c>
      <c r="GU124" s="458">
        <v>0</v>
      </c>
      <c r="GV124" s="689"/>
      <c r="GW124" s="689"/>
      <c r="GX124" s="458">
        <v>1</v>
      </c>
      <c r="GY124" s="690"/>
      <c r="GZ124" s="41"/>
      <c r="HA124" s="41"/>
      <c r="HB124" s="105"/>
      <c r="HC124" s="105"/>
      <c r="HD124" s="105"/>
      <c r="HE124" s="41" t="s">
        <v>1344</v>
      </c>
      <c r="HF124" s="41"/>
      <c r="HG124" s="41"/>
      <c r="HH124" s="41">
        <v>0</v>
      </c>
      <c r="HI124" s="41"/>
      <c r="HJ124" s="41"/>
      <c r="HK124" s="41">
        <v>0</v>
      </c>
      <c r="HL124" s="41"/>
      <c r="HM124" s="41"/>
      <c r="HN124" s="41">
        <v>0</v>
      </c>
      <c r="HO124" s="41">
        <v>1</v>
      </c>
      <c r="HP124" s="41">
        <v>0</v>
      </c>
      <c r="HQ124" s="41">
        <v>0</v>
      </c>
      <c r="HR124" s="41">
        <v>1</v>
      </c>
      <c r="HS124" s="41"/>
      <c r="HT124" s="41"/>
      <c r="HU124" s="41"/>
      <c r="HV124" s="41">
        <v>2</v>
      </c>
      <c r="HW124" s="41"/>
      <c r="HX124" s="41"/>
      <c r="HY124" s="691"/>
      <c r="HZ124" s="691"/>
      <c r="IA124" s="691"/>
      <c r="IB124" s="702" t="s">
        <v>15</v>
      </c>
      <c r="IC124" s="702">
        <v>0</v>
      </c>
      <c r="ID124" s="702">
        <v>0</v>
      </c>
      <c r="IE124" s="702">
        <v>1</v>
      </c>
      <c r="IF124" s="702">
        <v>0</v>
      </c>
      <c r="IG124" s="702">
        <v>0</v>
      </c>
      <c r="IH124" s="702">
        <v>0</v>
      </c>
      <c r="II124" s="702">
        <v>1</v>
      </c>
      <c r="IJ124" s="702">
        <v>0</v>
      </c>
      <c r="IK124" s="702">
        <v>1</v>
      </c>
      <c r="IL124" s="702">
        <v>0</v>
      </c>
      <c r="IM124" s="702">
        <v>1</v>
      </c>
      <c r="IN124" s="702">
        <v>3</v>
      </c>
      <c r="IO124" s="702">
        <v>2</v>
      </c>
      <c r="IP124" s="702">
        <v>0</v>
      </c>
      <c r="IQ124" s="702">
        <v>0</v>
      </c>
      <c r="IR124" s="702">
        <v>0</v>
      </c>
      <c r="IS124" s="702">
        <v>9</v>
      </c>
      <c r="IT124" s="703">
        <f>+(IS123+IS120)/IS124</f>
        <v>0.66666666666666663</v>
      </c>
      <c r="IU124" s="692">
        <f>+IS120+IS123</f>
        <v>6</v>
      </c>
    </row>
    <row r="125" spans="3:255">
      <c r="D125" s="4800" t="s">
        <v>1239</v>
      </c>
      <c r="E125" s="4606"/>
      <c r="F125" s="4606"/>
      <c r="G125" s="4606"/>
      <c r="H125" s="4606"/>
      <c r="I125" s="4606"/>
      <c r="J125" s="4606"/>
      <c r="K125" s="4606"/>
      <c r="L125" s="4606">
        <v>0</v>
      </c>
      <c r="M125" s="4606"/>
      <c r="N125" s="4606"/>
      <c r="O125" s="4606">
        <v>0</v>
      </c>
      <c r="P125" s="4606">
        <v>0</v>
      </c>
      <c r="Q125" s="4606">
        <v>3</v>
      </c>
      <c r="R125" s="4606">
        <v>3</v>
      </c>
      <c r="S125" s="2552">
        <v>5</v>
      </c>
      <c r="T125" s="2552">
        <v>2</v>
      </c>
      <c r="U125" s="2552">
        <v>13</v>
      </c>
      <c r="V125" s="2552"/>
      <c r="AA125" s="37" t="s">
        <v>1239</v>
      </c>
      <c r="AB125" s="4803">
        <v>0</v>
      </c>
      <c r="AC125" s="4803"/>
      <c r="AD125" s="4803"/>
      <c r="AE125" s="4803"/>
      <c r="AF125" s="4803"/>
      <c r="AG125" s="4803"/>
      <c r="AH125" s="4803"/>
      <c r="AI125" s="4803">
        <v>0</v>
      </c>
      <c r="AJ125" s="4803"/>
      <c r="AK125" s="4803"/>
      <c r="AL125" s="4803">
        <v>0</v>
      </c>
      <c r="AM125" s="4803">
        <v>0</v>
      </c>
      <c r="AN125" s="4803">
        <v>7</v>
      </c>
      <c r="AO125" s="4803">
        <v>0</v>
      </c>
      <c r="AP125" s="1788">
        <v>7</v>
      </c>
      <c r="AQ125" s="1788">
        <v>14</v>
      </c>
      <c r="AT125" s="41"/>
      <c r="AU125" s="41"/>
      <c r="AV125" s="41" t="s">
        <v>128</v>
      </c>
      <c r="AW125" s="41" t="s">
        <v>1231</v>
      </c>
      <c r="AX125" s="690"/>
      <c r="AY125" s="690"/>
      <c r="AZ125" s="690"/>
      <c r="BA125" s="690"/>
      <c r="BB125" s="690"/>
      <c r="BC125" s="690"/>
      <c r="BD125" s="690"/>
      <c r="BE125" s="690"/>
      <c r="BF125" s="690"/>
      <c r="BG125" s="690"/>
      <c r="BH125" s="690"/>
      <c r="BI125" s="690"/>
      <c r="BJ125" s="690">
        <v>3</v>
      </c>
      <c r="BK125" s="690">
        <v>0</v>
      </c>
      <c r="BL125" s="690"/>
      <c r="BM125" s="41">
        <v>1</v>
      </c>
      <c r="BN125" s="41"/>
      <c r="BO125" s="41">
        <v>4</v>
      </c>
      <c r="BP125" s="41"/>
      <c r="BR125" s="41"/>
      <c r="BS125" s="41"/>
      <c r="BT125" s="41"/>
      <c r="BU125" s="41" t="s">
        <v>1344</v>
      </c>
      <c r="BV125" s="2001"/>
      <c r="BW125" s="2001">
        <v>0</v>
      </c>
      <c r="BX125" s="2001">
        <v>0</v>
      </c>
      <c r="BY125" s="2001"/>
      <c r="BZ125" s="2001"/>
      <c r="CA125" s="2001"/>
      <c r="CB125" s="2001"/>
      <c r="CC125" s="2001"/>
      <c r="CD125" s="2001">
        <v>0</v>
      </c>
      <c r="CE125" s="2001">
        <v>0</v>
      </c>
      <c r="CF125" s="2001"/>
      <c r="CG125" s="2001"/>
      <c r="CH125" s="2001">
        <v>3</v>
      </c>
      <c r="CI125" s="2001">
        <v>1</v>
      </c>
      <c r="CJ125" s="2001">
        <v>2</v>
      </c>
      <c r="CK125" s="105">
        <v>0</v>
      </c>
      <c r="CL125" s="105">
        <v>0</v>
      </c>
      <c r="CM125" s="105">
        <v>6</v>
      </c>
      <c r="CN125" s="41"/>
      <c r="CR125" s="41"/>
      <c r="CS125" s="41" t="s">
        <v>1231</v>
      </c>
      <c r="CT125" s="1665">
        <v>0</v>
      </c>
      <c r="CU125" s="1665">
        <v>1</v>
      </c>
      <c r="CV125" s="1665">
        <v>1</v>
      </c>
      <c r="CW125" s="1665"/>
      <c r="CX125" s="1665"/>
      <c r="CY125" s="1665"/>
      <c r="CZ125" s="1665"/>
      <c r="DA125" s="1665">
        <v>1</v>
      </c>
      <c r="DB125" s="1665">
        <v>1</v>
      </c>
      <c r="DC125" s="1665"/>
      <c r="DD125" s="1665"/>
      <c r="DE125" s="1665">
        <v>2</v>
      </c>
      <c r="DF125" s="1665">
        <v>5</v>
      </c>
      <c r="DG125" s="1665">
        <v>5</v>
      </c>
      <c r="DH125" s="1665">
        <v>0</v>
      </c>
      <c r="DI125" s="41">
        <v>1</v>
      </c>
      <c r="DJ125" s="41">
        <v>0</v>
      </c>
      <c r="DK125" s="41">
        <v>17</v>
      </c>
      <c r="DL125" s="41"/>
      <c r="DN125" s="1375"/>
      <c r="DO125" s="1375"/>
      <c r="DP125" s="1375"/>
      <c r="DQ125" s="1372" t="s">
        <v>110</v>
      </c>
      <c r="DR125" s="1381"/>
      <c r="DS125" s="1382">
        <v>7</v>
      </c>
      <c r="DT125" s="1382">
        <v>4</v>
      </c>
      <c r="DU125" s="1381"/>
      <c r="DV125" s="1382">
        <v>3</v>
      </c>
      <c r="DW125" s="1382">
        <v>1</v>
      </c>
      <c r="DX125" s="1382">
        <v>3</v>
      </c>
      <c r="DY125" s="1382">
        <v>9</v>
      </c>
      <c r="DZ125" s="1382">
        <v>8</v>
      </c>
      <c r="EA125" s="1382">
        <v>8</v>
      </c>
      <c r="EB125" s="1382">
        <v>28</v>
      </c>
      <c r="EC125" s="1382">
        <v>19</v>
      </c>
      <c r="ED125" s="1382">
        <v>60</v>
      </c>
      <c r="EE125" s="1384">
        <v>7</v>
      </c>
      <c r="EF125" s="1384">
        <v>23</v>
      </c>
      <c r="EG125" s="1384">
        <v>180</v>
      </c>
      <c r="EH125" s="1325">
        <f>+(EG121-EE121+EG124)/EG125</f>
        <v>0.30555555555555558</v>
      </c>
      <c r="EJ125" s="678"/>
      <c r="EK125" s="678"/>
      <c r="EL125" s="678"/>
      <c r="EM125" s="697" t="s">
        <v>547</v>
      </c>
      <c r="EN125" s="698"/>
      <c r="EO125" s="699">
        <v>1</v>
      </c>
      <c r="EP125" s="698"/>
      <c r="EQ125" s="699">
        <v>1</v>
      </c>
      <c r="ER125" s="698"/>
      <c r="ES125" s="698"/>
      <c r="ET125" s="698"/>
      <c r="EU125" s="698"/>
      <c r="EV125" s="698"/>
      <c r="EW125" s="698"/>
      <c r="EX125" s="698"/>
      <c r="EY125" s="699">
        <v>2</v>
      </c>
      <c r="EZ125" s="699">
        <v>11</v>
      </c>
      <c r="FA125" s="699">
        <v>15</v>
      </c>
      <c r="FB125" s="699">
        <v>22</v>
      </c>
      <c r="FC125" s="701">
        <v>1</v>
      </c>
      <c r="FD125" s="701">
        <v>11</v>
      </c>
      <c r="FE125" s="701">
        <v>64</v>
      </c>
      <c r="FF125" s="635">
        <f>+(FE122+FE124)/FE125</f>
        <v>0.5</v>
      </c>
      <c r="FH125" s="511"/>
      <c r="FI125" s="511"/>
      <c r="FJ125" s="511"/>
      <c r="FK125" s="511"/>
      <c r="FL125" s="512" t="s">
        <v>1231</v>
      </c>
      <c r="FM125" s="684"/>
      <c r="FN125" s="685">
        <v>1</v>
      </c>
      <c r="FO125" s="685">
        <v>2</v>
      </c>
      <c r="FP125" s="685">
        <v>1</v>
      </c>
      <c r="FQ125" s="685">
        <v>1</v>
      </c>
      <c r="FR125" s="684"/>
      <c r="FS125" s="685">
        <v>1</v>
      </c>
      <c r="FT125" s="685">
        <v>1</v>
      </c>
      <c r="FU125" s="685">
        <v>2</v>
      </c>
      <c r="FV125" s="685">
        <v>3</v>
      </c>
      <c r="FW125" s="685">
        <v>0</v>
      </c>
      <c r="FX125" s="685">
        <v>1</v>
      </c>
      <c r="FY125" s="685">
        <v>9</v>
      </c>
      <c r="FZ125" s="685">
        <v>6</v>
      </c>
      <c r="GA125" s="685">
        <v>3</v>
      </c>
      <c r="GB125" s="687">
        <v>0</v>
      </c>
      <c r="GC125" s="687">
        <v>0</v>
      </c>
      <c r="GD125" s="687">
        <v>31</v>
      </c>
      <c r="GE125" s="635"/>
      <c r="GF125" s="41"/>
      <c r="GG125" s="41"/>
      <c r="GH125" s="41"/>
      <c r="GI125" s="688"/>
      <c r="GJ125" s="704" t="s">
        <v>544</v>
      </c>
      <c r="GK125" s="705"/>
      <c r="GL125" s="705"/>
      <c r="GM125" s="705"/>
      <c r="GN125" s="463">
        <v>1</v>
      </c>
      <c r="GO125" s="463">
        <v>2</v>
      </c>
      <c r="GP125" s="463">
        <v>2</v>
      </c>
      <c r="GQ125" s="463">
        <v>1</v>
      </c>
      <c r="GR125" s="463">
        <v>1</v>
      </c>
      <c r="GS125" s="463">
        <v>1</v>
      </c>
      <c r="GT125" s="463">
        <v>2</v>
      </c>
      <c r="GU125" s="463">
        <v>3</v>
      </c>
      <c r="GV125" s="705"/>
      <c r="GW125" s="705"/>
      <c r="GX125" s="463">
        <v>13</v>
      </c>
      <c r="GY125" s="628">
        <f>+(GX124+GX123+GX120)/GX125</f>
        <v>0.30769230769230771</v>
      </c>
      <c r="GZ125" s="41"/>
      <c r="HA125" s="41"/>
      <c r="HB125" s="105"/>
      <c r="HC125" s="105"/>
      <c r="HD125" s="105"/>
      <c r="HE125" s="461" t="s">
        <v>15</v>
      </c>
      <c r="HF125" s="461"/>
      <c r="HG125" s="461"/>
      <c r="HH125" s="461">
        <v>1</v>
      </c>
      <c r="HI125" s="461"/>
      <c r="HJ125" s="461"/>
      <c r="HK125" s="461">
        <v>1</v>
      </c>
      <c r="HL125" s="461"/>
      <c r="HM125" s="461"/>
      <c r="HN125" s="461">
        <v>1</v>
      </c>
      <c r="HO125" s="461">
        <v>3</v>
      </c>
      <c r="HP125" s="461">
        <v>2</v>
      </c>
      <c r="HQ125" s="461">
        <v>3</v>
      </c>
      <c r="HR125" s="461">
        <v>1</v>
      </c>
      <c r="HS125" s="461"/>
      <c r="HT125" s="461"/>
      <c r="HU125" s="461"/>
      <c r="HV125" s="461">
        <v>12</v>
      </c>
      <c r="HW125" s="706">
        <f>+(HV120+HV123+HV124)/HV125</f>
        <v>0.5</v>
      </c>
      <c r="HX125" s="41"/>
      <c r="HY125" s="691"/>
      <c r="HZ125" s="691"/>
      <c r="IA125" s="691" t="s">
        <v>16</v>
      </c>
      <c r="IB125" s="691" t="s">
        <v>1231</v>
      </c>
      <c r="IC125" s="691">
        <v>0</v>
      </c>
      <c r="ID125" s="691">
        <v>0</v>
      </c>
      <c r="IE125" s="691">
        <v>0</v>
      </c>
      <c r="IF125" s="691">
        <v>0</v>
      </c>
      <c r="IG125" s="691">
        <v>0</v>
      </c>
      <c r="IH125" s="691">
        <v>0</v>
      </c>
      <c r="II125" s="691">
        <v>0</v>
      </c>
      <c r="IJ125" s="691">
        <v>0</v>
      </c>
      <c r="IK125" s="691">
        <v>0</v>
      </c>
      <c r="IL125" s="691">
        <v>0</v>
      </c>
      <c r="IM125" s="691">
        <v>2</v>
      </c>
      <c r="IN125" s="691">
        <v>0</v>
      </c>
      <c r="IO125" s="691">
        <v>0</v>
      </c>
      <c r="IP125" s="691">
        <v>0</v>
      </c>
      <c r="IQ125" s="691">
        <v>0</v>
      </c>
      <c r="IR125" s="691">
        <v>0</v>
      </c>
      <c r="IS125" s="691">
        <v>2</v>
      </c>
      <c r="IT125" s="691"/>
      <c r="IU125" s="692"/>
    </row>
    <row r="126" spans="3:255">
      <c r="D126" s="4800" t="s">
        <v>1344</v>
      </c>
      <c r="E126" s="4606"/>
      <c r="F126" s="4606"/>
      <c r="G126" s="4606"/>
      <c r="H126" s="4606"/>
      <c r="I126" s="4606"/>
      <c r="J126" s="4606"/>
      <c r="K126" s="4606"/>
      <c r="L126" s="4606">
        <v>0</v>
      </c>
      <c r="M126" s="4606"/>
      <c r="N126" s="4606"/>
      <c r="O126" s="4606">
        <v>1</v>
      </c>
      <c r="P126" s="4606">
        <v>1</v>
      </c>
      <c r="Q126" s="4606">
        <v>1</v>
      </c>
      <c r="R126" s="4606">
        <v>1</v>
      </c>
      <c r="S126" s="2552">
        <v>0</v>
      </c>
      <c r="T126" s="2552">
        <v>0</v>
      </c>
      <c r="U126" s="2552">
        <v>4</v>
      </c>
      <c r="V126" s="2552"/>
      <c r="AA126" s="37" t="s">
        <v>1344</v>
      </c>
      <c r="AB126" s="4803">
        <v>0</v>
      </c>
      <c r="AC126" s="4803"/>
      <c r="AD126" s="4803"/>
      <c r="AE126" s="4803"/>
      <c r="AF126" s="4803"/>
      <c r="AG126" s="4803"/>
      <c r="AH126" s="4803"/>
      <c r="AI126" s="4803">
        <v>0</v>
      </c>
      <c r="AJ126" s="4803"/>
      <c r="AK126" s="4803"/>
      <c r="AL126" s="4803">
        <v>1</v>
      </c>
      <c r="AM126" s="4803">
        <v>0</v>
      </c>
      <c r="AN126" s="4803">
        <v>1</v>
      </c>
      <c r="AO126" s="4803">
        <v>0</v>
      </c>
      <c r="AP126" s="1788">
        <v>0</v>
      </c>
      <c r="AQ126" s="1788">
        <v>2</v>
      </c>
      <c r="AT126" s="41"/>
      <c r="AU126" s="41"/>
      <c r="AV126" s="41"/>
      <c r="AW126" s="41" t="s">
        <v>1235</v>
      </c>
      <c r="AX126" s="690"/>
      <c r="AY126" s="690"/>
      <c r="AZ126" s="690"/>
      <c r="BA126" s="690"/>
      <c r="BB126" s="690"/>
      <c r="BC126" s="690"/>
      <c r="BD126" s="690"/>
      <c r="BE126" s="690"/>
      <c r="BF126" s="690"/>
      <c r="BG126" s="690"/>
      <c r="BH126" s="690"/>
      <c r="BI126" s="690"/>
      <c r="BJ126" s="690">
        <v>2</v>
      </c>
      <c r="BK126" s="690">
        <v>0</v>
      </c>
      <c r="BL126" s="690"/>
      <c r="BM126" s="41">
        <v>0</v>
      </c>
      <c r="BN126" s="41"/>
      <c r="BO126" s="41">
        <v>2</v>
      </c>
      <c r="BP126" s="41"/>
      <c r="BR126" s="41"/>
      <c r="BS126" s="41"/>
      <c r="BT126" s="41"/>
      <c r="BU126" s="461" t="s">
        <v>15</v>
      </c>
      <c r="BV126" s="2002"/>
      <c r="BW126" s="2002">
        <v>1</v>
      </c>
      <c r="BX126" s="2002">
        <v>2</v>
      </c>
      <c r="BY126" s="2002"/>
      <c r="BZ126" s="2002"/>
      <c r="CA126" s="2002"/>
      <c r="CB126" s="2002"/>
      <c r="CC126" s="2002"/>
      <c r="CD126" s="2002">
        <v>1</v>
      </c>
      <c r="CE126" s="2002">
        <v>1</v>
      </c>
      <c r="CF126" s="2002"/>
      <c r="CG126" s="2002"/>
      <c r="CH126" s="2002">
        <v>31</v>
      </c>
      <c r="CI126" s="2002">
        <v>8</v>
      </c>
      <c r="CJ126" s="2002">
        <v>5</v>
      </c>
      <c r="CK126" s="96">
        <v>1</v>
      </c>
      <c r="CL126" s="96">
        <v>4</v>
      </c>
      <c r="CM126" s="96">
        <v>54</v>
      </c>
      <c r="CN126" s="635">
        <f>+(CM122+CM124+CM125)/CM126</f>
        <v>0.25925925925925924</v>
      </c>
      <c r="CR126" s="41"/>
      <c r="CS126" s="41" t="s">
        <v>1235</v>
      </c>
      <c r="CT126" s="1665">
        <v>0</v>
      </c>
      <c r="CU126" s="1665">
        <v>0</v>
      </c>
      <c r="CV126" s="1665">
        <v>0</v>
      </c>
      <c r="CW126" s="1665"/>
      <c r="CX126" s="1665"/>
      <c r="CY126" s="1665"/>
      <c r="CZ126" s="1665"/>
      <c r="DA126" s="1665">
        <v>0</v>
      </c>
      <c r="DB126" s="1665">
        <v>0</v>
      </c>
      <c r="DC126" s="1665"/>
      <c r="DD126" s="1665"/>
      <c r="DE126" s="1665">
        <v>0</v>
      </c>
      <c r="DF126" s="1665">
        <v>0</v>
      </c>
      <c r="DG126" s="1665">
        <v>3</v>
      </c>
      <c r="DH126" s="1665">
        <v>3</v>
      </c>
      <c r="DI126" s="41">
        <v>2</v>
      </c>
      <c r="DJ126" s="41">
        <v>0</v>
      </c>
      <c r="DK126" s="41">
        <v>8</v>
      </c>
      <c r="DL126" s="41"/>
      <c r="DN126" s="1375" t="s">
        <v>48</v>
      </c>
      <c r="DO126" s="1375" t="s">
        <v>16</v>
      </c>
      <c r="DP126" s="1375" t="s">
        <v>144</v>
      </c>
      <c r="DQ126" s="1376" t="s">
        <v>1231</v>
      </c>
      <c r="DR126" s="1377"/>
      <c r="DS126" s="1378">
        <v>3</v>
      </c>
      <c r="DT126" s="1377"/>
      <c r="DU126" s="1378">
        <v>1</v>
      </c>
      <c r="DV126" s="1378">
        <v>1</v>
      </c>
      <c r="DW126" s="1377"/>
      <c r="DX126" s="1377"/>
      <c r="DY126" s="1378">
        <v>1</v>
      </c>
      <c r="DZ126" s="1378">
        <v>2</v>
      </c>
      <c r="EA126" s="1378">
        <v>2</v>
      </c>
      <c r="EB126" s="1378">
        <v>13</v>
      </c>
      <c r="EC126" s="1378">
        <v>3</v>
      </c>
      <c r="ED126" s="1378">
        <v>1</v>
      </c>
      <c r="EE126" s="1380">
        <v>0</v>
      </c>
      <c r="EF126" s="1380">
        <v>0</v>
      </c>
      <c r="EG126" s="1380">
        <v>27</v>
      </c>
      <c r="EH126" s="41"/>
      <c r="EJ126" s="678"/>
      <c r="EK126" s="678"/>
      <c r="EL126" s="678" t="s">
        <v>110</v>
      </c>
      <c r="EM126" s="679" t="s">
        <v>1230</v>
      </c>
      <c r="EN126" s="680"/>
      <c r="EO126" s="681">
        <v>0</v>
      </c>
      <c r="EP126" s="681">
        <v>0</v>
      </c>
      <c r="EQ126" s="681">
        <v>0</v>
      </c>
      <c r="ER126" s="681">
        <v>0</v>
      </c>
      <c r="ES126" s="681">
        <v>0</v>
      </c>
      <c r="ET126" s="681">
        <v>0</v>
      </c>
      <c r="EU126" s="681">
        <v>0</v>
      </c>
      <c r="EV126" s="681">
        <v>0</v>
      </c>
      <c r="EW126" s="681">
        <v>0</v>
      </c>
      <c r="EX126" s="681">
        <v>0</v>
      </c>
      <c r="EY126" s="681">
        <v>0</v>
      </c>
      <c r="EZ126" s="681">
        <v>2</v>
      </c>
      <c r="FA126" s="681">
        <v>0</v>
      </c>
      <c r="FB126" s="681">
        <v>4</v>
      </c>
      <c r="FC126" s="683">
        <v>0</v>
      </c>
      <c r="FD126" s="683">
        <v>0</v>
      </c>
      <c r="FE126" s="683">
        <v>6</v>
      </c>
      <c r="FF126" s="105"/>
      <c r="FH126" s="511"/>
      <c r="FI126" s="511"/>
      <c r="FJ126" s="511"/>
      <c r="FK126" s="511"/>
      <c r="FL126" s="512" t="s">
        <v>1233</v>
      </c>
      <c r="FM126" s="684"/>
      <c r="FN126" s="685">
        <v>0</v>
      </c>
      <c r="FO126" s="685">
        <v>0</v>
      </c>
      <c r="FP126" s="685">
        <v>0</v>
      </c>
      <c r="FQ126" s="685">
        <v>0</v>
      </c>
      <c r="FR126" s="684"/>
      <c r="FS126" s="685">
        <v>0</v>
      </c>
      <c r="FT126" s="685">
        <v>0</v>
      </c>
      <c r="FU126" s="685">
        <v>0</v>
      </c>
      <c r="FV126" s="685">
        <v>1</v>
      </c>
      <c r="FW126" s="685">
        <v>0</v>
      </c>
      <c r="FX126" s="685">
        <v>0</v>
      </c>
      <c r="FY126" s="685">
        <v>0</v>
      </c>
      <c r="FZ126" s="685">
        <v>0</v>
      </c>
      <c r="GA126" s="685">
        <v>0</v>
      </c>
      <c r="GB126" s="687">
        <v>0</v>
      </c>
      <c r="GC126" s="687">
        <v>0</v>
      </c>
      <c r="GD126" s="687">
        <v>1</v>
      </c>
      <c r="GE126" s="635"/>
      <c r="GF126" s="41"/>
      <c r="GG126" s="41"/>
      <c r="GH126" s="41"/>
      <c r="GI126" s="41"/>
      <c r="GJ126" s="41"/>
      <c r="GK126" s="41"/>
      <c r="GL126" s="41"/>
      <c r="GM126" s="41"/>
      <c r="GN126" s="41"/>
      <c r="GO126" s="41"/>
      <c r="GP126" s="41"/>
      <c r="GQ126" s="41"/>
      <c r="GR126" s="41"/>
      <c r="GS126" s="41"/>
      <c r="GT126" s="41"/>
      <c r="GU126" s="41"/>
      <c r="GV126" s="41"/>
      <c r="GW126" s="41"/>
      <c r="GX126" s="41"/>
      <c r="GY126" s="41"/>
      <c r="GZ126" s="41"/>
      <c r="HA126" s="41"/>
      <c r="HB126" s="105"/>
      <c r="HC126" s="105"/>
      <c r="HD126" s="105" t="s">
        <v>16</v>
      </c>
      <c r="HE126" s="41" t="s">
        <v>1231</v>
      </c>
      <c r="HF126" s="41">
        <v>2</v>
      </c>
      <c r="HG126" s="41"/>
      <c r="HH126" s="41"/>
      <c r="HI126" s="41"/>
      <c r="HJ126" s="41"/>
      <c r="HK126" s="41"/>
      <c r="HL126" s="41">
        <v>0</v>
      </c>
      <c r="HM126" s="41">
        <v>1</v>
      </c>
      <c r="HN126" s="41">
        <v>11</v>
      </c>
      <c r="HO126" s="41">
        <v>6</v>
      </c>
      <c r="HP126" s="41">
        <v>1</v>
      </c>
      <c r="HQ126" s="41">
        <v>1</v>
      </c>
      <c r="HR126" s="41"/>
      <c r="HS126" s="41"/>
      <c r="HT126" s="41"/>
      <c r="HU126" s="41">
        <v>0</v>
      </c>
      <c r="HV126" s="41">
        <v>22</v>
      </c>
      <c r="HW126" s="41"/>
      <c r="HX126" s="41"/>
      <c r="HY126" s="691"/>
      <c r="HZ126" s="691"/>
      <c r="IA126" s="691"/>
      <c r="IB126" s="702" t="s">
        <v>15</v>
      </c>
      <c r="IC126" s="702">
        <v>0</v>
      </c>
      <c r="ID126" s="702">
        <v>0</v>
      </c>
      <c r="IE126" s="702">
        <v>0</v>
      </c>
      <c r="IF126" s="702">
        <v>0</v>
      </c>
      <c r="IG126" s="702">
        <v>0</v>
      </c>
      <c r="IH126" s="702">
        <v>0</v>
      </c>
      <c r="II126" s="702">
        <v>0</v>
      </c>
      <c r="IJ126" s="702">
        <v>0</v>
      </c>
      <c r="IK126" s="702">
        <v>0</v>
      </c>
      <c r="IL126" s="702">
        <v>0</v>
      </c>
      <c r="IM126" s="702">
        <v>2</v>
      </c>
      <c r="IN126" s="702">
        <v>0</v>
      </c>
      <c r="IO126" s="702">
        <v>0</v>
      </c>
      <c r="IP126" s="702">
        <v>0</v>
      </c>
      <c r="IQ126" s="702">
        <v>0</v>
      </c>
      <c r="IR126" s="702">
        <v>0</v>
      </c>
      <c r="IS126" s="702">
        <v>2</v>
      </c>
      <c r="IT126" s="703">
        <f>0/IS126</f>
        <v>0</v>
      </c>
      <c r="IU126" s="692">
        <v>0</v>
      </c>
    </row>
    <row r="127" spans="3:255">
      <c r="D127" s="4800" t="s">
        <v>15</v>
      </c>
      <c r="E127" s="4606"/>
      <c r="F127" s="4606"/>
      <c r="G127" s="4606"/>
      <c r="H127" s="4606"/>
      <c r="I127" s="4606"/>
      <c r="J127" s="4606"/>
      <c r="K127" s="4606"/>
      <c r="L127" s="4606">
        <v>1</v>
      </c>
      <c r="M127" s="4606"/>
      <c r="N127" s="4606"/>
      <c r="O127" s="4606">
        <v>1</v>
      </c>
      <c r="P127" s="4606">
        <v>3</v>
      </c>
      <c r="Q127" s="4606">
        <v>5</v>
      </c>
      <c r="R127" s="4606">
        <v>4</v>
      </c>
      <c r="S127" s="2552">
        <v>5</v>
      </c>
      <c r="T127" s="2552">
        <v>2</v>
      </c>
      <c r="U127" s="2552">
        <v>21</v>
      </c>
      <c r="V127" s="1977">
        <f>+(U123+U126)/(U127)</f>
        <v>0.2857142857142857</v>
      </c>
      <c r="AA127" s="1793" t="s">
        <v>15</v>
      </c>
      <c r="AB127" s="4804">
        <v>0</v>
      </c>
      <c r="AC127" s="4804"/>
      <c r="AD127" s="4804"/>
      <c r="AE127" s="4804"/>
      <c r="AF127" s="4804"/>
      <c r="AG127" s="4804"/>
      <c r="AH127" s="4804"/>
      <c r="AI127" s="4804">
        <v>1</v>
      </c>
      <c r="AJ127" s="4804"/>
      <c r="AK127" s="4804"/>
      <c r="AL127" s="4804">
        <v>1</v>
      </c>
      <c r="AM127" s="4804">
        <v>3</v>
      </c>
      <c r="AN127" s="4804">
        <v>8</v>
      </c>
      <c r="AO127" s="4804">
        <v>1</v>
      </c>
      <c r="AP127" s="4702">
        <v>7</v>
      </c>
      <c r="AQ127" s="4702">
        <v>21</v>
      </c>
      <c r="AR127" s="4703">
        <f>+(AQ123+AQ126)/AQ127</f>
        <v>0.23809523809523808</v>
      </c>
      <c r="AT127" s="41"/>
      <c r="AU127" s="41"/>
      <c r="AV127" s="41"/>
      <c r="AW127" s="41" t="s">
        <v>1240</v>
      </c>
      <c r="AX127" s="690"/>
      <c r="AY127" s="690"/>
      <c r="AZ127" s="690"/>
      <c r="BA127" s="690"/>
      <c r="BB127" s="690"/>
      <c r="BC127" s="690"/>
      <c r="BD127" s="690"/>
      <c r="BE127" s="690"/>
      <c r="BF127" s="690"/>
      <c r="BG127" s="690"/>
      <c r="BH127" s="690"/>
      <c r="BI127" s="690"/>
      <c r="BJ127" s="690">
        <v>1</v>
      </c>
      <c r="BK127" s="690">
        <v>0</v>
      </c>
      <c r="BL127" s="690"/>
      <c r="BM127" s="41">
        <v>0</v>
      </c>
      <c r="BN127" s="41"/>
      <c r="BO127" s="41">
        <v>1</v>
      </c>
      <c r="BP127" s="41"/>
      <c r="BR127" s="41"/>
      <c r="BS127" s="41"/>
      <c r="BT127" s="41" t="s">
        <v>111</v>
      </c>
      <c r="BU127" s="41" t="s">
        <v>1231</v>
      </c>
      <c r="BV127" s="2001"/>
      <c r="BW127" s="2001"/>
      <c r="BX127" s="2001"/>
      <c r="BY127" s="2001"/>
      <c r="BZ127" s="2001"/>
      <c r="CA127" s="2001"/>
      <c r="CB127" s="2001"/>
      <c r="CC127" s="2001"/>
      <c r="CD127" s="2001">
        <v>0</v>
      </c>
      <c r="CE127" s="2001">
        <v>3</v>
      </c>
      <c r="CF127" s="2001">
        <v>3</v>
      </c>
      <c r="CG127" s="2001">
        <v>4</v>
      </c>
      <c r="CH127" s="2001">
        <v>1</v>
      </c>
      <c r="CI127" s="2001">
        <v>0</v>
      </c>
      <c r="CJ127" s="2001"/>
      <c r="CK127" s="105"/>
      <c r="CL127" s="105"/>
      <c r="CM127" s="105">
        <v>11</v>
      </c>
      <c r="CN127" s="41"/>
      <c r="CR127" s="41"/>
      <c r="CS127" s="41" t="s">
        <v>1239</v>
      </c>
      <c r="CT127" s="1665">
        <v>0</v>
      </c>
      <c r="CU127" s="1665">
        <v>0</v>
      </c>
      <c r="CV127" s="1665">
        <v>0</v>
      </c>
      <c r="CW127" s="1665"/>
      <c r="CX127" s="1665"/>
      <c r="CY127" s="1665"/>
      <c r="CZ127" s="1665"/>
      <c r="DA127" s="1665">
        <v>0</v>
      </c>
      <c r="DB127" s="1665">
        <v>0</v>
      </c>
      <c r="DC127" s="1665"/>
      <c r="DD127" s="1665"/>
      <c r="DE127" s="1665">
        <v>0</v>
      </c>
      <c r="DF127" s="1665">
        <v>0</v>
      </c>
      <c r="DG127" s="1665">
        <v>0</v>
      </c>
      <c r="DH127" s="1665">
        <v>14</v>
      </c>
      <c r="DI127" s="41">
        <v>1</v>
      </c>
      <c r="DJ127" s="41">
        <v>9</v>
      </c>
      <c r="DK127" s="41">
        <v>24</v>
      </c>
      <c r="DL127" s="41"/>
      <c r="DN127" s="1375"/>
      <c r="DO127" s="1375"/>
      <c r="DP127" s="1375"/>
      <c r="DQ127" s="1376" t="s">
        <v>1235</v>
      </c>
      <c r="DR127" s="1377"/>
      <c r="DS127" s="1378">
        <v>0</v>
      </c>
      <c r="DT127" s="1377"/>
      <c r="DU127" s="1378">
        <v>0</v>
      </c>
      <c r="DV127" s="1378">
        <v>0</v>
      </c>
      <c r="DW127" s="1377"/>
      <c r="DX127" s="1377"/>
      <c r="DY127" s="1378">
        <v>0</v>
      </c>
      <c r="DZ127" s="1378">
        <v>0</v>
      </c>
      <c r="EA127" s="1378">
        <v>0</v>
      </c>
      <c r="EB127" s="1378">
        <v>3</v>
      </c>
      <c r="EC127" s="1378">
        <v>2</v>
      </c>
      <c r="ED127" s="1378">
        <v>0</v>
      </c>
      <c r="EE127" s="1380">
        <v>0</v>
      </c>
      <c r="EF127" s="1380">
        <v>0</v>
      </c>
      <c r="EG127" s="1380">
        <v>5</v>
      </c>
      <c r="EH127" s="41"/>
      <c r="EJ127" s="678"/>
      <c r="EK127" s="678"/>
      <c r="EL127" s="678"/>
      <c r="EM127" s="679" t="s">
        <v>1231</v>
      </c>
      <c r="EN127" s="680"/>
      <c r="EO127" s="681">
        <v>5</v>
      </c>
      <c r="EP127" s="681">
        <v>2</v>
      </c>
      <c r="EQ127" s="681">
        <v>2</v>
      </c>
      <c r="ER127" s="681">
        <v>1</v>
      </c>
      <c r="ES127" s="681">
        <v>2</v>
      </c>
      <c r="ET127" s="681">
        <v>1</v>
      </c>
      <c r="EU127" s="681">
        <v>2</v>
      </c>
      <c r="EV127" s="681">
        <v>2</v>
      </c>
      <c r="EW127" s="681">
        <v>1</v>
      </c>
      <c r="EX127" s="681">
        <v>2</v>
      </c>
      <c r="EY127" s="681">
        <v>3</v>
      </c>
      <c r="EZ127" s="681">
        <v>8</v>
      </c>
      <c r="FA127" s="681">
        <v>8</v>
      </c>
      <c r="FB127" s="681">
        <v>1</v>
      </c>
      <c r="FC127" s="683">
        <v>0</v>
      </c>
      <c r="FD127" s="683">
        <v>0</v>
      </c>
      <c r="FE127" s="683">
        <v>40</v>
      </c>
      <c r="FF127" s="105"/>
      <c r="FH127" s="511"/>
      <c r="FI127" s="511"/>
      <c r="FJ127" s="511"/>
      <c r="FK127" s="511"/>
      <c r="FL127" s="512" t="s">
        <v>1235</v>
      </c>
      <c r="FM127" s="684"/>
      <c r="FN127" s="685">
        <v>0</v>
      </c>
      <c r="FO127" s="685">
        <v>0</v>
      </c>
      <c r="FP127" s="685">
        <v>0</v>
      </c>
      <c r="FQ127" s="685">
        <v>0</v>
      </c>
      <c r="FR127" s="684"/>
      <c r="FS127" s="685">
        <v>1</v>
      </c>
      <c r="FT127" s="685">
        <v>0</v>
      </c>
      <c r="FU127" s="685">
        <v>0</v>
      </c>
      <c r="FV127" s="685">
        <v>0</v>
      </c>
      <c r="FW127" s="685">
        <v>6</v>
      </c>
      <c r="FX127" s="685">
        <v>5</v>
      </c>
      <c r="FY127" s="685">
        <v>9</v>
      </c>
      <c r="FZ127" s="685">
        <v>12</v>
      </c>
      <c r="GA127" s="685">
        <v>3</v>
      </c>
      <c r="GB127" s="687">
        <v>3</v>
      </c>
      <c r="GC127" s="687">
        <v>0</v>
      </c>
      <c r="GD127" s="687">
        <v>39</v>
      </c>
      <c r="GE127" s="635"/>
      <c r="GF127" s="41"/>
      <c r="GG127" s="41"/>
      <c r="GH127" s="41"/>
      <c r="GI127" s="41"/>
      <c r="GJ127" s="41"/>
      <c r="GK127" s="41"/>
      <c r="GL127" s="41"/>
      <c r="GM127" s="41"/>
      <c r="GN127" s="41"/>
      <c r="GO127" s="41"/>
      <c r="GP127" s="41"/>
      <c r="GQ127" s="41"/>
      <c r="GR127" s="41"/>
      <c r="GS127" s="41"/>
      <c r="GT127" s="41"/>
      <c r="GU127" s="41"/>
      <c r="GV127" s="41"/>
      <c r="GW127" s="41"/>
      <c r="GX127" s="41"/>
      <c r="GY127" s="41"/>
      <c r="GZ127" s="41"/>
      <c r="HA127" s="41"/>
      <c r="HB127" s="105"/>
      <c r="HC127" s="105"/>
      <c r="HD127" s="105"/>
      <c r="HE127" s="41" t="s">
        <v>1235</v>
      </c>
      <c r="HF127" s="41">
        <v>0</v>
      </c>
      <c r="HG127" s="41"/>
      <c r="HH127" s="41"/>
      <c r="HI127" s="41"/>
      <c r="HJ127" s="41"/>
      <c r="HK127" s="41"/>
      <c r="HL127" s="41">
        <v>0</v>
      </c>
      <c r="HM127" s="41">
        <v>0</v>
      </c>
      <c r="HN127" s="41">
        <v>3</v>
      </c>
      <c r="HO127" s="41">
        <v>0</v>
      </c>
      <c r="HP127" s="41">
        <v>0</v>
      </c>
      <c r="HQ127" s="41">
        <v>0</v>
      </c>
      <c r="HR127" s="41"/>
      <c r="HS127" s="41"/>
      <c r="HT127" s="41"/>
      <c r="HU127" s="41">
        <v>0</v>
      </c>
      <c r="HV127" s="41">
        <v>3</v>
      </c>
      <c r="HW127" s="41"/>
      <c r="HX127" s="41"/>
      <c r="HY127" s="691"/>
      <c r="HZ127" s="691"/>
      <c r="IA127" s="691" t="s">
        <v>104</v>
      </c>
      <c r="IB127" s="691" t="s">
        <v>1231</v>
      </c>
      <c r="IC127" s="691">
        <v>0</v>
      </c>
      <c r="ID127" s="691">
        <v>0</v>
      </c>
      <c r="IE127" s="691">
        <v>0</v>
      </c>
      <c r="IF127" s="691">
        <v>0</v>
      </c>
      <c r="IG127" s="691">
        <v>0</v>
      </c>
      <c r="IH127" s="691">
        <v>1</v>
      </c>
      <c r="II127" s="691">
        <v>0</v>
      </c>
      <c r="IJ127" s="691">
        <v>0</v>
      </c>
      <c r="IK127" s="691">
        <v>0</v>
      </c>
      <c r="IL127" s="691">
        <v>0</v>
      </c>
      <c r="IM127" s="691">
        <v>0</v>
      </c>
      <c r="IN127" s="691">
        <v>0</v>
      </c>
      <c r="IO127" s="691">
        <v>0</v>
      </c>
      <c r="IP127" s="691">
        <v>0</v>
      </c>
      <c r="IQ127" s="691">
        <v>0</v>
      </c>
      <c r="IR127" s="691">
        <v>0</v>
      </c>
      <c r="IS127" s="691">
        <v>1</v>
      </c>
      <c r="IT127" s="691"/>
      <c r="IU127" s="692"/>
    </row>
    <row r="128" spans="3:255">
      <c r="C128" s="32" t="s">
        <v>547</v>
      </c>
      <c r="D128" s="32" t="s">
        <v>1230</v>
      </c>
      <c r="E128" s="4607"/>
      <c r="F128" s="4607"/>
      <c r="G128" s="4607"/>
      <c r="H128" s="4607"/>
      <c r="I128" s="4607"/>
      <c r="J128" s="4607"/>
      <c r="K128" s="4607"/>
      <c r="L128" s="4607">
        <v>0</v>
      </c>
      <c r="M128" s="4607"/>
      <c r="N128" s="4607">
        <v>0</v>
      </c>
      <c r="O128" s="4607">
        <v>0</v>
      </c>
      <c r="P128" s="4607">
        <v>0</v>
      </c>
      <c r="Q128" s="4607">
        <v>0</v>
      </c>
      <c r="R128" s="4607">
        <v>1</v>
      </c>
      <c r="S128" s="4583">
        <v>0</v>
      </c>
      <c r="T128" s="4583">
        <v>0</v>
      </c>
      <c r="U128" s="4583">
        <v>1</v>
      </c>
      <c r="V128" s="4583"/>
      <c r="Z128" s="1793" t="s">
        <v>547</v>
      </c>
      <c r="AA128" s="1793" t="s">
        <v>1230</v>
      </c>
      <c r="AB128" s="4804">
        <v>0</v>
      </c>
      <c r="AC128" s="4804"/>
      <c r="AD128" s="4804"/>
      <c r="AE128" s="4804"/>
      <c r="AF128" s="4804"/>
      <c r="AG128" s="4804"/>
      <c r="AH128" s="4804"/>
      <c r="AI128" s="4804">
        <v>0</v>
      </c>
      <c r="AJ128" s="4804"/>
      <c r="AK128" s="4804">
        <v>0</v>
      </c>
      <c r="AL128" s="4804">
        <v>0</v>
      </c>
      <c r="AM128" s="4804">
        <v>0</v>
      </c>
      <c r="AN128" s="4804">
        <v>6</v>
      </c>
      <c r="AO128" s="4804">
        <v>0</v>
      </c>
      <c r="AP128" s="4702">
        <v>1</v>
      </c>
      <c r="AQ128" s="4702">
        <v>7</v>
      </c>
      <c r="AR128" s="1793"/>
      <c r="AT128" s="41"/>
      <c r="AU128" s="41"/>
      <c r="AV128" s="41"/>
      <c r="AW128" s="41" t="s">
        <v>1344</v>
      </c>
      <c r="AX128" s="690"/>
      <c r="AY128" s="690"/>
      <c r="AZ128" s="690"/>
      <c r="BA128" s="690"/>
      <c r="BB128" s="690"/>
      <c r="BC128" s="690"/>
      <c r="BD128" s="690"/>
      <c r="BE128" s="690"/>
      <c r="BF128" s="690"/>
      <c r="BG128" s="690"/>
      <c r="BH128" s="690"/>
      <c r="BI128" s="690"/>
      <c r="BJ128" s="690">
        <v>0</v>
      </c>
      <c r="BK128" s="690">
        <v>1</v>
      </c>
      <c r="BL128" s="690"/>
      <c r="BM128" s="41">
        <v>0</v>
      </c>
      <c r="BN128" s="41"/>
      <c r="BO128" s="41">
        <v>1</v>
      </c>
      <c r="BP128" s="41"/>
      <c r="BR128" s="41"/>
      <c r="BS128" s="41"/>
      <c r="BT128" s="41"/>
      <c r="BU128" s="41" t="s">
        <v>1235</v>
      </c>
      <c r="BV128" s="2001"/>
      <c r="BW128" s="2001"/>
      <c r="BX128" s="2001"/>
      <c r="BY128" s="2001"/>
      <c r="BZ128" s="2001"/>
      <c r="CA128" s="2001"/>
      <c r="CB128" s="2001"/>
      <c r="CC128" s="2001"/>
      <c r="CD128" s="2001">
        <v>0</v>
      </c>
      <c r="CE128" s="2001">
        <v>0</v>
      </c>
      <c r="CF128" s="2001">
        <v>0</v>
      </c>
      <c r="CG128" s="2001">
        <v>0</v>
      </c>
      <c r="CH128" s="2001">
        <v>1</v>
      </c>
      <c r="CI128" s="2001">
        <v>1</v>
      </c>
      <c r="CJ128" s="2001"/>
      <c r="CK128" s="105"/>
      <c r="CL128" s="105"/>
      <c r="CM128" s="105">
        <v>2</v>
      </c>
      <c r="CN128" s="41"/>
      <c r="CR128" s="41"/>
      <c r="CS128" s="41" t="s">
        <v>1344</v>
      </c>
      <c r="CT128" s="1665">
        <v>0</v>
      </c>
      <c r="CU128" s="1665">
        <v>0</v>
      </c>
      <c r="CV128" s="1665">
        <v>0</v>
      </c>
      <c r="CW128" s="1665"/>
      <c r="CX128" s="1665"/>
      <c r="CY128" s="1665"/>
      <c r="CZ128" s="1665"/>
      <c r="DA128" s="1665">
        <v>0</v>
      </c>
      <c r="DB128" s="1665">
        <v>0</v>
      </c>
      <c r="DC128" s="1665"/>
      <c r="DD128" s="1665"/>
      <c r="DE128" s="1665">
        <v>0</v>
      </c>
      <c r="DF128" s="1665">
        <v>1</v>
      </c>
      <c r="DG128" s="1665">
        <v>3</v>
      </c>
      <c r="DH128" s="1665">
        <v>2</v>
      </c>
      <c r="DI128" s="41">
        <v>1</v>
      </c>
      <c r="DJ128" s="41">
        <v>0</v>
      </c>
      <c r="DK128" s="41">
        <v>7</v>
      </c>
      <c r="DL128" s="41"/>
      <c r="DN128" s="1375"/>
      <c r="DO128" s="1375"/>
      <c r="DP128" s="1375"/>
      <c r="DQ128" s="1376" t="s">
        <v>1239</v>
      </c>
      <c r="DR128" s="1377"/>
      <c r="DS128" s="1378">
        <v>0</v>
      </c>
      <c r="DT128" s="1377"/>
      <c r="DU128" s="1378">
        <v>0</v>
      </c>
      <c r="DV128" s="1378">
        <v>0</v>
      </c>
      <c r="DW128" s="1377"/>
      <c r="DX128" s="1377"/>
      <c r="DY128" s="1378">
        <v>0</v>
      </c>
      <c r="DZ128" s="1378">
        <v>0</v>
      </c>
      <c r="EA128" s="1378">
        <v>0</v>
      </c>
      <c r="EB128" s="1378">
        <v>0</v>
      </c>
      <c r="EC128" s="1378">
        <v>3</v>
      </c>
      <c r="ED128" s="1378">
        <v>0</v>
      </c>
      <c r="EE128" s="1380">
        <v>1</v>
      </c>
      <c r="EF128" s="1380">
        <v>1</v>
      </c>
      <c r="EG128" s="1380">
        <v>5</v>
      </c>
      <c r="EH128" s="41"/>
      <c r="EJ128" s="678"/>
      <c r="EK128" s="678"/>
      <c r="EL128" s="678"/>
      <c r="EM128" s="679" t="s">
        <v>1233</v>
      </c>
      <c r="EN128" s="680"/>
      <c r="EO128" s="681">
        <v>0</v>
      </c>
      <c r="EP128" s="681">
        <v>0</v>
      </c>
      <c r="EQ128" s="681">
        <v>1</v>
      </c>
      <c r="ER128" s="681">
        <v>0</v>
      </c>
      <c r="ES128" s="681">
        <v>0</v>
      </c>
      <c r="ET128" s="681">
        <v>0</v>
      </c>
      <c r="EU128" s="681">
        <v>0</v>
      </c>
      <c r="EV128" s="681">
        <v>0</v>
      </c>
      <c r="EW128" s="681">
        <v>0</v>
      </c>
      <c r="EX128" s="681">
        <v>0</v>
      </c>
      <c r="EY128" s="681">
        <v>0</v>
      </c>
      <c r="EZ128" s="681">
        <v>0</v>
      </c>
      <c r="FA128" s="681">
        <v>0</v>
      </c>
      <c r="FB128" s="681">
        <v>0</v>
      </c>
      <c r="FC128" s="683">
        <v>0</v>
      </c>
      <c r="FD128" s="683">
        <v>0</v>
      </c>
      <c r="FE128" s="683">
        <v>1</v>
      </c>
      <c r="FF128" s="105"/>
      <c r="FH128" s="511"/>
      <c r="FI128" s="511"/>
      <c r="FJ128" s="511"/>
      <c r="FK128" s="511"/>
      <c r="FL128" s="512" t="s">
        <v>1236</v>
      </c>
      <c r="FM128" s="684"/>
      <c r="FN128" s="685">
        <v>0</v>
      </c>
      <c r="FO128" s="685">
        <v>1</v>
      </c>
      <c r="FP128" s="685">
        <v>0</v>
      </c>
      <c r="FQ128" s="685">
        <v>0</v>
      </c>
      <c r="FR128" s="684"/>
      <c r="FS128" s="685">
        <v>0</v>
      </c>
      <c r="FT128" s="685">
        <v>0</v>
      </c>
      <c r="FU128" s="685">
        <v>0</v>
      </c>
      <c r="FV128" s="685">
        <v>1</v>
      </c>
      <c r="FW128" s="685">
        <v>0</v>
      </c>
      <c r="FX128" s="685">
        <v>0</v>
      </c>
      <c r="FY128" s="685">
        <v>0</v>
      </c>
      <c r="FZ128" s="685">
        <v>0</v>
      </c>
      <c r="GA128" s="685">
        <v>0</v>
      </c>
      <c r="GB128" s="687">
        <v>0</v>
      </c>
      <c r="GC128" s="687">
        <v>0</v>
      </c>
      <c r="GD128" s="687">
        <v>2</v>
      </c>
      <c r="GE128" s="635"/>
      <c r="GF128" s="41"/>
      <c r="GG128" s="41"/>
      <c r="GH128" s="41"/>
      <c r="GI128" s="688" t="s">
        <v>844</v>
      </c>
      <c r="GJ128" s="457" t="s">
        <v>1233</v>
      </c>
      <c r="GK128" s="458">
        <v>1</v>
      </c>
      <c r="GL128" s="689"/>
      <c r="GM128" s="458">
        <v>0</v>
      </c>
      <c r="GN128" s="458">
        <v>0</v>
      </c>
      <c r="GO128" s="458">
        <v>0</v>
      </c>
      <c r="GP128" s="458">
        <v>0</v>
      </c>
      <c r="GQ128" s="689"/>
      <c r="GR128" s="689"/>
      <c r="GS128" s="689"/>
      <c r="GT128" s="689"/>
      <c r="GU128" s="458">
        <v>0</v>
      </c>
      <c r="GV128" s="689"/>
      <c r="GW128" s="689"/>
      <c r="GX128" s="458">
        <v>1</v>
      </c>
      <c r="GY128" s="690"/>
      <c r="GZ128" s="41"/>
      <c r="HA128" s="41"/>
      <c r="HB128" s="105"/>
      <c r="HC128" s="105"/>
      <c r="HD128" s="105"/>
      <c r="HE128" s="41" t="s">
        <v>1239</v>
      </c>
      <c r="HF128" s="41">
        <v>0</v>
      </c>
      <c r="HG128" s="41"/>
      <c r="HH128" s="41"/>
      <c r="HI128" s="41"/>
      <c r="HJ128" s="41"/>
      <c r="HK128" s="41"/>
      <c r="HL128" s="41">
        <v>0</v>
      </c>
      <c r="HM128" s="41">
        <v>0</v>
      </c>
      <c r="HN128" s="41">
        <v>0</v>
      </c>
      <c r="HO128" s="41">
        <v>0</v>
      </c>
      <c r="HP128" s="41">
        <v>0</v>
      </c>
      <c r="HQ128" s="41">
        <v>0</v>
      </c>
      <c r="HR128" s="41"/>
      <c r="HS128" s="41"/>
      <c r="HT128" s="41"/>
      <c r="HU128" s="41">
        <v>2</v>
      </c>
      <c r="HV128" s="41">
        <v>2</v>
      </c>
      <c r="HW128" s="41"/>
      <c r="HX128" s="41"/>
      <c r="HY128" s="691"/>
      <c r="HZ128" s="691"/>
      <c r="IA128" s="691"/>
      <c r="IB128" s="691" t="s">
        <v>1235</v>
      </c>
      <c r="IC128" s="691">
        <v>0</v>
      </c>
      <c r="ID128" s="691">
        <v>0</v>
      </c>
      <c r="IE128" s="691">
        <v>0</v>
      </c>
      <c r="IF128" s="691">
        <v>0</v>
      </c>
      <c r="IG128" s="691">
        <v>0</v>
      </c>
      <c r="IH128" s="691">
        <v>1</v>
      </c>
      <c r="II128" s="691">
        <v>0</v>
      </c>
      <c r="IJ128" s="691">
        <v>0</v>
      </c>
      <c r="IK128" s="691">
        <v>0</v>
      </c>
      <c r="IL128" s="691">
        <v>0</v>
      </c>
      <c r="IM128" s="691">
        <v>0</v>
      </c>
      <c r="IN128" s="691">
        <v>0</v>
      </c>
      <c r="IO128" s="691">
        <v>0</v>
      </c>
      <c r="IP128" s="691">
        <v>0</v>
      </c>
      <c r="IQ128" s="691">
        <v>0</v>
      </c>
      <c r="IR128" s="691">
        <v>0</v>
      </c>
      <c r="IS128" s="691">
        <v>1</v>
      </c>
      <c r="IT128" s="691"/>
      <c r="IU128" s="692"/>
    </row>
    <row r="129" spans="1:255">
      <c r="C129" s="32"/>
      <c r="D129" s="32" t="s">
        <v>1231</v>
      </c>
      <c r="E129" s="4607"/>
      <c r="F129" s="4607"/>
      <c r="G129" s="4607"/>
      <c r="H129" s="4607"/>
      <c r="I129" s="4607"/>
      <c r="J129" s="4607"/>
      <c r="K129" s="4607"/>
      <c r="L129" s="4607">
        <v>0</v>
      </c>
      <c r="M129" s="4607"/>
      <c r="N129" s="4607">
        <v>1</v>
      </c>
      <c r="O129" s="4607">
        <v>1</v>
      </c>
      <c r="P129" s="4607">
        <v>1</v>
      </c>
      <c r="Q129" s="4607">
        <v>1</v>
      </c>
      <c r="R129" s="4607">
        <v>0</v>
      </c>
      <c r="S129" s="4583">
        <v>0</v>
      </c>
      <c r="T129" s="4583">
        <v>0</v>
      </c>
      <c r="U129" s="4583">
        <v>4</v>
      </c>
      <c r="V129" s="4583"/>
      <c r="Z129" s="1793"/>
      <c r="AA129" s="1793" t="s">
        <v>1231</v>
      </c>
      <c r="AB129" s="4804">
        <v>0</v>
      </c>
      <c r="AC129" s="4804"/>
      <c r="AD129" s="4804"/>
      <c r="AE129" s="4804"/>
      <c r="AF129" s="4804"/>
      <c r="AG129" s="4804"/>
      <c r="AH129" s="4804"/>
      <c r="AI129" s="4804">
        <v>0</v>
      </c>
      <c r="AJ129" s="4804"/>
      <c r="AK129" s="4804">
        <v>1</v>
      </c>
      <c r="AL129" s="4804">
        <v>1</v>
      </c>
      <c r="AM129" s="4804">
        <v>1</v>
      </c>
      <c r="AN129" s="4804">
        <v>1</v>
      </c>
      <c r="AO129" s="4804">
        <v>0</v>
      </c>
      <c r="AP129" s="4702">
        <v>0</v>
      </c>
      <c r="AQ129" s="4702">
        <v>4</v>
      </c>
      <c r="AR129" s="1793"/>
      <c r="AT129" s="41"/>
      <c r="AU129" s="41"/>
      <c r="AV129" s="41"/>
      <c r="AW129" s="461" t="s">
        <v>15</v>
      </c>
      <c r="AX129" s="2489"/>
      <c r="AY129" s="2489"/>
      <c r="AZ129" s="2489"/>
      <c r="BA129" s="2489"/>
      <c r="BB129" s="2489"/>
      <c r="BC129" s="2489"/>
      <c r="BD129" s="2489"/>
      <c r="BE129" s="2489"/>
      <c r="BF129" s="2489"/>
      <c r="BG129" s="2489"/>
      <c r="BH129" s="2489"/>
      <c r="BI129" s="2489"/>
      <c r="BJ129" s="2489">
        <v>6</v>
      </c>
      <c r="BK129" s="2489">
        <v>1</v>
      </c>
      <c r="BL129" s="2489"/>
      <c r="BM129" s="461">
        <v>1</v>
      </c>
      <c r="BN129" s="461"/>
      <c r="BO129" s="461">
        <v>8</v>
      </c>
      <c r="BP129" s="635">
        <f>+(BO128+BO126)/BO129</f>
        <v>0.375</v>
      </c>
      <c r="BQ129" s="1977"/>
      <c r="BR129" s="41"/>
      <c r="BS129" s="41"/>
      <c r="BT129" s="41"/>
      <c r="BU129" s="41" t="s">
        <v>1236</v>
      </c>
      <c r="BV129" s="2001"/>
      <c r="BW129" s="2001"/>
      <c r="BX129" s="2001"/>
      <c r="BY129" s="2001"/>
      <c r="BZ129" s="2001"/>
      <c r="CA129" s="2001"/>
      <c r="CB129" s="2001"/>
      <c r="CC129" s="2001"/>
      <c r="CD129" s="2001">
        <v>0</v>
      </c>
      <c r="CE129" s="2001">
        <v>1</v>
      </c>
      <c r="CF129" s="2001">
        <v>0</v>
      </c>
      <c r="CG129" s="2001">
        <v>0</v>
      </c>
      <c r="CH129" s="2001">
        <v>0</v>
      </c>
      <c r="CI129" s="2001">
        <v>0</v>
      </c>
      <c r="CJ129" s="2001"/>
      <c r="CK129" s="105"/>
      <c r="CL129" s="105"/>
      <c r="CM129" s="105">
        <v>1</v>
      </c>
      <c r="CN129" s="41"/>
      <c r="CR129" s="41"/>
      <c r="CS129" s="41" t="s">
        <v>1940</v>
      </c>
      <c r="CT129" s="1665">
        <v>1</v>
      </c>
      <c r="CU129" s="1665">
        <v>0</v>
      </c>
      <c r="CV129" s="1665">
        <v>0</v>
      </c>
      <c r="CW129" s="1665"/>
      <c r="CX129" s="1665"/>
      <c r="CY129" s="1665"/>
      <c r="CZ129" s="1665"/>
      <c r="DA129" s="1665">
        <v>0</v>
      </c>
      <c r="DB129" s="1665">
        <v>0</v>
      </c>
      <c r="DC129" s="1665"/>
      <c r="DD129" s="1665"/>
      <c r="DE129" s="1665">
        <v>0</v>
      </c>
      <c r="DF129" s="1665">
        <v>0</v>
      </c>
      <c r="DG129" s="1665">
        <v>0</v>
      </c>
      <c r="DH129" s="1665">
        <v>0</v>
      </c>
      <c r="DI129" s="41">
        <v>0</v>
      </c>
      <c r="DJ129" s="41">
        <v>0</v>
      </c>
      <c r="DK129" s="41">
        <v>1</v>
      </c>
      <c r="DL129" s="41"/>
      <c r="DN129" s="1375"/>
      <c r="DO129" s="1375"/>
      <c r="DP129" s="1375"/>
      <c r="DQ129" s="1376" t="s">
        <v>1240</v>
      </c>
      <c r="DR129" s="1377"/>
      <c r="DS129" s="1378">
        <v>0</v>
      </c>
      <c r="DT129" s="1377"/>
      <c r="DU129" s="1378">
        <v>0</v>
      </c>
      <c r="DV129" s="1378">
        <v>0</v>
      </c>
      <c r="DW129" s="1377"/>
      <c r="DX129" s="1377"/>
      <c r="DY129" s="1378">
        <v>0</v>
      </c>
      <c r="DZ129" s="1378">
        <v>0</v>
      </c>
      <c r="EA129" s="1378">
        <v>1</v>
      </c>
      <c r="EB129" s="1378">
        <v>2</v>
      </c>
      <c r="EC129" s="1378">
        <v>0</v>
      </c>
      <c r="ED129" s="1378">
        <v>0</v>
      </c>
      <c r="EE129" s="1380">
        <v>0</v>
      </c>
      <c r="EF129" s="1380">
        <v>0</v>
      </c>
      <c r="EG129" s="1380">
        <v>3</v>
      </c>
      <c r="EH129" s="41"/>
      <c r="EJ129" s="678"/>
      <c r="EK129" s="678"/>
      <c r="EL129" s="678"/>
      <c r="EM129" s="679" t="s">
        <v>1235</v>
      </c>
      <c r="EN129" s="680"/>
      <c r="EO129" s="681">
        <v>0</v>
      </c>
      <c r="EP129" s="681">
        <v>0</v>
      </c>
      <c r="EQ129" s="681">
        <v>0</v>
      </c>
      <c r="ER129" s="681">
        <v>0</v>
      </c>
      <c r="ES129" s="681">
        <v>0</v>
      </c>
      <c r="ET129" s="681">
        <v>1</v>
      </c>
      <c r="EU129" s="681">
        <v>2</v>
      </c>
      <c r="EV129" s="681">
        <v>1</v>
      </c>
      <c r="EW129" s="681">
        <v>0</v>
      </c>
      <c r="EX129" s="681">
        <v>0</v>
      </c>
      <c r="EY129" s="681">
        <v>2</v>
      </c>
      <c r="EZ129" s="681">
        <v>7</v>
      </c>
      <c r="FA129" s="681">
        <v>25</v>
      </c>
      <c r="FB129" s="681">
        <v>1</v>
      </c>
      <c r="FC129" s="683">
        <v>0</v>
      </c>
      <c r="FD129" s="683">
        <v>0</v>
      </c>
      <c r="FE129" s="683">
        <v>39</v>
      </c>
      <c r="FF129" s="105"/>
      <c r="FH129" s="511"/>
      <c r="FI129" s="511"/>
      <c r="FJ129" s="511"/>
      <c r="FK129" s="511"/>
      <c r="FL129" s="512" t="s">
        <v>1239</v>
      </c>
      <c r="FM129" s="684"/>
      <c r="FN129" s="685">
        <v>0</v>
      </c>
      <c r="FO129" s="685">
        <v>0</v>
      </c>
      <c r="FP129" s="685">
        <v>0</v>
      </c>
      <c r="FQ129" s="685">
        <v>0</v>
      </c>
      <c r="FR129" s="684"/>
      <c r="FS129" s="685">
        <v>0</v>
      </c>
      <c r="FT129" s="685">
        <v>0</v>
      </c>
      <c r="FU129" s="685">
        <v>0</v>
      </c>
      <c r="FV129" s="685">
        <v>0</v>
      </c>
      <c r="FW129" s="685">
        <v>0</v>
      </c>
      <c r="FX129" s="685">
        <v>0</v>
      </c>
      <c r="FY129" s="685">
        <v>1</v>
      </c>
      <c r="FZ129" s="685">
        <v>1</v>
      </c>
      <c r="GA129" s="685">
        <v>43</v>
      </c>
      <c r="GB129" s="687">
        <v>4</v>
      </c>
      <c r="GC129" s="687">
        <v>12</v>
      </c>
      <c r="GD129" s="687">
        <v>61</v>
      </c>
      <c r="GE129" s="635"/>
      <c r="GF129" s="41"/>
      <c r="GG129" s="41"/>
      <c r="GH129" s="41"/>
      <c r="GI129" s="688"/>
      <c r="GJ129" s="457" t="s">
        <v>1236</v>
      </c>
      <c r="GK129" s="458">
        <v>0</v>
      </c>
      <c r="GL129" s="689"/>
      <c r="GM129" s="458">
        <v>6</v>
      </c>
      <c r="GN129" s="458">
        <v>2</v>
      </c>
      <c r="GO129" s="458">
        <v>2</v>
      </c>
      <c r="GP129" s="458">
        <v>0</v>
      </c>
      <c r="GQ129" s="689"/>
      <c r="GR129" s="689"/>
      <c r="GS129" s="689"/>
      <c r="GT129" s="689"/>
      <c r="GU129" s="458">
        <v>0</v>
      </c>
      <c r="GV129" s="689"/>
      <c r="GW129" s="689"/>
      <c r="GX129" s="458">
        <v>10</v>
      </c>
      <c r="GY129" s="690"/>
      <c r="GZ129" s="41"/>
      <c r="HA129" s="41"/>
      <c r="HB129" s="105"/>
      <c r="HC129" s="105"/>
      <c r="HD129" s="105"/>
      <c r="HE129" s="41" t="s">
        <v>1240</v>
      </c>
      <c r="HF129" s="41">
        <v>0</v>
      </c>
      <c r="HG129" s="41"/>
      <c r="HH129" s="41"/>
      <c r="HI129" s="41"/>
      <c r="HJ129" s="41"/>
      <c r="HK129" s="41"/>
      <c r="HL129" s="41">
        <v>0</v>
      </c>
      <c r="HM129" s="41">
        <v>0</v>
      </c>
      <c r="HN129" s="41">
        <v>2</v>
      </c>
      <c r="HO129" s="41">
        <v>0</v>
      </c>
      <c r="HP129" s="41">
        <v>0</v>
      </c>
      <c r="HQ129" s="41">
        <v>0</v>
      </c>
      <c r="HR129" s="41"/>
      <c r="HS129" s="41"/>
      <c r="HT129" s="41"/>
      <c r="HU129" s="41">
        <v>0</v>
      </c>
      <c r="HV129" s="41">
        <v>2</v>
      </c>
      <c r="HW129" s="41"/>
      <c r="HX129" s="41"/>
      <c r="HY129" s="691"/>
      <c r="HZ129" s="691"/>
      <c r="IA129" s="691"/>
      <c r="IB129" s="691" t="s">
        <v>1236</v>
      </c>
      <c r="IC129" s="691">
        <v>0</v>
      </c>
      <c r="ID129" s="691">
        <v>0</v>
      </c>
      <c r="IE129" s="691">
        <v>0</v>
      </c>
      <c r="IF129" s="691">
        <v>0</v>
      </c>
      <c r="IG129" s="691">
        <v>2</v>
      </c>
      <c r="IH129" s="691">
        <v>0</v>
      </c>
      <c r="II129" s="691">
        <v>0</v>
      </c>
      <c r="IJ129" s="691">
        <v>0</v>
      </c>
      <c r="IK129" s="691">
        <v>1</v>
      </c>
      <c r="IL129" s="691">
        <v>0</v>
      </c>
      <c r="IM129" s="691">
        <v>0</v>
      </c>
      <c r="IN129" s="691">
        <v>0</v>
      </c>
      <c r="IO129" s="691">
        <v>0</v>
      </c>
      <c r="IP129" s="691">
        <v>0</v>
      </c>
      <c r="IQ129" s="691">
        <v>0</v>
      </c>
      <c r="IR129" s="691">
        <v>0</v>
      </c>
      <c r="IS129" s="691">
        <v>3</v>
      </c>
      <c r="IT129" s="691"/>
      <c r="IU129" s="692"/>
    </row>
    <row r="130" spans="1:255">
      <c r="C130" s="32"/>
      <c r="D130" s="32" t="s">
        <v>1235</v>
      </c>
      <c r="E130" s="4607"/>
      <c r="F130" s="4607"/>
      <c r="G130" s="4607"/>
      <c r="H130" s="4607"/>
      <c r="I130" s="4607"/>
      <c r="J130" s="4607"/>
      <c r="K130" s="4607"/>
      <c r="L130" s="4607">
        <v>0</v>
      </c>
      <c r="M130" s="4607"/>
      <c r="N130" s="4607">
        <v>0</v>
      </c>
      <c r="O130" s="4607">
        <v>0</v>
      </c>
      <c r="P130" s="4607">
        <v>2</v>
      </c>
      <c r="Q130" s="4607">
        <v>4</v>
      </c>
      <c r="R130" s="4607">
        <v>0</v>
      </c>
      <c r="S130" s="4583">
        <v>0</v>
      </c>
      <c r="T130" s="4583">
        <v>0</v>
      </c>
      <c r="U130" s="4583">
        <v>6</v>
      </c>
      <c r="V130" s="4583"/>
      <c r="Z130" s="1793"/>
      <c r="AA130" s="1793" t="s">
        <v>1235</v>
      </c>
      <c r="AB130" s="4804">
        <v>0</v>
      </c>
      <c r="AC130" s="4804"/>
      <c r="AD130" s="4804"/>
      <c r="AE130" s="4804"/>
      <c r="AF130" s="4804"/>
      <c r="AG130" s="4804"/>
      <c r="AH130" s="4804"/>
      <c r="AI130" s="4804">
        <v>0</v>
      </c>
      <c r="AJ130" s="4804"/>
      <c r="AK130" s="4804">
        <v>0</v>
      </c>
      <c r="AL130" s="4804">
        <v>0</v>
      </c>
      <c r="AM130" s="4804">
        <v>5</v>
      </c>
      <c r="AN130" s="4804">
        <v>3</v>
      </c>
      <c r="AO130" s="4804">
        <v>1</v>
      </c>
      <c r="AP130" s="4702">
        <v>0</v>
      </c>
      <c r="AQ130" s="4702">
        <v>9</v>
      </c>
      <c r="AR130" s="1793"/>
      <c r="AT130" s="41"/>
      <c r="AU130" s="41"/>
      <c r="AV130" s="461" t="s">
        <v>545</v>
      </c>
      <c r="AW130" s="461" t="s">
        <v>1231</v>
      </c>
      <c r="AX130" s="2489"/>
      <c r="AY130" s="2489">
        <v>0</v>
      </c>
      <c r="AZ130" s="2489"/>
      <c r="BA130" s="2489">
        <v>1</v>
      </c>
      <c r="BB130" s="2489"/>
      <c r="BC130" s="2489">
        <v>1</v>
      </c>
      <c r="BD130" s="2489">
        <v>0</v>
      </c>
      <c r="BE130" s="2489"/>
      <c r="BF130" s="2489"/>
      <c r="BG130" s="2489">
        <v>1</v>
      </c>
      <c r="BH130" s="2489">
        <v>0</v>
      </c>
      <c r="BI130" s="2489">
        <v>1</v>
      </c>
      <c r="BJ130" s="2489">
        <v>6</v>
      </c>
      <c r="BK130" s="2489">
        <v>10</v>
      </c>
      <c r="BL130" s="2489">
        <v>0</v>
      </c>
      <c r="BM130" s="461">
        <v>1</v>
      </c>
      <c r="BN130" s="461"/>
      <c r="BO130" s="461">
        <v>21</v>
      </c>
      <c r="BP130" s="41"/>
      <c r="BR130" s="41"/>
      <c r="BS130" s="41"/>
      <c r="BT130" s="41"/>
      <c r="BU130" s="41" t="s">
        <v>1240</v>
      </c>
      <c r="BV130" s="2001"/>
      <c r="BW130" s="2001"/>
      <c r="BX130" s="2001"/>
      <c r="BY130" s="2001"/>
      <c r="BZ130" s="2001"/>
      <c r="CA130" s="2001"/>
      <c r="CB130" s="2001"/>
      <c r="CC130" s="2001"/>
      <c r="CD130" s="2001">
        <v>0</v>
      </c>
      <c r="CE130" s="2001">
        <v>1</v>
      </c>
      <c r="CF130" s="2001">
        <v>0</v>
      </c>
      <c r="CG130" s="2001">
        <v>0</v>
      </c>
      <c r="CH130" s="2001">
        <v>1</v>
      </c>
      <c r="CI130" s="2001">
        <v>0</v>
      </c>
      <c r="CJ130" s="2001"/>
      <c r="CK130" s="105"/>
      <c r="CL130" s="105"/>
      <c r="CM130" s="105">
        <v>2</v>
      </c>
      <c r="CN130" s="41"/>
      <c r="CR130" s="41"/>
      <c r="CS130" s="461" t="s">
        <v>15</v>
      </c>
      <c r="CT130" s="1666">
        <v>1</v>
      </c>
      <c r="CU130" s="1666">
        <v>1</v>
      </c>
      <c r="CV130" s="1666">
        <v>1</v>
      </c>
      <c r="CW130" s="1666"/>
      <c r="CX130" s="1666"/>
      <c r="CY130" s="1666"/>
      <c r="CZ130" s="1666"/>
      <c r="DA130" s="1666">
        <v>1</v>
      </c>
      <c r="DB130" s="1666">
        <v>1</v>
      </c>
      <c r="DC130" s="1666"/>
      <c r="DD130" s="1666"/>
      <c r="DE130" s="1666">
        <v>2</v>
      </c>
      <c r="DF130" s="1666">
        <v>6</v>
      </c>
      <c r="DG130" s="1666">
        <v>11</v>
      </c>
      <c r="DH130" s="1666">
        <v>19</v>
      </c>
      <c r="DI130" s="461">
        <v>5</v>
      </c>
      <c r="DJ130" s="461">
        <v>10</v>
      </c>
      <c r="DK130" s="461">
        <v>58</v>
      </c>
      <c r="DL130" s="635">
        <f>+(DK126+DK128-DI126)/(DK130-DK129)</f>
        <v>0.22807017543859648</v>
      </c>
      <c r="DN130" s="1375"/>
      <c r="DO130" s="1375"/>
      <c r="DP130" s="1375"/>
      <c r="DQ130" s="1376" t="s">
        <v>1344</v>
      </c>
      <c r="DR130" s="1377"/>
      <c r="DS130" s="1378">
        <v>0</v>
      </c>
      <c r="DT130" s="1377"/>
      <c r="DU130" s="1378">
        <v>0</v>
      </c>
      <c r="DV130" s="1378">
        <v>0</v>
      </c>
      <c r="DW130" s="1377"/>
      <c r="DX130" s="1377"/>
      <c r="DY130" s="1378">
        <v>2</v>
      </c>
      <c r="DZ130" s="1378">
        <v>0</v>
      </c>
      <c r="EA130" s="1378">
        <v>0</v>
      </c>
      <c r="EB130" s="1378">
        <v>5</v>
      </c>
      <c r="EC130" s="1378">
        <v>2</v>
      </c>
      <c r="ED130" s="1378">
        <v>0</v>
      </c>
      <c r="EE130" s="1380">
        <v>0</v>
      </c>
      <c r="EF130" s="1380">
        <v>0</v>
      </c>
      <c r="EG130" s="1380">
        <v>9</v>
      </c>
      <c r="EH130" s="41"/>
      <c r="EJ130" s="678"/>
      <c r="EK130" s="678"/>
      <c r="EL130" s="678"/>
      <c r="EM130" s="679" t="s">
        <v>1236</v>
      </c>
      <c r="EN130" s="680"/>
      <c r="EO130" s="681">
        <v>0</v>
      </c>
      <c r="EP130" s="681">
        <v>1</v>
      </c>
      <c r="EQ130" s="681">
        <v>1</v>
      </c>
      <c r="ER130" s="681">
        <v>1</v>
      </c>
      <c r="ES130" s="681">
        <v>0</v>
      </c>
      <c r="ET130" s="681">
        <v>0</v>
      </c>
      <c r="EU130" s="681">
        <v>0</v>
      </c>
      <c r="EV130" s="681">
        <v>0</v>
      </c>
      <c r="EW130" s="681">
        <v>0</v>
      </c>
      <c r="EX130" s="681">
        <v>0</v>
      </c>
      <c r="EY130" s="681">
        <v>0</v>
      </c>
      <c r="EZ130" s="681">
        <v>0</v>
      </c>
      <c r="FA130" s="681">
        <v>0</v>
      </c>
      <c r="FB130" s="681">
        <v>0</v>
      </c>
      <c r="FC130" s="683">
        <v>0</v>
      </c>
      <c r="FD130" s="683">
        <v>0</v>
      </c>
      <c r="FE130" s="683">
        <v>3</v>
      </c>
      <c r="FF130" s="105"/>
      <c r="FH130" s="511"/>
      <c r="FI130" s="511"/>
      <c r="FJ130" s="511"/>
      <c r="FK130" s="511"/>
      <c r="FL130" s="512" t="s">
        <v>1344</v>
      </c>
      <c r="FM130" s="684"/>
      <c r="FN130" s="685">
        <v>0</v>
      </c>
      <c r="FO130" s="685">
        <v>0</v>
      </c>
      <c r="FP130" s="685">
        <v>0</v>
      </c>
      <c r="FQ130" s="685">
        <v>0</v>
      </c>
      <c r="FR130" s="684"/>
      <c r="FS130" s="685">
        <v>0</v>
      </c>
      <c r="FT130" s="685">
        <v>0</v>
      </c>
      <c r="FU130" s="685">
        <v>1</v>
      </c>
      <c r="FV130" s="685">
        <v>1</v>
      </c>
      <c r="FW130" s="685">
        <v>2</v>
      </c>
      <c r="FX130" s="685">
        <v>3</v>
      </c>
      <c r="FY130" s="685">
        <v>12</v>
      </c>
      <c r="FZ130" s="685">
        <v>2</v>
      </c>
      <c r="GA130" s="685">
        <v>3</v>
      </c>
      <c r="GB130" s="687">
        <v>0</v>
      </c>
      <c r="GC130" s="687">
        <v>0</v>
      </c>
      <c r="GD130" s="687">
        <v>24</v>
      </c>
      <c r="GE130" s="635"/>
      <c r="GF130" s="41"/>
      <c r="GG130" s="41"/>
      <c r="GH130" s="41"/>
      <c r="GI130" s="688"/>
      <c r="GJ130" s="457" t="s">
        <v>1239</v>
      </c>
      <c r="GK130" s="458">
        <v>0</v>
      </c>
      <c r="GL130" s="689"/>
      <c r="GM130" s="458">
        <v>0</v>
      </c>
      <c r="GN130" s="458">
        <v>0</v>
      </c>
      <c r="GO130" s="458">
        <v>1</v>
      </c>
      <c r="GP130" s="458">
        <v>1</v>
      </c>
      <c r="GQ130" s="689"/>
      <c r="GR130" s="689"/>
      <c r="GS130" s="689"/>
      <c r="GT130" s="689"/>
      <c r="GU130" s="458">
        <v>1</v>
      </c>
      <c r="GV130" s="689"/>
      <c r="GW130" s="689"/>
      <c r="GX130" s="458">
        <v>3</v>
      </c>
      <c r="GY130" s="690"/>
      <c r="GZ130" s="41"/>
      <c r="HA130" s="41"/>
      <c r="HB130" s="105"/>
      <c r="HC130" s="105"/>
      <c r="HD130" s="105"/>
      <c r="HE130" s="41" t="s">
        <v>1344</v>
      </c>
      <c r="HF130" s="41">
        <v>0</v>
      </c>
      <c r="HG130" s="41"/>
      <c r="HH130" s="41"/>
      <c r="HI130" s="41"/>
      <c r="HJ130" s="41"/>
      <c r="HK130" s="41"/>
      <c r="HL130" s="41">
        <v>1</v>
      </c>
      <c r="HM130" s="41">
        <v>0</v>
      </c>
      <c r="HN130" s="41">
        <v>2</v>
      </c>
      <c r="HO130" s="41">
        <v>0</v>
      </c>
      <c r="HP130" s="41">
        <v>0</v>
      </c>
      <c r="HQ130" s="41">
        <v>0</v>
      </c>
      <c r="HR130" s="41"/>
      <c r="HS130" s="41"/>
      <c r="HT130" s="41"/>
      <c r="HU130" s="41">
        <v>0</v>
      </c>
      <c r="HV130" s="41">
        <v>3</v>
      </c>
      <c r="HW130" s="41"/>
      <c r="HX130" s="41"/>
      <c r="HY130" s="691"/>
      <c r="HZ130" s="691"/>
      <c r="IA130" s="691"/>
      <c r="IB130" s="702" t="s">
        <v>15</v>
      </c>
      <c r="IC130" s="702">
        <v>0</v>
      </c>
      <c r="ID130" s="702">
        <v>0</v>
      </c>
      <c r="IE130" s="702">
        <v>0</v>
      </c>
      <c r="IF130" s="702">
        <v>0</v>
      </c>
      <c r="IG130" s="702">
        <v>2</v>
      </c>
      <c r="IH130" s="702">
        <v>2</v>
      </c>
      <c r="II130" s="702">
        <v>0</v>
      </c>
      <c r="IJ130" s="702">
        <v>0</v>
      </c>
      <c r="IK130" s="702">
        <v>1</v>
      </c>
      <c r="IL130" s="702">
        <v>0</v>
      </c>
      <c r="IM130" s="702">
        <v>0</v>
      </c>
      <c r="IN130" s="702">
        <v>0</v>
      </c>
      <c r="IO130" s="702">
        <v>0</v>
      </c>
      <c r="IP130" s="702">
        <v>0</v>
      </c>
      <c r="IQ130" s="702">
        <v>0</v>
      </c>
      <c r="IR130" s="702">
        <v>0</v>
      </c>
      <c r="IS130" s="702">
        <v>5</v>
      </c>
      <c r="IT130" s="703">
        <f>+IS128/IS130</f>
        <v>0.2</v>
      </c>
      <c r="IU130" s="692">
        <f>+IS128</f>
        <v>1</v>
      </c>
    </row>
    <row r="131" spans="1:255">
      <c r="C131" s="32"/>
      <c r="D131" s="32" t="s">
        <v>1236</v>
      </c>
      <c r="E131" s="4607"/>
      <c r="F131" s="4607"/>
      <c r="G131" s="4607"/>
      <c r="H131" s="4607"/>
      <c r="I131" s="4607"/>
      <c r="J131" s="4607"/>
      <c r="K131" s="4607"/>
      <c r="L131" s="4607">
        <v>1</v>
      </c>
      <c r="M131" s="4607"/>
      <c r="N131" s="4607">
        <v>0</v>
      </c>
      <c r="O131" s="4607">
        <v>0</v>
      </c>
      <c r="P131" s="4607">
        <v>0</v>
      </c>
      <c r="Q131" s="4607">
        <v>0</v>
      </c>
      <c r="R131" s="4607">
        <v>0</v>
      </c>
      <c r="S131" s="4583">
        <v>0</v>
      </c>
      <c r="T131" s="4583">
        <v>0</v>
      </c>
      <c r="U131" s="4583">
        <v>1</v>
      </c>
      <c r="V131" s="4583"/>
      <c r="Z131" s="1793"/>
      <c r="AA131" s="1793" t="s">
        <v>1236</v>
      </c>
      <c r="AB131" s="4804">
        <v>0</v>
      </c>
      <c r="AC131" s="4804"/>
      <c r="AD131" s="4804"/>
      <c r="AE131" s="4804"/>
      <c r="AF131" s="4804"/>
      <c r="AG131" s="4804"/>
      <c r="AH131" s="4804"/>
      <c r="AI131" s="4804">
        <v>1</v>
      </c>
      <c r="AJ131" s="4804"/>
      <c r="AK131" s="4804">
        <v>0</v>
      </c>
      <c r="AL131" s="4804">
        <v>0</v>
      </c>
      <c r="AM131" s="4804">
        <v>0</v>
      </c>
      <c r="AN131" s="4804">
        <v>0</v>
      </c>
      <c r="AO131" s="4804">
        <v>0</v>
      </c>
      <c r="AP131" s="4702">
        <v>0</v>
      </c>
      <c r="AQ131" s="4702">
        <v>1</v>
      </c>
      <c r="AR131" s="1793"/>
      <c r="AT131" s="41"/>
      <c r="AU131" s="41"/>
      <c r="AV131" s="461"/>
      <c r="AW131" s="461" t="s">
        <v>1233</v>
      </c>
      <c r="AX131" s="2489"/>
      <c r="AY131" s="2489">
        <v>1</v>
      </c>
      <c r="AZ131" s="2489"/>
      <c r="BA131" s="2489">
        <v>1</v>
      </c>
      <c r="BB131" s="2489"/>
      <c r="BC131" s="2489">
        <v>0</v>
      </c>
      <c r="BD131" s="2489">
        <v>1</v>
      </c>
      <c r="BE131" s="2489"/>
      <c r="BF131" s="2489"/>
      <c r="BG131" s="2489">
        <v>0</v>
      </c>
      <c r="BH131" s="2489">
        <v>0</v>
      </c>
      <c r="BI131" s="2489">
        <v>0</v>
      </c>
      <c r="BJ131" s="2489">
        <v>0</v>
      </c>
      <c r="BK131" s="2489">
        <v>0</v>
      </c>
      <c r="BL131" s="2489">
        <v>0</v>
      </c>
      <c r="BM131" s="461">
        <v>0</v>
      </c>
      <c r="BN131" s="461"/>
      <c r="BO131" s="461">
        <v>3</v>
      </c>
      <c r="BP131" s="41"/>
      <c r="BR131" s="41"/>
      <c r="BS131" s="41"/>
      <c r="BT131" s="41"/>
      <c r="BU131" s="41" t="s">
        <v>1344</v>
      </c>
      <c r="BV131" s="2001"/>
      <c r="BW131" s="2001"/>
      <c r="BX131" s="2001"/>
      <c r="BY131" s="2001"/>
      <c r="BZ131" s="2001"/>
      <c r="CA131" s="2001"/>
      <c r="CB131" s="2001"/>
      <c r="CC131" s="2001"/>
      <c r="CD131" s="2001">
        <v>1</v>
      </c>
      <c r="CE131" s="2001">
        <v>0</v>
      </c>
      <c r="CF131" s="2001">
        <v>0</v>
      </c>
      <c r="CG131" s="2001">
        <v>0</v>
      </c>
      <c r="CH131" s="2001">
        <v>0</v>
      </c>
      <c r="CI131" s="2001">
        <v>0</v>
      </c>
      <c r="CJ131" s="2001"/>
      <c r="CK131" s="105"/>
      <c r="CL131" s="105"/>
      <c r="CM131" s="105">
        <v>1</v>
      </c>
      <c r="CN131" s="41"/>
      <c r="CR131" s="41" t="s">
        <v>110</v>
      </c>
      <c r="CS131" s="41" t="s">
        <v>1230</v>
      </c>
      <c r="CT131" s="1665">
        <v>0</v>
      </c>
      <c r="CU131" s="1665">
        <v>0</v>
      </c>
      <c r="CV131" s="1665">
        <v>0</v>
      </c>
      <c r="CW131" s="1665">
        <v>0</v>
      </c>
      <c r="CX131" s="1665"/>
      <c r="CY131" s="1665">
        <v>0</v>
      </c>
      <c r="CZ131" s="1665"/>
      <c r="DA131" s="1665">
        <v>0</v>
      </c>
      <c r="DB131" s="1665">
        <v>0</v>
      </c>
      <c r="DC131" s="1665">
        <v>0</v>
      </c>
      <c r="DD131" s="1665">
        <v>0</v>
      </c>
      <c r="DE131" s="1665">
        <v>0</v>
      </c>
      <c r="DF131" s="1665">
        <v>0</v>
      </c>
      <c r="DG131" s="1665">
        <v>0</v>
      </c>
      <c r="DH131" s="1665">
        <v>3</v>
      </c>
      <c r="DI131" s="41">
        <v>0</v>
      </c>
      <c r="DJ131" s="41">
        <v>2</v>
      </c>
      <c r="DK131" s="41">
        <v>5</v>
      </c>
      <c r="DL131" s="41"/>
      <c r="DN131" s="1375"/>
      <c r="DO131" s="1375"/>
      <c r="DP131" s="1375"/>
      <c r="DQ131" s="1372" t="s">
        <v>15</v>
      </c>
      <c r="DR131" s="1381"/>
      <c r="DS131" s="1382">
        <v>3</v>
      </c>
      <c r="DT131" s="1381"/>
      <c r="DU131" s="1382">
        <v>1</v>
      </c>
      <c r="DV131" s="1382">
        <v>1</v>
      </c>
      <c r="DW131" s="1381"/>
      <c r="DX131" s="1381"/>
      <c r="DY131" s="1382">
        <v>3</v>
      </c>
      <c r="DZ131" s="1382">
        <v>2</v>
      </c>
      <c r="EA131" s="1382">
        <v>3</v>
      </c>
      <c r="EB131" s="1382">
        <v>23</v>
      </c>
      <c r="EC131" s="1382">
        <v>10</v>
      </c>
      <c r="ED131" s="1382">
        <v>1</v>
      </c>
      <c r="EE131" s="1384">
        <v>1</v>
      </c>
      <c r="EF131" s="1384">
        <v>1</v>
      </c>
      <c r="EG131" s="1384">
        <v>49</v>
      </c>
      <c r="EH131" s="1325">
        <f>+(EG127+EG129+EG130)/EG131</f>
        <v>0.34693877551020408</v>
      </c>
      <c r="EJ131" s="678"/>
      <c r="EK131" s="678"/>
      <c r="EL131" s="678"/>
      <c r="EM131" s="679" t="s">
        <v>1239</v>
      </c>
      <c r="EN131" s="680"/>
      <c r="EO131" s="681">
        <v>0</v>
      </c>
      <c r="EP131" s="681">
        <v>0</v>
      </c>
      <c r="EQ131" s="681">
        <v>0</v>
      </c>
      <c r="ER131" s="681">
        <v>0</v>
      </c>
      <c r="ES131" s="681">
        <v>0</v>
      </c>
      <c r="ET131" s="681">
        <v>0</v>
      </c>
      <c r="EU131" s="681">
        <v>0</v>
      </c>
      <c r="EV131" s="681">
        <v>0</v>
      </c>
      <c r="EW131" s="681">
        <v>0</v>
      </c>
      <c r="EX131" s="681">
        <v>0</v>
      </c>
      <c r="EY131" s="681">
        <v>0</v>
      </c>
      <c r="EZ131" s="681">
        <v>0</v>
      </c>
      <c r="FA131" s="681">
        <v>3</v>
      </c>
      <c r="FB131" s="681">
        <v>45</v>
      </c>
      <c r="FC131" s="683">
        <v>7</v>
      </c>
      <c r="FD131" s="683">
        <v>27</v>
      </c>
      <c r="FE131" s="683">
        <v>82</v>
      </c>
      <c r="FF131" s="105"/>
      <c r="FH131" s="511"/>
      <c r="FI131" s="511"/>
      <c r="FJ131" s="511"/>
      <c r="FK131" s="41"/>
      <c r="FL131" s="532" t="s">
        <v>110</v>
      </c>
      <c r="FM131" s="693"/>
      <c r="FN131" s="694">
        <v>1</v>
      </c>
      <c r="FO131" s="694">
        <v>3</v>
      </c>
      <c r="FP131" s="694">
        <v>1</v>
      </c>
      <c r="FQ131" s="694">
        <v>1</v>
      </c>
      <c r="FR131" s="693"/>
      <c r="FS131" s="694">
        <v>2</v>
      </c>
      <c r="FT131" s="694">
        <v>1</v>
      </c>
      <c r="FU131" s="694">
        <v>3</v>
      </c>
      <c r="FV131" s="694">
        <v>6</v>
      </c>
      <c r="FW131" s="694">
        <v>8</v>
      </c>
      <c r="FX131" s="694">
        <v>9</v>
      </c>
      <c r="FY131" s="694">
        <v>31</v>
      </c>
      <c r="FZ131" s="694">
        <v>21</v>
      </c>
      <c r="GA131" s="694">
        <v>56</v>
      </c>
      <c r="GB131" s="696">
        <v>8</v>
      </c>
      <c r="GC131" s="696">
        <v>12</v>
      </c>
      <c r="GD131" s="696">
        <v>163</v>
      </c>
      <c r="GE131" s="635">
        <f>+(GD130+GD127-GB127)/GD131</f>
        <v>0.36809815950920244</v>
      </c>
      <c r="GF131" s="41"/>
      <c r="GG131" s="41"/>
      <c r="GH131" s="41"/>
      <c r="GI131" s="688"/>
      <c r="GJ131" s="704" t="s">
        <v>844</v>
      </c>
      <c r="GK131" s="463">
        <v>1</v>
      </c>
      <c r="GL131" s="705"/>
      <c r="GM131" s="463">
        <v>6</v>
      </c>
      <c r="GN131" s="463">
        <v>2</v>
      </c>
      <c r="GO131" s="463">
        <v>3</v>
      </c>
      <c r="GP131" s="463">
        <v>1</v>
      </c>
      <c r="GQ131" s="705"/>
      <c r="GR131" s="705"/>
      <c r="GS131" s="705"/>
      <c r="GT131" s="705"/>
      <c r="GU131" s="463">
        <v>1</v>
      </c>
      <c r="GV131" s="705"/>
      <c r="GW131" s="705"/>
      <c r="GX131" s="463">
        <v>14</v>
      </c>
      <c r="GY131" s="628">
        <v>0</v>
      </c>
      <c r="GZ131" s="41"/>
      <c r="HA131" s="41"/>
      <c r="HB131" s="105"/>
      <c r="HC131" s="105"/>
      <c r="HD131" s="105"/>
      <c r="HE131" s="461" t="s">
        <v>15</v>
      </c>
      <c r="HF131" s="461">
        <v>2</v>
      </c>
      <c r="HG131" s="461"/>
      <c r="HH131" s="461"/>
      <c r="HI131" s="461"/>
      <c r="HJ131" s="461"/>
      <c r="HK131" s="461"/>
      <c r="HL131" s="461">
        <v>1</v>
      </c>
      <c r="HM131" s="461">
        <v>1</v>
      </c>
      <c r="HN131" s="461">
        <v>18</v>
      </c>
      <c r="HO131" s="461">
        <v>6</v>
      </c>
      <c r="HP131" s="461">
        <v>1</v>
      </c>
      <c r="HQ131" s="461">
        <v>1</v>
      </c>
      <c r="HR131" s="461"/>
      <c r="HS131" s="461"/>
      <c r="HT131" s="461"/>
      <c r="HU131" s="461">
        <v>2</v>
      </c>
      <c r="HV131" s="461">
        <v>32</v>
      </c>
      <c r="HW131" s="706">
        <f>+(HV127+HV129+HV130)/HV131</f>
        <v>0.25</v>
      </c>
      <c r="HX131" s="41"/>
      <c r="HY131" s="691"/>
      <c r="HZ131" s="691" t="s">
        <v>1326</v>
      </c>
      <c r="IA131" s="691" t="s">
        <v>4</v>
      </c>
      <c r="IB131" s="691" t="s">
        <v>1230</v>
      </c>
      <c r="IC131" s="691">
        <v>0</v>
      </c>
      <c r="ID131" s="691">
        <v>0</v>
      </c>
      <c r="IE131" s="691">
        <v>0</v>
      </c>
      <c r="IF131" s="691">
        <v>0</v>
      </c>
      <c r="IG131" s="691">
        <v>0</v>
      </c>
      <c r="IH131" s="691">
        <v>0</v>
      </c>
      <c r="II131" s="691">
        <v>0</v>
      </c>
      <c r="IJ131" s="691">
        <v>0</v>
      </c>
      <c r="IK131" s="691">
        <v>0</v>
      </c>
      <c r="IL131" s="691">
        <v>0</v>
      </c>
      <c r="IM131" s="691">
        <v>0</v>
      </c>
      <c r="IN131" s="691">
        <v>0</v>
      </c>
      <c r="IO131" s="691">
        <v>0</v>
      </c>
      <c r="IP131" s="691">
        <v>1</v>
      </c>
      <c r="IQ131" s="691">
        <v>0</v>
      </c>
      <c r="IR131" s="691">
        <v>0</v>
      </c>
      <c r="IS131" s="691">
        <v>1</v>
      </c>
      <c r="IT131" s="691"/>
      <c r="IU131" s="692"/>
    </row>
    <row r="132" spans="1:255">
      <c r="C132" s="32"/>
      <c r="D132" s="32" t="s">
        <v>1239</v>
      </c>
      <c r="E132" s="4607"/>
      <c r="F132" s="4607"/>
      <c r="G132" s="4607"/>
      <c r="H132" s="4607"/>
      <c r="I132" s="4607"/>
      <c r="J132" s="4607"/>
      <c r="K132" s="4607"/>
      <c r="L132" s="4607">
        <v>0</v>
      </c>
      <c r="M132" s="4607"/>
      <c r="N132" s="4607">
        <v>0</v>
      </c>
      <c r="O132" s="4607">
        <v>0</v>
      </c>
      <c r="P132" s="4607">
        <v>0</v>
      </c>
      <c r="Q132" s="4607">
        <v>9</v>
      </c>
      <c r="R132" s="4607">
        <v>14</v>
      </c>
      <c r="S132" s="4583">
        <v>6</v>
      </c>
      <c r="T132" s="4583">
        <v>4</v>
      </c>
      <c r="U132" s="4583">
        <v>33</v>
      </c>
      <c r="V132" s="4583"/>
      <c r="Z132" s="1793"/>
      <c r="AA132" s="1793" t="s">
        <v>1239</v>
      </c>
      <c r="AB132" s="4804">
        <v>0</v>
      </c>
      <c r="AC132" s="4804"/>
      <c r="AD132" s="4804"/>
      <c r="AE132" s="4804"/>
      <c r="AF132" s="4804"/>
      <c r="AG132" s="4804"/>
      <c r="AH132" s="4804"/>
      <c r="AI132" s="4804">
        <v>0</v>
      </c>
      <c r="AJ132" s="4804"/>
      <c r="AK132" s="4804">
        <v>0</v>
      </c>
      <c r="AL132" s="4804">
        <v>0</v>
      </c>
      <c r="AM132" s="4804">
        <v>0</v>
      </c>
      <c r="AN132" s="4804">
        <v>20</v>
      </c>
      <c r="AO132" s="4804">
        <v>0</v>
      </c>
      <c r="AP132" s="4702">
        <v>9</v>
      </c>
      <c r="AQ132" s="4702">
        <v>29</v>
      </c>
      <c r="AR132" s="1793"/>
      <c r="AT132" s="41"/>
      <c r="AU132" s="41"/>
      <c r="AV132" s="461"/>
      <c r="AW132" s="461" t="s">
        <v>1235</v>
      </c>
      <c r="AX132" s="2489"/>
      <c r="AY132" s="2489">
        <v>0</v>
      </c>
      <c r="AZ132" s="2489"/>
      <c r="BA132" s="2489">
        <v>0</v>
      </c>
      <c r="BB132" s="2489"/>
      <c r="BC132" s="2489">
        <v>0</v>
      </c>
      <c r="BD132" s="2489">
        <v>0</v>
      </c>
      <c r="BE132" s="2489"/>
      <c r="BF132" s="2489"/>
      <c r="BG132" s="2489">
        <v>0</v>
      </c>
      <c r="BH132" s="2489">
        <v>0</v>
      </c>
      <c r="BI132" s="2489">
        <v>0</v>
      </c>
      <c r="BJ132" s="2489">
        <v>8</v>
      </c>
      <c r="BK132" s="2489">
        <v>19</v>
      </c>
      <c r="BL132" s="2489">
        <v>0</v>
      </c>
      <c r="BM132" s="461">
        <v>0</v>
      </c>
      <c r="BN132" s="461"/>
      <c r="BO132" s="461">
        <v>27</v>
      </c>
      <c r="BP132" s="41"/>
      <c r="BR132" s="41"/>
      <c r="BS132" s="41"/>
      <c r="BT132" s="41"/>
      <c r="BU132" s="461" t="s">
        <v>15</v>
      </c>
      <c r="BV132" s="2002"/>
      <c r="BW132" s="2002"/>
      <c r="BX132" s="2002"/>
      <c r="BY132" s="2002"/>
      <c r="BZ132" s="2002"/>
      <c r="CA132" s="2002"/>
      <c r="CB132" s="2002"/>
      <c r="CC132" s="2002"/>
      <c r="CD132" s="2002">
        <v>1</v>
      </c>
      <c r="CE132" s="2002">
        <v>5</v>
      </c>
      <c r="CF132" s="2002">
        <v>3</v>
      </c>
      <c r="CG132" s="2002">
        <v>4</v>
      </c>
      <c r="CH132" s="2002">
        <v>3</v>
      </c>
      <c r="CI132" s="2002">
        <v>1</v>
      </c>
      <c r="CJ132" s="2002"/>
      <c r="CK132" s="96"/>
      <c r="CL132" s="96"/>
      <c r="CM132" s="96">
        <v>17</v>
      </c>
      <c r="CN132" s="635">
        <f>+(CM128+CM130+CM131)/CM132</f>
        <v>0.29411764705882354</v>
      </c>
      <c r="CR132" s="41"/>
      <c r="CS132" s="41" t="s">
        <v>1231</v>
      </c>
      <c r="CT132" s="1665">
        <v>1</v>
      </c>
      <c r="CU132" s="1665">
        <v>3</v>
      </c>
      <c r="CV132" s="1665">
        <v>1</v>
      </c>
      <c r="CW132" s="1665">
        <v>1</v>
      </c>
      <c r="CX132" s="1665"/>
      <c r="CY132" s="1665">
        <v>2</v>
      </c>
      <c r="CZ132" s="1665"/>
      <c r="DA132" s="1665">
        <v>2</v>
      </c>
      <c r="DB132" s="1665">
        <v>2</v>
      </c>
      <c r="DC132" s="1665">
        <v>0</v>
      </c>
      <c r="DD132" s="1665">
        <v>1</v>
      </c>
      <c r="DE132" s="1665">
        <v>2</v>
      </c>
      <c r="DF132" s="1665">
        <v>18</v>
      </c>
      <c r="DG132" s="1665">
        <v>14</v>
      </c>
      <c r="DH132" s="1665">
        <v>0</v>
      </c>
      <c r="DI132" s="41">
        <v>2</v>
      </c>
      <c r="DJ132" s="41">
        <v>0</v>
      </c>
      <c r="DK132" s="41">
        <v>49</v>
      </c>
      <c r="DL132" s="41"/>
      <c r="DN132" s="1375"/>
      <c r="DO132" s="1375"/>
      <c r="DP132" s="1375" t="s">
        <v>111</v>
      </c>
      <c r="DQ132" s="1376" t="s">
        <v>1231</v>
      </c>
      <c r="DR132" s="1378">
        <v>1</v>
      </c>
      <c r="DS132" s="1377"/>
      <c r="DT132" s="1377"/>
      <c r="DU132" s="1377"/>
      <c r="DV132" s="1378">
        <v>1</v>
      </c>
      <c r="DW132" s="1377"/>
      <c r="DX132" s="1378">
        <v>2</v>
      </c>
      <c r="DY132" s="1377"/>
      <c r="DZ132" s="1378">
        <v>1</v>
      </c>
      <c r="EA132" s="1378">
        <v>5</v>
      </c>
      <c r="EB132" s="1378">
        <v>9</v>
      </c>
      <c r="EC132" s="1377"/>
      <c r="ED132" s="1377"/>
      <c r="EE132" s="1379"/>
      <c r="EF132" s="1379"/>
      <c r="EG132" s="1380">
        <v>19</v>
      </c>
      <c r="EH132" s="41"/>
      <c r="EJ132" s="678"/>
      <c r="EK132" s="678"/>
      <c r="EL132" s="678"/>
      <c r="EM132" s="679" t="s">
        <v>1344</v>
      </c>
      <c r="EN132" s="680"/>
      <c r="EO132" s="681">
        <v>0</v>
      </c>
      <c r="EP132" s="681">
        <v>0</v>
      </c>
      <c r="EQ132" s="681">
        <v>0</v>
      </c>
      <c r="ER132" s="681">
        <v>0</v>
      </c>
      <c r="ES132" s="681">
        <v>0</v>
      </c>
      <c r="ET132" s="681">
        <v>2</v>
      </c>
      <c r="EU132" s="681">
        <v>1</v>
      </c>
      <c r="EV132" s="681">
        <v>2</v>
      </c>
      <c r="EW132" s="681">
        <v>2</v>
      </c>
      <c r="EX132" s="681">
        <v>6</v>
      </c>
      <c r="EY132" s="681">
        <v>4</v>
      </c>
      <c r="EZ132" s="681">
        <v>10</v>
      </c>
      <c r="FA132" s="681">
        <v>8</v>
      </c>
      <c r="FB132" s="681">
        <v>9</v>
      </c>
      <c r="FC132" s="683">
        <v>0</v>
      </c>
      <c r="FD132" s="683">
        <v>0</v>
      </c>
      <c r="FE132" s="683">
        <v>44</v>
      </c>
      <c r="FF132" s="105"/>
      <c r="FH132" s="511" t="s">
        <v>48</v>
      </c>
      <c r="FI132" s="511" t="s">
        <v>16</v>
      </c>
      <c r="FJ132" s="511" t="s">
        <v>144</v>
      </c>
      <c r="FK132" s="511" t="s">
        <v>1229</v>
      </c>
      <c r="FL132" s="512" t="s">
        <v>1231</v>
      </c>
      <c r="FM132" s="684"/>
      <c r="FN132" s="685">
        <v>1</v>
      </c>
      <c r="FO132" s="684"/>
      <c r="FP132" s="685">
        <v>1</v>
      </c>
      <c r="FQ132" s="684"/>
      <c r="FR132" s="685">
        <v>1</v>
      </c>
      <c r="FS132" s="684"/>
      <c r="FT132" s="684"/>
      <c r="FU132" s="684"/>
      <c r="FV132" s="685">
        <v>1</v>
      </c>
      <c r="FW132" s="684"/>
      <c r="FX132" s="685">
        <v>3</v>
      </c>
      <c r="FY132" s="685">
        <v>12</v>
      </c>
      <c r="FZ132" s="685">
        <v>4</v>
      </c>
      <c r="GA132" s="685">
        <v>3</v>
      </c>
      <c r="GB132" s="687">
        <v>5</v>
      </c>
      <c r="GC132" s="687">
        <v>0</v>
      </c>
      <c r="GD132" s="687">
        <v>31</v>
      </c>
      <c r="GE132" s="635"/>
      <c r="GF132" s="41"/>
      <c r="GG132" s="688" t="s">
        <v>25</v>
      </c>
      <c r="GH132" s="41"/>
      <c r="GI132" s="688" t="s">
        <v>544</v>
      </c>
      <c r="GJ132" s="457" t="s">
        <v>1230</v>
      </c>
      <c r="GK132" s="689"/>
      <c r="GL132" s="689"/>
      <c r="GM132" s="689"/>
      <c r="GN132" s="689"/>
      <c r="GO132" s="689"/>
      <c r="GP132" s="458">
        <v>0</v>
      </c>
      <c r="GQ132" s="458">
        <v>0</v>
      </c>
      <c r="GR132" s="458">
        <v>1</v>
      </c>
      <c r="GS132" s="689"/>
      <c r="GT132" s="458">
        <v>0</v>
      </c>
      <c r="GU132" s="458">
        <v>0</v>
      </c>
      <c r="GV132" s="458">
        <v>0</v>
      </c>
      <c r="GW132" s="458">
        <v>0</v>
      </c>
      <c r="GX132" s="458">
        <v>1</v>
      </c>
      <c r="GY132" s="690"/>
      <c r="GZ132" s="41"/>
      <c r="HA132" s="41"/>
      <c r="HB132" s="105"/>
      <c r="HC132" s="105"/>
      <c r="HD132" s="105" t="s">
        <v>104</v>
      </c>
      <c r="HE132" s="41" t="s">
        <v>1231</v>
      </c>
      <c r="HF132" s="41"/>
      <c r="HG132" s="41">
        <v>0</v>
      </c>
      <c r="HH132" s="41">
        <v>0</v>
      </c>
      <c r="HI132" s="41"/>
      <c r="HJ132" s="41"/>
      <c r="HK132" s="41">
        <v>1</v>
      </c>
      <c r="HL132" s="41">
        <v>2</v>
      </c>
      <c r="HM132" s="41">
        <v>0</v>
      </c>
      <c r="HN132" s="41"/>
      <c r="HO132" s="41"/>
      <c r="HP132" s="41"/>
      <c r="HQ132" s="41"/>
      <c r="HR132" s="41"/>
      <c r="HS132" s="41"/>
      <c r="HT132" s="41"/>
      <c r="HU132" s="41"/>
      <c r="HV132" s="41">
        <v>3</v>
      </c>
      <c r="HW132" s="41"/>
      <c r="HX132" s="41"/>
      <c r="HY132" s="691"/>
      <c r="HZ132" s="691"/>
      <c r="IA132" s="691"/>
      <c r="IB132" s="691" t="s">
        <v>1231</v>
      </c>
      <c r="IC132" s="691">
        <v>0</v>
      </c>
      <c r="ID132" s="691">
        <v>0</v>
      </c>
      <c r="IE132" s="691">
        <v>0</v>
      </c>
      <c r="IF132" s="691">
        <v>1</v>
      </c>
      <c r="IG132" s="691">
        <v>0</v>
      </c>
      <c r="IH132" s="691">
        <v>0</v>
      </c>
      <c r="II132" s="691">
        <v>0</v>
      </c>
      <c r="IJ132" s="691">
        <v>1</v>
      </c>
      <c r="IK132" s="691">
        <v>0</v>
      </c>
      <c r="IL132" s="691">
        <v>0</v>
      </c>
      <c r="IM132" s="691">
        <v>2</v>
      </c>
      <c r="IN132" s="691">
        <v>1</v>
      </c>
      <c r="IO132" s="691">
        <v>0</v>
      </c>
      <c r="IP132" s="691">
        <v>1</v>
      </c>
      <c r="IQ132" s="691">
        <v>0</v>
      </c>
      <c r="IR132" s="691">
        <v>0</v>
      </c>
      <c r="IS132" s="691">
        <v>6</v>
      </c>
      <c r="IT132" s="691"/>
      <c r="IU132" s="692"/>
    </row>
    <row r="133" spans="1:255">
      <c r="C133" s="32"/>
      <c r="D133" s="32" t="s">
        <v>1344</v>
      </c>
      <c r="E133" s="4607"/>
      <c r="F133" s="4607"/>
      <c r="G133" s="4607"/>
      <c r="H133" s="4607"/>
      <c r="I133" s="4607"/>
      <c r="J133" s="4607"/>
      <c r="K133" s="4607"/>
      <c r="L133" s="4607">
        <v>0</v>
      </c>
      <c r="M133" s="4607"/>
      <c r="N133" s="4607">
        <v>0</v>
      </c>
      <c r="O133" s="4607">
        <v>1</v>
      </c>
      <c r="P133" s="4607">
        <v>6</v>
      </c>
      <c r="Q133" s="4607">
        <v>3</v>
      </c>
      <c r="R133" s="4607">
        <v>1</v>
      </c>
      <c r="S133" s="4583">
        <v>0</v>
      </c>
      <c r="T133" s="4583">
        <v>0</v>
      </c>
      <c r="U133" s="4583">
        <v>11</v>
      </c>
      <c r="V133" s="4583"/>
      <c r="Z133" s="1793"/>
      <c r="AA133" s="1793" t="s">
        <v>1344</v>
      </c>
      <c r="AB133" s="4804">
        <v>0</v>
      </c>
      <c r="AC133" s="4804"/>
      <c r="AD133" s="4804"/>
      <c r="AE133" s="4804"/>
      <c r="AF133" s="4804"/>
      <c r="AG133" s="4804"/>
      <c r="AH133" s="4804"/>
      <c r="AI133" s="4804">
        <v>0</v>
      </c>
      <c r="AJ133" s="4804"/>
      <c r="AK133" s="4804">
        <v>0</v>
      </c>
      <c r="AL133" s="4804">
        <v>1</v>
      </c>
      <c r="AM133" s="4804">
        <v>3</v>
      </c>
      <c r="AN133" s="4804">
        <v>2</v>
      </c>
      <c r="AO133" s="4804">
        <v>0</v>
      </c>
      <c r="AP133" s="4702">
        <v>0</v>
      </c>
      <c r="AQ133" s="4702">
        <v>6</v>
      </c>
      <c r="AR133" s="1793"/>
      <c r="AT133" s="41"/>
      <c r="AU133" s="41"/>
      <c r="AV133" s="461"/>
      <c r="AW133" s="461" t="s">
        <v>1236</v>
      </c>
      <c r="AX133" s="2489"/>
      <c r="AY133" s="2489">
        <v>1</v>
      </c>
      <c r="AZ133" s="2489"/>
      <c r="BA133" s="2489">
        <v>1</v>
      </c>
      <c r="BB133" s="2489"/>
      <c r="BC133" s="2489">
        <v>0</v>
      </c>
      <c r="BD133" s="2489">
        <v>0</v>
      </c>
      <c r="BE133" s="2489"/>
      <c r="BF133" s="2489"/>
      <c r="BG133" s="2489">
        <v>0</v>
      </c>
      <c r="BH133" s="2489">
        <v>1</v>
      </c>
      <c r="BI133" s="2489">
        <v>0</v>
      </c>
      <c r="BJ133" s="2489">
        <v>0</v>
      </c>
      <c r="BK133" s="2489">
        <v>0</v>
      </c>
      <c r="BL133" s="2489">
        <v>0</v>
      </c>
      <c r="BM133" s="461">
        <v>0</v>
      </c>
      <c r="BN133" s="461"/>
      <c r="BO133" s="461">
        <v>3</v>
      </c>
      <c r="BP133" s="41"/>
      <c r="BR133" s="41"/>
      <c r="BS133" s="41"/>
      <c r="BT133" s="41" t="s">
        <v>545</v>
      </c>
      <c r="BU133" s="41" t="s">
        <v>1231</v>
      </c>
      <c r="BV133" s="2001"/>
      <c r="BW133" s="2001">
        <v>1</v>
      </c>
      <c r="BX133" s="2001">
        <v>2</v>
      </c>
      <c r="BY133" s="2001"/>
      <c r="BZ133" s="2001"/>
      <c r="CA133" s="2001"/>
      <c r="CB133" s="2001"/>
      <c r="CC133" s="2001"/>
      <c r="CD133" s="2001">
        <v>1</v>
      </c>
      <c r="CE133" s="2001">
        <v>4</v>
      </c>
      <c r="CF133" s="2001">
        <v>3</v>
      </c>
      <c r="CG133" s="2001">
        <v>4</v>
      </c>
      <c r="CH133" s="2001">
        <v>22</v>
      </c>
      <c r="CI133" s="2001">
        <v>7</v>
      </c>
      <c r="CJ133" s="2001">
        <v>1</v>
      </c>
      <c r="CK133" s="105">
        <v>1</v>
      </c>
      <c r="CL133" s="105">
        <v>0</v>
      </c>
      <c r="CM133" s="105">
        <v>46</v>
      </c>
      <c r="CN133" s="41"/>
      <c r="CR133" s="41"/>
      <c r="CS133" s="41" t="s">
        <v>1233</v>
      </c>
      <c r="CT133" s="1665">
        <v>0</v>
      </c>
      <c r="CU133" s="1665">
        <v>1</v>
      </c>
      <c r="CV133" s="1665">
        <v>0</v>
      </c>
      <c r="CW133" s="1665">
        <v>0</v>
      </c>
      <c r="CX133" s="1665"/>
      <c r="CY133" s="1665">
        <v>0</v>
      </c>
      <c r="CZ133" s="1665"/>
      <c r="DA133" s="1665">
        <v>0</v>
      </c>
      <c r="DB133" s="1665">
        <v>0</v>
      </c>
      <c r="DC133" s="1665">
        <v>0</v>
      </c>
      <c r="DD133" s="1665">
        <v>0</v>
      </c>
      <c r="DE133" s="1665">
        <v>0</v>
      </c>
      <c r="DF133" s="1665">
        <v>0</v>
      </c>
      <c r="DG133" s="1665">
        <v>0</v>
      </c>
      <c r="DH133" s="1665">
        <v>0</v>
      </c>
      <c r="DI133" s="41">
        <v>0</v>
      </c>
      <c r="DJ133" s="41">
        <v>0</v>
      </c>
      <c r="DK133" s="41">
        <v>1</v>
      </c>
      <c r="DL133" s="41"/>
      <c r="DN133" s="1375"/>
      <c r="DO133" s="1375"/>
      <c r="DP133" s="1375"/>
      <c r="DQ133" s="1376" t="s">
        <v>1240</v>
      </c>
      <c r="DR133" s="1378">
        <v>0</v>
      </c>
      <c r="DS133" s="1377"/>
      <c r="DT133" s="1377"/>
      <c r="DU133" s="1377"/>
      <c r="DV133" s="1378">
        <v>0</v>
      </c>
      <c r="DW133" s="1377"/>
      <c r="DX133" s="1378">
        <v>0</v>
      </c>
      <c r="DY133" s="1377"/>
      <c r="DZ133" s="1378">
        <v>0</v>
      </c>
      <c r="EA133" s="1378">
        <v>1</v>
      </c>
      <c r="EB133" s="1378">
        <v>2</v>
      </c>
      <c r="EC133" s="1377"/>
      <c r="ED133" s="1377"/>
      <c r="EE133" s="1379"/>
      <c r="EF133" s="1379"/>
      <c r="EG133" s="1380">
        <v>3</v>
      </c>
      <c r="EH133" s="41"/>
      <c r="EJ133" s="678"/>
      <c r="EK133" s="678"/>
      <c r="EL133" s="678"/>
      <c r="EM133" s="697" t="s">
        <v>110</v>
      </c>
      <c r="EN133" s="698"/>
      <c r="EO133" s="699">
        <v>5</v>
      </c>
      <c r="EP133" s="699">
        <v>3</v>
      </c>
      <c r="EQ133" s="699">
        <v>4</v>
      </c>
      <c r="ER133" s="699">
        <v>2</v>
      </c>
      <c r="ES133" s="699">
        <v>2</v>
      </c>
      <c r="ET133" s="699">
        <v>4</v>
      </c>
      <c r="EU133" s="699">
        <v>5</v>
      </c>
      <c r="EV133" s="699">
        <v>5</v>
      </c>
      <c r="EW133" s="699">
        <v>3</v>
      </c>
      <c r="EX133" s="699">
        <v>8</v>
      </c>
      <c r="EY133" s="699">
        <v>9</v>
      </c>
      <c r="EZ133" s="699">
        <v>27</v>
      </c>
      <c r="FA133" s="699">
        <v>44</v>
      </c>
      <c r="FB133" s="699">
        <v>60</v>
      </c>
      <c r="FC133" s="701">
        <v>7</v>
      </c>
      <c r="FD133" s="701">
        <v>27</v>
      </c>
      <c r="FE133" s="701">
        <v>215</v>
      </c>
      <c r="FF133" s="635">
        <f>+(FE129+FE132)/FE133</f>
        <v>0.38604651162790699</v>
      </c>
      <c r="FH133" s="511"/>
      <c r="FI133" s="511"/>
      <c r="FJ133" s="511"/>
      <c r="FK133" s="511"/>
      <c r="FL133" s="512" t="s">
        <v>1235</v>
      </c>
      <c r="FM133" s="684"/>
      <c r="FN133" s="685">
        <v>0</v>
      </c>
      <c r="FO133" s="684"/>
      <c r="FP133" s="685">
        <v>0</v>
      </c>
      <c r="FQ133" s="684"/>
      <c r="FR133" s="685">
        <v>0</v>
      </c>
      <c r="FS133" s="684"/>
      <c r="FT133" s="684"/>
      <c r="FU133" s="684"/>
      <c r="FV133" s="685">
        <v>0</v>
      </c>
      <c r="FW133" s="684"/>
      <c r="FX133" s="685">
        <v>0</v>
      </c>
      <c r="FY133" s="685">
        <v>1</v>
      </c>
      <c r="FZ133" s="685">
        <v>0</v>
      </c>
      <c r="GA133" s="685">
        <v>0</v>
      </c>
      <c r="GB133" s="687">
        <v>0</v>
      </c>
      <c r="GC133" s="687">
        <v>0</v>
      </c>
      <c r="GD133" s="687">
        <v>1</v>
      </c>
      <c r="GE133" s="635"/>
      <c r="GF133" s="41"/>
      <c r="GG133" s="688"/>
      <c r="GH133" s="41"/>
      <c r="GI133" s="688"/>
      <c r="GJ133" s="457" t="s">
        <v>1231</v>
      </c>
      <c r="GK133" s="689"/>
      <c r="GL133" s="689"/>
      <c r="GM133" s="689"/>
      <c r="GN133" s="689"/>
      <c r="GO133" s="689"/>
      <c r="GP133" s="458">
        <v>0</v>
      </c>
      <c r="GQ133" s="458">
        <v>1</v>
      </c>
      <c r="GR133" s="458">
        <v>1</v>
      </c>
      <c r="GS133" s="689"/>
      <c r="GT133" s="458">
        <v>0</v>
      </c>
      <c r="GU133" s="458">
        <v>0</v>
      </c>
      <c r="GV133" s="458">
        <v>2</v>
      </c>
      <c r="GW133" s="458">
        <v>0</v>
      </c>
      <c r="GX133" s="458">
        <v>4</v>
      </c>
      <c r="GY133" s="690"/>
      <c r="GZ133" s="41"/>
      <c r="HA133" s="41"/>
      <c r="HB133" s="105"/>
      <c r="HC133" s="105"/>
      <c r="HD133" s="105"/>
      <c r="HE133" s="41" t="s">
        <v>1236</v>
      </c>
      <c r="HF133" s="41"/>
      <c r="HG133" s="41">
        <v>1</v>
      </c>
      <c r="HH133" s="41">
        <v>1</v>
      </c>
      <c r="HI133" s="41"/>
      <c r="HJ133" s="41"/>
      <c r="HK133" s="41">
        <v>0</v>
      </c>
      <c r="HL133" s="41">
        <v>2</v>
      </c>
      <c r="HM133" s="41">
        <v>1</v>
      </c>
      <c r="HN133" s="41"/>
      <c r="HO133" s="41"/>
      <c r="HP133" s="41"/>
      <c r="HQ133" s="41"/>
      <c r="HR133" s="41"/>
      <c r="HS133" s="41"/>
      <c r="HT133" s="41"/>
      <c r="HU133" s="41"/>
      <c r="HV133" s="41">
        <v>5</v>
      </c>
      <c r="HW133" s="41"/>
      <c r="HX133" s="41"/>
      <c r="HY133" s="691"/>
      <c r="HZ133" s="691"/>
      <c r="IA133" s="691"/>
      <c r="IB133" s="691" t="s">
        <v>1235</v>
      </c>
      <c r="IC133" s="691">
        <v>0</v>
      </c>
      <c r="ID133" s="691">
        <v>0</v>
      </c>
      <c r="IE133" s="691">
        <v>0</v>
      </c>
      <c r="IF133" s="691">
        <v>0</v>
      </c>
      <c r="IG133" s="691">
        <v>0</v>
      </c>
      <c r="IH133" s="691">
        <v>0</v>
      </c>
      <c r="II133" s="691">
        <v>0</v>
      </c>
      <c r="IJ133" s="691">
        <v>0</v>
      </c>
      <c r="IK133" s="691">
        <v>0</v>
      </c>
      <c r="IL133" s="691">
        <v>1</v>
      </c>
      <c r="IM133" s="691">
        <v>1</v>
      </c>
      <c r="IN133" s="691">
        <v>0</v>
      </c>
      <c r="IO133" s="691">
        <v>1</v>
      </c>
      <c r="IP133" s="691">
        <v>3</v>
      </c>
      <c r="IQ133" s="691">
        <v>0</v>
      </c>
      <c r="IR133" s="691">
        <v>0</v>
      </c>
      <c r="IS133" s="691">
        <v>6</v>
      </c>
      <c r="IT133" s="691"/>
      <c r="IU133" s="692"/>
    </row>
    <row r="134" spans="1:255">
      <c r="C134" s="32"/>
      <c r="D134" s="4800" t="s">
        <v>15</v>
      </c>
      <c r="E134" s="4607"/>
      <c r="F134" s="4607"/>
      <c r="G134" s="4607"/>
      <c r="H134" s="4607"/>
      <c r="I134" s="4607"/>
      <c r="J134" s="4607"/>
      <c r="K134" s="4607"/>
      <c r="L134" s="4607">
        <v>1</v>
      </c>
      <c r="M134" s="4607"/>
      <c r="N134" s="4607">
        <v>1</v>
      </c>
      <c r="O134" s="4607">
        <v>2</v>
      </c>
      <c r="P134" s="4607">
        <v>9</v>
      </c>
      <c r="Q134" s="4607">
        <v>17</v>
      </c>
      <c r="R134" s="4607">
        <v>16</v>
      </c>
      <c r="S134" s="4583">
        <v>6</v>
      </c>
      <c r="T134" s="4583">
        <v>4</v>
      </c>
      <c r="U134" s="4583">
        <v>56</v>
      </c>
      <c r="V134" s="1977">
        <f>+(U130+U133)/(U134)</f>
        <v>0.30357142857142855</v>
      </c>
      <c r="Z134" s="1793"/>
      <c r="AA134" s="1793" t="s">
        <v>547</v>
      </c>
      <c r="AB134" s="4804">
        <v>0</v>
      </c>
      <c r="AC134" s="4804"/>
      <c r="AD134" s="4804"/>
      <c r="AE134" s="4804"/>
      <c r="AF134" s="4804"/>
      <c r="AG134" s="4804"/>
      <c r="AH134" s="4804"/>
      <c r="AI134" s="4804">
        <v>1</v>
      </c>
      <c r="AJ134" s="4804"/>
      <c r="AK134" s="4804">
        <v>1</v>
      </c>
      <c r="AL134" s="4804">
        <v>2</v>
      </c>
      <c r="AM134" s="4804">
        <v>9</v>
      </c>
      <c r="AN134" s="4804">
        <v>32</v>
      </c>
      <c r="AO134" s="4804">
        <v>1</v>
      </c>
      <c r="AP134" s="4702">
        <v>10</v>
      </c>
      <c r="AQ134" s="4702">
        <v>56</v>
      </c>
      <c r="AR134" s="4703">
        <f>+(AQ130+AQ133)/AQ134</f>
        <v>0.26785714285714285</v>
      </c>
      <c r="AT134" s="41"/>
      <c r="AU134" s="41"/>
      <c r="AV134" s="461"/>
      <c r="AW134" s="461" t="s">
        <v>1239</v>
      </c>
      <c r="AX134" s="2489"/>
      <c r="AY134" s="2489">
        <v>0</v>
      </c>
      <c r="AZ134" s="2489"/>
      <c r="BA134" s="2489">
        <v>0</v>
      </c>
      <c r="BB134" s="2489"/>
      <c r="BC134" s="2489">
        <v>0</v>
      </c>
      <c r="BD134" s="2489">
        <v>0</v>
      </c>
      <c r="BE134" s="2489"/>
      <c r="BF134" s="2489"/>
      <c r="BG134" s="2489">
        <v>0</v>
      </c>
      <c r="BH134" s="2489">
        <v>0</v>
      </c>
      <c r="BI134" s="2489">
        <v>0</v>
      </c>
      <c r="BJ134" s="2489">
        <v>0</v>
      </c>
      <c r="BK134" s="2489">
        <v>9</v>
      </c>
      <c r="BL134" s="2489">
        <v>24</v>
      </c>
      <c r="BM134" s="461">
        <v>0</v>
      </c>
      <c r="BN134" s="461"/>
      <c r="BO134" s="461">
        <v>33</v>
      </c>
      <c r="BP134" s="41"/>
      <c r="BR134" s="41"/>
      <c r="BS134" s="41"/>
      <c r="BT134" s="41"/>
      <c r="BU134" s="41" t="s">
        <v>1235</v>
      </c>
      <c r="BV134" s="2001"/>
      <c r="BW134" s="2001">
        <v>0</v>
      </c>
      <c r="BX134" s="2001">
        <v>0</v>
      </c>
      <c r="BY134" s="2001"/>
      <c r="BZ134" s="2001"/>
      <c r="CA134" s="2001"/>
      <c r="CB134" s="2001"/>
      <c r="CC134" s="2001"/>
      <c r="CD134" s="2001">
        <v>0</v>
      </c>
      <c r="CE134" s="2001">
        <v>0</v>
      </c>
      <c r="CF134" s="2001">
        <v>0</v>
      </c>
      <c r="CG134" s="2001">
        <v>0</v>
      </c>
      <c r="CH134" s="2001">
        <v>4</v>
      </c>
      <c r="CI134" s="2001">
        <v>1</v>
      </c>
      <c r="CJ134" s="2001">
        <v>0</v>
      </c>
      <c r="CK134" s="105">
        <v>0</v>
      </c>
      <c r="CL134" s="105">
        <v>0</v>
      </c>
      <c r="CM134" s="105">
        <v>5</v>
      </c>
      <c r="CN134" s="41"/>
      <c r="CR134" s="41"/>
      <c r="CS134" s="41" t="s">
        <v>1235</v>
      </c>
      <c r="CT134" s="1665">
        <v>0</v>
      </c>
      <c r="CU134" s="1665">
        <v>0</v>
      </c>
      <c r="CV134" s="1665">
        <v>0</v>
      </c>
      <c r="CW134" s="1665">
        <v>0</v>
      </c>
      <c r="CX134" s="1665"/>
      <c r="CY134" s="1665">
        <v>0</v>
      </c>
      <c r="CZ134" s="1665"/>
      <c r="DA134" s="1665">
        <v>0</v>
      </c>
      <c r="DB134" s="1665">
        <v>0</v>
      </c>
      <c r="DC134" s="1665">
        <v>0</v>
      </c>
      <c r="DD134" s="1665">
        <v>0</v>
      </c>
      <c r="DE134" s="1665">
        <v>0</v>
      </c>
      <c r="DF134" s="1665">
        <v>19</v>
      </c>
      <c r="DG134" s="1665">
        <v>20</v>
      </c>
      <c r="DH134" s="1665">
        <v>3</v>
      </c>
      <c r="DI134" s="41">
        <v>2</v>
      </c>
      <c r="DJ134" s="41">
        <v>0</v>
      </c>
      <c r="DK134" s="41">
        <v>44</v>
      </c>
      <c r="DL134" s="41"/>
      <c r="DN134" s="1375"/>
      <c r="DO134" s="1375"/>
      <c r="DP134" s="1375"/>
      <c r="DQ134" s="1376" t="s">
        <v>1344</v>
      </c>
      <c r="DR134" s="1378">
        <v>0</v>
      </c>
      <c r="DS134" s="1377"/>
      <c r="DT134" s="1377"/>
      <c r="DU134" s="1377"/>
      <c r="DV134" s="1378">
        <v>0</v>
      </c>
      <c r="DW134" s="1377"/>
      <c r="DX134" s="1378">
        <v>0</v>
      </c>
      <c r="DY134" s="1377"/>
      <c r="DZ134" s="1378">
        <v>0</v>
      </c>
      <c r="EA134" s="1378">
        <v>1</v>
      </c>
      <c r="EB134" s="1378">
        <v>0</v>
      </c>
      <c r="EC134" s="1377"/>
      <c r="ED134" s="1377"/>
      <c r="EE134" s="1379"/>
      <c r="EF134" s="1379"/>
      <c r="EG134" s="1380">
        <v>1</v>
      </c>
      <c r="EH134" s="41"/>
      <c r="EJ134" s="678" t="s">
        <v>48</v>
      </c>
      <c r="EK134" s="678" t="s">
        <v>41</v>
      </c>
      <c r="EL134" s="678" t="s">
        <v>145</v>
      </c>
      <c r="EM134" s="679" t="s">
        <v>1230</v>
      </c>
      <c r="EN134" s="680"/>
      <c r="EO134" s="680"/>
      <c r="EP134" s="680"/>
      <c r="EQ134" s="680"/>
      <c r="ER134" s="680"/>
      <c r="ES134" s="680"/>
      <c r="ET134" s="681">
        <v>0</v>
      </c>
      <c r="EU134" s="680"/>
      <c r="EV134" s="681">
        <v>0</v>
      </c>
      <c r="EW134" s="681">
        <v>1</v>
      </c>
      <c r="EX134" s="681">
        <v>0</v>
      </c>
      <c r="EY134" s="680"/>
      <c r="EZ134" s="680"/>
      <c r="FA134" s="680"/>
      <c r="FB134" s="680"/>
      <c r="FC134" s="682"/>
      <c r="FD134" s="682"/>
      <c r="FE134" s="683">
        <v>1</v>
      </c>
      <c r="FF134" s="105"/>
      <c r="FH134" s="511"/>
      <c r="FI134" s="511"/>
      <c r="FJ134" s="511"/>
      <c r="FK134" s="511"/>
      <c r="FL134" s="512" t="s">
        <v>1239</v>
      </c>
      <c r="FM134" s="684"/>
      <c r="FN134" s="685">
        <v>0</v>
      </c>
      <c r="FO134" s="684"/>
      <c r="FP134" s="685">
        <v>0</v>
      </c>
      <c r="FQ134" s="684"/>
      <c r="FR134" s="685">
        <v>0</v>
      </c>
      <c r="FS134" s="684"/>
      <c r="FT134" s="684"/>
      <c r="FU134" s="684"/>
      <c r="FV134" s="685">
        <v>0</v>
      </c>
      <c r="FW134" s="684"/>
      <c r="FX134" s="685">
        <v>0</v>
      </c>
      <c r="FY134" s="685">
        <v>1</v>
      </c>
      <c r="FZ134" s="685">
        <v>0</v>
      </c>
      <c r="GA134" s="685">
        <v>0</v>
      </c>
      <c r="GB134" s="687">
        <v>1</v>
      </c>
      <c r="GC134" s="687">
        <v>2</v>
      </c>
      <c r="GD134" s="687">
        <v>4</v>
      </c>
      <c r="GE134" s="635"/>
      <c r="GF134" s="41"/>
      <c r="GG134" s="688"/>
      <c r="GH134" s="41"/>
      <c r="GI134" s="688"/>
      <c r="GJ134" s="457" t="s">
        <v>1235</v>
      </c>
      <c r="GK134" s="689"/>
      <c r="GL134" s="689"/>
      <c r="GM134" s="689"/>
      <c r="GN134" s="689"/>
      <c r="GO134" s="689"/>
      <c r="GP134" s="458">
        <v>1</v>
      </c>
      <c r="GQ134" s="458">
        <v>0</v>
      </c>
      <c r="GR134" s="458">
        <v>0</v>
      </c>
      <c r="GS134" s="689"/>
      <c r="GT134" s="458">
        <v>2</v>
      </c>
      <c r="GU134" s="458">
        <v>0</v>
      </c>
      <c r="GV134" s="458">
        <v>1</v>
      </c>
      <c r="GW134" s="458">
        <v>0</v>
      </c>
      <c r="GX134" s="458">
        <v>4</v>
      </c>
      <c r="GY134" s="690"/>
      <c r="GZ134" s="41"/>
      <c r="HA134" s="41"/>
      <c r="HB134" s="105"/>
      <c r="HC134" s="105"/>
      <c r="HD134" s="105"/>
      <c r="HE134" s="461" t="s">
        <v>15</v>
      </c>
      <c r="HF134" s="461"/>
      <c r="HG134" s="461">
        <v>1</v>
      </c>
      <c r="HH134" s="461">
        <v>1</v>
      </c>
      <c r="HI134" s="461"/>
      <c r="HJ134" s="461"/>
      <c r="HK134" s="461">
        <v>1</v>
      </c>
      <c r="HL134" s="461">
        <v>4</v>
      </c>
      <c r="HM134" s="461">
        <v>1</v>
      </c>
      <c r="HN134" s="461"/>
      <c r="HO134" s="461"/>
      <c r="HP134" s="461"/>
      <c r="HQ134" s="461"/>
      <c r="HR134" s="461"/>
      <c r="HS134" s="461"/>
      <c r="HT134" s="461"/>
      <c r="HU134" s="461"/>
      <c r="HV134" s="461">
        <v>8</v>
      </c>
      <c r="HW134" s="707">
        <v>0</v>
      </c>
      <c r="HX134" s="41"/>
      <c r="HY134" s="691"/>
      <c r="HZ134" s="691"/>
      <c r="IA134" s="691"/>
      <c r="IB134" s="691" t="s">
        <v>1239</v>
      </c>
      <c r="IC134" s="691">
        <v>0</v>
      </c>
      <c r="ID134" s="691">
        <v>0</v>
      </c>
      <c r="IE134" s="691">
        <v>0</v>
      </c>
      <c r="IF134" s="691">
        <v>0</v>
      </c>
      <c r="IG134" s="691">
        <v>0</v>
      </c>
      <c r="IH134" s="691">
        <v>0</v>
      </c>
      <c r="II134" s="691">
        <v>0</v>
      </c>
      <c r="IJ134" s="691">
        <v>0</v>
      </c>
      <c r="IK134" s="691">
        <v>0</v>
      </c>
      <c r="IL134" s="691">
        <v>0</v>
      </c>
      <c r="IM134" s="691">
        <v>0</v>
      </c>
      <c r="IN134" s="691">
        <v>0</v>
      </c>
      <c r="IO134" s="691">
        <v>3</v>
      </c>
      <c r="IP134" s="691">
        <v>4</v>
      </c>
      <c r="IQ134" s="691">
        <v>5</v>
      </c>
      <c r="IR134" s="691">
        <v>9</v>
      </c>
      <c r="IS134" s="691">
        <v>21</v>
      </c>
      <c r="IT134" s="691"/>
      <c r="IU134" s="692"/>
    </row>
    <row r="135" spans="1:255">
      <c r="C135" s="32" t="s">
        <v>110</v>
      </c>
      <c r="D135" s="32" t="s">
        <v>1230</v>
      </c>
      <c r="E135" s="4607"/>
      <c r="F135" s="4607">
        <v>0</v>
      </c>
      <c r="G135" s="4607"/>
      <c r="H135" s="4607"/>
      <c r="I135" s="4607">
        <v>0</v>
      </c>
      <c r="J135" s="4607">
        <v>0</v>
      </c>
      <c r="K135" s="4607">
        <v>0</v>
      </c>
      <c r="L135" s="4607">
        <v>0</v>
      </c>
      <c r="M135" s="4607">
        <v>0</v>
      </c>
      <c r="N135" s="4607">
        <v>0</v>
      </c>
      <c r="O135" s="4607">
        <v>0</v>
      </c>
      <c r="P135" s="4607">
        <v>0</v>
      </c>
      <c r="Q135" s="4607">
        <v>1</v>
      </c>
      <c r="R135" s="4607">
        <v>3</v>
      </c>
      <c r="S135" s="4583">
        <v>0</v>
      </c>
      <c r="T135" s="4583">
        <v>0</v>
      </c>
      <c r="U135" s="4583">
        <v>4</v>
      </c>
      <c r="V135" s="4583"/>
      <c r="Z135" s="1793" t="s">
        <v>110</v>
      </c>
      <c r="AA135" s="1793" t="s">
        <v>1230</v>
      </c>
      <c r="AB135" s="4804">
        <v>0</v>
      </c>
      <c r="AC135" s="4804">
        <v>0</v>
      </c>
      <c r="AD135" s="4804"/>
      <c r="AE135" s="4804"/>
      <c r="AF135" s="4804">
        <v>0</v>
      </c>
      <c r="AG135" s="4804">
        <v>0</v>
      </c>
      <c r="AH135" s="4804">
        <v>0</v>
      </c>
      <c r="AI135" s="4804">
        <v>0</v>
      </c>
      <c r="AJ135" s="4804">
        <v>0</v>
      </c>
      <c r="AK135" s="4804">
        <v>1</v>
      </c>
      <c r="AL135" s="4804">
        <v>0</v>
      </c>
      <c r="AM135" s="4804">
        <v>1</v>
      </c>
      <c r="AN135" s="4804">
        <v>11</v>
      </c>
      <c r="AO135" s="4804">
        <v>0</v>
      </c>
      <c r="AP135" s="4702">
        <v>1</v>
      </c>
      <c r="AQ135" s="4702">
        <v>14</v>
      </c>
      <c r="AR135" s="1793"/>
      <c r="AT135" s="41"/>
      <c r="AU135" s="41"/>
      <c r="AV135" s="461"/>
      <c r="AW135" s="461" t="s">
        <v>1240</v>
      </c>
      <c r="AX135" s="2489"/>
      <c r="AY135" s="2489">
        <v>0</v>
      </c>
      <c r="AZ135" s="2489"/>
      <c r="BA135" s="2489">
        <v>0</v>
      </c>
      <c r="BB135" s="2489"/>
      <c r="BC135" s="2489">
        <v>0</v>
      </c>
      <c r="BD135" s="2489">
        <v>0</v>
      </c>
      <c r="BE135" s="2489"/>
      <c r="BF135" s="2489"/>
      <c r="BG135" s="2489">
        <v>0</v>
      </c>
      <c r="BH135" s="2489">
        <v>0</v>
      </c>
      <c r="BI135" s="2489">
        <v>0</v>
      </c>
      <c r="BJ135" s="2489">
        <v>1</v>
      </c>
      <c r="BK135" s="2489">
        <v>0</v>
      </c>
      <c r="BL135" s="2489">
        <v>0</v>
      </c>
      <c r="BM135" s="461">
        <v>0</v>
      </c>
      <c r="BN135" s="461"/>
      <c r="BO135" s="461">
        <v>1</v>
      </c>
      <c r="BP135" s="41"/>
      <c r="BR135" s="41"/>
      <c r="BS135" s="41"/>
      <c r="BT135" s="41"/>
      <c r="BU135" s="41" t="s">
        <v>1236</v>
      </c>
      <c r="BV135" s="2001"/>
      <c r="BW135" s="2001">
        <v>0</v>
      </c>
      <c r="BX135" s="2001">
        <v>0</v>
      </c>
      <c r="BY135" s="2001"/>
      <c r="BZ135" s="2001"/>
      <c r="CA135" s="2001"/>
      <c r="CB135" s="2001"/>
      <c r="CC135" s="2001"/>
      <c r="CD135" s="2001">
        <v>0</v>
      </c>
      <c r="CE135" s="2001">
        <v>1</v>
      </c>
      <c r="CF135" s="2001">
        <v>0</v>
      </c>
      <c r="CG135" s="2001">
        <v>0</v>
      </c>
      <c r="CH135" s="2001">
        <v>0</v>
      </c>
      <c r="CI135" s="2001">
        <v>0</v>
      </c>
      <c r="CJ135" s="2001">
        <v>0</v>
      </c>
      <c r="CK135" s="105">
        <v>0</v>
      </c>
      <c r="CL135" s="105">
        <v>0</v>
      </c>
      <c r="CM135" s="105">
        <v>1</v>
      </c>
      <c r="CN135" s="41"/>
      <c r="CR135" s="41"/>
      <c r="CS135" s="41" t="s">
        <v>1236</v>
      </c>
      <c r="CT135" s="1665">
        <v>0</v>
      </c>
      <c r="CU135" s="1665">
        <v>2</v>
      </c>
      <c r="CV135" s="1665">
        <v>0</v>
      </c>
      <c r="CW135" s="1665">
        <v>1</v>
      </c>
      <c r="CX135" s="1665"/>
      <c r="CY135" s="1665">
        <v>0</v>
      </c>
      <c r="CZ135" s="1665"/>
      <c r="DA135" s="1665">
        <v>0</v>
      </c>
      <c r="DB135" s="1665">
        <v>0</v>
      </c>
      <c r="DC135" s="1665">
        <v>2</v>
      </c>
      <c r="DD135" s="1665">
        <v>0</v>
      </c>
      <c r="DE135" s="1665">
        <v>0</v>
      </c>
      <c r="DF135" s="1665">
        <v>0</v>
      </c>
      <c r="DG135" s="1665">
        <v>1</v>
      </c>
      <c r="DH135" s="1665">
        <v>0</v>
      </c>
      <c r="DI135" s="41">
        <v>0</v>
      </c>
      <c r="DJ135" s="41">
        <v>0</v>
      </c>
      <c r="DK135" s="41">
        <v>6</v>
      </c>
      <c r="DL135" s="41"/>
      <c r="DN135" s="1375"/>
      <c r="DO135" s="1375"/>
      <c r="DP135" s="1375"/>
      <c r="DQ135" s="1372" t="s">
        <v>15</v>
      </c>
      <c r="DR135" s="1382">
        <v>1</v>
      </c>
      <c r="DS135" s="1381"/>
      <c r="DT135" s="1381"/>
      <c r="DU135" s="1381"/>
      <c r="DV135" s="1382">
        <v>1</v>
      </c>
      <c r="DW135" s="1381"/>
      <c r="DX135" s="1382">
        <v>2</v>
      </c>
      <c r="DY135" s="1381"/>
      <c r="DZ135" s="1382">
        <v>1</v>
      </c>
      <c r="EA135" s="1382">
        <v>7</v>
      </c>
      <c r="EB135" s="1382">
        <v>11</v>
      </c>
      <c r="EC135" s="1381"/>
      <c r="ED135" s="1381"/>
      <c r="EE135" s="1383"/>
      <c r="EF135" s="1383"/>
      <c r="EG135" s="1384">
        <v>23</v>
      </c>
      <c r="EH135" s="1325">
        <f>+(EG133+EG134)/EG135</f>
        <v>0.17391304347826086</v>
      </c>
      <c r="EJ135" s="678"/>
      <c r="EK135" s="678"/>
      <c r="EL135" s="678"/>
      <c r="EM135" s="679" t="s">
        <v>1231</v>
      </c>
      <c r="EN135" s="680"/>
      <c r="EO135" s="680"/>
      <c r="EP135" s="680"/>
      <c r="EQ135" s="680"/>
      <c r="ER135" s="680"/>
      <c r="ES135" s="680"/>
      <c r="ET135" s="681">
        <v>0</v>
      </c>
      <c r="EU135" s="680"/>
      <c r="EV135" s="681">
        <v>1</v>
      </c>
      <c r="EW135" s="681">
        <v>2</v>
      </c>
      <c r="EX135" s="681">
        <v>4</v>
      </c>
      <c r="EY135" s="680"/>
      <c r="EZ135" s="680"/>
      <c r="FA135" s="680"/>
      <c r="FB135" s="680"/>
      <c r="FC135" s="682"/>
      <c r="FD135" s="682"/>
      <c r="FE135" s="683">
        <v>7</v>
      </c>
      <c r="FF135" s="105"/>
      <c r="FH135" s="511"/>
      <c r="FI135" s="511"/>
      <c r="FJ135" s="511"/>
      <c r="FK135" s="511"/>
      <c r="FL135" s="512" t="s">
        <v>1240</v>
      </c>
      <c r="FM135" s="684"/>
      <c r="FN135" s="685">
        <v>0</v>
      </c>
      <c r="FO135" s="684"/>
      <c r="FP135" s="685">
        <v>0</v>
      </c>
      <c r="FQ135" s="684"/>
      <c r="FR135" s="685">
        <v>0</v>
      </c>
      <c r="FS135" s="684"/>
      <c r="FT135" s="684"/>
      <c r="FU135" s="684"/>
      <c r="FV135" s="685">
        <v>0</v>
      </c>
      <c r="FW135" s="684"/>
      <c r="FX135" s="685">
        <v>0</v>
      </c>
      <c r="FY135" s="685">
        <v>1</v>
      </c>
      <c r="FZ135" s="685">
        <v>0</v>
      </c>
      <c r="GA135" s="685">
        <v>0</v>
      </c>
      <c r="GB135" s="687">
        <v>1</v>
      </c>
      <c r="GC135" s="687">
        <v>0</v>
      </c>
      <c r="GD135" s="687">
        <v>2</v>
      </c>
      <c r="GE135" s="635"/>
      <c r="GF135" s="41"/>
      <c r="GG135" s="688"/>
      <c r="GH135" s="41"/>
      <c r="GI135" s="688"/>
      <c r="GJ135" s="457" t="s">
        <v>1239</v>
      </c>
      <c r="GK135" s="689"/>
      <c r="GL135" s="689"/>
      <c r="GM135" s="689"/>
      <c r="GN135" s="689"/>
      <c r="GO135" s="689"/>
      <c r="GP135" s="458">
        <v>0</v>
      </c>
      <c r="GQ135" s="458">
        <v>0</v>
      </c>
      <c r="GR135" s="458">
        <v>0</v>
      </c>
      <c r="GS135" s="689"/>
      <c r="GT135" s="458">
        <v>2</v>
      </c>
      <c r="GU135" s="458">
        <v>9</v>
      </c>
      <c r="GV135" s="458">
        <v>2</v>
      </c>
      <c r="GW135" s="458">
        <v>4</v>
      </c>
      <c r="GX135" s="458">
        <v>17</v>
      </c>
      <c r="GY135" s="690"/>
      <c r="GZ135" s="41"/>
      <c r="HA135" s="41"/>
      <c r="HB135" s="105"/>
      <c r="HC135" s="105" t="s">
        <v>25</v>
      </c>
      <c r="HD135" s="105" t="s">
        <v>4</v>
      </c>
      <c r="HE135" s="41" t="s">
        <v>1230</v>
      </c>
      <c r="HF135" s="41"/>
      <c r="HG135" s="41"/>
      <c r="HH135" s="41">
        <v>0</v>
      </c>
      <c r="HI135" s="41"/>
      <c r="HJ135" s="41"/>
      <c r="HK135" s="41"/>
      <c r="HL135" s="41">
        <v>0</v>
      </c>
      <c r="HM135" s="41"/>
      <c r="HN135" s="41">
        <v>0</v>
      </c>
      <c r="HO135" s="41">
        <v>0</v>
      </c>
      <c r="HP135" s="41">
        <v>0</v>
      </c>
      <c r="HQ135" s="41">
        <v>0</v>
      </c>
      <c r="HR135" s="41">
        <v>1</v>
      </c>
      <c r="HS135" s="41">
        <v>5</v>
      </c>
      <c r="HT135" s="41">
        <v>1</v>
      </c>
      <c r="HU135" s="41">
        <v>1</v>
      </c>
      <c r="HV135" s="41">
        <v>8</v>
      </c>
      <c r="HW135" s="41"/>
      <c r="HX135" s="41"/>
      <c r="HY135" s="691"/>
      <c r="HZ135" s="691"/>
      <c r="IA135" s="691"/>
      <c r="IB135" s="691" t="s">
        <v>1344</v>
      </c>
      <c r="IC135" s="691">
        <v>0</v>
      </c>
      <c r="ID135" s="691">
        <v>0</v>
      </c>
      <c r="IE135" s="691">
        <v>0</v>
      </c>
      <c r="IF135" s="691">
        <v>0</v>
      </c>
      <c r="IG135" s="691">
        <v>0</v>
      </c>
      <c r="IH135" s="691">
        <v>0</v>
      </c>
      <c r="II135" s="691">
        <v>0</v>
      </c>
      <c r="IJ135" s="691">
        <v>0</v>
      </c>
      <c r="IK135" s="691">
        <v>0</v>
      </c>
      <c r="IL135" s="691">
        <v>0</v>
      </c>
      <c r="IM135" s="691">
        <v>0</v>
      </c>
      <c r="IN135" s="691">
        <v>1</v>
      </c>
      <c r="IO135" s="691">
        <v>2</v>
      </c>
      <c r="IP135" s="691">
        <v>1</v>
      </c>
      <c r="IQ135" s="691">
        <v>0</v>
      </c>
      <c r="IR135" s="691">
        <v>0</v>
      </c>
      <c r="IS135" s="691">
        <v>4</v>
      </c>
      <c r="IT135" s="691"/>
      <c r="IU135" s="692"/>
    </row>
    <row r="136" spans="1:255">
      <c r="C136" s="32"/>
      <c r="D136" s="32" t="s">
        <v>1231</v>
      </c>
      <c r="E136" s="4607"/>
      <c r="F136" s="4607">
        <v>0</v>
      </c>
      <c r="G136" s="4607"/>
      <c r="H136" s="4607"/>
      <c r="I136" s="4607">
        <v>1</v>
      </c>
      <c r="J136" s="4607">
        <v>0</v>
      </c>
      <c r="K136" s="4607">
        <v>0</v>
      </c>
      <c r="L136" s="4607">
        <v>0</v>
      </c>
      <c r="M136" s="4607">
        <v>2</v>
      </c>
      <c r="N136" s="4607">
        <v>2</v>
      </c>
      <c r="O136" s="4607">
        <v>1</v>
      </c>
      <c r="P136" s="4607">
        <v>3</v>
      </c>
      <c r="Q136" s="4607">
        <v>5</v>
      </c>
      <c r="R136" s="4607">
        <v>0</v>
      </c>
      <c r="S136" s="4583">
        <v>0</v>
      </c>
      <c r="T136" s="4583">
        <v>0</v>
      </c>
      <c r="U136" s="4583">
        <v>14</v>
      </c>
      <c r="V136" s="4583"/>
      <c r="Z136" s="1793"/>
      <c r="AA136" s="1793" t="s">
        <v>1231</v>
      </c>
      <c r="AB136" s="4804">
        <v>0</v>
      </c>
      <c r="AC136" s="4804">
        <v>0</v>
      </c>
      <c r="AD136" s="4804"/>
      <c r="AE136" s="4804"/>
      <c r="AF136" s="4804">
        <v>1</v>
      </c>
      <c r="AG136" s="4804">
        <v>0</v>
      </c>
      <c r="AH136" s="4804">
        <v>0</v>
      </c>
      <c r="AI136" s="4804">
        <v>0</v>
      </c>
      <c r="AJ136" s="4804">
        <v>2</v>
      </c>
      <c r="AK136" s="4804">
        <v>2</v>
      </c>
      <c r="AL136" s="4804">
        <v>1</v>
      </c>
      <c r="AM136" s="4804">
        <v>3</v>
      </c>
      <c r="AN136" s="4804">
        <v>5</v>
      </c>
      <c r="AO136" s="4804">
        <v>1</v>
      </c>
      <c r="AP136" s="4702">
        <v>0</v>
      </c>
      <c r="AQ136" s="4702">
        <v>15</v>
      </c>
      <c r="AR136" s="1793"/>
      <c r="AT136" s="41"/>
      <c r="AU136" s="41"/>
      <c r="AV136" s="461"/>
      <c r="AW136" s="461" t="s">
        <v>1344</v>
      </c>
      <c r="AX136" s="2489"/>
      <c r="AY136" s="2489">
        <v>0</v>
      </c>
      <c r="AZ136" s="2489"/>
      <c r="BA136" s="2489">
        <v>0</v>
      </c>
      <c r="BB136" s="2489"/>
      <c r="BC136" s="2489">
        <v>0</v>
      </c>
      <c r="BD136" s="2489">
        <v>0</v>
      </c>
      <c r="BE136" s="2489"/>
      <c r="BF136" s="2489"/>
      <c r="BG136" s="2489">
        <v>0</v>
      </c>
      <c r="BH136" s="2489">
        <v>0</v>
      </c>
      <c r="BI136" s="2489">
        <v>0</v>
      </c>
      <c r="BJ136" s="2489">
        <v>8</v>
      </c>
      <c r="BK136" s="2489">
        <v>3</v>
      </c>
      <c r="BL136" s="2489">
        <v>0</v>
      </c>
      <c r="BM136" s="461">
        <v>0</v>
      </c>
      <c r="BN136" s="461"/>
      <c r="BO136" s="461">
        <v>11</v>
      </c>
      <c r="BP136" s="41"/>
      <c r="BR136" s="41"/>
      <c r="BS136" s="41"/>
      <c r="BT136" s="41"/>
      <c r="BU136" s="41" t="s">
        <v>1239</v>
      </c>
      <c r="BV136" s="2001"/>
      <c r="BW136" s="2001">
        <v>0</v>
      </c>
      <c r="BX136" s="2001">
        <v>0</v>
      </c>
      <c r="BY136" s="2001"/>
      <c r="BZ136" s="2001"/>
      <c r="CA136" s="2001"/>
      <c r="CB136" s="2001"/>
      <c r="CC136" s="2001"/>
      <c r="CD136" s="2001">
        <v>0</v>
      </c>
      <c r="CE136" s="2001">
        <v>0</v>
      </c>
      <c r="CF136" s="2001">
        <v>0</v>
      </c>
      <c r="CG136" s="2001">
        <v>0</v>
      </c>
      <c r="CH136" s="2001">
        <v>0</v>
      </c>
      <c r="CI136" s="2001">
        <v>0</v>
      </c>
      <c r="CJ136" s="2001">
        <v>1</v>
      </c>
      <c r="CK136" s="105">
        <v>0</v>
      </c>
      <c r="CL136" s="105">
        <v>4</v>
      </c>
      <c r="CM136" s="105">
        <v>5</v>
      </c>
      <c r="CN136" s="41"/>
      <c r="CR136" s="41"/>
      <c r="CS136" s="41" t="s">
        <v>1239</v>
      </c>
      <c r="CT136" s="1665">
        <v>0</v>
      </c>
      <c r="CU136" s="1665">
        <v>0</v>
      </c>
      <c r="CV136" s="1665">
        <v>0</v>
      </c>
      <c r="CW136" s="1665">
        <v>0</v>
      </c>
      <c r="CX136" s="1665"/>
      <c r="CY136" s="1665">
        <v>0</v>
      </c>
      <c r="CZ136" s="1665"/>
      <c r="DA136" s="1665">
        <v>0</v>
      </c>
      <c r="DB136" s="1665">
        <v>0</v>
      </c>
      <c r="DC136" s="1665">
        <v>0</v>
      </c>
      <c r="DD136" s="1665">
        <v>0</v>
      </c>
      <c r="DE136" s="1665">
        <v>0</v>
      </c>
      <c r="DF136" s="1665">
        <v>0</v>
      </c>
      <c r="DG136" s="1665">
        <v>1</v>
      </c>
      <c r="DH136" s="1665">
        <v>39</v>
      </c>
      <c r="DI136" s="41">
        <v>10</v>
      </c>
      <c r="DJ136" s="41">
        <v>21</v>
      </c>
      <c r="DK136" s="41">
        <v>71</v>
      </c>
      <c r="DL136" s="41"/>
      <c r="DN136" s="1375"/>
      <c r="DO136" s="1375"/>
      <c r="DP136" s="1375" t="s">
        <v>545</v>
      </c>
      <c r="DQ136" s="1376" t="s">
        <v>1231</v>
      </c>
      <c r="DR136" s="1378">
        <v>1</v>
      </c>
      <c r="DS136" s="1378">
        <v>3</v>
      </c>
      <c r="DT136" s="1377"/>
      <c r="DU136" s="1378">
        <v>1</v>
      </c>
      <c r="DV136" s="1378">
        <v>2</v>
      </c>
      <c r="DW136" s="1377"/>
      <c r="DX136" s="1378">
        <v>2</v>
      </c>
      <c r="DY136" s="1378">
        <v>1</v>
      </c>
      <c r="DZ136" s="1378">
        <v>3</v>
      </c>
      <c r="EA136" s="1378">
        <v>7</v>
      </c>
      <c r="EB136" s="1378">
        <v>22</v>
      </c>
      <c r="EC136" s="1378">
        <v>3</v>
      </c>
      <c r="ED136" s="1378">
        <v>1</v>
      </c>
      <c r="EE136" s="1380">
        <v>0</v>
      </c>
      <c r="EF136" s="1380">
        <v>0</v>
      </c>
      <c r="EG136" s="1380">
        <v>46</v>
      </c>
      <c r="EH136" s="41"/>
      <c r="EJ136" s="678"/>
      <c r="EK136" s="678"/>
      <c r="EL136" s="678"/>
      <c r="EM136" s="679" t="s">
        <v>1236</v>
      </c>
      <c r="EN136" s="680"/>
      <c r="EO136" s="680"/>
      <c r="EP136" s="680"/>
      <c r="EQ136" s="680"/>
      <c r="ER136" s="680"/>
      <c r="ES136" s="680"/>
      <c r="ET136" s="681">
        <v>1</v>
      </c>
      <c r="EU136" s="680"/>
      <c r="EV136" s="681">
        <v>0</v>
      </c>
      <c r="EW136" s="681">
        <v>0</v>
      </c>
      <c r="EX136" s="681">
        <v>0</v>
      </c>
      <c r="EY136" s="680"/>
      <c r="EZ136" s="680"/>
      <c r="FA136" s="680"/>
      <c r="FB136" s="680"/>
      <c r="FC136" s="682"/>
      <c r="FD136" s="682"/>
      <c r="FE136" s="683">
        <v>1</v>
      </c>
      <c r="FF136" s="105"/>
      <c r="FH136" s="511"/>
      <c r="FI136" s="511"/>
      <c r="FJ136" s="511"/>
      <c r="FK136" s="511"/>
      <c r="FL136" s="512" t="s">
        <v>1344</v>
      </c>
      <c r="FM136" s="684"/>
      <c r="FN136" s="685">
        <v>0</v>
      </c>
      <c r="FO136" s="684"/>
      <c r="FP136" s="685">
        <v>0</v>
      </c>
      <c r="FQ136" s="684"/>
      <c r="FR136" s="685">
        <v>0</v>
      </c>
      <c r="FS136" s="684"/>
      <c r="FT136" s="684"/>
      <c r="FU136" s="684"/>
      <c r="FV136" s="685">
        <v>0</v>
      </c>
      <c r="FW136" s="684"/>
      <c r="FX136" s="685">
        <v>0</v>
      </c>
      <c r="FY136" s="685">
        <v>5</v>
      </c>
      <c r="FZ136" s="685">
        <v>2</v>
      </c>
      <c r="GA136" s="685">
        <v>1</v>
      </c>
      <c r="GB136" s="687">
        <v>0</v>
      </c>
      <c r="GC136" s="687">
        <v>0</v>
      </c>
      <c r="GD136" s="687">
        <v>8</v>
      </c>
      <c r="GE136" s="635"/>
      <c r="GF136" s="41"/>
      <c r="GG136" s="688"/>
      <c r="GH136" s="41"/>
      <c r="GI136" s="688"/>
      <c r="GJ136" s="457" t="s">
        <v>1344</v>
      </c>
      <c r="GK136" s="689"/>
      <c r="GL136" s="689"/>
      <c r="GM136" s="689"/>
      <c r="GN136" s="689"/>
      <c r="GO136" s="689"/>
      <c r="GP136" s="458">
        <v>1</v>
      </c>
      <c r="GQ136" s="458">
        <v>0</v>
      </c>
      <c r="GR136" s="458">
        <v>0</v>
      </c>
      <c r="GS136" s="689"/>
      <c r="GT136" s="458">
        <v>0</v>
      </c>
      <c r="GU136" s="458">
        <v>0</v>
      </c>
      <c r="GV136" s="458">
        <v>0</v>
      </c>
      <c r="GW136" s="458">
        <v>0</v>
      </c>
      <c r="GX136" s="458">
        <v>1</v>
      </c>
      <c r="GY136" s="690"/>
      <c r="GZ136" s="41"/>
      <c r="HA136" s="41"/>
      <c r="HB136" s="105"/>
      <c r="HC136" s="105"/>
      <c r="HD136" s="105"/>
      <c r="HE136" s="41" t="s">
        <v>1231</v>
      </c>
      <c r="HF136" s="41"/>
      <c r="HG136" s="41"/>
      <c r="HH136" s="41">
        <v>1</v>
      </c>
      <c r="HI136" s="41"/>
      <c r="HJ136" s="41"/>
      <c r="HK136" s="41"/>
      <c r="HL136" s="41">
        <v>1</v>
      </c>
      <c r="HM136" s="41"/>
      <c r="HN136" s="41">
        <v>1</v>
      </c>
      <c r="HO136" s="41">
        <v>2</v>
      </c>
      <c r="HP136" s="41">
        <v>0</v>
      </c>
      <c r="HQ136" s="41">
        <v>0</v>
      </c>
      <c r="HR136" s="41">
        <v>0</v>
      </c>
      <c r="HS136" s="41">
        <v>0</v>
      </c>
      <c r="HT136" s="41">
        <v>0</v>
      </c>
      <c r="HU136" s="41">
        <v>0</v>
      </c>
      <c r="HV136" s="41">
        <v>5</v>
      </c>
      <c r="HW136" s="41"/>
      <c r="HX136" s="41"/>
      <c r="HY136" s="691"/>
      <c r="HZ136" s="691"/>
      <c r="IA136" s="691"/>
      <c r="IB136" s="702" t="s">
        <v>15</v>
      </c>
      <c r="IC136" s="702">
        <v>0</v>
      </c>
      <c r="ID136" s="702">
        <v>0</v>
      </c>
      <c r="IE136" s="702">
        <v>0</v>
      </c>
      <c r="IF136" s="702">
        <v>1</v>
      </c>
      <c r="IG136" s="702">
        <v>0</v>
      </c>
      <c r="IH136" s="702">
        <v>0</v>
      </c>
      <c r="II136" s="702">
        <v>0</v>
      </c>
      <c r="IJ136" s="702">
        <v>1</v>
      </c>
      <c r="IK136" s="702">
        <v>0</v>
      </c>
      <c r="IL136" s="702">
        <v>1</v>
      </c>
      <c r="IM136" s="702">
        <v>3</v>
      </c>
      <c r="IN136" s="702">
        <v>2</v>
      </c>
      <c r="IO136" s="702">
        <v>6</v>
      </c>
      <c r="IP136" s="702">
        <v>10</v>
      </c>
      <c r="IQ136" s="702">
        <v>5</v>
      </c>
      <c r="IR136" s="702">
        <v>9</v>
      </c>
      <c r="IS136" s="702">
        <v>38</v>
      </c>
      <c r="IT136" s="703">
        <f>+(IS135+IS133)/IS136</f>
        <v>0.26315789473684209</v>
      </c>
      <c r="IU136" s="692">
        <f>+IS133+IS135</f>
        <v>10</v>
      </c>
    </row>
    <row r="137" spans="1:255">
      <c r="C137" s="32"/>
      <c r="D137" s="32" t="s">
        <v>1233</v>
      </c>
      <c r="E137" s="4607"/>
      <c r="F137" s="4607">
        <v>0</v>
      </c>
      <c r="G137" s="4607"/>
      <c r="H137" s="4607"/>
      <c r="I137" s="4607">
        <v>0</v>
      </c>
      <c r="J137" s="4607">
        <v>0</v>
      </c>
      <c r="K137" s="4607">
        <v>0</v>
      </c>
      <c r="L137" s="4607">
        <v>0</v>
      </c>
      <c r="M137" s="4607">
        <v>1</v>
      </c>
      <c r="N137" s="4607">
        <v>0</v>
      </c>
      <c r="O137" s="4607">
        <v>0</v>
      </c>
      <c r="P137" s="4607">
        <v>0</v>
      </c>
      <c r="Q137" s="4607">
        <v>0</v>
      </c>
      <c r="R137" s="4607">
        <v>0</v>
      </c>
      <c r="S137" s="4583">
        <v>0</v>
      </c>
      <c r="T137" s="4583">
        <v>0</v>
      </c>
      <c r="U137" s="4583">
        <v>1</v>
      </c>
      <c r="V137" s="4583"/>
      <c r="Z137" s="1793"/>
      <c r="AA137" s="1793" t="s">
        <v>1233</v>
      </c>
      <c r="AB137" s="4804">
        <v>0</v>
      </c>
      <c r="AC137" s="4804">
        <v>0</v>
      </c>
      <c r="AD137" s="4804"/>
      <c r="AE137" s="4804"/>
      <c r="AF137" s="4804">
        <v>0</v>
      </c>
      <c r="AG137" s="4804">
        <v>0</v>
      </c>
      <c r="AH137" s="4804">
        <v>0</v>
      </c>
      <c r="AI137" s="4804">
        <v>0</v>
      </c>
      <c r="AJ137" s="4804">
        <v>1</v>
      </c>
      <c r="AK137" s="4804">
        <v>0</v>
      </c>
      <c r="AL137" s="4804">
        <v>0</v>
      </c>
      <c r="AM137" s="4804">
        <v>0</v>
      </c>
      <c r="AN137" s="4804">
        <v>0</v>
      </c>
      <c r="AO137" s="4804">
        <v>0</v>
      </c>
      <c r="AP137" s="4702">
        <v>0</v>
      </c>
      <c r="AQ137" s="4702">
        <v>1</v>
      </c>
      <c r="AR137" s="1793"/>
      <c r="AT137" s="41"/>
      <c r="AU137" s="41"/>
      <c r="AV137" s="461"/>
      <c r="AW137" s="461" t="s">
        <v>15</v>
      </c>
      <c r="AX137" s="2489"/>
      <c r="AY137" s="2489">
        <v>2</v>
      </c>
      <c r="AZ137" s="2489"/>
      <c r="BA137" s="2489">
        <v>3</v>
      </c>
      <c r="BB137" s="2489"/>
      <c r="BC137" s="2489">
        <v>1</v>
      </c>
      <c r="BD137" s="2489">
        <v>1</v>
      </c>
      <c r="BE137" s="2489"/>
      <c r="BF137" s="2489"/>
      <c r="BG137" s="2489">
        <v>1</v>
      </c>
      <c r="BH137" s="2489">
        <v>1</v>
      </c>
      <c r="BI137" s="2489">
        <v>1</v>
      </c>
      <c r="BJ137" s="2489">
        <v>23</v>
      </c>
      <c r="BK137" s="2489">
        <v>41</v>
      </c>
      <c r="BL137" s="2489">
        <v>24</v>
      </c>
      <c r="BM137" s="461">
        <v>1</v>
      </c>
      <c r="BN137" s="461"/>
      <c r="BO137" s="461">
        <v>99</v>
      </c>
      <c r="BP137" s="635">
        <f>+(BO136+BO135+BO132)/BO137</f>
        <v>0.39393939393939392</v>
      </c>
      <c r="BQ137" s="1977"/>
      <c r="BR137" s="41"/>
      <c r="BS137" s="41"/>
      <c r="BT137" s="41"/>
      <c r="BU137" s="41" t="s">
        <v>1240</v>
      </c>
      <c r="BV137" s="2001"/>
      <c r="BW137" s="2001">
        <v>0</v>
      </c>
      <c r="BX137" s="2001">
        <v>0</v>
      </c>
      <c r="BY137" s="2001"/>
      <c r="BZ137" s="2001"/>
      <c r="CA137" s="2001"/>
      <c r="CB137" s="2001"/>
      <c r="CC137" s="2001"/>
      <c r="CD137" s="2001">
        <v>0</v>
      </c>
      <c r="CE137" s="2001">
        <v>1</v>
      </c>
      <c r="CF137" s="2001">
        <v>0</v>
      </c>
      <c r="CG137" s="2001">
        <v>0</v>
      </c>
      <c r="CH137" s="2001">
        <v>5</v>
      </c>
      <c r="CI137" s="2001">
        <v>0</v>
      </c>
      <c r="CJ137" s="2001">
        <v>1</v>
      </c>
      <c r="CK137" s="105">
        <v>0</v>
      </c>
      <c r="CL137" s="105">
        <v>0</v>
      </c>
      <c r="CM137" s="105">
        <v>7</v>
      </c>
      <c r="CN137" s="41"/>
      <c r="CR137" s="41"/>
      <c r="CS137" s="41" t="s">
        <v>1344</v>
      </c>
      <c r="CT137" s="1665">
        <v>0</v>
      </c>
      <c r="CU137" s="1665">
        <v>0</v>
      </c>
      <c r="CV137" s="1665">
        <v>0</v>
      </c>
      <c r="CW137" s="1665">
        <v>0</v>
      </c>
      <c r="CX137" s="1665"/>
      <c r="CY137" s="1665">
        <v>0</v>
      </c>
      <c r="CZ137" s="1665"/>
      <c r="DA137" s="1665">
        <v>0</v>
      </c>
      <c r="DB137" s="1665">
        <v>0</v>
      </c>
      <c r="DC137" s="1665">
        <v>0</v>
      </c>
      <c r="DD137" s="1665">
        <v>0</v>
      </c>
      <c r="DE137" s="1665">
        <v>0</v>
      </c>
      <c r="DF137" s="1665">
        <v>10</v>
      </c>
      <c r="DG137" s="1665">
        <v>12</v>
      </c>
      <c r="DH137" s="1665">
        <v>2</v>
      </c>
      <c r="DI137" s="41">
        <v>1</v>
      </c>
      <c r="DJ137" s="41">
        <v>0</v>
      </c>
      <c r="DK137" s="41">
        <v>25</v>
      </c>
      <c r="DL137" s="41"/>
      <c r="DN137" s="1375"/>
      <c r="DO137" s="1375"/>
      <c r="DP137" s="1375"/>
      <c r="DQ137" s="1376" t="s">
        <v>1235</v>
      </c>
      <c r="DR137" s="1378">
        <v>0</v>
      </c>
      <c r="DS137" s="1378">
        <v>0</v>
      </c>
      <c r="DT137" s="1377"/>
      <c r="DU137" s="1378">
        <v>0</v>
      </c>
      <c r="DV137" s="1378">
        <v>0</v>
      </c>
      <c r="DW137" s="1377"/>
      <c r="DX137" s="1378">
        <v>0</v>
      </c>
      <c r="DY137" s="1378">
        <v>0</v>
      </c>
      <c r="DZ137" s="1378">
        <v>0</v>
      </c>
      <c r="EA137" s="1378">
        <v>0</v>
      </c>
      <c r="EB137" s="1378">
        <v>3</v>
      </c>
      <c r="EC137" s="1378">
        <v>2</v>
      </c>
      <c r="ED137" s="1378">
        <v>0</v>
      </c>
      <c r="EE137" s="1380">
        <v>0</v>
      </c>
      <c r="EF137" s="1380">
        <v>0</v>
      </c>
      <c r="EG137" s="1380">
        <v>5</v>
      </c>
      <c r="EH137" s="41"/>
      <c r="EJ137" s="678"/>
      <c r="EK137" s="678"/>
      <c r="EL137" s="678"/>
      <c r="EM137" s="679" t="s">
        <v>1344</v>
      </c>
      <c r="EN137" s="680"/>
      <c r="EO137" s="680"/>
      <c r="EP137" s="680"/>
      <c r="EQ137" s="680"/>
      <c r="ER137" s="680"/>
      <c r="ES137" s="680"/>
      <c r="ET137" s="681">
        <v>0</v>
      </c>
      <c r="EU137" s="680"/>
      <c r="EV137" s="681">
        <v>0</v>
      </c>
      <c r="EW137" s="681">
        <v>2</v>
      </c>
      <c r="EX137" s="681">
        <v>2</v>
      </c>
      <c r="EY137" s="680"/>
      <c r="EZ137" s="680"/>
      <c r="FA137" s="680"/>
      <c r="FB137" s="680"/>
      <c r="FC137" s="682"/>
      <c r="FD137" s="682"/>
      <c r="FE137" s="683">
        <v>4</v>
      </c>
      <c r="FF137" s="105"/>
      <c r="FH137" s="511"/>
      <c r="FI137" s="511"/>
      <c r="FJ137" s="511"/>
      <c r="FK137" s="41"/>
      <c r="FL137" s="532" t="s">
        <v>15</v>
      </c>
      <c r="FM137" s="693"/>
      <c r="FN137" s="694">
        <v>1</v>
      </c>
      <c r="FO137" s="693"/>
      <c r="FP137" s="694">
        <v>1</v>
      </c>
      <c r="FQ137" s="693"/>
      <c r="FR137" s="694">
        <v>1</v>
      </c>
      <c r="FS137" s="693"/>
      <c r="FT137" s="693"/>
      <c r="FU137" s="693"/>
      <c r="FV137" s="694">
        <v>1</v>
      </c>
      <c r="FW137" s="693"/>
      <c r="FX137" s="694">
        <v>3</v>
      </c>
      <c r="FY137" s="694">
        <v>20</v>
      </c>
      <c r="FZ137" s="694">
        <v>6</v>
      </c>
      <c r="GA137" s="694">
        <v>4</v>
      </c>
      <c r="GB137" s="696">
        <v>7</v>
      </c>
      <c r="GC137" s="696">
        <v>2</v>
      </c>
      <c r="GD137" s="696">
        <v>46</v>
      </c>
      <c r="GE137" s="635">
        <f>+(GD136+GD135+GD133-GB135)/GD137</f>
        <v>0.21739130434782608</v>
      </c>
      <c r="GF137" s="41"/>
      <c r="GG137" s="688"/>
      <c r="GH137" s="41"/>
      <c r="GI137" s="688"/>
      <c r="GJ137" s="704" t="s">
        <v>544</v>
      </c>
      <c r="GK137" s="705"/>
      <c r="GL137" s="705"/>
      <c r="GM137" s="705"/>
      <c r="GN137" s="705"/>
      <c r="GO137" s="705"/>
      <c r="GP137" s="463">
        <v>2</v>
      </c>
      <c r="GQ137" s="463">
        <v>1</v>
      </c>
      <c r="GR137" s="463">
        <v>2</v>
      </c>
      <c r="GS137" s="705"/>
      <c r="GT137" s="463">
        <v>4</v>
      </c>
      <c r="GU137" s="463">
        <v>9</v>
      </c>
      <c r="GV137" s="463">
        <v>5</v>
      </c>
      <c r="GW137" s="463">
        <v>4</v>
      </c>
      <c r="GX137" s="463">
        <v>27</v>
      </c>
      <c r="GY137" s="628">
        <f>+(GX136+GX134-GV134)/GX137</f>
        <v>0.14814814814814814</v>
      </c>
      <c r="GZ137" s="41"/>
      <c r="HA137" s="41"/>
      <c r="HB137" s="105"/>
      <c r="HC137" s="105"/>
      <c r="HD137" s="105"/>
      <c r="HE137" s="41" t="s">
        <v>1235</v>
      </c>
      <c r="HF137" s="41"/>
      <c r="HG137" s="41"/>
      <c r="HH137" s="41">
        <v>0</v>
      </c>
      <c r="HI137" s="41"/>
      <c r="HJ137" s="41"/>
      <c r="HK137" s="41"/>
      <c r="HL137" s="41">
        <v>0</v>
      </c>
      <c r="HM137" s="41"/>
      <c r="HN137" s="41">
        <v>0</v>
      </c>
      <c r="HO137" s="41">
        <v>0</v>
      </c>
      <c r="HP137" s="41">
        <v>0</v>
      </c>
      <c r="HQ137" s="41">
        <v>0</v>
      </c>
      <c r="HR137" s="41">
        <v>1</v>
      </c>
      <c r="HS137" s="41">
        <v>0</v>
      </c>
      <c r="HT137" s="41">
        <v>0</v>
      </c>
      <c r="HU137" s="41">
        <v>0</v>
      </c>
      <c r="HV137" s="41">
        <v>1</v>
      </c>
      <c r="HW137" s="41"/>
      <c r="HX137" s="41"/>
      <c r="HY137" s="691"/>
      <c r="HZ137" s="691"/>
      <c r="IA137" s="691" t="s">
        <v>16</v>
      </c>
      <c r="IB137" s="691" t="s">
        <v>1230</v>
      </c>
      <c r="IC137" s="691">
        <v>0</v>
      </c>
      <c r="ID137" s="691">
        <v>0</v>
      </c>
      <c r="IE137" s="691">
        <v>0</v>
      </c>
      <c r="IF137" s="691">
        <v>0</v>
      </c>
      <c r="IG137" s="691">
        <v>0</v>
      </c>
      <c r="IH137" s="691">
        <v>1</v>
      </c>
      <c r="II137" s="691">
        <v>0</v>
      </c>
      <c r="IJ137" s="691">
        <v>0</v>
      </c>
      <c r="IK137" s="691">
        <v>0</v>
      </c>
      <c r="IL137" s="691">
        <v>0</v>
      </c>
      <c r="IM137" s="691">
        <v>0</v>
      </c>
      <c r="IN137" s="691">
        <v>0</v>
      </c>
      <c r="IO137" s="691">
        <v>0</v>
      </c>
      <c r="IP137" s="691">
        <v>0</v>
      </c>
      <c r="IQ137" s="691">
        <v>0</v>
      </c>
      <c r="IR137" s="691">
        <v>0</v>
      </c>
      <c r="IS137" s="691">
        <v>1</v>
      </c>
      <c r="IT137" s="691"/>
      <c r="IU137" s="692"/>
    </row>
    <row r="138" spans="1:255">
      <c r="C138" s="32"/>
      <c r="D138" s="32" t="s">
        <v>1235</v>
      </c>
      <c r="E138" s="4607"/>
      <c r="F138" s="4607">
        <v>0</v>
      </c>
      <c r="G138" s="4607"/>
      <c r="H138" s="4607"/>
      <c r="I138" s="4607">
        <v>0</v>
      </c>
      <c r="J138" s="4607">
        <v>0</v>
      </c>
      <c r="K138" s="4607">
        <v>0</v>
      </c>
      <c r="L138" s="4607">
        <v>0</v>
      </c>
      <c r="M138" s="4607">
        <v>0</v>
      </c>
      <c r="N138" s="4607">
        <v>0</v>
      </c>
      <c r="O138" s="4607">
        <v>0</v>
      </c>
      <c r="P138" s="4607">
        <v>3</v>
      </c>
      <c r="Q138" s="4607">
        <v>18</v>
      </c>
      <c r="R138" s="4607">
        <v>1</v>
      </c>
      <c r="S138" s="4583">
        <v>2</v>
      </c>
      <c r="T138" s="4583">
        <v>0</v>
      </c>
      <c r="U138" s="4583">
        <v>24</v>
      </c>
      <c r="V138" s="4583"/>
      <c r="Z138" s="1793"/>
      <c r="AA138" s="1793" t="s">
        <v>1235</v>
      </c>
      <c r="AB138" s="4804">
        <v>0</v>
      </c>
      <c r="AC138" s="4804">
        <v>0</v>
      </c>
      <c r="AD138" s="4804"/>
      <c r="AE138" s="4804"/>
      <c r="AF138" s="4804">
        <v>0</v>
      </c>
      <c r="AG138" s="4804">
        <v>0</v>
      </c>
      <c r="AH138" s="4804">
        <v>0</v>
      </c>
      <c r="AI138" s="4804">
        <v>0</v>
      </c>
      <c r="AJ138" s="4804">
        <v>0</v>
      </c>
      <c r="AK138" s="4804">
        <v>1</v>
      </c>
      <c r="AL138" s="4804">
        <v>0</v>
      </c>
      <c r="AM138" s="4804">
        <v>10</v>
      </c>
      <c r="AN138" s="4804">
        <v>5</v>
      </c>
      <c r="AO138" s="4804">
        <v>2</v>
      </c>
      <c r="AP138" s="4702">
        <v>0</v>
      </c>
      <c r="AQ138" s="4702">
        <v>18</v>
      </c>
      <c r="AR138" s="1793"/>
      <c r="AT138" s="41"/>
      <c r="AU138" s="41" t="s">
        <v>41</v>
      </c>
      <c r="AV138" s="41" t="s">
        <v>129</v>
      </c>
      <c r="AW138" s="41" t="s">
        <v>1230</v>
      </c>
      <c r="AX138" s="690">
        <v>0</v>
      </c>
      <c r="AY138" s="690"/>
      <c r="AZ138" s="690"/>
      <c r="BA138" s="690"/>
      <c r="BB138" s="690"/>
      <c r="BC138" s="690">
        <v>0</v>
      </c>
      <c r="BD138" s="690"/>
      <c r="BE138" s="690"/>
      <c r="BF138" s="690"/>
      <c r="BG138" s="690"/>
      <c r="BH138" s="690"/>
      <c r="BI138" s="690">
        <v>0</v>
      </c>
      <c r="BJ138" s="690">
        <v>0</v>
      </c>
      <c r="BK138" s="690">
        <v>0</v>
      </c>
      <c r="BL138" s="690">
        <v>0</v>
      </c>
      <c r="BM138" s="41">
        <v>0</v>
      </c>
      <c r="BN138" s="41">
        <v>1</v>
      </c>
      <c r="BO138" s="41">
        <v>1</v>
      </c>
      <c r="BP138" s="41"/>
      <c r="BR138" s="41"/>
      <c r="BS138" s="41"/>
      <c r="BT138" s="41"/>
      <c r="BU138" s="41" t="s">
        <v>1344</v>
      </c>
      <c r="BV138" s="2001"/>
      <c r="BW138" s="2001">
        <v>0</v>
      </c>
      <c r="BX138" s="2001">
        <v>0</v>
      </c>
      <c r="BY138" s="2001"/>
      <c r="BZ138" s="2001"/>
      <c r="CA138" s="2001"/>
      <c r="CB138" s="2001"/>
      <c r="CC138" s="2001"/>
      <c r="CD138" s="2001">
        <v>1</v>
      </c>
      <c r="CE138" s="2001">
        <v>0</v>
      </c>
      <c r="CF138" s="2001">
        <v>0</v>
      </c>
      <c r="CG138" s="2001">
        <v>0</v>
      </c>
      <c r="CH138" s="2001">
        <v>3</v>
      </c>
      <c r="CI138" s="2001">
        <v>1</v>
      </c>
      <c r="CJ138" s="2001">
        <v>2</v>
      </c>
      <c r="CK138" s="105">
        <v>0</v>
      </c>
      <c r="CL138" s="105">
        <v>0</v>
      </c>
      <c r="CM138" s="105">
        <v>7</v>
      </c>
      <c r="CN138" s="41"/>
      <c r="CR138" s="41"/>
      <c r="CS138" s="41" t="s">
        <v>1940</v>
      </c>
      <c r="CT138" s="1665">
        <v>1</v>
      </c>
      <c r="CU138" s="1665">
        <v>0</v>
      </c>
      <c r="CV138" s="1665">
        <v>0</v>
      </c>
      <c r="CW138" s="1665">
        <v>0</v>
      </c>
      <c r="CX138" s="1665"/>
      <c r="CY138" s="1665">
        <v>0</v>
      </c>
      <c r="CZ138" s="1665"/>
      <c r="DA138" s="1665">
        <v>0</v>
      </c>
      <c r="DB138" s="1665">
        <v>0</v>
      </c>
      <c r="DC138" s="1665">
        <v>0</v>
      </c>
      <c r="DD138" s="1665">
        <v>0</v>
      </c>
      <c r="DE138" s="1665">
        <v>0</v>
      </c>
      <c r="DF138" s="1665">
        <v>0</v>
      </c>
      <c r="DG138" s="1665">
        <v>0</v>
      </c>
      <c r="DH138" s="1665">
        <v>0</v>
      </c>
      <c r="DI138" s="41">
        <v>0</v>
      </c>
      <c r="DJ138" s="41">
        <v>0</v>
      </c>
      <c r="DK138" s="41">
        <v>1</v>
      </c>
      <c r="DL138" s="41"/>
      <c r="DN138" s="1375"/>
      <c r="DO138" s="1375"/>
      <c r="DP138" s="1375"/>
      <c r="DQ138" s="1376" t="s">
        <v>1239</v>
      </c>
      <c r="DR138" s="1378">
        <v>0</v>
      </c>
      <c r="DS138" s="1378">
        <v>0</v>
      </c>
      <c r="DT138" s="1377"/>
      <c r="DU138" s="1378">
        <v>0</v>
      </c>
      <c r="DV138" s="1378">
        <v>0</v>
      </c>
      <c r="DW138" s="1377"/>
      <c r="DX138" s="1378">
        <v>0</v>
      </c>
      <c r="DY138" s="1378">
        <v>0</v>
      </c>
      <c r="DZ138" s="1378">
        <v>0</v>
      </c>
      <c r="EA138" s="1378">
        <v>0</v>
      </c>
      <c r="EB138" s="1378">
        <v>0</v>
      </c>
      <c r="EC138" s="1378">
        <v>3</v>
      </c>
      <c r="ED138" s="1378">
        <v>0</v>
      </c>
      <c r="EE138" s="1380">
        <v>1</v>
      </c>
      <c r="EF138" s="1380">
        <v>1</v>
      </c>
      <c r="EG138" s="1380">
        <v>5</v>
      </c>
      <c r="EH138" s="41"/>
      <c r="EJ138" s="678"/>
      <c r="EK138" s="678"/>
      <c r="EL138" s="678"/>
      <c r="EM138" s="697" t="s">
        <v>15</v>
      </c>
      <c r="EN138" s="698"/>
      <c r="EO138" s="698"/>
      <c r="EP138" s="698"/>
      <c r="EQ138" s="698"/>
      <c r="ER138" s="698"/>
      <c r="ES138" s="698"/>
      <c r="ET138" s="699">
        <v>1</v>
      </c>
      <c r="EU138" s="698"/>
      <c r="EV138" s="699">
        <v>1</v>
      </c>
      <c r="EW138" s="699">
        <v>5</v>
      </c>
      <c r="EX138" s="699">
        <v>6</v>
      </c>
      <c r="EY138" s="698"/>
      <c r="EZ138" s="698"/>
      <c r="FA138" s="698"/>
      <c r="FB138" s="698"/>
      <c r="FC138" s="700"/>
      <c r="FD138" s="700"/>
      <c r="FE138" s="701">
        <v>13</v>
      </c>
      <c r="FF138" s="635">
        <f>+FE137/FE138</f>
        <v>0.30769230769230771</v>
      </c>
      <c r="FH138" s="511"/>
      <c r="FI138" s="511"/>
      <c r="FJ138" s="511" t="s">
        <v>128</v>
      </c>
      <c r="FK138" s="512" t="s">
        <v>1229</v>
      </c>
      <c r="FL138" s="512" t="s">
        <v>1235</v>
      </c>
      <c r="FM138" s="684"/>
      <c r="FN138" s="684"/>
      <c r="FO138" s="684"/>
      <c r="FP138" s="684"/>
      <c r="FQ138" s="684"/>
      <c r="FR138" s="684"/>
      <c r="FS138" s="684"/>
      <c r="FT138" s="684"/>
      <c r="FU138" s="684"/>
      <c r="FV138" s="684"/>
      <c r="FW138" s="684"/>
      <c r="FX138" s="685">
        <v>1</v>
      </c>
      <c r="FY138" s="684"/>
      <c r="FZ138" s="685">
        <v>1</v>
      </c>
      <c r="GA138" s="684"/>
      <c r="GB138" s="686"/>
      <c r="GC138" s="686"/>
      <c r="GD138" s="687">
        <v>2</v>
      </c>
      <c r="GE138" s="635"/>
      <c r="GF138" s="41"/>
      <c r="GG138" s="688"/>
      <c r="GH138" s="41"/>
      <c r="GI138" s="688" t="s">
        <v>545</v>
      </c>
      <c r="GJ138" s="457" t="s">
        <v>1230</v>
      </c>
      <c r="GK138" s="458">
        <v>0</v>
      </c>
      <c r="GL138" s="458">
        <v>0</v>
      </c>
      <c r="GM138" s="458">
        <v>0</v>
      </c>
      <c r="GN138" s="458">
        <v>0</v>
      </c>
      <c r="GO138" s="689"/>
      <c r="GP138" s="458">
        <v>0</v>
      </c>
      <c r="GQ138" s="458">
        <v>0</v>
      </c>
      <c r="GR138" s="458">
        <v>0</v>
      </c>
      <c r="GS138" s="458">
        <v>1</v>
      </c>
      <c r="GT138" s="458">
        <v>1</v>
      </c>
      <c r="GU138" s="458">
        <v>0</v>
      </c>
      <c r="GV138" s="458">
        <v>0</v>
      </c>
      <c r="GW138" s="458">
        <v>0</v>
      </c>
      <c r="GX138" s="458">
        <v>2</v>
      </c>
      <c r="GY138" s="690"/>
      <c r="GZ138" s="41"/>
      <c r="HA138" s="41"/>
      <c r="HB138" s="105"/>
      <c r="HC138" s="105"/>
      <c r="HD138" s="105"/>
      <c r="HE138" s="41" t="s">
        <v>1239</v>
      </c>
      <c r="HF138" s="41"/>
      <c r="HG138" s="41"/>
      <c r="HH138" s="41">
        <v>0</v>
      </c>
      <c r="HI138" s="41"/>
      <c r="HJ138" s="41"/>
      <c r="HK138" s="41"/>
      <c r="HL138" s="41">
        <v>0</v>
      </c>
      <c r="HM138" s="41"/>
      <c r="HN138" s="41">
        <v>0</v>
      </c>
      <c r="HO138" s="41">
        <v>0</v>
      </c>
      <c r="HP138" s="41">
        <v>0</v>
      </c>
      <c r="HQ138" s="41">
        <v>0</v>
      </c>
      <c r="HR138" s="41">
        <v>0</v>
      </c>
      <c r="HS138" s="41">
        <v>6</v>
      </c>
      <c r="HT138" s="41">
        <v>4</v>
      </c>
      <c r="HU138" s="41">
        <v>4</v>
      </c>
      <c r="HV138" s="41">
        <v>14</v>
      </c>
      <c r="HW138" s="41"/>
      <c r="HX138" s="41"/>
      <c r="HY138" s="691"/>
      <c r="HZ138" s="691"/>
      <c r="IA138" s="691"/>
      <c r="IB138" s="691" t="s">
        <v>1231</v>
      </c>
      <c r="IC138" s="691">
        <v>0</v>
      </c>
      <c r="ID138" s="691">
        <v>0</v>
      </c>
      <c r="IE138" s="691">
        <v>0</v>
      </c>
      <c r="IF138" s="691">
        <v>0</v>
      </c>
      <c r="IG138" s="691">
        <v>0</v>
      </c>
      <c r="IH138" s="691">
        <v>0</v>
      </c>
      <c r="II138" s="691">
        <v>0</v>
      </c>
      <c r="IJ138" s="691">
        <v>0</v>
      </c>
      <c r="IK138" s="691">
        <v>3</v>
      </c>
      <c r="IL138" s="691">
        <v>1</v>
      </c>
      <c r="IM138" s="691">
        <v>0</v>
      </c>
      <c r="IN138" s="691">
        <v>1</v>
      </c>
      <c r="IO138" s="691">
        <v>0</v>
      </c>
      <c r="IP138" s="691">
        <v>0</v>
      </c>
      <c r="IQ138" s="691">
        <v>0</v>
      </c>
      <c r="IR138" s="691">
        <v>0</v>
      </c>
      <c r="IS138" s="691">
        <v>5</v>
      </c>
      <c r="IT138" s="691"/>
      <c r="IU138" s="692"/>
    </row>
    <row r="139" spans="1:255">
      <c r="C139" s="32"/>
      <c r="D139" s="32" t="s">
        <v>1236</v>
      </c>
      <c r="E139" s="4607"/>
      <c r="F139" s="4607">
        <v>1</v>
      </c>
      <c r="G139" s="4607"/>
      <c r="H139" s="4607"/>
      <c r="I139" s="4607">
        <v>0</v>
      </c>
      <c r="J139" s="4607">
        <v>1</v>
      </c>
      <c r="K139" s="4607">
        <v>1</v>
      </c>
      <c r="L139" s="4607">
        <v>1</v>
      </c>
      <c r="M139" s="4607">
        <v>0</v>
      </c>
      <c r="N139" s="4607">
        <v>0</v>
      </c>
      <c r="O139" s="4607">
        <v>2</v>
      </c>
      <c r="P139" s="4607">
        <v>0</v>
      </c>
      <c r="Q139" s="4607">
        <v>0</v>
      </c>
      <c r="R139" s="4607">
        <v>0</v>
      </c>
      <c r="S139" s="4583">
        <v>0</v>
      </c>
      <c r="T139" s="4583">
        <v>0</v>
      </c>
      <c r="U139" s="4583">
        <v>6</v>
      </c>
      <c r="V139" s="4583"/>
      <c r="Z139" s="1793"/>
      <c r="AA139" s="1793" t="s">
        <v>1236</v>
      </c>
      <c r="AB139" s="4804">
        <v>0</v>
      </c>
      <c r="AC139" s="4804">
        <v>1</v>
      </c>
      <c r="AD139" s="4804"/>
      <c r="AE139" s="4804"/>
      <c r="AF139" s="4804">
        <v>0</v>
      </c>
      <c r="AG139" s="4804">
        <v>1</v>
      </c>
      <c r="AH139" s="4804">
        <v>1</v>
      </c>
      <c r="AI139" s="4804">
        <v>1</v>
      </c>
      <c r="AJ139" s="4804">
        <v>0</v>
      </c>
      <c r="AK139" s="4804">
        <v>0</v>
      </c>
      <c r="AL139" s="4804">
        <v>2</v>
      </c>
      <c r="AM139" s="4804">
        <v>0</v>
      </c>
      <c r="AN139" s="4804">
        <v>0</v>
      </c>
      <c r="AO139" s="4804">
        <v>0</v>
      </c>
      <c r="AP139" s="4702">
        <v>0</v>
      </c>
      <c r="AQ139" s="4702">
        <v>6</v>
      </c>
      <c r="AR139" s="1793"/>
      <c r="AT139" s="41"/>
      <c r="AU139" s="41"/>
      <c r="AV139" s="41"/>
      <c r="AW139" s="41" t="s">
        <v>1231</v>
      </c>
      <c r="AX139" s="690">
        <v>1</v>
      </c>
      <c r="AY139" s="690"/>
      <c r="AZ139" s="690"/>
      <c r="BA139" s="690"/>
      <c r="BB139" s="690"/>
      <c r="BC139" s="690">
        <v>0</v>
      </c>
      <c r="BD139" s="690"/>
      <c r="BE139" s="690"/>
      <c r="BF139" s="690"/>
      <c r="BG139" s="690"/>
      <c r="BH139" s="690"/>
      <c r="BI139" s="690">
        <v>0</v>
      </c>
      <c r="BJ139" s="690">
        <v>0</v>
      </c>
      <c r="BK139" s="690">
        <v>0</v>
      </c>
      <c r="BL139" s="690">
        <v>0</v>
      </c>
      <c r="BM139" s="41">
        <v>0</v>
      </c>
      <c r="BN139" s="41">
        <v>0</v>
      </c>
      <c r="BO139" s="41">
        <v>1</v>
      </c>
      <c r="BP139" s="41"/>
      <c r="BR139" s="41"/>
      <c r="BS139" s="41"/>
      <c r="BT139" s="41"/>
      <c r="BU139" s="461" t="s">
        <v>545</v>
      </c>
      <c r="BV139" s="2002"/>
      <c r="BW139" s="2002">
        <v>1</v>
      </c>
      <c r="BX139" s="2002">
        <v>2</v>
      </c>
      <c r="BY139" s="2002"/>
      <c r="BZ139" s="2002"/>
      <c r="CA139" s="2002"/>
      <c r="CB139" s="2002"/>
      <c r="CC139" s="2002"/>
      <c r="CD139" s="2002">
        <v>2</v>
      </c>
      <c r="CE139" s="2002">
        <v>6</v>
      </c>
      <c r="CF139" s="2002">
        <v>3</v>
      </c>
      <c r="CG139" s="2002">
        <v>4</v>
      </c>
      <c r="CH139" s="2002">
        <v>34</v>
      </c>
      <c r="CI139" s="2002">
        <v>9</v>
      </c>
      <c r="CJ139" s="2002">
        <v>5</v>
      </c>
      <c r="CK139" s="96">
        <v>1</v>
      </c>
      <c r="CL139" s="96">
        <v>4</v>
      </c>
      <c r="CM139" s="96">
        <v>71</v>
      </c>
      <c r="CN139" s="635">
        <f>+(CM134+CM137+CM138)/CM139</f>
        <v>0.26760563380281688</v>
      </c>
      <c r="CR139" s="41"/>
      <c r="CS139" s="461" t="s">
        <v>110</v>
      </c>
      <c r="CT139" s="1666">
        <v>2</v>
      </c>
      <c r="CU139" s="1666">
        <v>6</v>
      </c>
      <c r="CV139" s="1666">
        <v>1</v>
      </c>
      <c r="CW139" s="1666">
        <v>2</v>
      </c>
      <c r="CX139" s="1666"/>
      <c r="CY139" s="1666">
        <v>2</v>
      </c>
      <c r="CZ139" s="1666"/>
      <c r="DA139" s="1666">
        <v>2</v>
      </c>
      <c r="DB139" s="1666">
        <v>2</v>
      </c>
      <c r="DC139" s="1666">
        <v>2</v>
      </c>
      <c r="DD139" s="1666">
        <v>1</v>
      </c>
      <c r="DE139" s="1666">
        <v>2</v>
      </c>
      <c r="DF139" s="1666">
        <v>47</v>
      </c>
      <c r="DG139" s="1666">
        <v>48</v>
      </c>
      <c r="DH139" s="1666">
        <v>47</v>
      </c>
      <c r="DI139" s="461">
        <v>15</v>
      </c>
      <c r="DJ139" s="461">
        <v>23</v>
      </c>
      <c r="DK139" s="461">
        <v>202</v>
      </c>
      <c r="DL139" s="635">
        <f>+(DK134+DK137-DI134-DI137)/(DK139-DK138)</f>
        <v>0.32835820895522388</v>
      </c>
      <c r="DN139" s="1375"/>
      <c r="DO139" s="1375"/>
      <c r="DP139" s="1375"/>
      <c r="DQ139" s="1376" t="s">
        <v>1240</v>
      </c>
      <c r="DR139" s="1378">
        <v>0</v>
      </c>
      <c r="DS139" s="1378">
        <v>0</v>
      </c>
      <c r="DT139" s="1377"/>
      <c r="DU139" s="1378">
        <v>0</v>
      </c>
      <c r="DV139" s="1378">
        <v>0</v>
      </c>
      <c r="DW139" s="1377"/>
      <c r="DX139" s="1378">
        <v>0</v>
      </c>
      <c r="DY139" s="1378">
        <v>0</v>
      </c>
      <c r="DZ139" s="1378">
        <v>0</v>
      </c>
      <c r="EA139" s="1378">
        <v>2</v>
      </c>
      <c r="EB139" s="1378">
        <v>4</v>
      </c>
      <c r="EC139" s="1378">
        <v>0</v>
      </c>
      <c r="ED139" s="1378">
        <v>0</v>
      </c>
      <c r="EE139" s="1380">
        <v>0</v>
      </c>
      <c r="EF139" s="1380">
        <v>0</v>
      </c>
      <c r="EG139" s="1380">
        <v>6</v>
      </c>
      <c r="EH139" s="41"/>
      <c r="EJ139" s="678"/>
      <c r="EK139" s="678"/>
      <c r="EL139" s="678" t="s">
        <v>333</v>
      </c>
      <c r="EM139" s="679" t="s">
        <v>1231</v>
      </c>
      <c r="EN139" s="680"/>
      <c r="EO139" s="680"/>
      <c r="EP139" s="680"/>
      <c r="EQ139" s="680"/>
      <c r="ER139" s="680"/>
      <c r="ES139" s="680"/>
      <c r="ET139" s="680"/>
      <c r="EU139" s="680"/>
      <c r="EV139" s="681">
        <v>1</v>
      </c>
      <c r="EW139" s="681">
        <v>2</v>
      </c>
      <c r="EX139" s="681">
        <v>0</v>
      </c>
      <c r="EY139" s="681">
        <v>1</v>
      </c>
      <c r="EZ139" s="680"/>
      <c r="FA139" s="681">
        <v>1</v>
      </c>
      <c r="FB139" s="680"/>
      <c r="FC139" s="682"/>
      <c r="FD139" s="682"/>
      <c r="FE139" s="683">
        <v>5</v>
      </c>
      <c r="FF139" s="105"/>
      <c r="FH139" s="511"/>
      <c r="FI139" s="511"/>
      <c r="FJ139" s="511"/>
      <c r="FK139" s="41"/>
      <c r="FL139" s="532" t="s">
        <v>15</v>
      </c>
      <c r="FM139" s="693"/>
      <c r="FN139" s="693"/>
      <c r="FO139" s="693"/>
      <c r="FP139" s="693"/>
      <c r="FQ139" s="693"/>
      <c r="FR139" s="693"/>
      <c r="FS139" s="693"/>
      <c r="FT139" s="693"/>
      <c r="FU139" s="693"/>
      <c r="FV139" s="693"/>
      <c r="FW139" s="693"/>
      <c r="FX139" s="694">
        <v>1</v>
      </c>
      <c r="FY139" s="693"/>
      <c r="FZ139" s="694">
        <v>1</v>
      </c>
      <c r="GA139" s="693"/>
      <c r="GB139" s="695"/>
      <c r="GC139" s="695"/>
      <c r="GD139" s="696">
        <v>2</v>
      </c>
      <c r="GE139" s="635">
        <f>+GD138/GD139</f>
        <v>1</v>
      </c>
      <c r="GF139" s="41"/>
      <c r="GG139" s="688"/>
      <c r="GH139" s="41"/>
      <c r="GI139" s="688"/>
      <c r="GJ139" s="457" t="s">
        <v>1231</v>
      </c>
      <c r="GK139" s="458">
        <v>0</v>
      </c>
      <c r="GL139" s="458">
        <v>0</v>
      </c>
      <c r="GM139" s="458">
        <v>2</v>
      </c>
      <c r="GN139" s="458">
        <v>0</v>
      </c>
      <c r="GO139" s="689"/>
      <c r="GP139" s="458">
        <v>1</v>
      </c>
      <c r="GQ139" s="458">
        <v>1</v>
      </c>
      <c r="GR139" s="458">
        <v>1</v>
      </c>
      <c r="GS139" s="458">
        <v>1</v>
      </c>
      <c r="GT139" s="458">
        <v>0</v>
      </c>
      <c r="GU139" s="458">
        <v>0</v>
      </c>
      <c r="GV139" s="458">
        <v>0</v>
      </c>
      <c r="GW139" s="458">
        <v>0</v>
      </c>
      <c r="GX139" s="458">
        <v>6</v>
      </c>
      <c r="GY139" s="690"/>
      <c r="GZ139" s="41"/>
      <c r="HA139" s="41"/>
      <c r="HB139" s="105"/>
      <c r="HC139" s="105"/>
      <c r="HD139" s="105"/>
      <c r="HE139" s="41" t="s">
        <v>1344</v>
      </c>
      <c r="HF139" s="41"/>
      <c r="HG139" s="41"/>
      <c r="HH139" s="41">
        <v>0</v>
      </c>
      <c r="HI139" s="41"/>
      <c r="HJ139" s="41"/>
      <c r="HK139" s="41"/>
      <c r="HL139" s="41">
        <v>0</v>
      </c>
      <c r="HM139" s="41"/>
      <c r="HN139" s="41">
        <v>0</v>
      </c>
      <c r="HO139" s="41">
        <v>1</v>
      </c>
      <c r="HP139" s="41">
        <v>1</v>
      </c>
      <c r="HQ139" s="41">
        <v>2</v>
      </c>
      <c r="HR139" s="41">
        <v>2</v>
      </c>
      <c r="HS139" s="41">
        <v>1</v>
      </c>
      <c r="HT139" s="41">
        <v>0</v>
      </c>
      <c r="HU139" s="41">
        <v>0</v>
      </c>
      <c r="HV139" s="41">
        <v>7</v>
      </c>
      <c r="HW139" s="41"/>
      <c r="HX139" s="41"/>
      <c r="HY139" s="691"/>
      <c r="HZ139" s="691"/>
      <c r="IA139" s="691"/>
      <c r="IB139" s="691" t="s">
        <v>1233</v>
      </c>
      <c r="IC139" s="691">
        <v>0</v>
      </c>
      <c r="ID139" s="691">
        <v>0</v>
      </c>
      <c r="IE139" s="691">
        <v>0</v>
      </c>
      <c r="IF139" s="691">
        <v>0</v>
      </c>
      <c r="IG139" s="691">
        <v>0</v>
      </c>
      <c r="IH139" s="691">
        <v>0</v>
      </c>
      <c r="II139" s="691">
        <v>0</v>
      </c>
      <c r="IJ139" s="691">
        <v>1</v>
      </c>
      <c r="IK139" s="691">
        <v>0</v>
      </c>
      <c r="IL139" s="691">
        <v>0</v>
      </c>
      <c r="IM139" s="691">
        <v>0</v>
      </c>
      <c r="IN139" s="691">
        <v>0</v>
      </c>
      <c r="IO139" s="691">
        <v>0</v>
      </c>
      <c r="IP139" s="691">
        <v>0</v>
      </c>
      <c r="IQ139" s="691">
        <v>0</v>
      </c>
      <c r="IR139" s="691">
        <v>0</v>
      </c>
      <c r="IS139" s="691">
        <v>1</v>
      </c>
      <c r="IT139" s="691"/>
      <c r="IU139" s="692"/>
    </row>
    <row r="140" spans="1:255">
      <c r="C140" s="32"/>
      <c r="D140" s="32" t="s">
        <v>1239</v>
      </c>
      <c r="E140" s="4607"/>
      <c r="F140" s="4607">
        <v>0</v>
      </c>
      <c r="G140" s="4607"/>
      <c r="H140" s="4607"/>
      <c r="I140" s="4607">
        <v>0</v>
      </c>
      <c r="J140" s="4607">
        <v>0</v>
      </c>
      <c r="K140" s="4607">
        <v>0</v>
      </c>
      <c r="L140" s="4607">
        <v>0</v>
      </c>
      <c r="M140" s="4607">
        <v>0</v>
      </c>
      <c r="N140" s="4607">
        <v>0</v>
      </c>
      <c r="O140" s="4607">
        <v>1</v>
      </c>
      <c r="P140" s="4607">
        <v>0</v>
      </c>
      <c r="Q140" s="4607">
        <v>24</v>
      </c>
      <c r="R140" s="4607">
        <v>20</v>
      </c>
      <c r="S140" s="4583">
        <v>15</v>
      </c>
      <c r="T140" s="4583">
        <v>5</v>
      </c>
      <c r="U140" s="4583">
        <v>65</v>
      </c>
      <c r="V140" s="4583"/>
      <c r="Z140" s="1793"/>
      <c r="AA140" s="1793" t="s">
        <v>1239</v>
      </c>
      <c r="AB140" s="4804">
        <v>0</v>
      </c>
      <c r="AC140" s="4804">
        <v>0</v>
      </c>
      <c r="AD140" s="4804"/>
      <c r="AE140" s="4804"/>
      <c r="AF140" s="4804">
        <v>0</v>
      </c>
      <c r="AG140" s="4804">
        <v>0</v>
      </c>
      <c r="AH140" s="4804">
        <v>0</v>
      </c>
      <c r="AI140" s="4804">
        <v>0</v>
      </c>
      <c r="AJ140" s="4804">
        <v>0</v>
      </c>
      <c r="AK140" s="4804">
        <v>0</v>
      </c>
      <c r="AL140" s="4804">
        <v>0</v>
      </c>
      <c r="AM140" s="4804">
        <v>0</v>
      </c>
      <c r="AN140" s="4804">
        <v>46</v>
      </c>
      <c r="AO140" s="4804">
        <v>5</v>
      </c>
      <c r="AP140" s="4702">
        <v>19</v>
      </c>
      <c r="AQ140" s="4702">
        <v>70</v>
      </c>
      <c r="AR140" s="1793"/>
      <c r="AT140" s="41"/>
      <c r="AU140" s="41"/>
      <c r="AV140" s="41"/>
      <c r="AW140" s="41" t="s">
        <v>1233</v>
      </c>
      <c r="AX140" s="690">
        <v>0</v>
      </c>
      <c r="AY140" s="690"/>
      <c r="AZ140" s="690"/>
      <c r="BA140" s="690"/>
      <c r="BB140" s="690"/>
      <c r="BC140" s="690">
        <v>1</v>
      </c>
      <c r="BD140" s="690"/>
      <c r="BE140" s="690"/>
      <c r="BF140" s="690"/>
      <c r="BG140" s="690"/>
      <c r="BH140" s="690"/>
      <c r="BI140" s="690">
        <v>0</v>
      </c>
      <c r="BJ140" s="690">
        <v>0</v>
      </c>
      <c r="BK140" s="690">
        <v>0</v>
      </c>
      <c r="BL140" s="690">
        <v>0</v>
      </c>
      <c r="BM140" s="41">
        <v>0</v>
      </c>
      <c r="BN140" s="41">
        <v>0</v>
      </c>
      <c r="BO140" s="41">
        <v>1</v>
      </c>
      <c r="BP140" s="41"/>
      <c r="BR140" s="41"/>
      <c r="BS140" s="41" t="s">
        <v>41</v>
      </c>
      <c r="BT140" s="41" t="s">
        <v>333</v>
      </c>
      <c r="BU140" s="41" t="s">
        <v>1231</v>
      </c>
      <c r="BV140" s="2001"/>
      <c r="BW140" s="2001"/>
      <c r="BX140" s="2001"/>
      <c r="BY140" s="2001"/>
      <c r="BZ140" s="2001"/>
      <c r="CA140" s="2001"/>
      <c r="CB140" s="2001"/>
      <c r="CC140" s="2001"/>
      <c r="CD140" s="2001">
        <v>1</v>
      </c>
      <c r="CE140" s="2001"/>
      <c r="CF140" s="2001">
        <v>1</v>
      </c>
      <c r="CG140" s="2001"/>
      <c r="CH140" s="2001">
        <v>0</v>
      </c>
      <c r="CI140" s="2001">
        <v>1</v>
      </c>
      <c r="CJ140" s="2001">
        <v>0</v>
      </c>
      <c r="CK140" s="105"/>
      <c r="CL140" s="105">
        <v>0</v>
      </c>
      <c r="CM140" s="105">
        <v>3</v>
      </c>
      <c r="CN140" s="41"/>
      <c r="CP140" s="105" t="s">
        <v>48</v>
      </c>
      <c r="CQ140" s="105" t="s">
        <v>41</v>
      </c>
      <c r="CR140" s="41" t="s">
        <v>145</v>
      </c>
      <c r="CS140" s="41" t="s">
        <v>1231</v>
      </c>
      <c r="CT140" s="1665"/>
      <c r="CU140" s="1665"/>
      <c r="CV140" s="1665">
        <v>1</v>
      </c>
      <c r="CW140" s="1665"/>
      <c r="CX140" s="1665"/>
      <c r="CY140" s="1665"/>
      <c r="CZ140" s="1665"/>
      <c r="DA140" s="1665">
        <v>1</v>
      </c>
      <c r="DB140" s="1665"/>
      <c r="DC140" s="1665">
        <v>5</v>
      </c>
      <c r="DD140" s="1665">
        <v>2</v>
      </c>
      <c r="DE140" s="1665"/>
      <c r="DF140" s="1665">
        <v>0</v>
      </c>
      <c r="DG140" s="1665"/>
      <c r="DH140" s="1665">
        <v>0</v>
      </c>
      <c r="DI140" s="41"/>
      <c r="DJ140" s="41"/>
      <c r="DK140" s="41">
        <v>9</v>
      </c>
      <c r="DL140" s="41"/>
      <c r="DN140" s="1375"/>
      <c r="DO140" s="1375"/>
      <c r="DP140" s="1375"/>
      <c r="DQ140" s="1376" t="s">
        <v>1344</v>
      </c>
      <c r="DR140" s="1378">
        <v>0</v>
      </c>
      <c r="DS140" s="1378">
        <v>0</v>
      </c>
      <c r="DT140" s="1377"/>
      <c r="DU140" s="1378">
        <v>0</v>
      </c>
      <c r="DV140" s="1378">
        <v>0</v>
      </c>
      <c r="DW140" s="1377"/>
      <c r="DX140" s="1378">
        <v>0</v>
      </c>
      <c r="DY140" s="1378">
        <v>2</v>
      </c>
      <c r="DZ140" s="1378">
        <v>0</v>
      </c>
      <c r="EA140" s="1378">
        <v>1</v>
      </c>
      <c r="EB140" s="1378">
        <v>5</v>
      </c>
      <c r="EC140" s="1378">
        <v>2</v>
      </c>
      <c r="ED140" s="1378">
        <v>0</v>
      </c>
      <c r="EE140" s="1380">
        <v>0</v>
      </c>
      <c r="EF140" s="1380">
        <v>0</v>
      </c>
      <c r="EG140" s="1380">
        <v>10</v>
      </c>
      <c r="EH140" s="41"/>
      <c r="EJ140" s="678"/>
      <c r="EK140" s="678"/>
      <c r="EL140" s="678"/>
      <c r="EM140" s="679" t="s">
        <v>1235</v>
      </c>
      <c r="EN140" s="680"/>
      <c r="EO140" s="680"/>
      <c r="EP140" s="680"/>
      <c r="EQ140" s="680"/>
      <c r="ER140" s="680"/>
      <c r="ES140" s="680"/>
      <c r="ET140" s="680"/>
      <c r="EU140" s="680"/>
      <c r="EV140" s="681">
        <v>0</v>
      </c>
      <c r="EW140" s="681">
        <v>0</v>
      </c>
      <c r="EX140" s="681">
        <v>1</v>
      </c>
      <c r="EY140" s="681">
        <v>0</v>
      </c>
      <c r="EZ140" s="680"/>
      <c r="FA140" s="681">
        <v>0</v>
      </c>
      <c r="FB140" s="680"/>
      <c r="FC140" s="682"/>
      <c r="FD140" s="682"/>
      <c r="FE140" s="683">
        <v>1</v>
      </c>
      <c r="FF140" s="105"/>
      <c r="FH140" s="511"/>
      <c r="FI140" s="511"/>
      <c r="FJ140" s="511" t="s">
        <v>111</v>
      </c>
      <c r="FK140" s="511" t="s">
        <v>1229</v>
      </c>
      <c r="FL140" s="512" t="s">
        <v>1231</v>
      </c>
      <c r="FM140" s="684"/>
      <c r="FN140" s="684"/>
      <c r="FO140" s="684"/>
      <c r="FP140" s="685">
        <v>1</v>
      </c>
      <c r="FQ140" s="684"/>
      <c r="FR140" s="684"/>
      <c r="FS140" s="684"/>
      <c r="FT140" s="684"/>
      <c r="FU140" s="684"/>
      <c r="FV140" s="684"/>
      <c r="FW140" s="684"/>
      <c r="FX140" s="685">
        <v>1</v>
      </c>
      <c r="FY140" s="685">
        <v>8</v>
      </c>
      <c r="FZ140" s="685">
        <v>1</v>
      </c>
      <c r="GA140" s="685">
        <v>0</v>
      </c>
      <c r="GB140" s="686"/>
      <c r="GC140" s="686"/>
      <c r="GD140" s="687">
        <v>11</v>
      </c>
      <c r="GE140" s="635"/>
      <c r="GF140" s="41"/>
      <c r="GG140" s="688"/>
      <c r="GH140" s="41"/>
      <c r="GI140" s="688"/>
      <c r="GJ140" s="457" t="s">
        <v>1233</v>
      </c>
      <c r="GK140" s="458">
        <v>1</v>
      </c>
      <c r="GL140" s="458">
        <v>1</v>
      </c>
      <c r="GM140" s="458">
        <v>0</v>
      </c>
      <c r="GN140" s="458">
        <v>1</v>
      </c>
      <c r="GO140" s="689"/>
      <c r="GP140" s="458">
        <v>0</v>
      </c>
      <c r="GQ140" s="458">
        <v>0</v>
      </c>
      <c r="GR140" s="458">
        <v>0</v>
      </c>
      <c r="GS140" s="458">
        <v>0</v>
      </c>
      <c r="GT140" s="458">
        <v>0</v>
      </c>
      <c r="GU140" s="458">
        <v>0</v>
      </c>
      <c r="GV140" s="458">
        <v>0</v>
      </c>
      <c r="GW140" s="458">
        <v>0</v>
      </c>
      <c r="GX140" s="458">
        <v>3</v>
      </c>
      <c r="GY140" s="690"/>
      <c r="GZ140" s="41"/>
      <c r="HA140" s="41"/>
      <c r="HB140" s="105"/>
      <c r="HC140" s="105"/>
      <c r="HD140" s="105"/>
      <c r="HE140" s="461" t="s">
        <v>15</v>
      </c>
      <c r="HF140" s="461"/>
      <c r="HG140" s="461"/>
      <c r="HH140" s="461">
        <v>1</v>
      </c>
      <c r="HI140" s="461"/>
      <c r="HJ140" s="461"/>
      <c r="HK140" s="461"/>
      <c r="HL140" s="461">
        <v>1</v>
      </c>
      <c r="HM140" s="461"/>
      <c r="HN140" s="461">
        <v>1</v>
      </c>
      <c r="HO140" s="461">
        <v>3</v>
      </c>
      <c r="HP140" s="461">
        <v>1</v>
      </c>
      <c r="HQ140" s="461">
        <v>2</v>
      </c>
      <c r="HR140" s="461">
        <v>4</v>
      </c>
      <c r="HS140" s="461">
        <v>12</v>
      </c>
      <c r="HT140" s="461">
        <v>5</v>
      </c>
      <c r="HU140" s="461">
        <v>5</v>
      </c>
      <c r="HV140" s="461">
        <v>35</v>
      </c>
      <c r="HW140" s="706">
        <f>+(HV137+HV139)/HV140</f>
        <v>0.22857142857142856</v>
      </c>
      <c r="HX140" s="41"/>
      <c r="HY140" s="691"/>
      <c r="HZ140" s="691"/>
      <c r="IA140" s="691"/>
      <c r="IB140" s="691" t="s">
        <v>1235</v>
      </c>
      <c r="IC140" s="691">
        <v>0</v>
      </c>
      <c r="ID140" s="691">
        <v>0</v>
      </c>
      <c r="IE140" s="691">
        <v>0</v>
      </c>
      <c r="IF140" s="691">
        <v>0</v>
      </c>
      <c r="IG140" s="691">
        <v>0</v>
      </c>
      <c r="IH140" s="691">
        <v>0</v>
      </c>
      <c r="II140" s="691">
        <v>0</v>
      </c>
      <c r="IJ140" s="691">
        <v>0</v>
      </c>
      <c r="IK140" s="691">
        <v>2</v>
      </c>
      <c r="IL140" s="691">
        <v>4</v>
      </c>
      <c r="IM140" s="691">
        <v>0</v>
      </c>
      <c r="IN140" s="691">
        <v>9</v>
      </c>
      <c r="IO140" s="691">
        <v>0</v>
      </c>
      <c r="IP140" s="691">
        <v>0</v>
      </c>
      <c r="IQ140" s="691">
        <v>0</v>
      </c>
      <c r="IR140" s="691">
        <v>0</v>
      </c>
      <c r="IS140" s="691">
        <v>15</v>
      </c>
      <c r="IT140" s="691"/>
      <c r="IU140" s="692"/>
    </row>
    <row r="141" spans="1:255">
      <c r="C141" s="32"/>
      <c r="D141" s="32" t="s">
        <v>1240</v>
      </c>
      <c r="E141" s="4607"/>
      <c r="F141" s="4607">
        <v>0</v>
      </c>
      <c r="G141" s="4607"/>
      <c r="H141" s="4607"/>
      <c r="I141" s="4607">
        <v>0</v>
      </c>
      <c r="J141" s="4607">
        <v>0</v>
      </c>
      <c r="K141" s="4607">
        <v>0</v>
      </c>
      <c r="L141" s="4607">
        <v>0</v>
      </c>
      <c r="M141" s="4607">
        <v>0</v>
      </c>
      <c r="N141" s="4607">
        <v>0</v>
      </c>
      <c r="O141" s="4607">
        <v>0</v>
      </c>
      <c r="P141" s="4607">
        <v>0</v>
      </c>
      <c r="Q141" s="4607">
        <v>0</v>
      </c>
      <c r="R141" s="4607">
        <v>1</v>
      </c>
      <c r="S141" s="4583">
        <v>0</v>
      </c>
      <c r="T141" s="4583">
        <v>0</v>
      </c>
      <c r="U141" s="4583">
        <v>1</v>
      </c>
      <c r="V141" s="4583"/>
      <c r="Z141" s="1793"/>
      <c r="AA141" s="1793" t="s">
        <v>1240</v>
      </c>
      <c r="AB141" s="4804">
        <v>0</v>
      </c>
      <c r="AC141" s="4804">
        <v>0</v>
      </c>
      <c r="AD141" s="4804"/>
      <c r="AE141" s="4804"/>
      <c r="AF141" s="4804">
        <v>0</v>
      </c>
      <c r="AG141" s="4804">
        <v>0</v>
      </c>
      <c r="AH141" s="4804">
        <v>0</v>
      </c>
      <c r="AI141" s="4804">
        <v>0</v>
      </c>
      <c r="AJ141" s="4804">
        <v>0</v>
      </c>
      <c r="AK141" s="4804">
        <v>0</v>
      </c>
      <c r="AL141" s="4804">
        <v>0</v>
      </c>
      <c r="AM141" s="4804">
        <v>0</v>
      </c>
      <c r="AN141" s="4804">
        <v>1</v>
      </c>
      <c r="AO141" s="4804">
        <v>1</v>
      </c>
      <c r="AP141" s="4702">
        <v>0</v>
      </c>
      <c r="AQ141" s="4702">
        <v>2</v>
      </c>
      <c r="AR141" s="1793"/>
      <c r="AT141" s="41"/>
      <c r="AU141" s="41"/>
      <c r="AV141" s="41"/>
      <c r="AW141" s="41" t="s">
        <v>1235</v>
      </c>
      <c r="AX141" s="690">
        <v>0</v>
      </c>
      <c r="AY141" s="690"/>
      <c r="AZ141" s="690"/>
      <c r="BA141" s="690"/>
      <c r="BB141" s="690"/>
      <c r="BC141" s="690">
        <v>0</v>
      </c>
      <c r="BD141" s="690"/>
      <c r="BE141" s="690"/>
      <c r="BF141" s="690"/>
      <c r="BG141" s="690"/>
      <c r="BH141" s="690"/>
      <c r="BI141" s="690">
        <v>0</v>
      </c>
      <c r="BJ141" s="690">
        <v>2</v>
      </c>
      <c r="BK141" s="690">
        <v>2</v>
      </c>
      <c r="BL141" s="690">
        <v>0</v>
      </c>
      <c r="BM141" s="41">
        <v>1</v>
      </c>
      <c r="BN141" s="41">
        <v>0</v>
      </c>
      <c r="BO141" s="41">
        <v>5</v>
      </c>
      <c r="BP141" s="41"/>
      <c r="BR141" s="41"/>
      <c r="BS141" s="41"/>
      <c r="BT141" s="41"/>
      <c r="BU141" s="41" t="s">
        <v>1235</v>
      </c>
      <c r="BV141" s="2001"/>
      <c r="BW141" s="2001"/>
      <c r="BX141" s="2001"/>
      <c r="BY141" s="2001"/>
      <c r="BZ141" s="2001"/>
      <c r="CA141" s="2001"/>
      <c r="CB141" s="2001"/>
      <c r="CC141" s="2001"/>
      <c r="CD141" s="2001">
        <v>0</v>
      </c>
      <c r="CE141" s="2001"/>
      <c r="CF141" s="2001">
        <v>0</v>
      </c>
      <c r="CG141" s="2001"/>
      <c r="CH141" s="2001">
        <v>1</v>
      </c>
      <c r="CI141" s="2001">
        <v>0</v>
      </c>
      <c r="CJ141" s="2001">
        <v>0</v>
      </c>
      <c r="CK141" s="105"/>
      <c r="CL141" s="105">
        <v>0</v>
      </c>
      <c r="CM141" s="105">
        <v>1</v>
      </c>
      <c r="CN141" s="41"/>
      <c r="CR141" s="41"/>
      <c r="CS141" s="41" t="s">
        <v>1239</v>
      </c>
      <c r="CT141" s="1665"/>
      <c r="CU141" s="1665"/>
      <c r="CV141" s="1665">
        <v>0</v>
      </c>
      <c r="CW141" s="1665"/>
      <c r="CX141" s="1665"/>
      <c r="CY141" s="1665"/>
      <c r="CZ141" s="1665"/>
      <c r="DA141" s="1665">
        <v>0</v>
      </c>
      <c r="DB141" s="1665"/>
      <c r="DC141" s="1665">
        <v>0</v>
      </c>
      <c r="DD141" s="1665">
        <v>0</v>
      </c>
      <c r="DE141" s="1665"/>
      <c r="DF141" s="1665">
        <v>1</v>
      </c>
      <c r="DG141" s="1665"/>
      <c r="DH141" s="1665">
        <v>1</v>
      </c>
      <c r="DI141" s="41"/>
      <c r="DJ141" s="41"/>
      <c r="DK141" s="41">
        <v>2</v>
      </c>
      <c r="DL141" s="41"/>
      <c r="DN141" s="1375"/>
      <c r="DO141" s="1375"/>
      <c r="DP141" s="1375"/>
      <c r="DQ141" s="1372" t="s">
        <v>545</v>
      </c>
      <c r="DR141" s="1382">
        <v>1</v>
      </c>
      <c r="DS141" s="1382">
        <v>3</v>
      </c>
      <c r="DT141" s="1381"/>
      <c r="DU141" s="1382">
        <v>1</v>
      </c>
      <c r="DV141" s="1382">
        <v>2</v>
      </c>
      <c r="DW141" s="1381"/>
      <c r="DX141" s="1382">
        <v>2</v>
      </c>
      <c r="DY141" s="1382">
        <v>3</v>
      </c>
      <c r="DZ141" s="1382">
        <v>3</v>
      </c>
      <c r="EA141" s="1382">
        <v>10</v>
      </c>
      <c r="EB141" s="1382">
        <v>34</v>
      </c>
      <c r="EC141" s="1382">
        <v>10</v>
      </c>
      <c r="ED141" s="1382">
        <v>1</v>
      </c>
      <c r="EE141" s="1384">
        <v>1</v>
      </c>
      <c r="EF141" s="1384">
        <v>1</v>
      </c>
      <c r="EG141" s="1384">
        <v>72</v>
      </c>
      <c r="EH141" s="1325">
        <f>+(EG137+EG139+EG140)/EG141</f>
        <v>0.29166666666666669</v>
      </c>
      <c r="EJ141" s="678"/>
      <c r="EK141" s="678"/>
      <c r="EL141" s="678"/>
      <c r="EM141" s="679" t="s">
        <v>1344</v>
      </c>
      <c r="EN141" s="680"/>
      <c r="EO141" s="680"/>
      <c r="EP141" s="680"/>
      <c r="EQ141" s="680"/>
      <c r="ER141" s="680"/>
      <c r="ES141" s="680"/>
      <c r="ET141" s="680"/>
      <c r="EU141" s="680"/>
      <c r="EV141" s="681">
        <v>0</v>
      </c>
      <c r="EW141" s="681">
        <v>2</v>
      </c>
      <c r="EX141" s="681">
        <v>2</v>
      </c>
      <c r="EY141" s="681">
        <v>1</v>
      </c>
      <c r="EZ141" s="680"/>
      <c r="FA141" s="681">
        <v>0</v>
      </c>
      <c r="FB141" s="680"/>
      <c r="FC141" s="682"/>
      <c r="FD141" s="682"/>
      <c r="FE141" s="683">
        <v>5</v>
      </c>
      <c r="FF141" s="105"/>
      <c r="FH141" s="511"/>
      <c r="FI141" s="511"/>
      <c r="FJ141" s="511"/>
      <c r="FK141" s="511"/>
      <c r="FL141" s="512" t="s">
        <v>1239</v>
      </c>
      <c r="FM141" s="684"/>
      <c r="FN141" s="684"/>
      <c r="FO141" s="684"/>
      <c r="FP141" s="685">
        <v>0</v>
      </c>
      <c r="FQ141" s="684"/>
      <c r="FR141" s="684"/>
      <c r="FS141" s="684"/>
      <c r="FT141" s="684"/>
      <c r="FU141" s="684"/>
      <c r="FV141" s="684"/>
      <c r="FW141" s="684"/>
      <c r="FX141" s="685">
        <v>0</v>
      </c>
      <c r="FY141" s="685">
        <v>0</v>
      </c>
      <c r="FZ141" s="685">
        <v>1</v>
      </c>
      <c r="GA141" s="685">
        <v>1</v>
      </c>
      <c r="GB141" s="686"/>
      <c r="GC141" s="686"/>
      <c r="GD141" s="687">
        <v>2</v>
      </c>
      <c r="GE141" s="635"/>
      <c r="GF141" s="41"/>
      <c r="GG141" s="688"/>
      <c r="GH141" s="41"/>
      <c r="GI141" s="688"/>
      <c r="GJ141" s="457" t="s">
        <v>1235</v>
      </c>
      <c r="GK141" s="458">
        <v>0</v>
      </c>
      <c r="GL141" s="458">
        <v>0</v>
      </c>
      <c r="GM141" s="458">
        <v>0</v>
      </c>
      <c r="GN141" s="458">
        <v>0</v>
      </c>
      <c r="GO141" s="689"/>
      <c r="GP141" s="458">
        <v>5</v>
      </c>
      <c r="GQ141" s="458">
        <v>5</v>
      </c>
      <c r="GR141" s="458">
        <v>4</v>
      </c>
      <c r="GS141" s="458">
        <v>11</v>
      </c>
      <c r="GT141" s="458">
        <v>4</v>
      </c>
      <c r="GU141" s="458">
        <v>1</v>
      </c>
      <c r="GV141" s="458">
        <v>0</v>
      </c>
      <c r="GW141" s="458">
        <v>0</v>
      </c>
      <c r="GX141" s="458">
        <v>30</v>
      </c>
      <c r="GY141" s="690"/>
      <c r="GZ141" s="41"/>
      <c r="HA141" s="41"/>
      <c r="HB141" s="105"/>
      <c r="HC141" s="105"/>
      <c r="HD141" s="105" t="s">
        <v>16</v>
      </c>
      <c r="HE141" s="41" t="s">
        <v>1230</v>
      </c>
      <c r="HF141" s="41">
        <v>0</v>
      </c>
      <c r="HG141" s="41">
        <v>0</v>
      </c>
      <c r="HH141" s="41">
        <v>0</v>
      </c>
      <c r="HI141" s="41"/>
      <c r="HJ141" s="41">
        <v>1</v>
      </c>
      <c r="HK141" s="41"/>
      <c r="HL141" s="41"/>
      <c r="HM141" s="41"/>
      <c r="HN141" s="41">
        <v>0</v>
      </c>
      <c r="HO141" s="41">
        <v>0</v>
      </c>
      <c r="HP141" s="41">
        <v>0</v>
      </c>
      <c r="HQ141" s="41">
        <v>0</v>
      </c>
      <c r="HR141" s="41">
        <v>0</v>
      </c>
      <c r="HS141" s="41">
        <v>1</v>
      </c>
      <c r="HT141" s="41"/>
      <c r="HU141" s="41">
        <v>0</v>
      </c>
      <c r="HV141" s="41">
        <v>2</v>
      </c>
      <c r="HW141" s="41"/>
      <c r="HX141" s="41"/>
      <c r="HY141" s="691"/>
      <c r="HZ141" s="691"/>
      <c r="IA141" s="691"/>
      <c r="IB141" s="691" t="s">
        <v>1236</v>
      </c>
      <c r="IC141" s="691">
        <v>1</v>
      </c>
      <c r="ID141" s="691">
        <v>1</v>
      </c>
      <c r="IE141" s="691">
        <v>0</v>
      </c>
      <c r="IF141" s="691">
        <v>0</v>
      </c>
      <c r="IG141" s="691">
        <v>0</v>
      </c>
      <c r="IH141" s="691">
        <v>0</v>
      </c>
      <c r="II141" s="691">
        <v>1</v>
      </c>
      <c r="IJ141" s="691">
        <v>1</v>
      </c>
      <c r="IK141" s="691">
        <v>2</v>
      </c>
      <c r="IL141" s="691">
        <v>0</v>
      </c>
      <c r="IM141" s="691">
        <v>1</v>
      </c>
      <c r="IN141" s="691">
        <v>4</v>
      </c>
      <c r="IO141" s="691">
        <v>0</v>
      </c>
      <c r="IP141" s="691">
        <v>0</v>
      </c>
      <c r="IQ141" s="691">
        <v>0</v>
      </c>
      <c r="IR141" s="691">
        <v>0</v>
      </c>
      <c r="IS141" s="691">
        <v>11</v>
      </c>
      <c r="IT141" s="691"/>
      <c r="IU141" s="692"/>
    </row>
    <row r="142" spans="1:255">
      <c r="C142" s="32"/>
      <c r="D142" s="32" t="s">
        <v>1344</v>
      </c>
      <c r="E142" s="4607"/>
      <c r="F142" s="4607">
        <v>0</v>
      </c>
      <c r="G142" s="4607"/>
      <c r="H142" s="4607"/>
      <c r="I142" s="4607">
        <v>0</v>
      </c>
      <c r="J142" s="4607">
        <v>0</v>
      </c>
      <c r="K142" s="4607">
        <v>0</v>
      </c>
      <c r="L142" s="4607">
        <v>0</v>
      </c>
      <c r="M142" s="4607">
        <v>10</v>
      </c>
      <c r="N142" s="4607">
        <v>1</v>
      </c>
      <c r="O142" s="4607">
        <v>2</v>
      </c>
      <c r="P142" s="4607">
        <v>14</v>
      </c>
      <c r="Q142" s="4607">
        <v>4</v>
      </c>
      <c r="R142" s="4607">
        <v>2</v>
      </c>
      <c r="S142" s="4583">
        <v>0</v>
      </c>
      <c r="T142" s="4583">
        <v>0</v>
      </c>
      <c r="U142" s="4583">
        <v>33</v>
      </c>
      <c r="V142" s="4583"/>
      <c r="Z142" s="1793"/>
      <c r="AA142" s="1793" t="s">
        <v>1344</v>
      </c>
      <c r="AB142" s="4804">
        <v>0</v>
      </c>
      <c r="AC142" s="4804">
        <v>0</v>
      </c>
      <c r="AD142" s="4804"/>
      <c r="AE142" s="4804"/>
      <c r="AF142" s="4804">
        <v>0</v>
      </c>
      <c r="AG142" s="4804">
        <v>0</v>
      </c>
      <c r="AH142" s="4804">
        <v>0</v>
      </c>
      <c r="AI142" s="4804">
        <v>0</v>
      </c>
      <c r="AJ142" s="4804">
        <v>10</v>
      </c>
      <c r="AK142" s="4804">
        <v>0</v>
      </c>
      <c r="AL142" s="4804">
        <v>2</v>
      </c>
      <c r="AM142" s="4804">
        <v>7</v>
      </c>
      <c r="AN142" s="4804">
        <v>3</v>
      </c>
      <c r="AO142" s="4804">
        <v>0</v>
      </c>
      <c r="AP142" s="4702">
        <v>0</v>
      </c>
      <c r="AQ142" s="4702">
        <v>22</v>
      </c>
      <c r="AR142" s="1793"/>
      <c r="AT142" s="41"/>
      <c r="AU142" s="41"/>
      <c r="AV142" s="41"/>
      <c r="AW142" s="41" t="s">
        <v>1239</v>
      </c>
      <c r="AX142" s="690">
        <v>0</v>
      </c>
      <c r="AY142" s="690"/>
      <c r="AZ142" s="690"/>
      <c r="BA142" s="690"/>
      <c r="BB142" s="690"/>
      <c r="BC142" s="690">
        <v>0</v>
      </c>
      <c r="BD142" s="690"/>
      <c r="BE142" s="690"/>
      <c r="BF142" s="690"/>
      <c r="BG142" s="690"/>
      <c r="BH142" s="690"/>
      <c r="BI142" s="690">
        <v>0</v>
      </c>
      <c r="BJ142" s="690">
        <v>0</v>
      </c>
      <c r="BK142" s="690">
        <v>0</v>
      </c>
      <c r="BL142" s="690">
        <v>4</v>
      </c>
      <c r="BM142" s="41">
        <v>1</v>
      </c>
      <c r="BN142" s="41">
        <v>5</v>
      </c>
      <c r="BO142" s="41">
        <v>10</v>
      </c>
      <c r="BP142" s="41"/>
      <c r="BR142" s="41"/>
      <c r="BS142" s="41"/>
      <c r="BT142" s="41"/>
      <c r="BU142" s="41" t="s">
        <v>1239</v>
      </c>
      <c r="BV142" s="2001"/>
      <c r="BW142" s="2001"/>
      <c r="BX142" s="2001"/>
      <c r="BY142" s="2001"/>
      <c r="BZ142" s="2001"/>
      <c r="CA142" s="2001"/>
      <c r="CB142" s="2001"/>
      <c r="CC142" s="2001"/>
      <c r="CD142" s="2001">
        <v>0</v>
      </c>
      <c r="CE142" s="2001"/>
      <c r="CF142" s="2001">
        <v>0</v>
      </c>
      <c r="CG142" s="2001"/>
      <c r="CH142" s="2001">
        <v>0</v>
      </c>
      <c r="CI142" s="2001">
        <v>0</v>
      </c>
      <c r="CJ142" s="2001">
        <v>2</v>
      </c>
      <c r="CK142" s="105"/>
      <c r="CL142" s="105">
        <v>2</v>
      </c>
      <c r="CM142" s="105">
        <v>4</v>
      </c>
      <c r="CN142" s="41"/>
      <c r="CR142" s="41"/>
      <c r="CS142" s="41" t="s">
        <v>1344</v>
      </c>
      <c r="CT142" s="1665"/>
      <c r="CU142" s="1665"/>
      <c r="CV142" s="1665">
        <v>0</v>
      </c>
      <c r="CW142" s="1665"/>
      <c r="CX142" s="1665"/>
      <c r="CY142" s="1665"/>
      <c r="CZ142" s="1665"/>
      <c r="DA142" s="1665">
        <v>0</v>
      </c>
      <c r="DB142" s="1665"/>
      <c r="DC142" s="1665">
        <v>1</v>
      </c>
      <c r="DD142" s="1665">
        <v>1</v>
      </c>
      <c r="DE142" s="1665"/>
      <c r="DF142" s="1665">
        <v>0</v>
      </c>
      <c r="DG142" s="1665"/>
      <c r="DH142" s="1665">
        <v>0</v>
      </c>
      <c r="DI142" s="41"/>
      <c r="DJ142" s="41"/>
      <c r="DK142" s="41">
        <v>2</v>
      </c>
      <c r="DL142" s="41"/>
      <c r="DN142" s="1375"/>
      <c r="DO142" s="1375" t="s">
        <v>41</v>
      </c>
      <c r="DP142" s="1375" t="s">
        <v>333</v>
      </c>
      <c r="DQ142" s="1376" t="s">
        <v>1230</v>
      </c>
      <c r="DR142" s="1377"/>
      <c r="DS142" s="1377"/>
      <c r="DT142" s="1377"/>
      <c r="DU142" s="1377"/>
      <c r="DV142" s="1377"/>
      <c r="DW142" s="1377"/>
      <c r="DX142" s="1377"/>
      <c r="DY142" s="1378">
        <v>0</v>
      </c>
      <c r="DZ142" s="1377"/>
      <c r="EA142" s="1378">
        <v>0</v>
      </c>
      <c r="EB142" s="1378">
        <v>0</v>
      </c>
      <c r="EC142" s="1378">
        <v>0</v>
      </c>
      <c r="ED142" s="1378">
        <v>1</v>
      </c>
      <c r="EE142" s="1380">
        <v>0</v>
      </c>
      <c r="EF142" s="1380">
        <v>1</v>
      </c>
      <c r="EG142" s="1380">
        <v>2</v>
      </c>
      <c r="EH142" s="41"/>
      <c r="EJ142" s="678"/>
      <c r="EK142" s="678"/>
      <c r="EL142" s="678"/>
      <c r="EM142" s="697" t="s">
        <v>15</v>
      </c>
      <c r="EN142" s="698"/>
      <c r="EO142" s="698"/>
      <c r="EP142" s="698"/>
      <c r="EQ142" s="698"/>
      <c r="ER142" s="698"/>
      <c r="ES142" s="698"/>
      <c r="ET142" s="698"/>
      <c r="EU142" s="698"/>
      <c r="EV142" s="699">
        <v>1</v>
      </c>
      <c r="EW142" s="699">
        <v>4</v>
      </c>
      <c r="EX142" s="699">
        <v>3</v>
      </c>
      <c r="EY142" s="699">
        <v>2</v>
      </c>
      <c r="EZ142" s="698"/>
      <c r="FA142" s="699">
        <v>1</v>
      </c>
      <c r="FB142" s="698"/>
      <c r="FC142" s="700"/>
      <c r="FD142" s="700"/>
      <c r="FE142" s="701">
        <v>11</v>
      </c>
      <c r="FF142" s="635">
        <f>+(FE140+FE141)/FE142</f>
        <v>0.54545454545454541</v>
      </c>
      <c r="FH142" s="511"/>
      <c r="FI142" s="511"/>
      <c r="FJ142" s="511"/>
      <c r="FK142" s="511"/>
      <c r="FL142" s="512" t="s">
        <v>1240</v>
      </c>
      <c r="FM142" s="684"/>
      <c r="FN142" s="684"/>
      <c r="FO142" s="684"/>
      <c r="FP142" s="685">
        <v>0</v>
      </c>
      <c r="FQ142" s="684"/>
      <c r="FR142" s="684"/>
      <c r="FS142" s="684"/>
      <c r="FT142" s="684"/>
      <c r="FU142" s="684"/>
      <c r="FV142" s="684"/>
      <c r="FW142" s="684"/>
      <c r="FX142" s="685">
        <v>0</v>
      </c>
      <c r="FY142" s="685">
        <v>1</v>
      </c>
      <c r="FZ142" s="685">
        <v>0</v>
      </c>
      <c r="GA142" s="685">
        <v>0</v>
      </c>
      <c r="GB142" s="686"/>
      <c r="GC142" s="686"/>
      <c r="GD142" s="687">
        <v>1</v>
      </c>
      <c r="GE142" s="635"/>
      <c r="GF142" s="41"/>
      <c r="GG142" s="688"/>
      <c r="GH142" s="688"/>
      <c r="GI142" s="688"/>
      <c r="GJ142" s="457" t="s">
        <v>1236</v>
      </c>
      <c r="GK142" s="458">
        <v>0</v>
      </c>
      <c r="GL142" s="458">
        <v>1</v>
      </c>
      <c r="GM142" s="458">
        <v>1</v>
      </c>
      <c r="GN142" s="458">
        <v>0</v>
      </c>
      <c r="GO142" s="689"/>
      <c r="GP142" s="458">
        <v>3</v>
      </c>
      <c r="GQ142" s="458">
        <v>2</v>
      </c>
      <c r="GR142" s="458">
        <v>1</v>
      </c>
      <c r="GS142" s="458">
        <v>2</v>
      </c>
      <c r="GT142" s="458">
        <v>0</v>
      </c>
      <c r="GU142" s="458">
        <v>0</v>
      </c>
      <c r="GV142" s="458">
        <v>0</v>
      </c>
      <c r="GW142" s="458">
        <v>0</v>
      </c>
      <c r="GX142" s="458">
        <v>10</v>
      </c>
      <c r="GY142" s="690"/>
      <c r="GZ142" s="41"/>
      <c r="HA142" s="41"/>
      <c r="HB142" s="105"/>
      <c r="HC142" s="105"/>
      <c r="HD142" s="105"/>
      <c r="HE142" s="41" t="s">
        <v>1231</v>
      </c>
      <c r="HF142" s="41">
        <v>2</v>
      </c>
      <c r="HG142" s="41">
        <v>0</v>
      </c>
      <c r="HH142" s="41">
        <v>0</v>
      </c>
      <c r="HI142" s="41"/>
      <c r="HJ142" s="41">
        <v>1</v>
      </c>
      <c r="HK142" s="41"/>
      <c r="HL142" s="41"/>
      <c r="HM142" s="41"/>
      <c r="HN142" s="41">
        <v>1</v>
      </c>
      <c r="HO142" s="41">
        <v>2</v>
      </c>
      <c r="HP142" s="41">
        <v>3</v>
      </c>
      <c r="HQ142" s="41">
        <v>2</v>
      </c>
      <c r="HR142" s="41">
        <v>3</v>
      </c>
      <c r="HS142" s="41">
        <v>0</v>
      </c>
      <c r="HT142" s="41"/>
      <c r="HU142" s="41">
        <v>0</v>
      </c>
      <c r="HV142" s="41">
        <v>14</v>
      </c>
      <c r="HW142" s="41"/>
      <c r="HX142" s="41"/>
      <c r="HY142" s="691"/>
      <c r="HZ142" s="691"/>
      <c r="IA142" s="691"/>
      <c r="IB142" s="691" t="s">
        <v>1239</v>
      </c>
      <c r="IC142" s="691">
        <v>0</v>
      </c>
      <c r="ID142" s="691">
        <v>0</v>
      </c>
      <c r="IE142" s="691">
        <v>0</v>
      </c>
      <c r="IF142" s="691">
        <v>0</v>
      </c>
      <c r="IG142" s="691">
        <v>0</v>
      </c>
      <c r="IH142" s="691">
        <v>0</v>
      </c>
      <c r="II142" s="691">
        <v>0</v>
      </c>
      <c r="IJ142" s="691">
        <v>0</v>
      </c>
      <c r="IK142" s="691">
        <v>0</v>
      </c>
      <c r="IL142" s="691">
        <v>0</v>
      </c>
      <c r="IM142" s="691">
        <v>0</v>
      </c>
      <c r="IN142" s="691">
        <v>0</v>
      </c>
      <c r="IO142" s="691">
        <v>0</v>
      </c>
      <c r="IP142" s="691">
        <v>3</v>
      </c>
      <c r="IQ142" s="691">
        <v>1</v>
      </c>
      <c r="IR142" s="691">
        <v>0</v>
      </c>
      <c r="IS142" s="691">
        <v>4</v>
      </c>
      <c r="IT142" s="691"/>
      <c r="IU142" s="692"/>
    </row>
    <row r="143" spans="1:255">
      <c r="C143" s="32"/>
      <c r="D143" s="4800" t="s">
        <v>15</v>
      </c>
      <c r="E143" s="4607"/>
      <c r="F143" s="4607">
        <v>1</v>
      </c>
      <c r="G143" s="4607"/>
      <c r="H143" s="4607"/>
      <c r="I143" s="4607">
        <v>1</v>
      </c>
      <c r="J143" s="4607">
        <v>1</v>
      </c>
      <c r="K143" s="4607">
        <v>1</v>
      </c>
      <c r="L143" s="4607">
        <v>1</v>
      </c>
      <c r="M143" s="4607">
        <v>13</v>
      </c>
      <c r="N143" s="4607">
        <v>3</v>
      </c>
      <c r="O143" s="4607">
        <v>6</v>
      </c>
      <c r="P143" s="4607">
        <v>20</v>
      </c>
      <c r="Q143" s="4607">
        <v>52</v>
      </c>
      <c r="R143" s="4607">
        <v>27</v>
      </c>
      <c r="S143" s="4583">
        <v>17</v>
      </c>
      <c r="T143" s="4583">
        <v>5</v>
      </c>
      <c r="U143" s="4583">
        <v>148</v>
      </c>
      <c r="V143" s="1977">
        <f>+(U138+U141+U142)/(U143)</f>
        <v>0.39189189189189189</v>
      </c>
      <c r="Z143" s="1793"/>
      <c r="AA143" s="1793" t="s">
        <v>110</v>
      </c>
      <c r="AB143" s="4804">
        <v>0</v>
      </c>
      <c r="AC143" s="4804">
        <v>1</v>
      </c>
      <c r="AD143" s="4804"/>
      <c r="AE143" s="4804"/>
      <c r="AF143" s="4804">
        <v>1</v>
      </c>
      <c r="AG143" s="4804">
        <v>1</v>
      </c>
      <c r="AH143" s="4804">
        <v>1</v>
      </c>
      <c r="AI143" s="4804">
        <v>1</v>
      </c>
      <c r="AJ143" s="4804">
        <v>13</v>
      </c>
      <c r="AK143" s="4804">
        <v>4</v>
      </c>
      <c r="AL143" s="4804">
        <v>5</v>
      </c>
      <c r="AM143" s="4804">
        <v>21</v>
      </c>
      <c r="AN143" s="4804">
        <v>71</v>
      </c>
      <c r="AO143" s="4804">
        <v>9</v>
      </c>
      <c r="AP143" s="4702">
        <v>20</v>
      </c>
      <c r="AQ143" s="4702">
        <v>148</v>
      </c>
      <c r="AR143" s="4703">
        <f>+(AQ138+AQ141+AQ142)/AQ143</f>
        <v>0.28378378378378377</v>
      </c>
      <c r="AT143" s="41"/>
      <c r="AU143" s="41"/>
      <c r="AV143" s="41"/>
      <c r="AW143" s="41" t="s">
        <v>1344</v>
      </c>
      <c r="AX143" s="690">
        <v>0</v>
      </c>
      <c r="AY143" s="690"/>
      <c r="AZ143" s="690"/>
      <c r="BA143" s="690"/>
      <c r="BB143" s="690"/>
      <c r="BC143" s="690">
        <v>0</v>
      </c>
      <c r="BD143" s="690"/>
      <c r="BE143" s="690"/>
      <c r="BF143" s="690"/>
      <c r="BG143" s="690"/>
      <c r="BH143" s="690"/>
      <c r="BI143" s="690">
        <v>1</v>
      </c>
      <c r="BJ143" s="690">
        <v>0</v>
      </c>
      <c r="BK143" s="690">
        <v>1</v>
      </c>
      <c r="BL143" s="690">
        <v>1</v>
      </c>
      <c r="BM143" s="41">
        <v>0</v>
      </c>
      <c r="BN143" s="41">
        <v>0</v>
      </c>
      <c r="BO143" s="41">
        <v>3</v>
      </c>
      <c r="BP143" s="41"/>
      <c r="BR143" s="41"/>
      <c r="BS143" s="41"/>
      <c r="BT143" s="41"/>
      <c r="BU143" s="41" t="s">
        <v>1240</v>
      </c>
      <c r="BV143" s="2001"/>
      <c r="BW143" s="2001"/>
      <c r="BX143" s="2001"/>
      <c r="BY143" s="2001"/>
      <c r="BZ143" s="2001"/>
      <c r="CA143" s="2001"/>
      <c r="CB143" s="2001"/>
      <c r="CC143" s="2001"/>
      <c r="CD143" s="2001">
        <v>0</v>
      </c>
      <c r="CE143" s="2001"/>
      <c r="CF143" s="2001">
        <v>0</v>
      </c>
      <c r="CG143" s="2001"/>
      <c r="CH143" s="2001">
        <v>1</v>
      </c>
      <c r="CI143" s="2001">
        <v>0</v>
      </c>
      <c r="CJ143" s="2001">
        <v>0</v>
      </c>
      <c r="CK143" s="105"/>
      <c r="CL143" s="105">
        <v>0</v>
      </c>
      <c r="CM143" s="105">
        <v>1</v>
      </c>
      <c r="CN143" s="41"/>
      <c r="CR143" s="41"/>
      <c r="CS143" s="461" t="s">
        <v>15</v>
      </c>
      <c r="CT143" s="1666"/>
      <c r="CU143" s="1666"/>
      <c r="CV143" s="1666">
        <v>1</v>
      </c>
      <c r="CW143" s="1666"/>
      <c r="CX143" s="1666"/>
      <c r="CY143" s="1666"/>
      <c r="CZ143" s="1666"/>
      <c r="DA143" s="1666">
        <v>1</v>
      </c>
      <c r="DB143" s="1666"/>
      <c r="DC143" s="1666">
        <v>6</v>
      </c>
      <c r="DD143" s="1666">
        <v>3</v>
      </c>
      <c r="DE143" s="1666"/>
      <c r="DF143" s="1666">
        <v>1</v>
      </c>
      <c r="DG143" s="1666"/>
      <c r="DH143" s="1666">
        <v>1</v>
      </c>
      <c r="DI143" s="461"/>
      <c r="DJ143" s="461"/>
      <c r="DK143" s="461">
        <v>13</v>
      </c>
      <c r="DL143" s="635">
        <f>+DK142/DK143</f>
        <v>0.15384615384615385</v>
      </c>
      <c r="DN143" s="1375"/>
      <c r="DO143" s="1375"/>
      <c r="DP143" s="1375"/>
      <c r="DQ143" s="1376" t="s">
        <v>1231</v>
      </c>
      <c r="DR143" s="1377"/>
      <c r="DS143" s="1377"/>
      <c r="DT143" s="1377"/>
      <c r="DU143" s="1377"/>
      <c r="DV143" s="1377"/>
      <c r="DW143" s="1377"/>
      <c r="DX143" s="1377"/>
      <c r="DY143" s="1378">
        <v>0</v>
      </c>
      <c r="DZ143" s="1377"/>
      <c r="EA143" s="1378">
        <v>0</v>
      </c>
      <c r="EB143" s="1378">
        <v>0</v>
      </c>
      <c r="EC143" s="1378">
        <v>0</v>
      </c>
      <c r="ED143" s="1378">
        <v>1</v>
      </c>
      <c r="EE143" s="1380">
        <v>0</v>
      </c>
      <c r="EF143" s="1380">
        <v>0</v>
      </c>
      <c r="EG143" s="1380">
        <v>1</v>
      </c>
      <c r="EH143" s="41"/>
      <c r="EJ143" s="678"/>
      <c r="EK143" s="678"/>
      <c r="EL143" s="678" t="s">
        <v>547</v>
      </c>
      <c r="EM143" s="679" t="s">
        <v>1230</v>
      </c>
      <c r="EN143" s="680"/>
      <c r="EO143" s="680"/>
      <c r="EP143" s="680"/>
      <c r="EQ143" s="680"/>
      <c r="ER143" s="680"/>
      <c r="ES143" s="680"/>
      <c r="ET143" s="681">
        <v>0</v>
      </c>
      <c r="EU143" s="680"/>
      <c r="EV143" s="681">
        <v>0</v>
      </c>
      <c r="EW143" s="681">
        <v>1</v>
      </c>
      <c r="EX143" s="681">
        <v>0</v>
      </c>
      <c r="EY143" s="681">
        <v>0</v>
      </c>
      <c r="EZ143" s="680"/>
      <c r="FA143" s="681">
        <v>0</v>
      </c>
      <c r="FB143" s="680"/>
      <c r="FC143" s="682"/>
      <c r="FD143" s="682"/>
      <c r="FE143" s="683">
        <v>1</v>
      </c>
      <c r="FF143" s="105"/>
      <c r="FH143" s="511"/>
      <c r="FI143" s="511"/>
      <c r="FJ143" s="511"/>
      <c r="FK143" s="41"/>
      <c r="FL143" s="532" t="s">
        <v>15</v>
      </c>
      <c r="FM143" s="693"/>
      <c r="FN143" s="693"/>
      <c r="FO143" s="693"/>
      <c r="FP143" s="694">
        <v>1</v>
      </c>
      <c r="FQ143" s="693"/>
      <c r="FR143" s="693"/>
      <c r="FS143" s="693"/>
      <c r="FT143" s="693"/>
      <c r="FU143" s="693"/>
      <c r="FV143" s="693"/>
      <c r="FW143" s="693"/>
      <c r="FX143" s="694">
        <v>1</v>
      </c>
      <c r="FY143" s="694">
        <v>9</v>
      </c>
      <c r="FZ143" s="694">
        <v>2</v>
      </c>
      <c r="GA143" s="694">
        <v>1</v>
      </c>
      <c r="GB143" s="695"/>
      <c r="GC143" s="695"/>
      <c r="GD143" s="696">
        <v>14</v>
      </c>
      <c r="GE143" s="635">
        <f>+GD142/GD143</f>
        <v>7.1428571428571425E-2</v>
      </c>
      <c r="GF143" s="41"/>
      <c r="GG143" s="688"/>
      <c r="GH143" s="688"/>
      <c r="GI143" s="688"/>
      <c r="GJ143" s="457" t="s">
        <v>1239</v>
      </c>
      <c r="GK143" s="458">
        <v>0</v>
      </c>
      <c r="GL143" s="458">
        <v>0</v>
      </c>
      <c r="GM143" s="458">
        <v>0</v>
      </c>
      <c r="GN143" s="458">
        <v>0</v>
      </c>
      <c r="GO143" s="689"/>
      <c r="GP143" s="458">
        <v>0</v>
      </c>
      <c r="GQ143" s="458">
        <v>0</v>
      </c>
      <c r="GR143" s="458">
        <v>0</v>
      </c>
      <c r="GS143" s="458">
        <v>0</v>
      </c>
      <c r="GT143" s="458">
        <v>6</v>
      </c>
      <c r="GU143" s="458">
        <v>14</v>
      </c>
      <c r="GV143" s="458">
        <v>1</v>
      </c>
      <c r="GW143" s="458">
        <v>2</v>
      </c>
      <c r="GX143" s="458">
        <v>23</v>
      </c>
      <c r="GY143" s="690"/>
      <c r="GZ143" s="41"/>
      <c r="HA143" s="41"/>
      <c r="HB143" s="105"/>
      <c r="HC143" s="105"/>
      <c r="HD143" s="105"/>
      <c r="HE143" s="41" t="s">
        <v>1233</v>
      </c>
      <c r="HF143" s="41">
        <v>0</v>
      </c>
      <c r="HG143" s="41">
        <v>1</v>
      </c>
      <c r="HH143" s="41">
        <v>0</v>
      </c>
      <c r="HI143" s="41"/>
      <c r="HJ143" s="41">
        <v>2</v>
      </c>
      <c r="HK143" s="41"/>
      <c r="HL143" s="41"/>
      <c r="HM143" s="41"/>
      <c r="HN143" s="41">
        <v>0</v>
      </c>
      <c r="HO143" s="41">
        <v>0</v>
      </c>
      <c r="HP143" s="41">
        <v>0</v>
      </c>
      <c r="HQ143" s="41">
        <v>0</v>
      </c>
      <c r="HR143" s="41">
        <v>0</v>
      </c>
      <c r="HS143" s="41">
        <v>0</v>
      </c>
      <c r="HT143" s="41"/>
      <c r="HU143" s="41">
        <v>0</v>
      </c>
      <c r="HV143" s="41">
        <v>3</v>
      </c>
      <c r="HW143" s="41"/>
      <c r="HX143" s="41"/>
      <c r="HY143" s="691"/>
      <c r="HZ143" s="691"/>
      <c r="IA143" s="691"/>
      <c r="IB143" s="691" t="s">
        <v>1344</v>
      </c>
      <c r="IC143" s="691">
        <v>0</v>
      </c>
      <c r="ID143" s="691">
        <v>0</v>
      </c>
      <c r="IE143" s="691">
        <v>0</v>
      </c>
      <c r="IF143" s="691">
        <v>0</v>
      </c>
      <c r="IG143" s="691">
        <v>0</v>
      </c>
      <c r="IH143" s="691">
        <v>0</v>
      </c>
      <c r="II143" s="691">
        <v>1</v>
      </c>
      <c r="IJ143" s="691">
        <v>1</v>
      </c>
      <c r="IK143" s="691">
        <v>1</v>
      </c>
      <c r="IL143" s="691">
        <v>1</v>
      </c>
      <c r="IM143" s="691">
        <v>0</v>
      </c>
      <c r="IN143" s="691">
        <v>6</v>
      </c>
      <c r="IO143" s="691">
        <v>0</v>
      </c>
      <c r="IP143" s="691">
        <v>0</v>
      </c>
      <c r="IQ143" s="691">
        <v>0</v>
      </c>
      <c r="IR143" s="691">
        <v>0</v>
      </c>
      <c r="IS143" s="691">
        <v>10</v>
      </c>
      <c r="IT143" s="691"/>
      <c r="IU143" s="692"/>
    </row>
    <row r="144" spans="1:255">
      <c r="A144" s="4800" t="s">
        <v>48</v>
      </c>
      <c r="B144" s="4800" t="s">
        <v>16</v>
      </c>
      <c r="C144" s="4800" t="s">
        <v>144</v>
      </c>
      <c r="D144" s="4800" t="s">
        <v>1231</v>
      </c>
      <c r="E144" s="4606"/>
      <c r="F144" s="4606">
        <v>1</v>
      </c>
      <c r="G144" s="4606"/>
      <c r="H144" s="4606">
        <v>1</v>
      </c>
      <c r="I144" s="4606"/>
      <c r="J144" s="4606"/>
      <c r="K144" s="4606"/>
      <c r="L144" s="4606"/>
      <c r="M144" s="4606"/>
      <c r="N144" s="4606"/>
      <c r="O144" s="4606">
        <v>1</v>
      </c>
      <c r="P144" s="4606">
        <v>17</v>
      </c>
      <c r="Q144" s="4606">
        <v>11</v>
      </c>
      <c r="R144" s="4606">
        <v>1</v>
      </c>
      <c r="S144" s="2552">
        <v>0</v>
      </c>
      <c r="T144" s="2552">
        <v>0</v>
      </c>
      <c r="U144" s="2552">
        <v>32</v>
      </c>
      <c r="V144" s="2552"/>
      <c r="X144" s="37" t="s">
        <v>48</v>
      </c>
      <c r="Y144" s="37" t="s">
        <v>16</v>
      </c>
      <c r="Z144" s="37" t="s">
        <v>144</v>
      </c>
      <c r="AA144" s="37" t="s">
        <v>1231</v>
      </c>
      <c r="AB144" s="4803">
        <v>0</v>
      </c>
      <c r="AC144" s="4803">
        <v>1</v>
      </c>
      <c r="AD144" s="4803"/>
      <c r="AE144" s="4803">
        <v>1</v>
      </c>
      <c r="AF144" s="4803"/>
      <c r="AG144" s="4803"/>
      <c r="AH144" s="4803"/>
      <c r="AI144" s="4803"/>
      <c r="AJ144" s="4803"/>
      <c r="AK144" s="4803"/>
      <c r="AL144" s="4803">
        <v>1</v>
      </c>
      <c r="AM144" s="4803">
        <v>18</v>
      </c>
      <c r="AN144" s="4803">
        <v>14</v>
      </c>
      <c r="AO144" s="4803">
        <v>1</v>
      </c>
      <c r="AP144" s="1788">
        <v>0</v>
      </c>
      <c r="AQ144" s="1788">
        <v>36</v>
      </c>
      <c r="AT144" s="41"/>
      <c r="AU144" s="41"/>
      <c r="AV144" s="41"/>
      <c r="AW144" s="461" t="s">
        <v>15</v>
      </c>
      <c r="AX144" s="2489">
        <v>1</v>
      </c>
      <c r="AY144" s="2489"/>
      <c r="AZ144" s="2489"/>
      <c r="BA144" s="2489"/>
      <c r="BB144" s="2489"/>
      <c r="BC144" s="2489">
        <v>1</v>
      </c>
      <c r="BD144" s="2489"/>
      <c r="BE144" s="2489"/>
      <c r="BF144" s="2489"/>
      <c r="BG144" s="2489"/>
      <c r="BH144" s="2489"/>
      <c r="BI144" s="2489">
        <v>1</v>
      </c>
      <c r="BJ144" s="2489">
        <v>2</v>
      </c>
      <c r="BK144" s="2489">
        <v>3</v>
      </c>
      <c r="BL144" s="2489">
        <v>5</v>
      </c>
      <c r="BM144" s="461">
        <v>2</v>
      </c>
      <c r="BN144" s="461">
        <v>6</v>
      </c>
      <c r="BO144" s="461">
        <v>21</v>
      </c>
      <c r="BP144" s="635">
        <f>+(BO143+BO141-BM141)/BO144</f>
        <v>0.33333333333333331</v>
      </c>
      <c r="BQ144" s="1977"/>
      <c r="BR144" s="41"/>
      <c r="BS144" s="41"/>
      <c r="BT144" s="41"/>
      <c r="BU144" s="41" t="s">
        <v>1344</v>
      </c>
      <c r="BV144" s="2001"/>
      <c r="BW144" s="2001"/>
      <c r="BX144" s="2001"/>
      <c r="BY144" s="2001"/>
      <c r="BZ144" s="2001"/>
      <c r="CA144" s="2001"/>
      <c r="CB144" s="2001"/>
      <c r="CC144" s="2001"/>
      <c r="CD144" s="2001">
        <v>0</v>
      </c>
      <c r="CE144" s="2001"/>
      <c r="CF144" s="2001">
        <v>0</v>
      </c>
      <c r="CG144" s="2001"/>
      <c r="CH144" s="2001">
        <v>3</v>
      </c>
      <c r="CI144" s="2001">
        <v>0</v>
      </c>
      <c r="CJ144" s="2001">
        <v>0</v>
      </c>
      <c r="CK144" s="105"/>
      <c r="CL144" s="105">
        <v>0</v>
      </c>
      <c r="CM144" s="105">
        <v>3</v>
      </c>
      <c r="CN144" s="41"/>
      <c r="CR144" s="41" t="s">
        <v>333</v>
      </c>
      <c r="CS144" s="41" t="s">
        <v>1231</v>
      </c>
      <c r="CT144" s="1665"/>
      <c r="CU144" s="1665"/>
      <c r="CV144" s="1665"/>
      <c r="CW144" s="1665"/>
      <c r="CX144" s="1665"/>
      <c r="CY144" s="1665"/>
      <c r="CZ144" s="1665"/>
      <c r="DA144" s="1665"/>
      <c r="DB144" s="1665"/>
      <c r="DC144" s="1665"/>
      <c r="DD144" s="1665"/>
      <c r="DE144" s="1665">
        <v>0</v>
      </c>
      <c r="DF144" s="1665">
        <v>1</v>
      </c>
      <c r="DG144" s="1665">
        <v>0</v>
      </c>
      <c r="DH144" s="1665">
        <v>1</v>
      </c>
      <c r="DI144" s="41"/>
      <c r="DJ144" s="41">
        <v>0</v>
      </c>
      <c r="DK144" s="41">
        <v>2</v>
      </c>
      <c r="DL144" s="41"/>
      <c r="DN144" s="1375"/>
      <c r="DO144" s="1375"/>
      <c r="DP144" s="1375"/>
      <c r="DQ144" s="1376" t="s">
        <v>1235</v>
      </c>
      <c r="DR144" s="1377"/>
      <c r="DS144" s="1377"/>
      <c r="DT144" s="1377"/>
      <c r="DU144" s="1377"/>
      <c r="DV144" s="1377"/>
      <c r="DW144" s="1377"/>
      <c r="DX144" s="1377"/>
      <c r="DY144" s="1378">
        <v>0</v>
      </c>
      <c r="DZ144" s="1377"/>
      <c r="EA144" s="1378">
        <v>1</v>
      </c>
      <c r="EB144" s="1378">
        <v>0</v>
      </c>
      <c r="EC144" s="1378">
        <v>1</v>
      </c>
      <c r="ED144" s="1378">
        <v>0</v>
      </c>
      <c r="EE144" s="1380">
        <v>0</v>
      </c>
      <c r="EF144" s="1380">
        <v>0</v>
      </c>
      <c r="EG144" s="1380">
        <v>2</v>
      </c>
      <c r="EH144" s="41"/>
      <c r="EJ144" s="678"/>
      <c r="EK144" s="678"/>
      <c r="EL144" s="678"/>
      <c r="EM144" s="679" t="s">
        <v>1231</v>
      </c>
      <c r="EN144" s="680"/>
      <c r="EO144" s="680"/>
      <c r="EP144" s="680"/>
      <c r="EQ144" s="680"/>
      <c r="ER144" s="680"/>
      <c r="ES144" s="680"/>
      <c r="ET144" s="681">
        <v>0</v>
      </c>
      <c r="EU144" s="680"/>
      <c r="EV144" s="681">
        <v>2</v>
      </c>
      <c r="EW144" s="681">
        <v>4</v>
      </c>
      <c r="EX144" s="681">
        <v>4</v>
      </c>
      <c r="EY144" s="681">
        <v>1</v>
      </c>
      <c r="EZ144" s="680"/>
      <c r="FA144" s="681">
        <v>1</v>
      </c>
      <c r="FB144" s="680"/>
      <c r="FC144" s="682"/>
      <c r="FD144" s="682"/>
      <c r="FE144" s="683">
        <v>12</v>
      </c>
      <c r="FF144" s="105"/>
      <c r="FH144" s="511"/>
      <c r="FI144" s="511"/>
      <c r="FJ144" s="532" t="s">
        <v>545</v>
      </c>
      <c r="FK144" s="511" t="s">
        <v>1229</v>
      </c>
      <c r="FL144" s="512" t="s">
        <v>1231</v>
      </c>
      <c r="FM144" s="684"/>
      <c r="FN144" s="685">
        <v>1</v>
      </c>
      <c r="FO144" s="684"/>
      <c r="FP144" s="685">
        <v>2</v>
      </c>
      <c r="FQ144" s="684"/>
      <c r="FR144" s="685">
        <v>1</v>
      </c>
      <c r="FS144" s="684"/>
      <c r="FT144" s="684"/>
      <c r="FU144" s="684"/>
      <c r="FV144" s="685">
        <v>1</v>
      </c>
      <c r="FW144" s="684"/>
      <c r="FX144" s="685">
        <v>4</v>
      </c>
      <c r="FY144" s="685">
        <v>20</v>
      </c>
      <c r="FZ144" s="685">
        <v>5</v>
      </c>
      <c r="GA144" s="685">
        <v>3</v>
      </c>
      <c r="GB144" s="687">
        <v>5</v>
      </c>
      <c r="GC144" s="687">
        <v>0</v>
      </c>
      <c r="GD144" s="687">
        <v>42</v>
      </c>
      <c r="GE144" s="635"/>
      <c r="GF144" s="41"/>
      <c r="GG144" s="688"/>
      <c r="GH144" s="688"/>
      <c r="GI144" s="688"/>
      <c r="GJ144" s="457" t="s">
        <v>1344</v>
      </c>
      <c r="GK144" s="458">
        <v>0</v>
      </c>
      <c r="GL144" s="458">
        <v>0</v>
      </c>
      <c r="GM144" s="458">
        <v>0</v>
      </c>
      <c r="GN144" s="458">
        <v>1</v>
      </c>
      <c r="GO144" s="689"/>
      <c r="GP144" s="458">
        <v>3</v>
      </c>
      <c r="GQ144" s="458">
        <v>5</v>
      </c>
      <c r="GR144" s="458">
        <v>1</v>
      </c>
      <c r="GS144" s="458">
        <v>3</v>
      </c>
      <c r="GT144" s="458">
        <v>0</v>
      </c>
      <c r="GU144" s="458">
        <v>0</v>
      </c>
      <c r="GV144" s="458">
        <v>0</v>
      </c>
      <c r="GW144" s="458">
        <v>0</v>
      </c>
      <c r="GX144" s="458">
        <v>13</v>
      </c>
      <c r="GY144" s="690"/>
      <c r="GZ144" s="41"/>
      <c r="HA144" s="41"/>
      <c r="HB144" s="105"/>
      <c r="HC144" s="105"/>
      <c r="HD144" s="105"/>
      <c r="HE144" s="41" t="s">
        <v>1235</v>
      </c>
      <c r="HF144" s="41">
        <v>0</v>
      </c>
      <c r="HG144" s="41">
        <v>0</v>
      </c>
      <c r="HH144" s="41">
        <v>0</v>
      </c>
      <c r="HI144" s="41"/>
      <c r="HJ144" s="41">
        <v>0</v>
      </c>
      <c r="HK144" s="41"/>
      <c r="HL144" s="41"/>
      <c r="HM144" s="41"/>
      <c r="HN144" s="41">
        <v>0</v>
      </c>
      <c r="HO144" s="41">
        <v>3</v>
      </c>
      <c r="HP144" s="41">
        <v>4</v>
      </c>
      <c r="HQ144" s="41">
        <v>8</v>
      </c>
      <c r="HR144" s="41">
        <v>2</v>
      </c>
      <c r="HS144" s="41">
        <v>0</v>
      </c>
      <c r="HT144" s="41"/>
      <c r="HU144" s="41">
        <v>0</v>
      </c>
      <c r="HV144" s="41">
        <v>17</v>
      </c>
      <c r="HW144" s="41"/>
      <c r="HX144" s="41"/>
      <c r="HY144" s="691"/>
      <c r="HZ144" s="691"/>
      <c r="IA144" s="691"/>
      <c r="IB144" s="702" t="s">
        <v>15</v>
      </c>
      <c r="IC144" s="702">
        <v>1</v>
      </c>
      <c r="ID144" s="702">
        <v>1</v>
      </c>
      <c r="IE144" s="702">
        <v>0</v>
      </c>
      <c r="IF144" s="702">
        <v>0</v>
      </c>
      <c r="IG144" s="702">
        <v>0</v>
      </c>
      <c r="IH144" s="702">
        <v>1</v>
      </c>
      <c r="II144" s="702">
        <v>2</v>
      </c>
      <c r="IJ144" s="702">
        <v>3</v>
      </c>
      <c r="IK144" s="702">
        <v>8</v>
      </c>
      <c r="IL144" s="702">
        <v>6</v>
      </c>
      <c r="IM144" s="702">
        <v>1</v>
      </c>
      <c r="IN144" s="702">
        <v>20</v>
      </c>
      <c r="IO144" s="702">
        <v>0</v>
      </c>
      <c r="IP144" s="702">
        <v>3</v>
      </c>
      <c r="IQ144" s="702">
        <v>1</v>
      </c>
      <c r="IR144" s="702">
        <v>0</v>
      </c>
      <c r="IS144" s="702">
        <v>47</v>
      </c>
      <c r="IT144" s="703">
        <f>+(IS143+IS140)/IS144</f>
        <v>0.53191489361702127</v>
      </c>
      <c r="IU144" s="692">
        <f>+IS140+IS143</f>
        <v>25</v>
      </c>
    </row>
    <row r="145" spans="3:255">
      <c r="D145" s="4800" t="s">
        <v>1235</v>
      </c>
      <c r="E145" s="4606"/>
      <c r="F145" s="4606">
        <v>0</v>
      </c>
      <c r="G145" s="4606"/>
      <c r="H145" s="4606">
        <v>0</v>
      </c>
      <c r="I145" s="4606"/>
      <c r="J145" s="4606"/>
      <c r="K145" s="4606"/>
      <c r="L145" s="4606"/>
      <c r="M145" s="4606"/>
      <c r="N145" s="4606"/>
      <c r="O145" s="4606">
        <v>0</v>
      </c>
      <c r="P145" s="4606">
        <v>0</v>
      </c>
      <c r="Q145" s="4606">
        <v>2</v>
      </c>
      <c r="R145" s="4606">
        <v>0</v>
      </c>
      <c r="S145" s="2552">
        <v>0</v>
      </c>
      <c r="T145" s="2552">
        <v>0</v>
      </c>
      <c r="U145" s="2552">
        <v>2</v>
      </c>
      <c r="V145" s="2552"/>
      <c r="AA145" s="37" t="s">
        <v>1235</v>
      </c>
      <c r="AB145" s="4803">
        <v>0</v>
      </c>
      <c r="AC145" s="4803">
        <v>0</v>
      </c>
      <c r="AD145" s="4803"/>
      <c r="AE145" s="4803">
        <v>0</v>
      </c>
      <c r="AF145" s="4803"/>
      <c r="AG145" s="4803"/>
      <c r="AH145" s="4803"/>
      <c r="AI145" s="4803"/>
      <c r="AJ145" s="4803"/>
      <c r="AK145" s="4803"/>
      <c r="AL145" s="4803">
        <v>0</v>
      </c>
      <c r="AM145" s="4803">
        <v>1</v>
      </c>
      <c r="AN145" s="4803">
        <v>2</v>
      </c>
      <c r="AO145" s="4803">
        <v>1</v>
      </c>
      <c r="AP145" s="1788">
        <v>0</v>
      </c>
      <c r="AQ145" s="1788">
        <v>4</v>
      </c>
      <c r="AT145" s="41"/>
      <c r="AU145" s="41"/>
      <c r="AV145" s="41" t="s">
        <v>130</v>
      </c>
      <c r="AW145" s="41" t="s">
        <v>1230</v>
      </c>
      <c r="AX145" s="690"/>
      <c r="AY145" s="690"/>
      <c r="AZ145" s="690"/>
      <c r="BA145" s="690"/>
      <c r="BB145" s="690"/>
      <c r="BC145" s="690">
        <v>0</v>
      </c>
      <c r="BD145" s="690"/>
      <c r="BE145" s="690"/>
      <c r="BF145" s="690"/>
      <c r="BG145" s="690"/>
      <c r="BH145" s="690"/>
      <c r="BI145" s="690">
        <v>0</v>
      </c>
      <c r="BJ145" s="690">
        <v>0</v>
      </c>
      <c r="BK145" s="690">
        <v>0</v>
      </c>
      <c r="BL145" s="690">
        <v>1</v>
      </c>
      <c r="BM145" s="41"/>
      <c r="BN145" s="41"/>
      <c r="BO145" s="41">
        <v>1</v>
      </c>
      <c r="BP145" s="41"/>
      <c r="BR145" s="41"/>
      <c r="BS145" s="41"/>
      <c r="BT145" s="41"/>
      <c r="BU145" s="461" t="s">
        <v>15</v>
      </c>
      <c r="BV145" s="2002"/>
      <c r="BW145" s="2002"/>
      <c r="BX145" s="2002"/>
      <c r="BY145" s="2002"/>
      <c r="BZ145" s="2002"/>
      <c r="CA145" s="2002"/>
      <c r="CB145" s="2002"/>
      <c r="CC145" s="2002"/>
      <c r="CD145" s="2002">
        <v>1</v>
      </c>
      <c r="CE145" s="2002"/>
      <c r="CF145" s="2002">
        <v>1</v>
      </c>
      <c r="CG145" s="2002"/>
      <c r="CH145" s="2002">
        <v>5</v>
      </c>
      <c r="CI145" s="2002">
        <v>1</v>
      </c>
      <c r="CJ145" s="2002">
        <v>2</v>
      </c>
      <c r="CK145" s="96"/>
      <c r="CL145" s="96">
        <v>2</v>
      </c>
      <c r="CM145" s="96">
        <v>12</v>
      </c>
      <c r="CN145" s="635">
        <f>+(CM141+CM143+CM144)/CM145</f>
        <v>0.41666666666666669</v>
      </c>
      <c r="CR145" s="41"/>
      <c r="CS145" s="41" t="s">
        <v>1235</v>
      </c>
      <c r="CT145" s="1665"/>
      <c r="CU145" s="1665"/>
      <c r="CV145" s="1665"/>
      <c r="CW145" s="1665"/>
      <c r="CX145" s="1665"/>
      <c r="CY145" s="1665"/>
      <c r="CZ145" s="1665"/>
      <c r="DA145" s="1665"/>
      <c r="DB145" s="1665"/>
      <c r="DC145" s="1665"/>
      <c r="DD145" s="1665"/>
      <c r="DE145" s="1665">
        <v>0</v>
      </c>
      <c r="DF145" s="1665">
        <v>0</v>
      </c>
      <c r="DG145" s="1665">
        <v>1</v>
      </c>
      <c r="DH145" s="1665">
        <v>0</v>
      </c>
      <c r="DI145" s="41"/>
      <c r="DJ145" s="41">
        <v>0</v>
      </c>
      <c r="DK145" s="41">
        <v>1</v>
      </c>
      <c r="DL145" s="41"/>
      <c r="DN145" s="1375"/>
      <c r="DO145" s="1375"/>
      <c r="DP145" s="1375"/>
      <c r="DQ145" s="1376" t="s">
        <v>1239</v>
      </c>
      <c r="DR145" s="1377"/>
      <c r="DS145" s="1377"/>
      <c r="DT145" s="1377"/>
      <c r="DU145" s="1377"/>
      <c r="DV145" s="1377"/>
      <c r="DW145" s="1377"/>
      <c r="DX145" s="1377"/>
      <c r="DY145" s="1378">
        <v>0</v>
      </c>
      <c r="DZ145" s="1377"/>
      <c r="EA145" s="1378">
        <v>1</v>
      </c>
      <c r="EB145" s="1378">
        <v>1</v>
      </c>
      <c r="EC145" s="1378">
        <v>0</v>
      </c>
      <c r="ED145" s="1378">
        <v>4</v>
      </c>
      <c r="EE145" s="1380">
        <v>0</v>
      </c>
      <c r="EF145" s="1380">
        <v>1</v>
      </c>
      <c r="EG145" s="1380">
        <v>7</v>
      </c>
      <c r="EH145" s="41"/>
      <c r="EJ145" s="678"/>
      <c r="EK145" s="678"/>
      <c r="EL145" s="678"/>
      <c r="EM145" s="679" t="s">
        <v>1235</v>
      </c>
      <c r="EN145" s="680"/>
      <c r="EO145" s="680"/>
      <c r="EP145" s="680"/>
      <c r="EQ145" s="680"/>
      <c r="ER145" s="680"/>
      <c r="ES145" s="680"/>
      <c r="ET145" s="681">
        <v>0</v>
      </c>
      <c r="EU145" s="680"/>
      <c r="EV145" s="681">
        <v>0</v>
      </c>
      <c r="EW145" s="681">
        <v>0</v>
      </c>
      <c r="EX145" s="681">
        <v>1</v>
      </c>
      <c r="EY145" s="681">
        <v>0</v>
      </c>
      <c r="EZ145" s="680"/>
      <c r="FA145" s="681">
        <v>0</v>
      </c>
      <c r="FB145" s="680"/>
      <c r="FC145" s="682"/>
      <c r="FD145" s="682"/>
      <c r="FE145" s="683">
        <v>1</v>
      </c>
      <c r="FF145" s="105"/>
      <c r="FH145" s="511"/>
      <c r="FI145" s="511"/>
      <c r="FJ145" s="511"/>
      <c r="FK145" s="511"/>
      <c r="FL145" s="512" t="s">
        <v>1235</v>
      </c>
      <c r="FM145" s="684"/>
      <c r="FN145" s="685">
        <v>0</v>
      </c>
      <c r="FO145" s="684"/>
      <c r="FP145" s="685">
        <v>0</v>
      </c>
      <c r="FQ145" s="684"/>
      <c r="FR145" s="685">
        <v>0</v>
      </c>
      <c r="FS145" s="684"/>
      <c r="FT145" s="684"/>
      <c r="FU145" s="684"/>
      <c r="FV145" s="685">
        <v>0</v>
      </c>
      <c r="FW145" s="684"/>
      <c r="FX145" s="685">
        <v>1</v>
      </c>
      <c r="FY145" s="685">
        <v>1</v>
      </c>
      <c r="FZ145" s="685">
        <v>1</v>
      </c>
      <c r="GA145" s="685">
        <v>0</v>
      </c>
      <c r="GB145" s="687">
        <v>0</v>
      </c>
      <c r="GC145" s="687">
        <v>0</v>
      </c>
      <c r="GD145" s="687">
        <v>3</v>
      </c>
      <c r="GE145" s="635"/>
      <c r="GF145" s="41"/>
      <c r="GG145" s="688"/>
      <c r="GH145" s="688"/>
      <c r="GI145" s="688"/>
      <c r="GJ145" s="704" t="s">
        <v>545</v>
      </c>
      <c r="GK145" s="463">
        <v>1</v>
      </c>
      <c r="GL145" s="463">
        <v>2</v>
      </c>
      <c r="GM145" s="463">
        <v>3</v>
      </c>
      <c r="GN145" s="463">
        <v>2</v>
      </c>
      <c r="GO145" s="705"/>
      <c r="GP145" s="463">
        <v>12</v>
      </c>
      <c r="GQ145" s="463">
        <v>13</v>
      </c>
      <c r="GR145" s="463">
        <v>7</v>
      </c>
      <c r="GS145" s="463">
        <v>18</v>
      </c>
      <c r="GT145" s="463">
        <v>11</v>
      </c>
      <c r="GU145" s="463">
        <v>15</v>
      </c>
      <c r="GV145" s="463">
        <v>1</v>
      </c>
      <c r="GW145" s="463">
        <v>2</v>
      </c>
      <c r="GX145" s="463">
        <v>87</v>
      </c>
      <c r="GY145" s="628">
        <f>+(GX144+GX141)/GX145</f>
        <v>0.4942528735632184</v>
      </c>
      <c r="GZ145" s="41"/>
      <c r="HA145" s="41"/>
      <c r="HB145" s="105"/>
      <c r="HC145" s="105"/>
      <c r="HD145" s="105"/>
      <c r="HE145" s="41" t="s">
        <v>1236</v>
      </c>
      <c r="HF145" s="41">
        <v>0</v>
      </c>
      <c r="HG145" s="41">
        <v>0</v>
      </c>
      <c r="HH145" s="41">
        <v>1</v>
      </c>
      <c r="HI145" s="41"/>
      <c r="HJ145" s="41">
        <v>0</v>
      </c>
      <c r="HK145" s="41"/>
      <c r="HL145" s="41"/>
      <c r="HM145" s="41"/>
      <c r="HN145" s="41">
        <v>0</v>
      </c>
      <c r="HO145" s="41">
        <v>0</v>
      </c>
      <c r="HP145" s="41">
        <v>1</v>
      </c>
      <c r="HQ145" s="41">
        <v>11</v>
      </c>
      <c r="HR145" s="41">
        <v>0</v>
      </c>
      <c r="HS145" s="41">
        <v>0</v>
      </c>
      <c r="HT145" s="41"/>
      <c r="HU145" s="41">
        <v>0</v>
      </c>
      <c r="HV145" s="41">
        <v>13</v>
      </c>
      <c r="HW145" s="41"/>
      <c r="HX145" s="41"/>
      <c r="HY145" s="691"/>
      <c r="HZ145" s="691"/>
      <c r="IA145" s="691" t="s">
        <v>41</v>
      </c>
      <c r="IB145" s="691" t="s">
        <v>1231</v>
      </c>
      <c r="IC145" s="691">
        <v>1</v>
      </c>
      <c r="ID145" s="691">
        <v>0</v>
      </c>
      <c r="IE145" s="691">
        <v>0</v>
      </c>
      <c r="IF145" s="691">
        <v>0</v>
      </c>
      <c r="IG145" s="691">
        <v>0</v>
      </c>
      <c r="IH145" s="691">
        <v>0</v>
      </c>
      <c r="II145" s="691">
        <v>0</v>
      </c>
      <c r="IJ145" s="691">
        <v>0</v>
      </c>
      <c r="IK145" s="691">
        <v>0</v>
      </c>
      <c r="IL145" s="691">
        <v>0</v>
      </c>
      <c r="IM145" s="691">
        <v>0</v>
      </c>
      <c r="IN145" s="691">
        <v>0</v>
      </c>
      <c r="IO145" s="691">
        <v>0</v>
      </c>
      <c r="IP145" s="691">
        <v>0</v>
      </c>
      <c r="IQ145" s="691">
        <v>0</v>
      </c>
      <c r="IR145" s="691">
        <v>0</v>
      </c>
      <c r="IS145" s="691">
        <v>1</v>
      </c>
      <c r="IT145" s="724"/>
      <c r="IU145" s="692"/>
    </row>
    <row r="146" spans="3:255">
      <c r="D146" s="4800" t="s">
        <v>1239</v>
      </c>
      <c r="E146" s="4606"/>
      <c r="F146" s="4606">
        <v>0</v>
      </c>
      <c r="G146" s="4606"/>
      <c r="H146" s="4606">
        <v>0</v>
      </c>
      <c r="I146" s="4606"/>
      <c r="J146" s="4606"/>
      <c r="K146" s="4606"/>
      <c r="L146" s="4606"/>
      <c r="M146" s="4606"/>
      <c r="N146" s="4606"/>
      <c r="O146" s="4606">
        <v>0</v>
      </c>
      <c r="P146" s="4606">
        <v>0</v>
      </c>
      <c r="Q146" s="4606">
        <v>0</v>
      </c>
      <c r="R146" s="4606">
        <v>1</v>
      </c>
      <c r="S146" s="2552">
        <v>2</v>
      </c>
      <c r="T146" s="2552">
        <v>1</v>
      </c>
      <c r="U146" s="2552">
        <v>4</v>
      </c>
      <c r="V146" s="2552"/>
      <c r="AA146" s="37" t="s">
        <v>1239</v>
      </c>
      <c r="AB146" s="4803">
        <v>0</v>
      </c>
      <c r="AC146" s="4803">
        <v>0</v>
      </c>
      <c r="AD146" s="4803"/>
      <c r="AE146" s="4803">
        <v>0</v>
      </c>
      <c r="AF146" s="4803"/>
      <c r="AG146" s="4803"/>
      <c r="AH146" s="4803"/>
      <c r="AI146" s="4803"/>
      <c r="AJ146" s="4803"/>
      <c r="AK146" s="4803"/>
      <c r="AL146" s="4803">
        <v>0</v>
      </c>
      <c r="AM146" s="4803">
        <v>0</v>
      </c>
      <c r="AN146" s="4803">
        <v>0</v>
      </c>
      <c r="AO146" s="4803">
        <v>1</v>
      </c>
      <c r="AP146" s="1788">
        <v>4</v>
      </c>
      <c r="AQ146" s="1788">
        <v>5</v>
      </c>
      <c r="AT146" s="41"/>
      <c r="AU146" s="41"/>
      <c r="AV146" s="41"/>
      <c r="AW146" s="41" t="s">
        <v>1231</v>
      </c>
      <c r="AX146" s="690"/>
      <c r="AY146" s="690"/>
      <c r="AZ146" s="690"/>
      <c r="BA146" s="690"/>
      <c r="BB146" s="690"/>
      <c r="BC146" s="690">
        <v>0</v>
      </c>
      <c r="BD146" s="690"/>
      <c r="BE146" s="690"/>
      <c r="BF146" s="690"/>
      <c r="BG146" s="690"/>
      <c r="BH146" s="690"/>
      <c r="BI146" s="690">
        <v>1</v>
      </c>
      <c r="BJ146" s="690">
        <v>0</v>
      </c>
      <c r="BK146" s="690">
        <v>0</v>
      </c>
      <c r="BL146" s="690">
        <v>0</v>
      </c>
      <c r="BM146" s="41"/>
      <c r="BN146" s="41"/>
      <c r="BO146" s="41">
        <v>1</v>
      </c>
      <c r="BP146" s="41"/>
      <c r="BR146" s="41"/>
      <c r="BS146" s="41"/>
      <c r="BT146" s="41" t="s">
        <v>1948</v>
      </c>
      <c r="BU146" s="41" t="s">
        <v>1231</v>
      </c>
      <c r="BV146" s="2001"/>
      <c r="BW146" s="2001"/>
      <c r="BX146" s="2001"/>
      <c r="BY146" s="2001"/>
      <c r="BZ146" s="2001"/>
      <c r="CA146" s="2001"/>
      <c r="CB146" s="2001"/>
      <c r="CC146" s="2001"/>
      <c r="CD146" s="2001"/>
      <c r="CE146" s="2001"/>
      <c r="CF146" s="2001"/>
      <c r="CG146" s="2001"/>
      <c r="CH146" s="2001">
        <v>0</v>
      </c>
      <c r="CI146" s="2001">
        <v>1</v>
      </c>
      <c r="CJ146" s="2001">
        <v>0</v>
      </c>
      <c r="CK146" s="105">
        <v>0</v>
      </c>
      <c r="CL146" s="105">
        <v>0</v>
      </c>
      <c r="CM146" s="105">
        <v>1</v>
      </c>
      <c r="CN146" s="41"/>
      <c r="CR146" s="41"/>
      <c r="CS146" s="41" t="s">
        <v>1239</v>
      </c>
      <c r="CT146" s="1665"/>
      <c r="CU146" s="1665"/>
      <c r="CV146" s="1665"/>
      <c r="CW146" s="1665"/>
      <c r="CX146" s="1665"/>
      <c r="CY146" s="1665"/>
      <c r="CZ146" s="1665"/>
      <c r="DA146" s="1665"/>
      <c r="DB146" s="1665"/>
      <c r="DC146" s="1665"/>
      <c r="DD146" s="1665"/>
      <c r="DE146" s="1665">
        <v>0</v>
      </c>
      <c r="DF146" s="1665">
        <v>0</v>
      </c>
      <c r="DG146" s="1665">
        <v>0</v>
      </c>
      <c r="DH146" s="1665">
        <v>3</v>
      </c>
      <c r="DI146" s="41"/>
      <c r="DJ146" s="41">
        <v>3</v>
      </c>
      <c r="DK146" s="41">
        <v>6</v>
      </c>
      <c r="DL146" s="41"/>
      <c r="DN146" s="1375"/>
      <c r="DO146" s="1375"/>
      <c r="DP146" s="1375"/>
      <c r="DQ146" s="1376" t="s">
        <v>1240</v>
      </c>
      <c r="DR146" s="1377"/>
      <c r="DS146" s="1377"/>
      <c r="DT146" s="1377"/>
      <c r="DU146" s="1377"/>
      <c r="DV146" s="1377"/>
      <c r="DW146" s="1377"/>
      <c r="DX146" s="1377"/>
      <c r="DY146" s="1378">
        <v>1</v>
      </c>
      <c r="DZ146" s="1377"/>
      <c r="EA146" s="1378">
        <v>0</v>
      </c>
      <c r="EB146" s="1378">
        <v>0</v>
      </c>
      <c r="EC146" s="1378">
        <v>1</v>
      </c>
      <c r="ED146" s="1378">
        <v>0</v>
      </c>
      <c r="EE146" s="1380">
        <v>1</v>
      </c>
      <c r="EF146" s="1380">
        <v>0</v>
      </c>
      <c r="EG146" s="1380">
        <v>3</v>
      </c>
      <c r="EH146" s="41"/>
      <c r="EJ146" s="678"/>
      <c r="EK146" s="678"/>
      <c r="EL146" s="678"/>
      <c r="EM146" s="679" t="s">
        <v>1236</v>
      </c>
      <c r="EN146" s="680"/>
      <c r="EO146" s="680"/>
      <c r="EP146" s="680"/>
      <c r="EQ146" s="680"/>
      <c r="ER146" s="680"/>
      <c r="ES146" s="680"/>
      <c r="ET146" s="681">
        <v>1</v>
      </c>
      <c r="EU146" s="680"/>
      <c r="EV146" s="681">
        <v>0</v>
      </c>
      <c r="EW146" s="681">
        <v>0</v>
      </c>
      <c r="EX146" s="681">
        <v>0</v>
      </c>
      <c r="EY146" s="681">
        <v>0</v>
      </c>
      <c r="EZ146" s="680"/>
      <c r="FA146" s="681">
        <v>0</v>
      </c>
      <c r="FB146" s="680"/>
      <c r="FC146" s="682"/>
      <c r="FD146" s="682"/>
      <c r="FE146" s="683">
        <v>1</v>
      </c>
      <c r="FF146" s="105"/>
      <c r="FH146" s="511"/>
      <c r="FI146" s="511"/>
      <c r="FJ146" s="511"/>
      <c r="FK146" s="511"/>
      <c r="FL146" s="512" t="s">
        <v>1239</v>
      </c>
      <c r="FM146" s="684"/>
      <c r="FN146" s="685">
        <v>0</v>
      </c>
      <c r="FO146" s="684"/>
      <c r="FP146" s="685">
        <v>0</v>
      </c>
      <c r="FQ146" s="684"/>
      <c r="FR146" s="685">
        <v>0</v>
      </c>
      <c r="FS146" s="684"/>
      <c r="FT146" s="684"/>
      <c r="FU146" s="684"/>
      <c r="FV146" s="685">
        <v>0</v>
      </c>
      <c r="FW146" s="684"/>
      <c r="FX146" s="685">
        <v>0</v>
      </c>
      <c r="FY146" s="685">
        <v>1</v>
      </c>
      <c r="FZ146" s="685">
        <v>1</v>
      </c>
      <c r="GA146" s="685">
        <v>1</v>
      </c>
      <c r="GB146" s="687">
        <v>1</v>
      </c>
      <c r="GC146" s="687">
        <v>2</v>
      </c>
      <c r="GD146" s="687">
        <v>6</v>
      </c>
      <c r="GE146" s="635"/>
      <c r="GF146" s="41"/>
      <c r="GG146" s="688"/>
      <c r="GH146" s="688"/>
      <c r="GI146" s="688" t="s">
        <v>547</v>
      </c>
      <c r="GJ146" s="457" t="s">
        <v>1230</v>
      </c>
      <c r="GK146" s="458">
        <v>0</v>
      </c>
      <c r="GL146" s="689"/>
      <c r="GM146" s="689"/>
      <c r="GN146" s="458">
        <v>1</v>
      </c>
      <c r="GO146" s="689"/>
      <c r="GP146" s="458">
        <v>0</v>
      </c>
      <c r="GQ146" s="458">
        <v>0</v>
      </c>
      <c r="GR146" s="458">
        <v>0</v>
      </c>
      <c r="GS146" s="458">
        <v>0</v>
      </c>
      <c r="GT146" s="458">
        <v>0</v>
      </c>
      <c r="GU146" s="458">
        <v>2</v>
      </c>
      <c r="GV146" s="458">
        <v>0</v>
      </c>
      <c r="GW146" s="458">
        <v>0</v>
      </c>
      <c r="GX146" s="458">
        <v>3</v>
      </c>
      <c r="GY146" s="690"/>
      <c r="GZ146" s="41"/>
      <c r="HA146" s="41"/>
      <c r="HB146" s="105"/>
      <c r="HC146" s="105"/>
      <c r="HD146" s="105"/>
      <c r="HE146" s="41" t="s">
        <v>1239</v>
      </c>
      <c r="HF146" s="41">
        <v>0</v>
      </c>
      <c r="HG146" s="41">
        <v>0</v>
      </c>
      <c r="HH146" s="41">
        <v>0</v>
      </c>
      <c r="HI146" s="41"/>
      <c r="HJ146" s="41">
        <v>0</v>
      </c>
      <c r="HK146" s="41"/>
      <c r="HL146" s="41"/>
      <c r="HM146" s="41"/>
      <c r="HN146" s="41">
        <v>0</v>
      </c>
      <c r="HO146" s="41">
        <v>0</v>
      </c>
      <c r="HP146" s="41">
        <v>0</v>
      </c>
      <c r="HQ146" s="41">
        <v>0</v>
      </c>
      <c r="HR146" s="41">
        <v>0</v>
      </c>
      <c r="HS146" s="41">
        <v>10</v>
      </c>
      <c r="HT146" s="41"/>
      <c r="HU146" s="41">
        <v>1</v>
      </c>
      <c r="HV146" s="41">
        <v>11</v>
      </c>
      <c r="HW146" s="41"/>
      <c r="HX146" s="41"/>
      <c r="HY146" s="691"/>
      <c r="HZ146" s="691"/>
      <c r="IA146" s="691"/>
      <c r="IB146" s="691" t="s">
        <v>1235</v>
      </c>
      <c r="IC146" s="691">
        <v>0</v>
      </c>
      <c r="ID146" s="691">
        <v>0</v>
      </c>
      <c r="IE146" s="691">
        <v>0</v>
      </c>
      <c r="IF146" s="691">
        <v>0</v>
      </c>
      <c r="IG146" s="691">
        <v>0</v>
      </c>
      <c r="IH146" s="691">
        <v>0</v>
      </c>
      <c r="II146" s="691">
        <v>0</v>
      </c>
      <c r="IJ146" s="691">
        <v>0</v>
      </c>
      <c r="IK146" s="691">
        <v>0</v>
      </c>
      <c r="IL146" s="691">
        <v>0</v>
      </c>
      <c r="IM146" s="691">
        <v>1</v>
      </c>
      <c r="IN146" s="691">
        <v>0</v>
      </c>
      <c r="IO146" s="691">
        <v>2</v>
      </c>
      <c r="IP146" s="691">
        <v>1</v>
      </c>
      <c r="IQ146" s="691">
        <v>2</v>
      </c>
      <c r="IR146" s="691">
        <v>0</v>
      </c>
      <c r="IS146" s="691">
        <v>6</v>
      </c>
      <c r="IT146" s="691"/>
      <c r="IU146" s="692"/>
    </row>
    <row r="147" spans="3:255">
      <c r="D147" s="4800" t="s">
        <v>1240</v>
      </c>
      <c r="E147" s="4606"/>
      <c r="F147" s="4606">
        <v>0</v>
      </c>
      <c r="G147" s="4606"/>
      <c r="H147" s="4606">
        <v>0</v>
      </c>
      <c r="I147" s="4606"/>
      <c r="J147" s="4606"/>
      <c r="K147" s="4606"/>
      <c r="L147" s="4606"/>
      <c r="M147" s="4606"/>
      <c r="N147" s="4606"/>
      <c r="O147" s="4606">
        <v>0</v>
      </c>
      <c r="P147" s="4606">
        <v>3</v>
      </c>
      <c r="Q147" s="4606">
        <v>3</v>
      </c>
      <c r="R147" s="4606">
        <v>0</v>
      </c>
      <c r="S147" s="2552">
        <v>0</v>
      </c>
      <c r="T147" s="2552">
        <v>0</v>
      </c>
      <c r="U147" s="2552">
        <v>6</v>
      </c>
      <c r="V147" s="2552"/>
      <c r="AA147" s="37" t="s">
        <v>1240</v>
      </c>
      <c r="AB147" s="4803">
        <v>0</v>
      </c>
      <c r="AC147" s="4803">
        <v>0</v>
      </c>
      <c r="AD147" s="4803"/>
      <c r="AE147" s="4803">
        <v>0</v>
      </c>
      <c r="AF147" s="4803"/>
      <c r="AG147" s="4803"/>
      <c r="AH147" s="4803"/>
      <c r="AI147" s="4803"/>
      <c r="AJ147" s="4803"/>
      <c r="AK147" s="4803"/>
      <c r="AL147" s="4803">
        <v>0</v>
      </c>
      <c r="AM147" s="4803">
        <v>2</v>
      </c>
      <c r="AN147" s="4803">
        <v>1</v>
      </c>
      <c r="AO147" s="4803">
        <v>0</v>
      </c>
      <c r="AP147" s="1788">
        <v>0</v>
      </c>
      <c r="AQ147" s="1788">
        <v>3</v>
      </c>
      <c r="AT147" s="41"/>
      <c r="AU147" s="41"/>
      <c r="AV147" s="41"/>
      <c r="AW147" s="41" t="s">
        <v>1233</v>
      </c>
      <c r="AX147" s="690"/>
      <c r="AY147" s="690"/>
      <c r="AZ147" s="690"/>
      <c r="BA147" s="690"/>
      <c r="BB147" s="690"/>
      <c r="BC147" s="690">
        <v>1</v>
      </c>
      <c r="BD147" s="690"/>
      <c r="BE147" s="690"/>
      <c r="BF147" s="690"/>
      <c r="BG147" s="690"/>
      <c r="BH147" s="690"/>
      <c r="BI147" s="690">
        <v>0</v>
      </c>
      <c r="BJ147" s="690">
        <v>0</v>
      </c>
      <c r="BK147" s="690">
        <v>0</v>
      </c>
      <c r="BL147" s="690">
        <v>0</v>
      </c>
      <c r="BM147" s="41"/>
      <c r="BN147" s="41"/>
      <c r="BO147" s="41">
        <v>1</v>
      </c>
      <c r="BP147" s="41"/>
      <c r="BR147" s="41"/>
      <c r="BS147" s="41"/>
      <c r="BT147" s="41"/>
      <c r="BU147" s="41" t="s">
        <v>1235</v>
      </c>
      <c r="BV147" s="2001"/>
      <c r="BW147" s="2001"/>
      <c r="BX147" s="2001"/>
      <c r="BY147" s="2001"/>
      <c r="BZ147" s="2001"/>
      <c r="CA147" s="2001"/>
      <c r="CB147" s="2001"/>
      <c r="CC147" s="2001"/>
      <c r="CD147" s="2001"/>
      <c r="CE147" s="2001"/>
      <c r="CF147" s="2001"/>
      <c r="CG147" s="2001"/>
      <c r="CH147" s="2001">
        <v>1</v>
      </c>
      <c r="CI147" s="2001">
        <v>1</v>
      </c>
      <c r="CJ147" s="2001">
        <v>0</v>
      </c>
      <c r="CK147" s="105">
        <v>0</v>
      </c>
      <c r="CL147" s="105">
        <v>0</v>
      </c>
      <c r="CM147" s="105">
        <v>2</v>
      </c>
      <c r="CN147" s="41"/>
      <c r="CR147" s="41"/>
      <c r="CS147" s="41" t="s">
        <v>1240</v>
      </c>
      <c r="CT147" s="1665"/>
      <c r="CU147" s="1665"/>
      <c r="CV147" s="1665"/>
      <c r="CW147" s="1665"/>
      <c r="CX147" s="1665"/>
      <c r="CY147" s="1665"/>
      <c r="CZ147" s="1665"/>
      <c r="DA147" s="1665"/>
      <c r="DB147" s="1665"/>
      <c r="DC147" s="1665"/>
      <c r="DD147" s="1665"/>
      <c r="DE147" s="1665">
        <v>2</v>
      </c>
      <c r="DF147" s="1665">
        <v>1</v>
      </c>
      <c r="DG147" s="1665">
        <v>0</v>
      </c>
      <c r="DH147" s="1665">
        <v>1</v>
      </c>
      <c r="DI147" s="41"/>
      <c r="DJ147" s="41">
        <v>0</v>
      </c>
      <c r="DK147" s="41">
        <v>4</v>
      </c>
      <c r="DL147" s="41"/>
      <c r="DN147" s="1375"/>
      <c r="DO147" s="1375"/>
      <c r="DP147" s="1375"/>
      <c r="DQ147" s="1376" t="s">
        <v>1344</v>
      </c>
      <c r="DR147" s="1377"/>
      <c r="DS147" s="1377"/>
      <c r="DT147" s="1377"/>
      <c r="DU147" s="1377"/>
      <c r="DV147" s="1377"/>
      <c r="DW147" s="1377"/>
      <c r="DX147" s="1377"/>
      <c r="DY147" s="1378">
        <v>0</v>
      </c>
      <c r="DZ147" s="1377"/>
      <c r="EA147" s="1378">
        <v>0</v>
      </c>
      <c r="EB147" s="1378">
        <v>0</v>
      </c>
      <c r="EC147" s="1378">
        <v>2</v>
      </c>
      <c r="ED147" s="1378">
        <v>0</v>
      </c>
      <c r="EE147" s="1380">
        <v>0</v>
      </c>
      <c r="EF147" s="1380">
        <v>0</v>
      </c>
      <c r="EG147" s="1380">
        <v>2</v>
      </c>
      <c r="EH147" s="41"/>
      <c r="EJ147" s="678"/>
      <c r="EK147" s="678"/>
      <c r="EL147" s="678"/>
      <c r="EM147" s="679" t="s">
        <v>1344</v>
      </c>
      <c r="EN147" s="680"/>
      <c r="EO147" s="680"/>
      <c r="EP147" s="680"/>
      <c r="EQ147" s="680"/>
      <c r="ER147" s="680"/>
      <c r="ES147" s="680"/>
      <c r="ET147" s="681">
        <v>0</v>
      </c>
      <c r="EU147" s="680"/>
      <c r="EV147" s="681">
        <v>0</v>
      </c>
      <c r="EW147" s="681">
        <v>4</v>
      </c>
      <c r="EX147" s="681">
        <v>4</v>
      </c>
      <c r="EY147" s="681">
        <v>1</v>
      </c>
      <c r="EZ147" s="680"/>
      <c r="FA147" s="681">
        <v>0</v>
      </c>
      <c r="FB147" s="680"/>
      <c r="FC147" s="682"/>
      <c r="FD147" s="682"/>
      <c r="FE147" s="683">
        <v>9</v>
      </c>
      <c r="FF147" s="105"/>
      <c r="FH147" s="511"/>
      <c r="FI147" s="511"/>
      <c r="FJ147" s="511"/>
      <c r="FK147" s="511"/>
      <c r="FL147" s="512" t="s">
        <v>1240</v>
      </c>
      <c r="FM147" s="684"/>
      <c r="FN147" s="685">
        <v>0</v>
      </c>
      <c r="FO147" s="684"/>
      <c r="FP147" s="685">
        <v>0</v>
      </c>
      <c r="FQ147" s="684"/>
      <c r="FR147" s="685">
        <v>0</v>
      </c>
      <c r="FS147" s="684"/>
      <c r="FT147" s="684"/>
      <c r="FU147" s="684"/>
      <c r="FV147" s="685">
        <v>0</v>
      </c>
      <c r="FW147" s="684"/>
      <c r="FX147" s="685">
        <v>0</v>
      </c>
      <c r="FY147" s="685">
        <v>2</v>
      </c>
      <c r="FZ147" s="685">
        <v>0</v>
      </c>
      <c r="GA147" s="685">
        <v>0</v>
      </c>
      <c r="GB147" s="687">
        <v>1</v>
      </c>
      <c r="GC147" s="687">
        <v>0</v>
      </c>
      <c r="GD147" s="687">
        <v>3</v>
      </c>
      <c r="GE147" s="635"/>
      <c r="GF147" s="41"/>
      <c r="GG147" s="688"/>
      <c r="GH147" s="688"/>
      <c r="GI147" s="688"/>
      <c r="GJ147" s="457" t="s">
        <v>1231</v>
      </c>
      <c r="GK147" s="458">
        <v>1</v>
      </c>
      <c r="GL147" s="689"/>
      <c r="GM147" s="689"/>
      <c r="GN147" s="458">
        <v>0</v>
      </c>
      <c r="GO147" s="689"/>
      <c r="GP147" s="458">
        <v>0</v>
      </c>
      <c r="GQ147" s="458">
        <v>0</v>
      </c>
      <c r="GR147" s="458">
        <v>1</v>
      </c>
      <c r="GS147" s="458">
        <v>0</v>
      </c>
      <c r="GT147" s="458">
        <v>0</v>
      </c>
      <c r="GU147" s="458">
        <v>0</v>
      </c>
      <c r="GV147" s="458">
        <v>1</v>
      </c>
      <c r="GW147" s="458">
        <v>0</v>
      </c>
      <c r="GX147" s="458">
        <v>3</v>
      </c>
      <c r="GY147" s="690"/>
      <c r="GZ147" s="41"/>
      <c r="HA147" s="41"/>
      <c r="HB147" s="105"/>
      <c r="HC147" s="105"/>
      <c r="HD147" s="105"/>
      <c r="HE147" s="41" t="s">
        <v>1344</v>
      </c>
      <c r="HF147" s="41">
        <v>0</v>
      </c>
      <c r="HG147" s="41">
        <v>0</v>
      </c>
      <c r="HH147" s="41">
        <v>0</v>
      </c>
      <c r="HI147" s="41"/>
      <c r="HJ147" s="41">
        <v>0</v>
      </c>
      <c r="HK147" s="41"/>
      <c r="HL147" s="41"/>
      <c r="HM147" s="41"/>
      <c r="HN147" s="41">
        <v>1</v>
      </c>
      <c r="HO147" s="41">
        <v>0</v>
      </c>
      <c r="HP147" s="41">
        <v>1</v>
      </c>
      <c r="HQ147" s="41">
        <v>2</v>
      </c>
      <c r="HR147" s="41">
        <v>0</v>
      </c>
      <c r="HS147" s="41">
        <v>0</v>
      </c>
      <c r="HT147" s="41"/>
      <c r="HU147" s="41">
        <v>0</v>
      </c>
      <c r="HV147" s="41">
        <v>4</v>
      </c>
      <c r="HW147" s="41"/>
      <c r="HX147" s="41"/>
      <c r="HY147" s="691"/>
      <c r="HZ147" s="691"/>
      <c r="IA147" s="691"/>
      <c r="IB147" s="691" t="s">
        <v>1239</v>
      </c>
      <c r="IC147" s="691">
        <v>0</v>
      </c>
      <c r="ID147" s="691">
        <v>0</v>
      </c>
      <c r="IE147" s="691">
        <v>0</v>
      </c>
      <c r="IF147" s="691">
        <v>0</v>
      </c>
      <c r="IG147" s="691">
        <v>0</v>
      </c>
      <c r="IH147" s="691">
        <v>0</v>
      </c>
      <c r="II147" s="691">
        <v>0</v>
      </c>
      <c r="IJ147" s="691">
        <v>0</v>
      </c>
      <c r="IK147" s="691">
        <v>0</v>
      </c>
      <c r="IL147" s="691">
        <v>0</v>
      </c>
      <c r="IM147" s="691">
        <v>0</v>
      </c>
      <c r="IN147" s="691">
        <v>0</v>
      </c>
      <c r="IO147" s="691">
        <v>1</v>
      </c>
      <c r="IP147" s="691">
        <v>6</v>
      </c>
      <c r="IQ147" s="691">
        <v>1</v>
      </c>
      <c r="IR147" s="691">
        <v>5</v>
      </c>
      <c r="IS147" s="691">
        <v>13</v>
      </c>
      <c r="IT147" s="691"/>
      <c r="IU147" s="692"/>
    </row>
    <row r="148" spans="3:255">
      <c r="D148" s="4800" t="s">
        <v>1344</v>
      </c>
      <c r="E148" s="4606"/>
      <c r="F148" s="4606">
        <v>0</v>
      </c>
      <c r="G148" s="4606"/>
      <c r="H148" s="4606">
        <v>0</v>
      </c>
      <c r="I148" s="4606"/>
      <c r="J148" s="4606"/>
      <c r="K148" s="4606"/>
      <c r="L148" s="4606"/>
      <c r="M148" s="4606"/>
      <c r="N148" s="4606"/>
      <c r="O148" s="4606">
        <v>0</v>
      </c>
      <c r="P148" s="4606">
        <v>3</v>
      </c>
      <c r="Q148" s="4606">
        <v>2</v>
      </c>
      <c r="R148" s="4606">
        <v>1</v>
      </c>
      <c r="S148" s="2552">
        <v>1</v>
      </c>
      <c r="T148" s="2552">
        <v>0</v>
      </c>
      <c r="U148" s="2552">
        <v>7</v>
      </c>
      <c r="V148" s="2552"/>
      <c r="AA148" s="37" t="s">
        <v>1344</v>
      </c>
      <c r="AB148" s="4803">
        <v>0</v>
      </c>
      <c r="AC148" s="4803">
        <v>0</v>
      </c>
      <c r="AD148" s="4803"/>
      <c r="AE148" s="4803">
        <v>0</v>
      </c>
      <c r="AF148" s="4803"/>
      <c r="AG148" s="4803"/>
      <c r="AH148" s="4803"/>
      <c r="AI148" s="4803"/>
      <c r="AJ148" s="4803"/>
      <c r="AK148" s="4803"/>
      <c r="AL148" s="4803">
        <v>0</v>
      </c>
      <c r="AM148" s="4803">
        <v>2</v>
      </c>
      <c r="AN148" s="4803">
        <v>1</v>
      </c>
      <c r="AO148" s="4803">
        <v>0</v>
      </c>
      <c r="AP148" s="1788">
        <v>0</v>
      </c>
      <c r="AQ148" s="1788">
        <v>3</v>
      </c>
      <c r="AT148" s="41"/>
      <c r="AU148" s="41"/>
      <c r="AV148" s="41"/>
      <c r="AW148" s="41" t="s">
        <v>1235</v>
      </c>
      <c r="AX148" s="690"/>
      <c r="AY148" s="690"/>
      <c r="AZ148" s="690"/>
      <c r="BA148" s="690"/>
      <c r="BB148" s="690"/>
      <c r="BC148" s="690">
        <v>0</v>
      </c>
      <c r="BD148" s="690"/>
      <c r="BE148" s="690"/>
      <c r="BF148" s="690"/>
      <c r="BG148" s="690"/>
      <c r="BH148" s="690"/>
      <c r="BI148" s="690">
        <v>0</v>
      </c>
      <c r="BJ148" s="690">
        <v>1</v>
      </c>
      <c r="BK148" s="690">
        <v>1</v>
      </c>
      <c r="BL148" s="690">
        <v>1</v>
      </c>
      <c r="BM148" s="41"/>
      <c r="BN148" s="41"/>
      <c r="BO148" s="41">
        <v>3</v>
      </c>
      <c r="BP148" s="41"/>
      <c r="BR148" s="41"/>
      <c r="BS148" s="41"/>
      <c r="BT148" s="41"/>
      <c r="BU148" s="41" t="s">
        <v>1239</v>
      </c>
      <c r="BV148" s="2001"/>
      <c r="BW148" s="2001"/>
      <c r="BX148" s="2001"/>
      <c r="BY148" s="2001"/>
      <c r="BZ148" s="2001"/>
      <c r="CA148" s="2001"/>
      <c r="CB148" s="2001"/>
      <c r="CC148" s="2001"/>
      <c r="CD148" s="2001"/>
      <c r="CE148" s="2001"/>
      <c r="CF148" s="2001"/>
      <c r="CG148" s="2001"/>
      <c r="CH148" s="2001">
        <v>0</v>
      </c>
      <c r="CI148" s="2001">
        <v>0</v>
      </c>
      <c r="CJ148" s="2001">
        <v>0</v>
      </c>
      <c r="CK148" s="105">
        <v>0</v>
      </c>
      <c r="CL148" s="105">
        <v>4</v>
      </c>
      <c r="CM148" s="105">
        <v>4</v>
      </c>
      <c r="CN148" s="41"/>
      <c r="CR148" s="41"/>
      <c r="CS148" s="41" t="s">
        <v>1344</v>
      </c>
      <c r="CT148" s="1665"/>
      <c r="CU148" s="1665"/>
      <c r="CV148" s="1665"/>
      <c r="CW148" s="1665"/>
      <c r="CX148" s="1665"/>
      <c r="CY148" s="1665"/>
      <c r="CZ148" s="1665"/>
      <c r="DA148" s="1665"/>
      <c r="DB148" s="1665"/>
      <c r="DC148" s="1665"/>
      <c r="DD148" s="1665"/>
      <c r="DE148" s="1665">
        <v>0</v>
      </c>
      <c r="DF148" s="1665">
        <v>0</v>
      </c>
      <c r="DG148" s="1665">
        <v>1</v>
      </c>
      <c r="DH148" s="1665">
        <v>0</v>
      </c>
      <c r="DI148" s="41"/>
      <c r="DJ148" s="41">
        <v>0</v>
      </c>
      <c r="DK148" s="41">
        <v>1</v>
      </c>
      <c r="DL148" s="41"/>
      <c r="DN148" s="1375"/>
      <c r="DO148" s="1375"/>
      <c r="DP148" s="1375"/>
      <c r="DQ148" s="1372" t="s">
        <v>15</v>
      </c>
      <c r="DR148" s="1381"/>
      <c r="DS148" s="1381"/>
      <c r="DT148" s="1381"/>
      <c r="DU148" s="1381"/>
      <c r="DV148" s="1381"/>
      <c r="DW148" s="1381"/>
      <c r="DX148" s="1381"/>
      <c r="DY148" s="1382">
        <v>1</v>
      </c>
      <c r="DZ148" s="1381"/>
      <c r="EA148" s="1382">
        <v>2</v>
      </c>
      <c r="EB148" s="1382">
        <v>1</v>
      </c>
      <c r="EC148" s="1382">
        <v>4</v>
      </c>
      <c r="ED148" s="1382">
        <v>6</v>
      </c>
      <c r="EE148" s="1384">
        <v>1</v>
      </c>
      <c r="EF148" s="1384">
        <v>2</v>
      </c>
      <c r="EG148" s="1384">
        <v>17</v>
      </c>
      <c r="EH148" s="1325">
        <f>+(EG144+EG146-EE146+EG147)/EG148</f>
        <v>0.35294117647058826</v>
      </c>
      <c r="EJ148" s="678"/>
      <c r="EK148" s="678"/>
      <c r="EL148" s="678"/>
      <c r="EM148" s="697" t="s">
        <v>547</v>
      </c>
      <c r="EN148" s="698"/>
      <c r="EO148" s="698"/>
      <c r="EP148" s="698"/>
      <c r="EQ148" s="698"/>
      <c r="ER148" s="698"/>
      <c r="ES148" s="698"/>
      <c r="ET148" s="699">
        <v>1</v>
      </c>
      <c r="EU148" s="698"/>
      <c r="EV148" s="699">
        <v>2</v>
      </c>
      <c r="EW148" s="699">
        <v>9</v>
      </c>
      <c r="EX148" s="699">
        <v>9</v>
      </c>
      <c r="EY148" s="699">
        <v>2</v>
      </c>
      <c r="EZ148" s="698"/>
      <c r="FA148" s="699">
        <v>1</v>
      </c>
      <c r="FB148" s="698"/>
      <c r="FC148" s="700"/>
      <c r="FD148" s="700"/>
      <c r="FE148" s="701">
        <v>24</v>
      </c>
      <c r="FF148" s="635">
        <f>+(FE145+FE147)/FE148</f>
        <v>0.41666666666666669</v>
      </c>
      <c r="FH148" s="511"/>
      <c r="FI148" s="511"/>
      <c r="FJ148" s="511"/>
      <c r="FK148" s="511"/>
      <c r="FL148" s="512" t="s">
        <v>1344</v>
      </c>
      <c r="FM148" s="684"/>
      <c r="FN148" s="685">
        <v>0</v>
      </c>
      <c r="FO148" s="684"/>
      <c r="FP148" s="685">
        <v>0</v>
      </c>
      <c r="FQ148" s="684"/>
      <c r="FR148" s="685">
        <v>0</v>
      </c>
      <c r="FS148" s="684"/>
      <c r="FT148" s="684"/>
      <c r="FU148" s="684"/>
      <c r="FV148" s="685">
        <v>0</v>
      </c>
      <c r="FW148" s="684"/>
      <c r="FX148" s="685">
        <v>0</v>
      </c>
      <c r="FY148" s="685">
        <v>5</v>
      </c>
      <c r="FZ148" s="685">
        <v>2</v>
      </c>
      <c r="GA148" s="685">
        <v>1</v>
      </c>
      <c r="GB148" s="687">
        <v>0</v>
      </c>
      <c r="GC148" s="687">
        <v>0</v>
      </c>
      <c r="GD148" s="687">
        <v>8</v>
      </c>
      <c r="GE148" s="635"/>
      <c r="GF148" s="41"/>
      <c r="GG148" s="41"/>
      <c r="GH148" s="41"/>
      <c r="GI148" s="688"/>
      <c r="GJ148" s="457" t="s">
        <v>1233</v>
      </c>
      <c r="GK148" s="458">
        <v>0</v>
      </c>
      <c r="GL148" s="689"/>
      <c r="GM148" s="689"/>
      <c r="GN148" s="458">
        <v>1</v>
      </c>
      <c r="GO148" s="689"/>
      <c r="GP148" s="458">
        <v>0</v>
      </c>
      <c r="GQ148" s="458">
        <v>0</v>
      </c>
      <c r="GR148" s="458">
        <v>0</v>
      </c>
      <c r="GS148" s="458">
        <v>0</v>
      </c>
      <c r="GT148" s="458">
        <v>0</v>
      </c>
      <c r="GU148" s="458">
        <v>0</v>
      </c>
      <c r="GV148" s="458">
        <v>0</v>
      </c>
      <c r="GW148" s="458">
        <v>0</v>
      </c>
      <c r="GX148" s="458">
        <v>1</v>
      </c>
      <c r="GY148" s="690"/>
      <c r="GZ148" s="41"/>
      <c r="HA148" s="41"/>
      <c r="HB148" s="105"/>
      <c r="HC148" s="105"/>
      <c r="HD148" s="105"/>
      <c r="HE148" s="461" t="s">
        <v>15</v>
      </c>
      <c r="HF148" s="461">
        <v>2</v>
      </c>
      <c r="HG148" s="461">
        <v>1</v>
      </c>
      <c r="HH148" s="461">
        <v>1</v>
      </c>
      <c r="HI148" s="461"/>
      <c r="HJ148" s="461">
        <v>4</v>
      </c>
      <c r="HK148" s="461"/>
      <c r="HL148" s="461"/>
      <c r="HM148" s="461"/>
      <c r="HN148" s="461">
        <v>2</v>
      </c>
      <c r="HO148" s="461">
        <v>5</v>
      </c>
      <c r="HP148" s="461">
        <v>9</v>
      </c>
      <c r="HQ148" s="461">
        <v>23</v>
      </c>
      <c r="HR148" s="461">
        <v>5</v>
      </c>
      <c r="HS148" s="461">
        <v>11</v>
      </c>
      <c r="HT148" s="461"/>
      <c r="HU148" s="461">
        <v>1</v>
      </c>
      <c r="HV148" s="461">
        <v>64</v>
      </c>
      <c r="HW148" s="706">
        <f>+(HV144+HV147)/HV148</f>
        <v>0.328125</v>
      </c>
      <c r="HX148" s="41"/>
      <c r="HY148" s="691"/>
      <c r="HZ148" s="691"/>
      <c r="IA148" s="691"/>
      <c r="IB148" s="691" t="s">
        <v>1344</v>
      </c>
      <c r="IC148" s="691">
        <v>0</v>
      </c>
      <c r="ID148" s="691">
        <v>0</v>
      </c>
      <c r="IE148" s="691">
        <v>0</v>
      </c>
      <c r="IF148" s="691">
        <v>0</v>
      </c>
      <c r="IG148" s="691">
        <v>0</v>
      </c>
      <c r="IH148" s="691">
        <v>0</v>
      </c>
      <c r="II148" s="691">
        <v>0</v>
      </c>
      <c r="IJ148" s="691">
        <v>0</v>
      </c>
      <c r="IK148" s="691">
        <v>1</v>
      </c>
      <c r="IL148" s="691">
        <v>3</v>
      </c>
      <c r="IM148" s="691">
        <v>5</v>
      </c>
      <c r="IN148" s="691">
        <v>0</v>
      </c>
      <c r="IO148" s="691">
        <v>1</v>
      </c>
      <c r="IP148" s="691">
        <v>1</v>
      </c>
      <c r="IQ148" s="691">
        <v>0</v>
      </c>
      <c r="IR148" s="691">
        <v>0</v>
      </c>
      <c r="IS148" s="691">
        <v>11</v>
      </c>
      <c r="IT148" s="691"/>
      <c r="IU148" s="692"/>
    </row>
    <row r="149" spans="3:255">
      <c r="D149" s="4800" t="s">
        <v>15</v>
      </c>
      <c r="E149" s="4606"/>
      <c r="F149" s="4606">
        <v>1</v>
      </c>
      <c r="G149" s="4606"/>
      <c r="H149" s="4606">
        <v>1</v>
      </c>
      <c r="I149" s="4606"/>
      <c r="J149" s="4606"/>
      <c r="K149" s="4606"/>
      <c r="L149" s="4606"/>
      <c r="M149" s="4606"/>
      <c r="N149" s="4606"/>
      <c r="O149" s="4606">
        <v>1</v>
      </c>
      <c r="P149" s="4606">
        <v>23</v>
      </c>
      <c r="Q149" s="4606">
        <v>18</v>
      </c>
      <c r="R149" s="4606">
        <v>3</v>
      </c>
      <c r="S149" s="2552">
        <v>3</v>
      </c>
      <c r="T149" s="2552">
        <v>1</v>
      </c>
      <c r="U149" s="2552">
        <v>51</v>
      </c>
      <c r="V149" s="1977">
        <f>+(U145+U147+U148)/(U149)</f>
        <v>0.29411764705882354</v>
      </c>
      <c r="AA149" s="1793" t="s">
        <v>15</v>
      </c>
      <c r="AB149" s="4804">
        <v>0</v>
      </c>
      <c r="AC149" s="4804">
        <v>1</v>
      </c>
      <c r="AD149" s="4804"/>
      <c r="AE149" s="4804">
        <v>1</v>
      </c>
      <c r="AF149" s="4804"/>
      <c r="AG149" s="4804"/>
      <c r="AH149" s="4804"/>
      <c r="AI149" s="4804"/>
      <c r="AJ149" s="4804"/>
      <c r="AK149" s="4804"/>
      <c r="AL149" s="4804">
        <v>1</v>
      </c>
      <c r="AM149" s="4804">
        <v>23</v>
      </c>
      <c r="AN149" s="4804">
        <v>18</v>
      </c>
      <c r="AO149" s="4804">
        <v>3</v>
      </c>
      <c r="AP149" s="4702">
        <v>4</v>
      </c>
      <c r="AQ149" s="4702">
        <v>51</v>
      </c>
      <c r="AR149" s="4703">
        <f>+(AQ145+AQ147+AQ148)/AQ149</f>
        <v>0.19607843137254902</v>
      </c>
      <c r="AT149" s="41"/>
      <c r="AU149" s="41"/>
      <c r="AV149" s="41"/>
      <c r="AW149" s="41" t="s">
        <v>1239</v>
      </c>
      <c r="AX149" s="690"/>
      <c r="AY149" s="690"/>
      <c r="AZ149" s="690"/>
      <c r="BA149" s="690"/>
      <c r="BB149" s="690"/>
      <c r="BC149" s="690">
        <v>0</v>
      </c>
      <c r="BD149" s="690"/>
      <c r="BE149" s="690"/>
      <c r="BF149" s="690"/>
      <c r="BG149" s="690"/>
      <c r="BH149" s="690"/>
      <c r="BI149" s="690">
        <v>0</v>
      </c>
      <c r="BJ149" s="690">
        <v>0</v>
      </c>
      <c r="BK149" s="690">
        <v>0</v>
      </c>
      <c r="BL149" s="690">
        <v>5</v>
      </c>
      <c r="BM149" s="41"/>
      <c r="BN149" s="41"/>
      <c r="BO149" s="41">
        <v>5</v>
      </c>
      <c r="BP149" s="41"/>
      <c r="BR149" s="41"/>
      <c r="BS149" s="41"/>
      <c r="BT149" s="41"/>
      <c r="BU149" s="41" t="s">
        <v>1240</v>
      </c>
      <c r="BV149" s="2001"/>
      <c r="BW149" s="2001"/>
      <c r="BX149" s="2001"/>
      <c r="BY149" s="2001"/>
      <c r="BZ149" s="2001"/>
      <c r="CA149" s="2001"/>
      <c r="CB149" s="2001"/>
      <c r="CC149" s="2001"/>
      <c r="CD149" s="2001"/>
      <c r="CE149" s="2001"/>
      <c r="CF149" s="2001"/>
      <c r="CG149" s="2001"/>
      <c r="CH149" s="2001">
        <v>0</v>
      </c>
      <c r="CI149" s="2001">
        <v>0</v>
      </c>
      <c r="CJ149" s="2001">
        <v>0</v>
      </c>
      <c r="CK149" s="105">
        <v>1</v>
      </c>
      <c r="CL149" s="105">
        <v>0</v>
      </c>
      <c r="CM149" s="105">
        <v>1</v>
      </c>
      <c r="CN149" s="41"/>
      <c r="CR149" s="41"/>
      <c r="CS149" s="461" t="s">
        <v>15</v>
      </c>
      <c r="CT149" s="1666"/>
      <c r="CU149" s="1666"/>
      <c r="CV149" s="1666"/>
      <c r="CW149" s="1666"/>
      <c r="CX149" s="1666"/>
      <c r="CY149" s="1666"/>
      <c r="CZ149" s="1666"/>
      <c r="DA149" s="1666"/>
      <c r="DB149" s="1666"/>
      <c r="DC149" s="1666"/>
      <c r="DD149" s="1666"/>
      <c r="DE149" s="1666">
        <v>2</v>
      </c>
      <c r="DF149" s="1666">
        <v>2</v>
      </c>
      <c r="DG149" s="1666">
        <v>2</v>
      </c>
      <c r="DH149" s="1666">
        <v>5</v>
      </c>
      <c r="DI149" s="461"/>
      <c r="DJ149" s="461">
        <v>3</v>
      </c>
      <c r="DK149" s="461">
        <v>14</v>
      </c>
      <c r="DL149" s="635">
        <f>+(DK145+DK147+DK148)/DK149</f>
        <v>0.42857142857142855</v>
      </c>
      <c r="DN149" s="1375"/>
      <c r="DO149" s="1375"/>
      <c r="DP149" s="1375" t="s">
        <v>547</v>
      </c>
      <c r="DQ149" s="1376" t="s">
        <v>1230</v>
      </c>
      <c r="DR149" s="1377"/>
      <c r="DS149" s="1377"/>
      <c r="DT149" s="1377"/>
      <c r="DU149" s="1377"/>
      <c r="DV149" s="1377"/>
      <c r="DW149" s="1377"/>
      <c r="DX149" s="1377"/>
      <c r="DY149" s="1378">
        <v>0</v>
      </c>
      <c r="DZ149" s="1377"/>
      <c r="EA149" s="1378">
        <v>0</v>
      </c>
      <c r="EB149" s="1378">
        <v>0</v>
      </c>
      <c r="EC149" s="1378">
        <v>0</v>
      </c>
      <c r="ED149" s="1378">
        <v>1</v>
      </c>
      <c r="EE149" s="1380">
        <v>0</v>
      </c>
      <c r="EF149" s="1380">
        <v>1</v>
      </c>
      <c r="EG149" s="1380">
        <v>2</v>
      </c>
      <c r="EH149" s="41"/>
      <c r="EJ149" s="678"/>
      <c r="EK149" s="678" t="s">
        <v>104</v>
      </c>
      <c r="EL149" s="678" t="s">
        <v>146</v>
      </c>
      <c r="EM149" s="679" t="s">
        <v>1230</v>
      </c>
      <c r="EN149" s="680"/>
      <c r="EO149" s="681">
        <v>0</v>
      </c>
      <c r="EP149" s="681">
        <v>0</v>
      </c>
      <c r="EQ149" s="680"/>
      <c r="ER149" s="680"/>
      <c r="ES149" s="680"/>
      <c r="ET149" s="680"/>
      <c r="EU149" s="680"/>
      <c r="EV149" s="680"/>
      <c r="EW149" s="680"/>
      <c r="EX149" s="680"/>
      <c r="EY149" s="680"/>
      <c r="EZ149" s="681">
        <v>0</v>
      </c>
      <c r="FA149" s="681">
        <v>1</v>
      </c>
      <c r="FB149" s="681">
        <v>0</v>
      </c>
      <c r="FC149" s="683">
        <v>0</v>
      </c>
      <c r="FD149" s="683">
        <v>0</v>
      </c>
      <c r="FE149" s="683">
        <v>1</v>
      </c>
      <c r="FF149" s="105"/>
      <c r="FH149" s="511"/>
      <c r="FI149" s="511"/>
      <c r="FJ149" s="511"/>
      <c r="FK149" s="41"/>
      <c r="FL149" s="532" t="s">
        <v>545</v>
      </c>
      <c r="FM149" s="693"/>
      <c r="FN149" s="694">
        <v>1</v>
      </c>
      <c r="FO149" s="693"/>
      <c r="FP149" s="694">
        <v>2</v>
      </c>
      <c r="FQ149" s="693"/>
      <c r="FR149" s="694">
        <v>1</v>
      </c>
      <c r="FS149" s="693"/>
      <c r="FT149" s="693"/>
      <c r="FU149" s="693"/>
      <c r="FV149" s="694">
        <v>1</v>
      </c>
      <c r="FW149" s="693"/>
      <c r="FX149" s="694">
        <v>5</v>
      </c>
      <c r="FY149" s="694">
        <v>29</v>
      </c>
      <c r="FZ149" s="694">
        <v>9</v>
      </c>
      <c r="GA149" s="694">
        <v>5</v>
      </c>
      <c r="GB149" s="696">
        <v>7</v>
      </c>
      <c r="GC149" s="696">
        <v>2</v>
      </c>
      <c r="GD149" s="696">
        <v>62</v>
      </c>
      <c r="GE149" s="635">
        <f>+(GD148+GD147+GD145-GB147)/GD149</f>
        <v>0.20967741935483872</v>
      </c>
      <c r="GF149" s="41"/>
      <c r="GG149" s="41"/>
      <c r="GH149" s="41"/>
      <c r="GI149" s="688"/>
      <c r="GJ149" s="457" t="s">
        <v>1235</v>
      </c>
      <c r="GK149" s="458">
        <v>0</v>
      </c>
      <c r="GL149" s="689"/>
      <c r="GM149" s="689"/>
      <c r="GN149" s="458">
        <v>0</v>
      </c>
      <c r="GO149" s="689"/>
      <c r="GP149" s="458">
        <v>0</v>
      </c>
      <c r="GQ149" s="458">
        <v>0</v>
      </c>
      <c r="GR149" s="458">
        <v>1</v>
      </c>
      <c r="GS149" s="458">
        <v>1</v>
      </c>
      <c r="GT149" s="458">
        <v>2</v>
      </c>
      <c r="GU149" s="458">
        <v>2</v>
      </c>
      <c r="GV149" s="458">
        <v>1</v>
      </c>
      <c r="GW149" s="458">
        <v>0</v>
      </c>
      <c r="GX149" s="458">
        <v>7</v>
      </c>
      <c r="GY149" s="690"/>
      <c r="GZ149" s="41"/>
      <c r="HA149" s="41"/>
      <c r="HB149" s="105"/>
      <c r="HC149" s="105"/>
      <c r="HD149" s="105" t="s">
        <v>41</v>
      </c>
      <c r="HE149" s="41" t="s">
        <v>1231</v>
      </c>
      <c r="HF149" s="41"/>
      <c r="HG149" s="41"/>
      <c r="HH149" s="41"/>
      <c r="HI149" s="41"/>
      <c r="HJ149" s="41"/>
      <c r="HK149" s="41">
        <v>0</v>
      </c>
      <c r="HL149" s="41">
        <v>0</v>
      </c>
      <c r="HM149" s="41"/>
      <c r="HN149" s="41">
        <v>1</v>
      </c>
      <c r="HO149" s="41">
        <v>1</v>
      </c>
      <c r="HP149" s="41">
        <v>0</v>
      </c>
      <c r="HQ149" s="41"/>
      <c r="HR149" s="41">
        <v>0</v>
      </c>
      <c r="HS149" s="41">
        <v>0</v>
      </c>
      <c r="HT149" s="41">
        <v>0</v>
      </c>
      <c r="HU149" s="41">
        <v>0</v>
      </c>
      <c r="HV149" s="41">
        <v>2</v>
      </c>
      <c r="HW149" s="41"/>
      <c r="HX149" s="41"/>
      <c r="HY149" s="691"/>
      <c r="HZ149" s="691"/>
      <c r="IA149" s="691"/>
      <c r="IB149" s="702" t="s">
        <v>15</v>
      </c>
      <c r="IC149" s="702">
        <v>1</v>
      </c>
      <c r="ID149" s="702">
        <v>0</v>
      </c>
      <c r="IE149" s="702">
        <v>0</v>
      </c>
      <c r="IF149" s="702">
        <v>0</v>
      </c>
      <c r="IG149" s="702">
        <v>0</v>
      </c>
      <c r="IH149" s="702">
        <v>0</v>
      </c>
      <c r="II149" s="702">
        <v>0</v>
      </c>
      <c r="IJ149" s="702">
        <v>0</v>
      </c>
      <c r="IK149" s="702">
        <v>1</v>
      </c>
      <c r="IL149" s="702">
        <v>3</v>
      </c>
      <c r="IM149" s="702">
        <v>6</v>
      </c>
      <c r="IN149" s="702">
        <v>0</v>
      </c>
      <c r="IO149" s="702">
        <v>4</v>
      </c>
      <c r="IP149" s="702">
        <v>8</v>
      </c>
      <c r="IQ149" s="702">
        <v>3</v>
      </c>
      <c r="IR149" s="702">
        <v>5</v>
      </c>
      <c r="IS149" s="702">
        <v>31</v>
      </c>
      <c r="IT149" s="725">
        <f>+(IS148+IS146-IQ146)/IS149</f>
        <v>0.4838709677419355</v>
      </c>
      <c r="IU149" s="692">
        <f>+IS146+IS148-IQ146</f>
        <v>15</v>
      </c>
    </row>
    <row r="150" spans="3:255">
      <c r="C150" s="4800" t="s">
        <v>128</v>
      </c>
      <c r="D150" s="4800" t="s">
        <v>1344</v>
      </c>
      <c r="E150" s="4606"/>
      <c r="F150" s="4606"/>
      <c r="G150" s="4606"/>
      <c r="H150" s="4606"/>
      <c r="I150" s="4606"/>
      <c r="J150" s="4606"/>
      <c r="K150" s="4606"/>
      <c r="L150" s="4606"/>
      <c r="M150" s="4606"/>
      <c r="N150" s="4606"/>
      <c r="O150" s="4606">
        <v>1</v>
      </c>
      <c r="P150" s="4606">
        <v>2</v>
      </c>
      <c r="Q150" s="4606"/>
      <c r="R150" s="4606"/>
      <c r="S150" s="2552"/>
      <c r="T150" s="2552"/>
      <c r="U150" s="2552">
        <v>3</v>
      </c>
      <c r="V150" s="2552"/>
      <c r="Z150" s="37" t="s">
        <v>128</v>
      </c>
      <c r="AA150" s="37" t="s">
        <v>1344</v>
      </c>
      <c r="AB150" s="4803"/>
      <c r="AC150" s="4803"/>
      <c r="AD150" s="4803"/>
      <c r="AE150" s="4803"/>
      <c r="AF150" s="4803"/>
      <c r="AG150" s="4803"/>
      <c r="AH150" s="4803"/>
      <c r="AI150" s="4803"/>
      <c r="AJ150" s="4803"/>
      <c r="AK150" s="4803"/>
      <c r="AL150" s="4803">
        <v>1</v>
      </c>
      <c r="AM150" s="4803">
        <v>2</v>
      </c>
      <c r="AN150" s="4803"/>
      <c r="AO150" s="4803"/>
      <c r="AP150" s="1788"/>
      <c r="AQ150" s="1788">
        <v>3</v>
      </c>
      <c r="AT150" s="41"/>
      <c r="AU150" s="41"/>
      <c r="AV150" s="41"/>
      <c r="AW150" s="41" t="s">
        <v>1344</v>
      </c>
      <c r="AX150" s="690"/>
      <c r="AY150" s="690"/>
      <c r="AZ150" s="690"/>
      <c r="BA150" s="690"/>
      <c r="BB150" s="690"/>
      <c r="BC150" s="690">
        <v>0</v>
      </c>
      <c r="BD150" s="690"/>
      <c r="BE150" s="690"/>
      <c r="BF150" s="690"/>
      <c r="BG150" s="690"/>
      <c r="BH150" s="690"/>
      <c r="BI150" s="690">
        <v>0</v>
      </c>
      <c r="BJ150" s="690">
        <v>2</v>
      </c>
      <c r="BK150" s="690">
        <v>0</v>
      </c>
      <c r="BL150" s="690">
        <v>0</v>
      </c>
      <c r="BM150" s="41"/>
      <c r="BN150" s="41"/>
      <c r="BO150" s="41">
        <v>2</v>
      </c>
      <c r="BP150" s="41"/>
      <c r="BR150" s="41"/>
      <c r="BS150" s="41"/>
      <c r="BT150" s="41"/>
      <c r="BU150" s="41" t="s">
        <v>1344</v>
      </c>
      <c r="BV150" s="2001"/>
      <c r="BW150" s="2001"/>
      <c r="BX150" s="2001"/>
      <c r="BY150" s="2001"/>
      <c r="BZ150" s="2001"/>
      <c r="CA150" s="2001"/>
      <c r="CB150" s="2001"/>
      <c r="CC150" s="2001"/>
      <c r="CD150" s="2001"/>
      <c r="CE150" s="2001"/>
      <c r="CF150" s="2001"/>
      <c r="CG150" s="2001"/>
      <c r="CH150" s="2001">
        <v>0</v>
      </c>
      <c r="CI150" s="2001">
        <v>0</v>
      </c>
      <c r="CJ150" s="2001">
        <v>1</v>
      </c>
      <c r="CK150" s="105">
        <v>0</v>
      </c>
      <c r="CL150" s="105">
        <v>0</v>
      </c>
      <c r="CM150" s="105">
        <v>1</v>
      </c>
      <c r="CN150" s="41"/>
      <c r="CR150" s="41" t="s">
        <v>547</v>
      </c>
      <c r="CS150" s="41" t="s">
        <v>1231</v>
      </c>
      <c r="CT150" s="1665"/>
      <c r="CU150" s="1665"/>
      <c r="CV150" s="1665">
        <v>1</v>
      </c>
      <c r="CW150" s="1665"/>
      <c r="CX150" s="1665"/>
      <c r="CY150" s="1665"/>
      <c r="CZ150" s="1665"/>
      <c r="DA150" s="1665">
        <v>1</v>
      </c>
      <c r="DB150" s="1665"/>
      <c r="DC150" s="1665">
        <v>5</v>
      </c>
      <c r="DD150" s="1665">
        <v>2</v>
      </c>
      <c r="DE150" s="1665">
        <v>0</v>
      </c>
      <c r="DF150" s="1665">
        <v>1</v>
      </c>
      <c r="DG150" s="1665">
        <v>0</v>
      </c>
      <c r="DH150" s="1665">
        <v>1</v>
      </c>
      <c r="DI150" s="41"/>
      <c r="DJ150" s="41">
        <v>0</v>
      </c>
      <c r="DK150" s="41">
        <v>11</v>
      </c>
      <c r="DL150" s="41"/>
      <c r="DN150" s="1375"/>
      <c r="DO150" s="1375"/>
      <c r="DP150" s="1375"/>
      <c r="DQ150" s="1376" t="s">
        <v>1231</v>
      </c>
      <c r="DR150" s="1377"/>
      <c r="DS150" s="1377"/>
      <c r="DT150" s="1377"/>
      <c r="DU150" s="1377"/>
      <c r="DV150" s="1377"/>
      <c r="DW150" s="1377"/>
      <c r="DX150" s="1377"/>
      <c r="DY150" s="1378">
        <v>0</v>
      </c>
      <c r="DZ150" s="1377"/>
      <c r="EA150" s="1378">
        <v>0</v>
      </c>
      <c r="EB150" s="1378">
        <v>0</v>
      </c>
      <c r="EC150" s="1378">
        <v>0</v>
      </c>
      <c r="ED150" s="1378">
        <v>1</v>
      </c>
      <c r="EE150" s="1380">
        <v>0</v>
      </c>
      <c r="EF150" s="1380">
        <v>0</v>
      </c>
      <c r="EG150" s="1380">
        <v>1</v>
      </c>
      <c r="EH150" s="41"/>
      <c r="EJ150" s="678"/>
      <c r="EK150" s="678"/>
      <c r="EL150" s="678"/>
      <c r="EM150" s="679" t="s">
        <v>1231</v>
      </c>
      <c r="EN150" s="680"/>
      <c r="EO150" s="681">
        <v>1</v>
      </c>
      <c r="EP150" s="681">
        <v>0</v>
      </c>
      <c r="EQ150" s="680"/>
      <c r="ER150" s="680"/>
      <c r="ES150" s="680"/>
      <c r="ET150" s="680"/>
      <c r="EU150" s="680"/>
      <c r="EV150" s="680"/>
      <c r="EW150" s="680"/>
      <c r="EX150" s="680"/>
      <c r="EY150" s="680"/>
      <c r="EZ150" s="681">
        <v>2</v>
      </c>
      <c r="FA150" s="681">
        <v>0</v>
      </c>
      <c r="FB150" s="681">
        <v>0</v>
      </c>
      <c r="FC150" s="683">
        <v>2</v>
      </c>
      <c r="FD150" s="683">
        <v>0</v>
      </c>
      <c r="FE150" s="683">
        <v>5</v>
      </c>
      <c r="FF150" s="105"/>
      <c r="FH150" s="511"/>
      <c r="FI150" s="511" t="s">
        <v>41</v>
      </c>
      <c r="FJ150" s="511" t="s">
        <v>145</v>
      </c>
      <c r="FK150" s="511" t="s">
        <v>1229</v>
      </c>
      <c r="FL150" s="512" t="s">
        <v>1231</v>
      </c>
      <c r="FM150" s="684"/>
      <c r="FN150" s="684"/>
      <c r="FO150" s="685">
        <v>2</v>
      </c>
      <c r="FP150" s="684"/>
      <c r="FQ150" s="684"/>
      <c r="FR150" s="684"/>
      <c r="FS150" s="684"/>
      <c r="FT150" s="684"/>
      <c r="FU150" s="685">
        <v>0</v>
      </c>
      <c r="FV150" s="684"/>
      <c r="FW150" s="685">
        <v>0</v>
      </c>
      <c r="FX150" s="685">
        <v>4</v>
      </c>
      <c r="FY150" s="685">
        <v>1</v>
      </c>
      <c r="FZ150" s="685">
        <v>1</v>
      </c>
      <c r="GA150" s="685">
        <v>1</v>
      </c>
      <c r="GB150" s="686"/>
      <c r="GC150" s="687">
        <v>0</v>
      </c>
      <c r="GD150" s="687">
        <v>9</v>
      </c>
      <c r="GE150" s="635"/>
      <c r="GF150" s="41"/>
      <c r="GG150" s="41"/>
      <c r="GH150" s="41"/>
      <c r="GI150" s="688"/>
      <c r="GJ150" s="457" t="s">
        <v>1239</v>
      </c>
      <c r="GK150" s="458">
        <v>0</v>
      </c>
      <c r="GL150" s="689"/>
      <c r="GM150" s="689"/>
      <c r="GN150" s="458">
        <v>0</v>
      </c>
      <c r="GO150" s="689"/>
      <c r="GP150" s="458">
        <v>0</v>
      </c>
      <c r="GQ150" s="458">
        <v>0</v>
      </c>
      <c r="GR150" s="458">
        <v>0</v>
      </c>
      <c r="GS150" s="458">
        <v>1</v>
      </c>
      <c r="GT150" s="458">
        <v>0</v>
      </c>
      <c r="GU150" s="458">
        <v>13</v>
      </c>
      <c r="GV150" s="458">
        <v>0</v>
      </c>
      <c r="GW150" s="458">
        <v>5</v>
      </c>
      <c r="GX150" s="458">
        <v>19</v>
      </c>
      <c r="GY150" s="690"/>
      <c r="GZ150" s="41"/>
      <c r="HA150" s="41"/>
      <c r="HB150" s="105"/>
      <c r="HC150" s="105"/>
      <c r="HD150" s="105"/>
      <c r="HE150" s="41" t="s">
        <v>1235</v>
      </c>
      <c r="HF150" s="41"/>
      <c r="HG150" s="41"/>
      <c r="HH150" s="41"/>
      <c r="HI150" s="41"/>
      <c r="HJ150" s="41"/>
      <c r="HK150" s="41">
        <v>0</v>
      </c>
      <c r="HL150" s="41">
        <v>0</v>
      </c>
      <c r="HM150" s="41"/>
      <c r="HN150" s="41">
        <v>0</v>
      </c>
      <c r="HO150" s="41">
        <v>0</v>
      </c>
      <c r="HP150" s="41">
        <v>0</v>
      </c>
      <c r="HQ150" s="41"/>
      <c r="HR150" s="41">
        <v>0</v>
      </c>
      <c r="HS150" s="41">
        <v>0</v>
      </c>
      <c r="HT150" s="41">
        <v>1</v>
      </c>
      <c r="HU150" s="41">
        <v>0</v>
      </c>
      <c r="HV150" s="41">
        <v>1</v>
      </c>
      <c r="HW150" s="41"/>
      <c r="HX150" s="41"/>
      <c r="HY150" s="691"/>
      <c r="HZ150" s="691" t="s">
        <v>1327</v>
      </c>
      <c r="IA150" s="691" t="s">
        <v>16</v>
      </c>
      <c r="IB150" s="691" t="s">
        <v>1231</v>
      </c>
      <c r="IC150" s="691">
        <v>0</v>
      </c>
      <c r="ID150" s="691">
        <v>0</v>
      </c>
      <c r="IE150" s="691">
        <v>0</v>
      </c>
      <c r="IF150" s="691">
        <v>0</v>
      </c>
      <c r="IG150" s="691">
        <v>0</v>
      </c>
      <c r="IH150" s="691">
        <v>0</v>
      </c>
      <c r="II150" s="691">
        <v>0</v>
      </c>
      <c r="IJ150" s="691">
        <v>0</v>
      </c>
      <c r="IK150" s="691">
        <v>0</v>
      </c>
      <c r="IL150" s="691">
        <v>0</v>
      </c>
      <c r="IM150" s="691">
        <v>0</v>
      </c>
      <c r="IN150" s="691">
        <v>1</v>
      </c>
      <c r="IO150" s="691">
        <v>0</v>
      </c>
      <c r="IP150" s="691">
        <v>0</v>
      </c>
      <c r="IQ150" s="691">
        <v>0</v>
      </c>
      <c r="IR150" s="691">
        <v>0</v>
      </c>
      <c r="IS150" s="691">
        <v>1</v>
      </c>
      <c r="IT150" s="691"/>
      <c r="IU150" s="692"/>
    </row>
    <row r="151" spans="3:255">
      <c r="D151" s="4800" t="s">
        <v>15</v>
      </c>
      <c r="E151" s="4606"/>
      <c r="F151" s="4606"/>
      <c r="G151" s="4606"/>
      <c r="H151" s="4606"/>
      <c r="I151" s="4606"/>
      <c r="J151" s="4606"/>
      <c r="K151" s="4606"/>
      <c r="L151" s="4606"/>
      <c r="M151" s="4606"/>
      <c r="N151" s="4606"/>
      <c r="O151" s="4606">
        <v>1</v>
      </c>
      <c r="P151" s="4606">
        <v>2</v>
      </c>
      <c r="Q151" s="4606"/>
      <c r="R151" s="4606"/>
      <c r="S151" s="2552"/>
      <c r="T151" s="2552"/>
      <c r="U151" s="2552">
        <v>3</v>
      </c>
      <c r="V151" s="1977">
        <f>+(U150)/(U151)</f>
        <v>1</v>
      </c>
      <c r="AA151" s="1793" t="s">
        <v>15</v>
      </c>
      <c r="AB151" s="4804"/>
      <c r="AC151" s="4804"/>
      <c r="AD151" s="4804"/>
      <c r="AE151" s="4804"/>
      <c r="AF151" s="4804"/>
      <c r="AG151" s="4804"/>
      <c r="AH151" s="4804"/>
      <c r="AI151" s="4804"/>
      <c r="AJ151" s="4804"/>
      <c r="AK151" s="4804"/>
      <c r="AL151" s="4804">
        <v>1</v>
      </c>
      <c r="AM151" s="4804">
        <v>2</v>
      </c>
      <c r="AN151" s="4804"/>
      <c r="AO151" s="4804"/>
      <c r="AP151" s="4702"/>
      <c r="AQ151" s="4702">
        <v>3</v>
      </c>
      <c r="AR151" s="4703">
        <f>+AQ150/AQ151</f>
        <v>1</v>
      </c>
      <c r="AT151" s="41"/>
      <c r="AU151" s="41"/>
      <c r="AV151" s="41"/>
      <c r="AW151" s="461" t="s">
        <v>15</v>
      </c>
      <c r="AX151" s="2489"/>
      <c r="AY151" s="2489"/>
      <c r="AZ151" s="2489"/>
      <c r="BA151" s="2489"/>
      <c r="BB151" s="2489"/>
      <c r="BC151" s="2489">
        <v>1</v>
      </c>
      <c r="BD151" s="2489"/>
      <c r="BE151" s="2489"/>
      <c r="BF151" s="2489"/>
      <c r="BG151" s="2489"/>
      <c r="BH151" s="2489"/>
      <c r="BI151" s="2489">
        <v>1</v>
      </c>
      <c r="BJ151" s="2489">
        <v>3</v>
      </c>
      <c r="BK151" s="2489">
        <v>1</v>
      </c>
      <c r="BL151" s="2489">
        <v>7</v>
      </c>
      <c r="BM151" s="461"/>
      <c r="BN151" s="461"/>
      <c r="BO151" s="461">
        <v>13</v>
      </c>
      <c r="BP151" s="635">
        <f>+(BO150+BO148)/BO151</f>
        <v>0.38461538461538464</v>
      </c>
      <c r="BQ151" s="1977"/>
      <c r="BR151" s="41"/>
      <c r="BS151" s="41"/>
      <c r="BT151" s="41"/>
      <c r="BU151" s="461" t="s">
        <v>15</v>
      </c>
      <c r="BV151" s="2002"/>
      <c r="BW151" s="2002"/>
      <c r="BX151" s="2002"/>
      <c r="BY151" s="2002"/>
      <c r="BZ151" s="2002"/>
      <c r="CA151" s="2002"/>
      <c r="CB151" s="2002"/>
      <c r="CC151" s="2002"/>
      <c r="CD151" s="2002"/>
      <c r="CE151" s="2002"/>
      <c r="CF151" s="2002"/>
      <c r="CG151" s="2002"/>
      <c r="CH151" s="2002">
        <v>1</v>
      </c>
      <c r="CI151" s="2002">
        <v>2</v>
      </c>
      <c r="CJ151" s="2002">
        <v>1</v>
      </c>
      <c r="CK151" s="96">
        <v>1</v>
      </c>
      <c r="CL151" s="96">
        <v>4</v>
      </c>
      <c r="CM151" s="96">
        <v>9</v>
      </c>
      <c r="CN151" s="635">
        <f>+(CM147+CM150)/CM151</f>
        <v>0.33333333333333331</v>
      </c>
      <c r="CR151" s="41"/>
      <c r="CS151" s="41" t="s">
        <v>1235</v>
      </c>
      <c r="CT151" s="1665"/>
      <c r="CU151" s="1665"/>
      <c r="CV151" s="1665">
        <v>0</v>
      </c>
      <c r="CW151" s="1665"/>
      <c r="CX151" s="1665"/>
      <c r="CY151" s="1665"/>
      <c r="CZ151" s="1665"/>
      <c r="DA151" s="1665">
        <v>0</v>
      </c>
      <c r="DB151" s="1665"/>
      <c r="DC151" s="1665">
        <v>0</v>
      </c>
      <c r="DD151" s="1665">
        <v>0</v>
      </c>
      <c r="DE151" s="1665">
        <v>0</v>
      </c>
      <c r="DF151" s="1665">
        <v>0</v>
      </c>
      <c r="DG151" s="1665">
        <v>1</v>
      </c>
      <c r="DH151" s="1665">
        <v>0</v>
      </c>
      <c r="DI151" s="41"/>
      <c r="DJ151" s="41">
        <v>0</v>
      </c>
      <c r="DK151" s="41">
        <v>1</v>
      </c>
      <c r="DL151" s="41"/>
      <c r="DN151" s="1375"/>
      <c r="DO151" s="1375"/>
      <c r="DP151" s="1375"/>
      <c r="DQ151" s="1376" t="s">
        <v>1235</v>
      </c>
      <c r="DR151" s="1377"/>
      <c r="DS151" s="1377"/>
      <c r="DT151" s="1377"/>
      <c r="DU151" s="1377"/>
      <c r="DV151" s="1377"/>
      <c r="DW151" s="1377"/>
      <c r="DX151" s="1377"/>
      <c r="DY151" s="1378">
        <v>0</v>
      </c>
      <c r="DZ151" s="1377"/>
      <c r="EA151" s="1378">
        <v>1</v>
      </c>
      <c r="EB151" s="1378">
        <v>0</v>
      </c>
      <c r="EC151" s="1378">
        <v>1</v>
      </c>
      <c r="ED151" s="1378">
        <v>0</v>
      </c>
      <c r="EE151" s="1380">
        <v>0</v>
      </c>
      <c r="EF151" s="1380">
        <v>0</v>
      </c>
      <c r="EG151" s="1380">
        <v>2</v>
      </c>
      <c r="EH151" s="41"/>
      <c r="EJ151" s="678"/>
      <c r="EK151" s="678"/>
      <c r="EL151" s="678"/>
      <c r="EM151" s="679" t="s">
        <v>1233</v>
      </c>
      <c r="EN151" s="680"/>
      <c r="EO151" s="681">
        <v>0</v>
      </c>
      <c r="EP151" s="681">
        <v>1</v>
      </c>
      <c r="EQ151" s="680"/>
      <c r="ER151" s="680"/>
      <c r="ES151" s="680"/>
      <c r="ET151" s="680"/>
      <c r="EU151" s="680"/>
      <c r="EV151" s="680"/>
      <c r="EW151" s="680"/>
      <c r="EX151" s="680"/>
      <c r="EY151" s="680"/>
      <c r="EZ151" s="681">
        <v>0</v>
      </c>
      <c r="FA151" s="681">
        <v>0</v>
      </c>
      <c r="FB151" s="681">
        <v>0</v>
      </c>
      <c r="FC151" s="683">
        <v>0</v>
      </c>
      <c r="FD151" s="683">
        <v>0</v>
      </c>
      <c r="FE151" s="683">
        <v>1</v>
      </c>
      <c r="FF151" s="105"/>
      <c r="FH151" s="511"/>
      <c r="FI151" s="511"/>
      <c r="FJ151" s="511"/>
      <c r="FK151" s="511"/>
      <c r="FL151" s="512" t="s">
        <v>1235</v>
      </c>
      <c r="FM151" s="684"/>
      <c r="FN151" s="684"/>
      <c r="FO151" s="685">
        <v>0</v>
      </c>
      <c r="FP151" s="684"/>
      <c r="FQ151" s="684"/>
      <c r="FR151" s="684"/>
      <c r="FS151" s="684"/>
      <c r="FT151" s="684"/>
      <c r="FU151" s="685">
        <v>1</v>
      </c>
      <c r="FV151" s="684"/>
      <c r="FW151" s="685">
        <v>0</v>
      </c>
      <c r="FX151" s="685">
        <v>0</v>
      </c>
      <c r="FY151" s="685">
        <v>0</v>
      </c>
      <c r="FZ151" s="685">
        <v>0</v>
      </c>
      <c r="GA151" s="685">
        <v>1</v>
      </c>
      <c r="GB151" s="686"/>
      <c r="GC151" s="687">
        <v>0</v>
      </c>
      <c r="GD151" s="687">
        <v>2</v>
      </c>
      <c r="GE151" s="635"/>
      <c r="GF151" s="41"/>
      <c r="GG151" s="41"/>
      <c r="GH151" s="41"/>
      <c r="GI151" s="688"/>
      <c r="GJ151" s="457" t="s">
        <v>1344</v>
      </c>
      <c r="GK151" s="458">
        <v>0</v>
      </c>
      <c r="GL151" s="689"/>
      <c r="GM151" s="689"/>
      <c r="GN151" s="458">
        <v>0</v>
      </c>
      <c r="GO151" s="689"/>
      <c r="GP151" s="458">
        <v>1</v>
      </c>
      <c r="GQ151" s="458">
        <v>1</v>
      </c>
      <c r="GR151" s="458">
        <v>1</v>
      </c>
      <c r="GS151" s="458">
        <v>4</v>
      </c>
      <c r="GT151" s="458">
        <v>2</v>
      </c>
      <c r="GU151" s="458">
        <v>0</v>
      </c>
      <c r="GV151" s="458">
        <v>0</v>
      </c>
      <c r="GW151" s="458">
        <v>0</v>
      </c>
      <c r="GX151" s="458">
        <v>9</v>
      </c>
      <c r="GY151" s="690"/>
      <c r="GZ151" s="41"/>
      <c r="HA151" s="41"/>
      <c r="HB151" s="105"/>
      <c r="HC151" s="105"/>
      <c r="HD151" s="105"/>
      <c r="HE151" s="41" t="s">
        <v>1239</v>
      </c>
      <c r="HF151" s="41"/>
      <c r="HG151" s="41"/>
      <c r="HH151" s="41"/>
      <c r="HI151" s="41"/>
      <c r="HJ151" s="41"/>
      <c r="HK151" s="41">
        <v>0</v>
      </c>
      <c r="HL151" s="41">
        <v>0</v>
      </c>
      <c r="HM151" s="41"/>
      <c r="HN151" s="41">
        <v>0</v>
      </c>
      <c r="HO151" s="41">
        <v>0</v>
      </c>
      <c r="HP151" s="41">
        <v>0</v>
      </c>
      <c r="HQ151" s="41"/>
      <c r="HR151" s="41">
        <v>0</v>
      </c>
      <c r="HS151" s="41">
        <v>8</v>
      </c>
      <c r="HT151" s="41">
        <v>0</v>
      </c>
      <c r="HU151" s="41">
        <v>6</v>
      </c>
      <c r="HV151" s="41">
        <v>14</v>
      </c>
      <c r="HW151" s="41"/>
      <c r="HX151" s="41"/>
      <c r="HY151" s="691"/>
      <c r="HZ151" s="691"/>
      <c r="IA151" s="691"/>
      <c r="IB151" s="691" t="s">
        <v>1239</v>
      </c>
      <c r="IC151" s="691">
        <v>0</v>
      </c>
      <c r="ID151" s="691">
        <v>0</v>
      </c>
      <c r="IE151" s="691">
        <v>0</v>
      </c>
      <c r="IF151" s="691">
        <v>0</v>
      </c>
      <c r="IG151" s="691">
        <v>0</v>
      </c>
      <c r="IH151" s="691">
        <v>0</v>
      </c>
      <c r="II151" s="691">
        <v>0</v>
      </c>
      <c r="IJ151" s="691">
        <v>0</v>
      </c>
      <c r="IK151" s="691">
        <v>0</v>
      </c>
      <c r="IL151" s="691">
        <v>0</v>
      </c>
      <c r="IM151" s="691">
        <v>0</v>
      </c>
      <c r="IN151" s="691">
        <v>0</v>
      </c>
      <c r="IO151" s="691">
        <v>0</v>
      </c>
      <c r="IP151" s="691">
        <v>0</v>
      </c>
      <c r="IQ151" s="691">
        <v>0</v>
      </c>
      <c r="IR151" s="691">
        <v>1</v>
      </c>
      <c r="IS151" s="691">
        <v>1</v>
      </c>
      <c r="IT151" s="691"/>
      <c r="IU151" s="692"/>
    </row>
    <row r="152" spans="3:255">
      <c r="C152" s="4800" t="s">
        <v>111</v>
      </c>
      <c r="D152" s="4800" t="s">
        <v>1231</v>
      </c>
      <c r="E152" s="4606"/>
      <c r="F152" s="4606"/>
      <c r="G152" s="4606"/>
      <c r="H152" s="4606"/>
      <c r="I152" s="4606"/>
      <c r="J152" s="4606"/>
      <c r="K152" s="4606">
        <v>1</v>
      </c>
      <c r="L152" s="4606">
        <v>1</v>
      </c>
      <c r="M152" s="4606"/>
      <c r="N152" s="4606">
        <v>1</v>
      </c>
      <c r="O152" s="4606">
        <v>1</v>
      </c>
      <c r="P152" s="4606">
        <v>9</v>
      </c>
      <c r="Q152" s="4606"/>
      <c r="R152" s="4606"/>
      <c r="S152" s="2552"/>
      <c r="T152" s="2552"/>
      <c r="U152" s="2552">
        <v>13</v>
      </c>
      <c r="V152" s="2552"/>
      <c r="Z152" s="37" t="s">
        <v>111</v>
      </c>
      <c r="AA152" s="37" t="s">
        <v>1231</v>
      </c>
      <c r="AB152" s="4803">
        <v>0</v>
      </c>
      <c r="AC152" s="4803"/>
      <c r="AD152" s="4803"/>
      <c r="AE152" s="4803"/>
      <c r="AF152" s="4803"/>
      <c r="AG152" s="4803"/>
      <c r="AH152" s="4803">
        <v>1</v>
      </c>
      <c r="AI152" s="4803">
        <v>1</v>
      </c>
      <c r="AJ152" s="4803"/>
      <c r="AK152" s="4803">
        <v>2</v>
      </c>
      <c r="AL152" s="4803">
        <v>1</v>
      </c>
      <c r="AM152" s="4803">
        <v>17</v>
      </c>
      <c r="AN152" s="4803"/>
      <c r="AO152" s="4803"/>
      <c r="AP152" s="1788"/>
      <c r="AQ152" s="1788">
        <v>22</v>
      </c>
      <c r="AT152" s="41"/>
      <c r="AU152" s="41"/>
      <c r="AV152" s="41" t="s">
        <v>333</v>
      </c>
      <c r="AW152" s="41" t="s">
        <v>1231</v>
      </c>
      <c r="AX152" s="690"/>
      <c r="AY152" s="690"/>
      <c r="AZ152" s="690"/>
      <c r="BA152" s="690"/>
      <c r="BB152" s="690"/>
      <c r="BC152" s="690"/>
      <c r="BD152" s="690"/>
      <c r="BE152" s="690"/>
      <c r="BF152" s="690"/>
      <c r="BG152" s="690">
        <v>1</v>
      </c>
      <c r="BH152" s="690"/>
      <c r="BI152" s="690"/>
      <c r="BJ152" s="690">
        <v>1</v>
      </c>
      <c r="BK152" s="690">
        <v>1</v>
      </c>
      <c r="BL152" s="690">
        <v>0</v>
      </c>
      <c r="BM152" s="41">
        <v>0</v>
      </c>
      <c r="BN152" s="41">
        <v>0</v>
      </c>
      <c r="BO152" s="41">
        <v>3</v>
      </c>
      <c r="BP152" s="41"/>
      <c r="BR152" s="41"/>
      <c r="BS152" s="41"/>
      <c r="BT152" s="41" t="s">
        <v>547</v>
      </c>
      <c r="BU152" s="41" t="s">
        <v>1231</v>
      </c>
      <c r="BV152" s="2001"/>
      <c r="BW152" s="2001"/>
      <c r="BX152" s="2001"/>
      <c r="BY152" s="2001"/>
      <c r="BZ152" s="2001"/>
      <c r="CA152" s="2001"/>
      <c r="CB152" s="2001"/>
      <c r="CC152" s="2001"/>
      <c r="CD152" s="2001">
        <v>1</v>
      </c>
      <c r="CE152" s="2001"/>
      <c r="CF152" s="2001">
        <v>1</v>
      </c>
      <c r="CG152" s="2001"/>
      <c r="CH152" s="2001">
        <v>0</v>
      </c>
      <c r="CI152" s="2001">
        <v>2</v>
      </c>
      <c r="CJ152" s="2001">
        <v>0</v>
      </c>
      <c r="CK152" s="105">
        <v>0</v>
      </c>
      <c r="CL152" s="105">
        <v>0</v>
      </c>
      <c r="CM152" s="105">
        <v>4</v>
      </c>
      <c r="CN152" s="41"/>
      <c r="CR152" s="41"/>
      <c r="CS152" s="41" t="s">
        <v>1239</v>
      </c>
      <c r="CT152" s="1665"/>
      <c r="CU152" s="1665"/>
      <c r="CV152" s="1665">
        <v>0</v>
      </c>
      <c r="CW152" s="1665"/>
      <c r="CX152" s="1665"/>
      <c r="CY152" s="1665"/>
      <c r="CZ152" s="1665"/>
      <c r="DA152" s="1665">
        <v>0</v>
      </c>
      <c r="DB152" s="1665"/>
      <c r="DC152" s="1665">
        <v>0</v>
      </c>
      <c r="DD152" s="1665">
        <v>0</v>
      </c>
      <c r="DE152" s="1665">
        <v>0</v>
      </c>
      <c r="DF152" s="1665">
        <v>1</v>
      </c>
      <c r="DG152" s="1665">
        <v>0</v>
      </c>
      <c r="DH152" s="1665">
        <v>4</v>
      </c>
      <c r="DI152" s="41"/>
      <c r="DJ152" s="41">
        <v>3</v>
      </c>
      <c r="DK152" s="41">
        <v>8</v>
      </c>
      <c r="DL152" s="41"/>
      <c r="DN152" s="1375"/>
      <c r="DO152" s="1375"/>
      <c r="DP152" s="1375"/>
      <c r="DQ152" s="1376" t="s">
        <v>1239</v>
      </c>
      <c r="DR152" s="1377"/>
      <c r="DS152" s="1377"/>
      <c r="DT152" s="1377"/>
      <c r="DU152" s="1377"/>
      <c r="DV152" s="1377"/>
      <c r="DW152" s="1377"/>
      <c r="DX152" s="1377"/>
      <c r="DY152" s="1378">
        <v>0</v>
      </c>
      <c r="DZ152" s="1377"/>
      <c r="EA152" s="1378">
        <v>1</v>
      </c>
      <c r="EB152" s="1378">
        <v>1</v>
      </c>
      <c r="EC152" s="1378">
        <v>0</v>
      </c>
      <c r="ED152" s="1378">
        <v>4</v>
      </c>
      <c r="EE152" s="1380">
        <v>0</v>
      </c>
      <c r="EF152" s="1380">
        <v>1</v>
      </c>
      <c r="EG152" s="1380">
        <v>7</v>
      </c>
      <c r="EH152" s="41"/>
      <c r="EJ152" s="678"/>
      <c r="EK152" s="678"/>
      <c r="EL152" s="678"/>
      <c r="EM152" s="679" t="s">
        <v>1235</v>
      </c>
      <c r="EN152" s="680"/>
      <c r="EO152" s="681">
        <v>0</v>
      </c>
      <c r="EP152" s="681">
        <v>0</v>
      </c>
      <c r="EQ152" s="680"/>
      <c r="ER152" s="680"/>
      <c r="ES152" s="680"/>
      <c r="ET152" s="680"/>
      <c r="EU152" s="680"/>
      <c r="EV152" s="680"/>
      <c r="EW152" s="680"/>
      <c r="EX152" s="680"/>
      <c r="EY152" s="680"/>
      <c r="EZ152" s="681">
        <v>0</v>
      </c>
      <c r="FA152" s="681">
        <v>1</v>
      </c>
      <c r="FB152" s="681">
        <v>1</v>
      </c>
      <c r="FC152" s="683">
        <v>0</v>
      </c>
      <c r="FD152" s="683">
        <v>0</v>
      </c>
      <c r="FE152" s="683">
        <v>2</v>
      </c>
      <c r="FF152" s="105"/>
      <c r="FH152" s="511"/>
      <c r="FI152" s="511"/>
      <c r="FJ152" s="511"/>
      <c r="FK152" s="511"/>
      <c r="FL152" s="512" t="s">
        <v>1239</v>
      </c>
      <c r="FM152" s="684"/>
      <c r="FN152" s="684"/>
      <c r="FO152" s="685">
        <v>0</v>
      </c>
      <c r="FP152" s="684"/>
      <c r="FQ152" s="684"/>
      <c r="FR152" s="684"/>
      <c r="FS152" s="684"/>
      <c r="FT152" s="684"/>
      <c r="FU152" s="685">
        <v>0</v>
      </c>
      <c r="FV152" s="684"/>
      <c r="FW152" s="685">
        <v>0</v>
      </c>
      <c r="FX152" s="685">
        <v>0</v>
      </c>
      <c r="FY152" s="685">
        <v>0</v>
      </c>
      <c r="FZ152" s="685">
        <v>0</v>
      </c>
      <c r="GA152" s="685">
        <v>0</v>
      </c>
      <c r="GB152" s="686"/>
      <c r="GC152" s="687">
        <v>1</v>
      </c>
      <c r="GD152" s="687">
        <v>1</v>
      </c>
      <c r="GE152" s="635"/>
      <c r="GF152" s="41"/>
      <c r="GG152" s="41"/>
      <c r="GH152" s="41"/>
      <c r="GI152" s="688"/>
      <c r="GJ152" s="704" t="s">
        <v>547</v>
      </c>
      <c r="GK152" s="463">
        <v>1</v>
      </c>
      <c r="GL152" s="705"/>
      <c r="GM152" s="705"/>
      <c r="GN152" s="463">
        <v>2</v>
      </c>
      <c r="GO152" s="705"/>
      <c r="GP152" s="463">
        <v>1</v>
      </c>
      <c r="GQ152" s="463">
        <v>1</v>
      </c>
      <c r="GR152" s="463">
        <v>3</v>
      </c>
      <c r="GS152" s="463">
        <v>6</v>
      </c>
      <c r="GT152" s="463">
        <v>4</v>
      </c>
      <c r="GU152" s="463">
        <v>17</v>
      </c>
      <c r="GV152" s="463">
        <v>2</v>
      </c>
      <c r="GW152" s="463">
        <v>5</v>
      </c>
      <c r="GX152" s="463">
        <v>42</v>
      </c>
      <c r="GY152" s="628">
        <f>+(GX151+GX149-GV149)/GX152</f>
        <v>0.35714285714285715</v>
      </c>
      <c r="GZ152" s="41"/>
      <c r="HA152" s="41"/>
      <c r="HB152" s="105"/>
      <c r="HC152" s="105"/>
      <c r="HD152" s="105"/>
      <c r="HE152" s="41" t="s">
        <v>1344</v>
      </c>
      <c r="HF152" s="41"/>
      <c r="HG152" s="41"/>
      <c r="HH152" s="41"/>
      <c r="HI152" s="41"/>
      <c r="HJ152" s="41"/>
      <c r="HK152" s="41">
        <v>1</v>
      </c>
      <c r="HL152" s="41">
        <v>2</v>
      </c>
      <c r="HM152" s="41"/>
      <c r="HN152" s="41">
        <v>0</v>
      </c>
      <c r="HO152" s="41">
        <v>2</v>
      </c>
      <c r="HP152" s="41">
        <v>2</v>
      </c>
      <c r="HQ152" s="41"/>
      <c r="HR152" s="41">
        <v>2</v>
      </c>
      <c r="HS152" s="41">
        <v>0</v>
      </c>
      <c r="HT152" s="41">
        <v>0</v>
      </c>
      <c r="HU152" s="41">
        <v>0</v>
      </c>
      <c r="HV152" s="41">
        <v>9</v>
      </c>
      <c r="HW152" s="41"/>
      <c r="HX152" s="41"/>
      <c r="HY152" s="691"/>
      <c r="HZ152" s="691"/>
      <c r="IA152" s="691"/>
      <c r="IB152" s="702" t="s">
        <v>15</v>
      </c>
      <c r="IC152" s="702">
        <v>0</v>
      </c>
      <c r="ID152" s="702">
        <v>0</v>
      </c>
      <c r="IE152" s="702">
        <v>0</v>
      </c>
      <c r="IF152" s="702">
        <v>0</v>
      </c>
      <c r="IG152" s="702">
        <v>0</v>
      </c>
      <c r="IH152" s="702">
        <v>0</v>
      </c>
      <c r="II152" s="702">
        <v>0</v>
      </c>
      <c r="IJ152" s="702">
        <v>0</v>
      </c>
      <c r="IK152" s="702">
        <v>0</v>
      </c>
      <c r="IL152" s="702">
        <v>0</v>
      </c>
      <c r="IM152" s="702">
        <v>0</v>
      </c>
      <c r="IN152" s="702">
        <v>1</v>
      </c>
      <c r="IO152" s="702">
        <v>0</v>
      </c>
      <c r="IP152" s="702">
        <v>0</v>
      </c>
      <c r="IQ152" s="702">
        <v>0</v>
      </c>
      <c r="IR152" s="702">
        <v>1</v>
      </c>
      <c r="IS152" s="702">
        <v>2</v>
      </c>
      <c r="IT152" s="703">
        <f>0/IS152</f>
        <v>0</v>
      </c>
      <c r="IU152" s="692">
        <v>0</v>
      </c>
    </row>
    <row r="153" spans="3:255">
      <c r="D153" s="4800" t="s">
        <v>1235</v>
      </c>
      <c r="E153" s="4606"/>
      <c r="F153" s="4606"/>
      <c r="G153" s="4606"/>
      <c r="H153" s="4606"/>
      <c r="I153" s="4606"/>
      <c r="J153" s="4606"/>
      <c r="K153" s="4606">
        <v>0</v>
      </c>
      <c r="L153" s="4606">
        <v>0</v>
      </c>
      <c r="M153" s="4606"/>
      <c r="N153" s="4606">
        <v>0</v>
      </c>
      <c r="O153" s="4606">
        <v>0</v>
      </c>
      <c r="P153" s="4606">
        <v>4</v>
      </c>
      <c r="Q153" s="4606"/>
      <c r="R153" s="4606"/>
      <c r="S153" s="2552"/>
      <c r="T153" s="2552"/>
      <c r="U153" s="2552">
        <v>4</v>
      </c>
      <c r="V153" s="2552"/>
      <c r="AA153" s="37" t="s">
        <v>1236</v>
      </c>
      <c r="AB153" s="4803">
        <v>0</v>
      </c>
      <c r="AC153" s="4803"/>
      <c r="AD153" s="4803"/>
      <c r="AE153" s="4803"/>
      <c r="AF153" s="4803"/>
      <c r="AG153" s="4803"/>
      <c r="AH153" s="4803">
        <v>0</v>
      </c>
      <c r="AI153" s="4803">
        <v>0</v>
      </c>
      <c r="AJ153" s="4803"/>
      <c r="AK153" s="4803">
        <v>0</v>
      </c>
      <c r="AL153" s="4803">
        <v>0</v>
      </c>
      <c r="AM153" s="4803">
        <v>1</v>
      </c>
      <c r="AN153" s="4803"/>
      <c r="AO153" s="4803"/>
      <c r="AP153" s="1788"/>
      <c r="AQ153" s="1788">
        <v>1</v>
      </c>
      <c r="AT153" s="41"/>
      <c r="AU153" s="41"/>
      <c r="AV153" s="41"/>
      <c r="AW153" s="41" t="s">
        <v>1235</v>
      </c>
      <c r="AX153" s="690"/>
      <c r="AY153" s="690"/>
      <c r="AZ153" s="690"/>
      <c r="BA153" s="690"/>
      <c r="BB153" s="690"/>
      <c r="BC153" s="690"/>
      <c r="BD153" s="690"/>
      <c r="BE153" s="690"/>
      <c r="BF153" s="690"/>
      <c r="BG153" s="690">
        <v>0</v>
      </c>
      <c r="BH153" s="690"/>
      <c r="BI153" s="690"/>
      <c r="BJ153" s="690">
        <v>2</v>
      </c>
      <c r="BK153" s="690">
        <v>2</v>
      </c>
      <c r="BL153" s="690">
        <v>0</v>
      </c>
      <c r="BM153" s="41">
        <v>0</v>
      </c>
      <c r="BN153" s="41">
        <v>0</v>
      </c>
      <c r="BO153" s="41">
        <v>4</v>
      </c>
      <c r="BP153" s="41"/>
      <c r="BR153" s="41"/>
      <c r="BS153" s="41"/>
      <c r="BT153" s="41"/>
      <c r="BU153" s="41" t="s">
        <v>1235</v>
      </c>
      <c r="BV153" s="2001"/>
      <c r="BW153" s="2001"/>
      <c r="BX153" s="2001"/>
      <c r="BY153" s="2001"/>
      <c r="BZ153" s="2001"/>
      <c r="CA153" s="2001"/>
      <c r="CB153" s="2001"/>
      <c r="CC153" s="2001"/>
      <c r="CD153" s="2001">
        <v>0</v>
      </c>
      <c r="CE153" s="2001"/>
      <c r="CF153" s="2001">
        <v>0</v>
      </c>
      <c r="CG153" s="2001"/>
      <c r="CH153" s="2001">
        <v>2</v>
      </c>
      <c r="CI153" s="2001">
        <v>1</v>
      </c>
      <c r="CJ153" s="2001">
        <v>0</v>
      </c>
      <c r="CK153" s="105">
        <v>0</v>
      </c>
      <c r="CL153" s="105">
        <v>0</v>
      </c>
      <c r="CM153" s="105">
        <v>3</v>
      </c>
      <c r="CN153" s="41"/>
      <c r="CR153" s="41"/>
      <c r="CS153" s="41" t="s">
        <v>1240</v>
      </c>
      <c r="CT153" s="1665"/>
      <c r="CU153" s="1665"/>
      <c r="CV153" s="1665">
        <v>0</v>
      </c>
      <c r="CW153" s="1665"/>
      <c r="CX153" s="1665"/>
      <c r="CY153" s="1665"/>
      <c r="CZ153" s="1665"/>
      <c r="DA153" s="1665">
        <v>0</v>
      </c>
      <c r="DB153" s="1665"/>
      <c r="DC153" s="1665">
        <v>0</v>
      </c>
      <c r="DD153" s="1665">
        <v>0</v>
      </c>
      <c r="DE153" s="1665">
        <v>2</v>
      </c>
      <c r="DF153" s="1665">
        <v>1</v>
      </c>
      <c r="DG153" s="1665">
        <v>0</v>
      </c>
      <c r="DH153" s="1665">
        <v>1</v>
      </c>
      <c r="DI153" s="41"/>
      <c r="DJ153" s="41">
        <v>0</v>
      </c>
      <c r="DK153" s="41">
        <v>4</v>
      </c>
      <c r="DL153" s="41"/>
      <c r="DN153" s="1375"/>
      <c r="DO153" s="1375"/>
      <c r="DP153" s="1375"/>
      <c r="DQ153" s="1376" t="s">
        <v>1240</v>
      </c>
      <c r="DR153" s="1377"/>
      <c r="DS153" s="1377"/>
      <c r="DT153" s="1377"/>
      <c r="DU153" s="1377"/>
      <c r="DV153" s="1377"/>
      <c r="DW153" s="1377"/>
      <c r="DX153" s="1377"/>
      <c r="DY153" s="1378">
        <v>1</v>
      </c>
      <c r="DZ153" s="1377"/>
      <c r="EA153" s="1378">
        <v>0</v>
      </c>
      <c r="EB153" s="1378">
        <v>0</v>
      </c>
      <c r="EC153" s="1378">
        <v>1</v>
      </c>
      <c r="ED153" s="1378">
        <v>0</v>
      </c>
      <c r="EE153" s="1380">
        <v>1</v>
      </c>
      <c r="EF153" s="1380">
        <v>0</v>
      </c>
      <c r="EG153" s="1380">
        <v>3</v>
      </c>
      <c r="EH153" s="41"/>
      <c r="EJ153" s="678"/>
      <c r="EK153" s="678"/>
      <c r="EL153" s="678"/>
      <c r="EM153" s="679" t="s">
        <v>1239</v>
      </c>
      <c r="EN153" s="680"/>
      <c r="EO153" s="681">
        <v>0</v>
      </c>
      <c r="EP153" s="681">
        <v>0</v>
      </c>
      <c r="EQ153" s="680"/>
      <c r="ER153" s="680"/>
      <c r="ES153" s="680"/>
      <c r="ET153" s="680"/>
      <c r="EU153" s="680"/>
      <c r="EV153" s="680"/>
      <c r="EW153" s="680"/>
      <c r="EX153" s="680"/>
      <c r="EY153" s="680"/>
      <c r="EZ153" s="681">
        <v>0</v>
      </c>
      <c r="FA153" s="681">
        <v>0</v>
      </c>
      <c r="FB153" s="681">
        <v>0</v>
      </c>
      <c r="FC153" s="683">
        <v>0</v>
      </c>
      <c r="FD153" s="683">
        <v>1</v>
      </c>
      <c r="FE153" s="683">
        <v>1</v>
      </c>
      <c r="FF153" s="105"/>
      <c r="FH153" s="511"/>
      <c r="FI153" s="511"/>
      <c r="FJ153" s="511"/>
      <c r="FK153" s="511"/>
      <c r="FL153" s="512" t="s">
        <v>1344</v>
      </c>
      <c r="FM153" s="684"/>
      <c r="FN153" s="684"/>
      <c r="FO153" s="685">
        <v>0</v>
      </c>
      <c r="FP153" s="684"/>
      <c r="FQ153" s="684"/>
      <c r="FR153" s="684"/>
      <c r="FS153" s="684"/>
      <c r="FT153" s="684"/>
      <c r="FU153" s="685">
        <v>0</v>
      </c>
      <c r="FV153" s="684"/>
      <c r="FW153" s="685">
        <v>1</v>
      </c>
      <c r="FX153" s="685">
        <v>0</v>
      </c>
      <c r="FY153" s="685">
        <v>0</v>
      </c>
      <c r="FZ153" s="685">
        <v>0</v>
      </c>
      <c r="GA153" s="685">
        <v>0</v>
      </c>
      <c r="GB153" s="686"/>
      <c r="GC153" s="687">
        <v>0</v>
      </c>
      <c r="GD153" s="687">
        <v>1</v>
      </c>
      <c r="GE153" s="635"/>
      <c r="GF153" s="41"/>
      <c r="GG153" s="41" t="s">
        <v>48</v>
      </c>
      <c r="GH153" s="41"/>
      <c r="GI153" s="688" t="s">
        <v>545</v>
      </c>
      <c r="GJ153" s="457" t="s">
        <v>1231</v>
      </c>
      <c r="GK153" s="689"/>
      <c r="GL153" s="689"/>
      <c r="GM153" s="689"/>
      <c r="GN153" s="689"/>
      <c r="GO153" s="689"/>
      <c r="GP153" s="689"/>
      <c r="GQ153" s="458">
        <v>4</v>
      </c>
      <c r="GR153" s="458">
        <v>5</v>
      </c>
      <c r="GS153" s="458">
        <v>4</v>
      </c>
      <c r="GT153" s="689"/>
      <c r="GU153" s="689"/>
      <c r="GV153" s="689"/>
      <c r="GW153" s="458">
        <v>0</v>
      </c>
      <c r="GX153" s="458">
        <v>13</v>
      </c>
      <c r="GY153" s="690"/>
      <c r="GZ153" s="41"/>
      <c r="HA153" s="41"/>
      <c r="HB153" s="105"/>
      <c r="HC153" s="105"/>
      <c r="HD153" s="105"/>
      <c r="HE153" s="461" t="s">
        <v>15</v>
      </c>
      <c r="HF153" s="461"/>
      <c r="HG153" s="461"/>
      <c r="HH153" s="461"/>
      <c r="HI153" s="461"/>
      <c r="HJ153" s="461"/>
      <c r="HK153" s="461">
        <v>1</v>
      </c>
      <c r="HL153" s="461">
        <v>2</v>
      </c>
      <c r="HM153" s="461"/>
      <c r="HN153" s="461">
        <v>1</v>
      </c>
      <c r="HO153" s="461">
        <v>3</v>
      </c>
      <c r="HP153" s="461">
        <v>2</v>
      </c>
      <c r="HQ153" s="461"/>
      <c r="HR153" s="461">
        <v>2</v>
      </c>
      <c r="HS153" s="461">
        <v>8</v>
      </c>
      <c r="HT153" s="461">
        <v>1</v>
      </c>
      <c r="HU153" s="461">
        <v>6</v>
      </c>
      <c r="HV153" s="461">
        <v>26</v>
      </c>
      <c r="HW153" s="706">
        <f>+(HV150+HV152)/HV153</f>
        <v>0.38461538461538464</v>
      </c>
      <c r="HX153" s="41"/>
      <c r="HY153" s="691"/>
      <c r="HZ153" s="691"/>
      <c r="IA153" s="691" t="s">
        <v>41</v>
      </c>
      <c r="IB153" s="691" t="s">
        <v>1231</v>
      </c>
      <c r="IC153" s="691">
        <v>0</v>
      </c>
      <c r="ID153" s="691">
        <v>0</v>
      </c>
      <c r="IE153" s="691">
        <v>1</v>
      </c>
      <c r="IF153" s="691">
        <v>0</v>
      </c>
      <c r="IG153" s="691">
        <v>0</v>
      </c>
      <c r="IH153" s="691">
        <v>1</v>
      </c>
      <c r="II153" s="691">
        <v>0</v>
      </c>
      <c r="IJ153" s="691">
        <v>2</v>
      </c>
      <c r="IK153" s="691">
        <v>5</v>
      </c>
      <c r="IL153" s="691">
        <v>2</v>
      </c>
      <c r="IM153" s="691">
        <v>1</v>
      </c>
      <c r="IN153" s="691">
        <v>0</v>
      </c>
      <c r="IO153" s="691">
        <v>0</v>
      </c>
      <c r="IP153" s="691">
        <v>0</v>
      </c>
      <c r="IQ153" s="691">
        <v>0</v>
      </c>
      <c r="IR153" s="691">
        <v>0</v>
      </c>
      <c r="IS153" s="691">
        <v>12</v>
      </c>
      <c r="IT153" s="691"/>
      <c r="IU153" s="692"/>
    </row>
    <row r="154" spans="3:255">
      <c r="D154" s="4800" t="s">
        <v>1240</v>
      </c>
      <c r="E154" s="4606"/>
      <c r="F154" s="4606"/>
      <c r="G154" s="4606"/>
      <c r="H154" s="4606"/>
      <c r="I154" s="4606"/>
      <c r="J154" s="4606"/>
      <c r="K154" s="4606">
        <v>0</v>
      </c>
      <c r="L154" s="4606">
        <v>0</v>
      </c>
      <c r="M154" s="4606"/>
      <c r="N154" s="4606">
        <v>1</v>
      </c>
      <c r="O154" s="4606">
        <v>0</v>
      </c>
      <c r="P154" s="4606">
        <v>6</v>
      </c>
      <c r="Q154" s="4606"/>
      <c r="R154" s="4606"/>
      <c r="S154" s="2552"/>
      <c r="T154" s="2552"/>
      <c r="U154" s="2552">
        <v>7</v>
      </c>
      <c r="V154" s="2552"/>
      <c r="AA154" s="37" t="s">
        <v>1240</v>
      </c>
      <c r="AB154" s="4803">
        <v>0</v>
      </c>
      <c r="AC154" s="4803"/>
      <c r="AD154" s="4803"/>
      <c r="AE154" s="4803"/>
      <c r="AF154" s="4803"/>
      <c r="AG154" s="4803"/>
      <c r="AH154" s="4803">
        <v>0</v>
      </c>
      <c r="AI154" s="4803">
        <v>0</v>
      </c>
      <c r="AJ154" s="4803"/>
      <c r="AK154" s="4803">
        <v>0</v>
      </c>
      <c r="AL154" s="4803">
        <v>0</v>
      </c>
      <c r="AM154" s="4803">
        <v>1</v>
      </c>
      <c r="AN154" s="4803"/>
      <c r="AO154" s="4803"/>
      <c r="AP154" s="1788"/>
      <c r="AQ154" s="1788">
        <v>1</v>
      </c>
      <c r="AT154" s="41"/>
      <c r="AU154" s="41"/>
      <c r="AV154" s="41"/>
      <c r="AW154" s="41" t="s">
        <v>1239</v>
      </c>
      <c r="AX154" s="690"/>
      <c r="AY154" s="690"/>
      <c r="AZ154" s="690"/>
      <c r="BA154" s="690"/>
      <c r="BB154" s="690"/>
      <c r="BC154" s="690"/>
      <c r="BD154" s="690"/>
      <c r="BE154" s="690"/>
      <c r="BF154" s="690"/>
      <c r="BG154" s="690">
        <v>0</v>
      </c>
      <c r="BH154" s="690"/>
      <c r="BI154" s="690"/>
      <c r="BJ154" s="690">
        <v>0</v>
      </c>
      <c r="BK154" s="690">
        <v>1</v>
      </c>
      <c r="BL154" s="690">
        <v>10</v>
      </c>
      <c r="BM154" s="41">
        <v>2</v>
      </c>
      <c r="BN154" s="41">
        <v>4</v>
      </c>
      <c r="BO154" s="41">
        <v>17</v>
      </c>
      <c r="BP154" s="41"/>
      <c r="BR154" s="41"/>
      <c r="BS154" s="41"/>
      <c r="BT154" s="41"/>
      <c r="BU154" s="41" t="s">
        <v>1239</v>
      </c>
      <c r="BV154" s="2001"/>
      <c r="BW154" s="2001"/>
      <c r="BX154" s="2001"/>
      <c r="BY154" s="2001"/>
      <c r="BZ154" s="2001"/>
      <c r="CA154" s="2001"/>
      <c r="CB154" s="2001"/>
      <c r="CC154" s="2001"/>
      <c r="CD154" s="2001">
        <v>0</v>
      </c>
      <c r="CE154" s="2001"/>
      <c r="CF154" s="2001">
        <v>0</v>
      </c>
      <c r="CG154" s="2001"/>
      <c r="CH154" s="2001">
        <v>0</v>
      </c>
      <c r="CI154" s="2001">
        <v>0</v>
      </c>
      <c r="CJ154" s="2001">
        <v>2</v>
      </c>
      <c r="CK154" s="105">
        <v>0</v>
      </c>
      <c r="CL154" s="105">
        <v>6</v>
      </c>
      <c r="CM154" s="105">
        <v>8</v>
      </c>
      <c r="CN154" s="41"/>
      <c r="CR154" s="41"/>
      <c r="CS154" s="41" t="s">
        <v>1344</v>
      </c>
      <c r="CT154" s="1665"/>
      <c r="CU154" s="1665"/>
      <c r="CV154" s="1665">
        <v>0</v>
      </c>
      <c r="CW154" s="1665"/>
      <c r="CX154" s="1665"/>
      <c r="CY154" s="1665"/>
      <c r="CZ154" s="1665"/>
      <c r="DA154" s="1665">
        <v>0</v>
      </c>
      <c r="DB154" s="1665"/>
      <c r="DC154" s="1665">
        <v>1</v>
      </c>
      <c r="DD154" s="1665">
        <v>1</v>
      </c>
      <c r="DE154" s="1665">
        <v>0</v>
      </c>
      <c r="DF154" s="1665">
        <v>0</v>
      </c>
      <c r="DG154" s="1665">
        <v>1</v>
      </c>
      <c r="DH154" s="1665">
        <v>0</v>
      </c>
      <c r="DI154" s="41"/>
      <c r="DJ154" s="41">
        <v>0</v>
      </c>
      <c r="DK154" s="41">
        <v>3</v>
      </c>
      <c r="DL154" s="41"/>
      <c r="DN154" s="1375"/>
      <c r="DO154" s="1375"/>
      <c r="DP154" s="1375"/>
      <c r="DQ154" s="1376" t="s">
        <v>1344</v>
      </c>
      <c r="DR154" s="1377"/>
      <c r="DS154" s="1377"/>
      <c r="DT154" s="1377"/>
      <c r="DU154" s="1377"/>
      <c r="DV154" s="1377"/>
      <c r="DW154" s="1377"/>
      <c r="DX154" s="1377"/>
      <c r="DY154" s="1378">
        <v>0</v>
      </c>
      <c r="DZ154" s="1377"/>
      <c r="EA154" s="1378">
        <v>0</v>
      </c>
      <c r="EB154" s="1378">
        <v>0</v>
      </c>
      <c r="EC154" s="1378">
        <v>2</v>
      </c>
      <c r="ED154" s="1378">
        <v>0</v>
      </c>
      <c r="EE154" s="1380">
        <v>0</v>
      </c>
      <c r="EF154" s="1380">
        <v>0</v>
      </c>
      <c r="EG154" s="1380">
        <v>2</v>
      </c>
      <c r="EH154" s="41"/>
      <c r="EJ154" s="678"/>
      <c r="EK154" s="678"/>
      <c r="EL154" s="678"/>
      <c r="EM154" s="679" t="s">
        <v>1344</v>
      </c>
      <c r="EN154" s="680"/>
      <c r="EO154" s="681">
        <v>0</v>
      </c>
      <c r="EP154" s="681">
        <v>0</v>
      </c>
      <c r="EQ154" s="680"/>
      <c r="ER154" s="680"/>
      <c r="ES154" s="680"/>
      <c r="ET154" s="680"/>
      <c r="EU154" s="680"/>
      <c r="EV154" s="680"/>
      <c r="EW154" s="680"/>
      <c r="EX154" s="680"/>
      <c r="EY154" s="680"/>
      <c r="EZ154" s="681">
        <v>1</v>
      </c>
      <c r="FA154" s="681">
        <v>0</v>
      </c>
      <c r="FB154" s="681">
        <v>0</v>
      </c>
      <c r="FC154" s="683">
        <v>0</v>
      </c>
      <c r="FD154" s="683">
        <v>0</v>
      </c>
      <c r="FE154" s="683">
        <v>1</v>
      </c>
      <c r="FF154" s="105"/>
      <c r="FH154" s="511"/>
      <c r="FI154" s="511"/>
      <c r="FJ154" s="511"/>
      <c r="FK154" s="41"/>
      <c r="FL154" s="532" t="s">
        <v>15</v>
      </c>
      <c r="FM154" s="693"/>
      <c r="FN154" s="693"/>
      <c r="FO154" s="694">
        <v>2</v>
      </c>
      <c r="FP154" s="693"/>
      <c r="FQ154" s="693"/>
      <c r="FR154" s="693"/>
      <c r="FS154" s="693"/>
      <c r="FT154" s="693"/>
      <c r="FU154" s="694">
        <v>1</v>
      </c>
      <c r="FV154" s="693"/>
      <c r="FW154" s="694">
        <v>1</v>
      </c>
      <c r="FX154" s="694">
        <v>4</v>
      </c>
      <c r="FY154" s="694">
        <v>1</v>
      </c>
      <c r="FZ154" s="694">
        <v>1</v>
      </c>
      <c r="GA154" s="694">
        <v>2</v>
      </c>
      <c r="GB154" s="695"/>
      <c r="GC154" s="696">
        <v>1</v>
      </c>
      <c r="GD154" s="696">
        <v>13</v>
      </c>
      <c r="GE154" s="635">
        <f>+(GD153+GD151)/GD154</f>
        <v>0.23076923076923078</v>
      </c>
      <c r="GF154" s="41"/>
      <c r="GG154" s="41"/>
      <c r="GH154" s="41"/>
      <c r="GI154" s="688"/>
      <c r="GJ154" s="457" t="s">
        <v>1239</v>
      </c>
      <c r="GK154" s="689"/>
      <c r="GL154" s="689"/>
      <c r="GM154" s="689"/>
      <c r="GN154" s="689"/>
      <c r="GO154" s="689"/>
      <c r="GP154" s="689"/>
      <c r="GQ154" s="458">
        <v>0</v>
      </c>
      <c r="GR154" s="458">
        <v>0</v>
      </c>
      <c r="GS154" s="458">
        <v>0</v>
      </c>
      <c r="GT154" s="689"/>
      <c r="GU154" s="689"/>
      <c r="GV154" s="689"/>
      <c r="GW154" s="458">
        <v>1</v>
      </c>
      <c r="GX154" s="458">
        <v>1</v>
      </c>
      <c r="GY154" s="690"/>
      <c r="GZ154" s="41"/>
      <c r="HA154" s="41"/>
      <c r="HB154" s="105"/>
      <c r="HC154" s="105" t="s">
        <v>48</v>
      </c>
      <c r="HD154" s="105" t="s">
        <v>16</v>
      </c>
      <c r="HE154" s="41" t="s">
        <v>1231</v>
      </c>
      <c r="HF154" s="41"/>
      <c r="HG154" s="41">
        <v>1</v>
      </c>
      <c r="HH154" s="41">
        <v>2</v>
      </c>
      <c r="HI154" s="41">
        <v>1</v>
      </c>
      <c r="HJ154" s="41">
        <v>1</v>
      </c>
      <c r="HK154" s="41"/>
      <c r="HL154" s="41"/>
      <c r="HM154" s="41"/>
      <c r="HN154" s="41">
        <v>11</v>
      </c>
      <c r="HO154" s="41">
        <v>4</v>
      </c>
      <c r="HP154" s="41">
        <v>8</v>
      </c>
      <c r="HQ154" s="41">
        <v>26</v>
      </c>
      <c r="HR154" s="41">
        <v>3</v>
      </c>
      <c r="HS154" s="41">
        <v>0</v>
      </c>
      <c r="HT154" s="41">
        <v>1</v>
      </c>
      <c r="HU154" s="41">
        <v>0</v>
      </c>
      <c r="HV154" s="41">
        <v>58</v>
      </c>
      <c r="HW154" s="41"/>
      <c r="HX154" s="41"/>
      <c r="HY154" s="691"/>
      <c r="HZ154" s="691"/>
      <c r="IA154" s="691"/>
      <c r="IB154" s="691" t="s">
        <v>1239</v>
      </c>
      <c r="IC154" s="691">
        <v>0</v>
      </c>
      <c r="ID154" s="691">
        <v>0</v>
      </c>
      <c r="IE154" s="691">
        <v>0</v>
      </c>
      <c r="IF154" s="691">
        <v>0</v>
      </c>
      <c r="IG154" s="691">
        <v>0</v>
      </c>
      <c r="IH154" s="691">
        <v>0</v>
      </c>
      <c r="II154" s="691">
        <v>0</v>
      </c>
      <c r="IJ154" s="691">
        <v>1</v>
      </c>
      <c r="IK154" s="691">
        <v>0</v>
      </c>
      <c r="IL154" s="691">
        <v>0</v>
      </c>
      <c r="IM154" s="691">
        <v>0</v>
      </c>
      <c r="IN154" s="691">
        <v>0</v>
      </c>
      <c r="IO154" s="691">
        <v>0</v>
      </c>
      <c r="IP154" s="691">
        <v>2</v>
      </c>
      <c r="IQ154" s="691">
        <v>0</v>
      </c>
      <c r="IR154" s="691">
        <v>2</v>
      </c>
      <c r="IS154" s="691">
        <v>5</v>
      </c>
      <c r="IT154" s="691"/>
      <c r="IU154" s="692"/>
    </row>
    <row r="155" spans="3:255">
      <c r="D155" s="4800" t="s">
        <v>15</v>
      </c>
      <c r="E155" s="4606"/>
      <c r="F155" s="4606"/>
      <c r="G155" s="4606"/>
      <c r="H155" s="4606"/>
      <c r="I155" s="4606"/>
      <c r="J155" s="4606"/>
      <c r="K155" s="4606">
        <v>1</v>
      </c>
      <c r="L155" s="4606">
        <v>1</v>
      </c>
      <c r="M155" s="4606"/>
      <c r="N155" s="4606">
        <v>2</v>
      </c>
      <c r="O155" s="4606">
        <v>1</v>
      </c>
      <c r="P155" s="4606">
        <v>19</v>
      </c>
      <c r="Q155" s="4606"/>
      <c r="R155" s="4606"/>
      <c r="S155" s="2552"/>
      <c r="T155" s="2552"/>
      <c r="U155" s="2552">
        <v>24</v>
      </c>
      <c r="V155" s="1977">
        <f>+(U153+U154)/(U155)</f>
        <v>0.45833333333333331</v>
      </c>
      <c r="AA155" s="1793" t="s">
        <v>15</v>
      </c>
      <c r="AB155" s="4804">
        <v>0</v>
      </c>
      <c r="AC155" s="4804"/>
      <c r="AD155" s="4804"/>
      <c r="AE155" s="4804"/>
      <c r="AF155" s="4804"/>
      <c r="AG155" s="4804"/>
      <c r="AH155" s="4804">
        <v>1</v>
      </c>
      <c r="AI155" s="4804">
        <v>1</v>
      </c>
      <c r="AJ155" s="4804"/>
      <c r="AK155" s="4804">
        <v>2</v>
      </c>
      <c r="AL155" s="4804">
        <v>1</v>
      </c>
      <c r="AM155" s="4804">
        <v>19</v>
      </c>
      <c r="AN155" s="4804"/>
      <c r="AO155" s="4804"/>
      <c r="AP155" s="4702"/>
      <c r="AQ155" s="4702">
        <v>24</v>
      </c>
      <c r="AR155" s="4703">
        <f>+AQ154/AQ155</f>
        <v>4.1666666666666664E-2</v>
      </c>
      <c r="AT155" s="41"/>
      <c r="AU155" s="41"/>
      <c r="AV155" s="41"/>
      <c r="AW155" s="41" t="s">
        <v>1344</v>
      </c>
      <c r="AX155" s="690"/>
      <c r="AY155" s="690"/>
      <c r="AZ155" s="690"/>
      <c r="BA155" s="690"/>
      <c r="BB155" s="690"/>
      <c r="BC155" s="690"/>
      <c r="BD155" s="690"/>
      <c r="BE155" s="690"/>
      <c r="BF155" s="690"/>
      <c r="BG155" s="690">
        <v>0</v>
      </c>
      <c r="BH155" s="690"/>
      <c r="BI155" s="690"/>
      <c r="BJ155" s="690">
        <v>0</v>
      </c>
      <c r="BK155" s="690">
        <v>1</v>
      </c>
      <c r="BL155" s="690">
        <v>0</v>
      </c>
      <c r="BM155" s="41">
        <v>0</v>
      </c>
      <c r="BN155" s="41">
        <v>0</v>
      </c>
      <c r="BO155" s="41">
        <v>1</v>
      </c>
      <c r="BP155" s="41"/>
      <c r="BR155" s="41"/>
      <c r="BS155" s="41"/>
      <c r="BT155" s="41"/>
      <c r="BU155" s="41" t="s">
        <v>1240</v>
      </c>
      <c r="BV155" s="2001"/>
      <c r="BW155" s="2001"/>
      <c r="BX155" s="2001"/>
      <c r="BY155" s="2001"/>
      <c r="BZ155" s="2001"/>
      <c r="CA155" s="2001"/>
      <c r="CB155" s="2001"/>
      <c r="CC155" s="2001"/>
      <c r="CD155" s="2001">
        <v>0</v>
      </c>
      <c r="CE155" s="2001"/>
      <c r="CF155" s="2001">
        <v>0</v>
      </c>
      <c r="CG155" s="2001"/>
      <c r="CH155" s="2001">
        <v>1</v>
      </c>
      <c r="CI155" s="2001">
        <v>0</v>
      </c>
      <c r="CJ155" s="2001">
        <v>0</v>
      </c>
      <c r="CK155" s="105">
        <v>1</v>
      </c>
      <c r="CL155" s="105">
        <v>0</v>
      </c>
      <c r="CM155" s="105">
        <v>2</v>
      </c>
      <c r="CN155" s="41"/>
      <c r="CR155" s="41"/>
      <c r="CS155" s="461" t="s">
        <v>547</v>
      </c>
      <c r="CT155" s="1666"/>
      <c r="CU155" s="1666"/>
      <c r="CV155" s="1666">
        <v>1</v>
      </c>
      <c r="CW155" s="1666"/>
      <c r="CX155" s="1666"/>
      <c r="CY155" s="1666"/>
      <c r="CZ155" s="1666"/>
      <c r="DA155" s="1666">
        <v>1</v>
      </c>
      <c r="DB155" s="1666"/>
      <c r="DC155" s="1666">
        <v>6</v>
      </c>
      <c r="DD155" s="1666">
        <v>3</v>
      </c>
      <c r="DE155" s="1666">
        <v>2</v>
      </c>
      <c r="DF155" s="1666">
        <v>3</v>
      </c>
      <c r="DG155" s="1666">
        <v>2</v>
      </c>
      <c r="DH155" s="1666">
        <v>6</v>
      </c>
      <c r="DI155" s="461"/>
      <c r="DJ155" s="461">
        <v>3</v>
      </c>
      <c r="DK155" s="461">
        <v>27</v>
      </c>
      <c r="DL155" s="635">
        <f>+(DK151+DK153+DK154)/DK155</f>
        <v>0.29629629629629628</v>
      </c>
      <c r="DN155" s="1375"/>
      <c r="DO155" s="1375"/>
      <c r="DP155" s="1375"/>
      <c r="DQ155" s="1372" t="s">
        <v>547</v>
      </c>
      <c r="DR155" s="1381"/>
      <c r="DS155" s="1381"/>
      <c r="DT155" s="1381"/>
      <c r="DU155" s="1381"/>
      <c r="DV155" s="1381"/>
      <c r="DW155" s="1381"/>
      <c r="DX155" s="1381"/>
      <c r="DY155" s="1382">
        <v>1</v>
      </c>
      <c r="DZ155" s="1381"/>
      <c r="EA155" s="1382">
        <v>2</v>
      </c>
      <c r="EB155" s="1382">
        <v>1</v>
      </c>
      <c r="EC155" s="1382">
        <v>4</v>
      </c>
      <c r="ED155" s="1382">
        <v>6</v>
      </c>
      <c r="EE155" s="1384">
        <v>1</v>
      </c>
      <c r="EF155" s="1384">
        <v>2</v>
      </c>
      <c r="EG155" s="1384">
        <v>17</v>
      </c>
      <c r="EH155" s="1325">
        <f>+(EG151+EG153-EE153+EG154)/EG155</f>
        <v>0.35294117647058826</v>
      </c>
      <c r="EJ155" s="678"/>
      <c r="EK155" s="678"/>
      <c r="EL155" s="678"/>
      <c r="EM155" s="697" t="s">
        <v>15</v>
      </c>
      <c r="EN155" s="698"/>
      <c r="EO155" s="699">
        <v>1</v>
      </c>
      <c r="EP155" s="699">
        <v>1</v>
      </c>
      <c r="EQ155" s="698"/>
      <c r="ER155" s="698"/>
      <c r="ES155" s="698"/>
      <c r="ET155" s="698"/>
      <c r="EU155" s="698"/>
      <c r="EV155" s="698"/>
      <c r="EW155" s="698"/>
      <c r="EX155" s="698"/>
      <c r="EY155" s="698"/>
      <c r="EZ155" s="699">
        <v>3</v>
      </c>
      <c r="FA155" s="699">
        <v>2</v>
      </c>
      <c r="FB155" s="699">
        <v>1</v>
      </c>
      <c r="FC155" s="701">
        <v>2</v>
      </c>
      <c r="FD155" s="701">
        <v>1</v>
      </c>
      <c r="FE155" s="701">
        <v>11</v>
      </c>
      <c r="FF155" s="635">
        <f>+(FE152+FE154)/FE155</f>
        <v>0.27272727272727271</v>
      </c>
      <c r="FH155" s="511"/>
      <c r="FI155" s="511"/>
      <c r="FJ155" s="511" t="s">
        <v>333</v>
      </c>
      <c r="FK155" s="511" t="s">
        <v>1229</v>
      </c>
      <c r="FL155" s="512" t="s">
        <v>1231</v>
      </c>
      <c r="FM155" s="684"/>
      <c r="FN155" s="684"/>
      <c r="FO155" s="684"/>
      <c r="FP155" s="684"/>
      <c r="FQ155" s="684"/>
      <c r="FR155" s="684"/>
      <c r="FS155" s="684"/>
      <c r="FT155" s="685">
        <v>1</v>
      </c>
      <c r="FU155" s="684"/>
      <c r="FV155" s="685">
        <v>2</v>
      </c>
      <c r="FW155" s="685">
        <v>1</v>
      </c>
      <c r="FX155" s="685">
        <v>1</v>
      </c>
      <c r="FY155" s="684"/>
      <c r="FZ155" s="685">
        <v>2</v>
      </c>
      <c r="GA155" s="685">
        <v>0</v>
      </c>
      <c r="GB155" s="686"/>
      <c r="GC155" s="686"/>
      <c r="GD155" s="687">
        <v>7</v>
      </c>
      <c r="GE155" s="635"/>
      <c r="GF155" s="41"/>
      <c r="GG155" s="41"/>
      <c r="GH155" s="41"/>
      <c r="GI155" s="688"/>
      <c r="GJ155" s="457" t="s">
        <v>1344</v>
      </c>
      <c r="GK155" s="689"/>
      <c r="GL155" s="689"/>
      <c r="GM155" s="689"/>
      <c r="GN155" s="689"/>
      <c r="GO155" s="689"/>
      <c r="GP155" s="689"/>
      <c r="GQ155" s="458">
        <v>0</v>
      </c>
      <c r="GR155" s="458">
        <v>1</v>
      </c>
      <c r="GS155" s="458">
        <v>0</v>
      </c>
      <c r="GT155" s="689"/>
      <c r="GU155" s="689"/>
      <c r="GV155" s="689"/>
      <c r="GW155" s="458">
        <v>0</v>
      </c>
      <c r="GX155" s="458">
        <v>1</v>
      </c>
      <c r="GY155" s="690"/>
      <c r="GZ155" s="41"/>
      <c r="HA155" s="41"/>
      <c r="HB155" s="105"/>
      <c r="HC155" s="105"/>
      <c r="HD155" s="105"/>
      <c r="HE155" s="41" t="s">
        <v>1235</v>
      </c>
      <c r="HF155" s="41"/>
      <c r="HG155" s="41">
        <v>0</v>
      </c>
      <c r="HH155" s="41">
        <v>0</v>
      </c>
      <c r="HI155" s="41">
        <v>0</v>
      </c>
      <c r="HJ155" s="41">
        <v>0</v>
      </c>
      <c r="HK155" s="41"/>
      <c r="HL155" s="41"/>
      <c r="HM155" s="41"/>
      <c r="HN155" s="41">
        <v>1</v>
      </c>
      <c r="HO155" s="41">
        <v>0</v>
      </c>
      <c r="HP155" s="41">
        <v>0</v>
      </c>
      <c r="HQ155" s="41">
        <v>0</v>
      </c>
      <c r="HR155" s="41">
        <v>0</v>
      </c>
      <c r="HS155" s="41">
        <v>1</v>
      </c>
      <c r="HT155" s="41">
        <v>0</v>
      </c>
      <c r="HU155" s="41">
        <v>0</v>
      </c>
      <c r="HV155" s="41">
        <v>2</v>
      </c>
      <c r="HW155" s="41"/>
      <c r="HX155" s="41"/>
      <c r="HY155" s="691"/>
      <c r="HZ155" s="691"/>
      <c r="IA155" s="691"/>
      <c r="IB155" s="691" t="s">
        <v>1240</v>
      </c>
      <c r="IC155" s="691">
        <v>0</v>
      </c>
      <c r="ID155" s="691">
        <v>0</v>
      </c>
      <c r="IE155" s="691">
        <v>0</v>
      </c>
      <c r="IF155" s="691">
        <v>0</v>
      </c>
      <c r="IG155" s="691">
        <v>0</v>
      </c>
      <c r="IH155" s="691">
        <v>0</v>
      </c>
      <c r="II155" s="691">
        <v>0</v>
      </c>
      <c r="IJ155" s="691">
        <v>0</v>
      </c>
      <c r="IK155" s="691">
        <v>0</v>
      </c>
      <c r="IL155" s="691">
        <v>2</v>
      </c>
      <c r="IM155" s="691">
        <v>0</v>
      </c>
      <c r="IN155" s="691">
        <v>1</v>
      </c>
      <c r="IO155" s="691">
        <v>2</v>
      </c>
      <c r="IP155" s="691">
        <v>0</v>
      </c>
      <c r="IQ155" s="691">
        <v>0</v>
      </c>
      <c r="IR155" s="691">
        <v>0</v>
      </c>
      <c r="IS155" s="691">
        <v>5</v>
      </c>
      <c r="IT155" s="691"/>
      <c r="IU155" s="692"/>
    </row>
    <row r="156" spans="3:255">
      <c r="C156" s="32" t="s">
        <v>545</v>
      </c>
      <c r="D156" s="32" t="s">
        <v>1231</v>
      </c>
      <c r="E156" s="4607"/>
      <c r="F156" s="4607">
        <v>1</v>
      </c>
      <c r="G156" s="4607"/>
      <c r="H156" s="4607">
        <v>1</v>
      </c>
      <c r="I156" s="4607"/>
      <c r="J156" s="4607"/>
      <c r="K156" s="4607">
        <v>1</v>
      </c>
      <c r="L156" s="4607">
        <v>1</v>
      </c>
      <c r="M156" s="4607"/>
      <c r="N156" s="4607">
        <v>1</v>
      </c>
      <c r="O156" s="4607">
        <v>2</v>
      </c>
      <c r="P156" s="4607">
        <v>26</v>
      </c>
      <c r="Q156" s="4607">
        <v>11</v>
      </c>
      <c r="R156" s="4607">
        <v>1</v>
      </c>
      <c r="S156" s="4583">
        <v>0</v>
      </c>
      <c r="T156" s="4583">
        <v>0</v>
      </c>
      <c r="U156" s="4583">
        <v>45</v>
      </c>
      <c r="V156" s="4583"/>
      <c r="Z156" s="1793" t="s">
        <v>545</v>
      </c>
      <c r="AA156" s="1793" t="s">
        <v>1231</v>
      </c>
      <c r="AB156" s="4804">
        <v>0</v>
      </c>
      <c r="AC156" s="4804">
        <v>1</v>
      </c>
      <c r="AD156" s="4804"/>
      <c r="AE156" s="4804">
        <v>1</v>
      </c>
      <c r="AF156" s="4804"/>
      <c r="AG156" s="4804"/>
      <c r="AH156" s="4804">
        <v>1</v>
      </c>
      <c r="AI156" s="4804">
        <v>1</v>
      </c>
      <c r="AJ156" s="4804"/>
      <c r="AK156" s="4804">
        <v>2</v>
      </c>
      <c r="AL156" s="4804">
        <v>2</v>
      </c>
      <c r="AM156" s="4804">
        <v>35</v>
      </c>
      <c r="AN156" s="4804">
        <v>14</v>
      </c>
      <c r="AO156" s="4804">
        <v>1</v>
      </c>
      <c r="AP156" s="4702">
        <v>0</v>
      </c>
      <c r="AQ156" s="4702">
        <v>58</v>
      </c>
      <c r="AR156" s="1793"/>
      <c r="AT156" s="41"/>
      <c r="AU156" s="41"/>
      <c r="AV156" s="41"/>
      <c r="AW156" s="461" t="s">
        <v>15</v>
      </c>
      <c r="AX156" s="2489"/>
      <c r="AY156" s="2489"/>
      <c r="AZ156" s="2489"/>
      <c r="BA156" s="2489"/>
      <c r="BB156" s="2489"/>
      <c r="BC156" s="2489"/>
      <c r="BD156" s="2489"/>
      <c r="BE156" s="2489"/>
      <c r="BF156" s="2489"/>
      <c r="BG156" s="2489">
        <v>1</v>
      </c>
      <c r="BH156" s="2489"/>
      <c r="BI156" s="2489"/>
      <c r="BJ156" s="2489">
        <v>3</v>
      </c>
      <c r="BK156" s="2489">
        <v>5</v>
      </c>
      <c r="BL156" s="2489">
        <v>10</v>
      </c>
      <c r="BM156" s="461">
        <v>2</v>
      </c>
      <c r="BN156" s="461">
        <v>4</v>
      </c>
      <c r="BO156" s="461">
        <v>25</v>
      </c>
      <c r="BP156" s="635">
        <f>+(BO155+BO153)/BO156</f>
        <v>0.2</v>
      </c>
      <c r="BQ156" s="1977"/>
      <c r="BR156" s="41"/>
      <c r="BS156" s="41"/>
      <c r="BT156" s="41"/>
      <c r="BU156" s="41" t="s">
        <v>1344</v>
      </c>
      <c r="BV156" s="2001"/>
      <c r="BW156" s="2001"/>
      <c r="BX156" s="2001"/>
      <c r="BY156" s="2001"/>
      <c r="BZ156" s="2001"/>
      <c r="CA156" s="2001"/>
      <c r="CB156" s="2001"/>
      <c r="CC156" s="2001"/>
      <c r="CD156" s="2001">
        <v>0</v>
      </c>
      <c r="CE156" s="2001"/>
      <c r="CF156" s="2001">
        <v>0</v>
      </c>
      <c r="CG156" s="2001"/>
      <c r="CH156" s="2001">
        <v>3</v>
      </c>
      <c r="CI156" s="2001">
        <v>0</v>
      </c>
      <c r="CJ156" s="2001">
        <v>1</v>
      </c>
      <c r="CK156" s="105">
        <v>0</v>
      </c>
      <c r="CL156" s="105">
        <v>0</v>
      </c>
      <c r="CM156" s="105">
        <v>4</v>
      </c>
      <c r="CN156" s="41"/>
      <c r="CQ156" s="105" t="s">
        <v>104</v>
      </c>
      <c r="CR156" s="41" t="s">
        <v>146</v>
      </c>
      <c r="CS156" s="41" t="s">
        <v>1231</v>
      </c>
      <c r="CT156" s="1665"/>
      <c r="CU156" s="1665"/>
      <c r="CV156" s="1665"/>
      <c r="CW156" s="1665"/>
      <c r="CX156" s="1665"/>
      <c r="CY156" s="1665"/>
      <c r="CZ156" s="1665"/>
      <c r="DA156" s="1665"/>
      <c r="DB156" s="1665"/>
      <c r="DC156" s="1665"/>
      <c r="DD156" s="1665"/>
      <c r="DE156" s="1665"/>
      <c r="DF156" s="1665">
        <v>6</v>
      </c>
      <c r="DG156" s="1665">
        <v>1</v>
      </c>
      <c r="DH156" s="1665">
        <v>1</v>
      </c>
      <c r="DI156" s="41"/>
      <c r="DJ156" s="41"/>
      <c r="DK156" s="41">
        <v>8</v>
      </c>
      <c r="DL156" s="41"/>
      <c r="DN156" s="1375"/>
      <c r="DO156" s="1375" t="s">
        <v>104</v>
      </c>
      <c r="DP156" s="1375" t="s">
        <v>146</v>
      </c>
      <c r="DQ156" s="1376" t="s">
        <v>1231</v>
      </c>
      <c r="DR156" s="1377"/>
      <c r="DS156" s="1377"/>
      <c r="DT156" s="1377"/>
      <c r="DU156" s="1377"/>
      <c r="DV156" s="1377"/>
      <c r="DW156" s="1377"/>
      <c r="DX156" s="1377"/>
      <c r="DY156" s="1377"/>
      <c r="DZ156" s="1377"/>
      <c r="EA156" s="1377"/>
      <c r="EB156" s="1378">
        <v>4</v>
      </c>
      <c r="EC156" s="1378">
        <v>0</v>
      </c>
      <c r="ED156" s="1377"/>
      <c r="EE156" s="1379"/>
      <c r="EF156" s="1379"/>
      <c r="EG156" s="1380">
        <v>4</v>
      </c>
      <c r="EH156" s="41"/>
      <c r="EJ156" s="678"/>
      <c r="EK156" s="678"/>
      <c r="EL156" s="678" t="s">
        <v>844</v>
      </c>
      <c r="EM156" s="679" t="s">
        <v>1230</v>
      </c>
      <c r="EN156" s="680"/>
      <c r="EO156" s="681">
        <v>0</v>
      </c>
      <c r="EP156" s="681">
        <v>0</v>
      </c>
      <c r="EQ156" s="680"/>
      <c r="ER156" s="680"/>
      <c r="ES156" s="680"/>
      <c r="ET156" s="680"/>
      <c r="EU156" s="680"/>
      <c r="EV156" s="680"/>
      <c r="EW156" s="680"/>
      <c r="EX156" s="680"/>
      <c r="EY156" s="680"/>
      <c r="EZ156" s="681">
        <v>0</v>
      </c>
      <c r="FA156" s="681">
        <v>1</v>
      </c>
      <c r="FB156" s="681">
        <v>0</v>
      </c>
      <c r="FC156" s="683">
        <v>0</v>
      </c>
      <c r="FD156" s="683">
        <v>0</v>
      </c>
      <c r="FE156" s="683">
        <v>1</v>
      </c>
      <c r="FF156" s="105"/>
      <c r="FH156" s="511"/>
      <c r="FI156" s="511"/>
      <c r="FJ156" s="511"/>
      <c r="FK156" s="511"/>
      <c r="FL156" s="512" t="s">
        <v>1235</v>
      </c>
      <c r="FM156" s="684"/>
      <c r="FN156" s="684"/>
      <c r="FO156" s="684"/>
      <c r="FP156" s="684"/>
      <c r="FQ156" s="684"/>
      <c r="FR156" s="684"/>
      <c r="FS156" s="684"/>
      <c r="FT156" s="685">
        <v>0</v>
      </c>
      <c r="FU156" s="684"/>
      <c r="FV156" s="685">
        <v>0</v>
      </c>
      <c r="FW156" s="685">
        <v>0</v>
      </c>
      <c r="FX156" s="685">
        <v>1</v>
      </c>
      <c r="FY156" s="684"/>
      <c r="FZ156" s="685">
        <v>0</v>
      </c>
      <c r="GA156" s="685">
        <v>0</v>
      </c>
      <c r="GB156" s="686"/>
      <c r="GC156" s="686"/>
      <c r="GD156" s="687">
        <v>1</v>
      </c>
      <c r="GE156" s="635"/>
      <c r="GF156" s="41"/>
      <c r="GG156" s="688"/>
      <c r="GH156" s="688"/>
      <c r="GI156" s="688"/>
      <c r="GJ156" s="704" t="s">
        <v>545</v>
      </c>
      <c r="GK156" s="705"/>
      <c r="GL156" s="705"/>
      <c r="GM156" s="705"/>
      <c r="GN156" s="705"/>
      <c r="GO156" s="705"/>
      <c r="GP156" s="705"/>
      <c r="GQ156" s="463">
        <v>4</v>
      </c>
      <c r="GR156" s="463">
        <v>6</v>
      </c>
      <c r="GS156" s="463">
        <v>4</v>
      </c>
      <c r="GT156" s="705"/>
      <c r="GU156" s="705"/>
      <c r="GV156" s="705"/>
      <c r="GW156" s="463">
        <v>1</v>
      </c>
      <c r="GX156" s="463">
        <v>15</v>
      </c>
      <c r="GY156" s="628">
        <f>+GX155/GX156</f>
        <v>6.6666666666666666E-2</v>
      </c>
      <c r="GZ156" s="41"/>
      <c r="HA156" s="41"/>
      <c r="HB156" s="105"/>
      <c r="HC156" s="105"/>
      <c r="HD156" s="105"/>
      <c r="HE156" s="41" t="s">
        <v>1239</v>
      </c>
      <c r="HF156" s="41"/>
      <c r="HG156" s="41">
        <v>0</v>
      </c>
      <c r="HH156" s="41">
        <v>0</v>
      </c>
      <c r="HI156" s="41">
        <v>0</v>
      </c>
      <c r="HJ156" s="41">
        <v>0</v>
      </c>
      <c r="HK156" s="41"/>
      <c r="HL156" s="41"/>
      <c r="HM156" s="41"/>
      <c r="HN156" s="41">
        <v>0</v>
      </c>
      <c r="HO156" s="41">
        <v>2</v>
      </c>
      <c r="HP156" s="41">
        <v>1</v>
      </c>
      <c r="HQ156" s="41">
        <v>1</v>
      </c>
      <c r="HR156" s="41">
        <v>1</v>
      </c>
      <c r="HS156" s="41">
        <v>0</v>
      </c>
      <c r="HT156" s="41">
        <v>3</v>
      </c>
      <c r="HU156" s="41">
        <v>6</v>
      </c>
      <c r="HV156" s="41">
        <v>14</v>
      </c>
      <c r="HW156" s="41"/>
      <c r="HX156" s="41"/>
      <c r="HY156" s="691"/>
      <c r="HZ156" s="691"/>
      <c r="IA156" s="691"/>
      <c r="IB156" s="691" t="s">
        <v>1344</v>
      </c>
      <c r="IC156" s="691">
        <v>0</v>
      </c>
      <c r="ID156" s="691">
        <v>0</v>
      </c>
      <c r="IE156" s="691">
        <v>0</v>
      </c>
      <c r="IF156" s="691">
        <v>0</v>
      </c>
      <c r="IG156" s="691">
        <v>0</v>
      </c>
      <c r="IH156" s="691">
        <v>0</v>
      </c>
      <c r="II156" s="691">
        <v>0</v>
      </c>
      <c r="IJ156" s="691">
        <v>2</v>
      </c>
      <c r="IK156" s="691">
        <v>0</v>
      </c>
      <c r="IL156" s="691">
        <v>0</v>
      </c>
      <c r="IM156" s="691">
        <v>1</v>
      </c>
      <c r="IN156" s="691">
        <v>0</v>
      </c>
      <c r="IO156" s="691">
        <v>0</v>
      </c>
      <c r="IP156" s="691">
        <v>0</v>
      </c>
      <c r="IQ156" s="691">
        <v>0</v>
      </c>
      <c r="IR156" s="691">
        <v>0</v>
      </c>
      <c r="IS156" s="691">
        <v>3</v>
      </c>
      <c r="IT156" s="691"/>
      <c r="IU156" s="692"/>
    </row>
    <row r="157" spans="3:255">
      <c r="C157" s="32"/>
      <c r="D157" s="32" t="s">
        <v>1235</v>
      </c>
      <c r="E157" s="4607"/>
      <c r="F157" s="4607">
        <v>0</v>
      </c>
      <c r="G157" s="4607"/>
      <c r="H157" s="4607">
        <v>0</v>
      </c>
      <c r="I157" s="4607"/>
      <c r="J157" s="4607"/>
      <c r="K157" s="4607">
        <v>0</v>
      </c>
      <c r="L157" s="4607">
        <v>0</v>
      </c>
      <c r="M157" s="4607"/>
      <c r="N157" s="4607">
        <v>0</v>
      </c>
      <c r="O157" s="4607">
        <v>0</v>
      </c>
      <c r="P157" s="4607">
        <v>4</v>
      </c>
      <c r="Q157" s="4607">
        <v>2</v>
      </c>
      <c r="R157" s="4607">
        <v>0</v>
      </c>
      <c r="S157" s="4583">
        <v>0</v>
      </c>
      <c r="T157" s="4583">
        <v>0</v>
      </c>
      <c r="U157" s="4583">
        <v>6</v>
      </c>
      <c r="V157" s="4583"/>
      <c r="Z157" s="1793"/>
      <c r="AA157" s="1793" t="s">
        <v>1235</v>
      </c>
      <c r="AB157" s="4804">
        <v>0</v>
      </c>
      <c r="AC157" s="4804">
        <v>0</v>
      </c>
      <c r="AD157" s="4804"/>
      <c r="AE157" s="4804">
        <v>0</v>
      </c>
      <c r="AF157" s="4804"/>
      <c r="AG157" s="4804"/>
      <c r="AH157" s="4804">
        <v>0</v>
      </c>
      <c r="AI157" s="4804">
        <v>0</v>
      </c>
      <c r="AJ157" s="4804"/>
      <c r="AK157" s="4804">
        <v>0</v>
      </c>
      <c r="AL157" s="4804">
        <v>0</v>
      </c>
      <c r="AM157" s="4804">
        <v>1</v>
      </c>
      <c r="AN157" s="4804">
        <v>2</v>
      </c>
      <c r="AO157" s="4804">
        <v>1</v>
      </c>
      <c r="AP157" s="4702">
        <v>0</v>
      </c>
      <c r="AQ157" s="4702">
        <v>4</v>
      </c>
      <c r="AR157" s="1793"/>
      <c r="AT157" s="41"/>
      <c r="AU157" s="41"/>
      <c r="AV157" s="461" t="s">
        <v>547</v>
      </c>
      <c r="AW157" s="461" t="s">
        <v>1230</v>
      </c>
      <c r="AX157" s="2489">
        <v>0</v>
      </c>
      <c r="AY157" s="2489"/>
      <c r="AZ157" s="2489"/>
      <c r="BA157" s="2489"/>
      <c r="BB157" s="2489"/>
      <c r="BC157" s="2489">
        <v>0</v>
      </c>
      <c r="BD157" s="2489"/>
      <c r="BE157" s="2489"/>
      <c r="BF157" s="2489"/>
      <c r="BG157" s="2489">
        <v>0</v>
      </c>
      <c r="BH157" s="2489"/>
      <c r="BI157" s="2489">
        <v>0</v>
      </c>
      <c r="BJ157" s="2489">
        <v>0</v>
      </c>
      <c r="BK157" s="2489">
        <v>0</v>
      </c>
      <c r="BL157" s="2489">
        <v>1</v>
      </c>
      <c r="BM157" s="461">
        <v>0</v>
      </c>
      <c r="BN157" s="461">
        <v>1</v>
      </c>
      <c r="BO157" s="461">
        <v>2</v>
      </c>
      <c r="BP157" s="41"/>
      <c r="BR157" s="41"/>
      <c r="BS157" s="41"/>
      <c r="BT157" s="41"/>
      <c r="BU157" s="461" t="s">
        <v>547</v>
      </c>
      <c r="BV157" s="2002"/>
      <c r="BW157" s="2002"/>
      <c r="BX157" s="2002"/>
      <c r="BY157" s="2002"/>
      <c r="BZ157" s="2002"/>
      <c r="CA157" s="2002"/>
      <c r="CB157" s="2002"/>
      <c r="CC157" s="2002"/>
      <c r="CD157" s="2002">
        <v>1</v>
      </c>
      <c r="CE157" s="2002"/>
      <c r="CF157" s="2002">
        <v>1</v>
      </c>
      <c r="CG157" s="2002"/>
      <c r="CH157" s="2002">
        <v>6</v>
      </c>
      <c r="CI157" s="2002">
        <v>3</v>
      </c>
      <c r="CJ157" s="2002">
        <v>3</v>
      </c>
      <c r="CK157" s="96">
        <v>1</v>
      </c>
      <c r="CL157" s="96">
        <v>6</v>
      </c>
      <c r="CM157" s="96">
        <v>21</v>
      </c>
      <c r="CN157" s="635">
        <f>+(CM153+CM155-CK155+CM156)/CM157</f>
        <v>0.38095238095238093</v>
      </c>
      <c r="CR157" s="41"/>
      <c r="CS157" s="41" t="s">
        <v>1240</v>
      </c>
      <c r="CT157" s="1665"/>
      <c r="CU157" s="1665"/>
      <c r="CV157" s="1665"/>
      <c r="CW157" s="1665"/>
      <c r="CX157" s="1665"/>
      <c r="CY157" s="1665"/>
      <c r="CZ157" s="1665"/>
      <c r="DA157" s="1665"/>
      <c r="DB157" s="1665"/>
      <c r="DC157" s="1665"/>
      <c r="DD157" s="1665"/>
      <c r="DE157" s="1665"/>
      <c r="DF157" s="1665">
        <v>0</v>
      </c>
      <c r="DG157" s="1665">
        <v>1</v>
      </c>
      <c r="DH157" s="1665">
        <v>0</v>
      </c>
      <c r="DI157" s="41"/>
      <c r="DJ157" s="41"/>
      <c r="DK157" s="41">
        <v>1</v>
      </c>
      <c r="DL157" s="41"/>
      <c r="DN157" s="1375"/>
      <c r="DO157" s="1375"/>
      <c r="DP157" s="1375"/>
      <c r="DQ157" s="1376" t="s">
        <v>1235</v>
      </c>
      <c r="DR157" s="1377"/>
      <c r="DS157" s="1377"/>
      <c r="DT157" s="1377"/>
      <c r="DU157" s="1377"/>
      <c r="DV157" s="1377"/>
      <c r="DW157" s="1377"/>
      <c r="DX157" s="1377"/>
      <c r="DY157" s="1377"/>
      <c r="DZ157" s="1377"/>
      <c r="EA157" s="1377"/>
      <c r="EB157" s="1378">
        <v>2</v>
      </c>
      <c r="EC157" s="1378">
        <v>0</v>
      </c>
      <c r="ED157" s="1377"/>
      <c r="EE157" s="1379"/>
      <c r="EF157" s="1379"/>
      <c r="EG157" s="1380">
        <v>2</v>
      </c>
      <c r="EH157" s="41"/>
      <c r="EJ157" s="678"/>
      <c r="EK157" s="678"/>
      <c r="EL157" s="678"/>
      <c r="EM157" s="679" t="s">
        <v>1231</v>
      </c>
      <c r="EN157" s="680"/>
      <c r="EO157" s="681">
        <v>1</v>
      </c>
      <c r="EP157" s="681">
        <v>0</v>
      </c>
      <c r="EQ157" s="680"/>
      <c r="ER157" s="680"/>
      <c r="ES157" s="680"/>
      <c r="ET157" s="680"/>
      <c r="EU157" s="680"/>
      <c r="EV157" s="680"/>
      <c r="EW157" s="680"/>
      <c r="EX157" s="680"/>
      <c r="EY157" s="680"/>
      <c r="EZ157" s="681">
        <v>2</v>
      </c>
      <c r="FA157" s="681">
        <v>0</v>
      </c>
      <c r="FB157" s="681">
        <v>0</v>
      </c>
      <c r="FC157" s="683">
        <v>2</v>
      </c>
      <c r="FD157" s="683">
        <v>0</v>
      </c>
      <c r="FE157" s="683">
        <v>5</v>
      </c>
      <c r="FF157" s="105"/>
      <c r="FH157" s="511"/>
      <c r="FI157" s="511"/>
      <c r="FJ157" s="511"/>
      <c r="FK157" s="511"/>
      <c r="FL157" s="512" t="s">
        <v>1239</v>
      </c>
      <c r="FM157" s="684"/>
      <c r="FN157" s="684"/>
      <c r="FO157" s="684"/>
      <c r="FP157" s="684"/>
      <c r="FQ157" s="684"/>
      <c r="FR157" s="684"/>
      <c r="FS157" s="684"/>
      <c r="FT157" s="685">
        <v>0</v>
      </c>
      <c r="FU157" s="684"/>
      <c r="FV157" s="685">
        <v>0</v>
      </c>
      <c r="FW157" s="685">
        <v>0</v>
      </c>
      <c r="FX157" s="685">
        <v>0</v>
      </c>
      <c r="FY157" s="684"/>
      <c r="FZ157" s="685">
        <v>0</v>
      </c>
      <c r="GA157" s="685">
        <v>3</v>
      </c>
      <c r="GB157" s="686"/>
      <c r="GC157" s="686"/>
      <c r="GD157" s="687">
        <v>3</v>
      </c>
      <c r="GE157" s="635"/>
      <c r="GF157" s="41"/>
      <c r="GG157" s="688"/>
      <c r="GH157" s="688"/>
      <c r="GI157" s="688" t="s">
        <v>547</v>
      </c>
      <c r="GJ157" s="457" t="s">
        <v>1231</v>
      </c>
      <c r="GK157" s="689"/>
      <c r="GL157" s="689"/>
      <c r="GM157" s="689"/>
      <c r="GN157" s="689"/>
      <c r="GO157" s="458">
        <v>0</v>
      </c>
      <c r="GP157" s="458">
        <v>1</v>
      </c>
      <c r="GQ157" s="458">
        <v>0</v>
      </c>
      <c r="GR157" s="689"/>
      <c r="GS157" s="458">
        <v>0</v>
      </c>
      <c r="GT157" s="458">
        <v>0</v>
      </c>
      <c r="GU157" s="458">
        <v>0</v>
      </c>
      <c r="GV157" s="689"/>
      <c r="GW157" s="458">
        <v>0</v>
      </c>
      <c r="GX157" s="458">
        <v>1</v>
      </c>
      <c r="GY157" s="690"/>
      <c r="GZ157" s="41"/>
      <c r="HA157" s="41"/>
      <c r="HB157" s="105"/>
      <c r="HC157" s="105"/>
      <c r="HD157" s="105"/>
      <c r="HE157" s="41" t="s">
        <v>1240</v>
      </c>
      <c r="HF157" s="41"/>
      <c r="HG157" s="41">
        <v>0</v>
      </c>
      <c r="HH157" s="41">
        <v>0</v>
      </c>
      <c r="HI157" s="41">
        <v>0</v>
      </c>
      <c r="HJ157" s="41">
        <v>0</v>
      </c>
      <c r="HK157" s="41"/>
      <c r="HL157" s="41"/>
      <c r="HM157" s="41"/>
      <c r="HN157" s="41">
        <v>1</v>
      </c>
      <c r="HO157" s="41">
        <v>0</v>
      </c>
      <c r="HP157" s="41">
        <v>0</v>
      </c>
      <c r="HQ157" s="41">
        <v>3</v>
      </c>
      <c r="HR157" s="41">
        <v>0</v>
      </c>
      <c r="HS157" s="41">
        <v>0</v>
      </c>
      <c r="HT157" s="41">
        <v>0</v>
      </c>
      <c r="HU157" s="41">
        <v>0</v>
      </c>
      <c r="HV157" s="41">
        <v>4</v>
      </c>
      <c r="HW157" s="41"/>
      <c r="HX157" s="41"/>
      <c r="HY157" s="691"/>
      <c r="HZ157" s="691"/>
      <c r="IA157" s="691"/>
      <c r="IB157" s="702" t="s">
        <v>15</v>
      </c>
      <c r="IC157" s="702">
        <v>0</v>
      </c>
      <c r="ID157" s="702">
        <v>0</v>
      </c>
      <c r="IE157" s="702">
        <v>1</v>
      </c>
      <c r="IF157" s="702">
        <v>0</v>
      </c>
      <c r="IG157" s="702">
        <v>0</v>
      </c>
      <c r="IH157" s="702">
        <v>1</v>
      </c>
      <c r="II157" s="702">
        <v>0</v>
      </c>
      <c r="IJ157" s="702">
        <v>5</v>
      </c>
      <c r="IK157" s="702">
        <v>5</v>
      </c>
      <c r="IL157" s="702">
        <v>4</v>
      </c>
      <c r="IM157" s="702">
        <v>2</v>
      </c>
      <c r="IN157" s="702">
        <v>1</v>
      </c>
      <c r="IO157" s="702">
        <v>2</v>
      </c>
      <c r="IP157" s="702">
        <v>2</v>
      </c>
      <c r="IQ157" s="702">
        <v>0</v>
      </c>
      <c r="IR157" s="702">
        <v>2</v>
      </c>
      <c r="IS157" s="702">
        <v>25</v>
      </c>
      <c r="IT157" s="703">
        <f>+(IS156+IS155)/IS157</f>
        <v>0.32</v>
      </c>
      <c r="IU157" s="692">
        <f>+IS155+IS156</f>
        <v>8</v>
      </c>
    </row>
    <row r="158" spans="3:255">
      <c r="C158" s="32"/>
      <c r="D158" s="32" t="s">
        <v>1239</v>
      </c>
      <c r="E158" s="4607"/>
      <c r="F158" s="4607">
        <v>0</v>
      </c>
      <c r="G158" s="4607"/>
      <c r="H158" s="4607">
        <v>0</v>
      </c>
      <c r="I158" s="4607"/>
      <c r="J158" s="4607"/>
      <c r="K158" s="4607">
        <v>0</v>
      </c>
      <c r="L158" s="4607">
        <v>0</v>
      </c>
      <c r="M158" s="4607"/>
      <c r="N158" s="4607">
        <v>0</v>
      </c>
      <c r="O158" s="4607">
        <v>0</v>
      </c>
      <c r="P158" s="4607">
        <v>0</v>
      </c>
      <c r="Q158" s="4607">
        <v>0</v>
      </c>
      <c r="R158" s="4607">
        <v>1</v>
      </c>
      <c r="S158" s="4583">
        <v>2</v>
      </c>
      <c r="T158" s="4583">
        <v>1</v>
      </c>
      <c r="U158" s="4583">
        <v>4</v>
      </c>
      <c r="V158" s="4583"/>
      <c r="Z158" s="1793"/>
      <c r="AA158" s="1793" t="s">
        <v>1236</v>
      </c>
      <c r="AB158" s="4804">
        <v>0</v>
      </c>
      <c r="AC158" s="4804">
        <v>0</v>
      </c>
      <c r="AD158" s="4804"/>
      <c r="AE158" s="4804">
        <v>0</v>
      </c>
      <c r="AF158" s="4804"/>
      <c r="AG158" s="4804"/>
      <c r="AH158" s="4804">
        <v>0</v>
      </c>
      <c r="AI158" s="4804">
        <v>0</v>
      </c>
      <c r="AJ158" s="4804"/>
      <c r="AK158" s="4804">
        <v>0</v>
      </c>
      <c r="AL158" s="4804">
        <v>0</v>
      </c>
      <c r="AM158" s="4804">
        <v>1</v>
      </c>
      <c r="AN158" s="4804">
        <v>0</v>
      </c>
      <c r="AO158" s="4804">
        <v>0</v>
      </c>
      <c r="AP158" s="4702">
        <v>0</v>
      </c>
      <c r="AQ158" s="4702">
        <v>1</v>
      </c>
      <c r="AR158" s="1793"/>
      <c r="AT158" s="41"/>
      <c r="AU158" s="41"/>
      <c r="AV158" s="461"/>
      <c r="AW158" s="461" t="s">
        <v>1231</v>
      </c>
      <c r="AX158" s="2489">
        <v>1</v>
      </c>
      <c r="AY158" s="2489"/>
      <c r="AZ158" s="2489"/>
      <c r="BA158" s="2489"/>
      <c r="BB158" s="2489"/>
      <c r="BC158" s="2489">
        <v>0</v>
      </c>
      <c r="BD158" s="2489"/>
      <c r="BE158" s="2489"/>
      <c r="BF158" s="2489"/>
      <c r="BG158" s="2489">
        <v>1</v>
      </c>
      <c r="BH158" s="2489"/>
      <c r="BI158" s="2489">
        <v>1</v>
      </c>
      <c r="BJ158" s="2489">
        <v>1</v>
      </c>
      <c r="BK158" s="2489">
        <v>1</v>
      </c>
      <c r="BL158" s="2489">
        <v>0</v>
      </c>
      <c r="BM158" s="461">
        <v>0</v>
      </c>
      <c r="BN158" s="461">
        <v>0</v>
      </c>
      <c r="BO158" s="461">
        <v>5</v>
      </c>
      <c r="BP158" s="41"/>
      <c r="BR158" s="41"/>
      <c r="BS158" s="41" t="s">
        <v>21</v>
      </c>
      <c r="BT158" s="41" t="s">
        <v>146</v>
      </c>
      <c r="BU158" s="41" t="s">
        <v>1230</v>
      </c>
      <c r="BV158" s="2001"/>
      <c r="BW158" s="2001"/>
      <c r="BX158" s="2001"/>
      <c r="BY158" s="2001"/>
      <c r="BZ158" s="2001"/>
      <c r="CA158" s="2001">
        <v>0</v>
      </c>
      <c r="CB158" s="2001"/>
      <c r="CC158" s="2001">
        <v>1</v>
      </c>
      <c r="CD158" s="2001"/>
      <c r="CE158" s="2001"/>
      <c r="CF158" s="2001"/>
      <c r="CG158" s="2001"/>
      <c r="CH158" s="2001">
        <v>0</v>
      </c>
      <c r="CI158" s="2001"/>
      <c r="CJ158" s="2001"/>
      <c r="CK158" s="105"/>
      <c r="CL158" s="105"/>
      <c r="CM158" s="105">
        <v>1</v>
      </c>
      <c r="CN158" s="41"/>
      <c r="CR158" s="41"/>
      <c r="CS158" s="41" t="s">
        <v>1344</v>
      </c>
      <c r="CT158" s="1665"/>
      <c r="CU158" s="1665"/>
      <c r="CV158" s="1665"/>
      <c r="CW158" s="1665"/>
      <c r="CX158" s="1665"/>
      <c r="CY158" s="1665"/>
      <c r="CZ158" s="1665"/>
      <c r="DA158" s="1665"/>
      <c r="DB158" s="1665"/>
      <c r="DC158" s="1665"/>
      <c r="DD158" s="1665"/>
      <c r="DE158" s="1665"/>
      <c r="DF158" s="1665">
        <v>0</v>
      </c>
      <c r="DG158" s="1665">
        <v>1</v>
      </c>
      <c r="DH158" s="1665">
        <v>0</v>
      </c>
      <c r="DI158" s="41"/>
      <c r="DJ158" s="41"/>
      <c r="DK158" s="41">
        <v>1</v>
      </c>
      <c r="DL158" s="41"/>
      <c r="DN158" s="1375"/>
      <c r="DO158" s="1375"/>
      <c r="DP158" s="1375"/>
      <c r="DQ158" s="1376" t="s">
        <v>1344</v>
      </c>
      <c r="DR158" s="1377"/>
      <c r="DS158" s="1377"/>
      <c r="DT158" s="1377"/>
      <c r="DU158" s="1377"/>
      <c r="DV158" s="1377"/>
      <c r="DW158" s="1377"/>
      <c r="DX158" s="1377"/>
      <c r="DY158" s="1377"/>
      <c r="DZ158" s="1377"/>
      <c r="EA158" s="1377"/>
      <c r="EB158" s="1378">
        <v>1</v>
      </c>
      <c r="EC158" s="1378">
        <v>1</v>
      </c>
      <c r="ED158" s="1377"/>
      <c r="EE158" s="1379"/>
      <c r="EF158" s="1379"/>
      <c r="EG158" s="1380">
        <v>2</v>
      </c>
      <c r="EH158" s="41"/>
      <c r="EJ158" s="678"/>
      <c r="EK158" s="678"/>
      <c r="EL158" s="678"/>
      <c r="EM158" s="679" t="s">
        <v>1233</v>
      </c>
      <c r="EN158" s="680"/>
      <c r="EO158" s="681">
        <v>0</v>
      </c>
      <c r="EP158" s="681">
        <v>1</v>
      </c>
      <c r="EQ158" s="680"/>
      <c r="ER158" s="680"/>
      <c r="ES158" s="680"/>
      <c r="ET158" s="680"/>
      <c r="EU158" s="680"/>
      <c r="EV158" s="680"/>
      <c r="EW158" s="680"/>
      <c r="EX158" s="680"/>
      <c r="EY158" s="680"/>
      <c r="EZ158" s="681">
        <v>0</v>
      </c>
      <c r="FA158" s="681">
        <v>0</v>
      </c>
      <c r="FB158" s="681">
        <v>0</v>
      </c>
      <c r="FC158" s="683">
        <v>0</v>
      </c>
      <c r="FD158" s="683">
        <v>0</v>
      </c>
      <c r="FE158" s="683">
        <v>1</v>
      </c>
      <c r="FF158" s="105"/>
      <c r="FH158" s="511"/>
      <c r="FI158" s="511"/>
      <c r="FJ158" s="511"/>
      <c r="FK158" s="511"/>
      <c r="FL158" s="512" t="s">
        <v>1344</v>
      </c>
      <c r="FM158" s="684"/>
      <c r="FN158" s="684"/>
      <c r="FO158" s="684"/>
      <c r="FP158" s="684"/>
      <c r="FQ158" s="684"/>
      <c r="FR158" s="684"/>
      <c r="FS158" s="684"/>
      <c r="FT158" s="685">
        <v>0</v>
      </c>
      <c r="FU158" s="684"/>
      <c r="FV158" s="685">
        <v>1</v>
      </c>
      <c r="FW158" s="685">
        <v>1</v>
      </c>
      <c r="FX158" s="685">
        <v>0</v>
      </c>
      <c r="FY158" s="684"/>
      <c r="FZ158" s="685">
        <v>0</v>
      </c>
      <c r="GA158" s="685">
        <v>0</v>
      </c>
      <c r="GB158" s="686"/>
      <c r="GC158" s="686"/>
      <c r="GD158" s="687">
        <v>2</v>
      </c>
      <c r="GE158" s="635"/>
      <c r="GF158" s="41"/>
      <c r="GG158" s="688"/>
      <c r="GH158" s="688"/>
      <c r="GI158" s="688"/>
      <c r="GJ158" s="457" t="s">
        <v>1235</v>
      </c>
      <c r="GK158" s="689"/>
      <c r="GL158" s="689"/>
      <c r="GM158" s="689"/>
      <c r="GN158" s="689"/>
      <c r="GO158" s="458">
        <v>0</v>
      </c>
      <c r="GP158" s="458">
        <v>0</v>
      </c>
      <c r="GQ158" s="458">
        <v>0</v>
      </c>
      <c r="GR158" s="689"/>
      <c r="GS158" s="458">
        <v>0</v>
      </c>
      <c r="GT158" s="458">
        <v>1</v>
      </c>
      <c r="GU158" s="458">
        <v>0</v>
      </c>
      <c r="GV158" s="689"/>
      <c r="GW158" s="458">
        <v>0</v>
      </c>
      <c r="GX158" s="458">
        <v>1</v>
      </c>
      <c r="GY158" s="690"/>
      <c r="GZ158" s="41"/>
      <c r="HA158" s="41"/>
      <c r="HB158" s="105"/>
      <c r="HC158" s="105"/>
      <c r="HD158" s="105"/>
      <c r="HE158" s="41" t="s">
        <v>1344</v>
      </c>
      <c r="HF158" s="41"/>
      <c r="HG158" s="41">
        <v>0</v>
      </c>
      <c r="HH158" s="41">
        <v>0</v>
      </c>
      <c r="HI158" s="41">
        <v>0</v>
      </c>
      <c r="HJ158" s="41">
        <v>0</v>
      </c>
      <c r="HK158" s="41"/>
      <c r="HL158" s="41"/>
      <c r="HM158" s="41"/>
      <c r="HN158" s="41">
        <v>7</v>
      </c>
      <c r="HO158" s="41">
        <v>1</v>
      </c>
      <c r="HP158" s="41">
        <v>2</v>
      </c>
      <c r="HQ158" s="41">
        <v>9</v>
      </c>
      <c r="HR158" s="41">
        <v>0</v>
      </c>
      <c r="HS158" s="41">
        <v>0</v>
      </c>
      <c r="HT158" s="41">
        <v>0</v>
      </c>
      <c r="HU158" s="41">
        <v>0</v>
      </c>
      <c r="HV158" s="41">
        <v>19</v>
      </c>
      <c r="HW158" s="41"/>
      <c r="HX158" s="41"/>
      <c r="HY158" s="691"/>
      <c r="HZ158" s="691"/>
      <c r="IA158" s="691" t="s">
        <v>104</v>
      </c>
      <c r="IB158" s="691" t="s">
        <v>1231</v>
      </c>
      <c r="IC158" s="691">
        <v>0</v>
      </c>
      <c r="ID158" s="691">
        <v>0</v>
      </c>
      <c r="IE158" s="691">
        <v>0</v>
      </c>
      <c r="IF158" s="691">
        <v>2</v>
      </c>
      <c r="IG158" s="691">
        <v>0</v>
      </c>
      <c r="IH158" s="691">
        <v>0</v>
      </c>
      <c r="II158" s="691">
        <v>0</v>
      </c>
      <c r="IJ158" s="691">
        <v>0</v>
      </c>
      <c r="IK158" s="691">
        <v>1</v>
      </c>
      <c r="IL158" s="691">
        <v>2</v>
      </c>
      <c r="IM158" s="691">
        <v>0</v>
      </c>
      <c r="IN158" s="691">
        <v>2</v>
      </c>
      <c r="IO158" s="691">
        <v>2</v>
      </c>
      <c r="IP158" s="691">
        <v>0</v>
      </c>
      <c r="IQ158" s="691">
        <v>0</v>
      </c>
      <c r="IR158" s="691">
        <v>0</v>
      </c>
      <c r="IS158" s="691">
        <v>9</v>
      </c>
      <c r="IT158" s="691"/>
      <c r="IU158" s="692"/>
    </row>
    <row r="159" spans="3:255">
      <c r="C159" s="32"/>
      <c r="D159" s="32" t="s">
        <v>1240</v>
      </c>
      <c r="E159" s="4607"/>
      <c r="F159" s="4607">
        <v>0</v>
      </c>
      <c r="G159" s="4607"/>
      <c r="H159" s="4607">
        <v>0</v>
      </c>
      <c r="I159" s="4607"/>
      <c r="J159" s="4607"/>
      <c r="K159" s="4607">
        <v>0</v>
      </c>
      <c r="L159" s="4607">
        <v>0</v>
      </c>
      <c r="M159" s="4607"/>
      <c r="N159" s="4607">
        <v>1</v>
      </c>
      <c r="O159" s="4607">
        <v>0</v>
      </c>
      <c r="P159" s="4607">
        <v>9</v>
      </c>
      <c r="Q159" s="4607">
        <v>3</v>
      </c>
      <c r="R159" s="4607">
        <v>0</v>
      </c>
      <c r="S159" s="4583">
        <v>0</v>
      </c>
      <c r="T159" s="4583">
        <v>0</v>
      </c>
      <c r="U159" s="4583">
        <v>13</v>
      </c>
      <c r="V159" s="4583"/>
      <c r="Z159" s="1793"/>
      <c r="AA159" s="1793" t="s">
        <v>1239</v>
      </c>
      <c r="AB159" s="4804">
        <v>0</v>
      </c>
      <c r="AC159" s="4804">
        <v>0</v>
      </c>
      <c r="AD159" s="4804"/>
      <c r="AE159" s="4804">
        <v>0</v>
      </c>
      <c r="AF159" s="4804"/>
      <c r="AG159" s="4804"/>
      <c r="AH159" s="4804">
        <v>0</v>
      </c>
      <c r="AI159" s="4804">
        <v>0</v>
      </c>
      <c r="AJ159" s="4804"/>
      <c r="AK159" s="4804">
        <v>0</v>
      </c>
      <c r="AL159" s="4804">
        <v>0</v>
      </c>
      <c r="AM159" s="4804">
        <v>0</v>
      </c>
      <c r="AN159" s="4804">
        <v>0</v>
      </c>
      <c r="AO159" s="4804">
        <v>1</v>
      </c>
      <c r="AP159" s="4702">
        <v>4</v>
      </c>
      <c r="AQ159" s="4702">
        <v>5</v>
      </c>
      <c r="AR159" s="1793"/>
      <c r="AT159" s="41"/>
      <c r="AU159" s="41"/>
      <c r="AV159" s="461"/>
      <c r="AW159" s="461" t="s">
        <v>1233</v>
      </c>
      <c r="AX159" s="2489">
        <v>0</v>
      </c>
      <c r="AY159" s="2489"/>
      <c r="AZ159" s="2489"/>
      <c r="BA159" s="2489"/>
      <c r="BB159" s="2489"/>
      <c r="BC159" s="2489">
        <v>2</v>
      </c>
      <c r="BD159" s="2489"/>
      <c r="BE159" s="2489"/>
      <c r="BF159" s="2489"/>
      <c r="BG159" s="2489">
        <v>0</v>
      </c>
      <c r="BH159" s="2489"/>
      <c r="BI159" s="2489">
        <v>0</v>
      </c>
      <c r="BJ159" s="2489">
        <v>0</v>
      </c>
      <c r="BK159" s="2489">
        <v>0</v>
      </c>
      <c r="BL159" s="2489">
        <v>0</v>
      </c>
      <c r="BM159" s="461">
        <v>0</v>
      </c>
      <c r="BN159" s="461">
        <v>0</v>
      </c>
      <c r="BO159" s="461">
        <v>2</v>
      </c>
      <c r="BP159" s="41"/>
      <c r="BR159" s="41"/>
      <c r="BS159" s="41"/>
      <c r="BT159" s="41"/>
      <c r="BU159" s="41" t="s">
        <v>1231</v>
      </c>
      <c r="BV159" s="2001"/>
      <c r="BW159" s="2001"/>
      <c r="BX159" s="2001"/>
      <c r="BY159" s="2001"/>
      <c r="BZ159" s="2001"/>
      <c r="CA159" s="2001">
        <v>2</v>
      </c>
      <c r="CB159" s="2001"/>
      <c r="CC159" s="2001">
        <v>0</v>
      </c>
      <c r="CD159" s="2001"/>
      <c r="CE159" s="2001"/>
      <c r="CF159" s="2001"/>
      <c r="CG159" s="2001"/>
      <c r="CH159" s="2001">
        <v>3</v>
      </c>
      <c r="CI159" s="2001"/>
      <c r="CJ159" s="2001"/>
      <c r="CK159" s="105"/>
      <c r="CL159" s="105"/>
      <c r="CM159" s="105">
        <v>5</v>
      </c>
      <c r="CN159" s="41"/>
      <c r="CR159" s="41"/>
      <c r="CS159" s="461" t="s">
        <v>15</v>
      </c>
      <c r="CT159" s="1666"/>
      <c r="CU159" s="1666"/>
      <c r="CV159" s="1666"/>
      <c r="CW159" s="1666"/>
      <c r="CX159" s="1666"/>
      <c r="CY159" s="1666"/>
      <c r="CZ159" s="1666"/>
      <c r="DA159" s="1666"/>
      <c r="DB159" s="1666"/>
      <c r="DC159" s="1666"/>
      <c r="DD159" s="1666"/>
      <c r="DE159" s="1666"/>
      <c r="DF159" s="1666">
        <v>6</v>
      </c>
      <c r="DG159" s="1666">
        <v>3</v>
      </c>
      <c r="DH159" s="1666">
        <v>1</v>
      </c>
      <c r="DI159" s="461"/>
      <c r="DJ159" s="461"/>
      <c r="DK159" s="461">
        <v>10</v>
      </c>
      <c r="DL159" s="635">
        <f>+(DK157+DK158)/DK159</f>
        <v>0.2</v>
      </c>
      <c r="DN159" s="1375"/>
      <c r="DO159" s="1375"/>
      <c r="DP159" s="1375"/>
      <c r="DQ159" s="1372" t="s">
        <v>15</v>
      </c>
      <c r="DR159" s="1381"/>
      <c r="DS159" s="1381"/>
      <c r="DT159" s="1381"/>
      <c r="DU159" s="1381"/>
      <c r="DV159" s="1381"/>
      <c r="DW159" s="1381"/>
      <c r="DX159" s="1381"/>
      <c r="DY159" s="1381"/>
      <c r="DZ159" s="1381"/>
      <c r="EA159" s="1381"/>
      <c r="EB159" s="1382">
        <v>7</v>
      </c>
      <c r="EC159" s="1382">
        <v>1</v>
      </c>
      <c r="ED159" s="1381"/>
      <c r="EE159" s="1383"/>
      <c r="EF159" s="1383"/>
      <c r="EG159" s="1384">
        <v>8</v>
      </c>
      <c r="EH159" s="1325">
        <f>+(EG157+EG158)/EG159</f>
        <v>0.5</v>
      </c>
      <c r="EJ159" s="678"/>
      <c r="EK159" s="678"/>
      <c r="EL159" s="678"/>
      <c r="EM159" s="679" t="s">
        <v>1235</v>
      </c>
      <c r="EN159" s="680"/>
      <c r="EO159" s="681">
        <v>0</v>
      </c>
      <c r="EP159" s="681">
        <v>0</v>
      </c>
      <c r="EQ159" s="680"/>
      <c r="ER159" s="680"/>
      <c r="ES159" s="680"/>
      <c r="ET159" s="680"/>
      <c r="EU159" s="680"/>
      <c r="EV159" s="680"/>
      <c r="EW159" s="680"/>
      <c r="EX159" s="680"/>
      <c r="EY159" s="680"/>
      <c r="EZ159" s="681">
        <v>0</v>
      </c>
      <c r="FA159" s="681">
        <v>1</v>
      </c>
      <c r="FB159" s="681">
        <v>1</v>
      </c>
      <c r="FC159" s="683">
        <v>0</v>
      </c>
      <c r="FD159" s="683">
        <v>0</v>
      </c>
      <c r="FE159" s="683">
        <v>2</v>
      </c>
      <c r="FF159" s="105"/>
      <c r="FH159" s="511"/>
      <c r="FI159" s="511"/>
      <c r="FJ159" s="511"/>
      <c r="FK159" s="41"/>
      <c r="FL159" s="532" t="s">
        <v>15</v>
      </c>
      <c r="FM159" s="693"/>
      <c r="FN159" s="693"/>
      <c r="FO159" s="693"/>
      <c r="FP159" s="693"/>
      <c r="FQ159" s="693"/>
      <c r="FR159" s="693"/>
      <c r="FS159" s="693"/>
      <c r="FT159" s="694">
        <v>1</v>
      </c>
      <c r="FU159" s="693"/>
      <c r="FV159" s="694">
        <v>3</v>
      </c>
      <c r="FW159" s="694">
        <v>2</v>
      </c>
      <c r="FX159" s="694">
        <v>2</v>
      </c>
      <c r="FY159" s="693"/>
      <c r="FZ159" s="694">
        <v>2</v>
      </c>
      <c r="GA159" s="694">
        <v>3</v>
      </c>
      <c r="GB159" s="695"/>
      <c r="GC159" s="695"/>
      <c r="GD159" s="696">
        <v>13</v>
      </c>
      <c r="GE159" s="635">
        <f>+(GD158+GD156)/GD159</f>
        <v>0.23076923076923078</v>
      </c>
      <c r="GF159" s="41"/>
      <c r="GG159" s="688"/>
      <c r="GH159" s="688"/>
      <c r="GI159" s="688"/>
      <c r="GJ159" s="457" t="s">
        <v>1239</v>
      </c>
      <c r="GK159" s="689"/>
      <c r="GL159" s="689"/>
      <c r="GM159" s="689"/>
      <c r="GN159" s="689"/>
      <c r="GO159" s="458">
        <v>1</v>
      </c>
      <c r="GP159" s="458">
        <v>0</v>
      </c>
      <c r="GQ159" s="458">
        <v>0</v>
      </c>
      <c r="GR159" s="689"/>
      <c r="GS159" s="458">
        <v>0</v>
      </c>
      <c r="GT159" s="458">
        <v>0</v>
      </c>
      <c r="GU159" s="458">
        <v>3</v>
      </c>
      <c r="GV159" s="689"/>
      <c r="GW159" s="458">
        <v>1</v>
      </c>
      <c r="GX159" s="458">
        <v>5</v>
      </c>
      <c r="GY159" s="690"/>
      <c r="GZ159" s="41"/>
      <c r="HA159" s="41"/>
      <c r="HB159" s="105"/>
      <c r="HC159" s="105"/>
      <c r="HD159" s="105"/>
      <c r="HE159" s="461" t="s">
        <v>15</v>
      </c>
      <c r="HF159" s="461"/>
      <c r="HG159" s="461">
        <v>1</v>
      </c>
      <c r="HH159" s="461">
        <v>2</v>
      </c>
      <c r="HI159" s="461">
        <v>1</v>
      </c>
      <c r="HJ159" s="461">
        <v>1</v>
      </c>
      <c r="HK159" s="461"/>
      <c r="HL159" s="461"/>
      <c r="HM159" s="461"/>
      <c r="HN159" s="461">
        <v>20</v>
      </c>
      <c r="HO159" s="461">
        <v>7</v>
      </c>
      <c r="HP159" s="461">
        <v>11</v>
      </c>
      <c r="HQ159" s="461">
        <v>39</v>
      </c>
      <c r="HR159" s="461">
        <v>4</v>
      </c>
      <c r="HS159" s="461">
        <v>1</v>
      </c>
      <c r="HT159" s="461">
        <v>4</v>
      </c>
      <c r="HU159" s="461">
        <v>6</v>
      </c>
      <c r="HV159" s="461">
        <v>97</v>
      </c>
      <c r="HW159" s="706">
        <f>+(HV155+HV157+HV158)/HV159</f>
        <v>0.25773195876288657</v>
      </c>
      <c r="HX159" s="41"/>
      <c r="HY159" s="691"/>
      <c r="HZ159" s="691"/>
      <c r="IA159" s="691"/>
      <c r="IB159" s="691" t="s">
        <v>1235</v>
      </c>
      <c r="IC159" s="691">
        <v>0</v>
      </c>
      <c r="ID159" s="691">
        <v>0</v>
      </c>
      <c r="IE159" s="691">
        <v>0</v>
      </c>
      <c r="IF159" s="691">
        <v>0</v>
      </c>
      <c r="IG159" s="691">
        <v>0</v>
      </c>
      <c r="IH159" s="691">
        <v>0</v>
      </c>
      <c r="II159" s="691">
        <v>0</v>
      </c>
      <c r="IJ159" s="691">
        <v>0</v>
      </c>
      <c r="IK159" s="691">
        <v>0</v>
      </c>
      <c r="IL159" s="691">
        <v>0</v>
      </c>
      <c r="IM159" s="691">
        <v>0</v>
      </c>
      <c r="IN159" s="691">
        <v>1</v>
      </c>
      <c r="IO159" s="691">
        <v>0</v>
      </c>
      <c r="IP159" s="691">
        <v>0</v>
      </c>
      <c r="IQ159" s="691">
        <v>1</v>
      </c>
      <c r="IR159" s="691">
        <v>0</v>
      </c>
      <c r="IS159" s="691">
        <v>2</v>
      </c>
      <c r="IT159" s="691"/>
      <c r="IU159" s="692"/>
    </row>
    <row r="160" spans="3:255">
      <c r="C160" s="32"/>
      <c r="D160" s="32" t="s">
        <v>1344</v>
      </c>
      <c r="E160" s="4607"/>
      <c r="F160" s="4607">
        <v>0</v>
      </c>
      <c r="G160" s="4607"/>
      <c r="H160" s="4607">
        <v>0</v>
      </c>
      <c r="I160" s="4607"/>
      <c r="J160" s="4607"/>
      <c r="K160" s="4607">
        <v>0</v>
      </c>
      <c r="L160" s="4607">
        <v>0</v>
      </c>
      <c r="M160" s="4607"/>
      <c r="N160" s="4607">
        <v>0</v>
      </c>
      <c r="O160" s="4607">
        <v>1</v>
      </c>
      <c r="P160" s="4607">
        <v>5</v>
      </c>
      <c r="Q160" s="4607">
        <v>2</v>
      </c>
      <c r="R160" s="4607">
        <v>1</v>
      </c>
      <c r="S160" s="4583">
        <v>1</v>
      </c>
      <c r="T160" s="4583">
        <v>0</v>
      </c>
      <c r="U160" s="4583">
        <v>10</v>
      </c>
      <c r="V160" s="4583"/>
      <c r="Z160" s="1793"/>
      <c r="AA160" s="1793" t="s">
        <v>1240</v>
      </c>
      <c r="AB160" s="4804">
        <v>0</v>
      </c>
      <c r="AC160" s="4804">
        <v>0</v>
      </c>
      <c r="AD160" s="4804"/>
      <c r="AE160" s="4804">
        <v>0</v>
      </c>
      <c r="AF160" s="4804"/>
      <c r="AG160" s="4804"/>
      <c r="AH160" s="4804">
        <v>0</v>
      </c>
      <c r="AI160" s="4804">
        <v>0</v>
      </c>
      <c r="AJ160" s="4804"/>
      <c r="AK160" s="4804">
        <v>0</v>
      </c>
      <c r="AL160" s="4804">
        <v>0</v>
      </c>
      <c r="AM160" s="4804">
        <v>3</v>
      </c>
      <c r="AN160" s="4804">
        <v>1</v>
      </c>
      <c r="AO160" s="4804">
        <v>0</v>
      </c>
      <c r="AP160" s="4702">
        <v>0</v>
      </c>
      <c r="AQ160" s="4702">
        <v>4</v>
      </c>
      <c r="AR160" s="1793"/>
      <c r="AT160" s="41"/>
      <c r="AU160" s="41"/>
      <c r="AV160" s="461"/>
      <c r="AW160" s="461" t="s">
        <v>1235</v>
      </c>
      <c r="AX160" s="2489">
        <v>0</v>
      </c>
      <c r="AY160" s="2489"/>
      <c r="AZ160" s="2489"/>
      <c r="BA160" s="2489"/>
      <c r="BB160" s="2489"/>
      <c r="BC160" s="2489">
        <v>0</v>
      </c>
      <c r="BD160" s="2489"/>
      <c r="BE160" s="2489"/>
      <c r="BF160" s="2489"/>
      <c r="BG160" s="2489">
        <v>0</v>
      </c>
      <c r="BH160" s="2489"/>
      <c r="BI160" s="2489">
        <v>0</v>
      </c>
      <c r="BJ160" s="2489">
        <v>5</v>
      </c>
      <c r="BK160" s="2489">
        <v>5</v>
      </c>
      <c r="BL160" s="2489">
        <v>1</v>
      </c>
      <c r="BM160" s="461">
        <v>1</v>
      </c>
      <c r="BN160" s="461">
        <v>0</v>
      </c>
      <c r="BO160" s="461">
        <v>12</v>
      </c>
      <c r="BP160" s="41"/>
      <c r="BR160" s="41"/>
      <c r="BS160" s="41"/>
      <c r="BT160" s="41"/>
      <c r="BU160" s="41" t="s">
        <v>1344</v>
      </c>
      <c r="BV160" s="2001"/>
      <c r="BW160" s="2001"/>
      <c r="BX160" s="2001"/>
      <c r="BY160" s="2001"/>
      <c r="BZ160" s="2001"/>
      <c r="CA160" s="2001">
        <v>0</v>
      </c>
      <c r="CB160" s="2001"/>
      <c r="CC160" s="2001">
        <v>0</v>
      </c>
      <c r="CD160" s="2001"/>
      <c r="CE160" s="2001"/>
      <c r="CF160" s="2001"/>
      <c r="CG160" s="2001"/>
      <c r="CH160" s="2001">
        <v>2</v>
      </c>
      <c r="CI160" s="2001"/>
      <c r="CJ160" s="2001"/>
      <c r="CK160" s="105"/>
      <c r="CL160" s="105"/>
      <c r="CM160" s="105">
        <v>2</v>
      </c>
      <c r="CN160" s="41"/>
      <c r="CR160" s="41" t="s">
        <v>844</v>
      </c>
      <c r="CS160" s="41" t="s">
        <v>1231</v>
      </c>
      <c r="CT160" s="1665"/>
      <c r="CU160" s="1665"/>
      <c r="CV160" s="1665"/>
      <c r="CW160" s="1665"/>
      <c r="CX160" s="1665"/>
      <c r="CY160" s="1665"/>
      <c r="CZ160" s="1665"/>
      <c r="DA160" s="1665"/>
      <c r="DB160" s="1665"/>
      <c r="DC160" s="1665"/>
      <c r="DD160" s="1665"/>
      <c r="DE160" s="1665"/>
      <c r="DF160" s="1665">
        <v>6</v>
      </c>
      <c r="DG160" s="1665">
        <v>1</v>
      </c>
      <c r="DH160" s="1665">
        <v>1</v>
      </c>
      <c r="DI160" s="41"/>
      <c r="DJ160" s="41"/>
      <c r="DK160" s="41">
        <v>8</v>
      </c>
      <c r="DL160" s="41"/>
      <c r="DN160" s="1375"/>
      <c r="DO160" s="1375"/>
      <c r="DP160" s="1375" t="s">
        <v>844</v>
      </c>
      <c r="DQ160" s="1376" t="s">
        <v>1231</v>
      </c>
      <c r="DR160" s="1377"/>
      <c r="DS160" s="1377"/>
      <c r="DT160" s="1377"/>
      <c r="DU160" s="1377"/>
      <c r="DV160" s="1377"/>
      <c r="DW160" s="1377"/>
      <c r="DX160" s="1377"/>
      <c r="DY160" s="1377"/>
      <c r="DZ160" s="1377"/>
      <c r="EA160" s="1377"/>
      <c r="EB160" s="1378">
        <v>4</v>
      </c>
      <c r="EC160" s="1378">
        <v>0</v>
      </c>
      <c r="ED160" s="1377"/>
      <c r="EE160" s="1379"/>
      <c r="EF160" s="1379"/>
      <c r="EG160" s="1380">
        <v>4</v>
      </c>
      <c r="EH160" s="41"/>
      <c r="EJ160" s="678"/>
      <c r="EK160" s="678"/>
      <c r="EL160" s="678"/>
      <c r="EM160" s="679" t="s">
        <v>1239</v>
      </c>
      <c r="EN160" s="680"/>
      <c r="EO160" s="681">
        <v>0</v>
      </c>
      <c r="EP160" s="681">
        <v>0</v>
      </c>
      <c r="EQ160" s="680"/>
      <c r="ER160" s="680"/>
      <c r="ES160" s="680"/>
      <c r="ET160" s="680"/>
      <c r="EU160" s="680"/>
      <c r="EV160" s="680"/>
      <c r="EW160" s="680"/>
      <c r="EX160" s="680"/>
      <c r="EY160" s="680"/>
      <c r="EZ160" s="681">
        <v>0</v>
      </c>
      <c r="FA160" s="681">
        <v>0</v>
      </c>
      <c r="FB160" s="681">
        <v>0</v>
      </c>
      <c r="FC160" s="683">
        <v>0</v>
      </c>
      <c r="FD160" s="683">
        <v>1</v>
      </c>
      <c r="FE160" s="683">
        <v>1</v>
      </c>
      <c r="FF160" s="105"/>
      <c r="FH160" s="511"/>
      <c r="FI160" s="511"/>
      <c r="FJ160" s="532" t="s">
        <v>547</v>
      </c>
      <c r="FK160" s="511" t="s">
        <v>1229</v>
      </c>
      <c r="FL160" s="512" t="s">
        <v>1231</v>
      </c>
      <c r="FM160" s="684"/>
      <c r="FN160" s="684"/>
      <c r="FO160" s="685">
        <v>2</v>
      </c>
      <c r="FP160" s="684"/>
      <c r="FQ160" s="684"/>
      <c r="FR160" s="684"/>
      <c r="FS160" s="684"/>
      <c r="FT160" s="685">
        <v>1</v>
      </c>
      <c r="FU160" s="685">
        <v>0</v>
      </c>
      <c r="FV160" s="685">
        <v>2</v>
      </c>
      <c r="FW160" s="685">
        <v>1</v>
      </c>
      <c r="FX160" s="685">
        <v>5</v>
      </c>
      <c r="FY160" s="685">
        <v>1</v>
      </c>
      <c r="FZ160" s="685">
        <v>3</v>
      </c>
      <c r="GA160" s="685">
        <v>1</v>
      </c>
      <c r="GB160" s="686"/>
      <c r="GC160" s="687">
        <v>0</v>
      </c>
      <c r="GD160" s="687">
        <v>16</v>
      </c>
      <c r="GE160" s="635"/>
      <c r="GF160" s="41"/>
      <c r="GG160" s="688"/>
      <c r="GH160" s="688"/>
      <c r="GI160" s="688"/>
      <c r="GJ160" s="457" t="s">
        <v>1240</v>
      </c>
      <c r="GK160" s="689"/>
      <c r="GL160" s="689"/>
      <c r="GM160" s="689"/>
      <c r="GN160" s="689"/>
      <c r="GO160" s="458">
        <v>0</v>
      </c>
      <c r="GP160" s="458">
        <v>0</v>
      </c>
      <c r="GQ160" s="458">
        <v>0</v>
      </c>
      <c r="GR160" s="689"/>
      <c r="GS160" s="458">
        <v>0</v>
      </c>
      <c r="GT160" s="458">
        <v>2</v>
      </c>
      <c r="GU160" s="458">
        <v>0</v>
      </c>
      <c r="GV160" s="689"/>
      <c r="GW160" s="458">
        <v>0</v>
      </c>
      <c r="GX160" s="458">
        <v>2</v>
      </c>
      <c r="GY160" s="690"/>
      <c r="GZ160" s="41"/>
      <c r="HA160" s="41"/>
      <c r="HB160" s="105"/>
      <c r="HC160" s="105"/>
      <c r="HD160" s="105" t="s">
        <v>41</v>
      </c>
      <c r="HE160" s="41" t="s">
        <v>1231</v>
      </c>
      <c r="HF160" s="41"/>
      <c r="HG160" s="41">
        <v>0</v>
      </c>
      <c r="HH160" s="41"/>
      <c r="HI160" s="41">
        <v>1</v>
      </c>
      <c r="HJ160" s="41"/>
      <c r="HK160" s="41"/>
      <c r="HL160" s="41">
        <v>0</v>
      </c>
      <c r="HM160" s="41">
        <v>3</v>
      </c>
      <c r="HN160" s="41">
        <v>4</v>
      </c>
      <c r="HO160" s="41">
        <v>1</v>
      </c>
      <c r="HP160" s="41">
        <v>1</v>
      </c>
      <c r="HQ160" s="41">
        <v>0</v>
      </c>
      <c r="HR160" s="41">
        <v>0</v>
      </c>
      <c r="HS160" s="41">
        <v>0</v>
      </c>
      <c r="HT160" s="41"/>
      <c r="HU160" s="41">
        <v>0</v>
      </c>
      <c r="HV160" s="41">
        <v>10</v>
      </c>
      <c r="HW160" s="41"/>
      <c r="HX160" s="41"/>
      <c r="HY160" s="691"/>
      <c r="HZ160" s="691"/>
      <c r="IA160" s="691"/>
      <c r="IB160" s="691" t="s">
        <v>1239</v>
      </c>
      <c r="IC160" s="691">
        <v>0</v>
      </c>
      <c r="ID160" s="691">
        <v>0</v>
      </c>
      <c r="IE160" s="691">
        <v>0</v>
      </c>
      <c r="IF160" s="691">
        <v>0</v>
      </c>
      <c r="IG160" s="691">
        <v>0</v>
      </c>
      <c r="IH160" s="691">
        <v>0</v>
      </c>
      <c r="II160" s="691">
        <v>0</v>
      </c>
      <c r="IJ160" s="691">
        <v>0</v>
      </c>
      <c r="IK160" s="691">
        <v>0</v>
      </c>
      <c r="IL160" s="691">
        <v>0</v>
      </c>
      <c r="IM160" s="691">
        <v>1</v>
      </c>
      <c r="IN160" s="691">
        <v>0</v>
      </c>
      <c r="IO160" s="691">
        <v>0</v>
      </c>
      <c r="IP160" s="691">
        <v>0</v>
      </c>
      <c r="IQ160" s="691">
        <v>0</v>
      </c>
      <c r="IR160" s="691">
        <v>2</v>
      </c>
      <c r="IS160" s="691">
        <v>3</v>
      </c>
      <c r="IT160" s="691"/>
      <c r="IU160" s="692"/>
    </row>
    <row r="161" spans="2:255">
      <c r="C161" s="32"/>
      <c r="D161" s="4800" t="s">
        <v>15</v>
      </c>
      <c r="E161" s="4607"/>
      <c r="F161" s="4607">
        <v>1</v>
      </c>
      <c r="G161" s="4607"/>
      <c r="H161" s="4607">
        <v>1</v>
      </c>
      <c r="I161" s="4607"/>
      <c r="J161" s="4607"/>
      <c r="K161" s="4607">
        <v>1</v>
      </c>
      <c r="L161" s="4607">
        <v>1</v>
      </c>
      <c r="M161" s="4607"/>
      <c r="N161" s="4607">
        <v>2</v>
      </c>
      <c r="O161" s="4607">
        <v>3</v>
      </c>
      <c r="P161" s="4607">
        <v>44</v>
      </c>
      <c r="Q161" s="4607">
        <v>18</v>
      </c>
      <c r="R161" s="4607">
        <v>3</v>
      </c>
      <c r="S161" s="4583">
        <v>3</v>
      </c>
      <c r="T161" s="4583">
        <v>1</v>
      </c>
      <c r="U161" s="4583">
        <v>78</v>
      </c>
      <c r="V161" s="1977">
        <f>+(U157+U159+U160)/(U161)</f>
        <v>0.37179487179487181</v>
      </c>
      <c r="Z161" s="1793"/>
      <c r="AA161" s="1793" t="s">
        <v>1344</v>
      </c>
      <c r="AB161" s="4804">
        <v>0</v>
      </c>
      <c r="AC161" s="4804">
        <v>0</v>
      </c>
      <c r="AD161" s="4804"/>
      <c r="AE161" s="4804">
        <v>0</v>
      </c>
      <c r="AF161" s="4804"/>
      <c r="AG161" s="4804"/>
      <c r="AH161" s="4804">
        <v>0</v>
      </c>
      <c r="AI161" s="4804">
        <v>0</v>
      </c>
      <c r="AJ161" s="4804"/>
      <c r="AK161" s="4804">
        <v>0</v>
      </c>
      <c r="AL161" s="4804">
        <v>1</v>
      </c>
      <c r="AM161" s="4804">
        <v>4</v>
      </c>
      <c r="AN161" s="4804">
        <v>1</v>
      </c>
      <c r="AO161" s="4804">
        <v>0</v>
      </c>
      <c r="AP161" s="4702">
        <v>0</v>
      </c>
      <c r="AQ161" s="4702">
        <v>6</v>
      </c>
      <c r="AR161" s="4703">
        <f>+(AQ157+AQ160+AQ161)/AQ162</f>
        <v>0.17948717948717949</v>
      </c>
      <c r="AT161" s="41"/>
      <c r="AU161" s="41"/>
      <c r="AV161" s="461"/>
      <c r="AW161" s="461" t="s">
        <v>1239</v>
      </c>
      <c r="AX161" s="2489">
        <v>0</v>
      </c>
      <c r="AY161" s="2489"/>
      <c r="AZ161" s="2489"/>
      <c r="BA161" s="2489"/>
      <c r="BB161" s="2489"/>
      <c r="BC161" s="2489">
        <v>0</v>
      </c>
      <c r="BD161" s="2489"/>
      <c r="BE161" s="2489"/>
      <c r="BF161" s="2489"/>
      <c r="BG161" s="2489">
        <v>0</v>
      </c>
      <c r="BH161" s="2489"/>
      <c r="BI161" s="2489">
        <v>0</v>
      </c>
      <c r="BJ161" s="2489">
        <v>0</v>
      </c>
      <c r="BK161" s="2489">
        <v>1</v>
      </c>
      <c r="BL161" s="2489">
        <v>19</v>
      </c>
      <c r="BM161" s="461">
        <v>3</v>
      </c>
      <c r="BN161" s="461">
        <v>9</v>
      </c>
      <c r="BO161" s="461">
        <v>32</v>
      </c>
      <c r="BP161" s="41"/>
      <c r="BR161" s="41"/>
      <c r="BS161" s="41"/>
      <c r="BT161" s="41"/>
      <c r="BU161" s="461" t="s">
        <v>15</v>
      </c>
      <c r="BV161" s="2002"/>
      <c r="BW161" s="2002"/>
      <c r="BX161" s="2002"/>
      <c r="BY161" s="2002"/>
      <c r="BZ161" s="2002"/>
      <c r="CA161" s="2002">
        <v>2</v>
      </c>
      <c r="CB161" s="2002"/>
      <c r="CC161" s="2002">
        <v>1</v>
      </c>
      <c r="CD161" s="2002"/>
      <c r="CE161" s="2002"/>
      <c r="CF161" s="2002"/>
      <c r="CG161" s="2002"/>
      <c r="CH161" s="2002">
        <v>5</v>
      </c>
      <c r="CI161" s="2002"/>
      <c r="CJ161" s="2002"/>
      <c r="CK161" s="96"/>
      <c r="CL161" s="96"/>
      <c r="CM161" s="96">
        <v>8</v>
      </c>
      <c r="CN161" s="635">
        <f>+CM160/CM161</f>
        <v>0.25</v>
      </c>
      <c r="CR161" s="41"/>
      <c r="CS161" s="41" t="s">
        <v>1240</v>
      </c>
      <c r="CT161" s="1665"/>
      <c r="CU161" s="1665"/>
      <c r="CV161" s="1665"/>
      <c r="CW161" s="1665"/>
      <c r="CX161" s="1665"/>
      <c r="CY161" s="1665"/>
      <c r="CZ161" s="1665"/>
      <c r="DA161" s="1665"/>
      <c r="DB161" s="1665"/>
      <c r="DC161" s="1665"/>
      <c r="DD161" s="1665"/>
      <c r="DE161" s="1665"/>
      <c r="DF161" s="1665">
        <v>0</v>
      </c>
      <c r="DG161" s="1665">
        <v>1</v>
      </c>
      <c r="DH161" s="1665">
        <v>0</v>
      </c>
      <c r="DI161" s="41"/>
      <c r="DJ161" s="41"/>
      <c r="DK161" s="41">
        <v>1</v>
      </c>
      <c r="DL161" s="41"/>
      <c r="DN161" s="1375"/>
      <c r="DO161" s="1375"/>
      <c r="DP161" s="1375"/>
      <c r="DQ161" s="1376" t="s">
        <v>1235</v>
      </c>
      <c r="DR161" s="1377"/>
      <c r="DS161" s="1377"/>
      <c r="DT161" s="1377"/>
      <c r="DU161" s="1377"/>
      <c r="DV161" s="1377"/>
      <c r="DW161" s="1377"/>
      <c r="DX161" s="1377"/>
      <c r="DY161" s="1377"/>
      <c r="DZ161" s="1377"/>
      <c r="EA161" s="1377"/>
      <c r="EB161" s="1378">
        <v>2</v>
      </c>
      <c r="EC161" s="1378">
        <v>0</v>
      </c>
      <c r="ED161" s="1377"/>
      <c r="EE161" s="1379"/>
      <c r="EF161" s="1379"/>
      <c r="EG161" s="1380">
        <v>2</v>
      </c>
      <c r="EH161" s="41"/>
      <c r="EJ161" s="678"/>
      <c r="EK161" s="678"/>
      <c r="EL161" s="678"/>
      <c r="EM161" s="679" t="s">
        <v>1344</v>
      </c>
      <c r="EN161" s="680"/>
      <c r="EO161" s="681">
        <v>0</v>
      </c>
      <c r="EP161" s="681">
        <v>0</v>
      </c>
      <c r="EQ161" s="680"/>
      <c r="ER161" s="680"/>
      <c r="ES161" s="680"/>
      <c r="ET161" s="680"/>
      <c r="EU161" s="680"/>
      <c r="EV161" s="680"/>
      <c r="EW161" s="680"/>
      <c r="EX161" s="680"/>
      <c r="EY161" s="680"/>
      <c r="EZ161" s="681">
        <v>1</v>
      </c>
      <c r="FA161" s="681">
        <v>0</v>
      </c>
      <c r="FB161" s="681">
        <v>0</v>
      </c>
      <c r="FC161" s="683">
        <v>0</v>
      </c>
      <c r="FD161" s="683">
        <v>0</v>
      </c>
      <c r="FE161" s="683">
        <v>1</v>
      </c>
      <c r="FF161" s="105"/>
      <c r="FH161" s="511"/>
      <c r="FI161" s="511"/>
      <c r="FJ161" s="511"/>
      <c r="FK161" s="511"/>
      <c r="FL161" s="512" t="s">
        <v>1235</v>
      </c>
      <c r="FM161" s="684"/>
      <c r="FN161" s="684"/>
      <c r="FO161" s="685">
        <v>0</v>
      </c>
      <c r="FP161" s="684"/>
      <c r="FQ161" s="684"/>
      <c r="FR161" s="684"/>
      <c r="FS161" s="684"/>
      <c r="FT161" s="685">
        <v>0</v>
      </c>
      <c r="FU161" s="685">
        <v>1</v>
      </c>
      <c r="FV161" s="685">
        <v>0</v>
      </c>
      <c r="FW161" s="685">
        <v>0</v>
      </c>
      <c r="FX161" s="685">
        <v>1</v>
      </c>
      <c r="FY161" s="685">
        <v>0</v>
      </c>
      <c r="FZ161" s="685">
        <v>0</v>
      </c>
      <c r="GA161" s="685">
        <v>1</v>
      </c>
      <c r="GB161" s="686"/>
      <c r="GC161" s="687">
        <v>0</v>
      </c>
      <c r="GD161" s="687">
        <v>3</v>
      </c>
      <c r="GE161" s="635"/>
      <c r="GF161" s="41"/>
      <c r="GG161" s="688"/>
      <c r="GH161" s="688"/>
      <c r="GI161" s="688"/>
      <c r="GJ161" s="457" t="s">
        <v>1344</v>
      </c>
      <c r="GK161" s="689"/>
      <c r="GL161" s="689"/>
      <c r="GM161" s="689"/>
      <c r="GN161" s="689"/>
      <c r="GO161" s="458">
        <v>0</v>
      </c>
      <c r="GP161" s="458">
        <v>1</v>
      </c>
      <c r="GQ161" s="458">
        <v>1</v>
      </c>
      <c r="GR161" s="689"/>
      <c r="GS161" s="458">
        <v>1</v>
      </c>
      <c r="GT161" s="458">
        <v>0</v>
      </c>
      <c r="GU161" s="458">
        <v>0</v>
      </c>
      <c r="GV161" s="689"/>
      <c r="GW161" s="458">
        <v>0</v>
      </c>
      <c r="GX161" s="458">
        <v>3</v>
      </c>
      <c r="GY161" s="690"/>
      <c r="GZ161" s="41"/>
      <c r="HA161" s="41"/>
      <c r="HB161" s="105"/>
      <c r="HC161" s="105"/>
      <c r="HD161" s="105"/>
      <c r="HE161" s="41" t="s">
        <v>1233</v>
      </c>
      <c r="HF161" s="41"/>
      <c r="HG161" s="41">
        <v>1</v>
      </c>
      <c r="HH161" s="41"/>
      <c r="HI161" s="41">
        <v>0</v>
      </c>
      <c r="HJ161" s="41"/>
      <c r="HK161" s="41"/>
      <c r="HL161" s="41">
        <v>0</v>
      </c>
      <c r="HM161" s="41">
        <v>0</v>
      </c>
      <c r="HN161" s="41">
        <v>0</v>
      </c>
      <c r="HO161" s="41">
        <v>0</v>
      </c>
      <c r="HP161" s="41">
        <v>0</v>
      </c>
      <c r="HQ161" s="41">
        <v>0</v>
      </c>
      <c r="HR161" s="41">
        <v>0</v>
      </c>
      <c r="HS161" s="41">
        <v>0</v>
      </c>
      <c r="HT161" s="41"/>
      <c r="HU161" s="41">
        <v>0</v>
      </c>
      <c r="HV161" s="41">
        <v>1</v>
      </c>
      <c r="HW161" s="41"/>
      <c r="HX161" s="41"/>
      <c r="HY161" s="691"/>
      <c r="HZ161" s="691"/>
      <c r="IA161" s="691"/>
      <c r="IB161" s="691" t="s">
        <v>1344</v>
      </c>
      <c r="IC161" s="691">
        <v>0</v>
      </c>
      <c r="ID161" s="691">
        <v>0</v>
      </c>
      <c r="IE161" s="691">
        <v>0</v>
      </c>
      <c r="IF161" s="691">
        <v>0</v>
      </c>
      <c r="IG161" s="691">
        <v>0</v>
      </c>
      <c r="IH161" s="691">
        <v>0</v>
      </c>
      <c r="II161" s="691">
        <v>0</v>
      </c>
      <c r="IJ161" s="691">
        <v>0</v>
      </c>
      <c r="IK161" s="691">
        <v>0</v>
      </c>
      <c r="IL161" s="691">
        <v>0</v>
      </c>
      <c r="IM161" s="691">
        <v>0</v>
      </c>
      <c r="IN161" s="691">
        <v>2</v>
      </c>
      <c r="IO161" s="691">
        <v>0</v>
      </c>
      <c r="IP161" s="691">
        <v>0</v>
      </c>
      <c r="IQ161" s="691">
        <v>0</v>
      </c>
      <c r="IR161" s="691">
        <v>0</v>
      </c>
      <c r="IS161" s="691">
        <v>2</v>
      </c>
      <c r="IT161" s="691"/>
      <c r="IU161" s="692"/>
    </row>
    <row r="162" spans="2:255" ht="15" thickBot="1">
      <c r="B162" s="4800" t="s">
        <v>41</v>
      </c>
      <c r="C162" s="4800" t="s">
        <v>333</v>
      </c>
      <c r="D162" s="4800" t="s">
        <v>1231</v>
      </c>
      <c r="E162" s="4606"/>
      <c r="F162" s="4606"/>
      <c r="G162" s="4606"/>
      <c r="H162" s="4606"/>
      <c r="I162" s="4606"/>
      <c r="J162" s="4606"/>
      <c r="K162" s="4606"/>
      <c r="L162" s="4606"/>
      <c r="M162" s="4606"/>
      <c r="N162" s="4606"/>
      <c r="O162" s="4606">
        <v>0</v>
      </c>
      <c r="P162" s="4606">
        <v>2</v>
      </c>
      <c r="Q162" s="4606">
        <v>1</v>
      </c>
      <c r="R162" s="4606">
        <v>0</v>
      </c>
      <c r="S162" s="2552"/>
      <c r="T162" s="2552">
        <v>0</v>
      </c>
      <c r="U162" s="2552">
        <v>3</v>
      </c>
      <c r="V162" s="2552"/>
      <c r="Z162" s="1793"/>
      <c r="AA162" s="1793" t="s">
        <v>545</v>
      </c>
      <c r="AB162" s="4804">
        <v>0</v>
      </c>
      <c r="AC162" s="4804">
        <v>1</v>
      </c>
      <c r="AD162" s="4804"/>
      <c r="AE162" s="4804">
        <v>1</v>
      </c>
      <c r="AF162" s="4804"/>
      <c r="AG162" s="4804"/>
      <c r="AH162" s="4804">
        <v>1</v>
      </c>
      <c r="AI162" s="4804">
        <v>1</v>
      </c>
      <c r="AJ162" s="4804"/>
      <c r="AK162" s="4804">
        <v>2</v>
      </c>
      <c r="AL162" s="4804">
        <v>3</v>
      </c>
      <c r="AM162" s="4804">
        <v>44</v>
      </c>
      <c r="AN162" s="4804">
        <v>18</v>
      </c>
      <c r="AO162" s="4804">
        <v>3</v>
      </c>
      <c r="AP162" s="4702">
        <v>4</v>
      </c>
      <c r="AQ162" s="4702">
        <v>78</v>
      </c>
      <c r="AR162" s="1793"/>
      <c r="AT162" s="41"/>
      <c r="AU162" s="41"/>
      <c r="AV162" s="461"/>
      <c r="AW162" s="461" t="s">
        <v>1344</v>
      </c>
      <c r="AX162" s="2489">
        <v>0</v>
      </c>
      <c r="AY162" s="2489"/>
      <c r="AZ162" s="2489"/>
      <c r="BA162" s="2489"/>
      <c r="BB162" s="2489"/>
      <c r="BC162" s="2489">
        <v>0</v>
      </c>
      <c r="BD162" s="2489"/>
      <c r="BE162" s="2489"/>
      <c r="BF162" s="2489"/>
      <c r="BG162" s="2489">
        <v>0</v>
      </c>
      <c r="BH162" s="2489"/>
      <c r="BI162" s="2489">
        <v>1</v>
      </c>
      <c r="BJ162" s="2489">
        <v>2</v>
      </c>
      <c r="BK162" s="2489">
        <v>2</v>
      </c>
      <c r="BL162" s="2489">
        <v>1</v>
      </c>
      <c r="BM162" s="461">
        <v>0</v>
      </c>
      <c r="BN162" s="461">
        <v>0</v>
      </c>
      <c r="BO162" s="461">
        <v>6</v>
      </c>
      <c r="BP162" s="41"/>
      <c r="BR162" s="41"/>
      <c r="BS162" s="41"/>
      <c r="BT162" s="41" t="s">
        <v>546</v>
      </c>
      <c r="BU162" s="41" t="s">
        <v>1230</v>
      </c>
      <c r="BV162" s="2001"/>
      <c r="BW162" s="2001"/>
      <c r="BX162" s="2001"/>
      <c r="BY162" s="2001"/>
      <c r="BZ162" s="2001"/>
      <c r="CA162" s="2001">
        <v>0</v>
      </c>
      <c r="CB162" s="2001"/>
      <c r="CC162" s="2001">
        <v>1</v>
      </c>
      <c r="CD162" s="2001"/>
      <c r="CE162" s="2001"/>
      <c r="CF162" s="2001"/>
      <c r="CG162" s="2001"/>
      <c r="CH162" s="2001">
        <v>0</v>
      </c>
      <c r="CI162" s="2001"/>
      <c r="CJ162" s="2001"/>
      <c r="CK162" s="105"/>
      <c r="CL162" s="105"/>
      <c r="CM162" s="105">
        <v>1</v>
      </c>
      <c r="CN162" s="41"/>
      <c r="CR162" s="41"/>
      <c r="CS162" s="41" t="s">
        <v>1344</v>
      </c>
      <c r="CT162" s="1665"/>
      <c r="CU162" s="1665"/>
      <c r="CV162" s="1665"/>
      <c r="CW162" s="1665"/>
      <c r="CX162" s="1665"/>
      <c r="CY162" s="1665"/>
      <c r="CZ162" s="1665"/>
      <c r="DA162" s="1665"/>
      <c r="DB162" s="1665"/>
      <c r="DC162" s="1665"/>
      <c r="DD162" s="1665"/>
      <c r="DE162" s="1665"/>
      <c r="DF162" s="1665">
        <v>0</v>
      </c>
      <c r="DG162" s="1665">
        <v>1</v>
      </c>
      <c r="DH162" s="1665">
        <v>0</v>
      </c>
      <c r="DI162" s="41"/>
      <c r="DJ162" s="41"/>
      <c r="DK162" s="41">
        <v>1</v>
      </c>
      <c r="DL162" s="41"/>
      <c r="DN162" s="1375"/>
      <c r="DO162" s="1375"/>
      <c r="DP162" s="1375"/>
      <c r="DQ162" s="1376" t="s">
        <v>1344</v>
      </c>
      <c r="DR162" s="1377"/>
      <c r="DS162" s="1377"/>
      <c r="DT162" s="1377"/>
      <c r="DU162" s="1377"/>
      <c r="DV162" s="1377"/>
      <c r="DW162" s="1377"/>
      <c r="DX162" s="1377"/>
      <c r="DY162" s="1377"/>
      <c r="DZ162" s="1377"/>
      <c r="EA162" s="1377"/>
      <c r="EB162" s="1378">
        <v>1</v>
      </c>
      <c r="EC162" s="1378">
        <v>1</v>
      </c>
      <c r="ED162" s="1377"/>
      <c r="EE162" s="1379"/>
      <c r="EF162" s="1379"/>
      <c r="EG162" s="1380">
        <v>2</v>
      </c>
      <c r="EH162" s="41"/>
      <c r="EJ162" s="678"/>
      <c r="EK162" s="678"/>
      <c r="EL162" s="678"/>
      <c r="EM162" s="697" t="s">
        <v>844</v>
      </c>
      <c r="EN162" s="698"/>
      <c r="EO162" s="699">
        <v>1</v>
      </c>
      <c r="EP162" s="699">
        <v>1</v>
      </c>
      <c r="EQ162" s="698"/>
      <c r="ER162" s="698"/>
      <c r="ES162" s="698"/>
      <c r="ET162" s="698"/>
      <c r="EU162" s="698"/>
      <c r="EV162" s="698"/>
      <c r="EW162" s="698"/>
      <c r="EX162" s="698"/>
      <c r="EY162" s="698"/>
      <c r="EZ162" s="699">
        <v>3</v>
      </c>
      <c r="FA162" s="699">
        <v>2</v>
      </c>
      <c r="FB162" s="699">
        <v>1</v>
      </c>
      <c r="FC162" s="701">
        <v>2</v>
      </c>
      <c r="FD162" s="701">
        <v>1</v>
      </c>
      <c r="FE162" s="701">
        <v>11</v>
      </c>
      <c r="FF162" s="635">
        <f>+(FE159+FE161)/FE162</f>
        <v>0.27272727272727271</v>
      </c>
      <c r="FH162" s="511"/>
      <c r="FI162" s="511"/>
      <c r="FJ162" s="511"/>
      <c r="FK162" s="511"/>
      <c r="FL162" s="512" t="s">
        <v>1239</v>
      </c>
      <c r="FM162" s="684"/>
      <c r="FN162" s="684"/>
      <c r="FO162" s="685">
        <v>0</v>
      </c>
      <c r="FP162" s="684"/>
      <c r="FQ162" s="684"/>
      <c r="FR162" s="684"/>
      <c r="FS162" s="684"/>
      <c r="FT162" s="685">
        <v>0</v>
      </c>
      <c r="FU162" s="685">
        <v>0</v>
      </c>
      <c r="FV162" s="685">
        <v>0</v>
      </c>
      <c r="FW162" s="685">
        <v>0</v>
      </c>
      <c r="FX162" s="685">
        <v>0</v>
      </c>
      <c r="FY162" s="685">
        <v>0</v>
      </c>
      <c r="FZ162" s="685">
        <v>0</v>
      </c>
      <c r="GA162" s="685">
        <v>3</v>
      </c>
      <c r="GB162" s="686"/>
      <c r="GC162" s="687">
        <v>1</v>
      </c>
      <c r="GD162" s="687">
        <v>4</v>
      </c>
      <c r="GE162" s="635"/>
      <c r="GF162" s="41"/>
      <c r="GG162" s="688"/>
      <c r="GH162" s="688"/>
      <c r="GI162" s="688"/>
      <c r="GJ162" s="704" t="s">
        <v>547</v>
      </c>
      <c r="GK162" s="705"/>
      <c r="GL162" s="705"/>
      <c r="GM162" s="705"/>
      <c r="GN162" s="705"/>
      <c r="GO162" s="463">
        <v>1</v>
      </c>
      <c r="GP162" s="463">
        <v>2</v>
      </c>
      <c r="GQ162" s="463">
        <v>1</v>
      </c>
      <c r="GR162" s="705"/>
      <c r="GS162" s="463">
        <v>1</v>
      </c>
      <c r="GT162" s="463">
        <v>3</v>
      </c>
      <c r="GU162" s="463">
        <v>3</v>
      </c>
      <c r="GV162" s="705"/>
      <c r="GW162" s="463">
        <v>1</v>
      </c>
      <c r="GX162" s="463">
        <v>12</v>
      </c>
      <c r="GY162" s="628">
        <f>+(GX161+GX160+GX158)/GX162</f>
        <v>0.5</v>
      </c>
      <c r="GZ162" s="41"/>
      <c r="HA162" s="41"/>
      <c r="HB162" s="105"/>
      <c r="HC162" s="105"/>
      <c r="HD162" s="105"/>
      <c r="HE162" s="41" t="s">
        <v>1239</v>
      </c>
      <c r="HF162" s="41"/>
      <c r="HG162" s="41">
        <v>0</v>
      </c>
      <c r="HH162" s="41"/>
      <c r="HI162" s="41">
        <v>0</v>
      </c>
      <c r="HJ162" s="41"/>
      <c r="HK162" s="41"/>
      <c r="HL162" s="41">
        <v>0</v>
      </c>
      <c r="HM162" s="41">
        <v>0</v>
      </c>
      <c r="HN162" s="41">
        <v>0</v>
      </c>
      <c r="HO162" s="41">
        <v>0</v>
      </c>
      <c r="HP162" s="41">
        <v>0</v>
      </c>
      <c r="HQ162" s="41">
        <v>0</v>
      </c>
      <c r="HR162" s="41">
        <v>3</v>
      </c>
      <c r="HS162" s="41">
        <v>1</v>
      </c>
      <c r="HT162" s="41"/>
      <c r="HU162" s="41">
        <v>1</v>
      </c>
      <c r="HV162" s="41">
        <v>5</v>
      </c>
      <c r="HW162" s="41"/>
      <c r="HX162" s="41"/>
      <c r="HY162" s="721"/>
      <c r="HZ162" s="721"/>
      <c r="IA162" s="721"/>
      <c r="IB162" s="709" t="s">
        <v>15</v>
      </c>
      <c r="IC162" s="709">
        <v>0</v>
      </c>
      <c r="ID162" s="709">
        <v>0</v>
      </c>
      <c r="IE162" s="709">
        <v>0</v>
      </c>
      <c r="IF162" s="709">
        <v>2</v>
      </c>
      <c r="IG162" s="709">
        <v>0</v>
      </c>
      <c r="IH162" s="709">
        <v>0</v>
      </c>
      <c r="II162" s="709">
        <v>0</v>
      </c>
      <c r="IJ162" s="709">
        <v>0</v>
      </c>
      <c r="IK162" s="709">
        <v>1</v>
      </c>
      <c r="IL162" s="709">
        <v>2</v>
      </c>
      <c r="IM162" s="709">
        <v>1</v>
      </c>
      <c r="IN162" s="709">
        <v>5</v>
      </c>
      <c r="IO162" s="709">
        <v>2</v>
      </c>
      <c r="IP162" s="709">
        <v>0</v>
      </c>
      <c r="IQ162" s="709">
        <v>1</v>
      </c>
      <c r="IR162" s="709">
        <v>2</v>
      </c>
      <c r="IS162" s="709">
        <v>16</v>
      </c>
      <c r="IT162" s="710">
        <f>+(IS161+IS159-IQ159)/IS162</f>
        <v>0.1875</v>
      </c>
      <c r="IU162" s="711">
        <f>+IS159+IS161-IQ159</f>
        <v>3</v>
      </c>
    </row>
    <row r="163" spans="2:255">
      <c r="D163" s="4800" t="s">
        <v>1235</v>
      </c>
      <c r="E163" s="4606"/>
      <c r="F163" s="4606"/>
      <c r="G163" s="4606"/>
      <c r="H163" s="4606"/>
      <c r="I163" s="4606"/>
      <c r="J163" s="4606"/>
      <c r="K163" s="4606"/>
      <c r="L163" s="4606"/>
      <c r="M163" s="4606"/>
      <c r="N163" s="4606"/>
      <c r="O163" s="4606">
        <v>1</v>
      </c>
      <c r="P163" s="4606">
        <v>1</v>
      </c>
      <c r="Q163" s="4606">
        <v>0</v>
      </c>
      <c r="R163" s="4606">
        <v>0</v>
      </c>
      <c r="S163" s="2552"/>
      <c r="T163" s="2552">
        <v>0</v>
      </c>
      <c r="U163" s="2552">
        <v>2</v>
      </c>
      <c r="V163" s="2552"/>
      <c r="Y163" s="37" t="s">
        <v>41</v>
      </c>
      <c r="Z163" s="37" t="s">
        <v>333</v>
      </c>
      <c r="AA163" s="37" t="s">
        <v>1231</v>
      </c>
      <c r="AB163" s="4803"/>
      <c r="AC163" s="4803"/>
      <c r="AD163" s="4803"/>
      <c r="AE163" s="4803"/>
      <c r="AF163" s="4803"/>
      <c r="AG163" s="4803"/>
      <c r="AH163" s="4803"/>
      <c r="AI163" s="4803"/>
      <c r="AJ163" s="4803"/>
      <c r="AK163" s="4803"/>
      <c r="AL163" s="4803">
        <v>0</v>
      </c>
      <c r="AM163" s="4803">
        <v>2</v>
      </c>
      <c r="AN163" s="4803">
        <v>1</v>
      </c>
      <c r="AO163" s="4803"/>
      <c r="AP163" s="1788">
        <v>0</v>
      </c>
      <c r="AQ163" s="1788">
        <v>3</v>
      </c>
      <c r="AT163" s="41"/>
      <c r="AU163" s="41"/>
      <c r="AV163" s="461"/>
      <c r="AW163" s="461" t="s">
        <v>547</v>
      </c>
      <c r="AX163" s="2489">
        <v>1</v>
      </c>
      <c r="AY163" s="2489"/>
      <c r="AZ163" s="2489"/>
      <c r="BA163" s="2489"/>
      <c r="BB163" s="2489"/>
      <c r="BC163" s="2489">
        <v>2</v>
      </c>
      <c r="BD163" s="2489"/>
      <c r="BE163" s="2489"/>
      <c r="BF163" s="2489"/>
      <c r="BG163" s="2489">
        <v>1</v>
      </c>
      <c r="BH163" s="2489"/>
      <c r="BI163" s="2489">
        <v>2</v>
      </c>
      <c r="BJ163" s="2489">
        <v>8</v>
      </c>
      <c r="BK163" s="2489">
        <v>9</v>
      </c>
      <c r="BL163" s="2489">
        <v>22</v>
      </c>
      <c r="BM163" s="461">
        <v>4</v>
      </c>
      <c r="BN163" s="461">
        <v>10</v>
      </c>
      <c r="BO163" s="461">
        <v>59</v>
      </c>
      <c r="BP163" s="635">
        <f>+(BO162+BO160-BM160)/BO163</f>
        <v>0.28813559322033899</v>
      </c>
      <c r="BQ163" s="1977"/>
      <c r="BR163" s="41"/>
      <c r="BS163" s="41"/>
      <c r="BT163" s="41"/>
      <c r="BU163" s="41" t="s">
        <v>1231</v>
      </c>
      <c r="BV163" s="2001"/>
      <c r="BW163" s="2001"/>
      <c r="BX163" s="2001"/>
      <c r="BY163" s="2001"/>
      <c r="BZ163" s="2001"/>
      <c r="CA163" s="2001">
        <v>2</v>
      </c>
      <c r="CB163" s="2001"/>
      <c r="CC163" s="2001">
        <v>0</v>
      </c>
      <c r="CD163" s="2001"/>
      <c r="CE163" s="2001"/>
      <c r="CF163" s="2001"/>
      <c r="CG163" s="2001"/>
      <c r="CH163" s="2001">
        <v>3</v>
      </c>
      <c r="CI163" s="2001"/>
      <c r="CJ163" s="2001"/>
      <c r="CK163" s="105"/>
      <c r="CL163" s="105"/>
      <c r="CM163" s="105">
        <v>5</v>
      </c>
      <c r="CN163" s="41"/>
      <c r="CR163" s="41"/>
      <c r="CS163" s="461" t="s">
        <v>844</v>
      </c>
      <c r="CT163" s="1666"/>
      <c r="CU163" s="1666"/>
      <c r="CV163" s="1666"/>
      <c r="CW163" s="1666"/>
      <c r="CX163" s="1666"/>
      <c r="CY163" s="1666"/>
      <c r="CZ163" s="1666"/>
      <c r="DA163" s="1666"/>
      <c r="DB163" s="1666"/>
      <c r="DC163" s="1666"/>
      <c r="DD163" s="1666"/>
      <c r="DE163" s="1666"/>
      <c r="DF163" s="1666">
        <v>6</v>
      </c>
      <c r="DG163" s="1666">
        <v>3</v>
      </c>
      <c r="DH163" s="1666">
        <v>1</v>
      </c>
      <c r="DI163" s="461"/>
      <c r="DJ163" s="461"/>
      <c r="DK163" s="461">
        <v>10</v>
      </c>
      <c r="DL163" s="635">
        <f>+(DK161+DK162)/DK163</f>
        <v>0.2</v>
      </c>
      <c r="DN163" s="1375"/>
      <c r="DO163" s="1375"/>
      <c r="DP163" s="1375"/>
      <c r="DQ163" s="1372" t="s">
        <v>844</v>
      </c>
      <c r="DR163" s="1381"/>
      <c r="DS163" s="1381"/>
      <c r="DT163" s="1381"/>
      <c r="DU163" s="1381"/>
      <c r="DV163" s="1381"/>
      <c r="DW163" s="1381"/>
      <c r="DX163" s="1381"/>
      <c r="DY163" s="1381"/>
      <c r="DZ163" s="1381"/>
      <c r="EA163" s="1381"/>
      <c r="EB163" s="1382">
        <v>7</v>
      </c>
      <c r="EC163" s="1382">
        <v>1</v>
      </c>
      <c r="ED163" s="1381"/>
      <c r="EE163" s="1383"/>
      <c r="EF163" s="1383"/>
      <c r="EG163" s="1384">
        <v>8</v>
      </c>
      <c r="EH163" s="1325">
        <f>+(EG161+EG162)/EG163</f>
        <v>0.5</v>
      </c>
      <c r="EJ163" s="678"/>
      <c r="EK163" s="678"/>
      <c r="EL163" s="678" t="s">
        <v>442</v>
      </c>
      <c r="EM163" s="679" t="s">
        <v>1230</v>
      </c>
      <c r="EN163" s="680"/>
      <c r="EO163" s="681">
        <v>0</v>
      </c>
      <c r="EP163" s="681">
        <v>0</v>
      </c>
      <c r="EQ163" s="680"/>
      <c r="ER163" s="680"/>
      <c r="ES163" s="680"/>
      <c r="ET163" s="681">
        <v>0</v>
      </c>
      <c r="EU163" s="680"/>
      <c r="EV163" s="681">
        <v>0</v>
      </c>
      <c r="EW163" s="681">
        <v>1</v>
      </c>
      <c r="EX163" s="681">
        <v>0</v>
      </c>
      <c r="EY163" s="681">
        <v>0</v>
      </c>
      <c r="EZ163" s="681">
        <v>0</v>
      </c>
      <c r="FA163" s="681">
        <v>1</v>
      </c>
      <c r="FB163" s="681">
        <v>0</v>
      </c>
      <c r="FC163" s="683">
        <v>0</v>
      </c>
      <c r="FD163" s="683">
        <v>0</v>
      </c>
      <c r="FE163" s="683">
        <v>2</v>
      </c>
      <c r="FF163" s="105"/>
      <c r="FH163" s="511"/>
      <c r="FI163" s="511"/>
      <c r="FJ163" s="511"/>
      <c r="FK163" s="511"/>
      <c r="FL163" s="512" t="s">
        <v>1344</v>
      </c>
      <c r="FM163" s="684"/>
      <c r="FN163" s="684"/>
      <c r="FO163" s="685">
        <v>0</v>
      </c>
      <c r="FP163" s="684"/>
      <c r="FQ163" s="684"/>
      <c r="FR163" s="684"/>
      <c r="FS163" s="684"/>
      <c r="FT163" s="685">
        <v>0</v>
      </c>
      <c r="FU163" s="685">
        <v>0</v>
      </c>
      <c r="FV163" s="685">
        <v>1</v>
      </c>
      <c r="FW163" s="685">
        <v>2</v>
      </c>
      <c r="FX163" s="685">
        <v>0</v>
      </c>
      <c r="FY163" s="685">
        <v>0</v>
      </c>
      <c r="FZ163" s="685">
        <v>0</v>
      </c>
      <c r="GA163" s="685">
        <v>0</v>
      </c>
      <c r="GB163" s="686"/>
      <c r="GC163" s="687">
        <v>0</v>
      </c>
      <c r="GD163" s="687">
        <v>3</v>
      </c>
      <c r="GE163" s="635"/>
      <c r="GF163" s="41"/>
      <c r="GG163" s="688"/>
      <c r="GH163" s="688"/>
      <c r="GI163" s="688" t="s">
        <v>844</v>
      </c>
      <c r="GJ163" s="457" t="s">
        <v>1231</v>
      </c>
      <c r="GK163" s="689"/>
      <c r="GL163" s="689"/>
      <c r="GM163" s="689"/>
      <c r="GN163" s="689"/>
      <c r="GO163" s="689"/>
      <c r="GP163" s="689"/>
      <c r="GQ163" s="689"/>
      <c r="GR163" s="689"/>
      <c r="GS163" s="458">
        <v>0</v>
      </c>
      <c r="GT163" s="458">
        <v>1</v>
      </c>
      <c r="GU163" s="458">
        <v>2</v>
      </c>
      <c r="GV163" s="458">
        <v>0</v>
      </c>
      <c r="GW163" s="458">
        <v>0</v>
      </c>
      <c r="GX163" s="458">
        <v>3</v>
      </c>
      <c r="GY163" s="690"/>
      <c r="GZ163" s="41"/>
      <c r="HA163" s="41"/>
      <c r="HB163" s="105"/>
      <c r="HC163" s="105"/>
      <c r="HD163" s="105"/>
      <c r="HE163" s="41" t="s">
        <v>1240</v>
      </c>
      <c r="HF163" s="41"/>
      <c r="HG163" s="41">
        <v>0</v>
      </c>
      <c r="HH163" s="41"/>
      <c r="HI163" s="41">
        <v>0</v>
      </c>
      <c r="HJ163" s="41"/>
      <c r="HK163" s="41"/>
      <c r="HL163" s="41">
        <v>0</v>
      </c>
      <c r="HM163" s="41">
        <v>0</v>
      </c>
      <c r="HN163" s="41">
        <v>2</v>
      </c>
      <c r="HO163" s="41">
        <v>1</v>
      </c>
      <c r="HP163" s="41">
        <v>1</v>
      </c>
      <c r="HQ163" s="41">
        <v>0</v>
      </c>
      <c r="HR163" s="41">
        <v>0</v>
      </c>
      <c r="HS163" s="41">
        <v>1</v>
      </c>
      <c r="HT163" s="41"/>
      <c r="HU163" s="41">
        <v>0</v>
      </c>
      <c r="HV163" s="41">
        <v>5</v>
      </c>
      <c r="HW163" s="41"/>
      <c r="HX163" s="41"/>
      <c r="HY163" s="691"/>
      <c r="HZ163" s="691"/>
      <c r="IA163" s="41"/>
      <c r="IB163" s="41"/>
      <c r="IC163" s="41"/>
      <c r="ID163" s="41"/>
      <c r="IE163" s="41"/>
      <c r="IF163" s="41"/>
      <c r="IG163" s="41"/>
      <c r="IH163" s="41"/>
      <c r="II163" s="41"/>
      <c r="IJ163" s="41"/>
      <c r="IK163" s="41"/>
      <c r="IL163" s="41"/>
      <c r="IM163" s="41"/>
      <c r="IN163" s="41"/>
      <c r="IO163" s="41"/>
      <c r="IP163" s="41"/>
      <c r="IQ163" s="41"/>
      <c r="IR163" s="41"/>
      <c r="IS163" s="41"/>
      <c r="IT163" s="41"/>
      <c r="IU163" s="41"/>
    </row>
    <row r="164" spans="2:255">
      <c r="D164" s="4800" t="s">
        <v>1239</v>
      </c>
      <c r="E164" s="4606"/>
      <c r="F164" s="4606"/>
      <c r="G164" s="4606"/>
      <c r="H164" s="4606"/>
      <c r="I164" s="4606"/>
      <c r="J164" s="4606"/>
      <c r="K164" s="4606"/>
      <c r="L164" s="4606"/>
      <c r="M164" s="4606"/>
      <c r="N164" s="4606"/>
      <c r="O164" s="4606">
        <v>0</v>
      </c>
      <c r="P164" s="4606">
        <v>0</v>
      </c>
      <c r="Q164" s="4606">
        <v>2</v>
      </c>
      <c r="R164" s="4606">
        <v>3</v>
      </c>
      <c r="S164" s="2552"/>
      <c r="T164" s="2552">
        <v>2</v>
      </c>
      <c r="U164" s="2552">
        <v>7</v>
      </c>
      <c r="V164" s="2552"/>
      <c r="AA164" s="37" t="s">
        <v>1235</v>
      </c>
      <c r="AB164" s="4803"/>
      <c r="AC164" s="4803"/>
      <c r="AD164" s="4803"/>
      <c r="AE164" s="4803"/>
      <c r="AF164" s="4803"/>
      <c r="AG164" s="4803"/>
      <c r="AH164" s="4803"/>
      <c r="AI164" s="4803"/>
      <c r="AJ164" s="4803"/>
      <c r="AK164" s="4803"/>
      <c r="AL164" s="4803">
        <v>0</v>
      </c>
      <c r="AM164" s="4803">
        <v>1</v>
      </c>
      <c r="AN164" s="4803">
        <v>0</v>
      </c>
      <c r="AO164" s="4803"/>
      <c r="AP164" s="1788">
        <v>0</v>
      </c>
      <c r="AQ164" s="1788">
        <v>1</v>
      </c>
      <c r="AT164" s="41"/>
      <c r="AU164" s="41"/>
      <c r="AV164" s="461" t="s">
        <v>110</v>
      </c>
      <c r="AW164" s="461" t="s">
        <v>1230</v>
      </c>
      <c r="AX164" s="2489">
        <v>0</v>
      </c>
      <c r="AY164" s="2489">
        <v>0</v>
      </c>
      <c r="AZ164" s="2489">
        <v>0</v>
      </c>
      <c r="BA164" s="2489">
        <v>0</v>
      </c>
      <c r="BB164" s="2489"/>
      <c r="BC164" s="2489">
        <v>0</v>
      </c>
      <c r="BD164" s="2489">
        <v>0</v>
      </c>
      <c r="BE164" s="2489"/>
      <c r="BF164" s="2489"/>
      <c r="BG164" s="2489">
        <v>0</v>
      </c>
      <c r="BH164" s="2489">
        <v>0</v>
      </c>
      <c r="BI164" s="2489">
        <v>0</v>
      </c>
      <c r="BJ164" s="2489">
        <v>0</v>
      </c>
      <c r="BK164" s="2489">
        <v>0</v>
      </c>
      <c r="BL164" s="2489">
        <v>1</v>
      </c>
      <c r="BM164" s="461">
        <v>0</v>
      </c>
      <c r="BN164" s="461">
        <v>1</v>
      </c>
      <c r="BO164" s="461">
        <v>2</v>
      </c>
      <c r="BP164" s="41"/>
      <c r="BR164" s="41"/>
      <c r="BS164" s="41"/>
      <c r="BT164" s="41"/>
      <c r="BU164" s="41" t="s">
        <v>1344</v>
      </c>
      <c r="BV164" s="2001"/>
      <c r="BW164" s="2001"/>
      <c r="BX164" s="2001"/>
      <c r="BY164" s="2001"/>
      <c r="BZ164" s="2001"/>
      <c r="CA164" s="2001">
        <v>0</v>
      </c>
      <c r="CB164" s="2001"/>
      <c r="CC164" s="2001">
        <v>0</v>
      </c>
      <c r="CD164" s="2001"/>
      <c r="CE164" s="2001"/>
      <c r="CF164" s="2001"/>
      <c r="CG164" s="2001"/>
      <c r="CH164" s="2001">
        <v>2</v>
      </c>
      <c r="CI164" s="2001"/>
      <c r="CJ164" s="2001"/>
      <c r="CK164" s="105"/>
      <c r="CL164" s="105"/>
      <c r="CM164" s="105">
        <v>2</v>
      </c>
      <c r="CN164" s="41"/>
      <c r="CR164" s="41" t="s">
        <v>442</v>
      </c>
      <c r="CS164" s="41" t="s">
        <v>1231</v>
      </c>
      <c r="CT164" s="1665"/>
      <c r="CU164" s="1665"/>
      <c r="CV164" s="1665">
        <v>1</v>
      </c>
      <c r="CW164" s="1665"/>
      <c r="CX164" s="1665"/>
      <c r="CY164" s="1665"/>
      <c r="CZ164" s="1665"/>
      <c r="DA164" s="1665">
        <v>1</v>
      </c>
      <c r="DB164" s="1665"/>
      <c r="DC164" s="1665">
        <v>5</v>
      </c>
      <c r="DD164" s="1665">
        <v>2</v>
      </c>
      <c r="DE164" s="1665">
        <v>0</v>
      </c>
      <c r="DF164" s="1665">
        <v>7</v>
      </c>
      <c r="DG164" s="1665">
        <v>1</v>
      </c>
      <c r="DH164" s="1665">
        <v>2</v>
      </c>
      <c r="DI164" s="41"/>
      <c r="DJ164" s="41">
        <v>0</v>
      </c>
      <c r="DK164" s="41">
        <v>19</v>
      </c>
      <c r="DL164" s="41"/>
      <c r="DN164" s="1375"/>
      <c r="DO164" s="1375"/>
      <c r="DP164" s="1375" t="s">
        <v>442</v>
      </c>
      <c r="DQ164" s="1376" t="s">
        <v>1230</v>
      </c>
      <c r="DR164" s="1378">
        <v>0</v>
      </c>
      <c r="DS164" s="1378">
        <v>0</v>
      </c>
      <c r="DT164" s="1377"/>
      <c r="DU164" s="1378">
        <v>0</v>
      </c>
      <c r="DV164" s="1378">
        <v>0</v>
      </c>
      <c r="DW164" s="1377"/>
      <c r="DX164" s="1378">
        <v>0</v>
      </c>
      <c r="DY164" s="1378">
        <v>0</v>
      </c>
      <c r="DZ164" s="1378">
        <v>0</v>
      </c>
      <c r="EA164" s="1378">
        <v>0</v>
      </c>
      <c r="EB164" s="1378">
        <v>0</v>
      </c>
      <c r="EC164" s="1378">
        <v>0</v>
      </c>
      <c r="ED164" s="1378">
        <v>1</v>
      </c>
      <c r="EE164" s="1380">
        <v>0</v>
      </c>
      <c r="EF164" s="1380">
        <v>1</v>
      </c>
      <c r="EG164" s="1380">
        <v>2</v>
      </c>
      <c r="EH164" s="41"/>
      <c r="EJ164" s="678"/>
      <c r="EK164" s="678"/>
      <c r="EL164" s="678"/>
      <c r="EM164" s="679" t="s">
        <v>1231</v>
      </c>
      <c r="EN164" s="680"/>
      <c r="EO164" s="681">
        <v>1</v>
      </c>
      <c r="EP164" s="681">
        <v>0</v>
      </c>
      <c r="EQ164" s="680"/>
      <c r="ER164" s="680"/>
      <c r="ES164" s="680"/>
      <c r="ET164" s="681">
        <v>0</v>
      </c>
      <c r="EU164" s="680"/>
      <c r="EV164" s="681">
        <v>2</v>
      </c>
      <c r="EW164" s="681">
        <v>4</v>
      </c>
      <c r="EX164" s="681">
        <v>4</v>
      </c>
      <c r="EY164" s="681">
        <v>1</v>
      </c>
      <c r="EZ164" s="681">
        <v>2</v>
      </c>
      <c r="FA164" s="681">
        <v>1</v>
      </c>
      <c r="FB164" s="681">
        <v>0</v>
      </c>
      <c r="FC164" s="683">
        <v>2</v>
      </c>
      <c r="FD164" s="683">
        <v>0</v>
      </c>
      <c r="FE164" s="683">
        <v>17</v>
      </c>
      <c r="FF164" s="105"/>
      <c r="FH164" s="511"/>
      <c r="FI164" s="511"/>
      <c r="FJ164" s="511"/>
      <c r="FK164" s="41"/>
      <c r="FL164" s="532" t="s">
        <v>547</v>
      </c>
      <c r="FM164" s="693"/>
      <c r="FN164" s="693"/>
      <c r="FO164" s="694">
        <v>2</v>
      </c>
      <c r="FP164" s="693"/>
      <c r="FQ164" s="693"/>
      <c r="FR164" s="693"/>
      <c r="FS164" s="693"/>
      <c r="FT164" s="694">
        <v>1</v>
      </c>
      <c r="FU164" s="694">
        <v>1</v>
      </c>
      <c r="FV164" s="694">
        <v>3</v>
      </c>
      <c r="FW164" s="694">
        <v>3</v>
      </c>
      <c r="FX164" s="694">
        <v>6</v>
      </c>
      <c r="FY164" s="694">
        <v>1</v>
      </c>
      <c r="FZ164" s="694">
        <v>3</v>
      </c>
      <c r="GA164" s="694">
        <v>5</v>
      </c>
      <c r="GB164" s="695"/>
      <c r="GC164" s="696">
        <v>1</v>
      </c>
      <c r="GD164" s="696">
        <v>26</v>
      </c>
      <c r="GE164" s="635">
        <f>+(GD163+GD161)/GD164</f>
        <v>0.23076923076923078</v>
      </c>
      <c r="GF164" s="41"/>
      <c r="GG164" s="688"/>
      <c r="GH164" s="688"/>
      <c r="GI164" s="688"/>
      <c r="GJ164" s="457" t="s">
        <v>1235</v>
      </c>
      <c r="GK164" s="689"/>
      <c r="GL164" s="689"/>
      <c r="GM164" s="689"/>
      <c r="GN164" s="689"/>
      <c r="GO164" s="689"/>
      <c r="GP164" s="689"/>
      <c r="GQ164" s="689"/>
      <c r="GR164" s="689"/>
      <c r="GS164" s="458">
        <v>0</v>
      </c>
      <c r="GT164" s="458">
        <v>0</v>
      </c>
      <c r="GU164" s="458">
        <v>0</v>
      </c>
      <c r="GV164" s="458">
        <v>1</v>
      </c>
      <c r="GW164" s="458">
        <v>0</v>
      </c>
      <c r="GX164" s="458">
        <v>1</v>
      </c>
      <c r="GY164" s="690"/>
      <c r="GZ164" s="41"/>
      <c r="HA164" s="41"/>
      <c r="HB164" s="105"/>
      <c r="HC164" s="105"/>
      <c r="HD164" s="105"/>
      <c r="HE164" s="41" t="s">
        <v>1344</v>
      </c>
      <c r="HF164" s="41"/>
      <c r="HG164" s="41">
        <v>0</v>
      </c>
      <c r="HH164" s="41"/>
      <c r="HI164" s="41">
        <v>0</v>
      </c>
      <c r="HJ164" s="41"/>
      <c r="HK164" s="41"/>
      <c r="HL164" s="41">
        <v>1</v>
      </c>
      <c r="HM164" s="41">
        <v>2</v>
      </c>
      <c r="HN164" s="41">
        <v>1</v>
      </c>
      <c r="HO164" s="41">
        <v>1</v>
      </c>
      <c r="HP164" s="41">
        <v>0</v>
      </c>
      <c r="HQ164" s="41">
        <v>1</v>
      </c>
      <c r="HR164" s="41">
        <v>0</v>
      </c>
      <c r="HS164" s="41">
        <v>0</v>
      </c>
      <c r="HT164" s="41"/>
      <c r="HU164" s="41">
        <v>0</v>
      </c>
      <c r="HV164" s="41">
        <v>6</v>
      </c>
      <c r="HW164" s="41"/>
      <c r="HX164" s="41"/>
      <c r="HY164" s="691"/>
      <c r="HZ164" s="691"/>
      <c r="IA164" s="41"/>
      <c r="IB164" s="41"/>
      <c r="IC164" s="41"/>
      <c r="ID164" s="41"/>
      <c r="IE164" s="41"/>
      <c r="IF164" s="41"/>
      <c r="IG164" s="41"/>
      <c r="IH164" s="41"/>
      <c r="II164" s="41"/>
      <c r="IJ164" s="41"/>
      <c r="IK164" s="41"/>
      <c r="IL164" s="41"/>
      <c r="IM164" s="41"/>
      <c r="IN164" s="41"/>
      <c r="IO164" s="41"/>
      <c r="IP164" s="41"/>
      <c r="IQ164" s="41"/>
      <c r="IR164" s="41"/>
      <c r="IS164" s="41"/>
      <c r="IT164" s="41"/>
      <c r="IU164" s="41"/>
    </row>
    <row r="165" spans="2:255">
      <c r="D165" s="4800" t="s">
        <v>1240</v>
      </c>
      <c r="E165" s="4606"/>
      <c r="F165" s="4606"/>
      <c r="G165" s="4606"/>
      <c r="H165" s="4606"/>
      <c r="I165" s="4606"/>
      <c r="J165" s="4606"/>
      <c r="K165" s="4606"/>
      <c r="L165" s="4606"/>
      <c r="M165" s="4606"/>
      <c r="N165" s="4606"/>
      <c r="O165" s="4606">
        <v>0</v>
      </c>
      <c r="P165" s="4606">
        <v>2</v>
      </c>
      <c r="Q165" s="4606">
        <v>1</v>
      </c>
      <c r="R165" s="4606">
        <v>0</v>
      </c>
      <c r="S165" s="2552"/>
      <c r="T165" s="2552">
        <v>0</v>
      </c>
      <c r="U165" s="2552">
        <v>3</v>
      </c>
      <c r="V165" s="2552"/>
      <c r="AA165" s="37" t="s">
        <v>1239</v>
      </c>
      <c r="AB165" s="4803"/>
      <c r="AC165" s="4803"/>
      <c r="AD165" s="4803"/>
      <c r="AE165" s="4803"/>
      <c r="AF165" s="4803"/>
      <c r="AG165" s="4803"/>
      <c r="AH165" s="4803"/>
      <c r="AI165" s="4803"/>
      <c r="AJ165" s="4803"/>
      <c r="AK165" s="4803"/>
      <c r="AL165" s="4803">
        <v>0</v>
      </c>
      <c r="AM165" s="4803">
        <v>0</v>
      </c>
      <c r="AN165" s="4803">
        <v>5</v>
      </c>
      <c r="AO165" s="4803"/>
      <c r="AP165" s="1788">
        <v>2</v>
      </c>
      <c r="AQ165" s="1788">
        <v>7</v>
      </c>
      <c r="AT165" s="41"/>
      <c r="AU165" s="41"/>
      <c r="AV165" s="461"/>
      <c r="AW165" s="461" t="s">
        <v>1231</v>
      </c>
      <c r="AX165" s="2489">
        <v>2</v>
      </c>
      <c r="AY165" s="2489">
        <v>0</v>
      </c>
      <c r="AZ165" s="2489">
        <v>1</v>
      </c>
      <c r="BA165" s="2489">
        <v>2</v>
      </c>
      <c r="BB165" s="2489"/>
      <c r="BC165" s="2489">
        <v>1</v>
      </c>
      <c r="BD165" s="2489">
        <v>0</v>
      </c>
      <c r="BE165" s="2489"/>
      <c r="BF165" s="2489"/>
      <c r="BG165" s="2489">
        <v>2</v>
      </c>
      <c r="BH165" s="2489">
        <v>0</v>
      </c>
      <c r="BI165" s="2489">
        <v>3</v>
      </c>
      <c r="BJ165" s="2489">
        <v>7</v>
      </c>
      <c r="BK165" s="2489">
        <v>13</v>
      </c>
      <c r="BL165" s="2489">
        <v>1</v>
      </c>
      <c r="BM165" s="461">
        <v>1</v>
      </c>
      <c r="BN165" s="461">
        <v>0</v>
      </c>
      <c r="BO165" s="461">
        <v>33</v>
      </c>
      <c r="BP165" s="41"/>
      <c r="BR165" s="41"/>
      <c r="BS165" s="41"/>
      <c r="BT165" s="41"/>
      <c r="BU165" s="461" t="s">
        <v>546</v>
      </c>
      <c r="BV165" s="2002"/>
      <c r="BW165" s="2002"/>
      <c r="BX165" s="2002"/>
      <c r="BY165" s="2002"/>
      <c r="BZ165" s="2002"/>
      <c r="CA165" s="2002">
        <v>2</v>
      </c>
      <c r="CB165" s="2002"/>
      <c r="CC165" s="2002">
        <v>1</v>
      </c>
      <c r="CD165" s="2002"/>
      <c r="CE165" s="2002"/>
      <c r="CF165" s="2002"/>
      <c r="CG165" s="2002"/>
      <c r="CH165" s="2002">
        <v>5</v>
      </c>
      <c r="CI165" s="2002"/>
      <c r="CJ165" s="2002"/>
      <c r="CK165" s="96"/>
      <c r="CL165" s="96"/>
      <c r="CM165" s="96">
        <v>8</v>
      </c>
      <c r="CN165" s="635">
        <f>+CM164/CM165</f>
        <v>0.25</v>
      </c>
      <c r="CR165" s="41"/>
      <c r="CS165" s="41" t="s">
        <v>1235</v>
      </c>
      <c r="CT165" s="1665"/>
      <c r="CU165" s="1665"/>
      <c r="CV165" s="1665">
        <v>0</v>
      </c>
      <c r="CW165" s="1665"/>
      <c r="CX165" s="1665"/>
      <c r="CY165" s="1665"/>
      <c r="CZ165" s="1665"/>
      <c r="DA165" s="1665">
        <v>0</v>
      </c>
      <c r="DB165" s="1665"/>
      <c r="DC165" s="1665">
        <v>0</v>
      </c>
      <c r="DD165" s="1665">
        <v>0</v>
      </c>
      <c r="DE165" s="1665">
        <v>0</v>
      </c>
      <c r="DF165" s="1665">
        <v>0</v>
      </c>
      <c r="DG165" s="1665">
        <v>1</v>
      </c>
      <c r="DH165" s="1665">
        <v>0</v>
      </c>
      <c r="DI165" s="41"/>
      <c r="DJ165" s="41">
        <v>0</v>
      </c>
      <c r="DK165" s="41">
        <v>1</v>
      </c>
      <c r="DL165" s="41"/>
      <c r="DN165" s="1375"/>
      <c r="DO165" s="1375"/>
      <c r="DP165" s="1375"/>
      <c r="DQ165" s="1376" t="s">
        <v>1231</v>
      </c>
      <c r="DR165" s="1378">
        <v>1</v>
      </c>
      <c r="DS165" s="1378">
        <v>3</v>
      </c>
      <c r="DT165" s="1377"/>
      <c r="DU165" s="1378">
        <v>1</v>
      </c>
      <c r="DV165" s="1378">
        <v>2</v>
      </c>
      <c r="DW165" s="1377"/>
      <c r="DX165" s="1378">
        <v>2</v>
      </c>
      <c r="DY165" s="1378">
        <v>1</v>
      </c>
      <c r="DZ165" s="1378">
        <v>3</v>
      </c>
      <c r="EA165" s="1378">
        <v>7</v>
      </c>
      <c r="EB165" s="1378">
        <v>26</v>
      </c>
      <c r="EC165" s="1378">
        <v>3</v>
      </c>
      <c r="ED165" s="1378">
        <v>2</v>
      </c>
      <c r="EE165" s="1380">
        <v>0</v>
      </c>
      <c r="EF165" s="1380">
        <v>0</v>
      </c>
      <c r="EG165" s="1380">
        <v>51</v>
      </c>
      <c r="EH165" s="41"/>
      <c r="EJ165" s="678"/>
      <c r="EK165" s="678"/>
      <c r="EL165" s="678"/>
      <c r="EM165" s="679" t="s">
        <v>1233</v>
      </c>
      <c r="EN165" s="680"/>
      <c r="EO165" s="681">
        <v>0</v>
      </c>
      <c r="EP165" s="681">
        <v>1</v>
      </c>
      <c r="EQ165" s="680"/>
      <c r="ER165" s="680"/>
      <c r="ES165" s="680"/>
      <c r="ET165" s="681">
        <v>0</v>
      </c>
      <c r="EU165" s="680"/>
      <c r="EV165" s="681">
        <v>0</v>
      </c>
      <c r="EW165" s="681">
        <v>0</v>
      </c>
      <c r="EX165" s="681">
        <v>0</v>
      </c>
      <c r="EY165" s="681">
        <v>0</v>
      </c>
      <c r="EZ165" s="681">
        <v>0</v>
      </c>
      <c r="FA165" s="681">
        <v>0</v>
      </c>
      <c r="FB165" s="681">
        <v>0</v>
      </c>
      <c r="FC165" s="683">
        <v>0</v>
      </c>
      <c r="FD165" s="683">
        <v>0</v>
      </c>
      <c r="FE165" s="683">
        <v>1</v>
      </c>
      <c r="FF165" s="105"/>
      <c r="FH165" s="511"/>
      <c r="FI165" s="511" t="s">
        <v>104</v>
      </c>
      <c r="FJ165" s="511" t="s">
        <v>146</v>
      </c>
      <c r="FK165" s="511" t="s">
        <v>1229</v>
      </c>
      <c r="FL165" s="512" t="s">
        <v>1231</v>
      </c>
      <c r="FM165" s="684"/>
      <c r="FN165" s="685">
        <v>1</v>
      </c>
      <c r="FO165" s="684"/>
      <c r="FP165" s="684"/>
      <c r="FQ165" s="684"/>
      <c r="FR165" s="684"/>
      <c r="FS165" s="684"/>
      <c r="FT165" s="684"/>
      <c r="FU165" s="684"/>
      <c r="FV165" s="685">
        <v>2</v>
      </c>
      <c r="FW165" s="685">
        <v>1</v>
      </c>
      <c r="FX165" s="684"/>
      <c r="FY165" s="685">
        <v>0</v>
      </c>
      <c r="FZ165" s="684"/>
      <c r="GA165" s="684"/>
      <c r="GB165" s="687">
        <v>0</v>
      </c>
      <c r="GC165" s="687">
        <v>0</v>
      </c>
      <c r="GD165" s="687">
        <v>4</v>
      </c>
      <c r="GE165" s="635"/>
      <c r="GF165" s="41"/>
      <c r="GG165" s="688"/>
      <c r="GH165" s="688"/>
      <c r="GI165" s="688"/>
      <c r="GJ165" s="457" t="s">
        <v>1239</v>
      </c>
      <c r="GK165" s="689"/>
      <c r="GL165" s="689"/>
      <c r="GM165" s="689"/>
      <c r="GN165" s="689"/>
      <c r="GO165" s="689"/>
      <c r="GP165" s="689"/>
      <c r="GQ165" s="689"/>
      <c r="GR165" s="689"/>
      <c r="GS165" s="458">
        <v>0</v>
      </c>
      <c r="GT165" s="458">
        <v>0</v>
      </c>
      <c r="GU165" s="458">
        <v>0</v>
      </c>
      <c r="GV165" s="458">
        <v>0</v>
      </c>
      <c r="GW165" s="458">
        <v>4</v>
      </c>
      <c r="GX165" s="458">
        <v>4</v>
      </c>
      <c r="GY165" s="690"/>
      <c r="GZ165" s="41"/>
      <c r="HA165" s="41"/>
      <c r="HB165" s="105"/>
      <c r="HC165" s="105"/>
      <c r="HD165" s="105"/>
      <c r="HE165" s="461" t="s">
        <v>15</v>
      </c>
      <c r="HF165" s="461"/>
      <c r="HG165" s="461">
        <v>1</v>
      </c>
      <c r="HH165" s="461"/>
      <c r="HI165" s="461">
        <v>1</v>
      </c>
      <c r="HJ165" s="461"/>
      <c r="HK165" s="461"/>
      <c r="HL165" s="461">
        <v>1</v>
      </c>
      <c r="HM165" s="461">
        <v>5</v>
      </c>
      <c r="HN165" s="461">
        <v>7</v>
      </c>
      <c r="HO165" s="461">
        <v>3</v>
      </c>
      <c r="HP165" s="461">
        <v>2</v>
      </c>
      <c r="HQ165" s="461">
        <v>1</v>
      </c>
      <c r="HR165" s="461">
        <v>3</v>
      </c>
      <c r="HS165" s="461">
        <v>2</v>
      </c>
      <c r="HT165" s="461"/>
      <c r="HU165" s="461">
        <v>1</v>
      </c>
      <c r="HV165" s="461">
        <v>27</v>
      </c>
      <c r="HW165" s="706">
        <f>+(HV163+HV164)/HV165</f>
        <v>0.40740740740740738</v>
      </c>
      <c r="HX165" s="41"/>
      <c r="HY165" s="691"/>
      <c r="HZ165" s="691"/>
      <c r="IA165" s="41"/>
      <c r="IB165" s="41"/>
      <c r="IC165" s="41"/>
      <c r="ID165" s="41"/>
      <c r="IE165" s="41"/>
      <c r="IF165" s="41"/>
      <c r="IG165" s="41"/>
      <c r="IH165" s="41"/>
      <c r="II165" s="41"/>
      <c r="IJ165" s="41"/>
      <c r="IK165" s="41"/>
      <c r="IL165" s="41"/>
      <c r="IM165" s="41"/>
      <c r="IN165" s="41"/>
      <c r="IO165" s="41"/>
      <c r="IP165" s="41"/>
      <c r="IQ165" s="41"/>
      <c r="IR165" s="41"/>
      <c r="IS165" s="41"/>
      <c r="IT165" s="41"/>
      <c r="IU165" s="41"/>
    </row>
    <row r="166" spans="2:255">
      <c r="D166" s="4800" t="s">
        <v>1344</v>
      </c>
      <c r="E166" s="4606"/>
      <c r="F166" s="4606"/>
      <c r="G166" s="4606"/>
      <c r="H166" s="4606"/>
      <c r="I166" s="4606"/>
      <c r="J166" s="4606"/>
      <c r="K166" s="4606"/>
      <c r="L166" s="4606"/>
      <c r="M166" s="4606"/>
      <c r="N166" s="4606"/>
      <c r="O166" s="4606">
        <v>0</v>
      </c>
      <c r="P166" s="4606">
        <v>1</v>
      </c>
      <c r="Q166" s="4606">
        <v>0</v>
      </c>
      <c r="R166" s="4606">
        <v>0</v>
      </c>
      <c r="S166" s="2552"/>
      <c r="T166" s="2552">
        <v>0</v>
      </c>
      <c r="U166" s="2552">
        <v>1</v>
      </c>
      <c r="V166" s="2552"/>
      <c r="AA166" s="37" t="s">
        <v>1240</v>
      </c>
      <c r="AB166" s="4803"/>
      <c r="AC166" s="4803"/>
      <c r="AD166" s="4803"/>
      <c r="AE166" s="4803"/>
      <c r="AF166" s="4803"/>
      <c r="AG166" s="4803"/>
      <c r="AH166" s="4803"/>
      <c r="AI166" s="4803"/>
      <c r="AJ166" s="4803"/>
      <c r="AK166" s="4803"/>
      <c r="AL166" s="4803">
        <v>1</v>
      </c>
      <c r="AM166" s="4803">
        <v>2</v>
      </c>
      <c r="AN166" s="4803">
        <v>1</v>
      </c>
      <c r="AO166" s="4803"/>
      <c r="AP166" s="1788">
        <v>0</v>
      </c>
      <c r="AQ166" s="1788">
        <v>4</v>
      </c>
      <c r="AT166" s="41"/>
      <c r="AU166" s="41"/>
      <c r="AV166" s="461"/>
      <c r="AW166" s="461" t="s">
        <v>1233</v>
      </c>
      <c r="AX166" s="2489">
        <v>0</v>
      </c>
      <c r="AY166" s="2489">
        <v>2</v>
      </c>
      <c r="AZ166" s="2489">
        <v>0</v>
      </c>
      <c r="BA166" s="2489">
        <v>1</v>
      </c>
      <c r="BB166" s="2489"/>
      <c r="BC166" s="2489">
        <v>2</v>
      </c>
      <c r="BD166" s="2489">
        <v>1</v>
      </c>
      <c r="BE166" s="2489"/>
      <c r="BF166" s="2489"/>
      <c r="BG166" s="2489">
        <v>0</v>
      </c>
      <c r="BH166" s="2489">
        <v>0</v>
      </c>
      <c r="BI166" s="2489">
        <v>0</v>
      </c>
      <c r="BJ166" s="2489">
        <v>0</v>
      </c>
      <c r="BK166" s="2489">
        <v>0</v>
      </c>
      <c r="BL166" s="2489">
        <v>0</v>
      </c>
      <c r="BM166" s="461">
        <v>0</v>
      </c>
      <c r="BN166" s="461">
        <v>0</v>
      </c>
      <c r="BO166" s="461">
        <v>6</v>
      </c>
      <c r="BP166" s="41"/>
      <c r="BR166" s="41"/>
      <c r="BS166" s="41"/>
      <c r="BT166" s="41" t="s">
        <v>442</v>
      </c>
      <c r="BU166" s="41" t="s">
        <v>1230</v>
      </c>
      <c r="BV166" s="2001"/>
      <c r="BW166" s="2001">
        <v>0</v>
      </c>
      <c r="BX166" s="2001">
        <v>0</v>
      </c>
      <c r="BY166" s="2001"/>
      <c r="BZ166" s="2001"/>
      <c r="CA166" s="2001">
        <v>0</v>
      </c>
      <c r="CB166" s="2001"/>
      <c r="CC166" s="2001">
        <v>1</v>
      </c>
      <c r="CD166" s="2001">
        <v>0</v>
      </c>
      <c r="CE166" s="2001">
        <v>0</v>
      </c>
      <c r="CF166" s="2001">
        <v>0</v>
      </c>
      <c r="CG166" s="2001">
        <v>0</v>
      </c>
      <c r="CH166" s="2001">
        <v>0</v>
      </c>
      <c r="CI166" s="2001">
        <v>0</v>
      </c>
      <c r="CJ166" s="2001">
        <v>0</v>
      </c>
      <c r="CK166" s="105">
        <v>0</v>
      </c>
      <c r="CL166" s="105">
        <v>0</v>
      </c>
      <c r="CM166" s="105">
        <v>1</v>
      </c>
      <c r="CN166" s="41"/>
      <c r="CR166" s="41"/>
      <c r="CS166" s="41" t="s">
        <v>1239</v>
      </c>
      <c r="CT166" s="1665"/>
      <c r="CU166" s="1665"/>
      <c r="CV166" s="1665">
        <v>0</v>
      </c>
      <c r="CW166" s="1665"/>
      <c r="CX166" s="1665"/>
      <c r="CY166" s="1665"/>
      <c r="CZ166" s="1665"/>
      <c r="DA166" s="1665">
        <v>0</v>
      </c>
      <c r="DB166" s="1665"/>
      <c r="DC166" s="1665">
        <v>0</v>
      </c>
      <c r="DD166" s="1665">
        <v>0</v>
      </c>
      <c r="DE166" s="1665">
        <v>0</v>
      </c>
      <c r="DF166" s="1665">
        <v>1</v>
      </c>
      <c r="DG166" s="1665">
        <v>0</v>
      </c>
      <c r="DH166" s="1665">
        <v>4</v>
      </c>
      <c r="DI166" s="41"/>
      <c r="DJ166" s="41">
        <v>3</v>
      </c>
      <c r="DK166" s="41">
        <v>8</v>
      </c>
      <c r="DL166" s="41"/>
      <c r="DN166" s="1375"/>
      <c r="DO166" s="1375"/>
      <c r="DP166" s="1375"/>
      <c r="DQ166" s="1376" t="s">
        <v>1235</v>
      </c>
      <c r="DR166" s="1378">
        <v>0</v>
      </c>
      <c r="DS166" s="1378">
        <v>0</v>
      </c>
      <c r="DT166" s="1377"/>
      <c r="DU166" s="1378">
        <v>0</v>
      </c>
      <c r="DV166" s="1378">
        <v>0</v>
      </c>
      <c r="DW166" s="1377"/>
      <c r="DX166" s="1378">
        <v>0</v>
      </c>
      <c r="DY166" s="1378">
        <v>0</v>
      </c>
      <c r="DZ166" s="1378">
        <v>0</v>
      </c>
      <c r="EA166" s="1378">
        <v>1</v>
      </c>
      <c r="EB166" s="1378">
        <v>5</v>
      </c>
      <c r="EC166" s="1378">
        <v>3</v>
      </c>
      <c r="ED166" s="1378">
        <v>0</v>
      </c>
      <c r="EE166" s="1380">
        <v>0</v>
      </c>
      <c r="EF166" s="1380">
        <v>0</v>
      </c>
      <c r="EG166" s="1380">
        <v>9</v>
      </c>
      <c r="EH166" s="41"/>
      <c r="EJ166" s="678"/>
      <c r="EK166" s="678"/>
      <c r="EL166" s="678"/>
      <c r="EM166" s="679" t="s">
        <v>1235</v>
      </c>
      <c r="EN166" s="680"/>
      <c r="EO166" s="681">
        <v>0</v>
      </c>
      <c r="EP166" s="681">
        <v>0</v>
      </c>
      <c r="EQ166" s="680"/>
      <c r="ER166" s="680"/>
      <c r="ES166" s="680"/>
      <c r="ET166" s="681">
        <v>0</v>
      </c>
      <c r="EU166" s="680"/>
      <c r="EV166" s="681">
        <v>0</v>
      </c>
      <c r="EW166" s="681">
        <v>0</v>
      </c>
      <c r="EX166" s="681">
        <v>1</v>
      </c>
      <c r="EY166" s="681">
        <v>0</v>
      </c>
      <c r="EZ166" s="681">
        <v>0</v>
      </c>
      <c r="FA166" s="681">
        <v>1</v>
      </c>
      <c r="FB166" s="681">
        <v>1</v>
      </c>
      <c r="FC166" s="683">
        <v>0</v>
      </c>
      <c r="FD166" s="683">
        <v>0</v>
      </c>
      <c r="FE166" s="683">
        <v>3</v>
      </c>
      <c r="FF166" s="105"/>
      <c r="FH166" s="511"/>
      <c r="FI166" s="511"/>
      <c r="FJ166" s="511"/>
      <c r="FK166" s="511"/>
      <c r="FL166" s="512" t="s">
        <v>1239</v>
      </c>
      <c r="FM166" s="684"/>
      <c r="FN166" s="685">
        <v>0</v>
      </c>
      <c r="FO166" s="684"/>
      <c r="FP166" s="684"/>
      <c r="FQ166" s="684"/>
      <c r="FR166" s="684"/>
      <c r="FS166" s="684"/>
      <c r="FT166" s="684"/>
      <c r="FU166" s="684"/>
      <c r="FV166" s="685">
        <v>0</v>
      </c>
      <c r="FW166" s="685">
        <v>0</v>
      </c>
      <c r="FX166" s="684"/>
      <c r="FY166" s="685">
        <v>0</v>
      </c>
      <c r="FZ166" s="684"/>
      <c r="GA166" s="684"/>
      <c r="GB166" s="687">
        <v>1</v>
      </c>
      <c r="GC166" s="687">
        <v>4</v>
      </c>
      <c r="GD166" s="687">
        <v>5</v>
      </c>
      <c r="GE166" s="635"/>
      <c r="GF166" s="41"/>
      <c r="GG166" s="688"/>
      <c r="GH166" s="688"/>
      <c r="GI166" s="688"/>
      <c r="GJ166" s="457" t="s">
        <v>1240</v>
      </c>
      <c r="GK166" s="689"/>
      <c r="GL166" s="689"/>
      <c r="GM166" s="689"/>
      <c r="GN166" s="689"/>
      <c r="GO166" s="689"/>
      <c r="GP166" s="689"/>
      <c r="GQ166" s="689"/>
      <c r="GR166" s="689"/>
      <c r="GS166" s="458">
        <v>0</v>
      </c>
      <c r="GT166" s="458">
        <v>0</v>
      </c>
      <c r="GU166" s="458">
        <v>1</v>
      </c>
      <c r="GV166" s="458">
        <v>0</v>
      </c>
      <c r="GW166" s="458">
        <v>0</v>
      </c>
      <c r="GX166" s="458">
        <v>1</v>
      </c>
      <c r="GY166" s="690"/>
      <c r="GZ166" s="41"/>
      <c r="HA166" s="41"/>
      <c r="HB166" s="105"/>
      <c r="HC166" s="105"/>
      <c r="HD166" s="105" t="s">
        <v>104</v>
      </c>
      <c r="HE166" s="41" t="s">
        <v>1231</v>
      </c>
      <c r="HF166" s="41"/>
      <c r="HG166" s="41"/>
      <c r="HH166" s="41">
        <v>1</v>
      </c>
      <c r="HI166" s="41">
        <v>1</v>
      </c>
      <c r="HJ166" s="41"/>
      <c r="HK166" s="41">
        <v>1</v>
      </c>
      <c r="HL166" s="41"/>
      <c r="HM166" s="41"/>
      <c r="HN166" s="41"/>
      <c r="HO166" s="41"/>
      <c r="HP166" s="41">
        <v>1</v>
      </c>
      <c r="HQ166" s="41"/>
      <c r="HR166" s="41"/>
      <c r="HS166" s="41"/>
      <c r="HT166" s="41">
        <v>0</v>
      </c>
      <c r="HU166" s="41">
        <v>0</v>
      </c>
      <c r="HV166" s="41">
        <v>4</v>
      </c>
      <c r="HW166" s="41"/>
      <c r="HX166" s="41"/>
      <c r="HY166" s="691"/>
      <c r="HZ166" s="691"/>
      <c r="IA166" s="41"/>
      <c r="IB166" s="41"/>
      <c r="IC166" s="41"/>
      <c r="ID166" s="41"/>
      <c r="IE166" s="41"/>
      <c r="IF166" s="41"/>
      <c r="IG166" s="41"/>
      <c r="IH166" s="41"/>
      <c r="II166" s="41"/>
      <c r="IJ166" s="41"/>
      <c r="IK166" s="41"/>
      <c r="IL166" s="41"/>
      <c r="IM166" s="41"/>
      <c r="IN166" s="41"/>
      <c r="IO166" s="41"/>
      <c r="IP166" s="41"/>
      <c r="IQ166" s="41"/>
      <c r="IR166" s="41"/>
      <c r="IS166" s="41"/>
      <c r="IT166" s="41"/>
      <c r="IU166" s="41"/>
    </row>
    <row r="167" spans="2:255">
      <c r="D167" s="4800" t="s">
        <v>15</v>
      </c>
      <c r="E167" s="4606"/>
      <c r="F167" s="4606"/>
      <c r="G167" s="4606"/>
      <c r="H167" s="4606"/>
      <c r="I167" s="4606"/>
      <c r="J167" s="4606"/>
      <c r="K167" s="4606"/>
      <c r="L167" s="4606"/>
      <c r="M167" s="4606"/>
      <c r="N167" s="4606"/>
      <c r="O167" s="4606">
        <v>1</v>
      </c>
      <c r="P167" s="4606">
        <v>6</v>
      </c>
      <c r="Q167" s="4606">
        <v>4</v>
      </c>
      <c r="R167" s="4606">
        <v>3</v>
      </c>
      <c r="S167" s="2552"/>
      <c r="T167" s="2552">
        <v>2</v>
      </c>
      <c r="U167" s="2552">
        <v>16</v>
      </c>
      <c r="V167" s="1977">
        <f>+(U163+U165+U166)/(U167)</f>
        <v>0.375</v>
      </c>
      <c r="AA167" s="37" t="s">
        <v>1344</v>
      </c>
      <c r="AB167" s="4803"/>
      <c r="AC167" s="4803"/>
      <c r="AD167" s="4803"/>
      <c r="AE167" s="4803"/>
      <c r="AF167" s="4803"/>
      <c r="AG167" s="4803"/>
      <c r="AH167" s="4803"/>
      <c r="AI167" s="4803"/>
      <c r="AJ167" s="4803"/>
      <c r="AK167" s="4803"/>
      <c r="AL167" s="4803">
        <v>0</v>
      </c>
      <c r="AM167" s="4803">
        <v>1</v>
      </c>
      <c r="AN167" s="4803">
        <v>0</v>
      </c>
      <c r="AO167" s="4803"/>
      <c r="AP167" s="1788">
        <v>0</v>
      </c>
      <c r="AQ167" s="1788">
        <v>1</v>
      </c>
      <c r="AT167" s="41"/>
      <c r="AU167" s="41"/>
      <c r="AV167" s="461"/>
      <c r="AW167" s="461" t="s">
        <v>1235</v>
      </c>
      <c r="AX167" s="2489">
        <v>0</v>
      </c>
      <c r="AY167" s="2489">
        <v>0</v>
      </c>
      <c r="AZ167" s="2489">
        <v>0</v>
      </c>
      <c r="BA167" s="2489">
        <v>0</v>
      </c>
      <c r="BB167" s="2489"/>
      <c r="BC167" s="2489">
        <v>0</v>
      </c>
      <c r="BD167" s="2489">
        <v>0</v>
      </c>
      <c r="BE167" s="2489"/>
      <c r="BF167" s="2489"/>
      <c r="BG167" s="2489">
        <v>0</v>
      </c>
      <c r="BH167" s="2489">
        <v>0</v>
      </c>
      <c r="BI167" s="2489">
        <v>1</v>
      </c>
      <c r="BJ167" s="2489">
        <v>14</v>
      </c>
      <c r="BK167" s="2489">
        <v>27</v>
      </c>
      <c r="BL167" s="2489">
        <v>3</v>
      </c>
      <c r="BM167" s="461">
        <v>3</v>
      </c>
      <c r="BN167" s="461">
        <v>0</v>
      </c>
      <c r="BO167" s="461">
        <v>48</v>
      </c>
      <c r="BP167" s="41"/>
      <c r="BR167" s="41"/>
      <c r="BS167" s="41"/>
      <c r="BT167" s="41"/>
      <c r="BU167" s="41" t="s">
        <v>1231</v>
      </c>
      <c r="BV167" s="2001"/>
      <c r="BW167" s="2001">
        <v>1</v>
      </c>
      <c r="BX167" s="2001">
        <v>2</v>
      </c>
      <c r="BY167" s="2001"/>
      <c r="BZ167" s="2001"/>
      <c r="CA167" s="2001">
        <v>2</v>
      </c>
      <c r="CB167" s="2001"/>
      <c r="CC167" s="2001">
        <v>0</v>
      </c>
      <c r="CD167" s="2001">
        <v>2</v>
      </c>
      <c r="CE167" s="2001">
        <v>4</v>
      </c>
      <c r="CF167" s="2001">
        <v>4</v>
      </c>
      <c r="CG167" s="2001">
        <v>4</v>
      </c>
      <c r="CH167" s="2001">
        <v>25</v>
      </c>
      <c r="CI167" s="2001">
        <v>9</v>
      </c>
      <c r="CJ167" s="2001">
        <v>1</v>
      </c>
      <c r="CK167" s="105">
        <v>1</v>
      </c>
      <c r="CL167" s="105">
        <v>0</v>
      </c>
      <c r="CM167" s="105">
        <v>55</v>
      </c>
      <c r="CN167" s="41"/>
      <c r="CR167" s="41"/>
      <c r="CS167" s="41" t="s">
        <v>1240</v>
      </c>
      <c r="CT167" s="1665"/>
      <c r="CU167" s="1665"/>
      <c r="CV167" s="1665">
        <v>0</v>
      </c>
      <c r="CW167" s="1665"/>
      <c r="CX167" s="1665"/>
      <c r="CY167" s="1665"/>
      <c r="CZ167" s="1665"/>
      <c r="DA167" s="1665">
        <v>0</v>
      </c>
      <c r="DB167" s="1665"/>
      <c r="DC167" s="1665">
        <v>0</v>
      </c>
      <c r="DD167" s="1665">
        <v>0</v>
      </c>
      <c r="DE167" s="1665">
        <v>2</v>
      </c>
      <c r="DF167" s="1665">
        <v>1</v>
      </c>
      <c r="DG167" s="1665">
        <v>1</v>
      </c>
      <c r="DH167" s="1665">
        <v>1</v>
      </c>
      <c r="DI167" s="41"/>
      <c r="DJ167" s="41">
        <v>0</v>
      </c>
      <c r="DK167" s="41">
        <v>5</v>
      </c>
      <c r="DL167" s="41"/>
      <c r="DN167" s="1375"/>
      <c r="DO167" s="1375"/>
      <c r="DP167" s="1375"/>
      <c r="DQ167" s="1376" t="s">
        <v>1239</v>
      </c>
      <c r="DR167" s="1378">
        <v>0</v>
      </c>
      <c r="DS167" s="1378">
        <v>0</v>
      </c>
      <c r="DT167" s="1377"/>
      <c r="DU167" s="1378">
        <v>0</v>
      </c>
      <c r="DV167" s="1378">
        <v>0</v>
      </c>
      <c r="DW167" s="1377"/>
      <c r="DX167" s="1378">
        <v>0</v>
      </c>
      <c r="DY167" s="1378">
        <v>0</v>
      </c>
      <c r="DZ167" s="1378">
        <v>0</v>
      </c>
      <c r="EA167" s="1378">
        <v>1</v>
      </c>
      <c r="EB167" s="1378">
        <v>1</v>
      </c>
      <c r="EC167" s="1378">
        <v>3</v>
      </c>
      <c r="ED167" s="1378">
        <v>4</v>
      </c>
      <c r="EE167" s="1380">
        <v>1</v>
      </c>
      <c r="EF167" s="1380">
        <v>2</v>
      </c>
      <c r="EG167" s="1380">
        <v>12</v>
      </c>
      <c r="EH167" s="41"/>
      <c r="EJ167" s="678"/>
      <c r="EK167" s="678"/>
      <c r="EL167" s="678"/>
      <c r="EM167" s="679" t="s">
        <v>1236</v>
      </c>
      <c r="EN167" s="680"/>
      <c r="EO167" s="681">
        <v>0</v>
      </c>
      <c r="EP167" s="681">
        <v>0</v>
      </c>
      <c r="EQ167" s="680"/>
      <c r="ER167" s="680"/>
      <c r="ES167" s="680"/>
      <c r="ET167" s="681">
        <v>1</v>
      </c>
      <c r="EU167" s="680"/>
      <c r="EV167" s="681">
        <v>0</v>
      </c>
      <c r="EW167" s="681">
        <v>0</v>
      </c>
      <c r="EX167" s="681">
        <v>0</v>
      </c>
      <c r="EY167" s="681">
        <v>0</v>
      </c>
      <c r="EZ167" s="681">
        <v>0</v>
      </c>
      <c r="FA167" s="681">
        <v>0</v>
      </c>
      <c r="FB167" s="681">
        <v>0</v>
      </c>
      <c r="FC167" s="683">
        <v>0</v>
      </c>
      <c r="FD167" s="683">
        <v>0</v>
      </c>
      <c r="FE167" s="683">
        <v>1</v>
      </c>
      <c r="FF167" s="105"/>
      <c r="FH167" s="511"/>
      <c r="FI167" s="511"/>
      <c r="FJ167" s="511"/>
      <c r="FK167" s="511"/>
      <c r="FL167" s="512" t="s">
        <v>1344</v>
      </c>
      <c r="FM167" s="684"/>
      <c r="FN167" s="685">
        <v>0</v>
      </c>
      <c r="FO167" s="684"/>
      <c r="FP167" s="684"/>
      <c r="FQ167" s="684"/>
      <c r="FR167" s="684"/>
      <c r="FS167" s="684"/>
      <c r="FT167" s="684"/>
      <c r="FU167" s="684"/>
      <c r="FV167" s="685">
        <v>0</v>
      </c>
      <c r="FW167" s="685">
        <v>0</v>
      </c>
      <c r="FX167" s="684"/>
      <c r="FY167" s="685">
        <v>1</v>
      </c>
      <c r="FZ167" s="684"/>
      <c r="GA167" s="684"/>
      <c r="GB167" s="687">
        <v>0</v>
      </c>
      <c r="GC167" s="687">
        <v>0</v>
      </c>
      <c r="GD167" s="687">
        <v>1</v>
      </c>
      <c r="GE167" s="635"/>
      <c r="GF167" s="41"/>
      <c r="GG167" s="688"/>
      <c r="GH167" s="688"/>
      <c r="GI167" s="688"/>
      <c r="GJ167" s="457" t="s">
        <v>1344</v>
      </c>
      <c r="GK167" s="689"/>
      <c r="GL167" s="689"/>
      <c r="GM167" s="689"/>
      <c r="GN167" s="689"/>
      <c r="GO167" s="689"/>
      <c r="GP167" s="689"/>
      <c r="GQ167" s="689"/>
      <c r="GR167" s="689"/>
      <c r="GS167" s="458">
        <v>2</v>
      </c>
      <c r="GT167" s="458">
        <v>0</v>
      </c>
      <c r="GU167" s="458">
        <v>0</v>
      </c>
      <c r="GV167" s="458">
        <v>0</v>
      </c>
      <c r="GW167" s="458">
        <v>0</v>
      </c>
      <c r="GX167" s="458">
        <v>2</v>
      </c>
      <c r="GY167" s="690"/>
      <c r="GZ167" s="41"/>
      <c r="HA167" s="41"/>
      <c r="HB167" s="105"/>
      <c r="HC167" s="105"/>
      <c r="HD167" s="105"/>
      <c r="HE167" s="41" t="s">
        <v>1239</v>
      </c>
      <c r="HF167" s="41"/>
      <c r="HG167" s="41"/>
      <c r="HH167" s="41">
        <v>0</v>
      </c>
      <c r="HI167" s="41">
        <v>0</v>
      </c>
      <c r="HJ167" s="41"/>
      <c r="HK167" s="41">
        <v>0</v>
      </c>
      <c r="HL167" s="41"/>
      <c r="HM167" s="41"/>
      <c r="HN167" s="41"/>
      <c r="HO167" s="41"/>
      <c r="HP167" s="41">
        <v>0</v>
      </c>
      <c r="HQ167" s="41"/>
      <c r="HR167" s="41"/>
      <c r="HS167" s="41"/>
      <c r="HT167" s="41">
        <v>1</v>
      </c>
      <c r="HU167" s="41">
        <v>1</v>
      </c>
      <c r="HV167" s="41">
        <v>2</v>
      </c>
      <c r="HW167" s="41"/>
      <c r="HX167" s="41"/>
      <c r="HY167" s="691"/>
      <c r="HZ167" s="691"/>
      <c r="IA167" s="41"/>
      <c r="IB167" s="41"/>
      <c r="IC167" s="41"/>
      <c r="ID167" s="41"/>
      <c r="IE167" s="41"/>
      <c r="IF167" s="41"/>
      <c r="IG167" s="41"/>
      <c r="IH167" s="41"/>
      <c r="II167" s="41"/>
      <c r="IJ167" s="41"/>
      <c r="IK167" s="41"/>
      <c r="IL167" s="41"/>
      <c r="IM167" s="41"/>
      <c r="IN167" s="41"/>
      <c r="IO167" s="41"/>
      <c r="IP167" s="41"/>
      <c r="IQ167" s="41"/>
      <c r="IR167" s="41"/>
      <c r="IS167" s="41"/>
      <c r="IT167" s="41"/>
      <c r="IU167" s="41"/>
    </row>
    <row r="168" spans="2:255" ht="15" thickBot="1">
      <c r="C168" s="4800" t="s">
        <v>1948</v>
      </c>
      <c r="D168" s="4800" t="s">
        <v>1231</v>
      </c>
      <c r="E168" s="4606"/>
      <c r="F168" s="4606"/>
      <c r="G168" s="4606"/>
      <c r="H168" s="4606"/>
      <c r="I168" s="4606"/>
      <c r="J168" s="4606"/>
      <c r="K168" s="4606"/>
      <c r="L168" s="4606"/>
      <c r="M168" s="4606">
        <v>0</v>
      </c>
      <c r="N168" s="4606">
        <v>1</v>
      </c>
      <c r="O168" s="4606"/>
      <c r="P168" s="4606">
        <v>0</v>
      </c>
      <c r="Q168" s="4606"/>
      <c r="R168" s="4606">
        <v>0</v>
      </c>
      <c r="S168" s="2552"/>
      <c r="T168" s="2552"/>
      <c r="U168" s="2552">
        <v>1</v>
      </c>
      <c r="V168" s="2552"/>
      <c r="AA168" s="1793" t="s">
        <v>15</v>
      </c>
      <c r="AB168" s="4804"/>
      <c r="AC168" s="4804"/>
      <c r="AD168" s="4804"/>
      <c r="AE168" s="4804"/>
      <c r="AF168" s="4804"/>
      <c r="AG168" s="4804"/>
      <c r="AH168" s="4804"/>
      <c r="AI168" s="4804"/>
      <c r="AJ168" s="4804"/>
      <c r="AK168" s="4804"/>
      <c r="AL168" s="4804">
        <v>1</v>
      </c>
      <c r="AM168" s="4804">
        <v>6</v>
      </c>
      <c r="AN168" s="4804">
        <v>7</v>
      </c>
      <c r="AO168" s="4804"/>
      <c r="AP168" s="4702">
        <v>2</v>
      </c>
      <c r="AQ168" s="4702">
        <v>16</v>
      </c>
      <c r="AR168" s="4703">
        <f>+(AQ164+AQ166+AQ167)/AQ168</f>
        <v>0.375</v>
      </c>
      <c r="AT168" s="41"/>
      <c r="AU168" s="41"/>
      <c r="AV168" s="461"/>
      <c r="AW168" s="461" t="s">
        <v>1236</v>
      </c>
      <c r="AX168" s="2489">
        <v>0</v>
      </c>
      <c r="AY168" s="2489">
        <v>1</v>
      </c>
      <c r="AZ168" s="2489">
        <v>0</v>
      </c>
      <c r="BA168" s="2489">
        <v>1</v>
      </c>
      <c r="BB168" s="2489"/>
      <c r="BC168" s="2489">
        <v>0</v>
      </c>
      <c r="BD168" s="2489">
        <v>0</v>
      </c>
      <c r="BE168" s="2489"/>
      <c r="BF168" s="2489"/>
      <c r="BG168" s="2489">
        <v>0</v>
      </c>
      <c r="BH168" s="2489">
        <v>1</v>
      </c>
      <c r="BI168" s="2489">
        <v>0</v>
      </c>
      <c r="BJ168" s="2489">
        <v>0</v>
      </c>
      <c r="BK168" s="2489">
        <v>0</v>
      </c>
      <c r="BL168" s="2489">
        <v>0</v>
      </c>
      <c r="BM168" s="461">
        <v>0</v>
      </c>
      <c r="BN168" s="461">
        <v>0</v>
      </c>
      <c r="BO168" s="461">
        <v>3</v>
      </c>
      <c r="BP168" s="41"/>
      <c r="BR168" s="41"/>
      <c r="BS168" s="41"/>
      <c r="BT168" s="41"/>
      <c r="BU168" s="41" t="s">
        <v>1235</v>
      </c>
      <c r="BV168" s="2001"/>
      <c r="BW168" s="2001">
        <v>0</v>
      </c>
      <c r="BX168" s="2001">
        <v>0</v>
      </c>
      <c r="BY168" s="2001"/>
      <c r="BZ168" s="2001"/>
      <c r="CA168" s="2001">
        <v>0</v>
      </c>
      <c r="CB168" s="2001"/>
      <c r="CC168" s="2001">
        <v>0</v>
      </c>
      <c r="CD168" s="2001">
        <v>0</v>
      </c>
      <c r="CE168" s="2001">
        <v>0</v>
      </c>
      <c r="CF168" s="2001">
        <v>0</v>
      </c>
      <c r="CG168" s="2001">
        <v>0</v>
      </c>
      <c r="CH168" s="2001">
        <v>6</v>
      </c>
      <c r="CI168" s="2001">
        <v>2</v>
      </c>
      <c r="CJ168" s="2001">
        <v>0</v>
      </c>
      <c r="CK168" s="105">
        <v>0</v>
      </c>
      <c r="CL168" s="105">
        <v>0</v>
      </c>
      <c r="CM168" s="105">
        <v>8</v>
      </c>
      <c r="CN168" s="41"/>
      <c r="CR168" s="41"/>
      <c r="CS168" s="41" t="s">
        <v>1344</v>
      </c>
      <c r="CT168" s="1665"/>
      <c r="CU168" s="1665"/>
      <c r="CV168" s="1665">
        <v>0</v>
      </c>
      <c r="CW168" s="1665"/>
      <c r="CX168" s="1665"/>
      <c r="CY168" s="1665"/>
      <c r="CZ168" s="1665"/>
      <c r="DA168" s="1665">
        <v>0</v>
      </c>
      <c r="DB168" s="1665"/>
      <c r="DC168" s="1665">
        <v>1</v>
      </c>
      <c r="DD168" s="1665">
        <v>1</v>
      </c>
      <c r="DE168" s="1665">
        <v>0</v>
      </c>
      <c r="DF168" s="1665">
        <v>0</v>
      </c>
      <c r="DG168" s="1665">
        <v>2</v>
      </c>
      <c r="DH168" s="1665">
        <v>0</v>
      </c>
      <c r="DI168" s="41"/>
      <c r="DJ168" s="41">
        <v>0</v>
      </c>
      <c r="DK168" s="41">
        <v>4</v>
      </c>
      <c r="DL168" s="41"/>
      <c r="DN168" s="1375"/>
      <c r="DO168" s="1375"/>
      <c r="DP168" s="1375"/>
      <c r="DQ168" s="1376" t="s">
        <v>1240</v>
      </c>
      <c r="DR168" s="1378">
        <v>0</v>
      </c>
      <c r="DS168" s="1378">
        <v>0</v>
      </c>
      <c r="DT168" s="1377"/>
      <c r="DU168" s="1378">
        <v>0</v>
      </c>
      <c r="DV168" s="1378">
        <v>0</v>
      </c>
      <c r="DW168" s="1377"/>
      <c r="DX168" s="1378">
        <v>0</v>
      </c>
      <c r="DY168" s="1378">
        <v>1</v>
      </c>
      <c r="DZ168" s="1378">
        <v>0</v>
      </c>
      <c r="EA168" s="1378">
        <v>2</v>
      </c>
      <c r="EB168" s="1378">
        <v>4</v>
      </c>
      <c r="EC168" s="1378">
        <v>1</v>
      </c>
      <c r="ED168" s="1378">
        <v>0</v>
      </c>
      <c r="EE168" s="1380">
        <v>1</v>
      </c>
      <c r="EF168" s="1380">
        <v>0</v>
      </c>
      <c r="EG168" s="1380">
        <v>9</v>
      </c>
      <c r="EH168" s="41"/>
      <c r="EJ168" s="678"/>
      <c r="EK168" s="678"/>
      <c r="EL168" s="678"/>
      <c r="EM168" s="679" t="s">
        <v>1239</v>
      </c>
      <c r="EN168" s="680"/>
      <c r="EO168" s="681">
        <v>0</v>
      </c>
      <c r="EP168" s="681">
        <v>0</v>
      </c>
      <c r="EQ168" s="680"/>
      <c r="ER168" s="680"/>
      <c r="ES168" s="680"/>
      <c r="ET168" s="681">
        <v>0</v>
      </c>
      <c r="EU168" s="680"/>
      <c r="EV168" s="681">
        <v>0</v>
      </c>
      <c r="EW168" s="681">
        <v>0</v>
      </c>
      <c r="EX168" s="681">
        <v>0</v>
      </c>
      <c r="EY168" s="681">
        <v>0</v>
      </c>
      <c r="EZ168" s="681">
        <v>0</v>
      </c>
      <c r="FA168" s="681">
        <v>0</v>
      </c>
      <c r="FB168" s="681">
        <v>0</v>
      </c>
      <c r="FC168" s="683">
        <v>0</v>
      </c>
      <c r="FD168" s="683">
        <v>1</v>
      </c>
      <c r="FE168" s="683">
        <v>1</v>
      </c>
      <c r="FF168" s="105"/>
      <c r="FH168" s="511"/>
      <c r="FI168" s="511"/>
      <c r="FJ168" s="511"/>
      <c r="FK168" s="41"/>
      <c r="FL168" s="532" t="s">
        <v>15</v>
      </c>
      <c r="FM168" s="693"/>
      <c r="FN168" s="694">
        <v>1</v>
      </c>
      <c r="FO168" s="693"/>
      <c r="FP168" s="693"/>
      <c r="FQ168" s="693"/>
      <c r="FR168" s="693"/>
      <c r="FS168" s="693"/>
      <c r="FT168" s="693"/>
      <c r="FU168" s="693"/>
      <c r="FV168" s="694">
        <v>2</v>
      </c>
      <c r="FW168" s="694">
        <v>1</v>
      </c>
      <c r="FX168" s="693"/>
      <c r="FY168" s="694">
        <v>1</v>
      </c>
      <c r="FZ168" s="693"/>
      <c r="GA168" s="693"/>
      <c r="GB168" s="696">
        <v>1</v>
      </c>
      <c r="GC168" s="696">
        <v>4</v>
      </c>
      <c r="GD168" s="696">
        <v>10</v>
      </c>
      <c r="GE168" s="635">
        <f>+GD167/GD168</f>
        <v>0.1</v>
      </c>
      <c r="GF168" s="41"/>
      <c r="GG168" s="712"/>
      <c r="GH168" s="712"/>
      <c r="GI168" s="712"/>
      <c r="GJ168" s="713" t="s">
        <v>844</v>
      </c>
      <c r="GK168" s="714"/>
      <c r="GL168" s="714"/>
      <c r="GM168" s="714"/>
      <c r="GN168" s="714"/>
      <c r="GO168" s="714"/>
      <c r="GP168" s="714"/>
      <c r="GQ168" s="714"/>
      <c r="GR168" s="714"/>
      <c r="GS168" s="467">
        <v>2</v>
      </c>
      <c r="GT168" s="467">
        <v>1</v>
      </c>
      <c r="GU168" s="467">
        <v>3</v>
      </c>
      <c r="GV168" s="467">
        <v>1</v>
      </c>
      <c r="GW168" s="467">
        <v>4</v>
      </c>
      <c r="GX168" s="467">
        <v>11</v>
      </c>
      <c r="GY168" s="642">
        <f>+(GX167+GX166+GX164-GV164)/GX168</f>
        <v>0.27272727272727271</v>
      </c>
      <c r="GZ168" s="41"/>
      <c r="HA168" s="41"/>
      <c r="HB168" s="464"/>
      <c r="HC168" s="464"/>
      <c r="HD168" s="464"/>
      <c r="HE168" s="465" t="s">
        <v>15</v>
      </c>
      <c r="HF168" s="465"/>
      <c r="HG168" s="465"/>
      <c r="HH168" s="465">
        <v>1</v>
      </c>
      <c r="HI168" s="465">
        <v>1</v>
      </c>
      <c r="HJ168" s="465"/>
      <c r="HK168" s="465">
        <v>1</v>
      </c>
      <c r="HL168" s="465"/>
      <c r="HM168" s="465"/>
      <c r="HN168" s="465"/>
      <c r="HO168" s="465"/>
      <c r="HP168" s="465">
        <v>1</v>
      </c>
      <c r="HQ168" s="465"/>
      <c r="HR168" s="465"/>
      <c r="HS168" s="465"/>
      <c r="HT168" s="465">
        <v>1</v>
      </c>
      <c r="HU168" s="465">
        <v>1</v>
      </c>
      <c r="HV168" s="465">
        <v>6</v>
      </c>
      <c r="HW168" s="715">
        <v>0</v>
      </c>
      <c r="HX168" s="41"/>
      <c r="HY168" s="691"/>
      <c r="HZ168" s="691"/>
      <c r="IA168" s="41"/>
      <c r="IB168" s="41"/>
      <c r="IC168" s="41"/>
      <c r="ID168" s="41"/>
      <c r="IE168" s="41"/>
      <c r="IF168" s="41"/>
      <c r="IG168" s="41"/>
      <c r="IH168" s="41"/>
      <c r="II168" s="41"/>
      <c r="IJ168" s="41"/>
      <c r="IK168" s="41"/>
      <c r="IL168" s="41"/>
      <c r="IM168" s="41"/>
      <c r="IN168" s="41"/>
      <c r="IO168" s="41"/>
      <c r="IP168" s="41"/>
      <c r="IQ168" s="41"/>
      <c r="IR168" s="41"/>
      <c r="IS168" s="41"/>
      <c r="IT168" s="41"/>
      <c r="IU168" s="41"/>
    </row>
    <row r="169" spans="2:255">
      <c r="D169" s="4800" t="s">
        <v>1235</v>
      </c>
      <c r="E169" s="4606"/>
      <c r="F169" s="4606"/>
      <c r="G169" s="4606"/>
      <c r="H169" s="4606"/>
      <c r="I169" s="4606"/>
      <c r="J169" s="4606"/>
      <c r="K169" s="4606"/>
      <c r="L169" s="4606"/>
      <c r="M169" s="4606">
        <v>0</v>
      </c>
      <c r="N169" s="4606">
        <v>0</v>
      </c>
      <c r="O169" s="4606"/>
      <c r="P169" s="4606">
        <v>2</v>
      </c>
      <c r="Q169" s="4606"/>
      <c r="R169" s="4606">
        <v>0</v>
      </c>
      <c r="S169" s="2552"/>
      <c r="T169" s="2552"/>
      <c r="U169" s="2552">
        <v>2</v>
      </c>
      <c r="V169" s="2552"/>
      <c r="Z169" s="37" t="s">
        <v>1948</v>
      </c>
      <c r="AA169" s="37" t="s">
        <v>1231</v>
      </c>
      <c r="AB169" s="4803"/>
      <c r="AC169" s="4803"/>
      <c r="AD169" s="4803"/>
      <c r="AE169" s="4803"/>
      <c r="AF169" s="4803"/>
      <c r="AG169" s="4803"/>
      <c r="AH169" s="4803"/>
      <c r="AI169" s="4803"/>
      <c r="AJ169" s="4803">
        <v>0</v>
      </c>
      <c r="AK169" s="4803">
        <v>1</v>
      </c>
      <c r="AL169" s="4803"/>
      <c r="AM169" s="4803">
        <v>0</v>
      </c>
      <c r="AN169" s="4803"/>
      <c r="AO169" s="4803">
        <v>0</v>
      </c>
      <c r="AP169" s="1788"/>
      <c r="AQ169" s="1788">
        <v>1</v>
      </c>
      <c r="AT169" s="41"/>
      <c r="AU169" s="41"/>
      <c r="AV169" s="461"/>
      <c r="AW169" s="461" t="s">
        <v>1239</v>
      </c>
      <c r="AX169" s="2489">
        <v>0</v>
      </c>
      <c r="AY169" s="2489">
        <v>0</v>
      </c>
      <c r="AZ169" s="2489">
        <v>0</v>
      </c>
      <c r="BA169" s="2489">
        <v>0</v>
      </c>
      <c r="BB169" s="2489"/>
      <c r="BC169" s="2489">
        <v>0</v>
      </c>
      <c r="BD169" s="2489">
        <v>0</v>
      </c>
      <c r="BE169" s="2489"/>
      <c r="BF169" s="2489"/>
      <c r="BG169" s="2489">
        <v>0</v>
      </c>
      <c r="BH169" s="2489">
        <v>0</v>
      </c>
      <c r="BI169" s="2489">
        <v>0</v>
      </c>
      <c r="BJ169" s="2489">
        <v>0</v>
      </c>
      <c r="BK169" s="2489">
        <v>10</v>
      </c>
      <c r="BL169" s="2489">
        <v>58</v>
      </c>
      <c r="BM169" s="461">
        <v>9</v>
      </c>
      <c r="BN169" s="461">
        <v>12</v>
      </c>
      <c r="BO169" s="461">
        <v>89</v>
      </c>
      <c r="BP169" s="41"/>
      <c r="BR169" s="41"/>
      <c r="BS169" s="41"/>
      <c r="BT169" s="41"/>
      <c r="BU169" s="41" t="s">
        <v>1236</v>
      </c>
      <c r="BV169" s="2001"/>
      <c r="BW169" s="2001">
        <v>0</v>
      </c>
      <c r="BX169" s="2001">
        <v>0</v>
      </c>
      <c r="BY169" s="2001"/>
      <c r="BZ169" s="2001"/>
      <c r="CA169" s="2001">
        <v>0</v>
      </c>
      <c r="CB169" s="2001"/>
      <c r="CC169" s="2001">
        <v>0</v>
      </c>
      <c r="CD169" s="2001">
        <v>0</v>
      </c>
      <c r="CE169" s="2001">
        <v>1</v>
      </c>
      <c r="CF169" s="2001">
        <v>0</v>
      </c>
      <c r="CG169" s="2001">
        <v>0</v>
      </c>
      <c r="CH169" s="2001">
        <v>0</v>
      </c>
      <c r="CI169" s="2001">
        <v>0</v>
      </c>
      <c r="CJ169" s="2001">
        <v>0</v>
      </c>
      <c r="CK169" s="105">
        <v>0</v>
      </c>
      <c r="CL169" s="105">
        <v>0</v>
      </c>
      <c r="CM169" s="105">
        <v>1</v>
      </c>
      <c r="CN169" s="41"/>
      <c r="CR169" s="41"/>
      <c r="CS169" s="461" t="s">
        <v>442</v>
      </c>
      <c r="CT169" s="1666"/>
      <c r="CU169" s="1666"/>
      <c r="CV169" s="1666">
        <v>1</v>
      </c>
      <c r="CW169" s="1666"/>
      <c r="CX169" s="1666"/>
      <c r="CY169" s="1666"/>
      <c r="CZ169" s="1666"/>
      <c r="DA169" s="1666">
        <v>1</v>
      </c>
      <c r="DB169" s="1666"/>
      <c r="DC169" s="1666">
        <v>6</v>
      </c>
      <c r="DD169" s="1666">
        <v>3</v>
      </c>
      <c r="DE169" s="1666">
        <v>2</v>
      </c>
      <c r="DF169" s="1666">
        <v>9</v>
      </c>
      <c r="DG169" s="1666">
        <v>5</v>
      </c>
      <c r="DH169" s="1666">
        <v>7</v>
      </c>
      <c r="DI169" s="461"/>
      <c r="DJ169" s="461">
        <v>3</v>
      </c>
      <c r="DK169" s="461">
        <v>37</v>
      </c>
      <c r="DL169" s="635">
        <f>+(DK165+DK167+DK168)/DK169</f>
        <v>0.27027027027027029</v>
      </c>
      <c r="DN169" s="1375"/>
      <c r="DO169" s="1375"/>
      <c r="DP169" s="1375"/>
      <c r="DQ169" s="1376" t="s">
        <v>1344</v>
      </c>
      <c r="DR169" s="1378">
        <v>0</v>
      </c>
      <c r="DS169" s="1378">
        <v>0</v>
      </c>
      <c r="DT169" s="1377"/>
      <c r="DU169" s="1378">
        <v>0</v>
      </c>
      <c r="DV169" s="1378">
        <v>0</v>
      </c>
      <c r="DW169" s="1377"/>
      <c r="DX169" s="1378">
        <v>0</v>
      </c>
      <c r="DY169" s="1378">
        <v>2</v>
      </c>
      <c r="DZ169" s="1378">
        <v>0</v>
      </c>
      <c r="EA169" s="1378">
        <v>1</v>
      </c>
      <c r="EB169" s="1378">
        <v>6</v>
      </c>
      <c r="EC169" s="1378">
        <v>5</v>
      </c>
      <c r="ED169" s="1378">
        <v>0</v>
      </c>
      <c r="EE169" s="1380">
        <v>0</v>
      </c>
      <c r="EF169" s="1380">
        <v>0</v>
      </c>
      <c r="EG169" s="1380">
        <v>14</v>
      </c>
      <c r="EH169" s="41"/>
      <c r="EJ169" s="678"/>
      <c r="EK169" s="678"/>
      <c r="EL169" s="678"/>
      <c r="EM169" s="679" t="s">
        <v>1344</v>
      </c>
      <c r="EN169" s="680"/>
      <c r="EO169" s="681">
        <v>0</v>
      </c>
      <c r="EP169" s="681">
        <v>0</v>
      </c>
      <c r="EQ169" s="680"/>
      <c r="ER169" s="680"/>
      <c r="ES169" s="680"/>
      <c r="ET169" s="681">
        <v>0</v>
      </c>
      <c r="EU169" s="680"/>
      <c r="EV169" s="681">
        <v>0</v>
      </c>
      <c r="EW169" s="681">
        <v>4</v>
      </c>
      <c r="EX169" s="681">
        <v>4</v>
      </c>
      <c r="EY169" s="681">
        <v>1</v>
      </c>
      <c r="EZ169" s="681">
        <v>1</v>
      </c>
      <c r="FA169" s="681">
        <v>0</v>
      </c>
      <c r="FB169" s="681">
        <v>0</v>
      </c>
      <c r="FC169" s="683">
        <v>0</v>
      </c>
      <c r="FD169" s="683">
        <v>0</v>
      </c>
      <c r="FE169" s="683">
        <v>10</v>
      </c>
      <c r="FF169" s="105"/>
      <c r="FH169" s="511"/>
      <c r="FI169" s="511"/>
      <c r="FJ169" s="532" t="s">
        <v>844</v>
      </c>
      <c r="FK169" s="511" t="s">
        <v>1229</v>
      </c>
      <c r="FL169" s="512" t="s">
        <v>1231</v>
      </c>
      <c r="FM169" s="684"/>
      <c r="FN169" s="685">
        <v>1</v>
      </c>
      <c r="FO169" s="684"/>
      <c r="FP169" s="684"/>
      <c r="FQ169" s="684"/>
      <c r="FR169" s="684"/>
      <c r="FS169" s="684"/>
      <c r="FT169" s="684"/>
      <c r="FU169" s="684"/>
      <c r="FV169" s="685">
        <v>2</v>
      </c>
      <c r="FW169" s="685">
        <v>1</v>
      </c>
      <c r="FX169" s="684"/>
      <c r="FY169" s="685">
        <v>0</v>
      </c>
      <c r="FZ169" s="684"/>
      <c r="GA169" s="684"/>
      <c r="GB169" s="687">
        <v>0</v>
      </c>
      <c r="GC169" s="687">
        <v>0</v>
      </c>
      <c r="GD169" s="687">
        <v>4</v>
      </c>
      <c r="GE169" s="635"/>
      <c r="GF169" s="41"/>
      <c r="GG169" s="688"/>
      <c r="GH169" s="688"/>
      <c r="GI169" s="688"/>
      <c r="GJ169" s="704"/>
      <c r="GK169" s="705"/>
      <c r="GL169" s="705"/>
      <c r="GM169" s="705"/>
      <c r="GN169" s="463"/>
      <c r="GO169" s="463"/>
      <c r="GP169" s="463"/>
      <c r="GQ169" s="463"/>
      <c r="GR169" s="463"/>
      <c r="GS169" s="463"/>
      <c r="GT169" s="463"/>
      <c r="GU169" s="463"/>
      <c r="GV169" s="463"/>
      <c r="GW169" s="463"/>
      <c r="GX169" s="463"/>
      <c r="GY169" s="41"/>
      <c r="GZ169" s="41"/>
      <c r="HA169" s="41"/>
      <c r="HB169" s="105"/>
      <c r="HC169" s="105"/>
      <c r="HD169" s="41"/>
      <c r="HE169" s="41"/>
      <c r="HF169" s="41"/>
      <c r="HG169" s="41"/>
      <c r="HH169" s="41"/>
      <c r="HI169" s="41"/>
      <c r="HJ169" s="41"/>
      <c r="HK169" s="41"/>
      <c r="HL169" s="41"/>
      <c r="HM169" s="41"/>
      <c r="HN169" s="41"/>
      <c r="HO169" s="41"/>
      <c r="HP169" s="41"/>
      <c r="HQ169" s="41"/>
      <c r="HR169" s="41"/>
      <c r="HS169" s="41"/>
      <c r="HT169" s="41"/>
      <c r="HU169" s="41"/>
      <c r="HV169" s="41"/>
      <c r="HW169" s="41"/>
      <c r="HX169" s="41"/>
      <c r="HY169" s="691"/>
      <c r="HZ169" s="691"/>
      <c r="IA169" s="41"/>
      <c r="IB169" s="41"/>
      <c r="IC169" s="41"/>
      <c r="ID169" s="41"/>
      <c r="IE169" s="41"/>
      <c r="IF169" s="41"/>
      <c r="IG169" s="41"/>
      <c r="IH169" s="41"/>
      <c r="II169" s="41"/>
      <c r="IJ169" s="41"/>
      <c r="IK169" s="41"/>
      <c r="IL169" s="41"/>
      <c r="IM169" s="41"/>
      <c r="IN169" s="41"/>
      <c r="IO169" s="41"/>
      <c r="IP169" s="41"/>
      <c r="IQ169" s="41"/>
      <c r="IR169" s="41"/>
      <c r="IS169" s="41"/>
      <c r="IT169" s="41"/>
      <c r="IU169" s="41"/>
    </row>
    <row r="170" spans="2:255">
      <c r="D170" s="4800" t="s">
        <v>1239</v>
      </c>
      <c r="E170" s="4606"/>
      <c r="F170" s="4606"/>
      <c r="G170" s="4606"/>
      <c r="H170" s="4606"/>
      <c r="I170" s="4606"/>
      <c r="J170" s="4606"/>
      <c r="K170" s="4606"/>
      <c r="L170" s="4606"/>
      <c r="M170" s="4606">
        <v>0</v>
      </c>
      <c r="N170" s="4606">
        <v>0</v>
      </c>
      <c r="O170" s="4606"/>
      <c r="P170" s="4606">
        <v>0</v>
      </c>
      <c r="Q170" s="4606"/>
      <c r="R170" s="4606">
        <v>1</v>
      </c>
      <c r="S170" s="2552"/>
      <c r="T170" s="2552"/>
      <c r="U170" s="2552">
        <v>1</v>
      </c>
      <c r="V170" s="2552"/>
      <c r="AA170" s="37" t="s">
        <v>1235</v>
      </c>
      <c r="AB170" s="4803"/>
      <c r="AC170" s="4803"/>
      <c r="AD170" s="4803"/>
      <c r="AE170" s="4803"/>
      <c r="AF170" s="4803"/>
      <c r="AG170" s="4803"/>
      <c r="AH170" s="4803"/>
      <c r="AI170" s="4803"/>
      <c r="AJ170" s="4803">
        <v>0</v>
      </c>
      <c r="AK170" s="4803">
        <v>0</v>
      </c>
      <c r="AL170" s="4803"/>
      <c r="AM170" s="4803">
        <v>2</v>
      </c>
      <c r="AN170" s="4803"/>
      <c r="AO170" s="4803">
        <v>0</v>
      </c>
      <c r="AP170" s="1788"/>
      <c r="AQ170" s="1788">
        <v>2</v>
      </c>
      <c r="AT170" s="41"/>
      <c r="AU170" s="41"/>
      <c r="AV170" s="461"/>
      <c r="AW170" s="461" t="s">
        <v>1240</v>
      </c>
      <c r="AX170" s="2489">
        <v>0</v>
      </c>
      <c r="AY170" s="2489">
        <v>0</v>
      </c>
      <c r="AZ170" s="2489">
        <v>0</v>
      </c>
      <c r="BA170" s="2489">
        <v>0</v>
      </c>
      <c r="BB170" s="2489"/>
      <c r="BC170" s="2489">
        <v>0</v>
      </c>
      <c r="BD170" s="2489">
        <v>0</v>
      </c>
      <c r="BE170" s="2489"/>
      <c r="BF170" s="2489"/>
      <c r="BG170" s="2489">
        <v>0</v>
      </c>
      <c r="BH170" s="2489">
        <v>0</v>
      </c>
      <c r="BI170" s="2489">
        <v>0</v>
      </c>
      <c r="BJ170" s="2489">
        <v>1</v>
      </c>
      <c r="BK170" s="2489">
        <v>0</v>
      </c>
      <c r="BL170" s="2489">
        <v>0</v>
      </c>
      <c r="BM170" s="461">
        <v>0</v>
      </c>
      <c r="BN170" s="461">
        <v>0</v>
      </c>
      <c r="BO170" s="461">
        <v>1</v>
      </c>
      <c r="BP170" s="41"/>
      <c r="BR170" s="41"/>
      <c r="BS170" s="41"/>
      <c r="BT170" s="41"/>
      <c r="BU170" s="41" t="s">
        <v>1239</v>
      </c>
      <c r="BV170" s="2001"/>
      <c r="BW170" s="2001">
        <v>0</v>
      </c>
      <c r="BX170" s="2001">
        <v>0</v>
      </c>
      <c r="BY170" s="2001"/>
      <c r="BZ170" s="2001"/>
      <c r="CA170" s="2001">
        <v>0</v>
      </c>
      <c r="CB170" s="2001"/>
      <c r="CC170" s="2001">
        <v>0</v>
      </c>
      <c r="CD170" s="2001">
        <v>0</v>
      </c>
      <c r="CE170" s="2001">
        <v>0</v>
      </c>
      <c r="CF170" s="2001">
        <v>0</v>
      </c>
      <c r="CG170" s="2001">
        <v>0</v>
      </c>
      <c r="CH170" s="2001">
        <v>0</v>
      </c>
      <c r="CI170" s="2001">
        <v>0</v>
      </c>
      <c r="CJ170" s="2001">
        <v>3</v>
      </c>
      <c r="CK170" s="105">
        <v>0</v>
      </c>
      <c r="CL170" s="105">
        <v>10</v>
      </c>
      <c r="CM170" s="105">
        <v>13</v>
      </c>
      <c r="CN170" s="41"/>
      <c r="CP170" s="105" t="s">
        <v>59</v>
      </c>
      <c r="CQ170" s="105" t="s">
        <v>16</v>
      </c>
      <c r="CR170" s="41" t="s">
        <v>670</v>
      </c>
      <c r="CS170" s="41" t="s">
        <v>1231</v>
      </c>
      <c r="CT170" s="1665"/>
      <c r="CU170" s="1665">
        <v>0</v>
      </c>
      <c r="CV170" s="1665"/>
      <c r="CW170" s="1665"/>
      <c r="CX170" s="1665">
        <v>0</v>
      </c>
      <c r="CY170" s="1665"/>
      <c r="CZ170" s="1665"/>
      <c r="DA170" s="1665"/>
      <c r="DB170" s="1665"/>
      <c r="DC170" s="1665">
        <v>3</v>
      </c>
      <c r="DD170" s="1665">
        <v>1</v>
      </c>
      <c r="DE170" s="1665"/>
      <c r="DF170" s="1665"/>
      <c r="DG170" s="1665"/>
      <c r="DH170" s="1665"/>
      <c r="DI170" s="41"/>
      <c r="DJ170" s="41">
        <v>0</v>
      </c>
      <c r="DK170" s="41">
        <v>4</v>
      </c>
      <c r="DL170" s="41"/>
      <c r="DN170" s="1375"/>
      <c r="DO170" s="1375"/>
      <c r="DP170" s="1375"/>
      <c r="DQ170" s="1372" t="s">
        <v>442</v>
      </c>
      <c r="DR170" s="1382">
        <v>1</v>
      </c>
      <c r="DS170" s="1382">
        <v>3</v>
      </c>
      <c r="DT170" s="1381"/>
      <c r="DU170" s="1382">
        <v>1</v>
      </c>
      <c r="DV170" s="1382">
        <v>2</v>
      </c>
      <c r="DW170" s="1381"/>
      <c r="DX170" s="1382">
        <v>2</v>
      </c>
      <c r="DY170" s="1382">
        <v>4</v>
      </c>
      <c r="DZ170" s="1382">
        <v>3</v>
      </c>
      <c r="EA170" s="1382">
        <v>12</v>
      </c>
      <c r="EB170" s="1382">
        <v>42</v>
      </c>
      <c r="EC170" s="1382">
        <v>15</v>
      </c>
      <c r="ED170" s="1382">
        <v>7</v>
      </c>
      <c r="EE170" s="1384">
        <v>2</v>
      </c>
      <c r="EF170" s="1384">
        <v>3</v>
      </c>
      <c r="EG170" s="1384">
        <v>97</v>
      </c>
      <c r="EH170" s="1325">
        <f>+(EG166+EG168-EE168+EG169)/EG170</f>
        <v>0.31958762886597936</v>
      </c>
      <c r="EJ170" s="678"/>
      <c r="EK170" s="678"/>
      <c r="EL170" s="678"/>
      <c r="EM170" s="697" t="s">
        <v>442</v>
      </c>
      <c r="EN170" s="698"/>
      <c r="EO170" s="699">
        <v>1</v>
      </c>
      <c r="EP170" s="699">
        <v>1</v>
      </c>
      <c r="EQ170" s="698"/>
      <c r="ER170" s="698"/>
      <c r="ES170" s="698"/>
      <c r="ET170" s="699">
        <v>1</v>
      </c>
      <c r="EU170" s="698"/>
      <c r="EV170" s="699">
        <v>2</v>
      </c>
      <c r="EW170" s="699">
        <v>9</v>
      </c>
      <c r="EX170" s="699">
        <v>9</v>
      </c>
      <c r="EY170" s="699">
        <v>2</v>
      </c>
      <c r="EZ170" s="699">
        <v>3</v>
      </c>
      <c r="FA170" s="699">
        <v>3</v>
      </c>
      <c r="FB170" s="699">
        <v>1</v>
      </c>
      <c r="FC170" s="701">
        <v>2</v>
      </c>
      <c r="FD170" s="701">
        <v>1</v>
      </c>
      <c r="FE170" s="701">
        <v>35</v>
      </c>
      <c r="FF170" s="635">
        <f>+(FE166+FE169)/FE170</f>
        <v>0.37142857142857144</v>
      </c>
      <c r="FH170" s="511"/>
      <c r="FI170" s="511"/>
      <c r="FJ170" s="511"/>
      <c r="FK170" s="511"/>
      <c r="FL170" s="512" t="s">
        <v>1239</v>
      </c>
      <c r="FM170" s="684"/>
      <c r="FN170" s="685">
        <v>0</v>
      </c>
      <c r="FO170" s="684"/>
      <c r="FP170" s="684"/>
      <c r="FQ170" s="684"/>
      <c r="FR170" s="684"/>
      <c r="FS170" s="684"/>
      <c r="FT170" s="684"/>
      <c r="FU170" s="684"/>
      <c r="FV170" s="685">
        <v>0</v>
      </c>
      <c r="FW170" s="685">
        <v>0</v>
      </c>
      <c r="FX170" s="684"/>
      <c r="FY170" s="685">
        <v>0</v>
      </c>
      <c r="FZ170" s="684"/>
      <c r="GA170" s="684"/>
      <c r="GB170" s="687">
        <v>1</v>
      </c>
      <c r="GC170" s="687">
        <v>4</v>
      </c>
      <c r="GD170" s="687">
        <v>5</v>
      </c>
      <c r="GE170" s="635"/>
      <c r="GF170" s="41"/>
      <c r="GG170" s="688"/>
      <c r="GH170" s="688"/>
      <c r="GI170" s="688"/>
      <c r="GJ170" s="704"/>
      <c r="GK170" s="705"/>
      <c r="GL170" s="705"/>
      <c r="GM170" s="705"/>
      <c r="GN170" s="463"/>
      <c r="GO170" s="463"/>
      <c r="GP170" s="463"/>
      <c r="GQ170" s="463"/>
      <c r="GR170" s="463"/>
      <c r="GS170" s="463"/>
      <c r="GT170" s="463"/>
      <c r="GU170" s="463"/>
      <c r="GV170" s="463"/>
      <c r="GW170" s="463"/>
      <c r="GX170" s="463"/>
      <c r="GY170" s="41"/>
      <c r="GZ170" s="41"/>
      <c r="HA170" s="41"/>
      <c r="HB170" s="105"/>
      <c r="HC170" s="105"/>
      <c r="HD170" s="41"/>
      <c r="HE170" s="41"/>
      <c r="HF170" s="41"/>
      <c r="HG170" s="41"/>
      <c r="HH170" s="41"/>
      <c r="HI170" s="41"/>
      <c r="HJ170" s="41"/>
      <c r="HK170" s="41"/>
      <c r="HL170" s="41"/>
      <c r="HM170" s="41"/>
      <c r="HN170" s="41"/>
      <c r="HO170" s="41"/>
      <c r="HP170" s="41"/>
      <c r="HQ170" s="41"/>
      <c r="HR170" s="41"/>
      <c r="HS170" s="41"/>
      <c r="HT170" s="41"/>
      <c r="HU170" s="41"/>
      <c r="HV170" s="41"/>
      <c r="HW170" s="41"/>
      <c r="HX170" s="41"/>
      <c r="HY170" s="691"/>
      <c r="HZ170" s="691"/>
      <c r="IA170" s="41"/>
      <c r="IB170" s="41"/>
      <c r="IC170" s="41"/>
      <c r="ID170" s="41"/>
      <c r="IE170" s="41"/>
      <c r="IF170" s="41"/>
      <c r="IG170" s="41"/>
      <c r="IH170" s="41"/>
      <c r="II170" s="41"/>
      <c r="IJ170" s="41"/>
      <c r="IK170" s="41"/>
      <c r="IL170" s="41"/>
      <c r="IM170" s="41"/>
      <c r="IN170" s="41"/>
      <c r="IO170" s="41"/>
      <c r="IP170" s="41"/>
      <c r="IQ170" s="41"/>
      <c r="IR170" s="41"/>
      <c r="IS170" s="41"/>
      <c r="IT170" s="41"/>
      <c r="IU170" s="41"/>
    </row>
    <row r="171" spans="2:255">
      <c r="D171" s="4800" t="s">
        <v>1344</v>
      </c>
      <c r="E171" s="4606"/>
      <c r="F171" s="4606"/>
      <c r="G171" s="4606"/>
      <c r="H171" s="4606"/>
      <c r="I171" s="4606"/>
      <c r="J171" s="4606"/>
      <c r="K171" s="4606"/>
      <c r="L171" s="4606"/>
      <c r="M171" s="4606">
        <v>1</v>
      </c>
      <c r="N171" s="4606">
        <v>0</v>
      </c>
      <c r="O171" s="4606"/>
      <c r="P171" s="4606">
        <v>0</v>
      </c>
      <c r="Q171" s="4606"/>
      <c r="R171" s="4606">
        <v>0</v>
      </c>
      <c r="S171" s="2552"/>
      <c r="T171" s="2552"/>
      <c r="U171" s="2552">
        <v>1</v>
      </c>
      <c r="V171" s="2552"/>
      <c r="AA171" s="37" t="s">
        <v>1239</v>
      </c>
      <c r="AB171" s="4803"/>
      <c r="AC171" s="4803"/>
      <c r="AD171" s="4803"/>
      <c r="AE171" s="4803"/>
      <c r="AF171" s="4803"/>
      <c r="AG171" s="4803"/>
      <c r="AH171" s="4803"/>
      <c r="AI171" s="4803"/>
      <c r="AJ171" s="4803">
        <v>0</v>
      </c>
      <c r="AK171" s="4803">
        <v>0</v>
      </c>
      <c r="AL171" s="4803"/>
      <c r="AM171" s="4803">
        <v>0</v>
      </c>
      <c r="AN171" s="4803"/>
      <c r="AO171" s="4803">
        <v>1</v>
      </c>
      <c r="AP171" s="1788"/>
      <c r="AQ171" s="1788">
        <v>1</v>
      </c>
      <c r="AT171" s="41"/>
      <c r="AU171" s="41"/>
      <c r="AV171" s="461"/>
      <c r="AW171" s="461" t="s">
        <v>1344</v>
      </c>
      <c r="AX171" s="2489">
        <v>0</v>
      </c>
      <c r="AY171" s="2489">
        <v>0</v>
      </c>
      <c r="AZ171" s="2489">
        <v>0</v>
      </c>
      <c r="BA171" s="2489">
        <v>0</v>
      </c>
      <c r="BB171" s="2489"/>
      <c r="BC171" s="2489">
        <v>0</v>
      </c>
      <c r="BD171" s="2489">
        <v>0</v>
      </c>
      <c r="BE171" s="2489"/>
      <c r="BF171" s="2489"/>
      <c r="BG171" s="2489">
        <v>0</v>
      </c>
      <c r="BH171" s="2489">
        <v>1</v>
      </c>
      <c r="BI171" s="2489">
        <v>2</v>
      </c>
      <c r="BJ171" s="2489">
        <v>10</v>
      </c>
      <c r="BK171" s="2489">
        <v>7</v>
      </c>
      <c r="BL171" s="2489">
        <v>2</v>
      </c>
      <c r="BM171" s="461">
        <v>0</v>
      </c>
      <c r="BN171" s="461">
        <v>0</v>
      </c>
      <c r="BO171" s="461">
        <v>22</v>
      </c>
      <c r="BP171" s="41"/>
      <c r="BR171" s="41"/>
      <c r="BS171" s="41"/>
      <c r="BT171" s="41"/>
      <c r="BU171" s="41" t="s">
        <v>1240</v>
      </c>
      <c r="BV171" s="2001"/>
      <c r="BW171" s="2001">
        <v>0</v>
      </c>
      <c r="BX171" s="2001">
        <v>0</v>
      </c>
      <c r="BY171" s="2001"/>
      <c r="BZ171" s="2001"/>
      <c r="CA171" s="2001">
        <v>0</v>
      </c>
      <c r="CB171" s="2001"/>
      <c r="CC171" s="2001">
        <v>0</v>
      </c>
      <c r="CD171" s="2001">
        <v>0</v>
      </c>
      <c r="CE171" s="2001">
        <v>1</v>
      </c>
      <c r="CF171" s="2001">
        <v>0</v>
      </c>
      <c r="CG171" s="2001">
        <v>0</v>
      </c>
      <c r="CH171" s="2001">
        <v>6</v>
      </c>
      <c r="CI171" s="2001">
        <v>0</v>
      </c>
      <c r="CJ171" s="2001">
        <v>1</v>
      </c>
      <c r="CK171" s="105">
        <v>1</v>
      </c>
      <c r="CL171" s="105">
        <v>0</v>
      </c>
      <c r="CM171" s="105">
        <v>9</v>
      </c>
      <c r="CN171" s="41"/>
      <c r="CR171" s="41"/>
      <c r="CS171" s="41" t="s">
        <v>1236</v>
      </c>
      <c r="CT171" s="1665"/>
      <c r="CU171" s="1665">
        <v>1</v>
      </c>
      <c r="CV171" s="1665"/>
      <c r="CW171" s="1665"/>
      <c r="CX171" s="1665">
        <v>1</v>
      </c>
      <c r="CY171" s="1665"/>
      <c r="CZ171" s="1665"/>
      <c r="DA171" s="1665"/>
      <c r="DB171" s="1665"/>
      <c r="DC171" s="1665">
        <v>0</v>
      </c>
      <c r="DD171" s="1665">
        <v>0</v>
      </c>
      <c r="DE171" s="1665"/>
      <c r="DF171" s="1665"/>
      <c r="DG171" s="1665"/>
      <c r="DH171" s="1665"/>
      <c r="DI171" s="41"/>
      <c r="DJ171" s="41">
        <v>0</v>
      </c>
      <c r="DK171" s="41">
        <v>2</v>
      </c>
      <c r="DL171" s="41"/>
      <c r="DN171" s="1375" t="s">
        <v>59</v>
      </c>
      <c r="DO171" s="1375" t="s">
        <v>16</v>
      </c>
      <c r="DP171" s="1375" t="s">
        <v>670</v>
      </c>
      <c r="DQ171" s="1376" t="s">
        <v>1231</v>
      </c>
      <c r="DR171" s="1377"/>
      <c r="DS171" s="1377"/>
      <c r="DT171" s="1377"/>
      <c r="DU171" s="1377"/>
      <c r="DV171" s="1377"/>
      <c r="DW171" s="1378">
        <v>0</v>
      </c>
      <c r="DX171" s="1377"/>
      <c r="DY171" s="1378">
        <v>8</v>
      </c>
      <c r="DZ171" s="1377"/>
      <c r="EA171" s="1377"/>
      <c r="EB171" s="1377"/>
      <c r="EC171" s="1377"/>
      <c r="ED171" s="1377"/>
      <c r="EE171" s="1379"/>
      <c r="EF171" s="1379"/>
      <c r="EG171" s="1380">
        <v>8</v>
      </c>
      <c r="EH171" s="41"/>
      <c r="EJ171" s="678"/>
      <c r="EK171" s="678"/>
      <c r="EL171" s="678" t="s">
        <v>113</v>
      </c>
      <c r="EM171" s="679" t="s">
        <v>1230</v>
      </c>
      <c r="EN171" s="681">
        <v>0</v>
      </c>
      <c r="EO171" s="681">
        <v>0</v>
      </c>
      <c r="EP171" s="681">
        <v>0</v>
      </c>
      <c r="EQ171" s="681">
        <v>0</v>
      </c>
      <c r="ER171" s="681">
        <v>0</v>
      </c>
      <c r="ES171" s="681">
        <v>0</v>
      </c>
      <c r="ET171" s="681">
        <v>0</v>
      </c>
      <c r="EU171" s="681">
        <v>0</v>
      </c>
      <c r="EV171" s="681">
        <v>0</v>
      </c>
      <c r="EW171" s="681">
        <v>1</v>
      </c>
      <c r="EX171" s="681">
        <v>0</v>
      </c>
      <c r="EY171" s="681">
        <v>0</v>
      </c>
      <c r="EZ171" s="681">
        <v>2</v>
      </c>
      <c r="FA171" s="681">
        <v>1</v>
      </c>
      <c r="FB171" s="681">
        <v>4</v>
      </c>
      <c r="FC171" s="683">
        <v>0</v>
      </c>
      <c r="FD171" s="683">
        <v>0</v>
      </c>
      <c r="FE171" s="683">
        <v>8</v>
      </c>
      <c r="FF171" s="105"/>
      <c r="FH171" s="511"/>
      <c r="FI171" s="511"/>
      <c r="FJ171" s="511"/>
      <c r="FK171" s="511"/>
      <c r="FL171" s="512" t="s">
        <v>1344</v>
      </c>
      <c r="FM171" s="684"/>
      <c r="FN171" s="685">
        <v>0</v>
      </c>
      <c r="FO171" s="684"/>
      <c r="FP171" s="684"/>
      <c r="FQ171" s="684"/>
      <c r="FR171" s="684"/>
      <c r="FS171" s="684"/>
      <c r="FT171" s="684"/>
      <c r="FU171" s="684"/>
      <c r="FV171" s="685">
        <v>0</v>
      </c>
      <c r="FW171" s="685">
        <v>0</v>
      </c>
      <c r="FX171" s="684"/>
      <c r="FY171" s="685">
        <v>1</v>
      </c>
      <c r="FZ171" s="684"/>
      <c r="GA171" s="684"/>
      <c r="GB171" s="687">
        <v>0</v>
      </c>
      <c r="GC171" s="687">
        <v>0</v>
      </c>
      <c r="GD171" s="687">
        <v>1</v>
      </c>
      <c r="GE171" s="635"/>
      <c r="GF171" s="41"/>
      <c r="GG171" s="688"/>
      <c r="GH171" s="688"/>
      <c r="GI171" s="688"/>
      <c r="GJ171" s="457"/>
      <c r="GK171" s="458"/>
      <c r="GL171" s="458"/>
      <c r="GM171" s="458"/>
      <c r="GN171" s="458"/>
      <c r="GO171" s="689"/>
      <c r="GP171" s="458"/>
      <c r="GQ171" s="458"/>
      <c r="GR171" s="458"/>
      <c r="GS171" s="458"/>
      <c r="GT171" s="458"/>
      <c r="GU171" s="458"/>
      <c r="GV171" s="458"/>
      <c r="GW171" s="458"/>
      <c r="GX171" s="458"/>
      <c r="GY171" s="41"/>
      <c r="GZ171" s="41"/>
      <c r="HA171" s="41"/>
      <c r="HB171" s="105"/>
      <c r="HC171" s="105"/>
      <c r="HD171" s="41"/>
      <c r="HE171" s="41"/>
      <c r="HF171" s="41"/>
      <c r="HG171" s="41"/>
      <c r="HH171" s="41"/>
      <c r="HI171" s="41"/>
      <c r="HJ171" s="41"/>
      <c r="HK171" s="41"/>
      <c r="HL171" s="41"/>
      <c r="HM171" s="41"/>
      <c r="HN171" s="41"/>
      <c r="HO171" s="41"/>
      <c r="HP171" s="41"/>
      <c r="HQ171" s="41"/>
      <c r="HR171" s="41"/>
      <c r="HS171" s="41"/>
      <c r="HT171" s="41"/>
      <c r="HU171" s="41"/>
      <c r="HV171" s="41"/>
      <c r="HW171" s="41"/>
      <c r="HX171" s="41"/>
      <c r="HY171" s="691"/>
      <c r="HZ171" s="692"/>
      <c r="IA171" s="692"/>
      <c r="IB171" s="692"/>
      <c r="IC171" s="692"/>
      <c r="ID171" s="692"/>
      <c r="IE171" s="692"/>
      <c r="IF171" s="692"/>
      <c r="IG171" s="692"/>
      <c r="IH171" s="692"/>
      <c r="II171" s="692"/>
      <c r="IJ171" s="692"/>
      <c r="IK171" s="692"/>
      <c r="IL171" s="692"/>
      <c r="IM171" s="692"/>
      <c r="IN171" s="692"/>
      <c r="IO171" s="692"/>
      <c r="IP171" s="692"/>
      <c r="IQ171" s="692"/>
      <c r="IR171" s="692"/>
      <c r="IS171" s="692"/>
      <c r="IT171" s="691"/>
      <c r="IU171" s="692"/>
    </row>
    <row r="172" spans="2:255">
      <c r="D172" s="4800" t="s">
        <v>15</v>
      </c>
      <c r="E172" s="4606"/>
      <c r="F172" s="4606"/>
      <c r="G172" s="4606"/>
      <c r="H172" s="4606"/>
      <c r="I172" s="4606"/>
      <c r="J172" s="4606"/>
      <c r="K172" s="4606"/>
      <c r="L172" s="4606"/>
      <c r="M172" s="4606">
        <v>1</v>
      </c>
      <c r="N172" s="4606">
        <v>1</v>
      </c>
      <c r="O172" s="4606"/>
      <c r="P172" s="4606">
        <v>2</v>
      </c>
      <c r="Q172" s="4606"/>
      <c r="R172" s="4606">
        <v>1</v>
      </c>
      <c r="S172" s="2552"/>
      <c r="T172" s="2552"/>
      <c r="U172" s="2552">
        <v>5</v>
      </c>
      <c r="V172" s="1977">
        <f>+(U169+U171)/(U172)</f>
        <v>0.6</v>
      </c>
      <c r="AA172" s="37" t="s">
        <v>1344</v>
      </c>
      <c r="AB172" s="4803"/>
      <c r="AC172" s="4803"/>
      <c r="AD172" s="4803"/>
      <c r="AE172" s="4803"/>
      <c r="AF172" s="4803"/>
      <c r="AG172" s="4803"/>
      <c r="AH172" s="4803"/>
      <c r="AI172" s="4803"/>
      <c r="AJ172" s="4803">
        <v>1</v>
      </c>
      <c r="AK172" s="4803">
        <v>0</v>
      </c>
      <c r="AL172" s="4803"/>
      <c r="AM172" s="4803">
        <v>0</v>
      </c>
      <c r="AN172" s="4803"/>
      <c r="AO172" s="4803">
        <v>0</v>
      </c>
      <c r="AP172" s="1788"/>
      <c r="AQ172" s="1788">
        <v>1</v>
      </c>
      <c r="AT172" s="41"/>
      <c r="AU172" s="41"/>
      <c r="AV172" s="461"/>
      <c r="AW172" s="461" t="s">
        <v>110</v>
      </c>
      <c r="AX172" s="2489">
        <v>2</v>
      </c>
      <c r="AY172" s="2489">
        <v>3</v>
      </c>
      <c r="AZ172" s="2489">
        <v>1</v>
      </c>
      <c r="BA172" s="2489">
        <v>4</v>
      </c>
      <c r="BB172" s="2489"/>
      <c r="BC172" s="2489">
        <v>3</v>
      </c>
      <c r="BD172" s="2489">
        <v>1</v>
      </c>
      <c r="BE172" s="2489"/>
      <c r="BF172" s="2489"/>
      <c r="BG172" s="2489">
        <v>2</v>
      </c>
      <c r="BH172" s="2489">
        <v>2</v>
      </c>
      <c r="BI172" s="2489">
        <v>6</v>
      </c>
      <c r="BJ172" s="2489">
        <v>32</v>
      </c>
      <c r="BK172" s="2489">
        <v>57</v>
      </c>
      <c r="BL172" s="2489">
        <v>65</v>
      </c>
      <c r="BM172" s="461">
        <v>13</v>
      </c>
      <c r="BN172" s="461">
        <v>13</v>
      </c>
      <c r="BO172" s="461">
        <v>204</v>
      </c>
      <c r="BP172" s="635">
        <f>+(BO171+BO170+BO167-BM167)/BO172</f>
        <v>0.33333333333333331</v>
      </c>
      <c r="BQ172" s="1977"/>
      <c r="BR172" s="41"/>
      <c r="BS172" s="41"/>
      <c r="BT172" s="41"/>
      <c r="BU172" s="41" t="s">
        <v>1344</v>
      </c>
      <c r="BV172" s="2001"/>
      <c r="BW172" s="2001">
        <v>0</v>
      </c>
      <c r="BX172" s="2001">
        <v>0</v>
      </c>
      <c r="BY172" s="2001"/>
      <c r="BZ172" s="2001"/>
      <c r="CA172" s="2001">
        <v>0</v>
      </c>
      <c r="CB172" s="2001"/>
      <c r="CC172" s="2001">
        <v>0</v>
      </c>
      <c r="CD172" s="2001">
        <v>1</v>
      </c>
      <c r="CE172" s="2001">
        <v>0</v>
      </c>
      <c r="CF172" s="2001">
        <v>0</v>
      </c>
      <c r="CG172" s="2001">
        <v>0</v>
      </c>
      <c r="CH172" s="2001">
        <v>8</v>
      </c>
      <c r="CI172" s="2001">
        <v>1</v>
      </c>
      <c r="CJ172" s="2001">
        <v>3</v>
      </c>
      <c r="CK172" s="105">
        <v>0</v>
      </c>
      <c r="CL172" s="105">
        <v>0</v>
      </c>
      <c r="CM172" s="105">
        <v>13</v>
      </c>
      <c r="CN172" s="41"/>
      <c r="CR172" s="41"/>
      <c r="CS172" s="41" t="s">
        <v>1239</v>
      </c>
      <c r="CT172" s="1665"/>
      <c r="CU172" s="1665">
        <v>0</v>
      </c>
      <c r="CV172" s="1665"/>
      <c r="CW172" s="1665"/>
      <c r="CX172" s="1665">
        <v>0</v>
      </c>
      <c r="CY172" s="1665"/>
      <c r="CZ172" s="1665"/>
      <c r="DA172" s="1665"/>
      <c r="DB172" s="1665"/>
      <c r="DC172" s="1665">
        <v>0</v>
      </c>
      <c r="DD172" s="1665">
        <v>0</v>
      </c>
      <c r="DE172" s="1665"/>
      <c r="DF172" s="1665"/>
      <c r="DG172" s="1665"/>
      <c r="DH172" s="1665"/>
      <c r="DI172" s="41"/>
      <c r="DJ172" s="41">
        <v>1</v>
      </c>
      <c r="DK172" s="41">
        <v>1</v>
      </c>
      <c r="DL172" s="41"/>
      <c r="DN172" s="1375"/>
      <c r="DO172" s="1375"/>
      <c r="DP172" s="1375"/>
      <c r="DQ172" s="1376" t="s">
        <v>1233</v>
      </c>
      <c r="DR172" s="1377"/>
      <c r="DS172" s="1377"/>
      <c r="DT172" s="1377"/>
      <c r="DU172" s="1377"/>
      <c r="DV172" s="1377"/>
      <c r="DW172" s="1378">
        <v>1</v>
      </c>
      <c r="DX172" s="1377"/>
      <c r="DY172" s="1378">
        <v>0</v>
      </c>
      <c r="DZ172" s="1377"/>
      <c r="EA172" s="1377"/>
      <c r="EB172" s="1377"/>
      <c r="EC172" s="1377"/>
      <c r="ED172" s="1377"/>
      <c r="EE172" s="1379"/>
      <c r="EF172" s="1379"/>
      <c r="EG172" s="1380">
        <v>1</v>
      </c>
      <c r="EH172" s="41"/>
      <c r="EJ172" s="678"/>
      <c r="EK172" s="678"/>
      <c r="EL172" s="678"/>
      <c r="EM172" s="679" t="s">
        <v>1231</v>
      </c>
      <c r="EN172" s="681">
        <v>1</v>
      </c>
      <c r="EO172" s="681">
        <v>7</v>
      </c>
      <c r="EP172" s="681">
        <v>2</v>
      </c>
      <c r="EQ172" s="681">
        <v>2</v>
      </c>
      <c r="ER172" s="681">
        <v>1</v>
      </c>
      <c r="ES172" s="681">
        <v>2</v>
      </c>
      <c r="ET172" s="681">
        <v>1</v>
      </c>
      <c r="EU172" s="681">
        <v>3</v>
      </c>
      <c r="EV172" s="681">
        <v>4</v>
      </c>
      <c r="EW172" s="681">
        <v>7</v>
      </c>
      <c r="EX172" s="681">
        <v>8</v>
      </c>
      <c r="EY172" s="681">
        <v>4</v>
      </c>
      <c r="EZ172" s="681">
        <v>11</v>
      </c>
      <c r="FA172" s="681">
        <v>10</v>
      </c>
      <c r="FB172" s="681">
        <v>1</v>
      </c>
      <c r="FC172" s="683">
        <v>2</v>
      </c>
      <c r="FD172" s="683">
        <v>0</v>
      </c>
      <c r="FE172" s="683">
        <v>66</v>
      </c>
      <c r="FF172" s="105"/>
      <c r="FH172" s="511"/>
      <c r="FI172" s="511"/>
      <c r="FJ172" s="511"/>
      <c r="FK172" s="41"/>
      <c r="FL172" s="532" t="s">
        <v>844</v>
      </c>
      <c r="FM172" s="693"/>
      <c r="FN172" s="694">
        <v>1</v>
      </c>
      <c r="FO172" s="693"/>
      <c r="FP172" s="693"/>
      <c r="FQ172" s="693"/>
      <c r="FR172" s="693"/>
      <c r="FS172" s="693"/>
      <c r="FT172" s="693"/>
      <c r="FU172" s="693"/>
      <c r="FV172" s="694">
        <v>2</v>
      </c>
      <c r="FW172" s="694">
        <v>1</v>
      </c>
      <c r="FX172" s="693"/>
      <c r="FY172" s="694">
        <v>1</v>
      </c>
      <c r="FZ172" s="693"/>
      <c r="GA172" s="693"/>
      <c r="GB172" s="696">
        <v>1</v>
      </c>
      <c r="GC172" s="696">
        <v>4</v>
      </c>
      <c r="GD172" s="696">
        <v>10</v>
      </c>
      <c r="GE172" s="635">
        <f>+GD171/GD172</f>
        <v>0.1</v>
      </c>
      <c r="GF172" s="41"/>
      <c r="GG172" s="688"/>
      <c r="GH172" s="688"/>
      <c r="GI172" s="670"/>
      <c r="GJ172" s="670"/>
      <c r="GK172" s="5673" t="s">
        <v>1318</v>
      </c>
      <c r="GL172" s="5673"/>
      <c r="GM172" s="5673"/>
      <c r="GN172" s="5673"/>
      <c r="GO172" s="5673"/>
      <c r="GP172" s="5673"/>
      <c r="GQ172" s="5673"/>
      <c r="GR172" s="5673"/>
      <c r="GS172" s="5673"/>
      <c r="GT172" s="5673"/>
      <c r="GU172" s="5673"/>
      <c r="GV172" s="5673"/>
      <c r="GW172" s="5673"/>
      <c r="GX172" s="669"/>
      <c r="GY172" s="41"/>
      <c r="GZ172" s="41"/>
      <c r="HA172" s="41"/>
      <c r="HB172" s="105"/>
      <c r="HC172" s="105"/>
      <c r="HD172" s="41" t="s">
        <v>327</v>
      </c>
      <c r="HE172" s="461" t="s">
        <v>327</v>
      </c>
      <c r="HF172" s="5626" t="s">
        <v>1319</v>
      </c>
      <c r="HG172" s="5626"/>
      <c r="HH172" s="5626"/>
      <c r="HI172" s="5626"/>
      <c r="HJ172" s="5626"/>
      <c r="HK172" s="5626"/>
      <c r="HL172" s="5626"/>
      <c r="HM172" s="5626"/>
      <c r="HN172" s="5626"/>
      <c r="HO172" s="5626"/>
      <c r="HP172" s="5626"/>
      <c r="HQ172" s="5626"/>
      <c r="HR172" s="5626"/>
      <c r="HS172" s="5626"/>
      <c r="HT172" s="5626"/>
      <c r="HU172" s="5626"/>
      <c r="HV172" s="461"/>
      <c r="HW172" s="41"/>
      <c r="HX172" s="41"/>
      <c r="HY172" s="692"/>
      <c r="HZ172" s="691"/>
      <c r="IA172" s="691"/>
      <c r="IB172" s="691"/>
      <c r="IC172" s="5677" t="s">
        <v>1319</v>
      </c>
      <c r="ID172" s="5677"/>
      <c r="IE172" s="5677"/>
      <c r="IF172" s="5677"/>
      <c r="IG172" s="5677"/>
      <c r="IH172" s="5677"/>
      <c r="II172" s="5677"/>
      <c r="IJ172" s="5677"/>
      <c r="IK172" s="5677"/>
      <c r="IL172" s="5677"/>
      <c r="IM172" s="5677"/>
      <c r="IN172" s="5677"/>
      <c r="IO172" s="5677"/>
      <c r="IP172" s="5677"/>
      <c r="IQ172" s="5677"/>
      <c r="IR172" s="5677"/>
      <c r="IS172" s="691"/>
      <c r="IT172" s="691"/>
      <c r="IU172" s="692"/>
    </row>
    <row r="173" spans="2:255" ht="24.6" thickBot="1">
      <c r="C173" s="32" t="s">
        <v>547</v>
      </c>
      <c r="D173" s="32" t="s">
        <v>1231</v>
      </c>
      <c r="E173" s="4607"/>
      <c r="F173" s="4607"/>
      <c r="G173" s="4607"/>
      <c r="H173" s="4607"/>
      <c r="I173" s="4607"/>
      <c r="J173" s="4607"/>
      <c r="K173" s="4607"/>
      <c r="L173" s="4607"/>
      <c r="M173" s="4607">
        <v>0</v>
      </c>
      <c r="N173" s="4607">
        <v>1</v>
      </c>
      <c r="O173" s="4607">
        <v>0</v>
      </c>
      <c r="P173" s="4607">
        <v>2</v>
      </c>
      <c r="Q173" s="4607">
        <v>1</v>
      </c>
      <c r="R173" s="4607">
        <v>0</v>
      </c>
      <c r="S173" s="4583"/>
      <c r="T173" s="4583">
        <v>0</v>
      </c>
      <c r="U173" s="4583">
        <v>4</v>
      </c>
      <c r="V173" s="4583"/>
      <c r="AA173" s="1793" t="s">
        <v>15</v>
      </c>
      <c r="AB173" s="4804"/>
      <c r="AC173" s="4804"/>
      <c r="AD173" s="4804"/>
      <c r="AE173" s="4804"/>
      <c r="AF173" s="4804"/>
      <c r="AG173" s="4804"/>
      <c r="AH173" s="4804"/>
      <c r="AI173" s="4804"/>
      <c r="AJ173" s="4804">
        <v>1</v>
      </c>
      <c r="AK173" s="4804">
        <v>1</v>
      </c>
      <c r="AL173" s="4804"/>
      <c r="AM173" s="4804">
        <v>2</v>
      </c>
      <c r="AN173" s="4804"/>
      <c r="AO173" s="4804">
        <v>1</v>
      </c>
      <c r="AP173" s="4702"/>
      <c r="AQ173" s="4702">
        <v>5</v>
      </c>
      <c r="AR173" s="4703">
        <f>+(AQ170+AQ172)/AQ173</f>
        <v>0.6</v>
      </c>
      <c r="AT173" s="41" t="s">
        <v>48</v>
      </c>
      <c r="AU173" s="41" t="s">
        <v>16</v>
      </c>
      <c r="AV173" s="41" t="s">
        <v>128</v>
      </c>
      <c r="AW173" s="41" t="s">
        <v>1231</v>
      </c>
      <c r="AX173" s="690"/>
      <c r="AY173" s="690"/>
      <c r="AZ173" s="690"/>
      <c r="BA173" s="690"/>
      <c r="BB173" s="690"/>
      <c r="BC173" s="690"/>
      <c r="BD173" s="690"/>
      <c r="BE173" s="690"/>
      <c r="BF173" s="690"/>
      <c r="BG173" s="690"/>
      <c r="BH173" s="690"/>
      <c r="BI173" s="690"/>
      <c r="BJ173" s="690"/>
      <c r="BK173" s="690"/>
      <c r="BL173" s="690">
        <v>2</v>
      </c>
      <c r="BM173" s="41"/>
      <c r="BN173" s="41">
        <v>0</v>
      </c>
      <c r="BO173" s="41">
        <v>2</v>
      </c>
      <c r="BP173" s="41"/>
      <c r="BR173" s="41"/>
      <c r="BS173" s="41"/>
      <c r="BT173" s="41"/>
      <c r="BU173" s="461" t="s">
        <v>442</v>
      </c>
      <c r="BV173" s="2002"/>
      <c r="BW173" s="2002">
        <v>1</v>
      </c>
      <c r="BX173" s="2002">
        <v>2</v>
      </c>
      <c r="BY173" s="2002"/>
      <c r="BZ173" s="2002"/>
      <c r="CA173" s="2002">
        <v>2</v>
      </c>
      <c r="CB173" s="2002"/>
      <c r="CC173" s="2002">
        <v>1</v>
      </c>
      <c r="CD173" s="2002">
        <v>3</v>
      </c>
      <c r="CE173" s="2002">
        <v>6</v>
      </c>
      <c r="CF173" s="2002">
        <v>4</v>
      </c>
      <c r="CG173" s="2002">
        <v>4</v>
      </c>
      <c r="CH173" s="2002">
        <v>45</v>
      </c>
      <c r="CI173" s="2002">
        <v>12</v>
      </c>
      <c r="CJ173" s="2002">
        <v>8</v>
      </c>
      <c r="CK173" s="96">
        <v>2</v>
      </c>
      <c r="CL173" s="96">
        <v>10</v>
      </c>
      <c r="CM173" s="96">
        <v>100</v>
      </c>
      <c r="CN173" s="635">
        <f>+(CM168+CM171-CK171+CM172)/CM173</f>
        <v>0.28999999999999998</v>
      </c>
      <c r="CR173" s="41"/>
      <c r="CS173" s="41" t="s">
        <v>1344</v>
      </c>
      <c r="CT173" s="1665"/>
      <c r="CU173" s="1665">
        <v>0</v>
      </c>
      <c r="CV173" s="1665"/>
      <c r="CW173" s="1665"/>
      <c r="CX173" s="1665">
        <v>0</v>
      </c>
      <c r="CY173" s="1665"/>
      <c r="CZ173" s="1665"/>
      <c r="DA173" s="1665"/>
      <c r="DB173" s="1665"/>
      <c r="DC173" s="1665">
        <v>2</v>
      </c>
      <c r="DD173" s="1665">
        <v>1</v>
      </c>
      <c r="DE173" s="1665"/>
      <c r="DF173" s="1665"/>
      <c r="DG173" s="1665"/>
      <c r="DH173" s="1665"/>
      <c r="DI173" s="41"/>
      <c r="DJ173" s="41">
        <v>0</v>
      </c>
      <c r="DK173" s="41">
        <v>3</v>
      </c>
      <c r="DL173" s="41"/>
      <c r="DN173" s="1375"/>
      <c r="DO173" s="1375"/>
      <c r="DP173" s="1375"/>
      <c r="DQ173" s="1376" t="s">
        <v>1236</v>
      </c>
      <c r="DR173" s="1377"/>
      <c r="DS173" s="1377"/>
      <c r="DT173" s="1377"/>
      <c r="DU173" s="1377"/>
      <c r="DV173" s="1377"/>
      <c r="DW173" s="1378">
        <v>1</v>
      </c>
      <c r="DX173" s="1377"/>
      <c r="DY173" s="1378">
        <v>0</v>
      </c>
      <c r="DZ173" s="1377"/>
      <c r="EA173" s="1377"/>
      <c r="EB173" s="1377"/>
      <c r="EC173" s="1377"/>
      <c r="ED173" s="1377"/>
      <c r="EE173" s="1379"/>
      <c r="EF173" s="1379"/>
      <c r="EG173" s="1380">
        <v>1</v>
      </c>
      <c r="EH173" s="41"/>
      <c r="EJ173" s="678"/>
      <c r="EK173" s="678"/>
      <c r="EL173" s="678"/>
      <c r="EM173" s="679" t="s">
        <v>1233</v>
      </c>
      <c r="EN173" s="681">
        <v>0</v>
      </c>
      <c r="EO173" s="681">
        <v>0</v>
      </c>
      <c r="EP173" s="681">
        <v>2</v>
      </c>
      <c r="EQ173" s="681">
        <v>1</v>
      </c>
      <c r="ER173" s="681">
        <v>1</v>
      </c>
      <c r="ES173" s="681">
        <v>0</v>
      </c>
      <c r="ET173" s="681">
        <v>0</v>
      </c>
      <c r="EU173" s="681">
        <v>0</v>
      </c>
      <c r="EV173" s="681">
        <v>0</v>
      </c>
      <c r="EW173" s="681">
        <v>1</v>
      </c>
      <c r="EX173" s="681">
        <v>0</v>
      </c>
      <c r="EY173" s="681">
        <v>0</v>
      </c>
      <c r="EZ173" s="681">
        <v>0</v>
      </c>
      <c r="FA173" s="681">
        <v>0</v>
      </c>
      <c r="FB173" s="681">
        <v>0</v>
      </c>
      <c r="FC173" s="683">
        <v>0</v>
      </c>
      <c r="FD173" s="683">
        <v>0</v>
      </c>
      <c r="FE173" s="683">
        <v>5</v>
      </c>
      <c r="FF173" s="105"/>
      <c r="FG173" s="45"/>
      <c r="FH173" s="511"/>
      <c r="FI173" s="511"/>
      <c r="FJ173" s="532" t="s">
        <v>442</v>
      </c>
      <c r="FK173" s="511" t="s">
        <v>1229</v>
      </c>
      <c r="FL173" s="512" t="s">
        <v>1231</v>
      </c>
      <c r="FM173" s="684"/>
      <c r="FN173" s="685">
        <v>2</v>
      </c>
      <c r="FO173" s="685">
        <v>2</v>
      </c>
      <c r="FP173" s="685">
        <v>2</v>
      </c>
      <c r="FQ173" s="684"/>
      <c r="FR173" s="685">
        <v>1</v>
      </c>
      <c r="FS173" s="684"/>
      <c r="FT173" s="685">
        <v>1</v>
      </c>
      <c r="FU173" s="685">
        <v>0</v>
      </c>
      <c r="FV173" s="685">
        <v>5</v>
      </c>
      <c r="FW173" s="685">
        <v>2</v>
      </c>
      <c r="FX173" s="685">
        <v>9</v>
      </c>
      <c r="FY173" s="685">
        <v>21</v>
      </c>
      <c r="FZ173" s="685">
        <v>8</v>
      </c>
      <c r="GA173" s="685">
        <v>4</v>
      </c>
      <c r="GB173" s="687">
        <v>5</v>
      </c>
      <c r="GC173" s="687">
        <v>0</v>
      </c>
      <c r="GD173" s="687">
        <v>62</v>
      </c>
      <c r="GE173" s="635"/>
      <c r="GF173" s="720"/>
      <c r="GG173" s="726"/>
      <c r="GH173" s="726"/>
      <c r="GI173" s="716" t="s">
        <v>0</v>
      </c>
      <c r="GJ173" s="716" t="s">
        <v>1229</v>
      </c>
      <c r="GK173" s="716">
        <v>1</v>
      </c>
      <c r="GL173" s="716">
        <v>5</v>
      </c>
      <c r="GM173" s="716">
        <v>6</v>
      </c>
      <c r="GN173" s="716">
        <v>7</v>
      </c>
      <c r="GO173" s="716">
        <v>8</v>
      </c>
      <c r="GP173" s="716">
        <v>9</v>
      </c>
      <c r="GQ173" s="716">
        <v>10</v>
      </c>
      <c r="GR173" s="716">
        <v>11</v>
      </c>
      <c r="GS173" s="716">
        <v>12</v>
      </c>
      <c r="GT173" s="716">
        <v>13</v>
      </c>
      <c r="GU173" s="716">
        <v>14</v>
      </c>
      <c r="GV173" s="716">
        <v>15</v>
      </c>
      <c r="GW173" s="716">
        <v>16</v>
      </c>
      <c r="GX173" s="716" t="s">
        <v>15</v>
      </c>
      <c r="GY173" s="717" t="s">
        <v>66</v>
      </c>
      <c r="GZ173" s="720"/>
      <c r="HA173" s="720"/>
      <c r="HB173" s="727"/>
      <c r="HC173" s="727"/>
      <c r="HD173" s="728" t="s">
        <v>0</v>
      </c>
      <c r="HE173" s="728" t="s">
        <v>1229</v>
      </c>
      <c r="HF173" s="728">
        <v>1</v>
      </c>
      <c r="HG173" s="728">
        <v>2</v>
      </c>
      <c r="HH173" s="728">
        <v>3</v>
      </c>
      <c r="HI173" s="728">
        <v>4</v>
      </c>
      <c r="HJ173" s="728">
        <v>5</v>
      </c>
      <c r="HK173" s="728">
        <v>6</v>
      </c>
      <c r="HL173" s="728">
        <v>7</v>
      </c>
      <c r="HM173" s="728">
        <v>8</v>
      </c>
      <c r="HN173" s="728">
        <v>9</v>
      </c>
      <c r="HO173" s="728">
        <v>10</v>
      </c>
      <c r="HP173" s="728">
        <v>11</v>
      </c>
      <c r="HQ173" s="728">
        <v>12</v>
      </c>
      <c r="HR173" s="728">
        <v>13</v>
      </c>
      <c r="HS173" s="728">
        <v>14</v>
      </c>
      <c r="HT173" s="728">
        <v>15</v>
      </c>
      <c r="HU173" s="728">
        <v>16</v>
      </c>
      <c r="HV173" s="728" t="s">
        <v>15</v>
      </c>
      <c r="HW173" s="728" t="s">
        <v>66</v>
      </c>
      <c r="HX173" s="41"/>
      <c r="HY173" s="691"/>
      <c r="HZ173" s="691"/>
      <c r="IA173" s="722" t="s">
        <v>0</v>
      </c>
      <c r="IB173" s="723" t="s">
        <v>1321</v>
      </c>
      <c r="IC173" s="722">
        <v>0</v>
      </c>
      <c r="ID173" s="722">
        <v>1</v>
      </c>
      <c r="IE173" s="722">
        <v>2</v>
      </c>
      <c r="IF173" s="722">
        <v>3</v>
      </c>
      <c r="IG173" s="722">
        <v>5</v>
      </c>
      <c r="IH173" s="722">
        <v>6</v>
      </c>
      <c r="II173" s="722">
        <v>7</v>
      </c>
      <c r="IJ173" s="722">
        <v>8</v>
      </c>
      <c r="IK173" s="722">
        <v>9</v>
      </c>
      <c r="IL173" s="722">
        <v>10</v>
      </c>
      <c r="IM173" s="722">
        <v>11</v>
      </c>
      <c r="IN173" s="722">
        <v>12</v>
      </c>
      <c r="IO173" s="722">
        <v>13</v>
      </c>
      <c r="IP173" s="722">
        <v>14</v>
      </c>
      <c r="IQ173" s="722">
        <v>15</v>
      </c>
      <c r="IR173" s="722">
        <v>16</v>
      </c>
      <c r="IS173" s="722" t="s">
        <v>15</v>
      </c>
      <c r="IT173" s="723" t="s">
        <v>66</v>
      </c>
      <c r="IU173" s="722" t="s">
        <v>1322</v>
      </c>
    </row>
    <row r="174" spans="2:255">
      <c r="C174" s="32"/>
      <c r="D174" s="32" t="s">
        <v>1235</v>
      </c>
      <c r="E174" s="4607"/>
      <c r="F174" s="4607"/>
      <c r="G174" s="4607"/>
      <c r="H174" s="4607"/>
      <c r="I174" s="4607"/>
      <c r="J174" s="4607"/>
      <c r="K174" s="4607"/>
      <c r="L174" s="4607"/>
      <c r="M174" s="4607">
        <v>0</v>
      </c>
      <c r="N174" s="4607">
        <v>0</v>
      </c>
      <c r="O174" s="4607">
        <v>1</v>
      </c>
      <c r="P174" s="4607">
        <v>3</v>
      </c>
      <c r="Q174" s="4607">
        <v>0</v>
      </c>
      <c r="R174" s="4607">
        <v>0</v>
      </c>
      <c r="S174" s="4583"/>
      <c r="T174" s="4583">
        <v>0</v>
      </c>
      <c r="U174" s="4583">
        <v>4</v>
      </c>
      <c r="V174" s="4583"/>
      <c r="Z174" s="1793" t="s">
        <v>547</v>
      </c>
      <c r="AA174" s="1793" t="s">
        <v>1231</v>
      </c>
      <c r="AB174" s="4804"/>
      <c r="AC174" s="4804"/>
      <c r="AD174" s="4804"/>
      <c r="AE174" s="4804"/>
      <c r="AF174" s="4804"/>
      <c r="AG174" s="4804"/>
      <c r="AH174" s="4804"/>
      <c r="AI174" s="4804"/>
      <c r="AJ174" s="4804">
        <v>0</v>
      </c>
      <c r="AK174" s="4804">
        <v>1</v>
      </c>
      <c r="AL174" s="4804">
        <v>0</v>
      </c>
      <c r="AM174" s="4804">
        <v>2</v>
      </c>
      <c r="AN174" s="4804">
        <v>1</v>
      </c>
      <c r="AO174" s="4804">
        <v>0</v>
      </c>
      <c r="AP174" s="4702">
        <v>0</v>
      </c>
      <c r="AQ174" s="4702">
        <v>4</v>
      </c>
      <c r="AR174" s="1793"/>
      <c r="AT174" s="41"/>
      <c r="AU174" s="41"/>
      <c r="AV174" s="41"/>
      <c r="AW174" s="41" t="s">
        <v>1235</v>
      </c>
      <c r="AX174" s="690"/>
      <c r="AY174" s="690"/>
      <c r="AZ174" s="690"/>
      <c r="BA174" s="690"/>
      <c r="BB174" s="690"/>
      <c r="BC174" s="690"/>
      <c r="BD174" s="690"/>
      <c r="BE174" s="690"/>
      <c r="BF174" s="690"/>
      <c r="BG174" s="690"/>
      <c r="BH174" s="690"/>
      <c r="BI174" s="690"/>
      <c r="BJ174" s="690"/>
      <c r="BK174" s="690"/>
      <c r="BL174" s="690">
        <v>1</v>
      </c>
      <c r="BM174" s="41"/>
      <c r="BN174" s="41">
        <v>0</v>
      </c>
      <c r="BO174" s="41">
        <v>1</v>
      </c>
      <c r="BP174" s="41"/>
      <c r="BR174" s="41" t="s">
        <v>59</v>
      </c>
      <c r="BS174" s="41" t="s">
        <v>16</v>
      </c>
      <c r="BT174" s="41" t="s">
        <v>670</v>
      </c>
      <c r="BU174" s="41" t="s">
        <v>1230</v>
      </c>
      <c r="BV174" s="2001"/>
      <c r="BW174" s="2001"/>
      <c r="BX174" s="2001"/>
      <c r="BY174" s="2001"/>
      <c r="BZ174" s="2001"/>
      <c r="CA174" s="2001"/>
      <c r="CB174" s="2001"/>
      <c r="CC174" s="2001">
        <v>0</v>
      </c>
      <c r="CD174" s="2001"/>
      <c r="CE174" s="2001">
        <v>0</v>
      </c>
      <c r="CF174" s="2001">
        <v>0</v>
      </c>
      <c r="CG174" s="2001"/>
      <c r="CH174" s="2001"/>
      <c r="CI174" s="2001"/>
      <c r="CJ174" s="2001">
        <v>1</v>
      </c>
      <c r="CK174" s="105"/>
      <c r="CL174" s="105"/>
      <c r="CM174" s="105">
        <v>1</v>
      </c>
      <c r="CN174" s="41"/>
      <c r="CR174" s="41"/>
      <c r="CS174" s="461" t="s">
        <v>15</v>
      </c>
      <c r="CT174" s="1666"/>
      <c r="CU174" s="1666">
        <v>1</v>
      </c>
      <c r="CV174" s="1666"/>
      <c r="CW174" s="1666"/>
      <c r="CX174" s="1666">
        <v>1</v>
      </c>
      <c r="CY174" s="1666"/>
      <c r="CZ174" s="1666"/>
      <c r="DA174" s="1666"/>
      <c r="DB174" s="1666"/>
      <c r="DC174" s="1666">
        <v>5</v>
      </c>
      <c r="DD174" s="1666">
        <v>2</v>
      </c>
      <c r="DE174" s="1666"/>
      <c r="DF174" s="1666"/>
      <c r="DG174" s="1666"/>
      <c r="DH174" s="1666"/>
      <c r="DI174" s="461"/>
      <c r="DJ174" s="461">
        <v>1</v>
      </c>
      <c r="DK174" s="461">
        <v>10</v>
      </c>
      <c r="DL174" s="635">
        <f>+DK173/DK174</f>
        <v>0.3</v>
      </c>
      <c r="DN174" s="1375"/>
      <c r="DO174" s="1375"/>
      <c r="DP174" s="1375"/>
      <c r="DQ174" s="1376" t="s">
        <v>1344</v>
      </c>
      <c r="DR174" s="1377"/>
      <c r="DS174" s="1377"/>
      <c r="DT174" s="1377"/>
      <c r="DU174" s="1377"/>
      <c r="DV174" s="1377"/>
      <c r="DW174" s="1378">
        <v>0</v>
      </c>
      <c r="DX174" s="1377"/>
      <c r="DY174" s="1378">
        <v>2</v>
      </c>
      <c r="DZ174" s="1377"/>
      <c r="EA174" s="1377"/>
      <c r="EB174" s="1377"/>
      <c r="EC174" s="1377"/>
      <c r="ED174" s="1377"/>
      <c r="EE174" s="1379"/>
      <c r="EF174" s="1379"/>
      <c r="EG174" s="1380">
        <v>2</v>
      </c>
      <c r="EH174" s="41"/>
      <c r="EJ174" s="678"/>
      <c r="EK174" s="678"/>
      <c r="EL174" s="678"/>
      <c r="EM174" s="679" t="s">
        <v>1235</v>
      </c>
      <c r="EN174" s="681">
        <v>0</v>
      </c>
      <c r="EO174" s="681">
        <v>0</v>
      </c>
      <c r="EP174" s="681">
        <v>0</v>
      </c>
      <c r="EQ174" s="681">
        <v>0</v>
      </c>
      <c r="ER174" s="681">
        <v>0</v>
      </c>
      <c r="ES174" s="681">
        <v>0</v>
      </c>
      <c r="ET174" s="681">
        <v>1</v>
      </c>
      <c r="EU174" s="681">
        <v>2</v>
      </c>
      <c r="EV174" s="681">
        <v>1</v>
      </c>
      <c r="EW174" s="681">
        <v>0</v>
      </c>
      <c r="EX174" s="681">
        <v>2</v>
      </c>
      <c r="EY174" s="681">
        <v>2</v>
      </c>
      <c r="EZ174" s="681">
        <v>7</v>
      </c>
      <c r="FA174" s="681">
        <v>26</v>
      </c>
      <c r="FB174" s="681">
        <v>2</v>
      </c>
      <c r="FC174" s="683">
        <v>0</v>
      </c>
      <c r="FD174" s="683">
        <v>0</v>
      </c>
      <c r="FE174" s="683">
        <v>43</v>
      </c>
      <c r="FF174" s="105"/>
      <c r="FH174" s="511"/>
      <c r="FI174" s="511"/>
      <c r="FJ174" s="511"/>
      <c r="FK174" s="511"/>
      <c r="FL174" s="512" t="s">
        <v>1235</v>
      </c>
      <c r="FM174" s="684"/>
      <c r="FN174" s="685">
        <v>0</v>
      </c>
      <c r="FO174" s="685">
        <v>0</v>
      </c>
      <c r="FP174" s="685">
        <v>0</v>
      </c>
      <c r="FQ174" s="684"/>
      <c r="FR174" s="685">
        <v>0</v>
      </c>
      <c r="FS174" s="684"/>
      <c r="FT174" s="685">
        <v>0</v>
      </c>
      <c r="FU174" s="685">
        <v>1</v>
      </c>
      <c r="FV174" s="685">
        <v>0</v>
      </c>
      <c r="FW174" s="685">
        <v>0</v>
      </c>
      <c r="FX174" s="685">
        <v>2</v>
      </c>
      <c r="FY174" s="685">
        <v>1</v>
      </c>
      <c r="FZ174" s="685">
        <v>1</v>
      </c>
      <c r="GA174" s="685">
        <v>1</v>
      </c>
      <c r="GB174" s="687">
        <v>0</v>
      </c>
      <c r="GC174" s="687">
        <v>0</v>
      </c>
      <c r="GD174" s="687">
        <v>6</v>
      </c>
      <c r="GE174" s="635"/>
      <c r="GF174" s="41"/>
      <c r="GG174" s="688"/>
      <c r="GH174" s="688"/>
      <c r="GI174" s="688" t="s">
        <v>106</v>
      </c>
      <c r="GJ174" s="457" t="s">
        <v>1231</v>
      </c>
      <c r="GK174" s="458">
        <v>0</v>
      </c>
      <c r="GL174" s="689"/>
      <c r="GM174" s="458">
        <v>0</v>
      </c>
      <c r="GN174" s="458">
        <v>0</v>
      </c>
      <c r="GO174" s="458">
        <v>0</v>
      </c>
      <c r="GP174" s="458">
        <v>0</v>
      </c>
      <c r="GQ174" s="458">
        <v>0</v>
      </c>
      <c r="GR174" s="458">
        <v>0</v>
      </c>
      <c r="GS174" s="458">
        <v>1</v>
      </c>
      <c r="GT174" s="458">
        <v>1</v>
      </c>
      <c r="GU174" s="458">
        <v>0</v>
      </c>
      <c r="GV174" s="689"/>
      <c r="GW174" s="689"/>
      <c r="GX174" s="458">
        <v>2</v>
      </c>
      <c r="GY174" s="628"/>
      <c r="GZ174" s="41"/>
      <c r="HA174" s="41"/>
      <c r="HB174" s="105"/>
      <c r="HC174" s="105"/>
      <c r="HD174" s="105" t="s">
        <v>3</v>
      </c>
      <c r="HE174" s="41" t="s">
        <v>1231</v>
      </c>
      <c r="HF174" s="41">
        <v>2</v>
      </c>
      <c r="HG174" s="41">
        <v>0</v>
      </c>
      <c r="HH174" s="41">
        <v>0</v>
      </c>
      <c r="HI174" s="41"/>
      <c r="HJ174" s="41"/>
      <c r="HK174" s="41">
        <v>1</v>
      </c>
      <c r="HL174" s="41">
        <v>2</v>
      </c>
      <c r="HM174" s="41">
        <v>1</v>
      </c>
      <c r="HN174" s="41">
        <v>11</v>
      </c>
      <c r="HO174" s="41">
        <v>6</v>
      </c>
      <c r="HP174" s="41">
        <v>1</v>
      </c>
      <c r="HQ174" s="41">
        <v>1</v>
      </c>
      <c r="HR174" s="41">
        <v>0</v>
      </c>
      <c r="HS174" s="41"/>
      <c r="HT174" s="41"/>
      <c r="HU174" s="41">
        <v>0</v>
      </c>
      <c r="HV174" s="41">
        <v>25</v>
      </c>
      <c r="HW174" s="41"/>
      <c r="HX174" s="41"/>
      <c r="HY174" s="691"/>
      <c r="HZ174" s="691"/>
      <c r="IA174" s="691" t="s">
        <v>3</v>
      </c>
      <c r="IB174" s="691" t="s">
        <v>1231</v>
      </c>
      <c r="IC174" s="691">
        <v>0</v>
      </c>
      <c r="ID174" s="691">
        <v>0</v>
      </c>
      <c r="IE174" s="691">
        <v>0</v>
      </c>
      <c r="IF174" s="691">
        <v>0</v>
      </c>
      <c r="IG174" s="691">
        <v>0</v>
      </c>
      <c r="IH174" s="691">
        <v>1</v>
      </c>
      <c r="II174" s="691">
        <v>0</v>
      </c>
      <c r="IJ174" s="691">
        <v>0</v>
      </c>
      <c r="IK174" s="691">
        <v>0</v>
      </c>
      <c r="IL174" s="691">
        <v>0</v>
      </c>
      <c r="IM174" s="691">
        <v>2</v>
      </c>
      <c r="IN174" s="691">
        <v>0</v>
      </c>
      <c r="IO174" s="691">
        <v>0</v>
      </c>
      <c r="IP174" s="691">
        <v>0</v>
      </c>
      <c r="IQ174" s="691">
        <v>0</v>
      </c>
      <c r="IR174" s="691">
        <v>0</v>
      </c>
      <c r="IS174" s="691">
        <v>3</v>
      </c>
      <c r="IT174" s="691"/>
      <c r="IU174" s="692"/>
    </row>
    <row r="175" spans="2:255">
      <c r="C175" s="32"/>
      <c r="D175" s="32" t="s">
        <v>1239</v>
      </c>
      <c r="E175" s="4607"/>
      <c r="F175" s="4607"/>
      <c r="G175" s="4607"/>
      <c r="H175" s="4607"/>
      <c r="I175" s="4607"/>
      <c r="J175" s="4607"/>
      <c r="K175" s="4607"/>
      <c r="L175" s="4607"/>
      <c r="M175" s="4607">
        <v>0</v>
      </c>
      <c r="N175" s="4607">
        <v>0</v>
      </c>
      <c r="O175" s="4607">
        <v>0</v>
      </c>
      <c r="P175" s="4607">
        <v>0</v>
      </c>
      <c r="Q175" s="4607">
        <v>2</v>
      </c>
      <c r="R175" s="4607">
        <v>4</v>
      </c>
      <c r="S175" s="4583"/>
      <c r="T175" s="4583">
        <v>2</v>
      </c>
      <c r="U175" s="4583">
        <v>8</v>
      </c>
      <c r="V175" s="4583"/>
      <c r="Z175" s="1793"/>
      <c r="AA175" s="1793" t="s">
        <v>1235</v>
      </c>
      <c r="AB175" s="4804"/>
      <c r="AC175" s="4804"/>
      <c r="AD175" s="4804"/>
      <c r="AE175" s="4804"/>
      <c r="AF175" s="4804"/>
      <c r="AG175" s="4804"/>
      <c r="AH175" s="4804"/>
      <c r="AI175" s="4804"/>
      <c r="AJ175" s="4804">
        <v>0</v>
      </c>
      <c r="AK175" s="4804">
        <v>0</v>
      </c>
      <c r="AL175" s="4804">
        <v>0</v>
      </c>
      <c r="AM175" s="4804">
        <v>3</v>
      </c>
      <c r="AN175" s="4804">
        <v>0</v>
      </c>
      <c r="AO175" s="4804">
        <v>0</v>
      </c>
      <c r="AP175" s="4702">
        <v>0</v>
      </c>
      <c r="AQ175" s="4702">
        <v>3</v>
      </c>
      <c r="AR175" s="1793"/>
      <c r="AT175" s="41"/>
      <c r="AU175" s="41"/>
      <c r="AV175" s="41"/>
      <c r="AW175" s="41" t="s">
        <v>1239</v>
      </c>
      <c r="AX175" s="690"/>
      <c r="AY175" s="690"/>
      <c r="AZ175" s="690"/>
      <c r="BA175" s="690"/>
      <c r="BB175" s="690"/>
      <c r="BC175" s="690"/>
      <c r="BD175" s="690"/>
      <c r="BE175" s="690"/>
      <c r="BF175" s="690"/>
      <c r="BG175" s="690"/>
      <c r="BH175" s="690"/>
      <c r="BI175" s="690"/>
      <c r="BJ175" s="690"/>
      <c r="BK175" s="690"/>
      <c r="BL175" s="690">
        <v>0</v>
      </c>
      <c r="BM175" s="41"/>
      <c r="BN175" s="41">
        <v>5</v>
      </c>
      <c r="BO175" s="41">
        <v>5</v>
      </c>
      <c r="BP175" s="41"/>
      <c r="BR175" s="41"/>
      <c r="BS175" s="41"/>
      <c r="BT175" s="41"/>
      <c r="BU175" s="41" t="s">
        <v>1231</v>
      </c>
      <c r="BV175" s="2001"/>
      <c r="BW175" s="2001"/>
      <c r="BX175" s="2001"/>
      <c r="BY175" s="2001"/>
      <c r="BZ175" s="2001"/>
      <c r="CA175" s="2001"/>
      <c r="CB175" s="2001"/>
      <c r="CC175" s="2001">
        <v>0</v>
      </c>
      <c r="CD175" s="2001"/>
      <c r="CE175" s="2001">
        <v>6</v>
      </c>
      <c r="CF175" s="2001">
        <v>1</v>
      </c>
      <c r="CG175" s="2001"/>
      <c r="CH175" s="2001"/>
      <c r="CI175" s="2001"/>
      <c r="CJ175" s="2001">
        <v>0</v>
      </c>
      <c r="CK175" s="105"/>
      <c r="CL175" s="105"/>
      <c r="CM175" s="105">
        <v>7</v>
      </c>
      <c r="CN175" s="41"/>
      <c r="CR175" s="41" t="s">
        <v>545</v>
      </c>
      <c r="CS175" s="41" t="s">
        <v>1231</v>
      </c>
      <c r="CT175" s="1665"/>
      <c r="CU175" s="1665">
        <v>0</v>
      </c>
      <c r="CV175" s="1665"/>
      <c r="CW175" s="1665"/>
      <c r="CX175" s="1665">
        <v>0</v>
      </c>
      <c r="CY175" s="1665"/>
      <c r="CZ175" s="1665"/>
      <c r="DA175" s="1665"/>
      <c r="DB175" s="1665"/>
      <c r="DC175" s="1665">
        <v>3</v>
      </c>
      <c r="DD175" s="1665">
        <v>1</v>
      </c>
      <c r="DE175" s="1665"/>
      <c r="DF175" s="1665"/>
      <c r="DG175" s="1665"/>
      <c r="DH175" s="1665"/>
      <c r="DI175" s="41"/>
      <c r="DJ175" s="41">
        <v>0</v>
      </c>
      <c r="DK175" s="41">
        <v>4</v>
      </c>
      <c r="DL175" s="41"/>
      <c r="DN175" s="1375"/>
      <c r="DO175" s="1375"/>
      <c r="DP175" s="1375"/>
      <c r="DQ175" s="1372" t="s">
        <v>15</v>
      </c>
      <c r="DR175" s="1381"/>
      <c r="DS175" s="1381"/>
      <c r="DT175" s="1381"/>
      <c r="DU175" s="1381"/>
      <c r="DV175" s="1381"/>
      <c r="DW175" s="1382">
        <v>2</v>
      </c>
      <c r="DX175" s="1381"/>
      <c r="DY175" s="1382">
        <v>10</v>
      </c>
      <c r="DZ175" s="1381"/>
      <c r="EA175" s="1381"/>
      <c r="EB175" s="1381"/>
      <c r="EC175" s="1381"/>
      <c r="ED175" s="1381"/>
      <c r="EE175" s="1383"/>
      <c r="EF175" s="1383"/>
      <c r="EG175" s="1384">
        <v>12</v>
      </c>
      <c r="EH175" s="1325">
        <f>+EG174/EG175</f>
        <v>0.16666666666666666</v>
      </c>
      <c r="EJ175" s="678"/>
      <c r="EK175" s="678"/>
      <c r="EL175" s="678"/>
      <c r="EM175" s="679" t="s">
        <v>1236</v>
      </c>
      <c r="EN175" s="681">
        <v>0</v>
      </c>
      <c r="EO175" s="681">
        <v>0</v>
      </c>
      <c r="EP175" s="681">
        <v>2</v>
      </c>
      <c r="EQ175" s="681">
        <v>4</v>
      </c>
      <c r="ER175" s="681">
        <v>1</v>
      </c>
      <c r="ES175" s="681">
        <v>1</v>
      </c>
      <c r="ET175" s="681">
        <v>11</v>
      </c>
      <c r="EU175" s="681">
        <v>5</v>
      </c>
      <c r="EV175" s="681">
        <v>3</v>
      </c>
      <c r="EW175" s="681">
        <v>0</v>
      </c>
      <c r="EX175" s="681">
        <v>2</v>
      </c>
      <c r="EY175" s="681">
        <v>0</v>
      </c>
      <c r="EZ175" s="681">
        <v>4</v>
      </c>
      <c r="FA175" s="681">
        <v>0</v>
      </c>
      <c r="FB175" s="681">
        <v>0</v>
      </c>
      <c r="FC175" s="683">
        <v>0</v>
      </c>
      <c r="FD175" s="683">
        <v>0</v>
      </c>
      <c r="FE175" s="683">
        <v>33</v>
      </c>
      <c r="FF175" s="105"/>
      <c r="FH175" s="511"/>
      <c r="FI175" s="511"/>
      <c r="FJ175" s="511"/>
      <c r="FK175" s="511"/>
      <c r="FL175" s="512" t="s">
        <v>1239</v>
      </c>
      <c r="FM175" s="684"/>
      <c r="FN175" s="685">
        <v>0</v>
      </c>
      <c r="FO175" s="685">
        <v>0</v>
      </c>
      <c r="FP175" s="685">
        <v>0</v>
      </c>
      <c r="FQ175" s="684"/>
      <c r="FR175" s="685">
        <v>0</v>
      </c>
      <c r="FS175" s="684"/>
      <c r="FT175" s="685">
        <v>0</v>
      </c>
      <c r="FU175" s="685">
        <v>0</v>
      </c>
      <c r="FV175" s="685">
        <v>0</v>
      </c>
      <c r="FW175" s="685">
        <v>0</v>
      </c>
      <c r="FX175" s="685">
        <v>0</v>
      </c>
      <c r="FY175" s="685">
        <v>1</v>
      </c>
      <c r="FZ175" s="685">
        <v>1</v>
      </c>
      <c r="GA175" s="685">
        <v>4</v>
      </c>
      <c r="GB175" s="687">
        <v>2</v>
      </c>
      <c r="GC175" s="687">
        <v>7</v>
      </c>
      <c r="GD175" s="687">
        <v>15</v>
      </c>
      <c r="GE175" s="635"/>
      <c r="GF175" s="41"/>
      <c r="GG175" s="688"/>
      <c r="GH175" s="688"/>
      <c r="GI175" s="688"/>
      <c r="GJ175" s="457" t="s">
        <v>1233</v>
      </c>
      <c r="GK175" s="458">
        <v>1</v>
      </c>
      <c r="GL175" s="689"/>
      <c r="GM175" s="458">
        <v>0</v>
      </c>
      <c r="GN175" s="458">
        <v>0</v>
      </c>
      <c r="GO175" s="458">
        <v>0</v>
      </c>
      <c r="GP175" s="458">
        <v>0</v>
      </c>
      <c r="GQ175" s="458">
        <v>0</v>
      </c>
      <c r="GR175" s="458">
        <v>0</v>
      </c>
      <c r="GS175" s="458">
        <v>0</v>
      </c>
      <c r="GT175" s="458">
        <v>0</v>
      </c>
      <c r="GU175" s="458">
        <v>0</v>
      </c>
      <c r="GV175" s="689"/>
      <c r="GW175" s="689"/>
      <c r="GX175" s="458">
        <v>1</v>
      </c>
      <c r="GY175" s="690"/>
      <c r="GZ175" s="41"/>
      <c r="HA175" s="41"/>
      <c r="HB175" s="105"/>
      <c r="HC175" s="105"/>
      <c r="HD175" s="105"/>
      <c r="HE175" s="41" t="s">
        <v>1233</v>
      </c>
      <c r="HF175" s="41">
        <v>0</v>
      </c>
      <c r="HG175" s="41">
        <v>0</v>
      </c>
      <c r="HH175" s="41">
        <v>1</v>
      </c>
      <c r="HI175" s="41"/>
      <c r="HJ175" s="41"/>
      <c r="HK175" s="41">
        <v>0</v>
      </c>
      <c r="HL175" s="41">
        <v>0</v>
      </c>
      <c r="HM175" s="41">
        <v>0</v>
      </c>
      <c r="HN175" s="41">
        <v>0</v>
      </c>
      <c r="HO175" s="41">
        <v>0</v>
      </c>
      <c r="HP175" s="41">
        <v>0</v>
      </c>
      <c r="HQ175" s="41">
        <v>0</v>
      </c>
      <c r="HR175" s="41">
        <v>0</v>
      </c>
      <c r="HS175" s="41"/>
      <c r="HT175" s="41"/>
      <c r="HU175" s="41">
        <v>0</v>
      </c>
      <c r="HV175" s="41">
        <v>1</v>
      </c>
      <c r="HW175" s="41"/>
      <c r="HX175" s="41"/>
      <c r="HY175" s="691"/>
      <c r="HZ175" s="691"/>
      <c r="IA175" s="691"/>
      <c r="IB175" s="691" t="s">
        <v>1233</v>
      </c>
      <c r="IC175" s="691">
        <v>0</v>
      </c>
      <c r="ID175" s="691">
        <v>0</v>
      </c>
      <c r="IE175" s="691">
        <v>1</v>
      </c>
      <c r="IF175" s="691">
        <v>0</v>
      </c>
      <c r="IG175" s="691">
        <v>0</v>
      </c>
      <c r="IH175" s="691">
        <v>0</v>
      </c>
      <c r="II175" s="691">
        <v>0</v>
      </c>
      <c r="IJ175" s="691">
        <v>0</v>
      </c>
      <c r="IK175" s="691">
        <v>0</v>
      </c>
      <c r="IL175" s="691">
        <v>0</v>
      </c>
      <c r="IM175" s="691">
        <v>0</v>
      </c>
      <c r="IN175" s="691">
        <v>0</v>
      </c>
      <c r="IO175" s="691">
        <v>0</v>
      </c>
      <c r="IP175" s="691">
        <v>0</v>
      </c>
      <c r="IQ175" s="691">
        <v>0</v>
      </c>
      <c r="IR175" s="691">
        <v>0</v>
      </c>
      <c r="IS175" s="691">
        <v>1</v>
      </c>
      <c r="IT175" s="691"/>
      <c r="IU175" s="692"/>
    </row>
    <row r="176" spans="2:255">
      <c r="C176" s="32"/>
      <c r="D176" s="32" t="s">
        <v>1240</v>
      </c>
      <c r="E176" s="4607"/>
      <c r="F176" s="4607"/>
      <c r="G176" s="4607"/>
      <c r="H176" s="4607"/>
      <c r="I176" s="4607"/>
      <c r="J176" s="4607"/>
      <c r="K176" s="4607"/>
      <c r="L176" s="4607"/>
      <c r="M176" s="4607">
        <v>0</v>
      </c>
      <c r="N176" s="4607">
        <v>0</v>
      </c>
      <c r="O176" s="4607">
        <v>0</v>
      </c>
      <c r="P176" s="4607">
        <v>2</v>
      </c>
      <c r="Q176" s="4607">
        <v>1</v>
      </c>
      <c r="R176" s="4607">
        <v>0</v>
      </c>
      <c r="S176" s="4583"/>
      <c r="T176" s="4583">
        <v>0</v>
      </c>
      <c r="U176" s="4583">
        <v>3</v>
      </c>
      <c r="V176" s="4583"/>
      <c r="Z176" s="1793"/>
      <c r="AA176" s="1793" t="s">
        <v>1239</v>
      </c>
      <c r="AB176" s="4804"/>
      <c r="AC176" s="4804"/>
      <c r="AD176" s="4804"/>
      <c r="AE176" s="4804"/>
      <c r="AF176" s="4804"/>
      <c r="AG176" s="4804"/>
      <c r="AH176" s="4804"/>
      <c r="AI176" s="4804"/>
      <c r="AJ176" s="4804">
        <v>0</v>
      </c>
      <c r="AK176" s="4804">
        <v>0</v>
      </c>
      <c r="AL176" s="4804">
        <v>0</v>
      </c>
      <c r="AM176" s="4804">
        <v>0</v>
      </c>
      <c r="AN176" s="4804">
        <v>5</v>
      </c>
      <c r="AO176" s="4804">
        <v>1</v>
      </c>
      <c r="AP176" s="4702">
        <v>2</v>
      </c>
      <c r="AQ176" s="4702">
        <v>8</v>
      </c>
      <c r="AR176" s="1793"/>
      <c r="AT176" s="41"/>
      <c r="AU176" s="41"/>
      <c r="AV176" s="41"/>
      <c r="AW176" s="41" t="s">
        <v>1344</v>
      </c>
      <c r="AX176" s="690"/>
      <c r="AY176" s="690"/>
      <c r="AZ176" s="690"/>
      <c r="BA176" s="690"/>
      <c r="BB176" s="690"/>
      <c r="BC176" s="690"/>
      <c r="BD176" s="690"/>
      <c r="BE176" s="690"/>
      <c r="BF176" s="690"/>
      <c r="BG176" s="690"/>
      <c r="BH176" s="690"/>
      <c r="BI176" s="690"/>
      <c r="BJ176" s="690"/>
      <c r="BK176" s="690"/>
      <c r="BL176" s="690">
        <v>1</v>
      </c>
      <c r="BM176" s="41"/>
      <c r="BN176" s="41">
        <v>0</v>
      </c>
      <c r="BO176" s="41">
        <v>1</v>
      </c>
      <c r="BP176" s="41"/>
      <c r="BR176" s="41"/>
      <c r="BS176" s="41"/>
      <c r="BT176" s="41"/>
      <c r="BU176" s="41" t="s">
        <v>1233</v>
      </c>
      <c r="BV176" s="2001"/>
      <c r="BW176" s="2001"/>
      <c r="BX176" s="2001"/>
      <c r="BY176" s="2001"/>
      <c r="BZ176" s="2001"/>
      <c r="CA176" s="2001"/>
      <c r="CB176" s="2001"/>
      <c r="CC176" s="2001">
        <v>1</v>
      </c>
      <c r="CD176" s="2001"/>
      <c r="CE176" s="2001">
        <v>0</v>
      </c>
      <c r="CF176" s="2001">
        <v>0</v>
      </c>
      <c r="CG176" s="2001"/>
      <c r="CH176" s="2001"/>
      <c r="CI176" s="2001"/>
      <c r="CJ176" s="2001">
        <v>0</v>
      </c>
      <c r="CK176" s="105"/>
      <c r="CL176" s="105"/>
      <c r="CM176" s="105">
        <v>1</v>
      </c>
      <c r="CN176" s="41"/>
      <c r="CR176" s="41"/>
      <c r="CS176" s="41" t="s">
        <v>1236</v>
      </c>
      <c r="CT176" s="1665"/>
      <c r="CU176" s="1665">
        <v>1</v>
      </c>
      <c r="CV176" s="1665"/>
      <c r="CW176" s="1665"/>
      <c r="CX176" s="1665">
        <v>1</v>
      </c>
      <c r="CY176" s="1665"/>
      <c r="CZ176" s="1665"/>
      <c r="DA176" s="1665"/>
      <c r="DB176" s="1665"/>
      <c r="DC176" s="1665">
        <v>0</v>
      </c>
      <c r="DD176" s="1665">
        <v>0</v>
      </c>
      <c r="DE176" s="1665"/>
      <c r="DF176" s="1665"/>
      <c r="DG176" s="1665"/>
      <c r="DH176" s="1665"/>
      <c r="DI176" s="41"/>
      <c r="DJ176" s="41">
        <v>0</v>
      </c>
      <c r="DK176" s="41">
        <v>2</v>
      </c>
      <c r="DL176" s="41"/>
      <c r="DN176" s="1375"/>
      <c r="DO176" s="1375"/>
      <c r="DP176" s="1375" t="s">
        <v>545</v>
      </c>
      <c r="DQ176" s="1376" t="s">
        <v>1231</v>
      </c>
      <c r="DR176" s="1377"/>
      <c r="DS176" s="1377"/>
      <c r="DT176" s="1377"/>
      <c r="DU176" s="1377"/>
      <c r="DV176" s="1377"/>
      <c r="DW176" s="1378">
        <v>0</v>
      </c>
      <c r="DX176" s="1377"/>
      <c r="DY176" s="1378">
        <v>8</v>
      </c>
      <c r="DZ176" s="1377"/>
      <c r="EA176" s="1377"/>
      <c r="EB176" s="1377"/>
      <c r="EC176" s="1377"/>
      <c r="ED176" s="1377"/>
      <c r="EE176" s="1379"/>
      <c r="EF176" s="1379"/>
      <c r="EG176" s="1380">
        <v>8</v>
      </c>
      <c r="EH176" s="41"/>
      <c r="EJ176" s="678"/>
      <c r="EK176" s="678"/>
      <c r="EL176" s="678"/>
      <c r="EM176" s="679" t="s">
        <v>1239</v>
      </c>
      <c r="EN176" s="681">
        <v>0</v>
      </c>
      <c r="EO176" s="681">
        <v>0</v>
      </c>
      <c r="EP176" s="681">
        <v>0</v>
      </c>
      <c r="EQ176" s="681">
        <v>0</v>
      </c>
      <c r="ER176" s="681">
        <v>0</v>
      </c>
      <c r="ES176" s="681">
        <v>0</v>
      </c>
      <c r="ET176" s="681">
        <v>0</v>
      </c>
      <c r="EU176" s="681">
        <v>0</v>
      </c>
      <c r="EV176" s="681">
        <v>0</v>
      </c>
      <c r="EW176" s="681">
        <v>0</v>
      </c>
      <c r="EX176" s="681">
        <v>0</v>
      </c>
      <c r="EY176" s="681">
        <v>0</v>
      </c>
      <c r="EZ176" s="681">
        <v>0</v>
      </c>
      <c r="FA176" s="681">
        <v>3</v>
      </c>
      <c r="FB176" s="681">
        <v>45</v>
      </c>
      <c r="FC176" s="683">
        <v>7</v>
      </c>
      <c r="FD176" s="683">
        <v>28</v>
      </c>
      <c r="FE176" s="683">
        <v>83</v>
      </c>
      <c r="FF176" s="105"/>
      <c r="FH176" s="511"/>
      <c r="FI176" s="511"/>
      <c r="FJ176" s="511"/>
      <c r="FK176" s="511"/>
      <c r="FL176" s="512" t="s">
        <v>1240</v>
      </c>
      <c r="FM176" s="684"/>
      <c r="FN176" s="685">
        <v>0</v>
      </c>
      <c r="FO176" s="685">
        <v>0</v>
      </c>
      <c r="FP176" s="685">
        <v>0</v>
      </c>
      <c r="FQ176" s="684"/>
      <c r="FR176" s="685">
        <v>0</v>
      </c>
      <c r="FS176" s="684"/>
      <c r="FT176" s="685">
        <v>0</v>
      </c>
      <c r="FU176" s="685">
        <v>0</v>
      </c>
      <c r="FV176" s="685">
        <v>0</v>
      </c>
      <c r="FW176" s="685">
        <v>0</v>
      </c>
      <c r="FX176" s="685">
        <v>0</v>
      </c>
      <c r="FY176" s="685">
        <v>2</v>
      </c>
      <c r="FZ176" s="685">
        <v>0</v>
      </c>
      <c r="GA176" s="685">
        <v>0</v>
      </c>
      <c r="GB176" s="687">
        <v>1</v>
      </c>
      <c r="GC176" s="687">
        <v>0</v>
      </c>
      <c r="GD176" s="687">
        <v>3</v>
      </c>
      <c r="GE176" s="635"/>
      <c r="GF176" s="41"/>
      <c r="GG176" s="688"/>
      <c r="GH176" s="688"/>
      <c r="GI176" s="688"/>
      <c r="GJ176" s="457" t="s">
        <v>1235</v>
      </c>
      <c r="GK176" s="458">
        <v>0</v>
      </c>
      <c r="GL176" s="689"/>
      <c r="GM176" s="458">
        <v>0</v>
      </c>
      <c r="GN176" s="458">
        <v>0</v>
      </c>
      <c r="GO176" s="458">
        <v>1</v>
      </c>
      <c r="GP176" s="458">
        <v>0</v>
      </c>
      <c r="GQ176" s="458">
        <v>0</v>
      </c>
      <c r="GR176" s="458">
        <v>0</v>
      </c>
      <c r="GS176" s="458">
        <v>0</v>
      </c>
      <c r="GT176" s="458">
        <v>0</v>
      </c>
      <c r="GU176" s="458">
        <v>0</v>
      </c>
      <c r="GV176" s="689"/>
      <c r="GW176" s="689"/>
      <c r="GX176" s="458">
        <v>1</v>
      </c>
      <c r="GY176" s="690"/>
      <c r="GZ176" s="41"/>
      <c r="HA176" s="41"/>
      <c r="HB176" s="105"/>
      <c r="HC176" s="105"/>
      <c r="HD176" s="105"/>
      <c r="HE176" s="41" t="s">
        <v>1235</v>
      </c>
      <c r="HF176" s="41">
        <v>0</v>
      </c>
      <c r="HG176" s="41">
        <v>0</v>
      </c>
      <c r="HH176" s="41">
        <v>0</v>
      </c>
      <c r="HI176" s="41"/>
      <c r="HJ176" s="41"/>
      <c r="HK176" s="41">
        <v>0</v>
      </c>
      <c r="HL176" s="41">
        <v>0</v>
      </c>
      <c r="HM176" s="41">
        <v>0</v>
      </c>
      <c r="HN176" s="41">
        <v>4</v>
      </c>
      <c r="HO176" s="41">
        <v>0</v>
      </c>
      <c r="HP176" s="41">
        <v>0</v>
      </c>
      <c r="HQ176" s="41">
        <v>0</v>
      </c>
      <c r="HR176" s="41">
        <v>0</v>
      </c>
      <c r="HS176" s="41"/>
      <c r="HT176" s="41"/>
      <c r="HU176" s="41">
        <v>0</v>
      </c>
      <c r="HV176" s="41">
        <v>4</v>
      </c>
      <c r="HW176" s="41"/>
      <c r="HX176" s="41"/>
      <c r="HY176" s="691"/>
      <c r="HZ176" s="691"/>
      <c r="IA176" s="691"/>
      <c r="IB176" s="691" t="s">
        <v>1235</v>
      </c>
      <c r="IC176" s="691">
        <v>0</v>
      </c>
      <c r="ID176" s="691">
        <v>0</v>
      </c>
      <c r="IE176" s="691">
        <v>0</v>
      </c>
      <c r="IF176" s="691">
        <v>0</v>
      </c>
      <c r="IG176" s="691">
        <v>0</v>
      </c>
      <c r="IH176" s="691">
        <v>1</v>
      </c>
      <c r="II176" s="691">
        <v>0</v>
      </c>
      <c r="IJ176" s="691">
        <v>0</v>
      </c>
      <c r="IK176" s="691">
        <v>1</v>
      </c>
      <c r="IL176" s="691">
        <v>0</v>
      </c>
      <c r="IM176" s="691">
        <v>0</v>
      </c>
      <c r="IN176" s="691">
        <v>0</v>
      </c>
      <c r="IO176" s="691">
        <v>1</v>
      </c>
      <c r="IP176" s="691">
        <v>0</v>
      </c>
      <c r="IQ176" s="691">
        <v>0</v>
      </c>
      <c r="IR176" s="691">
        <v>0</v>
      </c>
      <c r="IS176" s="691">
        <v>3</v>
      </c>
      <c r="IT176" s="691"/>
      <c r="IU176" s="692"/>
    </row>
    <row r="177" spans="1:255">
      <c r="C177" s="32"/>
      <c r="D177" s="32" t="s">
        <v>1344</v>
      </c>
      <c r="E177" s="4607"/>
      <c r="F177" s="4607"/>
      <c r="G177" s="4607"/>
      <c r="H177" s="4607"/>
      <c r="I177" s="4607"/>
      <c r="J177" s="4607"/>
      <c r="K177" s="4607"/>
      <c r="L177" s="4607"/>
      <c r="M177" s="4607">
        <v>1</v>
      </c>
      <c r="N177" s="4607">
        <v>0</v>
      </c>
      <c r="O177" s="4607">
        <v>0</v>
      </c>
      <c r="P177" s="4607">
        <v>1</v>
      </c>
      <c r="Q177" s="4607">
        <v>0</v>
      </c>
      <c r="R177" s="4607">
        <v>0</v>
      </c>
      <c r="S177" s="4583"/>
      <c r="T177" s="4583">
        <v>0</v>
      </c>
      <c r="U177" s="4583">
        <v>2</v>
      </c>
      <c r="V177" s="4583"/>
      <c r="Z177" s="1793"/>
      <c r="AA177" s="1793" t="s">
        <v>1240</v>
      </c>
      <c r="AB177" s="4804"/>
      <c r="AC177" s="4804"/>
      <c r="AD177" s="4804"/>
      <c r="AE177" s="4804"/>
      <c r="AF177" s="4804"/>
      <c r="AG177" s="4804"/>
      <c r="AH177" s="4804"/>
      <c r="AI177" s="4804"/>
      <c r="AJ177" s="4804">
        <v>0</v>
      </c>
      <c r="AK177" s="4804">
        <v>0</v>
      </c>
      <c r="AL177" s="4804">
        <v>1</v>
      </c>
      <c r="AM177" s="4804">
        <v>2</v>
      </c>
      <c r="AN177" s="4804">
        <v>1</v>
      </c>
      <c r="AO177" s="4804">
        <v>0</v>
      </c>
      <c r="AP177" s="4702">
        <v>0</v>
      </c>
      <c r="AQ177" s="4702">
        <v>4</v>
      </c>
      <c r="AR177" s="1793"/>
      <c r="AT177" s="41"/>
      <c r="AU177" s="41"/>
      <c r="AV177" s="41"/>
      <c r="AW177" s="461" t="s">
        <v>15</v>
      </c>
      <c r="AX177" s="2489"/>
      <c r="AY177" s="2489"/>
      <c r="AZ177" s="2489"/>
      <c r="BA177" s="2489"/>
      <c r="BB177" s="2489"/>
      <c r="BC177" s="2489"/>
      <c r="BD177" s="2489"/>
      <c r="BE177" s="2489"/>
      <c r="BF177" s="2489"/>
      <c r="BG177" s="2489"/>
      <c r="BH177" s="2489"/>
      <c r="BI177" s="2489"/>
      <c r="BJ177" s="2489"/>
      <c r="BK177" s="2489"/>
      <c r="BL177" s="2489">
        <v>4</v>
      </c>
      <c r="BM177" s="461"/>
      <c r="BN177" s="461">
        <v>5</v>
      </c>
      <c r="BO177" s="461">
        <v>9</v>
      </c>
      <c r="BP177" s="635">
        <f>+(BO176+BO174)/BO177</f>
        <v>0.22222222222222221</v>
      </c>
      <c r="BQ177" s="1977"/>
      <c r="BR177" s="41"/>
      <c r="BS177" s="41"/>
      <c r="BT177" s="41"/>
      <c r="BU177" s="41" t="s">
        <v>1235</v>
      </c>
      <c r="BV177" s="2001"/>
      <c r="BW177" s="2001"/>
      <c r="BX177" s="2001"/>
      <c r="BY177" s="2001"/>
      <c r="BZ177" s="2001"/>
      <c r="CA177" s="2001"/>
      <c r="CB177" s="2001"/>
      <c r="CC177" s="2001">
        <v>0</v>
      </c>
      <c r="CD177" s="2001"/>
      <c r="CE177" s="2001">
        <v>1</v>
      </c>
      <c r="CF177" s="2001">
        <v>0</v>
      </c>
      <c r="CG177" s="2001"/>
      <c r="CH177" s="2001"/>
      <c r="CI177" s="2001"/>
      <c r="CJ177" s="2001">
        <v>0</v>
      </c>
      <c r="CK177" s="105"/>
      <c r="CL177" s="105"/>
      <c r="CM177" s="105">
        <v>1</v>
      </c>
      <c r="CN177" s="41"/>
      <c r="CR177" s="41"/>
      <c r="CS177" s="41" t="s">
        <v>1239</v>
      </c>
      <c r="CT177" s="1665"/>
      <c r="CU177" s="1665">
        <v>0</v>
      </c>
      <c r="CV177" s="1665"/>
      <c r="CW177" s="1665"/>
      <c r="CX177" s="1665">
        <v>0</v>
      </c>
      <c r="CY177" s="1665"/>
      <c r="CZ177" s="1665"/>
      <c r="DA177" s="1665"/>
      <c r="DB177" s="1665"/>
      <c r="DC177" s="1665">
        <v>0</v>
      </c>
      <c r="DD177" s="1665">
        <v>0</v>
      </c>
      <c r="DE177" s="1665"/>
      <c r="DF177" s="1665"/>
      <c r="DG177" s="1665"/>
      <c r="DH177" s="1665"/>
      <c r="DI177" s="41"/>
      <c r="DJ177" s="41">
        <v>1</v>
      </c>
      <c r="DK177" s="41">
        <v>1</v>
      </c>
      <c r="DL177" s="41"/>
      <c r="DN177" s="1375"/>
      <c r="DO177" s="1375"/>
      <c r="DP177" s="1375"/>
      <c r="DQ177" s="1376" t="s">
        <v>1233</v>
      </c>
      <c r="DR177" s="1377"/>
      <c r="DS177" s="1377"/>
      <c r="DT177" s="1377"/>
      <c r="DU177" s="1377"/>
      <c r="DV177" s="1377"/>
      <c r="DW177" s="1378">
        <v>1</v>
      </c>
      <c r="DX177" s="1377"/>
      <c r="DY177" s="1378">
        <v>0</v>
      </c>
      <c r="DZ177" s="1377"/>
      <c r="EA177" s="1377"/>
      <c r="EB177" s="1377"/>
      <c r="EC177" s="1377"/>
      <c r="ED177" s="1377"/>
      <c r="EE177" s="1379"/>
      <c r="EF177" s="1379"/>
      <c r="EG177" s="1380">
        <v>1</v>
      </c>
      <c r="EH177" s="41"/>
      <c r="EJ177" s="678"/>
      <c r="EK177" s="678"/>
      <c r="EL177" s="678"/>
      <c r="EM177" s="679" t="s">
        <v>1240</v>
      </c>
      <c r="EN177" s="681">
        <v>0</v>
      </c>
      <c r="EO177" s="681">
        <v>0</v>
      </c>
      <c r="EP177" s="681">
        <v>0</v>
      </c>
      <c r="EQ177" s="681">
        <v>0</v>
      </c>
      <c r="ER177" s="681">
        <v>0</v>
      </c>
      <c r="ES177" s="681">
        <v>0</v>
      </c>
      <c r="ET177" s="681">
        <v>0</v>
      </c>
      <c r="EU177" s="681">
        <v>0</v>
      </c>
      <c r="EV177" s="681">
        <v>0</v>
      </c>
      <c r="EW177" s="681">
        <v>0</v>
      </c>
      <c r="EX177" s="681">
        <v>1</v>
      </c>
      <c r="EY177" s="681">
        <v>2</v>
      </c>
      <c r="EZ177" s="681">
        <v>0</v>
      </c>
      <c r="FA177" s="681">
        <v>0</v>
      </c>
      <c r="FB177" s="681">
        <v>0</v>
      </c>
      <c r="FC177" s="683">
        <v>0</v>
      </c>
      <c r="FD177" s="683">
        <v>0</v>
      </c>
      <c r="FE177" s="683">
        <v>3</v>
      </c>
      <c r="FF177" s="105"/>
      <c r="FH177" s="511"/>
      <c r="FI177" s="511"/>
      <c r="FJ177" s="511"/>
      <c r="FK177" s="511"/>
      <c r="FL177" s="512" t="s">
        <v>1344</v>
      </c>
      <c r="FM177" s="684"/>
      <c r="FN177" s="685">
        <v>0</v>
      </c>
      <c r="FO177" s="685">
        <v>0</v>
      </c>
      <c r="FP177" s="685">
        <v>0</v>
      </c>
      <c r="FQ177" s="684"/>
      <c r="FR177" s="685">
        <v>0</v>
      </c>
      <c r="FS177" s="684"/>
      <c r="FT177" s="685">
        <v>0</v>
      </c>
      <c r="FU177" s="685">
        <v>0</v>
      </c>
      <c r="FV177" s="685">
        <v>1</v>
      </c>
      <c r="FW177" s="685">
        <v>2</v>
      </c>
      <c r="FX177" s="685">
        <v>0</v>
      </c>
      <c r="FY177" s="685">
        <v>6</v>
      </c>
      <c r="FZ177" s="685">
        <v>2</v>
      </c>
      <c r="GA177" s="685">
        <v>1</v>
      </c>
      <c r="GB177" s="687">
        <v>0</v>
      </c>
      <c r="GC177" s="687">
        <v>0</v>
      </c>
      <c r="GD177" s="687">
        <v>12</v>
      </c>
      <c r="GE177" s="635"/>
      <c r="GF177" s="41"/>
      <c r="GG177" s="688"/>
      <c r="GH177" s="688"/>
      <c r="GI177" s="688"/>
      <c r="GJ177" s="457" t="s">
        <v>1236</v>
      </c>
      <c r="GK177" s="458">
        <v>0</v>
      </c>
      <c r="GL177" s="689"/>
      <c r="GM177" s="458">
        <v>6</v>
      </c>
      <c r="GN177" s="458">
        <v>3</v>
      </c>
      <c r="GO177" s="458">
        <v>3</v>
      </c>
      <c r="GP177" s="458">
        <v>0</v>
      </c>
      <c r="GQ177" s="458">
        <v>1</v>
      </c>
      <c r="GR177" s="458">
        <v>1</v>
      </c>
      <c r="GS177" s="458">
        <v>0</v>
      </c>
      <c r="GT177" s="458">
        <v>0</v>
      </c>
      <c r="GU177" s="458">
        <v>0</v>
      </c>
      <c r="GV177" s="689"/>
      <c r="GW177" s="689"/>
      <c r="GX177" s="458">
        <v>14</v>
      </c>
      <c r="GY177" s="690"/>
      <c r="GZ177" s="41"/>
      <c r="HA177" s="41"/>
      <c r="HB177" s="105"/>
      <c r="HC177" s="105"/>
      <c r="HD177" s="105"/>
      <c r="HE177" s="41" t="s">
        <v>1236</v>
      </c>
      <c r="HF177" s="41">
        <v>0</v>
      </c>
      <c r="HG177" s="41">
        <v>1</v>
      </c>
      <c r="HH177" s="41">
        <v>1</v>
      </c>
      <c r="HI177" s="41"/>
      <c r="HJ177" s="41"/>
      <c r="HK177" s="41">
        <v>1</v>
      </c>
      <c r="HL177" s="41">
        <v>2</v>
      </c>
      <c r="HM177" s="41">
        <v>1</v>
      </c>
      <c r="HN177" s="41">
        <v>0</v>
      </c>
      <c r="HO177" s="41">
        <v>0</v>
      </c>
      <c r="HP177" s="41">
        <v>0</v>
      </c>
      <c r="HQ177" s="41">
        <v>3</v>
      </c>
      <c r="HR177" s="41">
        <v>0</v>
      </c>
      <c r="HS177" s="41"/>
      <c r="HT177" s="41"/>
      <c r="HU177" s="41">
        <v>0</v>
      </c>
      <c r="HV177" s="41">
        <v>9</v>
      </c>
      <c r="HW177" s="41"/>
      <c r="HX177" s="41"/>
      <c r="HY177" s="691"/>
      <c r="HZ177" s="691"/>
      <c r="IA177" s="691"/>
      <c r="IB177" s="691" t="s">
        <v>1236</v>
      </c>
      <c r="IC177" s="691">
        <v>0</v>
      </c>
      <c r="ID177" s="691">
        <v>0</v>
      </c>
      <c r="IE177" s="691">
        <v>0</v>
      </c>
      <c r="IF177" s="691">
        <v>0</v>
      </c>
      <c r="IG177" s="691">
        <v>2</v>
      </c>
      <c r="IH177" s="691">
        <v>0</v>
      </c>
      <c r="II177" s="691">
        <v>1</v>
      </c>
      <c r="IJ177" s="691">
        <v>0</v>
      </c>
      <c r="IK177" s="691">
        <v>1</v>
      </c>
      <c r="IL177" s="691">
        <v>0</v>
      </c>
      <c r="IM177" s="691">
        <v>0</v>
      </c>
      <c r="IN177" s="691">
        <v>0</v>
      </c>
      <c r="IO177" s="691">
        <v>0</v>
      </c>
      <c r="IP177" s="691">
        <v>0</v>
      </c>
      <c r="IQ177" s="691">
        <v>0</v>
      </c>
      <c r="IR177" s="691">
        <v>0</v>
      </c>
      <c r="IS177" s="691">
        <v>4</v>
      </c>
      <c r="IT177" s="691"/>
      <c r="IU177" s="692"/>
    </row>
    <row r="178" spans="1:255">
      <c r="C178" s="32"/>
      <c r="D178" s="4800" t="s">
        <v>15</v>
      </c>
      <c r="E178" s="4607"/>
      <c r="F178" s="4607"/>
      <c r="G178" s="4607"/>
      <c r="H178" s="4607"/>
      <c r="I178" s="4607"/>
      <c r="J178" s="4607"/>
      <c r="K178" s="4607"/>
      <c r="L178" s="4607"/>
      <c r="M178" s="4607">
        <v>1</v>
      </c>
      <c r="N178" s="4607">
        <v>1</v>
      </c>
      <c r="O178" s="4607">
        <v>1</v>
      </c>
      <c r="P178" s="4607">
        <v>8</v>
      </c>
      <c r="Q178" s="4607">
        <v>4</v>
      </c>
      <c r="R178" s="4607">
        <v>4</v>
      </c>
      <c r="S178" s="4583"/>
      <c r="T178" s="4583">
        <v>2</v>
      </c>
      <c r="U178" s="4583">
        <v>21</v>
      </c>
      <c r="V178" s="1977">
        <f>+(U174+U176+U177)/(U178)</f>
        <v>0.42857142857142855</v>
      </c>
      <c r="Z178" s="1793"/>
      <c r="AA178" s="1793" t="s">
        <v>1344</v>
      </c>
      <c r="AB178" s="4804"/>
      <c r="AC178" s="4804"/>
      <c r="AD178" s="4804"/>
      <c r="AE178" s="4804"/>
      <c r="AF178" s="4804"/>
      <c r="AG178" s="4804"/>
      <c r="AH178" s="4804"/>
      <c r="AI178" s="4804"/>
      <c r="AJ178" s="4804">
        <v>1</v>
      </c>
      <c r="AK178" s="4804">
        <v>0</v>
      </c>
      <c r="AL178" s="4804">
        <v>0</v>
      </c>
      <c r="AM178" s="4804">
        <v>1</v>
      </c>
      <c r="AN178" s="4804">
        <v>0</v>
      </c>
      <c r="AO178" s="4804">
        <v>0</v>
      </c>
      <c r="AP178" s="4702">
        <v>0</v>
      </c>
      <c r="AQ178" s="4702">
        <v>2</v>
      </c>
      <c r="AR178" s="1793"/>
      <c r="AT178" s="41"/>
      <c r="AU178" s="41"/>
      <c r="AV178" s="461" t="s">
        <v>545</v>
      </c>
      <c r="AW178" s="461" t="s">
        <v>1231</v>
      </c>
      <c r="AX178" s="2489"/>
      <c r="AY178" s="2489"/>
      <c r="AZ178" s="2489"/>
      <c r="BA178" s="2489"/>
      <c r="BB178" s="2489"/>
      <c r="BC178" s="2489"/>
      <c r="BD178" s="2489"/>
      <c r="BE178" s="2489"/>
      <c r="BF178" s="2489"/>
      <c r="BG178" s="2489"/>
      <c r="BH178" s="2489"/>
      <c r="BI178" s="2489"/>
      <c r="BJ178" s="2489"/>
      <c r="BK178" s="2489"/>
      <c r="BL178" s="2489">
        <v>2</v>
      </c>
      <c r="BM178" s="461"/>
      <c r="BN178" s="461">
        <v>0</v>
      </c>
      <c r="BO178" s="461">
        <v>2</v>
      </c>
      <c r="BP178" s="41"/>
      <c r="BR178" s="41"/>
      <c r="BS178" s="41"/>
      <c r="BT178" s="41"/>
      <c r="BU178" s="41" t="s">
        <v>1239</v>
      </c>
      <c r="BV178" s="2001"/>
      <c r="BW178" s="2001"/>
      <c r="BX178" s="2001"/>
      <c r="BY178" s="2001"/>
      <c r="BZ178" s="2001"/>
      <c r="CA178" s="2001"/>
      <c r="CB178" s="2001"/>
      <c r="CC178" s="2001">
        <v>0</v>
      </c>
      <c r="CD178" s="2001"/>
      <c r="CE178" s="2001">
        <v>0</v>
      </c>
      <c r="CF178" s="2001">
        <v>0</v>
      </c>
      <c r="CG178" s="2001"/>
      <c r="CH178" s="2001"/>
      <c r="CI178" s="2001"/>
      <c r="CJ178" s="2001">
        <v>1</v>
      </c>
      <c r="CK178" s="105"/>
      <c r="CL178" s="105"/>
      <c r="CM178" s="105">
        <v>1</v>
      </c>
      <c r="CN178" s="41"/>
      <c r="CR178" s="41"/>
      <c r="CS178" s="41" t="s">
        <v>1344</v>
      </c>
      <c r="CT178" s="1665"/>
      <c r="CU178" s="1665">
        <v>0</v>
      </c>
      <c r="CV178" s="1665"/>
      <c r="CW178" s="1665"/>
      <c r="CX178" s="1665">
        <v>0</v>
      </c>
      <c r="CY178" s="1665"/>
      <c r="CZ178" s="1665"/>
      <c r="DA178" s="1665"/>
      <c r="DB178" s="1665"/>
      <c r="DC178" s="1665">
        <v>2</v>
      </c>
      <c r="DD178" s="1665">
        <v>1</v>
      </c>
      <c r="DE178" s="1665"/>
      <c r="DF178" s="1665"/>
      <c r="DG178" s="1665"/>
      <c r="DH178" s="1665"/>
      <c r="DI178" s="41"/>
      <c r="DJ178" s="41">
        <v>0</v>
      </c>
      <c r="DK178" s="41">
        <v>3</v>
      </c>
      <c r="DL178" s="41"/>
      <c r="DN178" s="1375"/>
      <c r="DO178" s="1375"/>
      <c r="DP178" s="1375"/>
      <c r="DQ178" s="1376" t="s">
        <v>1236</v>
      </c>
      <c r="DR178" s="1377"/>
      <c r="DS178" s="1377"/>
      <c r="DT178" s="1377"/>
      <c r="DU178" s="1377"/>
      <c r="DV178" s="1377"/>
      <c r="DW178" s="1378">
        <v>1</v>
      </c>
      <c r="DX178" s="1377"/>
      <c r="DY178" s="1378">
        <v>0</v>
      </c>
      <c r="DZ178" s="1377"/>
      <c r="EA178" s="1377"/>
      <c r="EB178" s="1377"/>
      <c r="EC178" s="1377"/>
      <c r="ED178" s="1377"/>
      <c r="EE178" s="1379"/>
      <c r="EF178" s="1379"/>
      <c r="EG178" s="1380">
        <v>1</v>
      </c>
      <c r="EH178" s="41"/>
      <c r="EJ178" s="678"/>
      <c r="EK178" s="678"/>
      <c r="EL178" s="678"/>
      <c r="EM178" s="679" t="s">
        <v>1344</v>
      </c>
      <c r="EN178" s="681">
        <v>0</v>
      </c>
      <c r="EO178" s="681">
        <v>0</v>
      </c>
      <c r="EP178" s="681">
        <v>0</v>
      </c>
      <c r="EQ178" s="681">
        <v>0</v>
      </c>
      <c r="ER178" s="681">
        <v>0</v>
      </c>
      <c r="ES178" s="681">
        <v>0</v>
      </c>
      <c r="ET178" s="681">
        <v>4</v>
      </c>
      <c r="EU178" s="681">
        <v>1</v>
      </c>
      <c r="EV178" s="681">
        <v>2</v>
      </c>
      <c r="EW178" s="681">
        <v>11</v>
      </c>
      <c r="EX178" s="681">
        <v>13</v>
      </c>
      <c r="EY178" s="681">
        <v>8</v>
      </c>
      <c r="EZ178" s="681">
        <v>11</v>
      </c>
      <c r="FA178" s="681">
        <v>8</v>
      </c>
      <c r="FB178" s="681">
        <v>9</v>
      </c>
      <c r="FC178" s="683">
        <v>0</v>
      </c>
      <c r="FD178" s="683">
        <v>0</v>
      </c>
      <c r="FE178" s="683">
        <v>67</v>
      </c>
      <c r="FF178" s="105"/>
      <c r="FH178" s="511"/>
      <c r="FI178" s="511"/>
      <c r="FJ178" s="511"/>
      <c r="FK178" s="41"/>
      <c r="FL178" s="532" t="s">
        <v>442</v>
      </c>
      <c r="FM178" s="693"/>
      <c r="FN178" s="694">
        <v>2</v>
      </c>
      <c r="FO178" s="694">
        <v>2</v>
      </c>
      <c r="FP178" s="694">
        <v>2</v>
      </c>
      <c r="FQ178" s="693"/>
      <c r="FR178" s="694">
        <v>1</v>
      </c>
      <c r="FS178" s="693"/>
      <c r="FT178" s="694">
        <v>1</v>
      </c>
      <c r="FU178" s="694">
        <v>1</v>
      </c>
      <c r="FV178" s="694">
        <v>6</v>
      </c>
      <c r="FW178" s="694">
        <v>4</v>
      </c>
      <c r="FX178" s="694">
        <v>11</v>
      </c>
      <c r="FY178" s="694">
        <v>31</v>
      </c>
      <c r="FZ178" s="694">
        <v>12</v>
      </c>
      <c r="GA178" s="694">
        <v>10</v>
      </c>
      <c r="GB178" s="696">
        <v>8</v>
      </c>
      <c r="GC178" s="696">
        <v>7</v>
      </c>
      <c r="GD178" s="696">
        <v>98</v>
      </c>
      <c r="GE178" s="635">
        <f>+(GD177+GD176+GD174-GB176)/GD178</f>
        <v>0.20408163265306123</v>
      </c>
      <c r="GF178" s="41"/>
      <c r="GG178" s="688"/>
      <c r="GH178" s="688"/>
      <c r="GI178" s="688"/>
      <c r="GJ178" s="457" t="s">
        <v>1239</v>
      </c>
      <c r="GK178" s="458">
        <v>0</v>
      </c>
      <c r="GL178" s="689"/>
      <c r="GM178" s="458">
        <v>0</v>
      </c>
      <c r="GN178" s="458">
        <v>0</v>
      </c>
      <c r="GO178" s="458">
        <v>1</v>
      </c>
      <c r="GP178" s="458">
        <v>1</v>
      </c>
      <c r="GQ178" s="458">
        <v>0</v>
      </c>
      <c r="GR178" s="458">
        <v>0</v>
      </c>
      <c r="GS178" s="458">
        <v>0</v>
      </c>
      <c r="GT178" s="458">
        <v>0</v>
      </c>
      <c r="GU178" s="458">
        <v>4</v>
      </c>
      <c r="GV178" s="689"/>
      <c r="GW178" s="689"/>
      <c r="GX178" s="458">
        <v>6</v>
      </c>
      <c r="GY178" s="690"/>
      <c r="GZ178" s="41"/>
      <c r="HA178" s="41"/>
      <c r="HB178" s="105"/>
      <c r="HC178" s="105"/>
      <c r="HD178" s="105"/>
      <c r="HE178" s="41" t="s">
        <v>1239</v>
      </c>
      <c r="HF178" s="41">
        <v>0</v>
      </c>
      <c r="HG178" s="41">
        <v>0</v>
      </c>
      <c r="HH178" s="41">
        <v>0</v>
      </c>
      <c r="HI178" s="41"/>
      <c r="HJ178" s="41"/>
      <c r="HK178" s="41">
        <v>0</v>
      </c>
      <c r="HL178" s="41">
        <v>0</v>
      </c>
      <c r="HM178" s="41">
        <v>0</v>
      </c>
      <c r="HN178" s="41">
        <v>0</v>
      </c>
      <c r="HO178" s="41">
        <v>0</v>
      </c>
      <c r="HP178" s="41">
        <v>1</v>
      </c>
      <c r="HQ178" s="41">
        <v>0</v>
      </c>
      <c r="HR178" s="41">
        <v>0</v>
      </c>
      <c r="HS178" s="41"/>
      <c r="HT178" s="41"/>
      <c r="HU178" s="41">
        <v>2</v>
      </c>
      <c r="HV178" s="41">
        <v>3</v>
      </c>
      <c r="HW178" s="41"/>
      <c r="HX178" s="41"/>
      <c r="HY178" s="691"/>
      <c r="HZ178" s="691"/>
      <c r="IA178" s="691"/>
      <c r="IB178" s="691" t="s">
        <v>1239</v>
      </c>
      <c r="IC178" s="691">
        <v>0</v>
      </c>
      <c r="ID178" s="691">
        <v>0</v>
      </c>
      <c r="IE178" s="691">
        <v>0</v>
      </c>
      <c r="IF178" s="691">
        <v>0</v>
      </c>
      <c r="IG178" s="691">
        <v>0</v>
      </c>
      <c r="IH178" s="691">
        <v>0</v>
      </c>
      <c r="II178" s="691">
        <v>0</v>
      </c>
      <c r="IJ178" s="691">
        <v>0</v>
      </c>
      <c r="IK178" s="691">
        <v>0</v>
      </c>
      <c r="IL178" s="691">
        <v>0</v>
      </c>
      <c r="IM178" s="691">
        <v>0</v>
      </c>
      <c r="IN178" s="691">
        <v>0</v>
      </c>
      <c r="IO178" s="691">
        <v>1</v>
      </c>
      <c r="IP178" s="691">
        <v>0</v>
      </c>
      <c r="IQ178" s="691">
        <v>0</v>
      </c>
      <c r="IR178" s="691">
        <v>0</v>
      </c>
      <c r="IS178" s="691">
        <v>1</v>
      </c>
      <c r="IT178" s="691"/>
      <c r="IU178" s="692"/>
    </row>
    <row r="179" spans="1:255" ht="15" thickBot="1">
      <c r="B179" s="4800" t="s">
        <v>21</v>
      </c>
      <c r="C179" s="4800" t="s">
        <v>146</v>
      </c>
      <c r="D179" s="4800" t="s">
        <v>1231</v>
      </c>
      <c r="E179" s="4606"/>
      <c r="F179" s="4606"/>
      <c r="G179" s="4606"/>
      <c r="H179" s="4606"/>
      <c r="I179" s="4606"/>
      <c r="J179" s="4606"/>
      <c r="K179" s="4606"/>
      <c r="L179" s="4606"/>
      <c r="M179" s="4606">
        <v>1</v>
      </c>
      <c r="N179" s="4606"/>
      <c r="O179" s="4606"/>
      <c r="P179" s="4606">
        <v>6</v>
      </c>
      <c r="Q179" s="4606">
        <v>1</v>
      </c>
      <c r="R179" s="4606"/>
      <c r="S179" s="2552"/>
      <c r="T179" s="2552"/>
      <c r="U179" s="2552">
        <v>8</v>
      </c>
      <c r="V179" s="2552"/>
      <c r="Z179" s="1793"/>
      <c r="AA179" s="1793" t="s">
        <v>547</v>
      </c>
      <c r="AB179" s="4804"/>
      <c r="AC179" s="4804"/>
      <c r="AD179" s="4804"/>
      <c r="AE179" s="4804"/>
      <c r="AF179" s="4804"/>
      <c r="AG179" s="4804"/>
      <c r="AH179" s="4804"/>
      <c r="AI179" s="4804"/>
      <c r="AJ179" s="4804">
        <v>1</v>
      </c>
      <c r="AK179" s="4804">
        <v>1</v>
      </c>
      <c r="AL179" s="4804">
        <v>1</v>
      </c>
      <c r="AM179" s="4804">
        <v>8</v>
      </c>
      <c r="AN179" s="4804">
        <v>7</v>
      </c>
      <c r="AO179" s="4804">
        <v>1</v>
      </c>
      <c r="AP179" s="4702">
        <v>2</v>
      </c>
      <c r="AQ179" s="4702">
        <v>21</v>
      </c>
      <c r="AR179" s="4703">
        <f>+(AQ175+AQ177+AQ178)/AQ179</f>
        <v>0.42857142857142855</v>
      </c>
      <c r="AT179" s="41"/>
      <c r="AU179" s="41"/>
      <c r="AV179" s="461"/>
      <c r="AW179" s="461" t="s">
        <v>1235</v>
      </c>
      <c r="AX179" s="2489"/>
      <c r="AY179" s="2489"/>
      <c r="AZ179" s="2489"/>
      <c r="BA179" s="2489"/>
      <c r="BB179" s="2489"/>
      <c r="BC179" s="2489"/>
      <c r="BD179" s="2489"/>
      <c r="BE179" s="2489"/>
      <c r="BF179" s="2489"/>
      <c r="BG179" s="2489"/>
      <c r="BH179" s="2489"/>
      <c r="BI179" s="2489"/>
      <c r="BJ179" s="2489"/>
      <c r="BK179" s="2489"/>
      <c r="BL179" s="2489">
        <v>1</v>
      </c>
      <c r="BM179" s="461"/>
      <c r="BN179" s="461">
        <v>0</v>
      </c>
      <c r="BO179" s="461">
        <v>1</v>
      </c>
      <c r="BP179" s="41"/>
      <c r="BR179" s="41"/>
      <c r="BS179" s="41"/>
      <c r="BT179" s="41"/>
      <c r="BU179" s="41" t="s">
        <v>1344</v>
      </c>
      <c r="BV179" s="2001"/>
      <c r="BW179" s="2001"/>
      <c r="BX179" s="2001"/>
      <c r="BY179" s="2001"/>
      <c r="BZ179" s="2001"/>
      <c r="CA179" s="2001"/>
      <c r="CB179" s="2001"/>
      <c r="CC179" s="2001">
        <v>0</v>
      </c>
      <c r="CD179" s="2001"/>
      <c r="CE179" s="2001">
        <v>6</v>
      </c>
      <c r="CF179" s="2001">
        <v>0</v>
      </c>
      <c r="CG179" s="2001"/>
      <c r="CH179" s="2001"/>
      <c r="CI179" s="2001"/>
      <c r="CJ179" s="2001">
        <v>0</v>
      </c>
      <c r="CK179" s="105"/>
      <c r="CL179" s="105"/>
      <c r="CM179" s="105">
        <v>6</v>
      </c>
      <c r="CN179" s="41"/>
      <c r="CR179" s="41"/>
      <c r="CS179" s="461" t="s">
        <v>545</v>
      </c>
      <c r="CT179" s="1666"/>
      <c r="CU179" s="1666">
        <v>1</v>
      </c>
      <c r="CV179" s="1666"/>
      <c r="CW179" s="1666"/>
      <c r="CX179" s="1666">
        <v>1</v>
      </c>
      <c r="CY179" s="1666"/>
      <c r="CZ179" s="1666"/>
      <c r="DA179" s="1666"/>
      <c r="DB179" s="1666"/>
      <c r="DC179" s="1666">
        <v>5</v>
      </c>
      <c r="DD179" s="1666">
        <v>2</v>
      </c>
      <c r="DE179" s="1666"/>
      <c r="DF179" s="1666"/>
      <c r="DG179" s="1666"/>
      <c r="DH179" s="1666"/>
      <c r="DI179" s="461"/>
      <c r="DJ179" s="461">
        <v>1</v>
      </c>
      <c r="DK179" s="461">
        <v>10</v>
      </c>
      <c r="DL179" s="635">
        <f>+DK178/DK179</f>
        <v>0.3</v>
      </c>
      <c r="DN179" s="1375"/>
      <c r="DO179" s="1375"/>
      <c r="DP179" s="1375"/>
      <c r="DQ179" s="1376" t="s">
        <v>1344</v>
      </c>
      <c r="DR179" s="1377"/>
      <c r="DS179" s="1377"/>
      <c r="DT179" s="1377"/>
      <c r="DU179" s="1377"/>
      <c r="DV179" s="1377"/>
      <c r="DW179" s="1378">
        <v>0</v>
      </c>
      <c r="DX179" s="1377"/>
      <c r="DY179" s="1378">
        <v>2</v>
      </c>
      <c r="DZ179" s="1377"/>
      <c r="EA179" s="1377"/>
      <c r="EB179" s="1377"/>
      <c r="EC179" s="1377"/>
      <c r="ED179" s="1377"/>
      <c r="EE179" s="1379"/>
      <c r="EF179" s="1379"/>
      <c r="EG179" s="1380">
        <v>2</v>
      </c>
      <c r="EH179" s="41"/>
      <c r="EJ179" s="729"/>
      <c r="EK179" s="729"/>
      <c r="EL179" s="729"/>
      <c r="EM179" s="730" t="s">
        <v>113</v>
      </c>
      <c r="EN179" s="731">
        <v>1</v>
      </c>
      <c r="EO179" s="731">
        <v>7</v>
      </c>
      <c r="EP179" s="731">
        <v>6</v>
      </c>
      <c r="EQ179" s="731">
        <v>7</v>
      </c>
      <c r="ER179" s="731">
        <v>3</v>
      </c>
      <c r="ES179" s="731">
        <v>3</v>
      </c>
      <c r="ET179" s="731">
        <v>17</v>
      </c>
      <c r="EU179" s="731">
        <v>11</v>
      </c>
      <c r="EV179" s="731">
        <v>10</v>
      </c>
      <c r="EW179" s="731">
        <v>20</v>
      </c>
      <c r="EX179" s="731">
        <v>26</v>
      </c>
      <c r="EY179" s="731">
        <v>16</v>
      </c>
      <c r="EZ179" s="731">
        <v>35</v>
      </c>
      <c r="FA179" s="731">
        <v>48</v>
      </c>
      <c r="FB179" s="731">
        <v>61</v>
      </c>
      <c r="FC179" s="732">
        <v>9</v>
      </c>
      <c r="FD179" s="732">
        <v>28</v>
      </c>
      <c r="FE179" s="732">
        <v>308</v>
      </c>
      <c r="FF179" s="662">
        <f>+(FE174+FE177+FE178)/FE179</f>
        <v>0.36688311688311687</v>
      </c>
      <c r="FH179" s="511"/>
      <c r="FI179" s="511"/>
      <c r="FJ179" s="532" t="s">
        <v>113</v>
      </c>
      <c r="FK179" s="511" t="s">
        <v>1229</v>
      </c>
      <c r="FL179" s="512" t="s">
        <v>1230</v>
      </c>
      <c r="FM179" s="685">
        <v>0</v>
      </c>
      <c r="FN179" s="685">
        <v>0</v>
      </c>
      <c r="FO179" s="685">
        <v>0</v>
      </c>
      <c r="FP179" s="685">
        <v>0</v>
      </c>
      <c r="FQ179" s="685">
        <v>0</v>
      </c>
      <c r="FR179" s="685">
        <v>0</v>
      </c>
      <c r="FS179" s="685">
        <v>0</v>
      </c>
      <c r="FT179" s="685">
        <v>0</v>
      </c>
      <c r="FU179" s="685">
        <v>0</v>
      </c>
      <c r="FV179" s="685">
        <v>0</v>
      </c>
      <c r="FW179" s="685">
        <v>0</v>
      </c>
      <c r="FX179" s="685">
        <v>0</v>
      </c>
      <c r="FY179" s="685">
        <v>0</v>
      </c>
      <c r="FZ179" s="685">
        <v>0</v>
      </c>
      <c r="GA179" s="685">
        <v>4</v>
      </c>
      <c r="GB179" s="687">
        <v>1</v>
      </c>
      <c r="GC179" s="687">
        <v>0</v>
      </c>
      <c r="GD179" s="687">
        <v>5</v>
      </c>
      <c r="GE179" s="635"/>
      <c r="GF179" s="41"/>
      <c r="GG179" s="688"/>
      <c r="GH179" s="688"/>
      <c r="GI179" s="688"/>
      <c r="GJ179" s="457" t="s">
        <v>1240</v>
      </c>
      <c r="GK179" s="458">
        <v>0</v>
      </c>
      <c r="GL179" s="689"/>
      <c r="GM179" s="458">
        <v>0</v>
      </c>
      <c r="GN179" s="458">
        <v>0</v>
      </c>
      <c r="GO179" s="458">
        <v>0</v>
      </c>
      <c r="GP179" s="458">
        <v>1</v>
      </c>
      <c r="GQ179" s="458">
        <v>0</v>
      </c>
      <c r="GR179" s="458">
        <v>0</v>
      </c>
      <c r="GS179" s="458">
        <v>0</v>
      </c>
      <c r="GT179" s="458">
        <v>1</v>
      </c>
      <c r="GU179" s="458">
        <v>0</v>
      </c>
      <c r="GV179" s="689"/>
      <c r="GW179" s="689"/>
      <c r="GX179" s="458">
        <v>2</v>
      </c>
      <c r="GY179" s="690"/>
      <c r="GZ179" s="41"/>
      <c r="HA179" s="41"/>
      <c r="HB179" s="105"/>
      <c r="HC179" s="105"/>
      <c r="HD179" s="105"/>
      <c r="HE179" s="41" t="s">
        <v>1240</v>
      </c>
      <c r="HF179" s="41">
        <v>0</v>
      </c>
      <c r="HG179" s="41">
        <v>0</v>
      </c>
      <c r="HH179" s="41">
        <v>0</v>
      </c>
      <c r="HI179" s="41"/>
      <c r="HJ179" s="41"/>
      <c r="HK179" s="41">
        <v>0</v>
      </c>
      <c r="HL179" s="41">
        <v>0</v>
      </c>
      <c r="HM179" s="41">
        <v>0</v>
      </c>
      <c r="HN179" s="41">
        <v>2</v>
      </c>
      <c r="HO179" s="41">
        <v>2</v>
      </c>
      <c r="HP179" s="41">
        <v>1</v>
      </c>
      <c r="HQ179" s="41">
        <v>0</v>
      </c>
      <c r="HR179" s="41">
        <v>0</v>
      </c>
      <c r="HS179" s="41"/>
      <c r="HT179" s="41"/>
      <c r="HU179" s="41">
        <v>0</v>
      </c>
      <c r="HV179" s="41">
        <v>5</v>
      </c>
      <c r="HW179" s="41"/>
      <c r="HX179" s="41"/>
      <c r="HY179" s="691"/>
      <c r="HZ179" s="691"/>
      <c r="IA179" s="691"/>
      <c r="IB179" s="691" t="s">
        <v>1344</v>
      </c>
      <c r="IC179" s="691">
        <v>0</v>
      </c>
      <c r="ID179" s="691">
        <v>0</v>
      </c>
      <c r="IE179" s="691">
        <v>0</v>
      </c>
      <c r="IF179" s="691">
        <v>0</v>
      </c>
      <c r="IG179" s="691">
        <v>0</v>
      </c>
      <c r="IH179" s="691">
        <v>0</v>
      </c>
      <c r="II179" s="691">
        <v>0</v>
      </c>
      <c r="IJ179" s="691">
        <v>0</v>
      </c>
      <c r="IK179" s="691">
        <v>0</v>
      </c>
      <c r="IL179" s="691">
        <v>0</v>
      </c>
      <c r="IM179" s="691">
        <v>1</v>
      </c>
      <c r="IN179" s="691">
        <v>3</v>
      </c>
      <c r="IO179" s="691">
        <v>0</v>
      </c>
      <c r="IP179" s="691">
        <v>0</v>
      </c>
      <c r="IQ179" s="691">
        <v>0</v>
      </c>
      <c r="IR179" s="691">
        <v>0</v>
      </c>
      <c r="IS179" s="691">
        <v>4</v>
      </c>
      <c r="IT179" s="691"/>
      <c r="IU179" s="692"/>
    </row>
    <row r="180" spans="1:255">
      <c r="D180" s="4800" t="s">
        <v>15</v>
      </c>
      <c r="E180" s="4606"/>
      <c r="F180" s="4606"/>
      <c r="G180" s="4606"/>
      <c r="H180" s="4606"/>
      <c r="I180" s="4606"/>
      <c r="J180" s="4606"/>
      <c r="K180" s="4606"/>
      <c r="L180" s="4606"/>
      <c r="M180" s="4606">
        <v>1</v>
      </c>
      <c r="N180" s="4606"/>
      <c r="O180" s="4606"/>
      <c r="P180" s="4606">
        <v>6</v>
      </c>
      <c r="Q180" s="4606">
        <v>1</v>
      </c>
      <c r="R180" s="4606"/>
      <c r="S180" s="2552"/>
      <c r="T180" s="2552"/>
      <c r="U180" s="2552">
        <v>8</v>
      </c>
      <c r="V180" s="1977">
        <v>0</v>
      </c>
      <c r="Y180" s="37" t="s">
        <v>21</v>
      </c>
      <c r="Z180" s="37" t="s">
        <v>146</v>
      </c>
      <c r="AA180" s="37" t="s">
        <v>1231</v>
      </c>
      <c r="AB180" s="4803">
        <v>0</v>
      </c>
      <c r="AC180" s="4803"/>
      <c r="AD180" s="4803"/>
      <c r="AE180" s="4803"/>
      <c r="AF180" s="4803"/>
      <c r="AG180" s="4803"/>
      <c r="AH180" s="4803"/>
      <c r="AI180" s="4803"/>
      <c r="AJ180" s="4803">
        <v>1</v>
      </c>
      <c r="AK180" s="4803"/>
      <c r="AL180" s="4803"/>
      <c r="AM180" s="4803">
        <v>6</v>
      </c>
      <c r="AN180" s="4803">
        <v>1</v>
      </c>
      <c r="AO180" s="4803"/>
      <c r="AP180" s="1788"/>
      <c r="AQ180" s="1788">
        <v>8</v>
      </c>
      <c r="AT180" s="41"/>
      <c r="AU180" s="41"/>
      <c r="AV180" s="461"/>
      <c r="AW180" s="461" t="s">
        <v>1239</v>
      </c>
      <c r="AX180" s="2489"/>
      <c r="AY180" s="2489"/>
      <c r="AZ180" s="2489"/>
      <c r="BA180" s="2489"/>
      <c r="BB180" s="2489"/>
      <c r="BC180" s="2489"/>
      <c r="BD180" s="2489"/>
      <c r="BE180" s="2489"/>
      <c r="BF180" s="2489"/>
      <c r="BG180" s="2489"/>
      <c r="BH180" s="2489"/>
      <c r="BI180" s="2489"/>
      <c r="BJ180" s="2489"/>
      <c r="BK180" s="2489"/>
      <c r="BL180" s="2489">
        <v>0</v>
      </c>
      <c r="BM180" s="461"/>
      <c r="BN180" s="461">
        <v>5</v>
      </c>
      <c r="BO180" s="461">
        <v>5</v>
      </c>
      <c r="BP180" s="41"/>
      <c r="BR180" s="41"/>
      <c r="BS180" s="41"/>
      <c r="BT180" s="41"/>
      <c r="BU180" s="461" t="s">
        <v>15</v>
      </c>
      <c r="BV180" s="2002"/>
      <c r="BW180" s="2002"/>
      <c r="BX180" s="2002"/>
      <c r="BY180" s="2002"/>
      <c r="BZ180" s="2002"/>
      <c r="CA180" s="2002"/>
      <c r="CB180" s="2002"/>
      <c r="CC180" s="2002">
        <v>1</v>
      </c>
      <c r="CD180" s="2002"/>
      <c r="CE180" s="2002">
        <v>13</v>
      </c>
      <c r="CF180" s="2002">
        <v>1</v>
      </c>
      <c r="CG180" s="2002"/>
      <c r="CH180" s="2002"/>
      <c r="CI180" s="2002"/>
      <c r="CJ180" s="2002">
        <v>2</v>
      </c>
      <c r="CK180" s="96"/>
      <c r="CL180" s="96"/>
      <c r="CM180" s="96">
        <v>17</v>
      </c>
      <c r="CN180" s="635">
        <f>+(CM177+CM179)/CM180</f>
        <v>0.41176470588235292</v>
      </c>
      <c r="CQ180" s="105" t="s">
        <v>64</v>
      </c>
      <c r="CR180" s="41" t="s">
        <v>671</v>
      </c>
      <c r="CS180" s="41" t="s">
        <v>1231</v>
      </c>
      <c r="CT180" s="1665"/>
      <c r="CU180" s="1665"/>
      <c r="CV180" s="1665"/>
      <c r="CW180" s="1665"/>
      <c r="CX180" s="1665"/>
      <c r="CY180" s="1665"/>
      <c r="CZ180" s="1665"/>
      <c r="DA180" s="1665"/>
      <c r="DB180" s="1665"/>
      <c r="DC180" s="1665"/>
      <c r="DD180" s="1665">
        <v>1</v>
      </c>
      <c r="DE180" s="1665"/>
      <c r="DF180" s="1665">
        <v>1</v>
      </c>
      <c r="DG180" s="1665">
        <v>1</v>
      </c>
      <c r="DH180" s="1665">
        <v>0</v>
      </c>
      <c r="DI180" s="41">
        <v>0</v>
      </c>
      <c r="DJ180" s="41"/>
      <c r="DK180" s="41">
        <v>3</v>
      </c>
      <c r="DL180" s="41"/>
      <c r="DN180" s="1375"/>
      <c r="DO180" s="1375"/>
      <c r="DP180" s="1375"/>
      <c r="DQ180" s="1372" t="s">
        <v>545</v>
      </c>
      <c r="DR180" s="1381"/>
      <c r="DS180" s="1381"/>
      <c r="DT180" s="1381"/>
      <c r="DU180" s="1381"/>
      <c r="DV180" s="1381"/>
      <c r="DW180" s="1382">
        <v>2</v>
      </c>
      <c r="DX180" s="1381"/>
      <c r="DY180" s="1382">
        <v>10</v>
      </c>
      <c r="DZ180" s="1381"/>
      <c r="EA180" s="1381"/>
      <c r="EB180" s="1381"/>
      <c r="EC180" s="1381"/>
      <c r="ED180" s="1381"/>
      <c r="EE180" s="1383"/>
      <c r="EF180" s="1383"/>
      <c r="EG180" s="1384">
        <v>12</v>
      </c>
      <c r="EH180" s="1325">
        <f>+EG179/EG180</f>
        <v>0.16666666666666666</v>
      </c>
      <c r="FH180" s="511"/>
      <c r="FI180" s="511"/>
      <c r="FJ180" s="511"/>
      <c r="FK180" s="511"/>
      <c r="FL180" s="512" t="s">
        <v>1231</v>
      </c>
      <c r="FM180" s="685">
        <v>3</v>
      </c>
      <c r="FN180" s="685">
        <v>3</v>
      </c>
      <c r="FO180" s="685">
        <v>4</v>
      </c>
      <c r="FP180" s="685">
        <v>4</v>
      </c>
      <c r="FQ180" s="685">
        <v>1</v>
      </c>
      <c r="FR180" s="685">
        <v>1</v>
      </c>
      <c r="FS180" s="685">
        <v>4</v>
      </c>
      <c r="FT180" s="685">
        <v>2</v>
      </c>
      <c r="FU180" s="685">
        <v>2</v>
      </c>
      <c r="FV180" s="685">
        <v>8</v>
      </c>
      <c r="FW180" s="685">
        <v>2</v>
      </c>
      <c r="FX180" s="685">
        <v>10</v>
      </c>
      <c r="FY180" s="685">
        <v>31</v>
      </c>
      <c r="FZ180" s="685">
        <v>14</v>
      </c>
      <c r="GA180" s="685">
        <v>7</v>
      </c>
      <c r="GB180" s="687">
        <v>5</v>
      </c>
      <c r="GC180" s="687">
        <v>0</v>
      </c>
      <c r="GD180" s="687">
        <v>101</v>
      </c>
      <c r="GE180" s="635"/>
      <c r="GF180" s="41"/>
      <c r="GG180" s="688"/>
      <c r="GH180" s="688"/>
      <c r="GI180" s="688"/>
      <c r="GJ180" s="457" t="s">
        <v>1344</v>
      </c>
      <c r="GK180" s="458">
        <v>0</v>
      </c>
      <c r="GL180" s="689"/>
      <c r="GM180" s="458">
        <v>0</v>
      </c>
      <c r="GN180" s="458">
        <v>0</v>
      </c>
      <c r="GO180" s="458">
        <v>0</v>
      </c>
      <c r="GP180" s="458">
        <v>1</v>
      </c>
      <c r="GQ180" s="458">
        <v>0</v>
      </c>
      <c r="GR180" s="458">
        <v>0</v>
      </c>
      <c r="GS180" s="458">
        <v>0</v>
      </c>
      <c r="GT180" s="458">
        <v>0</v>
      </c>
      <c r="GU180" s="458">
        <v>0</v>
      </c>
      <c r="GV180" s="689"/>
      <c r="GW180" s="689"/>
      <c r="GX180" s="458">
        <v>1</v>
      </c>
      <c r="GY180" s="690"/>
      <c r="GZ180" s="41"/>
      <c r="HA180" s="41"/>
      <c r="HB180" s="105"/>
      <c r="HC180" s="105"/>
      <c r="HD180" s="105"/>
      <c r="HE180" s="41" t="s">
        <v>1344</v>
      </c>
      <c r="HF180" s="41">
        <v>0</v>
      </c>
      <c r="HG180" s="41">
        <v>0</v>
      </c>
      <c r="HH180" s="41">
        <v>0</v>
      </c>
      <c r="HI180" s="41"/>
      <c r="HJ180" s="41"/>
      <c r="HK180" s="41">
        <v>0</v>
      </c>
      <c r="HL180" s="41">
        <v>1</v>
      </c>
      <c r="HM180" s="41">
        <v>0</v>
      </c>
      <c r="HN180" s="41">
        <v>2</v>
      </c>
      <c r="HO180" s="41">
        <v>1</v>
      </c>
      <c r="HP180" s="41">
        <v>0</v>
      </c>
      <c r="HQ180" s="41">
        <v>0</v>
      </c>
      <c r="HR180" s="41">
        <v>1</v>
      </c>
      <c r="HS180" s="41"/>
      <c r="HT180" s="41"/>
      <c r="HU180" s="41">
        <v>0</v>
      </c>
      <c r="HV180" s="41">
        <v>5</v>
      </c>
      <c r="HW180" s="41"/>
      <c r="HX180" s="41"/>
      <c r="HY180" s="691"/>
      <c r="HZ180" s="691"/>
      <c r="IA180" s="691"/>
      <c r="IB180" s="702" t="s">
        <v>15</v>
      </c>
      <c r="IC180" s="702">
        <v>0</v>
      </c>
      <c r="ID180" s="702">
        <v>0</v>
      </c>
      <c r="IE180" s="702">
        <v>1</v>
      </c>
      <c r="IF180" s="702">
        <v>0</v>
      </c>
      <c r="IG180" s="702">
        <v>2</v>
      </c>
      <c r="IH180" s="702">
        <v>2</v>
      </c>
      <c r="II180" s="702">
        <v>1</v>
      </c>
      <c r="IJ180" s="702">
        <v>0</v>
      </c>
      <c r="IK180" s="702">
        <v>2</v>
      </c>
      <c r="IL180" s="702">
        <v>0</v>
      </c>
      <c r="IM180" s="702">
        <v>3</v>
      </c>
      <c r="IN180" s="702">
        <v>3</v>
      </c>
      <c r="IO180" s="702">
        <v>2</v>
      </c>
      <c r="IP180" s="702">
        <v>0</v>
      </c>
      <c r="IQ180" s="702">
        <v>0</v>
      </c>
      <c r="IR180" s="702">
        <v>0</v>
      </c>
      <c r="IS180" s="702">
        <v>16</v>
      </c>
      <c r="IT180" s="703">
        <f>+(IS179+IS176)/IS180</f>
        <v>0.4375</v>
      </c>
      <c r="IU180" s="692">
        <f>+IS176+IS179</f>
        <v>7</v>
      </c>
    </row>
    <row r="181" spans="1:255">
      <c r="C181" s="32" t="s">
        <v>546</v>
      </c>
      <c r="D181" s="32" t="s">
        <v>1231</v>
      </c>
      <c r="E181" s="4607"/>
      <c r="F181" s="4607"/>
      <c r="G181" s="4607"/>
      <c r="H181" s="4607"/>
      <c r="I181" s="4607"/>
      <c r="J181" s="4607"/>
      <c r="K181" s="4607"/>
      <c r="L181" s="4607"/>
      <c r="M181" s="4607">
        <v>1</v>
      </c>
      <c r="N181" s="4607"/>
      <c r="O181" s="4607"/>
      <c r="P181" s="4607">
        <v>6</v>
      </c>
      <c r="Q181" s="4607">
        <v>1</v>
      </c>
      <c r="R181" s="4607"/>
      <c r="S181" s="4583"/>
      <c r="T181" s="4583"/>
      <c r="U181" s="4583">
        <v>8</v>
      </c>
      <c r="V181" s="4583"/>
      <c r="AA181" s="1793" t="s">
        <v>15</v>
      </c>
      <c r="AB181" s="4804">
        <v>0</v>
      </c>
      <c r="AC181" s="4804"/>
      <c r="AD181" s="4804"/>
      <c r="AE181" s="4804"/>
      <c r="AF181" s="4804"/>
      <c r="AG181" s="4804"/>
      <c r="AH181" s="4804"/>
      <c r="AI181" s="4804"/>
      <c r="AJ181" s="4804">
        <v>1</v>
      </c>
      <c r="AK181" s="4804"/>
      <c r="AL181" s="4804"/>
      <c r="AM181" s="4804">
        <v>6</v>
      </c>
      <c r="AN181" s="4804">
        <v>1</v>
      </c>
      <c r="AO181" s="4804"/>
      <c r="AP181" s="4702"/>
      <c r="AQ181" s="4702">
        <v>8</v>
      </c>
      <c r="AR181" s="4703">
        <v>0</v>
      </c>
      <c r="AT181" s="41"/>
      <c r="AU181" s="41"/>
      <c r="AV181" s="461"/>
      <c r="AW181" s="461" t="s">
        <v>1344</v>
      </c>
      <c r="AX181" s="2489"/>
      <c r="AY181" s="2489"/>
      <c r="AZ181" s="2489"/>
      <c r="BA181" s="2489"/>
      <c r="BB181" s="2489"/>
      <c r="BC181" s="2489"/>
      <c r="BD181" s="2489"/>
      <c r="BE181" s="2489"/>
      <c r="BF181" s="2489"/>
      <c r="BG181" s="2489"/>
      <c r="BH181" s="2489"/>
      <c r="BI181" s="2489"/>
      <c r="BJ181" s="2489"/>
      <c r="BK181" s="2489"/>
      <c r="BL181" s="2489">
        <v>1</v>
      </c>
      <c r="BM181" s="461"/>
      <c r="BN181" s="461">
        <v>0</v>
      </c>
      <c r="BO181" s="461">
        <v>1</v>
      </c>
      <c r="BP181" s="41"/>
      <c r="BR181" s="41"/>
      <c r="BS181" s="41"/>
      <c r="BT181" s="41" t="s">
        <v>545</v>
      </c>
      <c r="BU181" s="41" t="s">
        <v>1230</v>
      </c>
      <c r="BV181" s="2001"/>
      <c r="BW181" s="2001"/>
      <c r="BX181" s="2001"/>
      <c r="BY181" s="2001"/>
      <c r="BZ181" s="2001"/>
      <c r="CA181" s="2001"/>
      <c r="CB181" s="2001"/>
      <c r="CC181" s="2001">
        <v>0</v>
      </c>
      <c r="CD181" s="2001"/>
      <c r="CE181" s="2001">
        <v>0</v>
      </c>
      <c r="CF181" s="2001">
        <v>0</v>
      </c>
      <c r="CG181" s="2001"/>
      <c r="CH181" s="2001"/>
      <c r="CI181" s="2001"/>
      <c r="CJ181" s="2001">
        <v>1</v>
      </c>
      <c r="CK181" s="105"/>
      <c r="CL181" s="105"/>
      <c r="CM181" s="105">
        <v>1</v>
      </c>
      <c r="CN181" s="41"/>
      <c r="CR181" s="41"/>
      <c r="CS181" s="41" t="s">
        <v>1239</v>
      </c>
      <c r="CT181" s="1665"/>
      <c r="CU181" s="1665"/>
      <c r="CV181" s="1665"/>
      <c r="CW181" s="1665"/>
      <c r="CX181" s="1665"/>
      <c r="CY181" s="1665"/>
      <c r="CZ181" s="1665"/>
      <c r="DA181" s="1665"/>
      <c r="DB181" s="1665"/>
      <c r="DC181" s="1665"/>
      <c r="DD181" s="1665">
        <v>0</v>
      </c>
      <c r="DE181" s="1665"/>
      <c r="DF181" s="1665">
        <v>0</v>
      </c>
      <c r="DG181" s="1665">
        <v>0</v>
      </c>
      <c r="DH181" s="1665">
        <v>2</v>
      </c>
      <c r="DI181" s="41">
        <v>1</v>
      </c>
      <c r="DJ181" s="41"/>
      <c r="DK181" s="41">
        <v>3</v>
      </c>
      <c r="DL181" s="41"/>
      <c r="DN181" s="1375"/>
      <c r="DO181" s="1375"/>
      <c r="DP181" s="1375" t="s">
        <v>260</v>
      </c>
      <c r="DQ181" s="1376" t="s">
        <v>1231</v>
      </c>
      <c r="DR181" s="1377"/>
      <c r="DS181" s="1377"/>
      <c r="DT181" s="1377"/>
      <c r="DU181" s="1377"/>
      <c r="DV181" s="1377"/>
      <c r="DW181" s="1378">
        <v>0</v>
      </c>
      <c r="DX181" s="1377"/>
      <c r="DY181" s="1378">
        <v>8</v>
      </c>
      <c r="DZ181" s="1377"/>
      <c r="EA181" s="1377"/>
      <c r="EB181" s="1377"/>
      <c r="EC181" s="1377"/>
      <c r="ED181" s="1377"/>
      <c r="EE181" s="1379"/>
      <c r="EF181" s="1379"/>
      <c r="EG181" s="1380">
        <v>8</v>
      </c>
      <c r="EH181" s="41"/>
      <c r="EJ181" s="733" t="s">
        <v>1356</v>
      </c>
      <c r="FH181" s="511"/>
      <c r="FI181" s="511"/>
      <c r="FJ181" s="511"/>
      <c r="FK181" s="511"/>
      <c r="FL181" s="512" t="s">
        <v>1233</v>
      </c>
      <c r="FM181" s="685">
        <v>0</v>
      </c>
      <c r="FN181" s="685">
        <v>0</v>
      </c>
      <c r="FO181" s="685">
        <v>0</v>
      </c>
      <c r="FP181" s="685">
        <v>0</v>
      </c>
      <c r="FQ181" s="685">
        <v>0</v>
      </c>
      <c r="FR181" s="685">
        <v>0</v>
      </c>
      <c r="FS181" s="685">
        <v>0</v>
      </c>
      <c r="FT181" s="685">
        <v>0</v>
      </c>
      <c r="FU181" s="685">
        <v>0</v>
      </c>
      <c r="FV181" s="685">
        <v>1</v>
      </c>
      <c r="FW181" s="685">
        <v>0</v>
      </c>
      <c r="FX181" s="685">
        <v>0</v>
      </c>
      <c r="FY181" s="685">
        <v>0</v>
      </c>
      <c r="FZ181" s="685">
        <v>0</v>
      </c>
      <c r="GA181" s="685">
        <v>0</v>
      </c>
      <c r="GB181" s="687">
        <v>0</v>
      </c>
      <c r="GC181" s="687">
        <v>0</v>
      </c>
      <c r="GD181" s="687">
        <v>1</v>
      </c>
      <c r="GE181" s="635"/>
      <c r="GF181" s="41"/>
      <c r="GG181" s="688"/>
      <c r="GH181" s="688"/>
      <c r="GI181" s="688"/>
      <c r="GJ181" s="704" t="s">
        <v>106</v>
      </c>
      <c r="GK181" s="463">
        <v>1</v>
      </c>
      <c r="GL181" s="705"/>
      <c r="GM181" s="463">
        <v>6</v>
      </c>
      <c r="GN181" s="463">
        <v>3</v>
      </c>
      <c r="GO181" s="463">
        <v>5</v>
      </c>
      <c r="GP181" s="463">
        <v>3</v>
      </c>
      <c r="GQ181" s="463">
        <v>1</v>
      </c>
      <c r="GR181" s="463">
        <v>1</v>
      </c>
      <c r="GS181" s="463">
        <v>1</v>
      </c>
      <c r="GT181" s="463">
        <v>2</v>
      </c>
      <c r="GU181" s="463">
        <v>4</v>
      </c>
      <c r="GV181" s="705"/>
      <c r="GW181" s="705"/>
      <c r="GX181" s="463">
        <v>27</v>
      </c>
      <c r="GY181" s="628">
        <f>+(GX180+GX179+GX176)/GX181</f>
        <v>0.14814814814814814</v>
      </c>
      <c r="GZ181" s="41"/>
      <c r="HA181" s="41"/>
      <c r="HB181" s="105"/>
      <c r="HC181" s="105"/>
      <c r="HD181" s="105"/>
      <c r="HE181" s="461" t="s">
        <v>15</v>
      </c>
      <c r="HF181" s="461">
        <v>2</v>
      </c>
      <c r="HG181" s="461">
        <v>1</v>
      </c>
      <c r="HH181" s="461">
        <v>2</v>
      </c>
      <c r="HI181" s="461"/>
      <c r="HJ181" s="461"/>
      <c r="HK181" s="461">
        <v>2</v>
      </c>
      <c r="HL181" s="461">
        <v>5</v>
      </c>
      <c r="HM181" s="461">
        <v>2</v>
      </c>
      <c r="HN181" s="461">
        <v>19</v>
      </c>
      <c r="HO181" s="461">
        <v>9</v>
      </c>
      <c r="HP181" s="461">
        <v>3</v>
      </c>
      <c r="HQ181" s="461">
        <v>4</v>
      </c>
      <c r="HR181" s="461">
        <v>1</v>
      </c>
      <c r="HS181" s="461"/>
      <c r="HT181" s="461"/>
      <c r="HU181" s="461">
        <v>2</v>
      </c>
      <c r="HV181" s="461">
        <v>52</v>
      </c>
      <c r="HW181" s="706">
        <f>+(HV176+HV179+HV180)/HV181</f>
        <v>0.26923076923076922</v>
      </c>
      <c r="HX181" s="41"/>
      <c r="HY181" s="691"/>
      <c r="HZ181" s="691"/>
      <c r="IA181" s="691" t="s">
        <v>25</v>
      </c>
      <c r="IB181" s="691" t="s">
        <v>1230</v>
      </c>
      <c r="IC181" s="691">
        <v>0</v>
      </c>
      <c r="ID181" s="691">
        <v>0</v>
      </c>
      <c r="IE181" s="691">
        <v>0</v>
      </c>
      <c r="IF181" s="691">
        <v>0</v>
      </c>
      <c r="IG181" s="691">
        <v>0</v>
      </c>
      <c r="IH181" s="691">
        <v>1</v>
      </c>
      <c r="II181" s="691">
        <v>0</v>
      </c>
      <c r="IJ181" s="691">
        <v>0</v>
      </c>
      <c r="IK181" s="691">
        <v>0</v>
      </c>
      <c r="IL181" s="691">
        <v>0</v>
      </c>
      <c r="IM181" s="691">
        <v>0</v>
      </c>
      <c r="IN181" s="691">
        <v>0</v>
      </c>
      <c r="IO181" s="691">
        <v>0</v>
      </c>
      <c r="IP181" s="691">
        <v>1</v>
      </c>
      <c r="IQ181" s="691">
        <v>0</v>
      </c>
      <c r="IR181" s="691">
        <v>0</v>
      </c>
      <c r="IS181" s="691">
        <v>2</v>
      </c>
      <c r="IT181" s="691"/>
      <c r="IU181" s="692"/>
    </row>
    <row r="182" spans="1:255">
      <c r="C182" s="32"/>
      <c r="D182" s="4800" t="s">
        <v>15</v>
      </c>
      <c r="E182" s="4607"/>
      <c r="F182" s="4607"/>
      <c r="G182" s="4607"/>
      <c r="H182" s="4607"/>
      <c r="I182" s="4607"/>
      <c r="J182" s="4607"/>
      <c r="K182" s="4607"/>
      <c r="L182" s="4607"/>
      <c r="M182" s="4607">
        <v>1</v>
      </c>
      <c r="N182" s="4607"/>
      <c r="O182" s="4607"/>
      <c r="P182" s="4607">
        <v>6</v>
      </c>
      <c r="Q182" s="4607">
        <v>1</v>
      </c>
      <c r="R182" s="4607"/>
      <c r="S182" s="4583"/>
      <c r="T182" s="4583"/>
      <c r="U182" s="4583">
        <v>8</v>
      </c>
      <c r="V182" s="1977">
        <v>0</v>
      </c>
      <c r="Z182" s="1793" t="s">
        <v>546</v>
      </c>
      <c r="AA182" s="1793" t="s">
        <v>1231</v>
      </c>
      <c r="AB182" s="4804">
        <v>0</v>
      </c>
      <c r="AC182" s="4804"/>
      <c r="AD182" s="4804"/>
      <c r="AE182" s="4804"/>
      <c r="AF182" s="4804"/>
      <c r="AG182" s="4804"/>
      <c r="AH182" s="4804"/>
      <c r="AI182" s="4804"/>
      <c r="AJ182" s="4804">
        <v>1</v>
      </c>
      <c r="AK182" s="4804"/>
      <c r="AL182" s="4804"/>
      <c r="AM182" s="4804">
        <v>6</v>
      </c>
      <c r="AN182" s="4804">
        <v>1</v>
      </c>
      <c r="AO182" s="4804"/>
      <c r="AP182" s="4702"/>
      <c r="AQ182" s="4702">
        <v>8</v>
      </c>
      <c r="AR182" s="1793"/>
      <c r="AT182" s="41"/>
      <c r="AU182" s="41"/>
      <c r="AV182" s="461"/>
      <c r="AW182" s="461" t="s">
        <v>545</v>
      </c>
      <c r="AX182" s="2489"/>
      <c r="AY182" s="2489"/>
      <c r="AZ182" s="2489"/>
      <c r="BA182" s="2489"/>
      <c r="BB182" s="2489"/>
      <c r="BC182" s="2489"/>
      <c r="BD182" s="2489"/>
      <c r="BE182" s="2489"/>
      <c r="BF182" s="2489"/>
      <c r="BG182" s="2489"/>
      <c r="BH182" s="2489"/>
      <c r="BI182" s="2489"/>
      <c r="BJ182" s="2489"/>
      <c r="BK182" s="2489"/>
      <c r="BL182" s="2489">
        <v>4</v>
      </c>
      <c r="BM182" s="461"/>
      <c r="BN182" s="461">
        <v>5</v>
      </c>
      <c r="BO182" s="461">
        <v>9</v>
      </c>
      <c r="BP182" s="635">
        <f>+(BO181+BO179)/BO182</f>
        <v>0.22222222222222221</v>
      </c>
      <c r="BQ182" s="1977"/>
      <c r="BR182" s="41"/>
      <c r="BS182" s="41"/>
      <c r="BT182" s="41"/>
      <c r="BU182" s="41" t="s">
        <v>1231</v>
      </c>
      <c r="BV182" s="2001"/>
      <c r="BW182" s="2001"/>
      <c r="BX182" s="2001"/>
      <c r="BY182" s="2001"/>
      <c r="BZ182" s="2001"/>
      <c r="CA182" s="2001"/>
      <c r="CB182" s="2001"/>
      <c r="CC182" s="2001">
        <v>0</v>
      </c>
      <c r="CD182" s="2001"/>
      <c r="CE182" s="2001">
        <v>6</v>
      </c>
      <c r="CF182" s="2001">
        <v>1</v>
      </c>
      <c r="CG182" s="2001"/>
      <c r="CH182" s="2001"/>
      <c r="CI182" s="2001"/>
      <c r="CJ182" s="2001">
        <v>0</v>
      </c>
      <c r="CK182" s="105"/>
      <c r="CL182" s="105"/>
      <c r="CM182" s="105">
        <v>7</v>
      </c>
      <c r="CN182" s="41"/>
      <c r="CR182" s="41"/>
      <c r="CS182" s="41" t="s">
        <v>1344</v>
      </c>
      <c r="CT182" s="1665"/>
      <c r="CU182" s="1665"/>
      <c r="CV182" s="1665"/>
      <c r="CW182" s="1665"/>
      <c r="CX182" s="1665"/>
      <c r="CY182" s="1665"/>
      <c r="CZ182" s="1665"/>
      <c r="DA182" s="1665"/>
      <c r="DB182" s="1665"/>
      <c r="DC182" s="1665"/>
      <c r="DD182" s="1665">
        <v>1</v>
      </c>
      <c r="DE182" s="1665"/>
      <c r="DF182" s="1665">
        <v>0</v>
      </c>
      <c r="DG182" s="1665">
        <v>0</v>
      </c>
      <c r="DH182" s="1665">
        <v>0</v>
      </c>
      <c r="DI182" s="41">
        <v>0</v>
      </c>
      <c r="DJ182" s="41"/>
      <c r="DK182" s="41">
        <v>1</v>
      </c>
      <c r="DL182" s="41"/>
      <c r="DN182" s="1375"/>
      <c r="DO182" s="1375"/>
      <c r="DP182" s="1375"/>
      <c r="DQ182" s="1376" t="s">
        <v>1233</v>
      </c>
      <c r="DR182" s="1377"/>
      <c r="DS182" s="1377"/>
      <c r="DT182" s="1377"/>
      <c r="DU182" s="1377"/>
      <c r="DV182" s="1377"/>
      <c r="DW182" s="1378">
        <v>1</v>
      </c>
      <c r="DX182" s="1377"/>
      <c r="DY182" s="1378">
        <v>0</v>
      </c>
      <c r="DZ182" s="1377"/>
      <c r="EA182" s="1377"/>
      <c r="EB182" s="1377"/>
      <c r="EC182" s="1377"/>
      <c r="ED182" s="1377"/>
      <c r="EE182" s="1379"/>
      <c r="EF182" s="1379"/>
      <c r="EG182" s="1380">
        <v>1</v>
      </c>
      <c r="EH182" s="41"/>
      <c r="FH182" s="511"/>
      <c r="FI182" s="511"/>
      <c r="FJ182" s="511"/>
      <c r="FK182" s="511"/>
      <c r="FL182" s="512" t="s">
        <v>1235</v>
      </c>
      <c r="FM182" s="685">
        <v>0</v>
      </c>
      <c r="FN182" s="685">
        <v>0</v>
      </c>
      <c r="FO182" s="685">
        <v>0</v>
      </c>
      <c r="FP182" s="685">
        <v>0</v>
      </c>
      <c r="FQ182" s="685">
        <v>0</v>
      </c>
      <c r="FR182" s="685">
        <v>0</v>
      </c>
      <c r="FS182" s="685">
        <v>1</v>
      </c>
      <c r="FT182" s="685">
        <v>0</v>
      </c>
      <c r="FU182" s="685">
        <v>1</v>
      </c>
      <c r="FV182" s="685">
        <v>0</v>
      </c>
      <c r="FW182" s="685">
        <v>6</v>
      </c>
      <c r="FX182" s="685">
        <v>7</v>
      </c>
      <c r="FY182" s="685">
        <v>10</v>
      </c>
      <c r="FZ182" s="685">
        <v>14</v>
      </c>
      <c r="GA182" s="685">
        <v>4</v>
      </c>
      <c r="GB182" s="687">
        <v>3</v>
      </c>
      <c r="GC182" s="687">
        <v>0</v>
      </c>
      <c r="GD182" s="687">
        <v>46</v>
      </c>
      <c r="GE182" s="635"/>
      <c r="GF182" s="41"/>
      <c r="GG182" s="688"/>
      <c r="GH182" s="688"/>
      <c r="GI182" s="688" t="s">
        <v>110</v>
      </c>
      <c r="GJ182" s="457" t="s">
        <v>1230</v>
      </c>
      <c r="GK182" s="458">
        <v>0</v>
      </c>
      <c r="GL182" s="458">
        <v>0</v>
      </c>
      <c r="GM182" s="458">
        <v>0</v>
      </c>
      <c r="GN182" s="458">
        <v>1</v>
      </c>
      <c r="GO182" s="689"/>
      <c r="GP182" s="458">
        <v>0</v>
      </c>
      <c r="GQ182" s="458">
        <v>0</v>
      </c>
      <c r="GR182" s="458">
        <v>1</v>
      </c>
      <c r="GS182" s="458">
        <v>1</v>
      </c>
      <c r="GT182" s="458">
        <v>1</v>
      </c>
      <c r="GU182" s="458">
        <v>2</v>
      </c>
      <c r="GV182" s="458">
        <v>0</v>
      </c>
      <c r="GW182" s="458">
        <v>0</v>
      </c>
      <c r="GX182" s="458">
        <v>6</v>
      </c>
      <c r="GY182" s="690"/>
      <c r="GZ182" s="41"/>
      <c r="HA182" s="41"/>
      <c r="HB182" s="105"/>
      <c r="HC182" s="105"/>
      <c r="HD182" s="105" t="s">
        <v>25</v>
      </c>
      <c r="HE182" s="41" t="s">
        <v>1230</v>
      </c>
      <c r="HF182" s="41">
        <v>0</v>
      </c>
      <c r="HG182" s="41">
        <v>0</v>
      </c>
      <c r="HH182" s="41">
        <v>0</v>
      </c>
      <c r="HI182" s="41"/>
      <c r="HJ182" s="41">
        <v>1</v>
      </c>
      <c r="HK182" s="41">
        <v>0</v>
      </c>
      <c r="HL182" s="41">
        <v>0</v>
      </c>
      <c r="HM182" s="41"/>
      <c r="HN182" s="41">
        <v>0</v>
      </c>
      <c r="HO182" s="41">
        <v>0</v>
      </c>
      <c r="HP182" s="41">
        <v>0</v>
      </c>
      <c r="HQ182" s="41">
        <v>0</v>
      </c>
      <c r="HR182" s="41">
        <v>1</v>
      </c>
      <c r="HS182" s="41">
        <v>6</v>
      </c>
      <c r="HT182" s="41">
        <v>1</v>
      </c>
      <c r="HU182" s="41">
        <v>1</v>
      </c>
      <c r="HV182" s="41">
        <v>10</v>
      </c>
      <c r="HW182" s="41"/>
      <c r="HX182" s="41"/>
      <c r="HY182" s="691"/>
      <c r="HZ182" s="691"/>
      <c r="IA182" s="691"/>
      <c r="IB182" s="691" t="s">
        <v>1231</v>
      </c>
      <c r="IC182" s="691">
        <v>1</v>
      </c>
      <c r="ID182" s="691">
        <v>0</v>
      </c>
      <c r="IE182" s="691">
        <v>0</v>
      </c>
      <c r="IF182" s="691">
        <v>1</v>
      </c>
      <c r="IG182" s="691">
        <v>0</v>
      </c>
      <c r="IH182" s="691">
        <v>0</v>
      </c>
      <c r="II182" s="691">
        <v>0</v>
      </c>
      <c r="IJ182" s="691">
        <v>1</v>
      </c>
      <c r="IK182" s="691">
        <v>3</v>
      </c>
      <c r="IL182" s="691">
        <v>1</v>
      </c>
      <c r="IM182" s="691">
        <v>2</v>
      </c>
      <c r="IN182" s="691">
        <v>2</v>
      </c>
      <c r="IO182" s="691">
        <v>0</v>
      </c>
      <c r="IP182" s="691">
        <v>1</v>
      </c>
      <c r="IQ182" s="691">
        <v>0</v>
      </c>
      <c r="IR182" s="691">
        <v>0</v>
      </c>
      <c r="IS182" s="691">
        <v>12</v>
      </c>
      <c r="IT182" s="691"/>
      <c r="IU182" s="692"/>
    </row>
    <row r="183" spans="1:255">
      <c r="C183" s="32" t="s">
        <v>442</v>
      </c>
      <c r="D183" s="32" t="s">
        <v>1231</v>
      </c>
      <c r="E183" s="4607"/>
      <c r="F183" s="4607">
        <v>1</v>
      </c>
      <c r="G183" s="4607"/>
      <c r="H183" s="4607">
        <v>1</v>
      </c>
      <c r="I183" s="4607"/>
      <c r="J183" s="4607"/>
      <c r="K183" s="4607">
        <v>1</v>
      </c>
      <c r="L183" s="4607">
        <v>1</v>
      </c>
      <c r="M183" s="4607">
        <v>1</v>
      </c>
      <c r="N183" s="4607">
        <v>2</v>
      </c>
      <c r="O183" s="4607">
        <v>2</v>
      </c>
      <c r="P183" s="4607">
        <v>34</v>
      </c>
      <c r="Q183" s="4607">
        <v>13</v>
      </c>
      <c r="R183" s="4607">
        <v>1</v>
      </c>
      <c r="S183" s="4583">
        <v>0</v>
      </c>
      <c r="T183" s="4583">
        <v>0</v>
      </c>
      <c r="U183" s="4583">
        <v>57</v>
      </c>
      <c r="V183" s="4583"/>
      <c r="Z183" s="1793"/>
      <c r="AA183" s="1793" t="s">
        <v>546</v>
      </c>
      <c r="AB183" s="4804">
        <v>0</v>
      </c>
      <c r="AC183" s="4804"/>
      <c r="AD183" s="4804"/>
      <c r="AE183" s="4804"/>
      <c r="AF183" s="4804"/>
      <c r="AG183" s="4804"/>
      <c r="AH183" s="4804"/>
      <c r="AI183" s="4804"/>
      <c r="AJ183" s="4804">
        <v>1</v>
      </c>
      <c r="AK183" s="4804"/>
      <c r="AL183" s="4804"/>
      <c r="AM183" s="4804">
        <v>6</v>
      </c>
      <c r="AN183" s="4804">
        <v>1</v>
      </c>
      <c r="AO183" s="4804"/>
      <c r="AP183" s="4702"/>
      <c r="AQ183" s="4702">
        <v>8</v>
      </c>
      <c r="AR183" s="4703">
        <v>0</v>
      </c>
      <c r="AT183" s="41"/>
      <c r="AU183" s="41" t="s">
        <v>41</v>
      </c>
      <c r="AV183" s="41" t="s">
        <v>145</v>
      </c>
      <c r="AW183" s="41" t="s">
        <v>1231</v>
      </c>
      <c r="AX183" s="690"/>
      <c r="AY183" s="690"/>
      <c r="AZ183" s="690"/>
      <c r="BA183" s="690"/>
      <c r="BB183" s="690"/>
      <c r="BC183" s="690"/>
      <c r="BD183" s="690"/>
      <c r="BE183" s="690"/>
      <c r="BF183" s="690"/>
      <c r="BG183" s="690">
        <v>3</v>
      </c>
      <c r="BH183" s="690">
        <v>1</v>
      </c>
      <c r="BI183" s="690"/>
      <c r="BJ183" s="690">
        <v>0</v>
      </c>
      <c r="BK183" s="690"/>
      <c r="BL183" s="690">
        <v>0</v>
      </c>
      <c r="BM183" s="41"/>
      <c r="BN183" s="41"/>
      <c r="BO183" s="41">
        <v>4</v>
      </c>
      <c r="BP183" s="41"/>
      <c r="BR183" s="41"/>
      <c r="BS183" s="41"/>
      <c r="BT183" s="41"/>
      <c r="BU183" s="41" t="s">
        <v>1233</v>
      </c>
      <c r="BV183" s="2001"/>
      <c r="BW183" s="2001"/>
      <c r="BX183" s="2001"/>
      <c r="BY183" s="2001"/>
      <c r="BZ183" s="2001"/>
      <c r="CA183" s="2001"/>
      <c r="CB183" s="2001"/>
      <c r="CC183" s="2001">
        <v>1</v>
      </c>
      <c r="CD183" s="2001"/>
      <c r="CE183" s="2001">
        <v>0</v>
      </c>
      <c r="CF183" s="2001">
        <v>0</v>
      </c>
      <c r="CG183" s="2001"/>
      <c r="CH183" s="2001"/>
      <c r="CI183" s="2001"/>
      <c r="CJ183" s="2001">
        <v>0</v>
      </c>
      <c r="CK183" s="105"/>
      <c r="CL183" s="105"/>
      <c r="CM183" s="105">
        <v>1</v>
      </c>
      <c r="CN183" s="41"/>
      <c r="CR183" s="41"/>
      <c r="CS183" s="461" t="s">
        <v>15</v>
      </c>
      <c r="CT183" s="1666"/>
      <c r="CU183" s="1666"/>
      <c r="CV183" s="1666"/>
      <c r="CW183" s="1666"/>
      <c r="CX183" s="1666"/>
      <c r="CY183" s="1666"/>
      <c r="CZ183" s="1666"/>
      <c r="DA183" s="1666"/>
      <c r="DB183" s="1666"/>
      <c r="DC183" s="1666"/>
      <c r="DD183" s="1666">
        <v>2</v>
      </c>
      <c r="DE183" s="1666"/>
      <c r="DF183" s="1666">
        <v>1</v>
      </c>
      <c r="DG183" s="1666">
        <v>1</v>
      </c>
      <c r="DH183" s="1666">
        <v>2</v>
      </c>
      <c r="DI183" s="461">
        <v>1</v>
      </c>
      <c r="DJ183" s="461"/>
      <c r="DK183" s="461">
        <v>7</v>
      </c>
      <c r="DL183" s="635">
        <f>+DK182/DK183</f>
        <v>0.14285714285714285</v>
      </c>
      <c r="DN183" s="1375"/>
      <c r="DO183" s="1375"/>
      <c r="DP183" s="1375"/>
      <c r="DQ183" s="1376" t="s">
        <v>1236</v>
      </c>
      <c r="DR183" s="1377"/>
      <c r="DS183" s="1377"/>
      <c r="DT183" s="1377"/>
      <c r="DU183" s="1377"/>
      <c r="DV183" s="1377"/>
      <c r="DW183" s="1378">
        <v>1</v>
      </c>
      <c r="DX183" s="1377"/>
      <c r="DY183" s="1378">
        <v>0</v>
      </c>
      <c r="DZ183" s="1377"/>
      <c r="EA183" s="1377"/>
      <c r="EB183" s="1377"/>
      <c r="EC183" s="1377"/>
      <c r="ED183" s="1377"/>
      <c r="EE183" s="1379"/>
      <c r="EF183" s="1379"/>
      <c r="EG183" s="1380">
        <v>1</v>
      </c>
      <c r="EH183" s="41"/>
      <c r="FH183" s="511"/>
      <c r="FI183" s="511"/>
      <c r="FJ183" s="511"/>
      <c r="FK183" s="511"/>
      <c r="FL183" s="512" t="s">
        <v>1236</v>
      </c>
      <c r="FM183" s="685">
        <v>0</v>
      </c>
      <c r="FN183" s="685">
        <v>0</v>
      </c>
      <c r="FO183" s="685">
        <v>1</v>
      </c>
      <c r="FP183" s="685">
        <v>0</v>
      </c>
      <c r="FQ183" s="685">
        <v>0</v>
      </c>
      <c r="FR183" s="685">
        <v>1</v>
      </c>
      <c r="FS183" s="685">
        <v>5</v>
      </c>
      <c r="FT183" s="685">
        <v>2</v>
      </c>
      <c r="FU183" s="685">
        <v>1</v>
      </c>
      <c r="FV183" s="685">
        <v>1</v>
      </c>
      <c r="FW183" s="685">
        <v>0</v>
      </c>
      <c r="FX183" s="685">
        <v>0</v>
      </c>
      <c r="FY183" s="685">
        <v>0</v>
      </c>
      <c r="FZ183" s="685">
        <v>0</v>
      </c>
      <c r="GA183" s="685">
        <v>0</v>
      </c>
      <c r="GB183" s="687">
        <v>0</v>
      </c>
      <c r="GC183" s="687">
        <v>0</v>
      </c>
      <c r="GD183" s="687">
        <v>11</v>
      </c>
      <c r="GE183" s="635"/>
      <c r="GF183" s="41"/>
      <c r="GG183" s="688"/>
      <c r="GH183" s="688"/>
      <c r="GI183" s="688"/>
      <c r="GJ183" s="457" t="s">
        <v>1231</v>
      </c>
      <c r="GK183" s="458">
        <v>1</v>
      </c>
      <c r="GL183" s="458">
        <v>0</v>
      </c>
      <c r="GM183" s="458">
        <v>2</v>
      </c>
      <c r="GN183" s="458">
        <v>0</v>
      </c>
      <c r="GO183" s="689"/>
      <c r="GP183" s="458">
        <v>1</v>
      </c>
      <c r="GQ183" s="458">
        <v>2</v>
      </c>
      <c r="GR183" s="458">
        <v>3</v>
      </c>
      <c r="GS183" s="458">
        <v>1</v>
      </c>
      <c r="GT183" s="458">
        <v>0</v>
      </c>
      <c r="GU183" s="458">
        <v>0</v>
      </c>
      <c r="GV183" s="458">
        <v>3</v>
      </c>
      <c r="GW183" s="458">
        <v>0</v>
      </c>
      <c r="GX183" s="458">
        <v>13</v>
      </c>
      <c r="GY183" s="690"/>
      <c r="GZ183" s="41"/>
      <c r="HA183" s="41"/>
      <c r="HB183" s="105"/>
      <c r="HC183" s="105"/>
      <c r="HD183" s="105"/>
      <c r="HE183" s="41" t="s">
        <v>1231</v>
      </c>
      <c r="HF183" s="41">
        <v>2</v>
      </c>
      <c r="HG183" s="41">
        <v>0</v>
      </c>
      <c r="HH183" s="41">
        <v>1</v>
      </c>
      <c r="HI183" s="41"/>
      <c r="HJ183" s="41">
        <v>1</v>
      </c>
      <c r="HK183" s="41">
        <v>0</v>
      </c>
      <c r="HL183" s="41">
        <v>1</v>
      </c>
      <c r="HM183" s="41"/>
      <c r="HN183" s="41">
        <v>3</v>
      </c>
      <c r="HO183" s="41">
        <v>5</v>
      </c>
      <c r="HP183" s="41">
        <v>3</v>
      </c>
      <c r="HQ183" s="41">
        <v>2</v>
      </c>
      <c r="HR183" s="41">
        <v>3</v>
      </c>
      <c r="HS183" s="41">
        <v>0</v>
      </c>
      <c r="HT183" s="41">
        <v>0</v>
      </c>
      <c r="HU183" s="41">
        <v>0</v>
      </c>
      <c r="HV183" s="41">
        <v>21</v>
      </c>
      <c r="HW183" s="41"/>
      <c r="HX183" s="41"/>
      <c r="HY183" s="691"/>
      <c r="HZ183" s="691"/>
      <c r="IA183" s="691"/>
      <c r="IB183" s="691" t="s">
        <v>1233</v>
      </c>
      <c r="IC183" s="691">
        <v>0</v>
      </c>
      <c r="ID183" s="691">
        <v>0</v>
      </c>
      <c r="IE183" s="691">
        <v>0</v>
      </c>
      <c r="IF183" s="691">
        <v>0</v>
      </c>
      <c r="IG183" s="691">
        <v>0</v>
      </c>
      <c r="IH183" s="691">
        <v>0</v>
      </c>
      <c r="II183" s="691">
        <v>0</v>
      </c>
      <c r="IJ183" s="691">
        <v>1</v>
      </c>
      <c r="IK183" s="691">
        <v>0</v>
      </c>
      <c r="IL183" s="691">
        <v>0</v>
      </c>
      <c r="IM183" s="691">
        <v>0</v>
      </c>
      <c r="IN183" s="691">
        <v>0</v>
      </c>
      <c r="IO183" s="691">
        <v>0</v>
      </c>
      <c r="IP183" s="691">
        <v>0</v>
      </c>
      <c r="IQ183" s="691">
        <v>0</v>
      </c>
      <c r="IR183" s="691">
        <v>0</v>
      </c>
      <c r="IS183" s="691">
        <v>1</v>
      </c>
      <c r="IT183" s="691"/>
      <c r="IU183" s="692"/>
    </row>
    <row r="184" spans="1:255">
      <c r="C184" s="32"/>
      <c r="D184" s="32" t="s">
        <v>1235</v>
      </c>
      <c r="E184" s="4607"/>
      <c r="F184" s="4607">
        <v>0</v>
      </c>
      <c r="G184" s="4607"/>
      <c r="H184" s="4607">
        <v>0</v>
      </c>
      <c r="I184" s="4607"/>
      <c r="J184" s="4607"/>
      <c r="K184" s="4607">
        <v>0</v>
      </c>
      <c r="L184" s="4607">
        <v>0</v>
      </c>
      <c r="M184" s="4607">
        <v>0</v>
      </c>
      <c r="N184" s="4607">
        <v>0</v>
      </c>
      <c r="O184" s="4607">
        <v>1</v>
      </c>
      <c r="P184" s="4607">
        <v>7</v>
      </c>
      <c r="Q184" s="4607">
        <v>2</v>
      </c>
      <c r="R184" s="4607">
        <v>0</v>
      </c>
      <c r="S184" s="4583">
        <v>0</v>
      </c>
      <c r="T184" s="4583">
        <v>0</v>
      </c>
      <c r="U184" s="4583">
        <v>10</v>
      </c>
      <c r="V184" s="4583"/>
      <c r="Z184" s="1793" t="s">
        <v>442</v>
      </c>
      <c r="AA184" s="1793" t="s">
        <v>1231</v>
      </c>
      <c r="AB184" s="4804">
        <v>0</v>
      </c>
      <c r="AC184" s="4804">
        <v>1</v>
      </c>
      <c r="AD184" s="4804"/>
      <c r="AE184" s="4804">
        <v>1</v>
      </c>
      <c r="AF184" s="4804"/>
      <c r="AG184" s="4804"/>
      <c r="AH184" s="4804">
        <v>1</v>
      </c>
      <c r="AI184" s="4804">
        <v>1</v>
      </c>
      <c r="AJ184" s="4804">
        <v>1</v>
      </c>
      <c r="AK184" s="4804">
        <v>3</v>
      </c>
      <c r="AL184" s="4804">
        <v>2</v>
      </c>
      <c r="AM184" s="4804">
        <v>43</v>
      </c>
      <c r="AN184" s="4804">
        <v>16</v>
      </c>
      <c r="AO184" s="4804">
        <v>1</v>
      </c>
      <c r="AP184" s="4702">
        <v>0</v>
      </c>
      <c r="AQ184" s="4702">
        <v>70</v>
      </c>
      <c r="AR184" s="1793"/>
      <c r="AT184" s="41"/>
      <c r="AU184" s="41"/>
      <c r="AV184" s="41"/>
      <c r="AW184" s="41" t="s">
        <v>1235</v>
      </c>
      <c r="AX184" s="690"/>
      <c r="AY184" s="690"/>
      <c r="AZ184" s="690"/>
      <c r="BA184" s="690"/>
      <c r="BB184" s="690"/>
      <c r="BC184" s="690"/>
      <c r="BD184" s="690"/>
      <c r="BE184" s="690"/>
      <c r="BF184" s="690"/>
      <c r="BG184" s="690">
        <v>2</v>
      </c>
      <c r="BH184" s="690">
        <v>0</v>
      </c>
      <c r="BI184" s="690"/>
      <c r="BJ184" s="690">
        <v>1</v>
      </c>
      <c r="BK184" s="690"/>
      <c r="BL184" s="690">
        <v>0</v>
      </c>
      <c r="BM184" s="41"/>
      <c r="BN184" s="41"/>
      <c r="BO184" s="41">
        <v>3</v>
      </c>
      <c r="BP184" s="41"/>
      <c r="BR184" s="41"/>
      <c r="BS184" s="41"/>
      <c r="BT184" s="41"/>
      <c r="BU184" s="41" t="s">
        <v>1235</v>
      </c>
      <c r="BV184" s="2001"/>
      <c r="BW184" s="2001"/>
      <c r="BX184" s="2001"/>
      <c r="BY184" s="2001"/>
      <c r="BZ184" s="2001"/>
      <c r="CA184" s="2001"/>
      <c r="CB184" s="2001"/>
      <c r="CC184" s="2001">
        <v>0</v>
      </c>
      <c r="CD184" s="2001"/>
      <c r="CE184" s="2001">
        <v>1</v>
      </c>
      <c r="CF184" s="2001">
        <v>0</v>
      </c>
      <c r="CG184" s="2001"/>
      <c r="CH184" s="2001"/>
      <c r="CI184" s="2001"/>
      <c r="CJ184" s="2001">
        <v>0</v>
      </c>
      <c r="CK184" s="105"/>
      <c r="CL184" s="105"/>
      <c r="CM184" s="105">
        <v>1</v>
      </c>
      <c r="CN184" s="41"/>
      <c r="CR184" s="41" t="s">
        <v>549</v>
      </c>
      <c r="CS184" s="41" t="s">
        <v>1231</v>
      </c>
      <c r="CT184" s="1665"/>
      <c r="CU184" s="1665"/>
      <c r="CV184" s="1665"/>
      <c r="CW184" s="1665"/>
      <c r="CX184" s="1665"/>
      <c r="CY184" s="1665"/>
      <c r="CZ184" s="1665"/>
      <c r="DA184" s="1665"/>
      <c r="DB184" s="1665"/>
      <c r="DC184" s="1665"/>
      <c r="DD184" s="1665">
        <v>1</v>
      </c>
      <c r="DE184" s="1665"/>
      <c r="DF184" s="1665">
        <v>1</v>
      </c>
      <c r="DG184" s="1665">
        <v>1</v>
      </c>
      <c r="DH184" s="1665">
        <v>0</v>
      </c>
      <c r="DI184" s="41">
        <v>0</v>
      </c>
      <c r="DJ184" s="41"/>
      <c r="DK184" s="41">
        <v>3</v>
      </c>
      <c r="DL184" s="41"/>
      <c r="DN184" s="1375"/>
      <c r="DO184" s="1375"/>
      <c r="DP184" s="1375"/>
      <c r="DQ184" s="1376" t="s">
        <v>1344</v>
      </c>
      <c r="DR184" s="1377"/>
      <c r="DS184" s="1377"/>
      <c r="DT184" s="1377"/>
      <c r="DU184" s="1377"/>
      <c r="DV184" s="1377"/>
      <c r="DW184" s="1378">
        <v>0</v>
      </c>
      <c r="DX184" s="1377"/>
      <c r="DY184" s="1378">
        <v>2</v>
      </c>
      <c r="DZ184" s="1377"/>
      <c r="EA184" s="1377"/>
      <c r="EB184" s="1377"/>
      <c r="EC184" s="1377"/>
      <c r="ED184" s="1377"/>
      <c r="EE184" s="1379"/>
      <c r="EF184" s="1379"/>
      <c r="EG184" s="1380">
        <v>2</v>
      </c>
      <c r="EH184" s="41"/>
      <c r="FH184" s="511"/>
      <c r="FI184" s="511"/>
      <c r="FJ184" s="511"/>
      <c r="FK184" s="511"/>
      <c r="FL184" s="512" t="s">
        <v>1239</v>
      </c>
      <c r="FM184" s="685">
        <v>0</v>
      </c>
      <c r="FN184" s="685">
        <v>0</v>
      </c>
      <c r="FO184" s="685">
        <v>0</v>
      </c>
      <c r="FP184" s="685">
        <v>0</v>
      </c>
      <c r="FQ184" s="685">
        <v>0</v>
      </c>
      <c r="FR184" s="685">
        <v>0</v>
      </c>
      <c r="FS184" s="685">
        <v>0</v>
      </c>
      <c r="FT184" s="685">
        <v>0</v>
      </c>
      <c r="FU184" s="685">
        <v>0</v>
      </c>
      <c r="FV184" s="685">
        <v>0</v>
      </c>
      <c r="FW184" s="685">
        <v>0</v>
      </c>
      <c r="FX184" s="685">
        <v>0</v>
      </c>
      <c r="FY184" s="685">
        <v>4</v>
      </c>
      <c r="FZ184" s="685">
        <v>5</v>
      </c>
      <c r="GA184" s="685">
        <v>48</v>
      </c>
      <c r="GB184" s="687">
        <v>6</v>
      </c>
      <c r="GC184" s="687">
        <v>19</v>
      </c>
      <c r="GD184" s="687">
        <v>82</v>
      </c>
      <c r="GE184" s="635"/>
      <c r="GF184" s="41"/>
      <c r="GG184" s="688"/>
      <c r="GH184" s="688"/>
      <c r="GI184" s="688"/>
      <c r="GJ184" s="457" t="s">
        <v>1233</v>
      </c>
      <c r="GK184" s="458">
        <v>1</v>
      </c>
      <c r="GL184" s="458">
        <v>1</v>
      </c>
      <c r="GM184" s="458">
        <v>0</v>
      </c>
      <c r="GN184" s="458">
        <v>2</v>
      </c>
      <c r="GO184" s="689"/>
      <c r="GP184" s="458">
        <v>0</v>
      </c>
      <c r="GQ184" s="458">
        <v>0</v>
      </c>
      <c r="GR184" s="458">
        <v>0</v>
      </c>
      <c r="GS184" s="458">
        <v>0</v>
      </c>
      <c r="GT184" s="458">
        <v>0</v>
      </c>
      <c r="GU184" s="458">
        <v>0</v>
      </c>
      <c r="GV184" s="458">
        <v>0</v>
      </c>
      <c r="GW184" s="458">
        <v>0</v>
      </c>
      <c r="GX184" s="458">
        <v>4</v>
      </c>
      <c r="GY184" s="690"/>
      <c r="GZ184" s="41"/>
      <c r="HA184" s="41"/>
      <c r="HB184" s="105"/>
      <c r="HC184" s="105"/>
      <c r="HD184" s="105"/>
      <c r="HE184" s="41" t="s">
        <v>1233</v>
      </c>
      <c r="HF184" s="41">
        <v>0</v>
      </c>
      <c r="HG184" s="41">
        <v>1</v>
      </c>
      <c r="HH184" s="41">
        <v>0</v>
      </c>
      <c r="HI184" s="41"/>
      <c r="HJ184" s="41">
        <v>2</v>
      </c>
      <c r="HK184" s="41">
        <v>0</v>
      </c>
      <c r="HL184" s="41">
        <v>0</v>
      </c>
      <c r="HM184" s="41"/>
      <c r="HN184" s="41">
        <v>0</v>
      </c>
      <c r="HO184" s="41">
        <v>0</v>
      </c>
      <c r="HP184" s="41">
        <v>0</v>
      </c>
      <c r="HQ184" s="41">
        <v>0</v>
      </c>
      <c r="HR184" s="41">
        <v>0</v>
      </c>
      <c r="HS184" s="41">
        <v>0</v>
      </c>
      <c r="HT184" s="41">
        <v>0</v>
      </c>
      <c r="HU184" s="41">
        <v>0</v>
      </c>
      <c r="HV184" s="41">
        <v>3</v>
      </c>
      <c r="HW184" s="41"/>
      <c r="HX184" s="41"/>
      <c r="HY184" s="691"/>
      <c r="HZ184" s="691"/>
      <c r="IA184" s="691"/>
      <c r="IB184" s="691" t="s">
        <v>1235</v>
      </c>
      <c r="IC184" s="691">
        <v>0</v>
      </c>
      <c r="ID184" s="691">
        <v>0</v>
      </c>
      <c r="IE184" s="691">
        <v>0</v>
      </c>
      <c r="IF184" s="691">
        <v>0</v>
      </c>
      <c r="IG184" s="691">
        <v>0</v>
      </c>
      <c r="IH184" s="691">
        <v>0</v>
      </c>
      <c r="II184" s="691">
        <v>0</v>
      </c>
      <c r="IJ184" s="691">
        <v>0</v>
      </c>
      <c r="IK184" s="691">
        <v>2</v>
      </c>
      <c r="IL184" s="691">
        <v>5</v>
      </c>
      <c r="IM184" s="691">
        <v>2</v>
      </c>
      <c r="IN184" s="691">
        <v>9</v>
      </c>
      <c r="IO184" s="691">
        <v>3</v>
      </c>
      <c r="IP184" s="691">
        <v>4</v>
      </c>
      <c r="IQ184" s="691">
        <v>2</v>
      </c>
      <c r="IR184" s="691">
        <v>0</v>
      </c>
      <c r="IS184" s="691">
        <v>27</v>
      </c>
      <c r="IT184" s="691"/>
      <c r="IU184" s="692"/>
    </row>
    <row r="185" spans="1:255">
      <c r="C185" s="32"/>
      <c r="D185" s="32" t="s">
        <v>1239</v>
      </c>
      <c r="E185" s="4607"/>
      <c r="F185" s="4607">
        <v>0</v>
      </c>
      <c r="G185" s="4607"/>
      <c r="H185" s="4607">
        <v>0</v>
      </c>
      <c r="I185" s="4607"/>
      <c r="J185" s="4607"/>
      <c r="K185" s="4607">
        <v>0</v>
      </c>
      <c r="L185" s="4607">
        <v>0</v>
      </c>
      <c r="M185" s="4607">
        <v>0</v>
      </c>
      <c r="N185" s="4607">
        <v>0</v>
      </c>
      <c r="O185" s="4607">
        <v>0</v>
      </c>
      <c r="P185" s="4607">
        <v>0</v>
      </c>
      <c r="Q185" s="4607">
        <v>2</v>
      </c>
      <c r="R185" s="4607">
        <v>5</v>
      </c>
      <c r="S185" s="4583">
        <v>2</v>
      </c>
      <c r="T185" s="4583">
        <v>3</v>
      </c>
      <c r="U185" s="4583">
        <v>12</v>
      </c>
      <c r="V185" s="4583"/>
      <c r="Z185" s="1793"/>
      <c r="AA185" s="1793" t="s">
        <v>1235</v>
      </c>
      <c r="AB185" s="4804">
        <v>0</v>
      </c>
      <c r="AC185" s="4804">
        <v>0</v>
      </c>
      <c r="AD185" s="4804"/>
      <c r="AE185" s="4804">
        <v>0</v>
      </c>
      <c r="AF185" s="4804"/>
      <c r="AG185" s="4804"/>
      <c r="AH185" s="4804">
        <v>0</v>
      </c>
      <c r="AI185" s="4804">
        <v>0</v>
      </c>
      <c r="AJ185" s="4804">
        <v>0</v>
      </c>
      <c r="AK185" s="4804">
        <v>0</v>
      </c>
      <c r="AL185" s="4804">
        <v>0</v>
      </c>
      <c r="AM185" s="4804">
        <v>4</v>
      </c>
      <c r="AN185" s="4804">
        <v>2</v>
      </c>
      <c r="AO185" s="4804">
        <v>1</v>
      </c>
      <c r="AP185" s="4702">
        <v>0</v>
      </c>
      <c r="AQ185" s="4702">
        <v>7</v>
      </c>
      <c r="AR185" s="1793"/>
      <c r="AT185" s="41"/>
      <c r="AU185" s="41"/>
      <c r="AV185" s="41"/>
      <c r="AW185" s="41" t="s">
        <v>1239</v>
      </c>
      <c r="AX185" s="690"/>
      <c r="AY185" s="690"/>
      <c r="AZ185" s="690"/>
      <c r="BA185" s="690"/>
      <c r="BB185" s="690"/>
      <c r="BC185" s="690"/>
      <c r="BD185" s="690"/>
      <c r="BE185" s="690"/>
      <c r="BF185" s="690"/>
      <c r="BG185" s="690">
        <v>0</v>
      </c>
      <c r="BH185" s="690">
        <v>0</v>
      </c>
      <c r="BI185" s="690"/>
      <c r="BJ185" s="690">
        <v>0</v>
      </c>
      <c r="BK185" s="690"/>
      <c r="BL185" s="690">
        <v>1</v>
      </c>
      <c r="BM185" s="41"/>
      <c r="BN185" s="41"/>
      <c r="BO185" s="41">
        <v>1</v>
      </c>
      <c r="BP185" s="41"/>
      <c r="BR185" s="41"/>
      <c r="BS185" s="41"/>
      <c r="BT185" s="41"/>
      <c r="BU185" s="41" t="s">
        <v>1239</v>
      </c>
      <c r="BV185" s="2001"/>
      <c r="BW185" s="2001"/>
      <c r="BX185" s="2001"/>
      <c r="BY185" s="2001"/>
      <c r="BZ185" s="2001"/>
      <c r="CA185" s="2001"/>
      <c r="CB185" s="2001"/>
      <c r="CC185" s="2001">
        <v>0</v>
      </c>
      <c r="CD185" s="2001"/>
      <c r="CE185" s="2001">
        <v>0</v>
      </c>
      <c r="CF185" s="2001">
        <v>0</v>
      </c>
      <c r="CG185" s="2001"/>
      <c r="CH185" s="2001"/>
      <c r="CI185" s="2001"/>
      <c r="CJ185" s="2001">
        <v>1</v>
      </c>
      <c r="CK185" s="105"/>
      <c r="CL185" s="105"/>
      <c r="CM185" s="105">
        <v>1</v>
      </c>
      <c r="CN185" s="41"/>
      <c r="CR185" s="41"/>
      <c r="CS185" s="41" t="s">
        <v>1239</v>
      </c>
      <c r="CT185" s="1665"/>
      <c r="CU185" s="1665"/>
      <c r="CV185" s="1665"/>
      <c r="CW185" s="1665"/>
      <c r="CX185" s="1665"/>
      <c r="CY185" s="1665"/>
      <c r="CZ185" s="1665"/>
      <c r="DA185" s="1665"/>
      <c r="DB185" s="1665"/>
      <c r="DC185" s="1665"/>
      <c r="DD185" s="1665">
        <v>0</v>
      </c>
      <c r="DE185" s="1665"/>
      <c r="DF185" s="1665">
        <v>0</v>
      </c>
      <c r="DG185" s="1665">
        <v>0</v>
      </c>
      <c r="DH185" s="1665">
        <v>2</v>
      </c>
      <c r="DI185" s="41">
        <v>1</v>
      </c>
      <c r="DJ185" s="41"/>
      <c r="DK185" s="41">
        <v>3</v>
      </c>
      <c r="DL185" s="41"/>
      <c r="DN185" s="1375"/>
      <c r="DO185" s="1375"/>
      <c r="DP185" s="1375"/>
      <c r="DQ185" s="1372" t="s">
        <v>260</v>
      </c>
      <c r="DR185" s="1381"/>
      <c r="DS185" s="1381"/>
      <c r="DT185" s="1381"/>
      <c r="DU185" s="1381"/>
      <c r="DV185" s="1381"/>
      <c r="DW185" s="1382">
        <v>2</v>
      </c>
      <c r="DX185" s="1381"/>
      <c r="DY185" s="1382">
        <v>10</v>
      </c>
      <c r="DZ185" s="1381"/>
      <c r="EA185" s="1381"/>
      <c r="EB185" s="1381"/>
      <c r="EC185" s="1381"/>
      <c r="ED185" s="1381"/>
      <c r="EE185" s="1383"/>
      <c r="EF185" s="1383"/>
      <c r="EG185" s="1384">
        <v>12</v>
      </c>
      <c r="EH185" s="1325">
        <f>+EG184/EG185</f>
        <v>0.16666666666666666</v>
      </c>
      <c r="FH185" s="511"/>
      <c r="FI185" s="511"/>
      <c r="FJ185" s="511"/>
      <c r="FK185" s="511"/>
      <c r="FL185" s="512" t="s">
        <v>1240</v>
      </c>
      <c r="FM185" s="685">
        <v>0</v>
      </c>
      <c r="FN185" s="685">
        <v>0</v>
      </c>
      <c r="FO185" s="685">
        <v>0</v>
      </c>
      <c r="FP185" s="685">
        <v>0</v>
      </c>
      <c r="FQ185" s="685">
        <v>0</v>
      </c>
      <c r="FR185" s="685">
        <v>0</v>
      </c>
      <c r="FS185" s="685">
        <v>0</v>
      </c>
      <c r="FT185" s="685">
        <v>0</v>
      </c>
      <c r="FU185" s="685">
        <v>0</v>
      </c>
      <c r="FV185" s="685">
        <v>0</v>
      </c>
      <c r="FW185" s="685">
        <v>0</v>
      </c>
      <c r="FX185" s="685">
        <v>0</v>
      </c>
      <c r="FY185" s="685">
        <v>2</v>
      </c>
      <c r="FZ185" s="685">
        <v>0</v>
      </c>
      <c r="GA185" s="685">
        <v>0</v>
      </c>
      <c r="GB185" s="687">
        <v>1</v>
      </c>
      <c r="GC185" s="687">
        <v>0</v>
      </c>
      <c r="GD185" s="687">
        <v>3</v>
      </c>
      <c r="GE185" s="635"/>
      <c r="GF185" s="41"/>
      <c r="GG185" s="688"/>
      <c r="GH185" s="688"/>
      <c r="GI185" s="688"/>
      <c r="GJ185" s="457" t="s">
        <v>1235</v>
      </c>
      <c r="GK185" s="458">
        <v>0</v>
      </c>
      <c r="GL185" s="458">
        <v>0</v>
      </c>
      <c r="GM185" s="458">
        <v>0</v>
      </c>
      <c r="GN185" s="458">
        <v>0</v>
      </c>
      <c r="GO185" s="689"/>
      <c r="GP185" s="458">
        <v>6</v>
      </c>
      <c r="GQ185" s="458">
        <v>5</v>
      </c>
      <c r="GR185" s="458">
        <v>5</v>
      </c>
      <c r="GS185" s="458">
        <v>12</v>
      </c>
      <c r="GT185" s="458">
        <v>8</v>
      </c>
      <c r="GU185" s="458">
        <v>3</v>
      </c>
      <c r="GV185" s="458">
        <v>2</v>
      </c>
      <c r="GW185" s="458">
        <v>0</v>
      </c>
      <c r="GX185" s="458">
        <v>41</v>
      </c>
      <c r="GY185" s="690"/>
      <c r="GZ185" s="41"/>
      <c r="HA185" s="41"/>
      <c r="HB185" s="105"/>
      <c r="HC185" s="105"/>
      <c r="HD185" s="105"/>
      <c r="HE185" s="41" t="s">
        <v>1235</v>
      </c>
      <c r="HF185" s="41">
        <v>0</v>
      </c>
      <c r="HG185" s="41">
        <v>0</v>
      </c>
      <c r="HH185" s="41">
        <v>0</v>
      </c>
      <c r="HI185" s="41"/>
      <c r="HJ185" s="41">
        <v>0</v>
      </c>
      <c r="HK185" s="41">
        <v>0</v>
      </c>
      <c r="HL185" s="41">
        <v>0</v>
      </c>
      <c r="HM185" s="41"/>
      <c r="HN185" s="41">
        <v>0</v>
      </c>
      <c r="HO185" s="41">
        <v>3</v>
      </c>
      <c r="HP185" s="41">
        <v>4</v>
      </c>
      <c r="HQ185" s="41">
        <v>8</v>
      </c>
      <c r="HR185" s="41">
        <v>3</v>
      </c>
      <c r="HS185" s="41">
        <v>0</v>
      </c>
      <c r="HT185" s="41">
        <v>1</v>
      </c>
      <c r="HU185" s="41">
        <v>0</v>
      </c>
      <c r="HV185" s="41">
        <v>19</v>
      </c>
      <c r="HW185" s="41"/>
      <c r="HX185" s="41"/>
      <c r="HY185" s="691"/>
      <c r="HZ185" s="691"/>
      <c r="IA185" s="691"/>
      <c r="IB185" s="691" t="s">
        <v>1236</v>
      </c>
      <c r="IC185" s="691">
        <v>1</v>
      </c>
      <c r="ID185" s="691">
        <v>1</v>
      </c>
      <c r="IE185" s="691">
        <v>0</v>
      </c>
      <c r="IF185" s="691">
        <v>0</v>
      </c>
      <c r="IG185" s="691">
        <v>0</v>
      </c>
      <c r="IH185" s="691">
        <v>0</v>
      </c>
      <c r="II185" s="691">
        <v>1</v>
      </c>
      <c r="IJ185" s="691">
        <v>1</v>
      </c>
      <c r="IK185" s="691">
        <v>2</v>
      </c>
      <c r="IL185" s="691">
        <v>0</v>
      </c>
      <c r="IM185" s="691">
        <v>1</v>
      </c>
      <c r="IN185" s="691">
        <v>4</v>
      </c>
      <c r="IO185" s="691">
        <v>0</v>
      </c>
      <c r="IP185" s="691">
        <v>0</v>
      </c>
      <c r="IQ185" s="691">
        <v>0</v>
      </c>
      <c r="IR185" s="691">
        <v>0</v>
      </c>
      <c r="IS185" s="691">
        <v>11</v>
      </c>
      <c r="IT185" s="691"/>
      <c r="IU185" s="692"/>
    </row>
    <row r="186" spans="1:255">
      <c r="C186" s="32"/>
      <c r="D186" s="32" t="s">
        <v>1240</v>
      </c>
      <c r="E186" s="4607"/>
      <c r="F186" s="4607">
        <v>0</v>
      </c>
      <c r="G186" s="4607"/>
      <c r="H186" s="4607">
        <v>0</v>
      </c>
      <c r="I186" s="4607"/>
      <c r="J186" s="4607"/>
      <c r="K186" s="4607">
        <v>0</v>
      </c>
      <c r="L186" s="4607">
        <v>0</v>
      </c>
      <c r="M186" s="4607">
        <v>0</v>
      </c>
      <c r="N186" s="4607">
        <v>1</v>
      </c>
      <c r="O186" s="4607">
        <v>0</v>
      </c>
      <c r="P186" s="4607">
        <v>11</v>
      </c>
      <c r="Q186" s="4607">
        <v>4</v>
      </c>
      <c r="R186" s="4607">
        <v>0</v>
      </c>
      <c r="S186" s="4583">
        <v>0</v>
      </c>
      <c r="T186" s="4583">
        <v>0</v>
      </c>
      <c r="U186" s="4583">
        <v>16</v>
      </c>
      <c r="V186" s="4583"/>
      <c r="Z186" s="1793"/>
      <c r="AA186" s="1793" t="s">
        <v>1236</v>
      </c>
      <c r="AB186" s="4804">
        <v>0</v>
      </c>
      <c r="AC186" s="4804">
        <v>0</v>
      </c>
      <c r="AD186" s="4804"/>
      <c r="AE186" s="4804">
        <v>0</v>
      </c>
      <c r="AF186" s="4804"/>
      <c r="AG186" s="4804"/>
      <c r="AH186" s="4804">
        <v>0</v>
      </c>
      <c r="AI186" s="4804">
        <v>0</v>
      </c>
      <c r="AJ186" s="4804">
        <v>0</v>
      </c>
      <c r="AK186" s="4804">
        <v>0</v>
      </c>
      <c r="AL186" s="4804">
        <v>0</v>
      </c>
      <c r="AM186" s="4804">
        <v>1</v>
      </c>
      <c r="AN186" s="4804">
        <v>0</v>
      </c>
      <c r="AO186" s="4804">
        <v>0</v>
      </c>
      <c r="AP186" s="4702">
        <v>0</v>
      </c>
      <c r="AQ186" s="4702">
        <v>1</v>
      </c>
      <c r="AR186" s="1793"/>
      <c r="AT186" s="41"/>
      <c r="AU186" s="41"/>
      <c r="AV186" s="41"/>
      <c r="AW186" s="41" t="s">
        <v>1240</v>
      </c>
      <c r="AX186" s="690"/>
      <c r="AY186" s="690"/>
      <c r="AZ186" s="690"/>
      <c r="BA186" s="690"/>
      <c r="BB186" s="690"/>
      <c r="BC186" s="690"/>
      <c r="BD186" s="690"/>
      <c r="BE186" s="690"/>
      <c r="BF186" s="690"/>
      <c r="BG186" s="690">
        <v>2</v>
      </c>
      <c r="BH186" s="690">
        <v>1</v>
      </c>
      <c r="BI186" s="690"/>
      <c r="BJ186" s="690">
        <v>0</v>
      </c>
      <c r="BK186" s="690"/>
      <c r="BL186" s="690">
        <v>0</v>
      </c>
      <c r="BM186" s="41"/>
      <c r="BN186" s="41"/>
      <c r="BO186" s="41">
        <v>3</v>
      </c>
      <c r="BP186" s="41"/>
      <c r="BR186" s="41"/>
      <c r="BS186" s="41"/>
      <c r="BT186" s="41"/>
      <c r="BU186" s="41" t="s">
        <v>1344</v>
      </c>
      <c r="BV186" s="2001"/>
      <c r="BW186" s="2001"/>
      <c r="BX186" s="2001"/>
      <c r="BY186" s="2001"/>
      <c r="BZ186" s="2001"/>
      <c r="CA186" s="2001"/>
      <c r="CB186" s="2001"/>
      <c r="CC186" s="2001">
        <v>0</v>
      </c>
      <c r="CD186" s="2001"/>
      <c r="CE186" s="2001">
        <v>6</v>
      </c>
      <c r="CF186" s="2001">
        <v>0</v>
      </c>
      <c r="CG186" s="2001"/>
      <c r="CH186" s="2001"/>
      <c r="CI186" s="2001"/>
      <c r="CJ186" s="2001">
        <v>0</v>
      </c>
      <c r="CK186" s="105"/>
      <c r="CL186" s="105"/>
      <c r="CM186" s="105">
        <v>6</v>
      </c>
      <c r="CN186" s="41"/>
      <c r="CR186" s="41"/>
      <c r="CS186" s="41" t="s">
        <v>1344</v>
      </c>
      <c r="CT186" s="1665"/>
      <c r="CU186" s="1665"/>
      <c r="CV186" s="1665"/>
      <c r="CW186" s="1665"/>
      <c r="CX186" s="1665"/>
      <c r="CY186" s="1665"/>
      <c r="CZ186" s="1665"/>
      <c r="DA186" s="1665"/>
      <c r="DB186" s="1665"/>
      <c r="DC186" s="1665"/>
      <c r="DD186" s="1665">
        <v>1</v>
      </c>
      <c r="DE186" s="1665"/>
      <c r="DF186" s="1665">
        <v>0</v>
      </c>
      <c r="DG186" s="1665">
        <v>0</v>
      </c>
      <c r="DH186" s="1665">
        <v>0</v>
      </c>
      <c r="DI186" s="41">
        <v>0</v>
      </c>
      <c r="DJ186" s="41"/>
      <c r="DK186" s="41">
        <v>1</v>
      </c>
      <c r="DL186" s="41"/>
      <c r="DN186" s="1375"/>
      <c r="DO186" s="1375"/>
      <c r="DP186" s="1375" t="s">
        <v>113</v>
      </c>
      <c r="DQ186" s="1376" t="s">
        <v>1230</v>
      </c>
      <c r="DR186" s="1378">
        <v>0</v>
      </c>
      <c r="DS186" s="1378">
        <v>0</v>
      </c>
      <c r="DT186" s="1378">
        <v>0</v>
      </c>
      <c r="DU186" s="1378">
        <v>0</v>
      </c>
      <c r="DV186" s="1378">
        <v>0</v>
      </c>
      <c r="DW186" s="1378">
        <v>0</v>
      </c>
      <c r="DX186" s="1378">
        <v>0</v>
      </c>
      <c r="DY186" s="1378">
        <v>0</v>
      </c>
      <c r="DZ186" s="1378">
        <v>0</v>
      </c>
      <c r="EA186" s="1378">
        <v>0</v>
      </c>
      <c r="EB186" s="1378">
        <v>0</v>
      </c>
      <c r="EC186" s="1378">
        <v>0</v>
      </c>
      <c r="ED186" s="1378">
        <v>8</v>
      </c>
      <c r="EE186" s="1380">
        <v>1</v>
      </c>
      <c r="EF186" s="1380">
        <v>3</v>
      </c>
      <c r="EG186" s="1380">
        <v>12</v>
      </c>
      <c r="EH186" s="41"/>
      <c r="FH186" s="511"/>
      <c r="FI186" s="511"/>
      <c r="FJ186" s="511"/>
      <c r="FK186" s="511"/>
      <c r="FL186" s="512" t="s">
        <v>1344</v>
      </c>
      <c r="FM186" s="685">
        <v>0</v>
      </c>
      <c r="FN186" s="685">
        <v>0</v>
      </c>
      <c r="FO186" s="685">
        <v>0</v>
      </c>
      <c r="FP186" s="685">
        <v>0</v>
      </c>
      <c r="FQ186" s="685">
        <v>0</v>
      </c>
      <c r="FR186" s="685">
        <v>0</v>
      </c>
      <c r="FS186" s="685">
        <v>2</v>
      </c>
      <c r="FT186" s="685">
        <v>0</v>
      </c>
      <c r="FU186" s="685">
        <v>1</v>
      </c>
      <c r="FV186" s="685">
        <v>2</v>
      </c>
      <c r="FW186" s="685">
        <v>6</v>
      </c>
      <c r="FX186" s="685">
        <v>4</v>
      </c>
      <c r="FY186" s="685">
        <v>18</v>
      </c>
      <c r="FZ186" s="685">
        <v>4</v>
      </c>
      <c r="GA186" s="685">
        <v>4</v>
      </c>
      <c r="GB186" s="687">
        <v>0</v>
      </c>
      <c r="GC186" s="687">
        <v>0</v>
      </c>
      <c r="GD186" s="687">
        <v>41</v>
      </c>
      <c r="GE186" s="635"/>
      <c r="GF186" s="41"/>
      <c r="GG186" s="688"/>
      <c r="GH186" s="688"/>
      <c r="GI186" s="688"/>
      <c r="GJ186" s="457" t="s">
        <v>1236</v>
      </c>
      <c r="GK186" s="458">
        <v>0</v>
      </c>
      <c r="GL186" s="458">
        <v>1</v>
      </c>
      <c r="GM186" s="458">
        <v>1</v>
      </c>
      <c r="GN186" s="458">
        <v>0</v>
      </c>
      <c r="GO186" s="689"/>
      <c r="GP186" s="458">
        <v>3</v>
      </c>
      <c r="GQ186" s="458">
        <v>2</v>
      </c>
      <c r="GR186" s="458">
        <v>1</v>
      </c>
      <c r="GS186" s="458">
        <v>2</v>
      </c>
      <c r="GT186" s="458">
        <v>0</v>
      </c>
      <c r="GU186" s="458">
        <v>0</v>
      </c>
      <c r="GV186" s="458">
        <v>0</v>
      </c>
      <c r="GW186" s="458">
        <v>0</v>
      </c>
      <c r="GX186" s="458">
        <v>10</v>
      </c>
      <c r="GY186" s="690"/>
      <c r="GZ186" s="41"/>
      <c r="HA186" s="41"/>
      <c r="HB186" s="105"/>
      <c r="HC186" s="105"/>
      <c r="HD186" s="105"/>
      <c r="HE186" s="41" t="s">
        <v>1236</v>
      </c>
      <c r="HF186" s="41">
        <v>0</v>
      </c>
      <c r="HG186" s="41">
        <v>0</v>
      </c>
      <c r="HH186" s="41">
        <v>1</v>
      </c>
      <c r="HI186" s="41"/>
      <c r="HJ186" s="41">
        <v>0</v>
      </c>
      <c r="HK186" s="41">
        <v>0</v>
      </c>
      <c r="HL186" s="41">
        <v>0</v>
      </c>
      <c r="HM186" s="41"/>
      <c r="HN186" s="41">
        <v>0</v>
      </c>
      <c r="HO186" s="41">
        <v>0</v>
      </c>
      <c r="HP186" s="41">
        <v>1</v>
      </c>
      <c r="HQ186" s="41">
        <v>11</v>
      </c>
      <c r="HR186" s="41">
        <v>0</v>
      </c>
      <c r="HS186" s="41">
        <v>0</v>
      </c>
      <c r="HT186" s="41">
        <v>0</v>
      </c>
      <c r="HU186" s="41">
        <v>0</v>
      </c>
      <c r="HV186" s="41">
        <v>13</v>
      </c>
      <c r="HW186" s="41"/>
      <c r="HX186" s="41"/>
      <c r="HY186" s="691"/>
      <c r="HZ186" s="691"/>
      <c r="IA186" s="691"/>
      <c r="IB186" s="691" t="s">
        <v>1239</v>
      </c>
      <c r="IC186" s="691">
        <v>0</v>
      </c>
      <c r="ID186" s="691">
        <v>0</v>
      </c>
      <c r="IE186" s="691">
        <v>0</v>
      </c>
      <c r="IF186" s="691">
        <v>0</v>
      </c>
      <c r="IG186" s="691">
        <v>0</v>
      </c>
      <c r="IH186" s="691">
        <v>0</v>
      </c>
      <c r="II186" s="691">
        <v>0</v>
      </c>
      <c r="IJ186" s="691">
        <v>0</v>
      </c>
      <c r="IK186" s="691">
        <v>0</v>
      </c>
      <c r="IL186" s="691">
        <v>0</v>
      </c>
      <c r="IM186" s="691">
        <v>0</v>
      </c>
      <c r="IN186" s="691">
        <v>0</v>
      </c>
      <c r="IO186" s="691">
        <v>4</v>
      </c>
      <c r="IP186" s="691">
        <v>13</v>
      </c>
      <c r="IQ186" s="691">
        <v>7</v>
      </c>
      <c r="IR186" s="691">
        <v>14</v>
      </c>
      <c r="IS186" s="691">
        <v>38</v>
      </c>
      <c r="IT186" s="691"/>
      <c r="IU186" s="692"/>
    </row>
    <row r="187" spans="1:255" ht="15" thickBot="1">
      <c r="C187" s="32"/>
      <c r="D187" s="32" t="s">
        <v>1344</v>
      </c>
      <c r="E187" s="4607"/>
      <c r="F187" s="4607">
        <v>0</v>
      </c>
      <c r="G187" s="4607"/>
      <c r="H187" s="4607">
        <v>0</v>
      </c>
      <c r="I187" s="4607"/>
      <c r="J187" s="4607"/>
      <c r="K187" s="4607">
        <v>0</v>
      </c>
      <c r="L187" s="4607">
        <v>0</v>
      </c>
      <c r="M187" s="4607">
        <v>1</v>
      </c>
      <c r="N187" s="4607">
        <v>0</v>
      </c>
      <c r="O187" s="4607">
        <v>1</v>
      </c>
      <c r="P187" s="4607">
        <v>6</v>
      </c>
      <c r="Q187" s="4607">
        <v>2</v>
      </c>
      <c r="R187" s="4607">
        <v>1</v>
      </c>
      <c r="S187" s="4583">
        <v>1</v>
      </c>
      <c r="T187" s="4583">
        <v>0</v>
      </c>
      <c r="U187" s="4583">
        <v>12</v>
      </c>
      <c r="V187" s="4583"/>
      <c r="Z187" s="1793"/>
      <c r="AA187" s="1793" t="s">
        <v>1239</v>
      </c>
      <c r="AB187" s="4804">
        <v>0</v>
      </c>
      <c r="AC187" s="4804">
        <v>0</v>
      </c>
      <c r="AD187" s="4804"/>
      <c r="AE187" s="4804">
        <v>0</v>
      </c>
      <c r="AF187" s="4804"/>
      <c r="AG187" s="4804"/>
      <c r="AH187" s="4804">
        <v>0</v>
      </c>
      <c r="AI187" s="4804">
        <v>0</v>
      </c>
      <c r="AJ187" s="4804">
        <v>0</v>
      </c>
      <c r="AK187" s="4804">
        <v>0</v>
      </c>
      <c r="AL187" s="4804">
        <v>0</v>
      </c>
      <c r="AM187" s="4804">
        <v>0</v>
      </c>
      <c r="AN187" s="4804">
        <v>5</v>
      </c>
      <c r="AO187" s="4804">
        <v>2</v>
      </c>
      <c r="AP187" s="4702">
        <v>6</v>
      </c>
      <c r="AQ187" s="4702">
        <v>13</v>
      </c>
      <c r="AR187" s="1793"/>
      <c r="AT187" s="41"/>
      <c r="AU187" s="41"/>
      <c r="AV187" s="41"/>
      <c r="AW187" s="41" t="s">
        <v>1344</v>
      </c>
      <c r="AX187" s="690"/>
      <c r="AY187" s="690"/>
      <c r="AZ187" s="690"/>
      <c r="BA187" s="690"/>
      <c r="BB187" s="690"/>
      <c r="BC187" s="690"/>
      <c r="BD187" s="690"/>
      <c r="BE187" s="690"/>
      <c r="BF187" s="690"/>
      <c r="BG187" s="690">
        <v>1</v>
      </c>
      <c r="BH187" s="690">
        <v>1</v>
      </c>
      <c r="BI187" s="690"/>
      <c r="BJ187" s="690">
        <v>1</v>
      </c>
      <c r="BK187" s="690"/>
      <c r="BL187" s="690">
        <v>0</v>
      </c>
      <c r="BM187" s="41"/>
      <c r="BN187" s="41"/>
      <c r="BO187" s="41">
        <v>3</v>
      </c>
      <c r="BP187" s="41"/>
      <c r="BR187" s="41"/>
      <c r="BS187" s="41"/>
      <c r="BT187" s="41"/>
      <c r="BU187" s="461" t="s">
        <v>545</v>
      </c>
      <c r="BV187" s="2002"/>
      <c r="BW187" s="2002"/>
      <c r="BX187" s="2002"/>
      <c r="BY187" s="2002"/>
      <c r="BZ187" s="2002"/>
      <c r="CA187" s="2002"/>
      <c r="CB187" s="2002"/>
      <c r="CC187" s="2002">
        <v>1</v>
      </c>
      <c r="CD187" s="2002"/>
      <c r="CE187" s="2002">
        <v>13</v>
      </c>
      <c r="CF187" s="2002">
        <v>1</v>
      </c>
      <c r="CG187" s="2002"/>
      <c r="CH187" s="2002"/>
      <c r="CI187" s="2002"/>
      <c r="CJ187" s="2002">
        <v>2</v>
      </c>
      <c r="CK187" s="96"/>
      <c r="CL187" s="96"/>
      <c r="CM187" s="96">
        <v>17</v>
      </c>
      <c r="CN187" s="635">
        <f>+(CM184+CM186)/CM187</f>
        <v>0.41176470588235292</v>
      </c>
      <c r="CR187" s="41"/>
      <c r="CS187" s="461" t="s">
        <v>549</v>
      </c>
      <c r="CT187" s="1666"/>
      <c r="CU187" s="1666"/>
      <c r="CV187" s="1666"/>
      <c r="CW187" s="1666"/>
      <c r="CX187" s="1666"/>
      <c r="CY187" s="1666"/>
      <c r="CZ187" s="1666"/>
      <c r="DA187" s="1666"/>
      <c r="DB187" s="1666"/>
      <c r="DC187" s="1666"/>
      <c r="DD187" s="1666">
        <v>2</v>
      </c>
      <c r="DE187" s="1666"/>
      <c r="DF187" s="1666">
        <v>1</v>
      </c>
      <c r="DG187" s="1666">
        <v>1</v>
      </c>
      <c r="DH187" s="1666">
        <v>2</v>
      </c>
      <c r="DI187" s="461">
        <v>1</v>
      </c>
      <c r="DJ187" s="461"/>
      <c r="DK187" s="461">
        <v>7</v>
      </c>
      <c r="DL187" s="635">
        <f>+DK186/DK187</f>
        <v>0.14285714285714285</v>
      </c>
      <c r="DN187" s="1375"/>
      <c r="DO187" s="1375"/>
      <c r="DP187" s="1375"/>
      <c r="DQ187" s="1376" t="s">
        <v>1231</v>
      </c>
      <c r="DR187" s="1378">
        <v>1</v>
      </c>
      <c r="DS187" s="1378">
        <v>8</v>
      </c>
      <c r="DT187" s="1378">
        <v>1</v>
      </c>
      <c r="DU187" s="1378">
        <v>1</v>
      </c>
      <c r="DV187" s="1378">
        <v>4</v>
      </c>
      <c r="DW187" s="1378">
        <v>1</v>
      </c>
      <c r="DX187" s="1378">
        <v>2</v>
      </c>
      <c r="DY187" s="1378">
        <v>11</v>
      </c>
      <c r="DZ187" s="1378">
        <v>5</v>
      </c>
      <c r="EA187" s="1378">
        <v>9</v>
      </c>
      <c r="EB187" s="1378">
        <v>36</v>
      </c>
      <c r="EC187" s="1378">
        <v>11</v>
      </c>
      <c r="ED187" s="1378">
        <v>8</v>
      </c>
      <c r="EE187" s="1380">
        <v>1</v>
      </c>
      <c r="EF187" s="1380">
        <v>0</v>
      </c>
      <c r="EG187" s="1380">
        <v>99</v>
      </c>
      <c r="EH187" s="41"/>
      <c r="FH187" s="553"/>
      <c r="FI187" s="553"/>
      <c r="FJ187" s="553"/>
      <c r="FK187" s="469"/>
      <c r="FL187" s="554" t="s">
        <v>113</v>
      </c>
      <c r="FM187" s="734">
        <v>3</v>
      </c>
      <c r="FN187" s="734">
        <v>3</v>
      </c>
      <c r="FO187" s="734">
        <v>5</v>
      </c>
      <c r="FP187" s="734">
        <v>4</v>
      </c>
      <c r="FQ187" s="734">
        <v>1</v>
      </c>
      <c r="FR187" s="734">
        <v>2</v>
      </c>
      <c r="FS187" s="734">
        <v>12</v>
      </c>
      <c r="FT187" s="734">
        <v>4</v>
      </c>
      <c r="FU187" s="734">
        <v>5</v>
      </c>
      <c r="FV187" s="734">
        <v>12</v>
      </c>
      <c r="FW187" s="734">
        <v>14</v>
      </c>
      <c r="FX187" s="734">
        <v>21</v>
      </c>
      <c r="FY187" s="734">
        <v>65</v>
      </c>
      <c r="FZ187" s="734">
        <v>37</v>
      </c>
      <c r="GA187" s="734">
        <v>67</v>
      </c>
      <c r="GB187" s="735">
        <v>16</v>
      </c>
      <c r="GC187" s="735">
        <v>19</v>
      </c>
      <c r="GD187" s="735">
        <v>290</v>
      </c>
      <c r="GE187" s="662">
        <f>+(GD186+GD185+GD182-GB182-GB185)/GD187</f>
        <v>0.29655172413793102</v>
      </c>
      <c r="GF187" s="41"/>
      <c r="GG187" s="688"/>
      <c r="GH187" s="688"/>
      <c r="GI187" s="688"/>
      <c r="GJ187" s="457" t="s">
        <v>1239</v>
      </c>
      <c r="GK187" s="458">
        <v>0</v>
      </c>
      <c r="GL187" s="458">
        <v>0</v>
      </c>
      <c r="GM187" s="458">
        <v>0</v>
      </c>
      <c r="GN187" s="458">
        <v>0</v>
      </c>
      <c r="GO187" s="689"/>
      <c r="GP187" s="458">
        <v>0</v>
      </c>
      <c r="GQ187" s="458">
        <v>0</v>
      </c>
      <c r="GR187" s="458">
        <v>0</v>
      </c>
      <c r="GS187" s="458">
        <v>1</v>
      </c>
      <c r="GT187" s="458">
        <v>8</v>
      </c>
      <c r="GU187" s="458">
        <v>36</v>
      </c>
      <c r="GV187" s="458">
        <v>3</v>
      </c>
      <c r="GW187" s="458">
        <v>11</v>
      </c>
      <c r="GX187" s="458">
        <v>59</v>
      </c>
      <c r="GY187" s="690"/>
      <c r="GZ187" s="41"/>
      <c r="HA187" s="41"/>
      <c r="HB187" s="105"/>
      <c r="HC187" s="105"/>
      <c r="HD187" s="105"/>
      <c r="HE187" s="41" t="s">
        <v>1239</v>
      </c>
      <c r="HF187" s="41">
        <v>0</v>
      </c>
      <c r="HG187" s="41">
        <v>0</v>
      </c>
      <c r="HH187" s="41">
        <v>0</v>
      </c>
      <c r="HI187" s="41"/>
      <c r="HJ187" s="41">
        <v>0</v>
      </c>
      <c r="HK187" s="41">
        <v>0</v>
      </c>
      <c r="HL187" s="41">
        <v>0</v>
      </c>
      <c r="HM187" s="41"/>
      <c r="HN187" s="41">
        <v>0</v>
      </c>
      <c r="HO187" s="41">
        <v>0</v>
      </c>
      <c r="HP187" s="41">
        <v>0</v>
      </c>
      <c r="HQ187" s="41">
        <v>0</v>
      </c>
      <c r="HR187" s="41">
        <v>0</v>
      </c>
      <c r="HS187" s="41">
        <v>24</v>
      </c>
      <c r="HT187" s="41">
        <v>4</v>
      </c>
      <c r="HU187" s="41">
        <v>11</v>
      </c>
      <c r="HV187" s="41">
        <v>39</v>
      </c>
      <c r="HW187" s="41"/>
      <c r="HX187" s="41"/>
      <c r="HY187" s="691"/>
      <c r="HZ187" s="691"/>
      <c r="IA187" s="691"/>
      <c r="IB187" s="691" t="s">
        <v>1344</v>
      </c>
      <c r="IC187" s="691">
        <v>0</v>
      </c>
      <c r="ID187" s="691">
        <v>0</v>
      </c>
      <c r="IE187" s="691">
        <v>0</v>
      </c>
      <c r="IF187" s="691">
        <v>0</v>
      </c>
      <c r="IG187" s="691">
        <v>0</v>
      </c>
      <c r="IH187" s="691">
        <v>0</v>
      </c>
      <c r="II187" s="691">
        <v>1</v>
      </c>
      <c r="IJ187" s="691">
        <v>1</v>
      </c>
      <c r="IK187" s="691">
        <v>2</v>
      </c>
      <c r="IL187" s="691">
        <v>4</v>
      </c>
      <c r="IM187" s="691">
        <v>5</v>
      </c>
      <c r="IN187" s="691">
        <v>7</v>
      </c>
      <c r="IO187" s="691">
        <v>3</v>
      </c>
      <c r="IP187" s="691">
        <v>2</v>
      </c>
      <c r="IQ187" s="691">
        <v>0</v>
      </c>
      <c r="IR187" s="691">
        <v>0</v>
      </c>
      <c r="IS187" s="691">
        <v>25</v>
      </c>
      <c r="IT187" s="691"/>
      <c r="IU187" s="692"/>
    </row>
    <row r="188" spans="1:255">
      <c r="C188" s="32"/>
      <c r="D188" s="4800" t="s">
        <v>15</v>
      </c>
      <c r="E188" s="4607"/>
      <c r="F188" s="4607">
        <v>1</v>
      </c>
      <c r="G188" s="4607"/>
      <c r="H188" s="4607">
        <v>1</v>
      </c>
      <c r="I188" s="4607"/>
      <c r="J188" s="4607"/>
      <c r="K188" s="4607">
        <v>1</v>
      </c>
      <c r="L188" s="4607">
        <v>1</v>
      </c>
      <c r="M188" s="4607">
        <v>2</v>
      </c>
      <c r="N188" s="4607">
        <v>3</v>
      </c>
      <c r="O188" s="4607">
        <v>4</v>
      </c>
      <c r="P188" s="4607">
        <v>58</v>
      </c>
      <c r="Q188" s="4607">
        <v>23</v>
      </c>
      <c r="R188" s="4607">
        <v>7</v>
      </c>
      <c r="S188" s="4583">
        <v>3</v>
      </c>
      <c r="T188" s="4583">
        <v>3</v>
      </c>
      <c r="U188" s="4583">
        <v>107</v>
      </c>
      <c r="V188" s="1977">
        <f>+(U184+U186+U187)/(U188)</f>
        <v>0.35514018691588783</v>
      </c>
      <c r="Z188" s="1793"/>
      <c r="AA188" s="1793" t="s">
        <v>1240</v>
      </c>
      <c r="AB188" s="4804">
        <v>0</v>
      </c>
      <c r="AC188" s="4804">
        <v>0</v>
      </c>
      <c r="AD188" s="4804"/>
      <c r="AE188" s="4804">
        <v>0</v>
      </c>
      <c r="AF188" s="4804"/>
      <c r="AG188" s="4804"/>
      <c r="AH188" s="4804">
        <v>0</v>
      </c>
      <c r="AI188" s="4804">
        <v>0</v>
      </c>
      <c r="AJ188" s="4804">
        <v>0</v>
      </c>
      <c r="AK188" s="4804">
        <v>0</v>
      </c>
      <c r="AL188" s="4804">
        <v>1</v>
      </c>
      <c r="AM188" s="4804">
        <v>5</v>
      </c>
      <c r="AN188" s="4804">
        <v>2</v>
      </c>
      <c r="AO188" s="4804">
        <v>0</v>
      </c>
      <c r="AP188" s="4702">
        <v>0</v>
      </c>
      <c r="AQ188" s="4702">
        <v>8</v>
      </c>
      <c r="AR188" s="1793"/>
      <c r="AT188" s="41"/>
      <c r="AU188" s="41"/>
      <c r="AV188" s="41"/>
      <c r="AW188" s="461" t="s">
        <v>15</v>
      </c>
      <c r="AX188" s="2489"/>
      <c r="AY188" s="2489"/>
      <c r="AZ188" s="2489"/>
      <c r="BA188" s="2489"/>
      <c r="BB188" s="2489"/>
      <c r="BC188" s="2489"/>
      <c r="BD188" s="2489"/>
      <c r="BE188" s="2489"/>
      <c r="BF188" s="2489"/>
      <c r="BG188" s="2489">
        <v>8</v>
      </c>
      <c r="BH188" s="2489">
        <v>3</v>
      </c>
      <c r="BI188" s="2489"/>
      <c r="BJ188" s="2489">
        <v>2</v>
      </c>
      <c r="BK188" s="2489"/>
      <c r="BL188" s="2489">
        <v>1</v>
      </c>
      <c r="BM188" s="461"/>
      <c r="BN188" s="461"/>
      <c r="BO188" s="461">
        <v>14</v>
      </c>
      <c r="BP188" s="635">
        <f>+(BO187+BO186+BO184)/BO188</f>
        <v>0.6428571428571429</v>
      </c>
      <c r="BQ188" s="1977"/>
      <c r="BR188" s="41"/>
      <c r="BS188" s="41" t="s">
        <v>64</v>
      </c>
      <c r="BT188" s="41" t="s">
        <v>671</v>
      </c>
      <c r="BU188" s="41" t="s">
        <v>1235</v>
      </c>
      <c r="BV188" s="2001"/>
      <c r="BW188" s="2001"/>
      <c r="BX188" s="2001"/>
      <c r="BY188" s="2001"/>
      <c r="BZ188" s="2001"/>
      <c r="CA188" s="2001"/>
      <c r="CB188" s="2001"/>
      <c r="CC188" s="2001"/>
      <c r="CD188" s="2001"/>
      <c r="CE188" s="2001"/>
      <c r="CF188" s="2001"/>
      <c r="CG188" s="2001"/>
      <c r="CH188" s="2001"/>
      <c r="CI188" s="2001">
        <v>1</v>
      </c>
      <c r="CJ188" s="2001">
        <v>0</v>
      </c>
      <c r="CK188" s="105">
        <v>0</v>
      </c>
      <c r="CL188" s="105">
        <v>0</v>
      </c>
      <c r="CM188" s="105">
        <v>1</v>
      </c>
      <c r="CN188" s="41"/>
      <c r="CR188" s="41" t="s">
        <v>260</v>
      </c>
      <c r="CS188" s="41" t="s">
        <v>1231</v>
      </c>
      <c r="CT188" s="1665"/>
      <c r="CU188" s="1665">
        <v>0</v>
      </c>
      <c r="CV188" s="1665"/>
      <c r="CW188" s="1665"/>
      <c r="CX188" s="1665">
        <v>0</v>
      </c>
      <c r="CY188" s="1665"/>
      <c r="CZ188" s="1665"/>
      <c r="DA188" s="1665"/>
      <c r="DB188" s="1665"/>
      <c r="DC188" s="1665">
        <v>3</v>
      </c>
      <c r="DD188" s="1665">
        <v>2</v>
      </c>
      <c r="DE188" s="1665"/>
      <c r="DF188" s="1665">
        <v>1</v>
      </c>
      <c r="DG188" s="1665">
        <v>1</v>
      </c>
      <c r="DH188" s="1665">
        <v>0</v>
      </c>
      <c r="DI188" s="41">
        <v>0</v>
      </c>
      <c r="DJ188" s="41">
        <v>0</v>
      </c>
      <c r="DK188" s="41">
        <v>7</v>
      </c>
      <c r="DL188" s="41"/>
      <c r="DN188" s="1375"/>
      <c r="DO188" s="1375"/>
      <c r="DP188" s="1375"/>
      <c r="DQ188" s="1376" t="s">
        <v>1233</v>
      </c>
      <c r="DR188" s="1378">
        <v>0</v>
      </c>
      <c r="DS188" s="1378">
        <v>2</v>
      </c>
      <c r="DT188" s="1378">
        <v>1</v>
      </c>
      <c r="DU188" s="1378">
        <v>0</v>
      </c>
      <c r="DV188" s="1378">
        <v>0</v>
      </c>
      <c r="DW188" s="1378">
        <v>1</v>
      </c>
      <c r="DX188" s="1378">
        <v>0</v>
      </c>
      <c r="DY188" s="1378">
        <v>0</v>
      </c>
      <c r="DZ188" s="1378">
        <v>0</v>
      </c>
      <c r="EA188" s="1378">
        <v>0</v>
      </c>
      <c r="EB188" s="1378">
        <v>0</v>
      </c>
      <c r="EC188" s="1378">
        <v>0</v>
      </c>
      <c r="ED188" s="1378">
        <v>0</v>
      </c>
      <c r="EE188" s="1380">
        <v>0</v>
      </c>
      <c r="EF188" s="1380">
        <v>0</v>
      </c>
      <c r="EG188" s="1380">
        <v>4</v>
      </c>
      <c r="EH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688"/>
      <c r="GH188" s="688"/>
      <c r="GI188" s="688"/>
      <c r="GJ188" s="457" t="s">
        <v>1344</v>
      </c>
      <c r="GK188" s="458">
        <v>0</v>
      </c>
      <c r="GL188" s="458">
        <v>0</v>
      </c>
      <c r="GM188" s="458">
        <v>0</v>
      </c>
      <c r="GN188" s="458">
        <v>1</v>
      </c>
      <c r="GO188" s="689"/>
      <c r="GP188" s="458">
        <v>5</v>
      </c>
      <c r="GQ188" s="458">
        <v>6</v>
      </c>
      <c r="GR188" s="458">
        <v>2</v>
      </c>
      <c r="GS188" s="458">
        <v>7</v>
      </c>
      <c r="GT188" s="458">
        <v>2</v>
      </c>
      <c r="GU188" s="458">
        <v>0</v>
      </c>
      <c r="GV188" s="458">
        <v>0</v>
      </c>
      <c r="GW188" s="458">
        <v>0</v>
      </c>
      <c r="GX188" s="458">
        <v>23</v>
      </c>
      <c r="GY188" s="690"/>
      <c r="GZ188" s="41"/>
      <c r="HA188" s="41"/>
      <c r="HB188" s="105"/>
      <c r="HC188" s="105"/>
      <c r="HD188" s="105"/>
      <c r="HE188" s="41" t="s">
        <v>1344</v>
      </c>
      <c r="HF188" s="41">
        <v>0</v>
      </c>
      <c r="HG188" s="41">
        <v>0</v>
      </c>
      <c r="HH188" s="41">
        <v>0</v>
      </c>
      <c r="HI188" s="41"/>
      <c r="HJ188" s="41">
        <v>0</v>
      </c>
      <c r="HK188" s="41">
        <v>1</v>
      </c>
      <c r="HL188" s="41">
        <v>2</v>
      </c>
      <c r="HM188" s="41"/>
      <c r="HN188" s="41">
        <v>1</v>
      </c>
      <c r="HO188" s="41">
        <v>3</v>
      </c>
      <c r="HP188" s="41">
        <v>4</v>
      </c>
      <c r="HQ188" s="41">
        <v>4</v>
      </c>
      <c r="HR188" s="41">
        <v>4</v>
      </c>
      <c r="HS188" s="41">
        <v>1</v>
      </c>
      <c r="HT188" s="41">
        <v>0</v>
      </c>
      <c r="HU188" s="41">
        <v>0</v>
      </c>
      <c r="HV188" s="41">
        <v>20</v>
      </c>
      <c r="HW188" s="41"/>
      <c r="HX188" s="41"/>
      <c r="HY188" s="691"/>
      <c r="HZ188" s="691"/>
      <c r="IA188" s="691"/>
      <c r="IB188" s="702" t="s">
        <v>15</v>
      </c>
      <c r="IC188" s="702">
        <v>2</v>
      </c>
      <c r="ID188" s="702">
        <v>1</v>
      </c>
      <c r="IE188" s="702">
        <v>0</v>
      </c>
      <c r="IF188" s="702">
        <v>1</v>
      </c>
      <c r="IG188" s="702">
        <v>0</v>
      </c>
      <c r="IH188" s="702">
        <v>1</v>
      </c>
      <c r="II188" s="702">
        <v>2</v>
      </c>
      <c r="IJ188" s="702">
        <v>4</v>
      </c>
      <c r="IK188" s="702">
        <v>9</v>
      </c>
      <c r="IL188" s="702">
        <v>10</v>
      </c>
      <c r="IM188" s="702">
        <v>10</v>
      </c>
      <c r="IN188" s="702">
        <v>22</v>
      </c>
      <c r="IO188" s="702">
        <v>10</v>
      </c>
      <c r="IP188" s="702">
        <v>21</v>
      </c>
      <c r="IQ188" s="702">
        <v>9</v>
      </c>
      <c r="IR188" s="702">
        <v>14</v>
      </c>
      <c r="IS188" s="702">
        <v>116</v>
      </c>
      <c r="IT188" s="703">
        <f>+(IS187+IS184-IQ184)/IS188</f>
        <v>0.43103448275862066</v>
      </c>
      <c r="IU188" s="692">
        <f>+IS184+IS187-IQ184</f>
        <v>50</v>
      </c>
    </row>
    <row r="189" spans="1:255">
      <c r="A189" s="4800" t="s">
        <v>59</v>
      </c>
      <c r="B189" s="4800" t="s">
        <v>16</v>
      </c>
      <c r="C189" s="4800" t="s">
        <v>670</v>
      </c>
      <c r="D189" s="4800" t="s">
        <v>1231</v>
      </c>
      <c r="E189" s="4606"/>
      <c r="F189" s="4606"/>
      <c r="G189" s="4606">
        <v>0</v>
      </c>
      <c r="H189" s="4606"/>
      <c r="I189" s="4606">
        <v>0</v>
      </c>
      <c r="J189" s="4606"/>
      <c r="K189" s="4606">
        <v>1</v>
      </c>
      <c r="L189" s="4606">
        <v>0</v>
      </c>
      <c r="M189" s="4606"/>
      <c r="N189" s="4606">
        <v>1</v>
      </c>
      <c r="O189" s="4606">
        <v>1</v>
      </c>
      <c r="P189" s="4606">
        <v>4</v>
      </c>
      <c r="Q189" s="4606">
        <v>0</v>
      </c>
      <c r="R189" s="4606">
        <v>0</v>
      </c>
      <c r="S189" s="2552"/>
      <c r="T189" s="2552"/>
      <c r="U189" s="2552">
        <v>7</v>
      </c>
      <c r="V189" s="2552"/>
      <c r="Z189" s="1793"/>
      <c r="AA189" s="1793" t="s">
        <v>1344</v>
      </c>
      <c r="AB189" s="4804">
        <v>0</v>
      </c>
      <c r="AC189" s="4804">
        <v>0</v>
      </c>
      <c r="AD189" s="4804"/>
      <c r="AE189" s="4804">
        <v>0</v>
      </c>
      <c r="AF189" s="4804"/>
      <c r="AG189" s="4804"/>
      <c r="AH189" s="4804">
        <v>0</v>
      </c>
      <c r="AI189" s="4804">
        <v>0</v>
      </c>
      <c r="AJ189" s="4804">
        <v>1</v>
      </c>
      <c r="AK189" s="4804">
        <v>0</v>
      </c>
      <c r="AL189" s="4804">
        <v>1</v>
      </c>
      <c r="AM189" s="4804">
        <v>5</v>
      </c>
      <c r="AN189" s="4804">
        <v>1</v>
      </c>
      <c r="AO189" s="4804">
        <v>0</v>
      </c>
      <c r="AP189" s="4702">
        <v>0</v>
      </c>
      <c r="AQ189" s="4702">
        <v>8</v>
      </c>
      <c r="AR189" s="1793"/>
      <c r="AT189" s="41"/>
      <c r="AU189" s="41"/>
      <c r="AV189" s="41" t="s">
        <v>333</v>
      </c>
      <c r="AW189" s="41" t="s">
        <v>1231</v>
      </c>
      <c r="AX189" s="690"/>
      <c r="AY189" s="690"/>
      <c r="AZ189" s="690"/>
      <c r="BA189" s="690"/>
      <c r="BB189" s="690">
        <v>1</v>
      </c>
      <c r="BC189" s="690"/>
      <c r="BD189" s="690"/>
      <c r="BE189" s="690"/>
      <c r="BF189" s="690"/>
      <c r="BG189" s="690">
        <v>1</v>
      </c>
      <c r="BH189" s="690"/>
      <c r="BI189" s="690"/>
      <c r="BJ189" s="690">
        <v>1</v>
      </c>
      <c r="BK189" s="690">
        <v>0</v>
      </c>
      <c r="BL189" s="690">
        <v>0</v>
      </c>
      <c r="BM189" s="41"/>
      <c r="BN189" s="41">
        <v>0</v>
      </c>
      <c r="BO189" s="41">
        <v>3</v>
      </c>
      <c r="BP189" s="41"/>
      <c r="BR189" s="41"/>
      <c r="BS189" s="41"/>
      <c r="BT189" s="41"/>
      <c r="BU189" s="41" t="s">
        <v>1239</v>
      </c>
      <c r="BV189" s="2001"/>
      <c r="BW189" s="2001"/>
      <c r="BX189" s="2001"/>
      <c r="BY189" s="2001"/>
      <c r="BZ189" s="2001"/>
      <c r="CA189" s="2001"/>
      <c r="CB189" s="2001"/>
      <c r="CC189" s="2001"/>
      <c r="CD189" s="2001"/>
      <c r="CE189" s="2001"/>
      <c r="CF189" s="2001"/>
      <c r="CG189" s="2001"/>
      <c r="CH189" s="2001"/>
      <c r="CI189" s="2001">
        <v>0</v>
      </c>
      <c r="CJ189" s="2001">
        <v>1</v>
      </c>
      <c r="CK189" s="105">
        <v>1</v>
      </c>
      <c r="CL189" s="105">
        <v>2</v>
      </c>
      <c r="CM189" s="105">
        <v>4</v>
      </c>
      <c r="CN189" s="41"/>
      <c r="CR189" s="41"/>
      <c r="CS189" s="41" t="s">
        <v>1236</v>
      </c>
      <c r="CT189" s="1665"/>
      <c r="CU189" s="1665">
        <v>1</v>
      </c>
      <c r="CV189" s="1665"/>
      <c r="CW189" s="1665"/>
      <c r="CX189" s="1665">
        <v>1</v>
      </c>
      <c r="CY189" s="1665"/>
      <c r="CZ189" s="1665"/>
      <c r="DA189" s="1665"/>
      <c r="DB189" s="1665"/>
      <c r="DC189" s="1665">
        <v>0</v>
      </c>
      <c r="DD189" s="1665">
        <v>0</v>
      </c>
      <c r="DE189" s="1665"/>
      <c r="DF189" s="1665">
        <v>0</v>
      </c>
      <c r="DG189" s="1665">
        <v>0</v>
      </c>
      <c r="DH189" s="1665">
        <v>0</v>
      </c>
      <c r="DI189" s="41">
        <v>0</v>
      </c>
      <c r="DJ189" s="41">
        <v>0</v>
      </c>
      <c r="DK189" s="41">
        <v>2</v>
      </c>
      <c r="DL189" s="41"/>
      <c r="DN189" s="1375"/>
      <c r="DO189" s="1375"/>
      <c r="DP189" s="1375"/>
      <c r="DQ189" s="1376" t="s">
        <v>1235</v>
      </c>
      <c r="DR189" s="1378">
        <v>0</v>
      </c>
      <c r="DS189" s="1378">
        <v>0</v>
      </c>
      <c r="DT189" s="1378">
        <v>0</v>
      </c>
      <c r="DU189" s="1378">
        <v>0</v>
      </c>
      <c r="DV189" s="1378">
        <v>0</v>
      </c>
      <c r="DW189" s="1378">
        <v>0</v>
      </c>
      <c r="DX189" s="1378">
        <v>2</v>
      </c>
      <c r="DY189" s="1378">
        <v>4</v>
      </c>
      <c r="DZ189" s="1378">
        <v>4</v>
      </c>
      <c r="EA189" s="1378">
        <v>2</v>
      </c>
      <c r="EB189" s="1378">
        <v>15</v>
      </c>
      <c r="EC189" s="1378">
        <v>9</v>
      </c>
      <c r="ED189" s="1378">
        <v>1</v>
      </c>
      <c r="EE189" s="1380">
        <v>1</v>
      </c>
      <c r="EF189" s="1380">
        <v>0</v>
      </c>
      <c r="EG189" s="1380">
        <v>38</v>
      </c>
      <c r="EH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688"/>
      <c r="GH189" s="688"/>
      <c r="GI189" s="688"/>
      <c r="GJ189" s="704" t="s">
        <v>110</v>
      </c>
      <c r="GK189" s="463">
        <v>2</v>
      </c>
      <c r="GL189" s="463">
        <v>2</v>
      </c>
      <c r="GM189" s="463">
        <v>3</v>
      </c>
      <c r="GN189" s="463">
        <v>4</v>
      </c>
      <c r="GO189" s="705"/>
      <c r="GP189" s="463">
        <v>15</v>
      </c>
      <c r="GQ189" s="463">
        <v>15</v>
      </c>
      <c r="GR189" s="463">
        <v>12</v>
      </c>
      <c r="GS189" s="463">
        <v>24</v>
      </c>
      <c r="GT189" s="463">
        <v>19</v>
      </c>
      <c r="GU189" s="463">
        <v>41</v>
      </c>
      <c r="GV189" s="463">
        <v>8</v>
      </c>
      <c r="GW189" s="463">
        <v>11</v>
      </c>
      <c r="GX189" s="463">
        <v>156</v>
      </c>
      <c r="GY189" s="628">
        <f>+(GX188+GX185-GV185)/GX189</f>
        <v>0.39743589743589741</v>
      </c>
      <c r="GZ189" s="41"/>
      <c r="HA189" s="41"/>
      <c r="HB189" s="105"/>
      <c r="HC189" s="105"/>
      <c r="HD189" s="105"/>
      <c r="HE189" s="461" t="s">
        <v>15</v>
      </c>
      <c r="HF189" s="461">
        <v>2</v>
      </c>
      <c r="HG189" s="461">
        <v>1</v>
      </c>
      <c r="HH189" s="461">
        <v>2</v>
      </c>
      <c r="HI189" s="461"/>
      <c r="HJ189" s="461">
        <v>4</v>
      </c>
      <c r="HK189" s="461">
        <v>1</v>
      </c>
      <c r="HL189" s="461">
        <v>3</v>
      </c>
      <c r="HM189" s="461"/>
      <c r="HN189" s="461">
        <v>4</v>
      </c>
      <c r="HO189" s="461">
        <v>11</v>
      </c>
      <c r="HP189" s="461">
        <v>12</v>
      </c>
      <c r="HQ189" s="461">
        <v>25</v>
      </c>
      <c r="HR189" s="461">
        <v>11</v>
      </c>
      <c r="HS189" s="461">
        <v>31</v>
      </c>
      <c r="HT189" s="461">
        <v>6</v>
      </c>
      <c r="HU189" s="461">
        <v>12</v>
      </c>
      <c r="HV189" s="461">
        <v>125</v>
      </c>
      <c r="HW189" s="706">
        <f>+(HV185+HV188)/HV189</f>
        <v>0.312</v>
      </c>
      <c r="HX189" s="41"/>
      <c r="HY189" s="691"/>
      <c r="HZ189" s="41"/>
      <c r="IA189" s="691" t="s">
        <v>48</v>
      </c>
      <c r="IB189" s="691" t="s">
        <v>1231</v>
      </c>
      <c r="IC189" s="691">
        <v>0</v>
      </c>
      <c r="ID189" s="691">
        <v>0</v>
      </c>
      <c r="IE189" s="691">
        <v>1</v>
      </c>
      <c r="IF189" s="691">
        <v>2</v>
      </c>
      <c r="IG189" s="691">
        <v>0</v>
      </c>
      <c r="IH189" s="691">
        <v>1</v>
      </c>
      <c r="II189" s="691">
        <v>0</v>
      </c>
      <c r="IJ189" s="691">
        <v>2</v>
      </c>
      <c r="IK189" s="691">
        <v>6</v>
      </c>
      <c r="IL189" s="691">
        <v>4</v>
      </c>
      <c r="IM189" s="691">
        <v>1</v>
      </c>
      <c r="IN189" s="691">
        <v>3</v>
      </c>
      <c r="IO189" s="691">
        <v>2</v>
      </c>
      <c r="IP189" s="691">
        <v>0</v>
      </c>
      <c r="IQ189" s="691">
        <v>0</v>
      </c>
      <c r="IR189" s="691">
        <v>0</v>
      </c>
      <c r="IS189" s="691">
        <v>22</v>
      </c>
      <c r="IT189" s="691"/>
      <c r="IU189" s="692"/>
    </row>
    <row r="190" spans="1:255">
      <c r="D190" s="4800" t="s">
        <v>1235</v>
      </c>
      <c r="E190" s="4606"/>
      <c r="F190" s="4606"/>
      <c r="G190" s="4606">
        <v>0</v>
      </c>
      <c r="H190" s="4606"/>
      <c r="I190" s="4606">
        <v>0</v>
      </c>
      <c r="J190" s="4606"/>
      <c r="K190" s="4606">
        <v>0</v>
      </c>
      <c r="L190" s="4606">
        <v>0</v>
      </c>
      <c r="M190" s="4606"/>
      <c r="N190" s="4606">
        <v>0</v>
      </c>
      <c r="O190" s="4606">
        <v>0</v>
      </c>
      <c r="P190" s="4606">
        <v>1</v>
      </c>
      <c r="Q190" s="4606">
        <v>0</v>
      </c>
      <c r="R190" s="4606">
        <v>0</v>
      </c>
      <c r="S190" s="2552"/>
      <c r="T190" s="2552"/>
      <c r="U190" s="2552">
        <v>1</v>
      </c>
      <c r="V190" s="2552"/>
      <c r="Z190" s="1793"/>
      <c r="AA190" s="1793" t="s">
        <v>442</v>
      </c>
      <c r="AB190" s="4804">
        <v>0</v>
      </c>
      <c r="AC190" s="4804">
        <v>1</v>
      </c>
      <c r="AD190" s="4804"/>
      <c r="AE190" s="4804">
        <v>1</v>
      </c>
      <c r="AF190" s="4804"/>
      <c r="AG190" s="4804"/>
      <c r="AH190" s="4804">
        <v>1</v>
      </c>
      <c r="AI190" s="4804">
        <v>1</v>
      </c>
      <c r="AJ190" s="4804">
        <v>2</v>
      </c>
      <c r="AK190" s="4804">
        <v>3</v>
      </c>
      <c r="AL190" s="4804">
        <v>4</v>
      </c>
      <c r="AM190" s="4804">
        <v>58</v>
      </c>
      <c r="AN190" s="4804">
        <v>26</v>
      </c>
      <c r="AO190" s="4804">
        <v>4</v>
      </c>
      <c r="AP190" s="4702">
        <v>6</v>
      </c>
      <c r="AQ190" s="4702">
        <v>107</v>
      </c>
      <c r="AR190" s="4703">
        <f>+(AQ185+AQ188+AQ189)/AQ190</f>
        <v>0.21495327102803738</v>
      </c>
      <c r="AT190" s="41"/>
      <c r="AU190" s="41"/>
      <c r="AV190" s="41"/>
      <c r="AW190" s="41" t="s">
        <v>1239</v>
      </c>
      <c r="AX190" s="690"/>
      <c r="AY190" s="690"/>
      <c r="AZ190" s="690"/>
      <c r="BA190" s="690"/>
      <c r="BB190" s="690">
        <v>0</v>
      </c>
      <c r="BC190" s="690"/>
      <c r="BD190" s="690"/>
      <c r="BE190" s="690"/>
      <c r="BF190" s="690"/>
      <c r="BG190" s="690">
        <v>0</v>
      </c>
      <c r="BH190" s="690"/>
      <c r="BI190" s="690"/>
      <c r="BJ190" s="690">
        <v>0</v>
      </c>
      <c r="BK190" s="690">
        <v>0</v>
      </c>
      <c r="BL190" s="690">
        <v>2</v>
      </c>
      <c r="BM190" s="41"/>
      <c r="BN190" s="41">
        <v>3</v>
      </c>
      <c r="BO190" s="41">
        <v>5</v>
      </c>
      <c r="BP190" s="41"/>
      <c r="BR190" s="41"/>
      <c r="BS190" s="41"/>
      <c r="BT190" s="41"/>
      <c r="BU190" s="41" t="s">
        <v>1240</v>
      </c>
      <c r="BV190" s="2001"/>
      <c r="BW190" s="2001"/>
      <c r="BX190" s="2001"/>
      <c r="BY190" s="2001"/>
      <c r="BZ190" s="2001"/>
      <c r="CA190" s="2001"/>
      <c r="CB190" s="2001"/>
      <c r="CC190" s="2001"/>
      <c r="CD190" s="2001"/>
      <c r="CE190" s="2001"/>
      <c r="CF190" s="2001"/>
      <c r="CG190" s="2001"/>
      <c r="CH190" s="2001"/>
      <c r="CI190" s="2001">
        <v>0</v>
      </c>
      <c r="CJ190" s="2001">
        <v>1</v>
      </c>
      <c r="CK190" s="105">
        <v>0</v>
      </c>
      <c r="CL190" s="105">
        <v>0</v>
      </c>
      <c r="CM190" s="105">
        <v>1</v>
      </c>
      <c r="CN190" s="41"/>
      <c r="CR190" s="41"/>
      <c r="CS190" s="41" t="s">
        <v>1239</v>
      </c>
      <c r="CT190" s="1665"/>
      <c r="CU190" s="1665">
        <v>0</v>
      </c>
      <c r="CV190" s="1665"/>
      <c r="CW190" s="1665"/>
      <c r="CX190" s="1665">
        <v>0</v>
      </c>
      <c r="CY190" s="1665"/>
      <c r="CZ190" s="1665"/>
      <c r="DA190" s="1665"/>
      <c r="DB190" s="1665"/>
      <c r="DC190" s="1665">
        <v>0</v>
      </c>
      <c r="DD190" s="1665">
        <v>0</v>
      </c>
      <c r="DE190" s="1665"/>
      <c r="DF190" s="1665">
        <v>0</v>
      </c>
      <c r="DG190" s="1665">
        <v>0</v>
      </c>
      <c r="DH190" s="1665">
        <v>2</v>
      </c>
      <c r="DI190" s="41">
        <v>1</v>
      </c>
      <c r="DJ190" s="41">
        <v>1</v>
      </c>
      <c r="DK190" s="41">
        <v>4</v>
      </c>
      <c r="DL190" s="41"/>
      <c r="DN190" s="1375"/>
      <c r="DO190" s="1375"/>
      <c r="DP190" s="1375"/>
      <c r="DQ190" s="1376" t="s">
        <v>1236</v>
      </c>
      <c r="DR190" s="1378">
        <v>0</v>
      </c>
      <c r="DS190" s="1378">
        <v>0</v>
      </c>
      <c r="DT190" s="1378">
        <v>2</v>
      </c>
      <c r="DU190" s="1378">
        <v>0</v>
      </c>
      <c r="DV190" s="1378">
        <v>1</v>
      </c>
      <c r="DW190" s="1378">
        <v>4</v>
      </c>
      <c r="DX190" s="1378">
        <v>0</v>
      </c>
      <c r="DY190" s="1378">
        <v>0</v>
      </c>
      <c r="DZ190" s="1378">
        <v>1</v>
      </c>
      <c r="EA190" s="1378">
        <v>0</v>
      </c>
      <c r="EB190" s="1378">
        <v>0</v>
      </c>
      <c r="EC190" s="1378">
        <v>0</v>
      </c>
      <c r="ED190" s="1378">
        <v>0</v>
      </c>
      <c r="EE190" s="1380">
        <v>0</v>
      </c>
      <c r="EF190" s="1380">
        <v>0</v>
      </c>
      <c r="EG190" s="1380">
        <v>8</v>
      </c>
      <c r="EH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688"/>
      <c r="GH190" s="688"/>
      <c r="GI190" s="688" t="s">
        <v>442</v>
      </c>
      <c r="GJ190" s="457" t="s">
        <v>1231</v>
      </c>
      <c r="GK190" s="689"/>
      <c r="GL190" s="689"/>
      <c r="GM190" s="689"/>
      <c r="GN190" s="689"/>
      <c r="GO190" s="458">
        <v>0</v>
      </c>
      <c r="GP190" s="458">
        <v>1</v>
      </c>
      <c r="GQ190" s="458">
        <v>4</v>
      </c>
      <c r="GR190" s="458">
        <v>5</v>
      </c>
      <c r="GS190" s="458">
        <v>4</v>
      </c>
      <c r="GT190" s="458">
        <v>1</v>
      </c>
      <c r="GU190" s="458">
        <v>2</v>
      </c>
      <c r="GV190" s="458">
        <v>0</v>
      </c>
      <c r="GW190" s="458">
        <v>0</v>
      </c>
      <c r="GX190" s="458">
        <v>17</v>
      </c>
      <c r="GY190" s="690"/>
      <c r="GZ190" s="41"/>
      <c r="HA190" s="41"/>
      <c r="HB190" s="105"/>
      <c r="HC190" s="105"/>
      <c r="HD190" s="105" t="s">
        <v>48</v>
      </c>
      <c r="HE190" s="41" t="s">
        <v>1231</v>
      </c>
      <c r="HF190" s="41"/>
      <c r="HG190" s="41">
        <v>1</v>
      </c>
      <c r="HH190" s="41">
        <v>3</v>
      </c>
      <c r="HI190" s="41">
        <v>3</v>
      </c>
      <c r="HJ190" s="41">
        <v>1</v>
      </c>
      <c r="HK190" s="41">
        <v>1</v>
      </c>
      <c r="HL190" s="41">
        <v>0</v>
      </c>
      <c r="HM190" s="41">
        <v>3</v>
      </c>
      <c r="HN190" s="41">
        <v>15</v>
      </c>
      <c r="HO190" s="41">
        <v>5</v>
      </c>
      <c r="HP190" s="41">
        <v>10</v>
      </c>
      <c r="HQ190" s="41">
        <v>26</v>
      </c>
      <c r="HR190" s="41">
        <v>3</v>
      </c>
      <c r="HS190" s="41">
        <v>0</v>
      </c>
      <c r="HT190" s="41">
        <v>1</v>
      </c>
      <c r="HU190" s="41">
        <v>0</v>
      </c>
      <c r="HV190" s="41">
        <v>72</v>
      </c>
      <c r="HW190" s="41"/>
      <c r="HX190" s="41"/>
      <c r="HY190" s="41"/>
      <c r="HZ190" s="41"/>
      <c r="IA190" s="691"/>
      <c r="IB190" s="691" t="s">
        <v>1235</v>
      </c>
      <c r="IC190" s="691">
        <v>0</v>
      </c>
      <c r="ID190" s="691">
        <v>0</v>
      </c>
      <c r="IE190" s="691">
        <v>0</v>
      </c>
      <c r="IF190" s="691">
        <v>0</v>
      </c>
      <c r="IG190" s="691">
        <v>0</v>
      </c>
      <c r="IH190" s="691">
        <v>0</v>
      </c>
      <c r="II190" s="691">
        <v>0</v>
      </c>
      <c r="IJ190" s="691">
        <v>0</v>
      </c>
      <c r="IK190" s="691">
        <v>0</v>
      </c>
      <c r="IL190" s="691">
        <v>0</v>
      </c>
      <c r="IM190" s="691">
        <v>0</v>
      </c>
      <c r="IN190" s="691">
        <v>1</v>
      </c>
      <c r="IO190" s="691">
        <v>0</v>
      </c>
      <c r="IP190" s="691">
        <v>0</v>
      </c>
      <c r="IQ190" s="691">
        <v>1</v>
      </c>
      <c r="IR190" s="691">
        <v>0</v>
      </c>
      <c r="IS190" s="691">
        <v>2</v>
      </c>
      <c r="IT190" s="691"/>
      <c r="IU190" s="692"/>
    </row>
    <row r="191" spans="1:255">
      <c r="D191" s="4800" t="s">
        <v>1236</v>
      </c>
      <c r="E191" s="4606"/>
      <c r="F191" s="4606"/>
      <c r="G191" s="4606">
        <v>0</v>
      </c>
      <c r="H191" s="4606"/>
      <c r="I191" s="4606">
        <v>1</v>
      </c>
      <c r="J191" s="4606"/>
      <c r="K191" s="4606">
        <v>0</v>
      </c>
      <c r="L191" s="4606">
        <v>1</v>
      </c>
      <c r="M191" s="4606"/>
      <c r="N191" s="4606">
        <v>0</v>
      </c>
      <c r="O191" s="4606">
        <v>0</v>
      </c>
      <c r="P191" s="4606">
        <v>0</v>
      </c>
      <c r="Q191" s="4606">
        <v>0</v>
      </c>
      <c r="R191" s="4606">
        <v>0</v>
      </c>
      <c r="S191" s="2552"/>
      <c r="T191" s="2552"/>
      <c r="U191" s="2552">
        <v>2</v>
      </c>
      <c r="V191" s="2552"/>
      <c r="X191" s="37" t="s">
        <v>59</v>
      </c>
      <c r="Y191" s="37" t="s">
        <v>16</v>
      </c>
      <c r="Z191" s="37" t="s">
        <v>670</v>
      </c>
      <c r="AA191" s="37" t="s">
        <v>1230</v>
      </c>
      <c r="AB191" s="4803">
        <v>0</v>
      </c>
      <c r="AC191" s="4803"/>
      <c r="AD191" s="4803">
        <v>0</v>
      </c>
      <c r="AE191" s="4803"/>
      <c r="AF191" s="4803">
        <v>0</v>
      </c>
      <c r="AG191" s="4803"/>
      <c r="AH191" s="4803">
        <v>0</v>
      </c>
      <c r="AI191" s="4803">
        <v>0</v>
      </c>
      <c r="AJ191" s="4803"/>
      <c r="AK191" s="4803">
        <v>0</v>
      </c>
      <c r="AL191" s="4803">
        <v>0</v>
      </c>
      <c r="AM191" s="4803">
        <v>0</v>
      </c>
      <c r="AN191" s="4803">
        <v>1</v>
      </c>
      <c r="AO191" s="4803"/>
      <c r="AP191" s="1788"/>
      <c r="AQ191" s="1788">
        <v>1</v>
      </c>
      <c r="AT191" s="41"/>
      <c r="AU191" s="41"/>
      <c r="AV191" s="41"/>
      <c r="AW191" s="41" t="s">
        <v>1240</v>
      </c>
      <c r="AX191" s="690"/>
      <c r="AY191" s="690"/>
      <c r="AZ191" s="690"/>
      <c r="BA191" s="690"/>
      <c r="BB191" s="690">
        <v>0</v>
      </c>
      <c r="BC191" s="690"/>
      <c r="BD191" s="690"/>
      <c r="BE191" s="690"/>
      <c r="BF191" s="690"/>
      <c r="BG191" s="690">
        <v>0</v>
      </c>
      <c r="BH191" s="690"/>
      <c r="BI191" s="690"/>
      <c r="BJ191" s="690">
        <v>3</v>
      </c>
      <c r="BK191" s="690">
        <v>1</v>
      </c>
      <c r="BL191" s="690">
        <v>0</v>
      </c>
      <c r="BM191" s="41"/>
      <c r="BN191" s="41">
        <v>0</v>
      </c>
      <c r="BO191" s="41">
        <v>4</v>
      </c>
      <c r="BP191" s="41"/>
      <c r="BR191" s="41"/>
      <c r="BS191" s="41"/>
      <c r="BT191" s="41"/>
      <c r="BU191" s="461" t="s">
        <v>15</v>
      </c>
      <c r="BV191" s="2002"/>
      <c r="BW191" s="2002"/>
      <c r="BX191" s="2002"/>
      <c r="BY191" s="2002"/>
      <c r="BZ191" s="2002"/>
      <c r="CA191" s="2002"/>
      <c r="CB191" s="2002"/>
      <c r="CC191" s="2002"/>
      <c r="CD191" s="2002"/>
      <c r="CE191" s="2002"/>
      <c r="CF191" s="2002"/>
      <c r="CG191" s="2002"/>
      <c r="CH191" s="2002"/>
      <c r="CI191" s="2002">
        <v>1</v>
      </c>
      <c r="CJ191" s="2002">
        <v>2</v>
      </c>
      <c r="CK191" s="96">
        <v>1</v>
      </c>
      <c r="CL191" s="96">
        <v>2</v>
      </c>
      <c r="CM191" s="96">
        <v>6</v>
      </c>
      <c r="CN191" s="635">
        <f>+(CM188+CM190)/CM191</f>
        <v>0.33333333333333331</v>
      </c>
      <c r="CR191" s="41"/>
      <c r="CS191" s="41" t="s">
        <v>1344</v>
      </c>
      <c r="CT191" s="1665"/>
      <c r="CU191" s="1665">
        <v>0</v>
      </c>
      <c r="CV191" s="1665"/>
      <c r="CW191" s="1665"/>
      <c r="CX191" s="1665">
        <v>0</v>
      </c>
      <c r="CY191" s="1665"/>
      <c r="CZ191" s="1665"/>
      <c r="DA191" s="1665"/>
      <c r="DB191" s="1665"/>
      <c r="DC191" s="1665">
        <v>2</v>
      </c>
      <c r="DD191" s="1665">
        <v>2</v>
      </c>
      <c r="DE191" s="1665"/>
      <c r="DF191" s="1665">
        <v>0</v>
      </c>
      <c r="DG191" s="1665">
        <v>0</v>
      </c>
      <c r="DH191" s="1665">
        <v>0</v>
      </c>
      <c r="DI191" s="41">
        <v>0</v>
      </c>
      <c r="DJ191" s="41">
        <v>0</v>
      </c>
      <c r="DK191" s="41">
        <v>4</v>
      </c>
      <c r="DL191" s="41"/>
      <c r="DN191" s="1375"/>
      <c r="DO191" s="1375"/>
      <c r="DP191" s="1375"/>
      <c r="DQ191" s="1376" t="s">
        <v>1239</v>
      </c>
      <c r="DR191" s="1378">
        <v>0</v>
      </c>
      <c r="DS191" s="1378">
        <v>0</v>
      </c>
      <c r="DT191" s="1378">
        <v>0</v>
      </c>
      <c r="DU191" s="1378">
        <v>0</v>
      </c>
      <c r="DV191" s="1378">
        <v>0</v>
      </c>
      <c r="DW191" s="1378">
        <v>0</v>
      </c>
      <c r="DX191" s="1378">
        <v>0</v>
      </c>
      <c r="DY191" s="1378">
        <v>0</v>
      </c>
      <c r="DZ191" s="1378">
        <v>0</v>
      </c>
      <c r="EA191" s="1378">
        <v>1</v>
      </c>
      <c r="EB191" s="1378">
        <v>1</v>
      </c>
      <c r="EC191" s="1378">
        <v>6</v>
      </c>
      <c r="ED191" s="1378">
        <v>53</v>
      </c>
      <c r="EE191" s="1380">
        <v>5</v>
      </c>
      <c r="EF191" s="1380">
        <v>23</v>
      </c>
      <c r="EG191" s="1380">
        <v>89</v>
      </c>
      <c r="EH191" s="41"/>
      <c r="FH191" s="41"/>
      <c r="FI191" s="41"/>
      <c r="FJ191" s="41"/>
      <c r="FK191" s="41"/>
      <c r="FL191" s="41"/>
      <c r="FM191" s="41"/>
      <c r="FN191" s="41"/>
      <c r="FO191" s="41"/>
      <c r="FP191" s="41"/>
      <c r="FQ191" s="41"/>
      <c r="FR191" s="41"/>
      <c r="FS191" s="41"/>
      <c r="FT191" s="41"/>
      <c r="FU191" s="41"/>
      <c r="FV191" s="41"/>
      <c r="FW191" s="41"/>
      <c r="FX191" s="41"/>
      <c r="FY191" s="41"/>
      <c r="FZ191" s="41"/>
      <c r="GA191" s="41"/>
      <c r="GB191" s="41"/>
      <c r="GC191" s="41"/>
      <c r="GD191" s="41"/>
      <c r="GE191" s="41"/>
      <c r="GF191" s="41"/>
      <c r="GG191" s="688"/>
      <c r="GH191" s="688"/>
      <c r="GI191" s="688"/>
      <c r="GJ191" s="457" t="s">
        <v>1235</v>
      </c>
      <c r="GK191" s="689"/>
      <c r="GL191" s="689"/>
      <c r="GM191" s="689"/>
      <c r="GN191" s="689"/>
      <c r="GO191" s="458">
        <v>0</v>
      </c>
      <c r="GP191" s="458">
        <v>0</v>
      </c>
      <c r="GQ191" s="458">
        <v>0</v>
      </c>
      <c r="GR191" s="458">
        <v>0</v>
      </c>
      <c r="GS191" s="458">
        <v>0</v>
      </c>
      <c r="GT191" s="458">
        <v>1</v>
      </c>
      <c r="GU191" s="458">
        <v>0</v>
      </c>
      <c r="GV191" s="458">
        <v>1</v>
      </c>
      <c r="GW191" s="458">
        <v>0</v>
      </c>
      <c r="GX191" s="458">
        <v>2</v>
      </c>
      <c r="GY191" s="690"/>
      <c r="GZ191" s="41"/>
      <c r="HA191" s="41"/>
      <c r="HB191" s="105"/>
      <c r="HC191" s="105"/>
      <c r="HD191" s="105"/>
      <c r="HE191" s="41" t="s">
        <v>1233</v>
      </c>
      <c r="HF191" s="41"/>
      <c r="HG191" s="41">
        <v>1</v>
      </c>
      <c r="HH191" s="41">
        <v>0</v>
      </c>
      <c r="HI191" s="41">
        <v>0</v>
      </c>
      <c r="HJ191" s="41">
        <v>0</v>
      </c>
      <c r="HK191" s="41">
        <v>0</v>
      </c>
      <c r="HL191" s="41">
        <v>0</v>
      </c>
      <c r="HM191" s="41">
        <v>0</v>
      </c>
      <c r="HN191" s="41">
        <v>0</v>
      </c>
      <c r="HO191" s="41">
        <v>0</v>
      </c>
      <c r="HP191" s="41">
        <v>0</v>
      </c>
      <c r="HQ191" s="41">
        <v>0</v>
      </c>
      <c r="HR191" s="41">
        <v>0</v>
      </c>
      <c r="HS191" s="41">
        <v>0</v>
      </c>
      <c r="HT191" s="41">
        <v>0</v>
      </c>
      <c r="HU191" s="41">
        <v>0</v>
      </c>
      <c r="HV191" s="41">
        <v>1</v>
      </c>
      <c r="HW191" s="41"/>
      <c r="HX191" s="41"/>
      <c r="HY191" s="41"/>
      <c r="HZ191" s="41"/>
      <c r="IA191" s="691"/>
      <c r="IB191" s="691" t="s">
        <v>1239</v>
      </c>
      <c r="IC191" s="691">
        <v>0</v>
      </c>
      <c r="ID191" s="691">
        <v>0</v>
      </c>
      <c r="IE191" s="691">
        <v>0</v>
      </c>
      <c r="IF191" s="691">
        <v>0</v>
      </c>
      <c r="IG191" s="691">
        <v>0</v>
      </c>
      <c r="IH191" s="691">
        <v>0</v>
      </c>
      <c r="II191" s="691">
        <v>0</v>
      </c>
      <c r="IJ191" s="691">
        <v>1</v>
      </c>
      <c r="IK191" s="691">
        <v>0</v>
      </c>
      <c r="IL191" s="691">
        <v>0</v>
      </c>
      <c r="IM191" s="691">
        <v>1</v>
      </c>
      <c r="IN191" s="691">
        <v>0</v>
      </c>
      <c r="IO191" s="691">
        <v>0</v>
      </c>
      <c r="IP191" s="691">
        <v>2</v>
      </c>
      <c r="IQ191" s="691">
        <v>0</v>
      </c>
      <c r="IR191" s="691">
        <v>5</v>
      </c>
      <c r="IS191" s="691">
        <v>9</v>
      </c>
      <c r="IT191" s="691"/>
      <c r="IU191" s="692"/>
    </row>
    <row r="192" spans="1:255">
      <c r="D192" s="4800" t="s">
        <v>1239</v>
      </c>
      <c r="E192" s="4606"/>
      <c r="F192" s="4606"/>
      <c r="G192" s="4606">
        <v>0</v>
      </c>
      <c r="H192" s="4606"/>
      <c r="I192" s="4606">
        <v>0</v>
      </c>
      <c r="J192" s="4606"/>
      <c r="K192" s="4606">
        <v>0</v>
      </c>
      <c r="L192" s="4606">
        <v>0</v>
      </c>
      <c r="M192" s="4606"/>
      <c r="N192" s="4606">
        <v>0</v>
      </c>
      <c r="O192" s="4606">
        <v>0</v>
      </c>
      <c r="P192" s="4606">
        <v>0</v>
      </c>
      <c r="Q192" s="4606">
        <v>3</v>
      </c>
      <c r="R192" s="4606">
        <v>4</v>
      </c>
      <c r="S192" s="2552"/>
      <c r="T192" s="2552"/>
      <c r="U192" s="2552">
        <v>7</v>
      </c>
      <c r="V192" s="2552"/>
      <c r="AA192" s="37" t="s">
        <v>1231</v>
      </c>
      <c r="AB192" s="4803">
        <v>0</v>
      </c>
      <c r="AC192" s="4803"/>
      <c r="AD192" s="4803">
        <v>0</v>
      </c>
      <c r="AE192" s="4803"/>
      <c r="AF192" s="4803">
        <v>0</v>
      </c>
      <c r="AG192" s="4803"/>
      <c r="AH192" s="4803">
        <v>1</v>
      </c>
      <c r="AI192" s="4803">
        <v>0</v>
      </c>
      <c r="AJ192" s="4803"/>
      <c r="AK192" s="4803">
        <v>2</v>
      </c>
      <c r="AL192" s="4803">
        <v>1</v>
      </c>
      <c r="AM192" s="4803">
        <v>4</v>
      </c>
      <c r="AN192" s="4803">
        <v>0</v>
      </c>
      <c r="AO192" s="4803"/>
      <c r="AP192" s="1788"/>
      <c r="AQ192" s="1788">
        <v>8</v>
      </c>
      <c r="AT192" s="41"/>
      <c r="AU192" s="41"/>
      <c r="AV192" s="41"/>
      <c r="AW192" s="41" t="s">
        <v>1344</v>
      </c>
      <c r="AX192" s="690"/>
      <c r="AY192" s="690"/>
      <c r="AZ192" s="690"/>
      <c r="BA192" s="690"/>
      <c r="BB192" s="690">
        <v>0</v>
      </c>
      <c r="BC192" s="690"/>
      <c r="BD192" s="690"/>
      <c r="BE192" s="690"/>
      <c r="BF192" s="690"/>
      <c r="BG192" s="690">
        <v>0</v>
      </c>
      <c r="BH192" s="690"/>
      <c r="BI192" s="690"/>
      <c r="BJ192" s="690">
        <v>0</v>
      </c>
      <c r="BK192" s="690">
        <v>1</v>
      </c>
      <c r="BL192" s="690">
        <v>0</v>
      </c>
      <c r="BM192" s="41"/>
      <c r="BN192" s="41">
        <v>0</v>
      </c>
      <c r="BO192" s="41">
        <v>1</v>
      </c>
      <c r="BP192" s="41"/>
      <c r="BR192" s="41"/>
      <c r="BS192" s="41"/>
      <c r="BT192" s="41" t="s">
        <v>549</v>
      </c>
      <c r="BU192" s="41" t="s">
        <v>1235</v>
      </c>
      <c r="BV192" s="2001"/>
      <c r="BW192" s="2001"/>
      <c r="BX192" s="2001"/>
      <c r="BY192" s="2001"/>
      <c r="BZ192" s="2001"/>
      <c r="CA192" s="2001"/>
      <c r="CB192" s="2001"/>
      <c r="CC192" s="2001"/>
      <c r="CD192" s="2001"/>
      <c r="CE192" s="2001"/>
      <c r="CF192" s="2001"/>
      <c r="CG192" s="2001"/>
      <c r="CH192" s="2001"/>
      <c r="CI192" s="2001">
        <v>1</v>
      </c>
      <c r="CJ192" s="2001">
        <v>0</v>
      </c>
      <c r="CK192" s="105">
        <v>0</v>
      </c>
      <c r="CL192" s="105">
        <v>0</v>
      </c>
      <c r="CM192" s="105">
        <v>1</v>
      </c>
      <c r="CN192" s="41"/>
      <c r="CR192" s="41"/>
      <c r="CS192" s="461" t="s">
        <v>260</v>
      </c>
      <c r="CT192" s="1666"/>
      <c r="CU192" s="1666">
        <v>1</v>
      </c>
      <c r="CV192" s="1666"/>
      <c r="CW192" s="1666"/>
      <c r="CX192" s="1666">
        <v>1</v>
      </c>
      <c r="CY192" s="1666"/>
      <c r="CZ192" s="1666"/>
      <c r="DA192" s="1666"/>
      <c r="DB192" s="1666"/>
      <c r="DC192" s="1666">
        <v>5</v>
      </c>
      <c r="DD192" s="1666">
        <v>4</v>
      </c>
      <c r="DE192" s="1666"/>
      <c r="DF192" s="1666">
        <v>1</v>
      </c>
      <c r="DG192" s="1666">
        <v>1</v>
      </c>
      <c r="DH192" s="1666">
        <v>2</v>
      </c>
      <c r="DI192" s="461">
        <v>1</v>
      </c>
      <c r="DJ192" s="461">
        <v>1</v>
      </c>
      <c r="DK192" s="461">
        <v>17</v>
      </c>
      <c r="DL192" s="635">
        <f>+DK191/DK192</f>
        <v>0.23529411764705882</v>
      </c>
      <c r="DN192" s="1375"/>
      <c r="DO192" s="1375"/>
      <c r="DP192" s="1375"/>
      <c r="DQ192" s="1376" t="s">
        <v>1240</v>
      </c>
      <c r="DR192" s="1378">
        <v>0</v>
      </c>
      <c r="DS192" s="1378">
        <v>0</v>
      </c>
      <c r="DT192" s="1378">
        <v>0</v>
      </c>
      <c r="DU192" s="1378">
        <v>0</v>
      </c>
      <c r="DV192" s="1378">
        <v>0</v>
      </c>
      <c r="DW192" s="1378">
        <v>0</v>
      </c>
      <c r="DX192" s="1378">
        <v>0</v>
      </c>
      <c r="DY192" s="1378">
        <v>1</v>
      </c>
      <c r="DZ192" s="1378">
        <v>0</v>
      </c>
      <c r="EA192" s="1378">
        <v>2</v>
      </c>
      <c r="EB192" s="1378">
        <v>6</v>
      </c>
      <c r="EC192" s="1378">
        <v>1</v>
      </c>
      <c r="ED192" s="1378">
        <v>0</v>
      </c>
      <c r="EE192" s="1380">
        <v>1</v>
      </c>
      <c r="EF192" s="1380">
        <v>0</v>
      </c>
      <c r="EG192" s="1380">
        <v>11</v>
      </c>
      <c r="EH192" s="41"/>
      <c r="FH192" s="41"/>
      <c r="FI192" s="41"/>
      <c r="FJ192" s="41"/>
      <c r="FK192" s="41"/>
      <c r="FL192" s="41"/>
      <c r="FM192" s="41"/>
      <c r="FN192" s="41"/>
      <c r="FO192" s="41"/>
      <c r="FP192" s="41"/>
      <c r="FQ192" s="41"/>
      <c r="FR192" s="41"/>
      <c r="FS192" s="41"/>
      <c r="FT192" s="41"/>
      <c r="FU192" s="41"/>
      <c r="FV192" s="41"/>
      <c r="FW192" s="41"/>
      <c r="FX192" s="41"/>
      <c r="FY192" s="41"/>
      <c r="FZ192" s="41"/>
      <c r="GA192" s="41"/>
      <c r="GB192" s="41"/>
      <c r="GC192" s="41"/>
      <c r="GD192" s="41"/>
      <c r="GE192" s="41"/>
      <c r="GF192" s="41"/>
      <c r="GG192" s="688"/>
      <c r="GH192" s="688"/>
      <c r="GI192" s="688"/>
      <c r="GJ192" s="457" t="s">
        <v>1239</v>
      </c>
      <c r="GK192" s="689"/>
      <c r="GL192" s="689"/>
      <c r="GM192" s="689"/>
      <c r="GN192" s="689"/>
      <c r="GO192" s="458">
        <v>1</v>
      </c>
      <c r="GP192" s="458">
        <v>0</v>
      </c>
      <c r="GQ192" s="458">
        <v>0</v>
      </c>
      <c r="GR192" s="458">
        <v>0</v>
      </c>
      <c r="GS192" s="458">
        <v>0</v>
      </c>
      <c r="GT192" s="458">
        <v>0</v>
      </c>
      <c r="GU192" s="458">
        <v>3</v>
      </c>
      <c r="GV192" s="458">
        <v>0</v>
      </c>
      <c r="GW192" s="458">
        <v>6</v>
      </c>
      <c r="GX192" s="458">
        <v>10</v>
      </c>
      <c r="GY192" s="690"/>
      <c r="GZ192" s="41"/>
      <c r="HA192" s="41"/>
      <c r="HB192" s="105"/>
      <c r="HC192" s="105"/>
      <c r="HD192" s="105"/>
      <c r="HE192" s="41" t="s">
        <v>1235</v>
      </c>
      <c r="HF192" s="41"/>
      <c r="HG192" s="41">
        <v>0</v>
      </c>
      <c r="HH192" s="41">
        <v>0</v>
      </c>
      <c r="HI192" s="41">
        <v>0</v>
      </c>
      <c r="HJ192" s="41">
        <v>0</v>
      </c>
      <c r="HK192" s="41">
        <v>0</v>
      </c>
      <c r="HL192" s="41">
        <v>0</v>
      </c>
      <c r="HM192" s="41">
        <v>0</v>
      </c>
      <c r="HN192" s="41">
        <v>1</v>
      </c>
      <c r="HO192" s="41">
        <v>0</v>
      </c>
      <c r="HP192" s="41">
        <v>0</v>
      </c>
      <c r="HQ192" s="41">
        <v>0</v>
      </c>
      <c r="HR192" s="41">
        <v>0</v>
      </c>
      <c r="HS192" s="41">
        <v>1</v>
      </c>
      <c r="HT192" s="41">
        <v>0</v>
      </c>
      <c r="HU192" s="41">
        <v>0</v>
      </c>
      <c r="HV192" s="41">
        <v>2</v>
      </c>
      <c r="HW192" s="41"/>
      <c r="HX192" s="41"/>
      <c r="HY192" s="41"/>
      <c r="HZ192" s="41"/>
      <c r="IA192" s="691"/>
      <c r="IB192" s="691" t="s">
        <v>1240</v>
      </c>
      <c r="IC192" s="691">
        <v>0</v>
      </c>
      <c r="ID192" s="691">
        <v>0</v>
      </c>
      <c r="IE192" s="691">
        <v>0</v>
      </c>
      <c r="IF192" s="691">
        <v>0</v>
      </c>
      <c r="IG192" s="691">
        <v>0</v>
      </c>
      <c r="IH192" s="691">
        <v>0</v>
      </c>
      <c r="II192" s="691">
        <v>0</v>
      </c>
      <c r="IJ192" s="691">
        <v>0</v>
      </c>
      <c r="IK192" s="691">
        <v>0</v>
      </c>
      <c r="IL192" s="691">
        <v>2</v>
      </c>
      <c r="IM192" s="691">
        <v>0</v>
      </c>
      <c r="IN192" s="691">
        <v>1</v>
      </c>
      <c r="IO192" s="691">
        <v>2</v>
      </c>
      <c r="IP192" s="691">
        <v>0</v>
      </c>
      <c r="IQ192" s="691">
        <v>0</v>
      </c>
      <c r="IR192" s="691">
        <v>0</v>
      </c>
      <c r="IS192" s="691">
        <v>5</v>
      </c>
      <c r="IT192" s="691"/>
      <c r="IU192" s="692"/>
    </row>
    <row r="193" spans="2:255">
      <c r="D193" s="4800" t="s">
        <v>1240</v>
      </c>
      <c r="E193" s="4606"/>
      <c r="F193" s="4606"/>
      <c r="G193" s="4606">
        <v>0</v>
      </c>
      <c r="H193" s="4606"/>
      <c r="I193" s="4606">
        <v>0</v>
      </c>
      <c r="J193" s="4606"/>
      <c r="K193" s="4606">
        <v>0</v>
      </c>
      <c r="L193" s="4606">
        <v>0</v>
      </c>
      <c r="M193" s="4606"/>
      <c r="N193" s="4606">
        <v>1</v>
      </c>
      <c r="O193" s="4606">
        <v>0</v>
      </c>
      <c r="P193" s="4606">
        <v>0</v>
      </c>
      <c r="Q193" s="4606">
        <v>0</v>
      </c>
      <c r="R193" s="4606">
        <v>0</v>
      </c>
      <c r="S193" s="2552"/>
      <c r="T193" s="2552"/>
      <c r="U193" s="2552">
        <v>1</v>
      </c>
      <c r="V193" s="2552"/>
      <c r="AA193" s="37" t="s">
        <v>1236</v>
      </c>
      <c r="AB193" s="4803">
        <v>0</v>
      </c>
      <c r="AC193" s="4803"/>
      <c r="AD193" s="4803">
        <v>0</v>
      </c>
      <c r="AE193" s="4803"/>
      <c r="AF193" s="4803">
        <v>1</v>
      </c>
      <c r="AG193" s="4803"/>
      <c r="AH193" s="4803">
        <v>0</v>
      </c>
      <c r="AI193" s="4803">
        <v>1</v>
      </c>
      <c r="AJ193" s="4803"/>
      <c r="AK193" s="4803">
        <v>0</v>
      </c>
      <c r="AL193" s="4803">
        <v>0</v>
      </c>
      <c r="AM193" s="4803">
        <v>0</v>
      </c>
      <c r="AN193" s="4803">
        <v>0</v>
      </c>
      <c r="AO193" s="4803"/>
      <c r="AP193" s="1788"/>
      <c r="AQ193" s="1788">
        <v>2</v>
      </c>
      <c r="AT193" s="41"/>
      <c r="AU193" s="41"/>
      <c r="AV193" s="41"/>
      <c r="AW193" s="461" t="s">
        <v>15</v>
      </c>
      <c r="AX193" s="2489"/>
      <c r="AY193" s="2489"/>
      <c r="AZ193" s="2489"/>
      <c r="BA193" s="2489"/>
      <c r="BB193" s="2489">
        <v>1</v>
      </c>
      <c r="BC193" s="2489"/>
      <c r="BD193" s="2489"/>
      <c r="BE193" s="2489"/>
      <c r="BF193" s="2489"/>
      <c r="BG193" s="2489">
        <v>1</v>
      </c>
      <c r="BH193" s="2489"/>
      <c r="BI193" s="2489"/>
      <c r="BJ193" s="2489">
        <v>4</v>
      </c>
      <c r="BK193" s="2489">
        <v>2</v>
      </c>
      <c r="BL193" s="2489">
        <v>2</v>
      </c>
      <c r="BM193" s="461"/>
      <c r="BN193" s="461">
        <v>3</v>
      </c>
      <c r="BO193" s="461">
        <v>13</v>
      </c>
      <c r="BP193" s="635">
        <f>+(BO192+BO191)/BO193</f>
        <v>0.38461538461538464</v>
      </c>
      <c r="BQ193" s="1977"/>
      <c r="BR193" s="41"/>
      <c r="BS193" s="41"/>
      <c r="BT193" s="41"/>
      <c r="BU193" s="41" t="s">
        <v>1239</v>
      </c>
      <c r="BV193" s="2001"/>
      <c r="BW193" s="2001"/>
      <c r="BX193" s="2001"/>
      <c r="BY193" s="2001"/>
      <c r="BZ193" s="2001"/>
      <c r="CA193" s="2001"/>
      <c r="CB193" s="2001"/>
      <c r="CC193" s="2001"/>
      <c r="CD193" s="2001"/>
      <c r="CE193" s="2001"/>
      <c r="CF193" s="2001"/>
      <c r="CG193" s="2001"/>
      <c r="CH193" s="2001"/>
      <c r="CI193" s="2001">
        <v>0</v>
      </c>
      <c r="CJ193" s="2001">
        <v>1</v>
      </c>
      <c r="CK193" s="105">
        <v>1</v>
      </c>
      <c r="CL193" s="105">
        <v>2</v>
      </c>
      <c r="CM193" s="105">
        <v>4</v>
      </c>
      <c r="CN193" s="41"/>
      <c r="CR193" s="41" t="s">
        <v>113</v>
      </c>
      <c r="CS193" s="41" t="s">
        <v>1230</v>
      </c>
      <c r="CT193" s="1665">
        <v>0</v>
      </c>
      <c r="CU193" s="1665">
        <v>0</v>
      </c>
      <c r="CV193" s="1665">
        <v>0</v>
      </c>
      <c r="CW193" s="1665">
        <v>0</v>
      </c>
      <c r="CX193" s="1665">
        <v>0</v>
      </c>
      <c r="CY193" s="1665">
        <v>0</v>
      </c>
      <c r="CZ193" s="1665">
        <v>0</v>
      </c>
      <c r="DA193" s="1665">
        <v>0</v>
      </c>
      <c r="DB193" s="1665">
        <v>0</v>
      </c>
      <c r="DC193" s="1665">
        <v>0</v>
      </c>
      <c r="DD193" s="1665">
        <v>1</v>
      </c>
      <c r="DE193" s="1665">
        <v>1</v>
      </c>
      <c r="DF193" s="1665">
        <v>1</v>
      </c>
      <c r="DG193" s="1665">
        <v>2</v>
      </c>
      <c r="DH193" s="1665">
        <v>4</v>
      </c>
      <c r="DI193" s="41">
        <v>0</v>
      </c>
      <c r="DJ193" s="41">
        <v>2</v>
      </c>
      <c r="DK193" s="41">
        <v>11</v>
      </c>
      <c r="DL193" s="41"/>
      <c r="DN193" s="1375"/>
      <c r="DO193" s="1375"/>
      <c r="DP193" s="1375"/>
      <c r="DQ193" s="1376" t="s">
        <v>1344</v>
      </c>
      <c r="DR193" s="1378">
        <v>0</v>
      </c>
      <c r="DS193" s="1378">
        <v>0</v>
      </c>
      <c r="DT193" s="1378">
        <v>0</v>
      </c>
      <c r="DU193" s="1378">
        <v>0</v>
      </c>
      <c r="DV193" s="1378">
        <v>0</v>
      </c>
      <c r="DW193" s="1378">
        <v>0</v>
      </c>
      <c r="DX193" s="1378">
        <v>3</v>
      </c>
      <c r="DY193" s="1378">
        <v>10</v>
      </c>
      <c r="DZ193" s="1378">
        <v>1</v>
      </c>
      <c r="EA193" s="1378">
        <v>6</v>
      </c>
      <c r="EB193" s="1378">
        <v>19</v>
      </c>
      <c r="EC193" s="1378">
        <v>10</v>
      </c>
      <c r="ED193" s="1378">
        <v>0</v>
      </c>
      <c r="EE193" s="1380">
        <v>0</v>
      </c>
      <c r="EF193" s="1380">
        <v>0</v>
      </c>
      <c r="EG193" s="1380">
        <v>49</v>
      </c>
      <c r="EH193" s="41"/>
      <c r="FH193" s="41"/>
      <c r="FI193" s="41"/>
      <c r="FJ193" s="41"/>
      <c r="FK193" s="41"/>
      <c r="FL193" s="41"/>
      <c r="FM193" s="41"/>
      <c r="FN193" s="41"/>
      <c r="FO193" s="41"/>
      <c r="FP193" s="41"/>
      <c r="FQ193" s="41"/>
      <c r="FR193" s="41"/>
      <c r="FS193" s="41"/>
      <c r="FT193" s="41"/>
      <c r="FU193" s="41"/>
      <c r="FV193" s="41"/>
      <c r="FW193" s="41"/>
      <c r="FX193" s="41"/>
      <c r="FY193" s="41"/>
      <c r="FZ193" s="41"/>
      <c r="GA193" s="41"/>
      <c r="GB193" s="41"/>
      <c r="GC193" s="41"/>
      <c r="GD193" s="41"/>
      <c r="GE193" s="41"/>
      <c r="GF193" s="41"/>
      <c r="GG193" s="688"/>
      <c r="GH193" s="688"/>
      <c r="GI193" s="688"/>
      <c r="GJ193" s="457" t="s">
        <v>1240</v>
      </c>
      <c r="GK193" s="689"/>
      <c r="GL193" s="689"/>
      <c r="GM193" s="689"/>
      <c r="GN193" s="689"/>
      <c r="GO193" s="458">
        <v>0</v>
      </c>
      <c r="GP193" s="458">
        <v>0</v>
      </c>
      <c r="GQ193" s="458">
        <v>0</v>
      </c>
      <c r="GR193" s="458">
        <v>0</v>
      </c>
      <c r="GS193" s="458">
        <v>0</v>
      </c>
      <c r="GT193" s="458">
        <v>2</v>
      </c>
      <c r="GU193" s="458">
        <v>1</v>
      </c>
      <c r="GV193" s="458">
        <v>0</v>
      </c>
      <c r="GW193" s="458">
        <v>0</v>
      </c>
      <c r="GX193" s="458">
        <v>3</v>
      </c>
      <c r="GY193" s="690"/>
      <c r="GZ193" s="41"/>
      <c r="HA193" s="41"/>
      <c r="HB193" s="105"/>
      <c r="HC193" s="105"/>
      <c r="HD193" s="105"/>
      <c r="HE193" s="41" t="s">
        <v>1239</v>
      </c>
      <c r="HF193" s="41"/>
      <c r="HG193" s="41">
        <v>0</v>
      </c>
      <c r="HH193" s="41">
        <v>0</v>
      </c>
      <c r="HI193" s="41">
        <v>0</v>
      </c>
      <c r="HJ193" s="41">
        <v>0</v>
      </c>
      <c r="HK193" s="41">
        <v>0</v>
      </c>
      <c r="HL193" s="41">
        <v>0</v>
      </c>
      <c r="HM193" s="41">
        <v>0</v>
      </c>
      <c r="HN193" s="41">
        <v>0</v>
      </c>
      <c r="HO193" s="41">
        <v>2</v>
      </c>
      <c r="HP193" s="41">
        <v>1</v>
      </c>
      <c r="HQ193" s="41">
        <v>1</v>
      </c>
      <c r="HR193" s="41">
        <v>4</v>
      </c>
      <c r="HS193" s="41">
        <v>1</v>
      </c>
      <c r="HT193" s="41">
        <v>4</v>
      </c>
      <c r="HU193" s="41">
        <v>8</v>
      </c>
      <c r="HV193" s="41">
        <v>21</v>
      </c>
      <c r="HW193" s="41"/>
      <c r="HX193" s="41"/>
      <c r="HY193" s="41"/>
      <c r="HZ193" s="41"/>
      <c r="IA193" s="691"/>
      <c r="IB193" s="691" t="s">
        <v>1344</v>
      </c>
      <c r="IC193" s="691">
        <v>0</v>
      </c>
      <c r="ID193" s="691">
        <v>0</v>
      </c>
      <c r="IE193" s="691">
        <v>0</v>
      </c>
      <c r="IF193" s="691">
        <v>0</v>
      </c>
      <c r="IG193" s="691">
        <v>0</v>
      </c>
      <c r="IH193" s="691">
        <v>0</v>
      </c>
      <c r="II193" s="691">
        <v>0</v>
      </c>
      <c r="IJ193" s="691">
        <v>2</v>
      </c>
      <c r="IK193" s="691">
        <v>0</v>
      </c>
      <c r="IL193" s="691">
        <v>0</v>
      </c>
      <c r="IM193" s="691">
        <v>1</v>
      </c>
      <c r="IN193" s="691">
        <v>2</v>
      </c>
      <c r="IO193" s="691">
        <v>0</v>
      </c>
      <c r="IP193" s="691">
        <v>0</v>
      </c>
      <c r="IQ193" s="691">
        <v>0</v>
      </c>
      <c r="IR193" s="691">
        <v>0</v>
      </c>
      <c r="IS193" s="691">
        <v>5</v>
      </c>
      <c r="IT193" s="691"/>
      <c r="IU193" s="692"/>
    </row>
    <row r="194" spans="2:255" ht="15" thickBot="1">
      <c r="D194" s="4800" t="s">
        <v>15</v>
      </c>
      <c r="E194" s="4606"/>
      <c r="F194" s="4606"/>
      <c r="G194" s="4606">
        <v>0</v>
      </c>
      <c r="H194" s="4606"/>
      <c r="I194" s="4606">
        <v>1</v>
      </c>
      <c r="J194" s="4606"/>
      <c r="K194" s="4606">
        <v>1</v>
      </c>
      <c r="L194" s="4606">
        <v>1</v>
      </c>
      <c r="M194" s="4606"/>
      <c r="N194" s="4606">
        <v>2</v>
      </c>
      <c r="O194" s="4606">
        <v>1</v>
      </c>
      <c r="P194" s="4606">
        <v>5</v>
      </c>
      <c r="Q194" s="4606">
        <v>3</v>
      </c>
      <c r="R194" s="4606">
        <v>4</v>
      </c>
      <c r="S194" s="2552"/>
      <c r="T194" s="2552"/>
      <c r="U194" s="2552">
        <v>18</v>
      </c>
      <c r="V194" s="1977">
        <f>+(U190+U192+U193)/(U194)</f>
        <v>0.5</v>
      </c>
      <c r="AA194" s="37" t="s">
        <v>1239</v>
      </c>
      <c r="AB194" s="4803">
        <v>0</v>
      </c>
      <c r="AC194" s="4803"/>
      <c r="AD194" s="4803">
        <v>0</v>
      </c>
      <c r="AE194" s="4803"/>
      <c r="AF194" s="4803">
        <v>0</v>
      </c>
      <c r="AG194" s="4803"/>
      <c r="AH194" s="4803">
        <v>0</v>
      </c>
      <c r="AI194" s="4803">
        <v>0</v>
      </c>
      <c r="AJ194" s="4803"/>
      <c r="AK194" s="4803">
        <v>0</v>
      </c>
      <c r="AL194" s="4803">
        <v>0</v>
      </c>
      <c r="AM194" s="4803">
        <v>0</v>
      </c>
      <c r="AN194" s="4803">
        <v>6</v>
      </c>
      <c r="AO194" s="4803"/>
      <c r="AP194" s="1788"/>
      <c r="AQ194" s="1788">
        <v>6</v>
      </c>
      <c r="AT194" s="41"/>
      <c r="AU194" s="41"/>
      <c r="AV194" s="41" t="s">
        <v>1948</v>
      </c>
      <c r="AW194" s="41" t="s">
        <v>1231</v>
      </c>
      <c r="AX194" s="690"/>
      <c r="AY194" s="690"/>
      <c r="AZ194" s="690"/>
      <c r="BA194" s="690"/>
      <c r="BB194" s="690"/>
      <c r="BC194" s="690"/>
      <c r="BD194" s="690"/>
      <c r="BE194" s="690"/>
      <c r="BF194" s="690"/>
      <c r="BG194" s="690"/>
      <c r="BH194" s="690"/>
      <c r="BI194" s="690"/>
      <c r="BJ194" s="690">
        <v>1</v>
      </c>
      <c r="BK194" s="690"/>
      <c r="BL194" s="690">
        <v>0</v>
      </c>
      <c r="BM194" s="41">
        <v>1</v>
      </c>
      <c r="BN194" s="41">
        <v>0</v>
      </c>
      <c r="BO194" s="41">
        <v>2</v>
      </c>
      <c r="BP194" s="41"/>
      <c r="BR194" s="41"/>
      <c r="BS194" s="41"/>
      <c r="BT194" s="41"/>
      <c r="BU194" s="41" t="s">
        <v>1240</v>
      </c>
      <c r="BV194" s="2001"/>
      <c r="BW194" s="2001"/>
      <c r="BX194" s="2001"/>
      <c r="BY194" s="2001"/>
      <c r="BZ194" s="2001"/>
      <c r="CA194" s="2001"/>
      <c r="CB194" s="2001"/>
      <c r="CC194" s="2001"/>
      <c r="CD194" s="2001"/>
      <c r="CE194" s="2001"/>
      <c r="CF194" s="2001"/>
      <c r="CG194" s="2001"/>
      <c r="CH194" s="2001"/>
      <c r="CI194" s="2001">
        <v>0</v>
      </c>
      <c r="CJ194" s="2001">
        <v>1</v>
      </c>
      <c r="CK194" s="105">
        <v>0</v>
      </c>
      <c r="CL194" s="105">
        <v>0</v>
      </c>
      <c r="CM194" s="105">
        <v>1</v>
      </c>
      <c r="CN194" s="41"/>
      <c r="CR194" s="41"/>
      <c r="CS194" s="41" t="s">
        <v>1231</v>
      </c>
      <c r="CT194" s="1665">
        <v>1</v>
      </c>
      <c r="CU194" s="1665">
        <v>3</v>
      </c>
      <c r="CV194" s="1665">
        <v>4</v>
      </c>
      <c r="CW194" s="1665">
        <v>1</v>
      </c>
      <c r="CX194" s="1665">
        <v>1</v>
      </c>
      <c r="CY194" s="1665">
        <v>2</v>
      </c>
      <c r="CZ194" s="1665">
        <v>2</v>
      </c>
      <c r="DA194" s="1665">
        <v>3</v>
      </c>
      <c r="DB194" s="1665">
        <v>4</v>
      </c>
      <c r="DC194" s="1665">
        <v>9</v>
      </c>
      <c r="DD194" s="1665">
        <v>7</v>
      </c>
      <c r="DE194" s="1665">
        <v>2</v>
      </c>
      <c r="DF194" s="1665">
        <v>29</v>
      </c>
      <c r="DG194" s="1665">
        <v>18</v>
      </c>
      <c r="DH194" s="1665">
        <v>2</v>
      </c>
      <c r="DI194" s="41">
        <v>2</v>
      </c>
      <c r="DJ194" s="41">
        <v>0</v>
      </c>
      <c r="DK194" s="41">
        <v>90</v>
      </c>
      <c r="DL194" s="41"/>
      <c r="DN194" s="1385"/>
      <c r="DO194" s="1385"/>
      <c r="DP194" s="1385"/>
      <c r="DQ194" s="1386" t="s">
        <v>113</v>
      </c>
      <c r="DR194" s="1387">
        <v>1</v>
      </c>
      <c r="DS194" s="1387">
        <v>10</v>
      </c>
      <c r="DT194" s="1387">
        <v>4</v>
      </c>
      <c r="DU194" s="1387">
        <v>1</v>
      </c>
      <c r="DV194" s="1387">
        <v>5</v>
      </c>
      <c r="DW194" s="1387">
        <v>6</v>
      </c>
      <c r="DX194" s="1387">
        <v>7</v>
      </c>
      <c r="DY194" s="1387">
        <v>26</v>
      </c>
      <c r="DZ194" s="1387">
        <v>11</v>
      </c>
      <c r="EA194" s="1387">
        <v>20</v>
      </c>
      <c r="EB194" s="1387">
        <v>77</v>
      </c>
      <c r="EC194" s="1387">
        <v>37</v>
      </c>
      <c r="ED194" s="1387">
        <v>70</v>
      </c>
      <c r="EE194" s="1388">
        <v>9</v>
      </c>
      <c r="EF194" s="1388">
        <v>26</v>
      </c>
      <c r="EG194" s="1388">
        <v>310</v>
      </c>
      <c r="EH194" s="1332">
        <f>+(EG189-EE189+EG192-EE192+EG193)/EG194</f>
        <v>0.30967741935483872</v>
      </c>
      <c r="FH194" s="41"/>
      <c r="FI194" s="41"/>
      <c r="FJ194" s="41"/>
      <c r="FK194" s="41"/>
      <c r="FL194" s="41"/>
      <c r="FM194" s="41"/>
      <c r="FN194" s="41"/>
      <c r="FO194" s="41"/>
      <c r="FP194" s="41"/>
      <c r="FQ194" s="41"/>
      <c r="FR194" s="41"/>
      <c r="FS194" s="41"/>
      <c r="FT194" s="41"/>
      <c r="FU194" s="41"/>
      <c r="FV194" s="41"/>
      <c r="FW194" s="41"/>
      <c r="FX194" s="41"/>
      <c r="FY194" s="41"/>
      <c r="FZ194" s="41"/>
      <c r="GA194" s="41"/>
      <c r="GB194" s="41"/>
      <c r="GC194" s="41"/>
      <c r="GD194" s="41"/>
      <c r="GE194" s="41"/>
      <c r="GF194" s="41"/>
      <c r="GG194" s="688"/>
      <c r="GH194" s="688"/>
      <c r="GI194" s="688"/>
      <c r="GJ194" s="457" t="s">
        <v>1344</v>
      </c>
      <c r="GK194" s="689"/>
      <c r="GL194" s="689"/>
      <c r="GM194" s="689"/>
      <c r="GN194" s="689"/>
      <c r="GO194" s="458">
        <v>0</v>
      </c>
      <c r="GP194" s="458">
        <v>1</v>
      </c>
      <c r="GQ194" s="458">
        <v>1</v>
      </c>
      <c r="GR194" s="458">
        <v>1</v>
      </c>
      <c r="GS194" s="458">
        <v>3</v>
      </c>
      <c r="GT194" s="458">
        <v>0</v>
      </c>
      <c r="GU194" s="458">
        <v>0</v>
      </c>
      <c r="GV194" s="458">
        <v>0</v>
      </c>
      <c r="GW194" s="458">
        <v>0</v>
      </c>
      <c r="GX194" s="458">
        <v>6</v>
      </c>
      <c r="GY194" s="690"/>
      <c r="GZ194" s="41"/>
      <c r="HA194" s="41"/>
      <c r="HB194" s="105"/>
      <c r="HC194" s="105"/>
      <c r="HD194" s="105"/>
      <c r="HE194" s="41" t="s">
        <v>1240</v>
      </c>
      <c r="HF194" s="41"/>
      <c r="HG194" s="41">
        <v>0</v>
      </c>
      <c r="HH194" s="41">
        <v>0</v>
      </c>
      <c r="HI194" s="41">
        <v>0</v>
      </c>
      <c r="HJ194" s="41">
        <v>0</v>
      </c>
      <c r="HK194" s="41">
        <v>0</v>
      </c>
      <c r="HL194" s="41">
        <v>0</v>
      </c>
      <c r="HM194" s="41">
        <v>0</v>
      </c>
      <c r="HN194" s="41">
        <v>3</v>
      </c>
      <c r="HO194" s="41">
        <v>1</v>
      </c>
      <c r="HP194" s="41">
        <v>1</v>
      </c>
      <c r="HQ194" s="41">
        <v>3</v>
      </c>
      <c r="HR194" s="41">
        <v>0</v>
      </c>
      <c r="HS194" s="41">
        <v>1</v>
      </c>
      <c r="HT194" s="41">
        <v>0</v>
      </c>
      <c r="HU194" s="41">
        <v>0</v>
      </c>
      <c r="HV194" s="41">
        <v>9</v>
      </c>
      <c r="HW194" s="41"/>
      <c r="HX194" s="41"/>
      <c r="HY194" s="41"/>
      <c r="HZ194" s="41"/>
      <c r="IA194" s="721"/>
      <c r="IB194" s="709" t="s">
        <v>15</v>
      </c>
      <c r="IC194" s="709">
        <v>0</v>
      </c>
      <c r="ID194" s="709">
        <v>0</v>
      </c>
      <c r="IE194" s="709">
        <v>1</v>
      </c>
      <c r="IF194" s="709">
        <v>2</v>
      </c>
      <c r="IG194" s="709">
        <v>0</v>
      </c>
      <c r="IH194" s="709">
        <v>1</v>
      </c>
      <c r="II194" s="709">
        <v>0</v>
      </c>
      <c r="IJ194" s="709">
        <v>5</v>
      </c>
      <c r="IK194" s="709">
        <v>6</v>
      </c>
      <c r="IL194" s="709">
        <v>6</v>
      </c>
      <c r="IM194" s="709">
        <v>3</v>
      </c>
      <c r="IN194" s="709">
        <v>7</v>
      </c>
      <c r="IO194" s="709">
        <v>4</v>
      </c>
      <c r="IP194" s="709">
        <v>2</v>
      </c>
      <c r="IQ194" s="709">
        <v>1</v>
      </c>
      <c r="IR194" s="709">
        <v>5</v>
      </c>
      <c r="IS194" s="709">
        <v>43</v>
      </c>
      <c r="IT194" s="710">
        <f>+(IS193+IS192+IS190-IQ190)/IS194</f>
        <v>0.2558139534883721</v>
      </c>
      <c r="IU194" s="711">
        <f>+IS190+IS192+IS193-IQ190</f>
        <v>11</v>
      </c>
    </row>
    <row r="195" spans="2:255" ht="15" thickBot="1">
      <c r="C195" s="32" t="s">
        <v>545</v>
      </c>
      <c r="D195" s="32" t="s">
        <v>1231</v>
      </c>
      <c r="E195" s="4607"/>
      <c r="F195" s="4607"/>
      <c r="G195" s="4607">
        <v>0</v>
      </c>
      <c r="H195" s="4607"/>
      <c r="I195" s="4607">
        <v>0</v>
      </c>
      <c r="J195" s="4607"/>
      <c r="K195" s="4607">
        <v>1</v>
      </c>
      <c r="L195" s="4607">
        <v>0</v>
      </c>
      <c r="M195" s="4607"/>
      <c r="N195" s="4607">
        <v>1</v>
      </c>
      <c r="O195" s="4607">
        <v>1</v>
      </c>
      <c r="P195" s="4607">
        <v>4</v>
      </c>
      <c r="Q195" s="4607">
        <v>0</v>
      </c>
      <c r="R195" s="4607">
        <v>0</v>
      </c>
      <c r="S195" s="4583"/>
      <c r="T195" s="4583"/>
      <c r="U195" s="4583">
        <v>7</v>
      </c>
      <c r="V195" s="4583"/>
      <c r="AA195" s="37" t="s">
        <v>1240</v>
      </c>
      <c r="AB195" s="4803">
        <v>0</v>
      </c>
      <c r="AC195" s="4803"/>
      <c r="AD195" s="4803">
        <v>0</v>
      </c>
      <c r="AE195" s="4803"/>
      <c r="AF195" s="4803">
        <v>0</v>
      </c>
      <c r="AG195" s="4803"/>
      <c r="AH195" s="4803">
        <v>0</v>
      </c>
      <c r="AI195" s="4803">
        <v>0</v>
      </c>
      <c r="AJ195" s="4803"/>
      <c r="AK195" s="4803">
        <v>0</v>
      </c>
      <c r="AL195" s="4803">
        <v>0</v>
      </c>
      <c r="AM195" s="4803">
        <v>1</v>
      </c>
      <c r="AN195" s="4803">
        <v>0</v>
      </c>
      <c r="AO195" s="4803"/>
      <c r="AP195" s="1788"/>
      <c r="AQ195" s="1788">
        <v>1</v>
      </c>
      <c r="AT195" s="41"/>
      <c r="AU195" s="41"/>
      <c r="AV195" s="41"/>
      <c r="AW195" s="41" t="s">
        <v>1239</v>
      </c>
      <c r="AX195" s="690"/>
      <c r="AY195" s="690"/>
      <c r="AZ195" s="690"/>
      <c r="BA195" s="690"/>
      <c r="BB195" s="690"/>
      <c r="BC195" s="690"/>
      <c r="BD195" s="690"/>
      <c r="BE195" s="690"/>
      <c r="BF195" s="690"/>
      <c r="BG195" s="690"/>
      <c r="BH195" s="690"/>
      <c r="BI195" s="690"/>
      <c r="BJ195" s="690">
        <v>0</v>
      </c>
      <c r="BK195" s="690"/>
      <c r="BL195" s="690">
        <v>3</v>
      </c>
      <c r="BM195" s="41">
        <v>0</v>
      </c>
      <c r="BN195" s="41">
        <v>1</v>
      </c>
      <c r="BO195" s="41">
        <v>4</v>
      </c>
      <c r="BP195" s="41"/>
      <c r="BR195" s="41"/>
      <c r="BS195" s="41"/>
      <c r="BT195" s="41"/>
      <c r="BU195" s="461" t="s">
        <v>549</v>
      </c>
      <c r="BV195" s="2002"/>
      <c r="BW195" s="2002"/>
      <c r="BX195" s="2002"/>
      <c r="BY195" s="2002"/>
      <c r="BZ195" s="2002"/>
      <c r="CA195" s="2002"/>
      <c r="CB195" s="2002"/>
      <c r="CC195" s="2002"/>
      <c r="CD195" s="2002"/>
      <c r="CE195" s="2002"/>
      <c r="CF195" s="2002"/>
      <c r="CG195" s="2002"/>
      <c r="CH195" s="2002"/>
      <c r="CI195" s="2002">
        <v>1</v>
      </c>
      <c r="CJ195" s="2002">
        <v>2</v>
      </c>
      <c r="CK195" s="96">
        <v>1</v>
      </c>
      <c r="CL195" s="96">
        <v>2</v>
      </c>
      <c r="CM195" s="96">
        <v>6</v>
      </c>
      <c r="CN195" s="635">
        <f>+(CM192+CM194)/CM195</f>
        <v>0.33333333333333331</v>
      </c>
      <c r="CR195" s="41"/>
      <c r="CS195" s="41" t="s">
        <v>1233</v>
      </c>
      <c r="CT195" s="1665">
        <v>0</v>
      </c>
      <c r="CU195" s="1665">
        <v>1</v>
      </c>
      <c r="CV195" s="1665">
        <v>0</v>
      </c>
      <c r="CW195" s="1665">
        <v>0</v>
      </c>
      <c r="CX195" s="1665">
        <v>0</v>
      </c>
      <c r="CY195" s="1665">
        <v>0</v>
      </c>
      <c r="CZ195" s="1665">
        <v>0</v>
      </c>
      <c r="DA195" s="1665">
        <v>0</v>
      </c>
      <c r="DB195" s="1665">
        <v>0</v>
      </c>
      <c r="DC195" s="1665">
        <v>0</v>
      </c>
      <c r="DD195" s="1665">
        <v>0</v>
      </c>
      <c r="DE195" s="1665">
        <v>0</v>
      </c>
      <c r="DF195" s="1665">
        <v>0</v>
      </c>
      <c r="DG195" s="1665">
        <v>0</v>
      </c>
      <c r="DH195" s="1665">
        <v>0</v>
      </c>
      <c r="DI195" s="41">
        <v>0</v>
      </c>
      <c r="DJ195" s="41">
        <v>0</v>
      </c>
      <c r="DK195" s="41">
        <v>1</v>
      </c>
      <c r="DL195" s="41"/>
      <c r="DN195" s="1614" t="s">
        <v>1356</v>
      </c>
      <c r="FH195" s="41"/>
      <c r="FI195" s="41"/>
      <c r="FJ195" s="41"/>
      <c r="FK195" s="41"/>
      <c r="FL195" s="41"/>
      <c r="FM195" s="41"/>
      <c r="FN195" s="41"/>
      <c r="FO195" s="41"/>
      <c r="FP195" s="41"/>
      <c r="FQ195" s="41"/>
      <c r="FR195" s="41"/>
      <c r="FS195" s="41"/>
      <c r="FT195" s="41"/>
      <c r="FU195" s="41"/>
      <c r="FV195" s="41"/>
      <c r="FW195" s="41"/>
      <c r="FX195" s="41"/>
      <c r="FY195" s="41"/>
      <c r="FZ195" s="41"/>
      <c r="GA195" s="41"/>
      <c r="GB195" s="41"/>
      <c r="GC195" s="41"/>
      <c r="GD195" s="41"/>
      <c r="GE195" s="41"/>
      <c r="GF195" s="41"/>
      <c r="GG195" s="688"/>
      <c r="GH195" s="688"/>
      <c r="GI195" s="712"/>
      <c r="GJ195" s="713" t="s">
        <v>442</v>
      </c>
      <c r="GK195" s="714"/>
      <c r="GL195" s="714"/>
      <c r="GM195" s="714"/>
      <c r="GN195" s="714"/>
      <c r="GO195" s="467">
        <v>1</v>
      </c>
      <c r="GP195" s="467">
        <v>2</v>
      </c>
      <c r="GQ195" s="467">
        <v>5</v>
      </c>
      <c r="GR195" s="467">
        <v>6</v>
      </c>
      <c r="GS195" s="467">
        <v>7</v>
      </c>
      <c r="GT195" s="467">
        <v>4</v>
      </c>
      <c r="GU195" s="467">
        <v>6</v>
      </c>
      <c r="GV195" s="467">
        <v>1</v>
      </c>
      <c r="GW195" s="467">
        <v>6</v>
      </c>
      <c r="GX195" s="467">
        <v>38</v>
      </c>
      <c r="GY195" s="642">
        <f>+(GX194+GX193+GX191-GV191)/GX195</f>
        <v>0.26315789473684209</v>
      </c>
      <c r="GZ195" s="41"/>
      <c r="HA195" s="41"/>
      <c r="HB195" s="105"/>
      <c r="HC195" s="105"/>
      <c r="HD195" s="105"/>
      <c r="HE195" s="41" t="s">
        <v>1344</v>
      </c>
      <c r="HF195" s="41"/>
      <c r="HG195" s="41">
        <v>0</v>
      </c>
      <c r="HH195" s="41">
        <v>0</v>
      </c>
      <c r="HI195" s="41">
        <v>0</v>
      </c>
      <c r="HJ195" s="41">
        <v>0</v>
      </c>
      <c r="HK195" s="41">
        <v>0</v>
      </c>
      <c r="HL195" s="41">
        <v>1</v>
      </c>
      <c r="HM195" s="41">
        <v>2</v>
      </c>
      <c r="HN195" s="41">
        <v>8</v>
      </c>
      <c r="HO195" s="41">
        <v>2</v>
      </c>
      <c r="HP195" s="41">
        <v>2</v>
      </c>
      <c r="HQ195" s="41">
        <v>10</v>
      </c>
      <c r="HR195" s="41">
        <v>0</v>
      </c>
      <c r="HS195" s="41">
        <v>0</v>
      </c>
      <c r="HT195" s="41">
        <v>0</v>
      </c>
      <c r="HU195" s="41">
        <v>0</v>
      </c>
      <c r="HV195" s="41">
        <v>25</v>
      </c>
      <c r="HW195" s="41"/>
      <c r="HX195" s="41"/>
      <c r="HY195" s="41"/>
      <c r="HZ195" s="41"/>
      <c r="IA195" s="41"/>
      <c r="IB195" s="41"/>
      <c r="IC195" s="41"/>
      <c r="ID195" s="41"/>
      <c r="IE195" s="41"/>
      <c r="IF195" s="41"/>
      <c r="IG195" s="41"/>
      <c r="IH195" s="41"/>
      <c r="II195" s="41"/>
      <c r="IJ195" s="41"/>
      <c r="IK195" s="41"/>
      <c r="IL195" s="41"/>
      <c r="IM195" s="41"/>
      <c r="IN195" s="41"/>
      <c r="IO195" s="41"/>
      <c r="IP195" s="41"/>
      <c r="IQ195" s="41"/>
      <c r="IR195" s="41"/>
      <c r="IS195" s="41"/>
      <c r="IT195" s="41"/>
      <c r="IU195" s="41"/>
    </row>
    <row r="196" spans="2:255" ht="15" thickBot="1">
      <c r="C196" s="32"/>
      <c r="D196" s="32" t="s">
        <v>1235</v>
      </c>
      <c r="E196" s="4607"/>
      <c r="F196" s="4607"/>
      <c r="G196" s="4607">
        <v>0</v>
      </c>
      <c r="H196" s="4607"/>
      <c r="I196" s="4607">
        <v>0</v>
      </c>
      <c r="J196" s="4607"/>
      <c r="K196" s="4607">
        <v>0</v>
      </c>
      <c r="L196" s="4607">
        <v>0</v>
      </c>
      <c r="M196" s="4607"/>
      <c r="N196" s="4607">
        <v>0</v>
      </c>
      <c r="O196" s="4607">
        <v>0</v>
      </c>
      <c r="P196" s="4607">
        <v>1</v>
      </c>
      <c r="Q196" s="4607">
        <v>0</v>
      </c>
      <c r="R196" s="4607">
        <v>0</v>
      </c>
      <c r="S196" s="4583"/>
      <c r="T196" s="4583"/>
      <c r="U196" s="4583">
        <v>1</v>
      </c>
      <c r="V196" s="4583"/>
      <c r="AA196" s="1793" t="s">
        <v>15</v>
      </c>
      <c r="AB196" s="4804">
        <v>0</v>
      </c>
      <c r="AC196" s="4804"/>
      <c r="AD196" s="4804">
        <v>0</v>
      </c>
      <c r="AE196" s="4804"/>
      <c r="AF196" s="4804">
        <v>1</v>
      </c>
      <c r="AG196" s="4804"/>
      <c r="AH196" s="4804">
        <v>1</v>
      </c>
      <c r="AI196" s="4804">
        <v>1</v>
      </c>
      <c r="AJ196" s="4804"/>
      <c r="AK196" s="4804">
        <v>2</v>
      </c>
      <c r="AL196" s="4804">
        <v>1</v>
      </c>
      <c r="AM196" s="4804">
        <v>5</v>
      </c>
      <c r="AN196" s="4804">
        <v>7</v>
      </c>
      <c r="AO196" s="4804"/>
      <c r="AP196" s="4702"/>
      <c r="AQ196" s="4702">
        <v>18</v>
      </c>
      <c r="AR196" s="4703">
        <f>+AQ195/AQ196</f>
        <v>5.5555555555555552E-2</v>
      </c>
      <c r="AT196" s="41"/>
      <c r="AU196" s="41"/>
      <c r="AV196" s="41"/>
      <c r="AW196" s="41" t="s">
        <v>1344</v>
      </c>
      <c r="AX196" s="690"/>
      <c r="AY196" s="690"/>
      <c r="AZ196" s="690"/>
      <c r="BA196" s="690"/>
      <c r="BB196" s="690"/>
      <c r="BC196" s="690"/>
      <c r="BD196" s="690"/>
      <c r="BE196" s="690"/>
      <c r="BF196" s="690"/>
      <c r="BG196" s="690"/>
      <c r="BH196" s="690"/>
      <c r="BI196" s="690"/>
      <c r="BJ196" s="690">
        <v>1</v>
      </c>
      <c r="BK196" s="690"/>
      <c r="BL196" s="690">
        <v>0</v>
      </c>
      <c r="BM196" s="41">
        <v>0</v>
      </c>
      <c r="BN196" s="41">
        <v>0</v>
      </c>
      <c r="BO196" s="41">
        <v>1</v>
      </c>
      <c r="BP196" s="41"/>
      <c r="BR196" s="41"/>
      <c r="BS196" s="41"/>
      <c r="BT196" s="41" t="s">
        <v>260</v>
      </c>
      <c r="BU196" s="41" t="s">
        <v>1230</v>
      </c>
      <c r="BV196" s="2001"/>
      <c r="BW196" s="2001"/>
      <c r="BX196" s="2001"/>
      <c r="BY196" s="2001"/>
      <c r="BZ196" s="2001"/>
      <c r="CA196" s="2001"/>
      <c r="CB196" s="2001"/>
      <c r="CC196" s="2001">
        <v>0</v>
      </c>
      <c r="CD196" s="2001"/>
      <c r="CE196" s="2001">
        <v>0</v>
      </c>
      <c r="CF196" s="2001">
        <v>0</v>
      </c>
      <c r="CG196" s="2001"/>
      <c r="CH196" s="2001"/>
      <c r="CI196" s="2001">
        <v>0</v>
      </c>
      <c r="CJ196" s="2001">
        <v>1</v>
      </c>
      <c r="CK196" s="105">
        <v>0</v>
      </c>
      <c r="CL196" s="105">
        <v>0</v>
      </c>
      <c r="CM196" s="105">
        <v>1</v>
      </c>
      <c r="CN196" s="41"/>
      <c r="CR196" s="41"/>
      <c r="CS196" s="41" t="s">
        <v>1235</v>
      </c>
      <c r="CT196" s="1665">
        <v>0</v>
      </c>
      <c r="CU196" s="1665">
        <v>0</v>
      </c>
      <c r="CV196" s="1665">
        <v>0</v>
      </c>
      <c r="CW196" s="1665">
        <v>0</v>
      </c>
      <c r="CX196" s="1665">
        <v>0</v>
      </c>
      <c r="CY196" s="1665">
        <v>0</v>
      </c>
      <c r="CZ196" s="1665">
        <v>0</v>
      </c>
      <c r="DA196" s="1665">
        <v>0</v>
      </c>
      <c r="DB196" s="1665">
        <v>0</v>
      </c>
      <c r="DC196" s="1665">
        <v>0</v>
      </c>
      <c r="DD196" s="1665">
        <v>0</v>
      </c>
      <c r="DE196" s="1665">
        <v>0</v>
      </c>
      <c r="DF196" s="1665">
        <v>19</v>
      </c>
      <c r="DG196" s="1665">
        <v>21</v>
      </c>
      <c r="DH196" s="1665">
        <v>3</v>
      </c>
      <c r="DI196" s="41">
        <v>2</v>
      </c>
      <c r="DJ196" s="41">
        <v>0</v>
      </c>
      <c r="DK196" s="41">
        <v>45</v>
      </c>
      <c r="DL196" s="41"/>
      <c r="FH196" s="41"/>
      <c r="FI196" s="41"/>
      <c r="FJ196" s="41"/>
      <c r="FK196" s="41"/>
      <c r="FL196" s="41"/>
      <c r="FM196" s="41"/>
      <c r="FN196" s="41"/>
      <c r="FO196" s="41"/>
      <c r="FP196" s="41"/>
      <c r="FQ196" s="41"/>
      <c r="FR196" s="41"/>
      <c r="FS196" s="41"/>
      <c r="FT196" s="41"/>
      <c r="FU196" s="41"/>
      <c r="FV196" s="41"/>
      <c r="FW196" s="41"/>
      <c r="FX196" s="41"/>
      <c r="FY196" s="41"/>
      <c r="FZ196" s="41"/>
      <c r="GA196" s="41"/>
      <c r="GB196" s="41"/>
      <c r="GC196" s="41"/>
      <c r="GD196" s="41"/>
      <c r="GE196" s="41"/>
      <c r="GF196" s="41"/>
      <c r="GG196" s="41"/>
      <c r="GH196" s="41"/>
      <c r="GI196" s="41"/>
      <c r="GJ196" s="41"/>
      <c r="GK196" s="41"/>
      <c r="GL196" s="41"/>
      <c r="GM196" s="41"/>
      <c r="GN196" s="41"/>
      <c r="GO196" s="41"/>
      <c r="GP196" s="41"/>
      <c r="GQ196" s="41"/>
      <c r="GR196" s="41"/>
      <c r="GS196" s="41"/>
      <c r="GT196" s="41"/>
      <c r="GU196" s="41"/>
      <c r="GV196" s="41"/>
      <c r="GW196" s="41"/>
      <c r="GX196" s="41"/>
      <c r="GY196" s="41"/>
      <c r="GZ196" s="41"/>
      <c r="HA196" s="41"/>
      <c r="HB196" s="464"/>
      <c r="HC196" s="464"/>
      <c r="HD196" s="464"/>
      <c r="HE196" s="465" t="s">
        <v>15</v>
      </c>
      <c r="HF196" s="465"/>
      <c r="HG196" s="465">
        <v>2</v>
      </c>
      <c r="HH196" s="465">
        <v>3</v>
      </c>
      <c r="HI196" s="465">
        <v>3</v>
      </c>
      <c r="HJ196" s="465">
        <v>1</v>
      </c>
      <c r="HK196" s="465">
        <v>1</v>
      </c>
      <c r="HL196" s="465">
        <v>1</v>
      </c>
      <c r="HM196" s="465">
        <v>5</v>
      </c>
      <c r="HN196" s="465">
        <v>27</v>
      </c>
      <c r="HO196" s="465">
        <v>10</v>
      </c>
      <c r="HP196" s="465">
        <v>14</v>
      </c>
      <c r="HQ196" s="465">
        <v>40</v>
      </c>
      <c r="HR196" s="465">
        <v>7</v>
      </c>
      <c r="HS196" s="465">
        <v>3</v>
      </c>
      <c r="HT196" s="465">
        <v>5</v>
      </c>
      <c r="HU196" s="465">
        <v>8</v>
      </c>
      <c r="HV196" s="465">
        <v>130</v>
      </c>
      <c r="HW196" s="736">
        <f>+(HV192+HV194+HV195)/HV196</f>
        <v>0.27692307692307694</v>
      </c>
      <c r="HX196" s="41"/>
      <c r="HY196" s="41"/>
      <c r="HZ196" s="41"/>
      <c r="IA196" s="41"/>
      <c r="IB196" s="41"/>
      <c r="IC196" s="41"/>
      <c r="ID196" s="41"/>
      <c r="IE196" s="41"/>
      <c r="IF196" s="41"/>
      <c r="IG196" s="41"/>
      <c r="IH196" s="41"/>
      <c r="II196" s="41"/>
      <c r="IJ196" s="41"/>
      <c r="IK196" s="41"/>
      <c r="IL196" s="41"/>
      <c r="IM196" s="41"/>
      <c r="IN196" s="41"/>
      <c r="IO196" s="41"/>
      <c r="IP196" s="41"/>
      <c r="IQ196" s="41"/>
      <c r="IR196" s="41"/>
      <c r="IS196" s="41"/>
      <c r="IT196" s="41"/>
      <c r="IU196" s="41"/>
    </row>
    <row r="197" spans="2:255">
      <c r="C197" s="32"/>
      <c r="D197" s="32" t="s">
        <v>1236</v>
      </c>
      <c r="E197" s="4607"/>
      <c r="F197" s="4607"/>
      <c r="G197" s="4607">
        <v>0</v>
      </c>
      <c r="H197" s="4607"/>
      <c r="I197" s="4607">
        <v>1</v>
      </c>
      <c r="J197" s="4607"/>
      <c r="K197" s="4607">
        <v>0</v>
      </c>
      <c r="L197" s="4607">
        <v>1</v>
      </c>
      <c r="M197" s="4607"/>
      <c r="N197" s="4607">
        <v>0</v>
      </c>
      <c r="O197" s="4607">
        <v>0</v>
      </c>
      <c r="P197" s="4607">
        <v>0</v>
      </c>
      <c r="Q197" s="4607">
        <v>0</v>
      </c>
      <c r="R197" s="4607">
        <v>0</v>
      </c>
      <c r="S197" s="4583"/>
      <c r="T197" s="4583"/>
      <c r="U197" s="4583">
        <v>2</v>
      </c>
      <c r="V197" s="4583"/>
      <c r="Z197" s="1793" t="s">
        <v>545</v>
      </c>
      <c r="AA197" s="1793" t="s">
        <v>1230</v>
      </c>
      <c r="AB197" s="4804">
        <v>0</v>
      </c>
      <c r="AC197" s="4804"/>
      <c r="AD197" s="4804">
        <v>0</v>
      </c>
      <c r="AE197" s="4804"/>
      <c r="AF197" s="4804">
        <v>0</v>
      </c>
      <c r="AG197" s="4804"/>
      <c r="AH197" s="4804">
        <v>0</v>
      </c>
      <c r="AI197" s="4804">
        <v>0</v>
      </c>
      <c r="AJ197" s="4804"/>
      <c r="AK197" s="4804">
        <v>0</v>
      </c>
      <c r="AL197" s="4804">
        <v>0</v>
      </c>
      <c r="AM197" s="4804">
        <v>0</v>
      </c>
      <c r="AN197" s="4804">
        <v>1</v>
      </c>
      <c r="AO197" s="4804"/>
      <c r="AP197" s="4702"/>
      <c r="AQ197" s="4702">
        <v>1</v>
      </c>
      <c r="AR197" s="1793"/>
      <c r="AT197" s="41"/>
      <c r="AU197" s="41"/>
      <c r="AV197" s="41"/>
      <c r="AW197" s="461" t="s">
        <v>15</v>
      </c>
      <c r="AX197" s="2489"/>
      <c r="AY197" s="2489"/>
      <c r="AZ197" s="2489"/>
      <c r="BA197" s="2489"/>
      <c r="BB197" s="2489"/>
      <c r="BC197" s="2489"/>
      <c r="BD197" s="2489"/>
      <c r="BE197" s="2489"/>
      <c r="BF197" s="2489"/>
      <c r="BG197" s="2489"/>
      <c r="BH197" s="2489"/>
      <c r="BI197" s="2489"/>
      <c r="BJ197" s="2489">
        <v>2</v>
      </c>
      <c r="BK197" s="2489"/>
      <c r="BL197" s="2489">
        <v>3</v>
      </c>
      <c r="BM197" s="461">
        <v>1</v>
      </c>
      <c r="BN197" s="461">
        <v>1</v>
      </c>
      <c r="BO197" s="461">
        <v>7</v>
      </c>
      <c r="BP197" s="635">
        <f>+BO196/BO197</f>
        <v>0.14285714285714285</v>
      </c>
      <c r="BQ197" s="1977"/>
      <c r="BR197" s="41"/>
      <c r="BS197" s="41"/>
      <c r="BT197" s="41"/>
      <c r="BU197" s="41" t="s">
        <v>1231</v>
      </c>
      <c r="BV197" s="2001"/>
      <c r="BW197" s="2001"/>
      <c r="BX197" s="2001"/>
      <c r="BY197" s="2001"/>
      <c r="BZ197" s="2001"/>
      <c r="CA197" s="2001"/>
      <c r="CB197" s="2001"/>
      <c r="CC197" s="2001">
        <v>0</v>
      </c>
      <c r="CD197" s="2001"/>
      <c r="CE197" s="2001">
        <v>6</v>
      </c>
      <c r="CF197" s="2001">
        <v>1</v>
      </c>
      <c r="CG197" s="2001"/>
      <c r="CH197" s="2001"/>
      <c r="CI197" s="2001">
        <v>0</v>
      </c>
      <c r="CJ197" s="2001">
        <v>0</v>
      </c>
      <c r="CK197" s="105">
        <v>0</v>
      </c>
      <c r="CL197" s="105">
        <v>0</v>
      </c>
      <c r="CM197" s="105">
        <v>7</v>
      </c>
      <c r="CN197" s="41"/>
      <c r="CR197" s="41"/>
      <c r="CS197" s="41" t="s">
        <v>1236</v>
      </c>
      <c r="CT197" s="1665">
        <v>0</v>
      </c>
      <c r="CU197" s="1665">
        <v>3</v>
      </c>
      <c r="CV197" s="1665">
        <v>0</v>
      </c>
      <c r="CW197" s="1665">
        <v>1</v>
      </c>
      <c r="CX197" s="1665">
        <v>1</v>
      </c>
      <c r="CY197" s="1665">
        <v>0</v>
      </c>
      <c r="CZ197" s="1665">
        <v>1</v>
      </c>
      <c r="DA197" s="1665">
        <v>0</v>
      </c>
      <c r="DB197" s="1665">
        <v>0</v>
      </c>
      <c r="DC197" s="1665">
        <v>2</v>
      </c>
      <c r="DD197" s="1665">
        <v>0</v>
      </c>
      <c r="DE197" s="1665">
        <v>0</v>
      </c>
      <c r="DF197" s="1665">
        <v>0</v>
      </c>
      <c r="DG197" s="1665">
        <v>1</v>
      </c>
      <c r="DH197" s="1665">
        <v>0</v>
      </c>
      <c r="DI197" s="41">
        <v>0</v>
      </c>
      <c r="DJ197" s="41">
        <v>0</v>
      </c>
      <c r="DK197" s="41">
        <v>9</v>
      </c>
      <c r="DL197" s="41"/>
      <c r="FH197" s="41"/>
      <c r="FI197" s="41"/>
      <c r="FJ197" s="41"/>
      <c r="FK197" s="41"/>
      <c r="FL197" s="41"/>
      <c r="FM197" s="41"/>
      <c r="FN197" s="41"/>
      <c r="FO197" s="41"/>
      <c r="FP197" s="41"/>
      <c r="FQ197" s="41"/>
      <c r="FR197" s="41"/>
      <c r="FS197" s="41"/>
      <c r="FT197" s="41"/>
      <c r="FU197" s="41"/>
      <c r="FV197" s="41"/>
      <c r="FW197" s="41"/>
      <c r="FX197" s="41"/>
      <c r="FY197" s="41"/>
      <c r="FZ197" s="41"/>
      <c r="GA197" s="41"/>
      <c r="GB197" s="41"/>
      <c r="GC197" s="41"/>
      <c r="GD197" s="41"/>
      <c r="GE197" s="41"/>
      <c r="GF197" s="41"/>
      <c r="GG197" s="41"/>
      <c r="GH197" s="41"/>
      <c r="GI197" s="41"/>
      <c r="GJ197" s="41"/>
      <c r="GK197" s="41"/>
      <c r="GL197" s="41"/>
      <c r="GM197" s="41"/>
      <c r="GN197" s="41"/>
      <c r="GO197" s="41"/>
      <c r="GP197" s="41"/>
      <c r="GQ197" s="41"/>
      <c r="GR197" s="41"/>
      <c r="GS197" s="41"/>
      <c r="GT197" s="41"/>
      <c r="GU197" s="41"/>
      <c r="GV197" s="41"/>
      <c r="GW197" s="41"/>
      <c r="GX197" s="41"/>
      <c r="GY197" s="41"/>
      <c r="GZ197" s="41"/>
      <c r="HA197" s="41"/>
      <c r="HB197" s="105"/>
      <c r="HC197" s="105"/>
      <c r="HD197" s="41"/>
      <c r="HE197" s="41"/>
      <c r="HF197" s="41"/>
      <c r="HG197" s="41"/>
      <c r="HH197" s="41"/>
      <c r="HI197" s="41"/>
      <c r="HJ197" s="41"/>
      <c r="HK197" s="41"/>
      <c r="HL197" s="41"/>
      <c r="HM197" s="41"/>
      <c r="HN197" s="41"/>
      <c r="HO197" s="41"/>
      <c r="HP197" s="41"/>
      <c r="HQ197" s="41"/>
      <c r="HR197" s="41"/>
      <c r="HS197" s="41"/>
      <c r="HT197" s="41"/>
      <c r="HU197" s="41"/>
      <c r="HV197" s="41"/>
      <c r="HW197" s="41"/>
      <c r="HX197" s="41"/>
      <c r="HY197" s="41"/>
      <c r="HZ197" s="41"/>
      <c r="IA197" s="41"/>
      <c r="IB197" s="41"/>
      <c r="IC197" s="41"/>
      <c r="ID197" s="41"/>
      <c r="IE197" s="41"/>
      <c r="IF197" s="41"/>
      <c r="IG197" s="41"/>
      <c r="IH197" s="41"/>
      <c r="II197" s="41"/>
      <c r="IJ197" s="41"/>
      <c r="IK197" s="41"/>
      <c r="IL197" s="41"/>
      <c r="IM197" s="41"/>
      <c r="IN197" s="41"/>
      <c r="IO197" s="41"/>
      <c r="IP197" s="41"/>
      <c r="IQ197" s="41"/>
      <c r="IR197" s="41"/>
      <c r="IS197" s="41"/>
      <c r="IT197" s="41"/>
      <c r="IU197" s="41"/>
    </row>
    <row r="198" spans="2:255">
      <c r="C198" s="32"/>
      <c r="D198" s="32" t="s">
        <v>1239</v>
      </c>
      <c r="E198" s="4607"/>
      <c r="F198" s="4607"/>
      <c r="G198" s="4607">
        <v>0</v>
      </c>
      <c r="H198" s="4607"/>
      <c r="I198" s="4607">
        <v>0</v>
      </c>
      <c r="J198" s="4607"/>
      <c r="K198" s="4607">
        <v>0</v>
      </c>
      <c r="L198" s="4607">
        <v>0</v>
      </c>
      <c r="M198" s="4607"/>
      <c r="N198" s="4607">
        <v>0</v>
      </c>
      <c r="O198" s="4607">
        <v>0</v>
      </c>
      <c r="P198" s="4607">
        <v>0</v>
      </c>
      <c r="Q198" s="4607">
        <v>3</v>
      </c>
      <c r="R198" s="4607">
        <v>4</v>
      </c>
      <c r="S198" s="4583"/>
      <c r="T198" s="4583"/>
      <c r="U198" s="4583">
        <v>7</v>
      </c>
      <c r="V198" s="4583"/>
      <c r="Z198" s="1793"/>
      <c r="AA198" s="1793" t="s">
        <v>1231</v>
      </c>
      <c r="AB198" s="4804">
        <v>0</v>
      </c>
      <c r="AC198" s="4804"/>
      <c r="AD198" s="4804">
        <v>0</v>
      </c>
      <c r="AE198" s="4804"/>
      <c r="AF198" s="4804">
        <v>0</v>
      </c>
      <c r="AG198" s="4804"/>
      <c r="AH198" s="4804">
        <v>1</v>
      </c>
      <c r="AI198" s="4804">
        <v>0</v>
      </c>
      <c r="AJ198" s="4804"/>
      <c r="AK198" s="4804">
        <v>2</v>
      </c>
      <c r="AL198" s="4804">
        <v>1</v>
      </c>
      <c r="AM198" s="4804">
        <v>4</v>
      </c>
      <c r="AN198" s="4804">
        <v>0</v>
      </c>
      <c r="AO198" s="4804"/>
      <c r="AP198" s="4702"/>
      <c r="AQ198" s="4702">
        <v>8</v>
      </c>
      <c r="AR198" s="1793"/>
      <c r="AT198" s="41"/>
      <c r="AU198" s="41"/>
      <c r="AV198" s="461" t="s">
        <v>547</v>
      </c>
      <c r="AW198" s="461" t="s">
        <v>1231</v>
      </c>
      <c r="AX198" s="2489"/>
      <c r="AY198" s="2489"/>
      <c r="AZ198" s="2489"/>
      <c r="BA198" s="2489"/>
      <c r="BB198" s="2489">
        <v>1</v>
      </c>
      <c r="BC198" s="2489"/>
      <c r="BD198" s="2489"/>
      <c r="BE198" s="2489"/>
      <c r="BF198" s="2489"/>
      <c r="BG198" s="2489">
        <v>4</v>
      </c>
      <c r="BH198" s="2489">
        <v>1</v>
      </c>
      <c r="BI198" s="2489"/>
      <c r="BJ198" s="2489">
        <v>2</v>
      </c>
      <c r="BK198" s="2489">
        <v>0</v>
      </c>
      <c r="BL198" s="2489">
        <v>0</v>
      </c>
      <c r="BM198" s="461">
        <v>1</v>
      </c>
      <c r="BN198" s="461">
        <v>0</v>
      </c>
      <c r="BO198" s="461">
        <v>9</v>
      </c>
      <c r="BP198" s="41"/>
      <c r="BR198" s="41"/>
      <c r="BS198" s="41"/>
      <c r="BT198" s="41"/>
      <c r="BU198" s="41" t="s">
        <v>1233</v>
      </c>
      <c r="BV198" s="2001"/>
      <c r="BW198" s="2001"/>
      <c r="BX198" s="2001"/>
      <c r="BY198" s="2001"/>
      <c r="BZ198" s="2001"/>
      <c r="CA198" s="2001"/>
      <c r="CB198" s="2001"/>
      <c r="CC198" s="2001">
        <v>1</v>
      </c>
      <c r="CD198" s="2001"/>
      <c r="CE198" s="2001">
        <v>0</v>
      </c>
      <c r="CF198" s="2001">
        <v>0</v>
      </c>
      <c r="CG198" s="2001"/>
      <c r="CH198" s="2001"/>
      <c r="CI198" s="2001">
        <v>0</v>
      </c>
      <c r="CJ198" s="2001">
        <v>0</v>
      </c>
      <c r="CK198" s="105">
        <v>0</v>
      </c>
      <c r="CL198" s="105">
        <v>0</v>
      </c>
      <c r="CM198" s="105">
        <v>1</v>
      </c>
      <c r="CN198" s="41"/>
      <c r="CR198" s="41"/>
      <c r="CS198" s="41" t="s">
        <v>1239</v>
      </c>
      <c r="CT198" s="1665">
        <v>0</v>
      </c>
      <c r="CU198" s="1665">
        <v>0</v>
      </c>
      <c r="CV198" s="1665">
        <v>0</v>
      </c>
      <c r="CW198" s="1665">
        <v>0</v>
      </c>
      <c r="CX198" s="1665">
        <v>0</v>
      </c>
      <c r="CY198" s="1665">
        <v>0</v>
      </c>
      <c r="CZ198" s="1665">
        <v>0</v>
      </c>
      <c r="DA198" s="1665">
        <v>1</v>
      </c>
      <c r="DB198" s="1665">
        <v>0</v>
      </c>
      <c r="DC198" s="1665">
        <v>0</v>
      </c>
      <c r="DD198" s="1665">
        <v>1</v>
      </c>
      <c r="DE198" s="1665">
        <v>0</v>
      </c>
      <c r="DF198" s="1665">
        <v>1</v>
      </c>
      <c r="DG198" s="1665">
        <v>2</v>
      </c>
      <c r="DH198" s="1665">
        <v>46</v>
      </c>
      <c r="DI198" s="41">
        <v>11</v>
      </c>
      <c r="DJ198" s="41">
        <v>25</v>
      </c>
      <c r="DK198" s="41">
        <v>87</v>
      </c>
      <c r="DL198" s="41"/>
      <c r="FH198" s="41"/>
      <c r="FI198" s="41"/>
      <c r="FJ198" s="41"/>
      <c r="FK198" s="41"/>
      <c r="FL198" s="41"/>
      <c r="FM198" s="41"/>
      <c r="FN198" s="41"/>
      <c r="FO198" s="41"/>
      <c r="FP198" s="41"/>
      <c r="FQ198" s="41"/>
      <c r="FR198" s="41"/>
      <c r="FS198" s="41"/>
      <c r="FT198" s="41"/>
      <c r="FU198" s="41"/>
      <c r="FV198" s="41"/>
      <c r="FW198" s="41"/>
      <c r="FX198" s="41"/>
      <c r="FY198" s="41"/>
      <c r="FZ198" s="41"/>
      <c r="GA198" s="41"/>
      <c r="GB198" s="41"/>
      <c r="GC198" s="41"/>
      <c r="GD198" s="41"/>
      <c r="GE198" s="41"/>
      <c r="GF198" s="41"/>
      <c r="GG198" s="41"/>
      <c r="GH198" s="41"/>
      <c r="GI198" s="41"/>
      <c r="GJ198" s="41"/>
      <c r="GK198" s="41"/>
      <c r="GL198" s="41"/>
      <c r="GM198" s="41"/>
      <c r="GN198" s="41"/>
      <c r="GO198" s="41"/>
      <c r="GP198" s="41"/>
      <c r="GQ198" s="41"/>
      <c r="GR198" s="41"/>
      <c r="GS198" s="41"/>
      <c r="GT198" s="41"/>
      <c r="GU198" s="41"/>
      <c r="GV198" s="41"/>
      <c r="GW198" s="41"/>
      <c r="GX198" s="41"/>
      <c r="GY198" s="41"/>
      <c r="GZ198" s="41"/>
      <c r="HA198" s="41"/>
      <c r="HB198" s="105"/>
      <c r="HC198" s="105"/>
      <c r="HD198" s="41"/>
      <c r="HE198" s="41"/>
      <c r="HF198" s="41"/>
      <c r="HG198" s="41"/>
      <c r="HH198" s="41"/>
      <c r="HI198" s="41"/>
      <c r="HJ198" s="41"/>
      <c r="HK198" s="41"/>
      <c r="HL198" s="41"/>
      <c r="HM198" s="41"/>
      <c r="HN198" s="41"/>
      <c r="HO198" s="41"/>
      <c r="HP198" s="41"/>
      <c r="HQ198" s="41"/>
      <c r="HR198" s="41"/>
      <c r="HS198" s="41"/>
      <c r="HT198" s="41"/>
      <c r="HU198" s="41"/>
      <c r="HV198" s="41"/>
      <c r="HW198" s="41"/>
      <c r="HX198" s="41"/>
      <c r="HY198" s="41"/>
      <c r="HZ198" s="41"/>
      <c r="IA198" s="41"/>
      <c r="IB198" s="41"/>
      <c r="IC198" s="41"/>
      <c r="ID198" s="41"/>
      <c r="IE198" s="41"/>
      <c r="IF198" s="41"/>
      <c r="IG198" s="41"/>
      <c r="IH198" s="41"/>
      <c r="II198" s="41"/>
      <c r="IJ198" s="41"/>
      <c r="IK198" s="41"/>
      <c r="IL198" s="41"/>
      <c r="IM198" s="41"/>
      <c r="IN198" s="41"/>
      <c r="IO198" s="41"/>
      <c r="IP198" s="41"/>
      <c r="IQ198" s="41"/>
      <c r="IR198" s="41"/>
      <c r="IS198" s="41"/>
      <c r="IT198" s="41"/>
      <c r="IU198" s="41"/>
    </row>
    <row r="199" spans="2:255">
      <c r="C199" s="32"/>
      <c r="D199" s="32" t="s">
        <v>1240</v>
      </c>
      <c r="E199" s="4607"/>
      <c r="F199" s="4607"/>
      <c r="G199" s="4607">
        <v>0</v>
      </c>
      <c r="H199" s="4607"/>
      <c r="I199" s="4607">
        <v>0</v>
      </c>
      <c r="J199" s="4607"/>
      <c r="K199" s="4607">
        <v>0</v>
      </c>
      <c r="L199" s="4607">
        <v>0</v>
      </c>
      <c r="M199" s="4607"/>
      <c r="N199" s="4607">
        <v>1</v>
      </c>
      <c r="O199" s="4607">
        <v>0</v>
      </c>
      <c r="P199" s="4607">
        <v>0</v>
      </c>
      <c r="Q199" s="4607">
        <v>0</v>
      </c>
      <c r="R199" s="4607">
        <v>0</v>
      </c>
      <c r="S199" s="4583"/>
      <c r="T199" s="4583"/>
      <c r="U199" s="4583">
        <v>1</v>
      </c>
      <c r="V199" s="4583"/>
      <c r="Z199" s="1793"/>
      <c r="AA199" s="1793" t="s">
        <v>1236</v>
      </c>
      <c r="AB199" s="4804">
        <v>0</v>
      </c>
      <c r="AC199" s="4804"/>
      <c r="AD199" s="4804">
        <v>0</v>
      </c>
      <c r="AE199" s="4804"/>
      <c r="AF199" s="4804">
        <v>1</v>
      </c>
      <c r="AG199" s="4804"/>
      <c r="AH199" s="4804">
        <v>0</v>
      </c>
      <c r="AI199" s="4804">
        <v>1</v>
      </c>
      <c r="AJ199" s="4804"/>
      <c r="AK199" s="4804">
        <v>0</v>
      </c>
      <c r="AL199" s="4804">
        <v>0</v>
      </c>
      <c r="AM199" s="4804">
        <v>0</v>
      </c>
      <c r="AN199" s="4804">
        <v>0</v>
      </c>
      <c r="AO199" s="4804"/>
      <c r="AP199" s="4702"/>
      <c r="AQ199" s="4702">
        <v>2</v>
      </c>
      <c r="AR199" s="1793"/>
      <c r="AT199" s="41"/>
      <c r="AU199" s="41"/>
      <c r="AV199" s="461"/>
      <c r="AW199" s="461" t="s">
        <v>1235</v>
      </c>
      <c r="AX199" s="2489"/>
      <c r="AY199" s="2489"/>
      <c r="AZ199" s="2489"/>
      <c r="BA199" s="2489"/>
      <c r="BB199" s="2489">
        <v>0</v>
      </c>
      <c r="BC199" s="2489"/>
      <c r="BD199" s="2489"/>
      <c r="BE199" s="2489"/>
      <c r="BF199" s="2489"/>
      <c r="BG199" s="2489">
        <v>2</v>
      </c>
      <c r="BH199" s="2489">
        <v>0</v>
      </c>
      <c r="BI199" s="2489"/>
      <c r="BJ199" s="2489">
        <v>1</v>
      </c>
      <c r="BK199" s="2489">
        <v>0</v>
      </c>
      <c r="BL199" s="2489">
        <v>0</v>
      </c>
      <c r="BM199" s="461">
        <v>0</v>
      </c>
      <c r="BN199" s="461">
        <v>0</v>
      </c>
      <c r="BO199" s="461">
        <v>3</v>
      </c>
      <c r="BP199" s="41"/>
      <c r="BR199" s="41"/>
      <c r="BS199" s="41"/>
      <c r="BT199" s="41"/>
      <c r="BU199" s="41" t="s">
        <v>1235</v>
      </c>
      <c r="BV199" s="2001"/>
      <c r="BW199" s="2001"/>
      <c r="BX199" s="2001"/>
      <c r="BY199" s="2001"/>
      <c r="BZ199" s="2001"/>
      <c r="CA199" s="2001"/>
      <c r="CB199" s="2001"/>
      <c r="CC199" s="2001">
        <v>0</v>
      </c>
      <c r="CD199" s="2001"/>
      <c r="CE199" s="2001">
        <v>1</v>
      </c>
      <c r="CF199" s="2001">
        <v>0</v>
      </c>
      <c r="CG199" s="2001"/>
      <c r="CH199" s="2001"/>
      <c r="CI199" s="2001">
        <v>1</v>
      </c>
      <c r="CJ199" s="2001">
        <v>0</v>
      </c>
      <c r="CK199" s="105">
        <v>0</v>
      </c>
      <c r="CL199" s="105">
        <v>0</v>
      </c>
      <c r="CM199" s="105">
        <v>2</v>
      </c>
      <c r="CN199" s="41"/>
      <c r="CR199" s="41"/>
      <c r="CS199" s="41" t="s">
        <v>1240</v>
      </c>
      <c r="CT199" s="1665">
        <v>0</v>
      </c>
      <c r="CU199" s="1665">
        <v>0</v>
      </c>
      <c r="CV199" s="1665">
        <v>0</v>
      </c>
      <c r="CW199" s="1665">
        <v>0</v>
      </c>
      <c r="CX199" s="1665">
        <v>0</v>
      </c>
      <c r="CY199" s="1665">
        <v>0</v>
      </c>
      <c r="CZ199" s="1665">
        <v>0</v>
      </c>
      <c r="DA199" s="1665">
        <v>0</v>
      </c>
      <c r="DB199" s="1665">
        <v>0</v>
      </c>
      <c r="DC199" s="1665">
        <v>2</v>
      </c>
      <c r="DD199" s="1665">
        <v>1</v>
      </c>
      <c r="DE199" s="1665">
        <v>2</v>
      </c>
      <c r="DF199" s="1665">
        <v>1</v>
      </c>
      <c r="DG199" s="1665">
        <v>1</v>
      </c>
      <c r="DH199" s="1665">
        <v>1</v>
      </c>
      <c r="DI199" s="41">
        <v>0</v>
      </c>
      <c r="DJ199" s="41">
        <v>0</v>
      </c>
      <c r="DK199" s="41">
        <v>8</v>
      </c>
      <c r="DL199" s="41"/>
      <c r="FH199" s="41"/>
      <c r="FI199" s="41"/>
      <c r="FJ199" s="41"/>
      <c r="FK199" s="41"/>
      <c r="FL199" s="41"/>
      <c r="FM199" s="41"/>
      <c r="FN199" s="41"/>
      <c r="FO199" s="41"/>
      <c r="FP199" s="41"/>
      <c r="FQ199" s="41"/>
      <c r="FR199" s="41"/>
      <c r="FS199" s="41"/>
      <c r="FT199" s="41"/>
      <c r="FU199" s="41"/>
      <c r="FV199" s="41"/>
      <c r="FW199" s="41"/>
      <c r="FX199" s="41"/>
      <c r="FY199" s="41"/>
      <c r="FZ199" s="41"/>
      <c r="GA199" s="41"/>
      <c r="GB199" s="41"/>
      <c r="GC199" s="41"/>
      <c r="GD199" s="41"/>
      <c r="GE199" s="41"/>
      <c r="GF199" s="41"/>
      <c r="GG199" s="41"/>
      <c r="GH199" s="41"/>
      <c r="GI199" s="41"/>
      <c r="GJ199" s="41"/>
      <c r="GK199" s="41"/>
      <c r="GL199" s="41"/>
      <c r="GM199" s="41"/>
      <c r="GN199" s="41"/>
      <c r="GO199" s="41"/>
      <c r="GP199" s="41"/>
      <c r="GQ199" s="41"/>
      <c r="GR199" s="41"/>
      <c r="GS199" s="41"/>
      <c r="GT199" s="41"/>
      <c r="GU199" s="41"/>
      <c r="GV199" s="41"/>
      <c r="GW199" s="41"/>
      <c r="GX199" s="41"/>
      <c r="GY199" s="41"/>
      <c r="GZ199" s="41"/>
      <c r="HA199" s="41"/>
      <c r="HB199" s="105"/>
      <c r="HC199" s="105"/>
      <c r="HD199" s="41"/>
      <c r="HE199" s="41"/>
      <c r="HF199" s="41"/>
      <c r="HG199" s="41"/>
      <c r="HH199" s="41"/>
      <c r="HI199" s="41"/>
      <c r="HJ199" s="41"/>
      <c r="HK199" s="41"/>
      <c r="HL199" s="41"/>
      <c r="HM199" s="41"/>
      <c r="HN199" s="41"/>
      <c r="HO199" s="41"/>
      <c r="HP199" s="41"/>
      <c r="HQ199" s="41"/>
      <c r="HR199" s="41"/>
      <c r="HS199" s="41"/>
      <c r="HT199" s="41"/>
      <c r="HU199" s="41"/>
      <c r="HV199" s="41"/>
      <c r="HW199" s="41"/>
      <c r="HX199" s="41"/>
      <c r="HY199" s="41"/>
      <c r="HZ199" s="41"/>
      <c r="IA199" s="41"/>
      <c r="IB199" s="41"/>
      <c r="IC199" s="41"/>
      <c r="ID199" s="41"/>
      <c r="IE199" s="41"/>
      <c r="IF199" s="41"/>
      <c r="IG199" s="41"/>
      <c r="IH199" s="41"/>
      <c r="II199" s="41"/>
      <c r="IJ199" s="41"/>
      <c r="IK199" s="41"/>
      <c r="IL199" s="41"/>
      <c r="IM199" s="41"/>
      <c r="IN199" s="41"/>
      <c r="IO199" s="41"/>
      <c r="IP199" s="41"/>
      <c r="IQ199" s="41"/>
      <c r="IR199" s="41"/>
      <c r="IS199" s="41"/>
      <c r="IT199" s="41"/>
      <c r="IU199" s="41"/>
    </row>
    <row r="200" spans="2:255">
      <c r="C200" s="32"/>
      <c r="D200" s="4800" t="s">
        <v>15</v>
      </c>
      <c r="E200" s="4607"/>
      <c r="F200" s="4607"/>
      <c r="G200" s="4607">
        <v>0</v>
      </c>
      <c r="H200" s="4607"/>
      <c r="I200" s="4607">
        <v>1</v>
      </c>
      <c r="J200" s="4607"/>
      <c r="K200" s="4607">
        <v>1</v>
      </c>
      <c r="L200" s="4607">
        <v>1</v>
      </c>
      <c r="M200" s="4607"/>
      <c r="N200" s="4607">
        <v>2</v>
      </c>
      <c r="O200" s="4607">
        <v>1</v>
      </c>
      <c r="P200" s="4607">
        <v>5</v>
      </c>
      <c r="Q200" s="4607">
        <v>3</v>
      </c>
      <c r="R200" s="4607">
        <v>4</v>
      </c>
      <c r="S200" s="4583"/>
      <c r="T200" s="4583"/>
      <c r="U200" s="4583">
        <v>18</v>
      </c>
      <c r="V200" s="1977">
        <f>+(U196+U198+U199)/(U200)</f>
        <v>0.5</v>
      </c>
      <c r="Z200" s="1793"/>
      <c r="AA200" s="1793" t="s">
        <v>1239</v>
      </c>
      <c r="AB200" s="4804">
        <v>0</v>
      </c>
      <c r="AC200" s="4804"/>
      <c r="AD200" s="4804">
        <v>0</v>
      </c>
      <c r="AE200" s="4804"/>
      <c r="AF200" s="4804">
        <v>0</v>
      </c>
      <c r="AG200" s="4804"/>
      <c r="AH200" s="4804">
        <v>0</v>
      </c>
      <c r="AI200" s="4804">
        <v>0</v>
      </c>
      <c r="AJ200" s="4804"/>
      <c r="AK200" s="4804">
        <v>0</v>
      </c>
      <c r="AL200" s="4804">
        <v>0</v>
      </c>
      <c r="AM200" s="4804">
        <v>0</v>
      </c>
      <c r="AN200" s="4804">
        <v>6</v>
      </c>
      <c r="AO200" s="4804"/>
      <c r="AP200" s="4702"/>
      <c r="AQ200" s="4702">
        <v>6</v>
      </c>
      <c r="AR200" s="1793"/>
      <c r="AT200" s="41"/>
      <c r="AU200" s="41"/>
      <c r="AV200" s="461"/>
      <c r="AW200" s="461" t="s">
        <v>1239</v>
      </c>
      <c r="AX200" s="2489"/>
      <c r="AY200" s="2489"/>
      <c r="AZ200" s="2489"/>
      <c r="BA200" s="2489"/>
      <c r="BB200" s="2489">
        <v>0</v>
      </c>
      <c r="BC200" s="2489"/>
      <c r="BD200" s="2489"/>
      <c r="BE200" s="2489"/>
      <c r="BF200" s="2489"/>
      <c r="BG200" s="2489">
        <v>0</v>
      </c>
      <c r="BH200" s="2489">
        <v>0</v>
      </c>
      <c r="BI200" s="2489"/>
      <c r="BJ200" s="2489">
        <v>0</v>
      </c>
      <c r="BK200" s="2489">
        <v>0</v>
      </c>
      <c r="BL200" s="2489">
        <v>6</v>
      </c>
      <c r="BM200" s="461">
        <v>0</v>
      </c>
      <c r="BN200" s="461">
        <v>4</v>
      </c>
      <c r="BO200" s="461">
        <v>10</v>
      </c>
      <c r="BP200" s="41"/>
      <c r="BR200" s="41"/>
      <c r="BS200" s="41"/>
      <c r="BT200" s="41"/>
      <c r="BU200" s="41" t="s">
        <v>1239</v>
      </c>
      <c r="BV200" s="2001"/>
      <c r="BW200" s="2001"/>
      <c r="BX200" s="2001"/>
      <c r="BY200" s="2001"/>
      <c r="BZ200" s="2001"/>
      <c r="CA200" s="2001"/>
      <c r="CB200" s="2001"/>
      <c r="CC200" s="2001">
        <v>0</v>
      </c>
      <c r="CD200" s="2001"/>
      <c r="CE200" s="2001">
        <v>0</v>
      </c>
      <c r="CF200" s="2001">
        <v>0</v>
      </c>
      <c r="CG200" s="2001"/>
      <c r="CH200" s="2001"/>
      <c r="CI200" s="2001">
        <v>0</v>
      </c>
      <c r="CJ200" s="2001">
        <v>2</v>
      </c>
      <c r="CK200" s="105">
        <v>1</v>
      </c>
      <c r="CL200" s="105">
        <v>2</v>
      </c>
      <c r="CM200" s="105">
        <v>5</v>
      </c>
      <c r="CN200" s="41"/>
      <c r="CR200" s="41"/>
      <c r="CS200" s="41" t="s">
        <v>1344</v>
      </c>
      <c r="CT200" s="1665">
        <v>0</v>
      </c>
      <c r="CU200" s="1665">
        <v>0</v>
      </c>
      <c r="CV200" s="1665">
        <v>0</v>
      </c>
      <c r="CW200" s="1665">
        <v>0</v>
      </c>
      <c r="CX200" s="1665">
        <v>0</v>
      </c>
      <c r="CY200" s="1665">
        <v>0</v>
      </c>
      <c r="CZ200" s="1665">
        <v>2</v>
      </c>
      <c r="DA200" s="1665">
        <v>2</v>
      </c>
      <c r="DB200" s="1665">
        <v>0</v>
      </c>
      <c r="DC200" s="1665">
        <v>8</v>
      </c>
      <c r="DD200" s="1665">
        <v>3</v>
      </c>
      <c r="DE200" s="1665">
        <v>1</v>
      </c>
      <c r="DF200" s="1665">
        <v>11</v>
      </c>
      <c r="DG200" s="1665">
        <v>14</v>
      </c>
      <c r="DH200" s="1665">
        <v>2</v>
      </c>
      <c r="DI200" s="41">
        <v>1</v>
      </c>
      <c r="DJ200" s="41">
        <v>0</v>
      </c>
      <c r="DK200" s="41">
        <v>44</v>
      </c>
      <c r="DL200" s="41"/>
      <c r="FH200" s="41"/>
      <c r="FI200" s="41"/>
      <c r="FJ200" s="41"/>
      <c r="FK200" s="41"/>
      <c r="FL200" s="41"/>
      <c r="FM200" s="41"/>
      <c r="FN200" s="41"/>
      <c r="FO200" s="41"/>
      <c r="FP200" s="41"/>
      <c r="FQ200" s="41"/>
      <c r="FR200" s="41"/>
      <c r="FS200" s="41"/>
      <c r="FT200" s="41"/>
      <c r="FU200" s="41"/>
      <c r="FV200" s="41"/>
      <c r="FW200" s="41"/>
      <c r="FX200" s="41"/>
      <c r="FY200" s="41"/>
      <c r="FZ200" s="41"/>
      <c r="GA200" s="41"/>
      <c r="GB200" s="41"/>
      <c r="GC200" s="41"/>
      <c r="GD200" s="41"/>
      <c r="GE200" s="41"/>
      <c r="GF200" s="41"/>
      <c r="GG200" s="41"/>
      <c r="GH200" s="41"/>
      <c r="GI200" s="41"/>
      <c r="GJ200" s="41"/>
      <c r="GK200" s="41"/>
      <c r="GL200" s="41"/>
      <c r="GM200" s="41"/>
      <c r="GN200" s="41"/>
      <c r="GO200" s="41"/>
      <c r="GP200" s="41"/>
      <c r="GQ200" s="41"/>
      <c r="GR200" s="41"/>
      <c r="GS200" s="41"/>
      <c r="GT200" s="41"/>
      <c r="GU200" s="41"/>
      <c r="GV200" s="41"/>
      <c r="GW200" s="41"/>
      <c r="GX200" s="41"/>
      <c r="GY200" s="41"/>
      <c r="GZ200" s="41"/>
      <c r="HA200" s="41"/>
      <c r="HB200" s="105"/>
      <c r="HC200" s="105"/>
      <c r="HD200" s="41"/>
      <c r="HE200" s="41"/>
      <c r="HF200" s="41"/>
      <c r="HG200" s="41"/>
      <c r="HH200" s="41"/>
      <c r="HI200" s="41"/>
      <c r="HJ200" s="41"/>
      <c r="HK200" s="41"/>
      <c r="HL200" s="41"/>
      <c r="HM200" s="41"/>
      <c r="HN200" s="41"/>
      <c r="HO200" s="41"/>
      <c r="HP200" s="41"/>
      <c r="HQ200" s="41"/>
      <c r="HR200" s="41"/>
      <c r="HS200" s="41"/>
      <c r="HT200" s="41"/>
      <c r="HU200" s="41"/>
      <c r="HV200" s="41"/>
      <c r="HW200" s="41"/>
      <c r="HX200" s="41"/>
      <c r="HY200" s="41"/>
      <c r="HZ200" s="41"/>
      <c r="IA200" s="41"/>
      <c r="IB200" s="41"/>
      <c r="IC200" s="41"/>
      <c r="ID200" s="41"/>
      <c r="IE200" s="41"/>
      <c r="IF200" s="41"/>
      <c r="IG200" s="41"/>
      <c r="IH200" s="41"/>
      <c r="II200" s="41"/>
      <c r="IJ200" s="41"/>
      <c r="IK200" s="41"/>
      <c r="IL200" s="41"/>
      <c r="IM200" s="41"/>
      <c r="IN200" s="41"/>
      <c r="IO200" s="41"/>
      <c r="IP200" s="41"/>
      <c r="IQ200" s="41"/>
      <c r="IR200" s="41"/>
      <c r="IS200" s="41"/>
      <c r="IT200" s="41"/>
      <c r="IU200" s="41"/>
    </row>
    <row r="201" spans="2:255">
      <c r="B201" s="4800" t="s">
        <v>64</v>
      </c>
      <c r="C201" s="4800" t="s">
        <v>671</v>
      </c>
      <c r="D201" s="4800" t="s">
        <v>1230</v>
      </c>
      <c r="E201" s="4606"/>
      <c r="F201" s="4606">
        <v>0</v>
      </c>
      <c r="G201" s="4606"/>
      <c r="H201" s="4606"/>
      <c r="I201" s="4606"/>
      <c r="J201" s="4606"/>
      <c r="K201" s="4606"/>
      <c r="L201" s="4606"/>
      <c r="M201" s="4606"/>
      <c r="N201" s="4606">
        <v>0</v>
      </c>
      <c r="O201" s="4606">
        <v>0</v>
      </c>
      <c r="P201" s="4606">
        <v>0</v>
      </c>
      <c r="Q201" s="4606">
        <v>0</v>
      </c>
      <c r="R201" s="4606">
        <v>1</v>
      </c>
      <c r="S201" s="2552">
        <v>0</v>
      </c>
      <c r="T201" s="2552"/>
      <c r="U201" s="2552">
        <v>1</v>
      </c>
      <c r="V201" s="2552"/>
      <c r="Z201" s="1793"/>
      <c r="AA201" s="1793" t="s">
        <v>1240</v>
      </c>
      <c r="AB201" s="4804">
        <v>0</v>
      </c>
      <c r="AC201" s="4804"/>
      <c r="AD201" s="4804">
        <v>0</v>
      </c>
      <c r="AE201" s="4804"/>
      <c r="AF201" s="4804">
        <v>0</v>
      </c>
      <c r="AG201" s="4804"/>
      <c r="AH201" s="4804">
        <v>0</v>
      </c>
      <c r="AI201" s="4804">
        <v>0</v>
      </c>
      <c r="AJ201" s="4804"/>
      <c r="AK201" s="4804">
        <v>0</v>
      </c>
      <c r="AL201" s="4804">
        <v>0</v>
      </c>
      <c r="AM201" s="4804">
        <v>1</v>
      </c>
      <c r="AN201" s="4804">
        <v>0</v>
      </c>
      <c r="AO201" s="4804"/>
      <c r="AP201" s="4702"/>
      <c r="AQ201" s="4702">
        <v>1</v>
      </c>
      <c r="AR201" s="1793"/>
      <c r="AT201" s="41"/>
      <c r="AU201" s="41"/>
      <c r="AV201" s="461"/>
      <c r="AW201" s="461" t="s">
        <v>1240</v>
      </c>
      <c r="AX201" s="2489"/>
      <c r="AY201" s="2489"/>
      <c r="AZ201" s="2489"/>
      <c r="BA201" s="2489"/>
      <c r="BB201" s="2489">
        <v>0</v>
      </c>
      <c r="BC201" s="2489"/>
      <c r="BD201" s="2489"/>
      <c r="BE201" s="2489"/>
      <c r="BF201" s="2489"/>
      <c r="BG201" s="2489">
        <v>2</v>
      </c>
      <c r="BH201" s="2489">
        <v>1</v>
      </c>
      <c r="BI201" s="2489"/>
      <c r="BJ201" s="2489">
        <v>3</v>
      </c>
      <c r="BK201" s="2489">
        <v>1</v>
      </c>
      <c r="BL201" s="2489">
        <v>0</v>
      </c>
      <c r="BM201" s="461">
        <v>0</v>
      </c>
      <c r="BN201" s="461">
        <v>0</v>
      </c>
      <c r="BO201" s="461">
        <v>7</v>
      </c>
      <c r="BP201" s="41"/>
      <c r="BR201" s="41"/>
      <c r="BS201" s="41"/>
      <c r="BT201" s="41"/>
      <c r="BU201" s="41" t="s">
        <v>1240</v>
      </c>
      <c r="BV201" s="2001"/>
      <c r="BW201" s="2001"/>
      <c r="BX201" s="2001"/>
      <c r="BY201" s="2001"/>
      <c r="BZ201" s="2001"/>
      <c r="CA201" s="2001"/>
      <c r="CB201" s="2001"/>
      <c r="CC201" s="2001">
        <v>0</v>
      </c>
      <c r="CD201" s="2001"/>
      <c r="CE201" s="2001">
        <v>0</v>
      </c>
      <c r="CF201" s="2001">
        <v>0</v>
      </c>
      <c r="CG201" s="2001"/>
      <c r="CH201" s="2001"/>
      <c r="CI201" s="2001">
        <v>0</v>
      </c>
      <c r="CJ201" s="2001">
        <v>1</v>
      </c>
      <c r="CK201" s="105">
        <v>0</v>
      </c>
      <c r="CL201" s="105">
        <v>0</v>
      </c>
      <c r="CM201" s="105">
        <v>1</v>
      </c>
      <c r="CN201" s="41"/>
      <c r="CR201" s="41"/>
      <c r="CS201" s="41" t="s">
        <v>1940</v>
      </c>
      <c r="CT201" s="1665">
        <v>1</v>
      </c>
      <c r="CU201" s="1665">
        <v>0</v>
      </c>
      <c r="CV201" s="1665">
        <v>0</v>
      </c>
      <c r="CW201" s="1665">
        <v>0</v>
      </c>
      <c r="CX201" s="1665">
        <v>0</v>
      </c>
      <c r="CY201" s="1665">
        <v>0</v>
      </c>
      <c r="CZ201" s="1665">
        <v>0</v>
      </c>
      <c r="DA201" s="1665">
        <v>0</v>
      </c>
      <c r="DB201" s="1665">
        <v>0</v>
      </c>
      <c r="DC201" s="1665">
        <v>0</v>
      </c>
      <c r="DD201" s="1665">
        <v>0</v>
      </c>
      <c r="DE201" s="1665">
        <v>0</v>
      </c>
      <c r="DF201" s="1665">
        <v>0</v>
      </c>
      <c r="DG201" s="1665">
        <v>0</v>
      </c>
      <c r="DH201" s="1665">
        <v>0</v>
      </c>
      <c r="DI201" s="41">
        <v>0</v>
      </c>
      <c r="DJ201" s="41">
        <v>0</v>
      </c>
      <c r="DK201" s="41">
        <v>1</v>
      </c>
      <c r="DL201" s="41"/>
      <c r="FH201" s="41"/>
      <c r="FI201" s="41"/>
      <c r="FJ201" s="41"/>
      <c r="FK201" s="41"/>
      <c r="FL201" s="41"/>
      <c r="FM201" s="41"/>
      <c r="FN201" s="41"/>
      <c r="FO201" s="41"/>
      <c r="FP201" s="41"/>
      <c r="FQ201" s="41"/>
      <c r="FR201" s="41"/>
      <c r="FS201" s="41"/>
      <c r="FT201" s="41"/>
      <c r="FU201" s="41"/>
      <c r="FV201" s="41"/>
      <c r="FW201" s="41"/>
      <c r="FX201" s="41"/>
      <c r="FY201" s="41"/>
      <c r="FZ201" s="41"/>
      <c r="GA201" s="41"/>
      <c r="GB201" s="41"/>
      <c r="GC201" s="41"/>
      <c r="GD201" s="41"/>
      <c r="GE201" s="41"/>
      <c r="GF201" s="41"/>
      <c r="GG201" s="669"/>
      <c r="GH201" s="670"/>
      <c r="GI201" s="670"/>
      <c r="GJ201" s="670"/>
      <c r="GK201" s="5673" t="s">
        <v>1318</v>
      </c>
      <c r="GL201" s="5673"/>
      <c r="GM201" s="5673"/>
      <c r="GN201" s="5673"/>
      <c r="GO201" s="5673"/>
      <c r="GP201" s="5673"/>
      <c r="GQ201" s="5673"/>
      <c r="GR201" s="5673"/>
      <c r="GS201" s="5673"/>
      <c r="GT201" s="5673"/>
      <c r="GU201" s="5673"/>
      <c r="GV201" s="5673"/>
      <c r="GW201" s="5673"/>
      <c r="GX201" s="669"/>
      <c r="GY201" s="41"/>
      <c r="GZ201" s="41"/>
      <c r="HA201" s="41"/>
      <c r="HB201" s="105"/>
      <c r="HC201" s="105"/>
      <c r="HD201" s="41" t="s">
        <v>327</v>
      </c>
      <c r="HE201" s="461" t="s">
        <v>327</v>
      </c>
      <c r="HF201" s="5626" t="s">
        <v>1319</v>
      </c>
      <c r="HG201" s="5626"/>
      <c r="HH201" s="5626"/>
      <c r="HI201" s="5626"/>
      <c r="HJ201" s="5626"/>
      <c r="HK201" s="5626"/>
      <c r="HL201" s="5626"/>
      <c r="HM201" s="5626"/>
      <c r="HN201" s="5626"/>
      <c r="HO201" s="5626"/>
      <c r="HP201" s="5626"/>
      <c r="HQ201" s="5626"/>
      <c r="HR201" s="5626"/>
      <c r="HS201" s="5626"/>
      <c r="HT201" s="5626"/>
      <c r="HU201" s="5626"/>
      <c r="HV201" s="461"/>
      <c r="HW201" s="41"/>
      <c r="HX201" s="41"/>
      <c r="HY201" s="41"/>
      <c r="HZ201" s="41"/>
      <c r="IA201" s="41"/>
      <c r="IB201" s="41"/>
      <c r="IC201" s="5677" t="s">
        <v>1319</v>
      </c>
      <c r="ID201" s="5677"/>
      <c r="IE201" s="5677"/>
      <c r="IF201" s="5677"/>
      <c r="IG201" s="5677"/>
      <c r="IH201" s="5677"/>
      <c r="II201" s="5677"/>
      <c r="IJ201" s="5677"/>
      <c r="IK201" s="5677"/>
      <c r="IL201" s="5677"/>
      <c r="IM201" s="5677"/>
      <c r="IN201" s="5677"/>
      <c r="IO201" s="5677"/>
      <c r="IP201" s="5677"/>
      <c r="IQ201" s="5677"/>
      <c r="IR201" s="5677"/>
      <c r="IS201" s="41"/>
      <c r="IT201" s="41"/>
      <c r="IU201" s="41"/>
    </row>
    <row r="202" spans="2:255" ht="25.2" thickBot="1">
      <c r="D202" s="4800" t="s">
        <v>1231</v>
      </c>
      <c r="E202" s="4606"/>
      <c r="F202" s="4606">
        <v>1</v>
      </c>
      <c r="G202" s="4606"/>
      <c r="H202" s="4606"/>
      <c r="I202" s="4606"/>
      <c r="J202" s="4606"/>
      <c r="K202" s="4606"/>
      <c r="L202" s="4606"/>
      <c r="M202" s="4606"/>
      <c r="N202" s="4606">
        <v>0</v>
      </c>
      <c r="O202" s="4606">
        <v>1</v>
      </c>
      <c r="P202" s="4606">
        <v>1</v>
      </c>
      <c r="Q202" s="4606">
        <v>0</v>
      </c>
      <c r="R202" s="4606">
        <v>0</v>
      </c>
      <c r="S202" s="2552">
        <v>0</v>
      </c>
      <c r="T202" s="2552"/>
      <c r="U202" s="2552">
        <v>3</v>
      </c>
      <c r="V202" s="2552"/>
      <c r="Z202" s="1793"/>
      <c r="AA202" s="1793" t="s">
        <v>545</v>
      </c>
      <c r="AB202" s="4804">
        <v>0</v>
      </c>
      <c r="AC202" s="4804"/>
      <c r="AD202" s="4804">
        <v>0</v>
      </c>
      <c r="AE202" s="4804"/>
      <c r="AF202" s="4804">
        <v>1</v>
      </c>
      <c r="AG202" s="4804"/>
      <c r="AH202" s="4804">
        <v>1</v>
      </c>
      <c r="AI202" s="4804">
        <v>1</v>
      </c>
      <c r="AJ202" s="4804"/>
      <c r="AK202" s="4804">
        <v>2</v>
      </c>
      <c r="AL202" s="4804">
        <v>1</v>
      </c>
      <c r="AM202" s="4804">
        <v>5</v>
      </c>
      <c r="AN202" s="4804">
        <v>7</v>
      </c>
      <c r="AO202" s="4804"/>
      <c r="AP202" s="4702"/>
      <c r="AQ202" s="4702">
        <v>18</v>
      </c>
      <c r="AR202" s="4703">
        <f>+AQ201/AQ202</f>
        <v>5.5555555555555552E-2</v>
      </c>
      <c r="AT202" s="41"/>
      <c r="AU202" s="41"/>
      <c r="AV202" s="461"/>
      <c r="AW202" s="461" t="s">
        <v>1344</v>
      </c>
      <c r="AX202" s="2489"/>
      <c r="AY202" s="2489"/>
      <c r="AZ202" s="2489"/>
      <c r="BA202" s="2489"/>
      <c r="BB202" s="2489">
        <v>0</v>
      </c>
      <c r="BC202" s="2489"/>
      <c r="BD202" s="2489"/>
      <c r="BE202" s="2489"/>
      <c r="BF202" s="2489"/>
      <c r="BG202" s="2489">
        <v>1</v>
      </c>
      <c r="BH202" s="2489">
        <v>1</v>
      </c>
      <c r="BI202" s="2489"/>
      <c r="BJ202" s="2489">
        <v>2</v>
      </c>
      <c r="BK202" s="2489">
        <v>1</v>
      </c>
      <c r="BL202" s="2489">
        <v>0</v>
      </c>
      <c r="BM202" s="461">
        <v>0</v>
      </c>
      <c r="BN202" s="461">
        <v>0</v>
      </c>
      <c r="BO202" s="461">
        <v>5</v>
      </c>
      <c r="BP202" s="41"/>
      <c r="BR202" s="41"/>
      <c r="BS202" s="41"/>
      <c r="BT202" s="41"/>
      <c r="BU202" s="41" t="s">
        <v>1344</v>
      </c>
      <c r="BV202" s="2001"/>
      <c r="BW202" s="2001"/>
      <c r="BX202" s="2001"/>
      <c r="BY202" s="2001"/>
      <c r="BZ202" s="2001"/>
      <c r="CA202" s="2001"/>
      <c r="CB202" s="2001"/>
      <c r="CC202" s="2001">
        <v>0</v>
      </c>
      <c r="CD202" s="2001"/>
      <c r="CE202" s="2001">
        <v>6</v>
      </c>
      <c r="CF202" s="2001">
        <v>0</v>
      </c>
      <c r="CG202" s="2001"/>
      <c r="CH202" s="2001"/>
      <c r="CI202" s="2001">
        <v>0</v>
      </c>
      <c r="CJ202" s="2001">
        <v>0</v>
      </c>
      <c r="CK202" s="105">
        <v>0</v>
      </c>
      <c r="CL202" s="105">
        <v>0</v>
      </c>
      <c r="CM202" s="105">
        <v>6</v>
      </c>
      <c r="CN202" s="41"/>
      <c r="CP202" s="464"/>
      <c r="CQ202" s="464"/>
      <c r="CR202" s="469"/>
      <c r="CS202" s="465" t="s">
        <v>113</v>
      </c>
      <c r="CT202" s="1667">
        <v>2</v>
      </c>
      <c r="CU202" s="1667">
        <v>7</v>
      </c>
      <c r="CV202" s="1667">
        <v>4</v>
      </c>
      <c r="CW202" s="1667">
        <v>2</v>
      </c>
      <c r="CX202" s="1667">
        <v>2</v>
      </c>
      <c r="CY202" s="1667">
        <v>2</v>
      </c>
      <c r="CZ202" s="1667">
        <v>5</v>
      </c>
      <c r="DA202" s="1667">
        <v>6</v>
      </c>
      <c r="DB202" s="1667">
        <v>4</v>
      </c>
      <c r="DC202" s="1667">
        <v>21</v>
      </c>
      <c r="DD202" s="1667">
        <v>13</v>
      </c>
      <c r="DE202" s="1667">
        <v>6</v>
      </c>
      <c r="DF202" s="1667">
        <v>62</v>
      </c>
      <c r="DG202" s="1667">
        <v>59</v>
      </c>
      <c r="DH202" s="1667">
        <v>58</v>
      </c>
      <c r="DI202" s="465">
        <v>16</v>
      </c>
      <c r="DJ202" s="465">
        <v>27</v>
      </c>
      <c r="DK202" s="465">
        <v>296</v>
      </c>
      <c r="DL202" s="662">
        <f>+(DK196+DK199+DK200)/(DK202-DK201)</f>
        <v>0.32881355932203388</v>
      </c>
      <c r="FH202" s="41"/>
      <c r="FI202" s="41"/>
      <c r="FJ202" s="41"/>
      <c r="FK202" s="41"/>
      <c r="FL202" s="41"/>
      <c r="FM202" s="41"/>
      <c r="FN202" s="41"/>
      <c r="FO202" s="41"/>
      <c r="FP202" s="41"/>
      <c r="FQ202" s="41"/>
      <c r="FR202" s="41"/>
      <c r="FS202" s="41"/>
      <c r="FT202" s="41"/>
      <c r="FU202" s="41"/>
      <c r="FV202" s="41"/>
      <c r="FW202" s="41"/>
      <c r="FX202" s="41"/>
      <c r="FY202" s="41"/>
      <c r="FZ202" s="41"/>
      <c r="GA202" s="41"/>
      <c r="GB202" s="41"/>
      <c r="GC202" s="41"/>
      <c r="GD202" s="41"/>
      <c r="GE202" s="41"/>
      <c r="GF202" s="41"/>
      <c r="GG202" s="737"/>
      <c r="GH202" s="737"/>
      <c r="GI202" s="737" t="s">
        <v>0</v>
      </c>
      <c r="GJ202" s="737" t="s">
        <v>1229</v>
      </c>
      <c r="GK202" s="737">
        <v>1</v>
      </c>
      <c r="GL202" s="737">
        <v>5</v>
      </c>
      <c r="GM202" s="737">
        <v>6</v>
      </c>
      <c r="GN202" s="737">
        <v>7</v>
      </c>
      <c r="GO202" s="737">
        <v>8</v>
      </c>
      <c r="GP202" s="737">
        <v>9</v>
      </c>
      <c r="GQ202" s="737">
        <v>10</v>
      </c>
      <c r="GR202" s="737">
        <v>11</v>
      </c>
      <c r="GS202" s="737">
        <v>12</v>
      </c>
      <c r="GT202" s="737">
        <v>13</v>
      </c>
      <c r="GU202" s="737">
        <v>14</v>
      </c>
      <c r="GV202" s="737">
        <v>15</v>
      </c>
      <c r="GW202" s="737">
        <v>16</v>
      </c>
      <c r="GX202" s="737" t="s">
        <v>15</v>
      </c>
      <c r="GY202" s="738" t="s">
        <v>66</v>
      </c>
      <c r="GZ202" s="720"/>
      <c r="HA202" s="720"/>
      <c r="HB202" s="718"/>
      <c r="HC202" s="718"/>
      <c r="HD202" s="719" t="s">
        <v>147</v>
      </c>
      <c r="HE202" s="719" t="s">
        <v>1229</v>
      </c>
      <c r="HF202" s="719">
        <v>1</v>
      </c>
      <c r="HG202" s="719">
        <v>2</v>
      </c>
      <c r="HH202" s="719">
        <v>3</v>
      </c>
      <c r="HI202" s="719">
        <v>4</v>
      </c>
      <c r="HJ202" s="719">
        <v>5</v>
      </c>
      <c r="HK202" s="719">
        <v>6</v>
      </c>
      <c r="HL202" s="719">
        <v>7</v>
      </c>
      <c r="HM202" s="719">
        <v>8</v>
      </c>
      <c r="HN202" s="719">
        <v>9</v>
      </c>
      <c r="HO202" s="719">
        <v>10</v>
      </c>
      <c r="HP202" s="719">
        <v>11</v>
      </c>
      <c r="HQ202" s="719">
        <v>12</v>
      </c>
      <c r="HR202" s="719">
        <v>13</v>
      </c>
      <c r="HS202" s="719">
        <v>14</v>
      </c>
      <c r="HT202" s="719">
        <v>15</v>
      </c>
      <c r="HU202" s="719">
        <v>16</v>
      </c>
      <c r="HV202" s="719" t="s">
        <v>15</v>
      </c>
      <c r="HW202" s="719" t="s">
        <v>66</v>
      </c>
      <c r="HX202" s="41"/>
      <c r="HY202" s="41"/>
      <c r="HZ202" s="41"/>
      <c r="IA202" s="739" t="s">
        <v>0</v>
      </c>
      <c r="IB202" s="739" t="s">
        <v>1321</v>
      </c>
      <c r="IC202" s="709">
        <v>0</v>
      </c>
      <c r="ID202" s="709">
        <v>1</v>
      </c>
      <c r="IE202" s="709">
        <v>2</v>
      </c>
      <c r="IF202" s="709">
        <v>3</v>
      </c>
      <c r="IG202" s="709">
        <v>5</v>
      </c>
      <c r="IH202" s="709">
        <v>6</v>
      </c>
      <c r="II202" s="709">
        <v>7</v>
      </c>
      <c r="IJ202" s="709">
        <v>8</v>
      </c>
      <c r="IK202" s="709">
        <v>9</v>
      </c>
      <c r="IL202" s="709">
        <v>10</v>
      </c>
      <c r="IM202" s="709">
        <v>11</v>
      </c>
      <c r="IN202" s="709">
        <v>12</v>
      </c>
      <c r="IO202" s="709">
        <v>13</v>
      </c>
      <c r="IP202" s="709">
        <v>14</v>
      </c>
      <c r="IQ202" s="709">
        <v>15</v>
      </c>
      <c r="IR202" s="709">
        <v>16</v>
      </c>
      <c r="IS202" s="709" t="s">
        <v>15</v>
      </c>
      <c r="IT202" s="723" t="s">
        <v>66</v>
      </c>
      <c r="IU202" s="677" t="s">
        <v>1322</v>
      </c>
    </row>
    <row r="203" spans="2:255">
      <c r="D203" s="4800" t="s">
        <v>1239</v>
      </c>
      <c r="E203" s="4606"/>
      <c r="F203" s="4606">
        <v>0</v>
      </c>
      <c r="G203" s="4606"/>
      <c r="H203" s="4606"/>
      <c r="I203" s="4606"/>
      <c r="J203" s="4606"/>
      <c r="K203" s="4606"/>
      <c r="L203" s="4606"/>
      <c r="M203" s="4606"/>
      <c r="N203" s="4606">
        <v>0</v>
      </c>
      <c r="O203" s="4606">
        <v>0</v>
      </c>
      <c r="P203" s="4606">
        <v>0</v>
      </c>
      <c r="Q203" s="4606">
        <v>0</v>
      </c>
      <c r="R203" s="4606">
        <v>4</v>
      </c>
      <c r="S203" s="2552">
        <v>1</v>
      </c>
      <c r="T203" s="2552"/>
      <c r="U203" s="2552">
        <v>5</v>
      </c>
      <c r="V203" s="2552"/>
      <c r="Y203" s="37" t="s">
        <v>64</v>
      </c>
      <c r="Z203" s="37" t="s">
        <v>671</v>
      </c>
      <c r="AA203" s="37" t="s">
        <v>1231</v>
      </c>
      <c r="AB203" s="4803"/>
      <c r="AC203" s="4803">
        <v>1</v>
      </c>
      <c r="AD203" s="4803"/>
      <c r="AE203" s="4803"/>
      <c r="AF203" s="4803"/>
      <c r="AG203" s="4803"/>
      <c r="AH203" s="4803"/>
      <c r="AI203" s="4803"/>
      <c r="AJ203" s="4803"/>
      <c r="AK203" s="4803">
        <v>0</v>
      </c>
      <c r="AL203" s="4803">
        <v>1</v>
      </c>
      <c r="AM203" s="4803">
        <v>1</v>
      </c>
      <c r="AN203" s="4803">
        <v>0</v>
      </c>
      <c r="AO203" s="4803">
        <v>0</v>
      </c>
      <c r="AP203" s="1788">
        <v>0</v>
      </c>
      <c r="AQ203" s="1788">
        <v>3</v>
      </c>
      <c r="AT203" s="41"/>
      <c r="AU203" s="41"/>
      <c r="AV203" s="461"/>
      <c r="AW203" s="461" t="s">
        <v>547</v>
      </c>
      <c r="AX203" s="2489"/>
      <c r="AY203" s="2489"/>
      <c r="AZ203" s="2489"/>
      <c r="BA203" s="2489"/>
      <c r="BB203" s="2489">
        <v>1</v>
      </c>
      <c r="BC203" s="2489"/>
      <c r="BD203" s="2489"/>
      <c r="BE203" s="2489"/>
      <c r="BF203" s="2489"/>
      <c r="BG203" s="2489">
        <v>9</v>
      </c>
      <c r="BH203" s="2489">
        <v>3</v>
      </c>
      <c r="BI203" s="2489"/>
      <c r="BJ203" s="2489">
        <v>8</v>
      </c>
      <c r="BK203" s="2489">
        <v>2</v>
      </c>
      <c r="BL203" s="2489">
        <v>6</v>
      </c>
      <c r="BM203" s="461">
        <v>1</v>
      </c>
      <c r="BN203" s="461">
        <v>4</v>
      </c>
      <c r="BO203" s="461">
        <v>34</v>
      </c>
      <c r="BP203" s="635">
        <f>+(BO202+BO201+BO199)/BO203</f>
        <v>0.44117647058823528</v>
      </c>
      <c r="BQ203" s="1977"/>
      <c r="BR203" s="41"/>
      <c r="BS203" s="41"/>
      <c r="BT203" s="41"/>
      <c r="BU203" s="461" t="s">
        <v>260</v>
      </c>
      <c r="BV203" s="2002"/>
      <c r="BW203" s="2002"/>
      <c r="BX203" s="2002"/>
      <c r="BY203" s="2002"/>
      <c r="BZ203" s="2002"/>
      <c r="CA203" s="2002"/>
      <c r="CB203" s="2002"/>
      <c r="CC203" s="2002">
        <v>1</v>
      </c>
      <c r="CD203" s="2002"/>
      <c r="CE203" s="2002">
        <v>13</v>
      </c>
      <c r="CF203" s="2002">
        <v>1</v>
      </c>
      <c r="CG203" s="2002"/>
      <c r="CH203" s="2002"/>
      <c r="CI203" s="2002">
        <v>1</v>
      </c>
      <c r="CJ203" s="2002">
        <v>4</v>
      </c>
      <c r="CK203" s="96">
        <v>1</v>
      </c>
      <c r="CL203" s="96">
        <v>2</v>
      </c>
      <c r="CM203" s="96">
        <v>23</v>
      </c>
      <c r="CN203" s="635">
        <f>+(CM199+CM201+CM202)/CM203</f>
        <v>0.39130434782608697</v>
      </c>
      <c r="CS203"/>
      <c r="CT203"/>
      <c r="CU203"/>
      <c r="CV203"/>
      <c r="CW203"/>
      <c r="CX203"/>
      <c r="CY203"/>
      <c r="CZ203"/>
      <c r="DA203"/>
      <c r="DB203"/>
      <c r="DC203"/>
      <c r="DD203"/>
      <c r="DE203"/>
      <c r="DF203"/>
      <c r="DG203"/>
      <c r="DH203"/>
      <c r="DI203"/>
      <c r="DJ203"/>
      <c r="DK203"/>
      <c r="DL203"/>
      <c r="FH203" s="41"/>
      <c r="FI203" s="41"/>
      <c r="FJ203" s="41"/>
      <c r="FK203" s="41"/>
      <c r="FL203" s="41"/>
      <c r="FM203" s="41"/>
      <c r="FN203" s="41"/>
      <c r="FO203" s="41"/>
      <c r="FP203" s="41"/>
      <c r="FQ203" s="41"/>
      <c r="FR203" s="41"/>
      <c r="FS203" s="41"/>
      <c r="FT203" s="41"/>
      <c r="FU203" s="41"/>
      <c r="FV203" s="41"/>
      <c r="FW203" s="41"/>
      <c r="FX203" s="41"/>
      <c r="FY203" s="41"/>
      <c r="FZ203" s="41"/>
      <c r="GA203" s="41"/>
      <c r="GB203" s="41"/>
      <c r="GC203" s="41"/>
      <c r="GD203" s="41"/>
      <c r="GE203" s="41"/>
      <c r="GF203" s="41"/>
      <c r="GG203" s="688"/>
      <c r="GH203" s="688"/>
      <c r="GI203" s="688" t="s">
        <v>113</v>
      </c>
      <c r="GJ203" s="457" t="s">
        <v>1230</v>
      </c>
      <c r="GK203" s="458">
        <v>0</v>
      </c>
      <c r="GL203" s="458">
        <v>0</v>
      </c>
      <c r="GM203" s="458">
        <v>0</v>
      </c>
      <c r="GN203" s="458">
        <v>1</v>
      </c>
      <c r="GO203" s="458">
        <v>0</v>
      </c>
      <c r="GP203" s="458">
        <v>0</v>
      </c>
      <c r="GQ203" s="458">
        <v>0</v>
      </c>
      <c r="GR203" s="458">
        <v>1</v>
      </c>
      <c r="GS203" s="458">
        <v>1</v>
      </c>
      <c r="GT203" s="458">
        <v>1</v>
      </c>
      <c r="GU203" s="458">
        <v>2</v>
      </c>
      <c r="GV203" s="458">
        <v>0</v>
      </c>
      <c r="GW203" s="458">
        <v>0</v>
      </c>
      <c r="GX203" s="458">
        <v>6</v>
      </c>
      <c r="GY203" s="690"/>
      <c r="GZ203" s="41"/>
      <c r="HA203" s="41"/>
      <c r="HB203" s="105"/>
      <c r="HC203" s="105"/>
      <c r="HD203" s="105" t="s">
        <v>75</v>
      </c>
      <c r="HE203" s="41" t="s">
        <v>1230</v>
      </c>
      <c r="HF203" s="41">
        <v>0</v>
      </c>
      <c r="HG203" s="41">
        <v>0</v>
      </c>
      <c r="HH203" s="41">
        <v>0</v>
      </c>
      <c r="HI203" s="41">
        <v>0</v>
      </c>
      <c r="HJ203" s="41">
        <v>1</v>
      </c>
      <c r="HK203" s="41">
        <v>0</v>
      </c>
      <c r="HL203" s="41">
        <v>0</v>
      </c>
      <c r="HM203" s="41">
        <v>0</v>
      </c>
      <c r="HN203" s="41">
        <v>0</v>
      </c>
      <c r="HO203" s="41">
        <v>0</v>
      </c>
      <c r="HP203" s="41">
        <v>0</v>
      </c>
      <c r="HQ203" s="41">
        <v>0</v>
      </c>
      <c r="HR203" s="41">
        <v>1</v>
      </c>
      <c r="HS203" s="41">
        <v>6</v>
      </c>
      <c r="HT203" s="41">
        <v>1</v>
      </c>
      <c r="HU203" s="41">
        <v>1</v>
      </c>
      <c r="HV203" s="41">
        <v>10</v>
      </c>
      <c r="HW203" s="41"/>
      <c r="HX203" s="41"/>
      <c r="HY203" s="41"/>
      <c r="HZ203" s="41"/>
      <c r="IA203" s="740" t="s">
        <v>75</v>
      </c>
      <c r="IB203" s="691" t="s">
        <v>1230</v>
      </c>
      <c r="IC203" s="691">
        <v>0</v>
      </c>
      <c r="ID203" s="691">
        <v>0</v>
      </c>
      <c r="IE203" s="691">
        <v>0</v>
      </c>
      <c r="IF203" s="691">
        <v>0</v>
      </c>
      <c r="IG203" s="691">
        <v>0</v>
      </c>
      <c r="IH203" s="691">
        <v>1</v>
      </c>
      <c r="II203" s="691">
        <v>0</v>
      </c>
      <c r="IJ203" s="691">
        <v>0</v>
      </c>
      <c r="IK203" s="691">
        <v>0</v>
      </c>
      <c r="IL203" s="691">
        <v>0</v>
      </c>
      <c r="IM203" s="691">
        <v>0</v>
      </c>
      <c r="IN203" s="691">
        <v>0</v>
      </c>
      <c r="IO203" s="691">
        <v>0</v>
      </c>
      <c r="IP203" s="691">
        <v>1</v>
      </c>
      <c r="IQ203" s="691">
        <v>0</v>
      </c>
      <c r="IR203" s="691">
        <v>0</v>
      </c>
      <c r="IS203" s="691">
        <v>2</v>
      </c>
      <c r="IT203" s="691"/>
      <c r="IU203" s="692"/>
    </row>
    <row r="204" spans="2:255">
      <c r="D204" s="4800" t="s">
        <v>1240</v>
      </c>
      <c r="E204" s="4606"/>
      <c r="F204" s="4606">
        <v>0</v>
      </c>
      <c r="G204" s="4606"/>
      <c r="H204" s="4606"/>
      <c r="I204" s="4606"/>
      <c r="J204" s="4606"/>
      <c r="K204" s="4606"/>
      <c r="L204" s="4606"/>
      <c r="M204" s="4606"/>
      <c r="N204" s="4606">
        <v>0</v>
      </c>
      <c r="O204" s="4606">
        <v>0</v>
      </c>
      <c r="P204" s="4606">
        <v>0</v>
      </c>
      <c r="Q204" s="4606">
        <v>1</v>
      </c>
      <c r="R204" s="4606">
        <v>0</v>
      </c>
      <c r="S204" s="2552">
        <v>1</v>
      </c>
      <c r="T204" s="2552"/>
      <c r="U204" s="2552">
        <v>2</v>
      </c>
      <c r="V204" s="2552"/>
      <c r="AA204" s="37" t="s">
        <v>1239</v>
      </c>
      <c r="AB204" s="4803"/>
      <c r="AC204" s="4803">
        <v>0</v>
      </c>
      <c r="AD204" s="4803"/>
      <c r="AE204" s="4803"/>
      <c r="AF204" s="4803"/>
      <c r="AG204" s="4803"/>
      <c r="AH204" s="4803"/>
      <c r="AI204" s="4803"/>
      <c r="AJ204" s="4803"/>
      <c r="AK204" s="4803">
        <v>0</v>
      </c>
      <c r="AL204" s="4803">
        <v>0</v>
      </c>
      <c r="AM204" s="4803">
        <v>0</v>
      </c>
      <c r="AN204" s="4803">
        <v>6</v>
      </c>
      <c r="AO204" s="4803">
        <v>1</v>
      </c>
      <c r="AP204" s="1788">
        <v>1</v>
      </c>
      <c r="AQ204" s="1788">
        <v>8</v>
      </c>
      <c r="AT204" s="41"/>
      <c r="AU204" s="41" t="s">
        <v>21</v>
      </c>
      <c r="AV204" s="41" t="s">
        <v>146</v>
      </c>
      <c r="AW204" s="41" t="s">
        <v>1231</v>
      </c>
      <c r="AX204" s="690"/>
      <c r="AY204" s="690"/>
      <c r="AZ204" s="690"/>
      <c r="BA204" s="690"/>
      <c r="BB204" s="690"/>
      <c r="BC204" s="690"/>
      <c r="BD204" s="690"/>
      <c r="BE204" s="690"/>
      <c r="BF204" s="690"/>
      <c r="BG204" s="690"/>
      <c r="BH204" s="690"/>
      <c r="BI204" s="690"/>
      <c r="BJ204" s="690">
        <v>4</v>
      </c>
      <c r="BK204" s="690"/>
      <c r="BL204" s="690"/>
      <c r="BM204" s="41"/>
      <c r="BN204" s="41"/>
      <c r="BO204" s="41">
        <v>4</v>
      </c>
      <c r="BP204" s="41"/>
      <c r="BR204" s="41"/>
      <c r="BS204" s="41"/>
      <c r="BT204" s="41" t="s">
        <v>113</v>
      </c>
      <c r="BU204" s="41" t="s">
        <v>1230</v>
      </c>
      <c r="BV204" s="2001">
        <v>0</v>
      </c>
      <c r="BW204" s="2001">
        <v>0</v>
      </c>
      <c r="BX204" s="2001">
        <v>0</v>
      </c>
      <c r="BY204" s="2001">
        <v>0</v>
      </c>
      <c r="BZ204" s="2001">
        <v>0</v>
      </c>
      <c r="CA204" s="2001">
        <v>0</v>
      </c>
      <c r="CB204" s="2001">
        <v>0</v>
      </c>
      <c r="CC204" s="2001">
        <v>1</v>
      </c>
      <c r="CD204" s="2001">
        <v>0</v>
      </c>
      <c r="CE204" s="2001">
        <v>0</v>
      </c>
      <c r="CF204" s="2001">
        <v>0</v>
      </c>
      <c r="CG204" s="2001">
        <v>0</v>
      </c>
      <c r="CH204" s="2001">
        <v>0</v>
      </c>
      <c r="CI204" s="2001">
        <v>0</v>
      </c>
      <c r="CJ204" s="2001">
        <v>1</v>
      </c>
      <c r="CK204" s="105">
        <v>0</v>
      </c>
      <c r="CL204" s="105">
        <v>0</v>
      </c>
      <c r="CM204" s="105">
        <v>2</v>
      </c>
      <c r="CN204" s="41"/>
      <c r="CT204" s="1662"/>
      <c r="CU204" s="1662"/>
      <c r="CV204" s="1662"/>
      <c r="CW204" s="1662"/>
      <c r="CX204" s="1662"/>
      <c r="CY204" s="1662"/>
      <c r="CZ204" s="1662"/>
      <c r="DA204" s="1662"/>
      <c r="DB204" s="1662"/>
      <c r="DC204" s="1662"/>
      <c r="DD204" s="1662"/>
      <c r="DE204" s="1662"/>
      <c r="DF204" s="1662"/>
      <c r="DG204" s="1662"/>
      <c r="DH204" s="1662"/>
      <c r="DI204" s="1662"/>
      <c r="DJ204" s="1662"/>
      <c r="DK204" s="1662"/>
      <c r="DL204" s="1662"/>
      <c r="DM204" s="1662"/>
      <c r="DN204" s="1662"/>
      <c r="DO204" s="1662"/>
      <c r="DP204" s="1662"/>
      <c r="DQ204" s="1662"/>
      <c r="DR204" s="1662"/>
      <c r="DS204" s="1662"/>
      <c r="DT204" s="1662"/>
      <c r="DU204" s="1662"/>
      <c r="DV204" s="1662"/>
      <c r="DW204" s="1662"/>
      <c r="DX204" s="1662"/>
      <c r="DY204" s="1662"/>
      <c r="DZ204" s="1662"/>
      <c r="EA204" s="1662"/>
      <c r="EB204" s="1662"/>
      <c r="EC204" s="1662"/>
      <c r="ED204" s="1662"/>
      <c r="EE204" s="1662"/>
      <c r="EF204" s="1662"/>
      <c r="EG204" s="1662"/>
      <c r="EH204" s="1662"/>
      <c r="EI204" s="1662"/>
      <c r="EJ204" s="1662"/>
      <c r="FH204" s="41"/>
      <c r="FI204" s="41"/>
      <c r="FJ204" s="41"/>
      <c r="FK204" s="41"/>
      <c r="FL204" s="41"/>
      <c r="FM204" s="41"/>
      <c r="FN204" s="41"/>
      <c r="FO204" s="41"/>
      <c r="FP204" s="41"/>
      <c r="FQ204" s="41"/>
      <c r="FR204" s="41"/>
      <c r="FS204" s="41"/>
      <c r="FT204" s="41"/>
      <c r="FU204" s="41"/>
      <c r="FV204" s="41"/>
      <c r="FW204" s="41"/>
      <c r="FX204" s="41"/>
      <c r="FY204" s="41"/>
      <c r="FZ204" s="41"/>
      <c r="GA204" s="41"/>
      <c r="GB204" s="41"/>
      <c r="GC204" s="41"/>
      <c r="GD204" s="41"/>
      <c r="GE204" s="41"/>
      <c r="GF204" s="41"/>
      <c r="GG204" s="688"/>
      <c r="GH204" s="688"/>
      <c r="GI204" s="688"/>
      <c r="GJ204" s="457" t="s">
        <v>1231</v>
      </c>
      <c r="GK204" s="458">
        <v>1</v>
      </c>
      <c r="GL204" s="458">
        <v>0</v>
      </c>
      <c r="GM204" s="458">
        <v>2</v>
      </c>
      <c r="GN204" s="458">
        <v>0</v>
      </c>
      <c r="GO204" s="458">
        <v>0</v>
      </c>
      <c r="GP204" s="458">
        <v>2</v>
      </c>
      <c r="GQ204" s="458">
        <v>6</v>
      </c>
      <c r="GR204" s="458">
        <v>8</v>
      </c>
      <c r="GS204" s="458">
        <v>6</v>
      </c>
      <c r="GT204" s="458">
        <v>2</v>
      </c>
      <c r="GU204" s="458">
        <v>2</v>
      </c>
      <c r="GV204" s="458">
        <v>3</v>
      </c>
      <c r="GW204" s="458">
        <v>0</v>
      </c>
      <c r="GX204" s="458">
        <v>32</v>
      </c>
      <c r="GY204" s="690"/>
      <c r="GZ204" s="41"/>
      <c r="HA204" s="41"/>
      <c r="HB204" s="105"/>
      <c r="HC204" s="105"/>
      <c r="HD204" s="41"/>
      <c r="HE204" s="41" t="s">
        <v>1231</v>
      </c>
      <c r="HF204" s="41">
        <v>4</v>
      </c>
      <c r="HG204" s="41">
        <v>1</v>
      </c>
      <c r="HH204" s="41">
        <v>4</v>
      </c>
      <c r="HI204" s="41">
        <v>3</v>
      </c>
      <c r="HJ204" s="41">
        <v>2</v>
      </c>
      <c r="HK204" s="41">
        <v>2</v>
      </c>
      <c r="HL204" s="41">
        <v>3</v>
      </c>
      <c r="HM204" s="41">
        <v>4</v>
      </c>
      <c r="HN204" s="41">
        <v>29</v>
      </c>
      <c r="HO204" s="41">
        <v>16</v>
      </c>
      <c r="HP204" s="41">
        <v>14</v>
      </c>
      <c r="HQ204" s="41">
        <v>29</v>
      </c>
      <c r="HR204" s="41">
        <v>6</v>
      </c>
      <c r="HS204" s="41">
        <v>0</v>
      </c>
      <c r="HT204" s="41">
        <v>1</v>
      </c>
      <c r="HU204" s="41">
        <v>0</v>
      </c>
      <c r="HV204" s="41">
        <v>118</v>
      </c>
      <c r="HW204" s="41"/>
      <c r="HX204" s="41"/>
      <c r="HY204" s="41"/>
      <c r="HZ204" s="41"/>
      <c r="IA204" s="691"/>
      <c r="IB204" s="691" t="s">
        <v>1231</v>
      </c>
      <c r="IC204" s="691">
        <v>1</v>
      </c>
      <c r="ID204" s="691">
        <v>0</v>
      </c>
      <c r="IE204" s="691">
        <v>1</v>
      </c>
      <c r="IF204" s="691">
        <v>3</v>
      </c>
      <c r="IG204" s="691">
        <v>0</v>
      </c>
      <c r="IH204" s="691">
        <v>2</v>
      </c>
      <c r="II204" s="691">
        <v>0</v>
      </c>
      <c r="IJ204" s="691">
        <v>3</v>
      </c>
      <c r="IK204" s="691">
        <v>9</v>
      </c>
      <c r="IL204" s="691">
        <v>5</v>
      </c>
      <c r="IM204" s="691">
        <v>5</v>
      </c>
      <c r="IN204" s="691">
        <v>5</v>
      </c>
      <c r="IO204" s="691">
        <v>2</v>
      </c>
      <c r="IP204" s="691">
        <v>1</v>
      </c>
      <c r="IQ204" s="691">
        <v>0</v>
      </c>
      <c r="IR204" s="691">
        <v>0</v>
      </c>
      <c r="IS204" s="691">
        <v>37</v>
      </c>
      <c r="IT204" s="691"/>
      <c r="IU204" s="692"/>
    </row>
    <row r="205" spans="2:255">
      <c r="D205" s="4800" t="s">
        <v>1344</v>
      </c>
      <c r="E205" s="4606"/>
      <c r="F205" s="4606">
        <v>0</v>
      </c>
      <c r="G205" s="4606"/>
      <c r="H205" s="4606"/>
      <c r="I205" s="4606"/>
      <c r="J205" s="4606"/>
      <c r="K205" s="4606"/>
      <c r="L205" s="4606"/>
      <c r="M205" s="4606"/>
      <c r="N205" s="4606">
        <v>1</v>
      </c>
      <c r="O205" s="4606">
        <v>0</v>
      </c>
      <c r="P205" s="4606">
        <v>0</v>
      </c>
      <c r="Q205" s="4606">
        <v>0</v>
      </c>
      <c r="R205" s="4606">
        <v>0</v>
      </c>
      <c r="S205" s="2552">
        <v>0</v>
      </c>
      <c r="T205" s="2552"/>
      <c r="U205" s="2552">
        <v>1</v>
      </c>
      <c r="V205" s="2552"/>
      <c r="AA205" s="37" t="s">
        <v>1344</v>
      </c>
      <c r="AB205" s="4803"/>
      <c r="AC205" s="4803">
        <v>0</v>
      </c>
      <c r="AD205" s="4803"/>
      <c r="AE205" s="4803"/>
      <c r="AF205" s="4803"/>
      <c r="AG205" s="4803"/>
      <c r="AH205" s="4803"/>
      <c r="AI205" s="4803"/>
      <c r="AJ205" s="4803"/>
      <c r="AK205" s="4803">
        <v>1</v>
      </c>
      <c r="AL205" s="4803">
        <v>0</v>
      </c>
      <c r="AM205" s="4803">
        <v>0</v>
      </c>
      <c r="AN205" s="4803">
        <v>0</v>
      </c>
      <c r="AO205" s="4803">
        <v>0</v>
      </c>
      <c r="AP205" s="1788">
        <v>0</v>
      </c>
      <c r="AQ205" s="1788">
        <v>1</v>
      </c>
      <c r="AT205" s="41"/>
      <c r="AU205" s="41"/>
      <c r="AV205" s="41"/>
      <c r="AW205" s="41" t="s">
        <v>1240</v>
      </c>
      <c r="AX205" s="690"/>
      <c r="AY205" s="690"/>
      <c r="AZ205" s="690"/>
      <c r="BA205" s="690"/>
      <c r="BB205" s="690"/>
      <c r="BC205" s="690"/>
      <c r="BD205" s="690"/>
      <c r="BE205" s="690"/>
      <c r="BF205" s="690"/>
      <c r="BG205" s="690"/>
      <c r="BH205" s="690"/>
      <c r="BI205" s="690"/>
      <c r="BJ205" s="690">
        <v>1</v>
      </c>
      <c r="BK205" s="690"/>
      <c r="BL205" s="690"/>
      <c r="BM205" s="41"/>
      <c r="BN205" s="41"/>
      <c r="BO205" s="41">
        <v>1</v>
      </c>
      <c r="BP205" s="41"/>
      <c r="BR205" s="41"/>
      <c r="BS205" s="41"/>
      <c r="BT205" s="41"/>
      <c r="BU205" s="41" t="s">
        <v>1231</v>
      </c>
      <c r="BV205" s="2001">
        <v>1</v>
      </c>
      <c r="BW205" s="2001">
        <v>3</v>
      </c>
      <c r="BX205" s="2001">
        <v>4</v>
      </c>
      <c r="BY205" s="2001">
        <v>1</v>
      </c>
      <c r="BZ205" s="2001">
        <v>5</v>
      </c>
      <c r="CA205" s="2001">
        <v>2</v>
      </c>
      <c r="CB205" s="2001">
        <v>2</v>
      </c>
      <c r="CC205" s="2001">
        <v>1</v>
      </c>
      <c r="CD205" s="2001">
        <v>3</v>
      </c>
      <c r="CE205" s="2001">
        <v>11</v>
      </c>
      <c r="CF205" s="2001">
        <v>5</v>
      </c>
      <c r="CG205" s="2001">
        <v>7</v>
      </c>
      <c r="CH205" s="2001">
        <v>35</v>
      </c>
      <c r="CI205" s="2001">
        <v>18</v>
      </c>
      <c r="CJ205" s="2001">
        <v>3</v>
      </c>
      <c r="CK205" s="105">
        <v>3</v>
      </c>
      <c r="CL205" s="105">
        <v>0</v>
      </c>
      <c r="CM205" s="105">
        <v>104</v>
      </c>
      <c r="CN205" s="41"/>
      <c r="CT205" s="1662"/>
      <c r="CU205" s="1662"/>
      <c r="CV205" s="1662"/>
      <c r="CW205" s="1662"/>
      <c r="CX205" s="1662"/>
      <c r="CY205" s="1662"/>
      <c r="CZ205" s="1662"/>
      <c r="DA205" s="1662"/>
      <c r="DB205" s="1662"/>
      <c r="DC205" s="1662"/>
      <c r="DD205" s="1662"/>
      <c r="DE205" s="1662"/>
      <c r="DF205" s="1662"/>
      <c r="DG205" s="1662"/>
      <c r="DH205" s="1662"/>
      <c r="DI205" s="1662"/>
      <c r="DJ205" s="1662"/>
      <c r="DK205" s="1662"/>
      <c r="DL205" s="1662"/>
      <c r="DM205" s="1662"/>
      <c r="DN205" s="1662"/>
      <c r="DO205" s="1662"/>
      <c r="DP205" s="1662"/>
      <c r="DQ205" s="1662"/>
      <c r="DR205" s="1662"/>
      <c r="DS205" s="1662"/>
      <c r="DT205" s="1662"/>
      <c r="DU205" s="1662"/>
      <c r="DV205" s="1662"/>
      <c r="DW205" s="1662"/>
      <c r="DX205" s="1662"/>
      <c r="DY205" s="1662"/>
      <c r="DZ205" s="1662"/>
      <c r="EA205" s="1662"/>
      <c r="EB205" s="1662"/>
      <c r="EC205" s="1662"/>
      <c r="ED205" s="1662"/>
      <c r="EE205" s="1662"/>
      <c r="EF205" s="1662"/>
      <c r="EG205" s="1662"/>
      <c r="EH205" s="1662"/>
      <c r="EI205" s="1662"/>
      <c r="EJ205" s="1662"/>
      <c r="FH205" s="41"/>
      <c r="FI205" s="41"/>
      <c r="FJ205" s="41"/>
      <c r="FK205" s="41"/>
      <c r="FL205" s="41"/>
      <c r="FM205" s="41"/>
      <c r="FN205" s="41"/>
      <c r="FO205" s="41"/>
      <c r="FP205" s="41"/>
      <c r="FQ205" s="41"/>
      <c r="FR205" s="41"/>
      <c r="FS205" s="41"/>
      <c r="FT205" s="41"/>
      <c r="FU205" s="41"/>
      <c r="FV205" s="41"/>
      <c r="FW205" s="41"/>
      <c r="FX205" s="41"/>
      <c r="FY205" s="41"/>
      <c r="FZ205" s="41"/>
      <c r="GA205" s="41"/>
      <c r="GB205" s="41"/>
      <c r="GC205" s="41"/>
      <c r="GD205" s="41"/>
      <c r="GE205" s="41"/>
      <c r="GF205" s="41"/>
      <c r="GG205" s="688"/>
      <c r="GH205" s="688"/>
      <c r="GI205" s="688"/>
      <c r="GJ205" s="457" t="s">
        <v>1233</v>
      </c>
      <c r="GK205" s="458">
        <v>2</v>
      </c>
      <c r="GL205" s="458">
        <v>1</v>
      </c>
      <c r="GM205" s="458">
        <v>0</v>
      </c>
      <c r="GN205" s="458">
        <v>2</v>
      </c>
      <c r="GO205" s="458">
        <v>0</v>
      </c>
      <c r="GP205" s="458">
        <v>0</v>
      </c>
      <c r="GQ205" s="458">
        <v>0</v>
      </c>
      <c r="GR205" s="458">
        <v>0</v>
      </c>
      <c r="GS205" s="458">
        <v>0</v>
      </c>
      <c r="GT205" s="458">
        <v>0</v>
      </c>
      <c r="GU205" s="458">
        <v>0</v>
      </c>
      <c r="GV205" s="458">
        <v>0</v>
      </c>
      <c r="GW205" s="458">
        <v>0</v>
      </c>
      <c r="GX205" s="458">
        <v>5</v>
      </c>
      <c r="GY205" s="690"/>
      <c r="GZ205" s="41"/>
      <c r="HA205" s="41"/>
      <c r="HB205" s="105"/>
      <c r="HC205" s="105"/>
      <c r="HD205" s="41"/>
      <c r="HE205" s="41" t="s">
        <v>1233</v>
      </c>
      <c r="HF205" s="41">
        <v>0</v>
      </c>
      <c r="HG205" s="41">
        <v>2</v>
      </c>
      <c r="HH205" s="41">
        <v>1</v>
      </c>
      <c r="HI205" s="41">
        <v>0</v>
      </c>
      <c r="HJ205" s="41">
        <v>2</v>
      </c>
      <c r="HK205" s="41">
        <v>0</v>
      </c>
      <c r="HL205" s="41">
        <v>0</v>
      </c>
      <c r="HM205" s="41">
        <v>0</v>
      </c>
      <c r="HN205" s="41">
        <v>0</v>
      </c>
      <c r="HO205" s="41">
        <v>0</v>
      </c>
      <c r="HP205" s="41">
        <v>0</v>
      </c>
      <c r="HQ205" s="41">
        <v>0</v>
      </c>
      <c r="HR205" s="41">
        <v>0</v>
      </c>
      <c r="HS205" s="41">
        <v>0</v>
      </c>
      <c r="HT205" s="41">
        <v>0</v>
      </c>
      <c r="HU205" s="41">
        <v>0</v>
      </c>
      <c r="HV205" s="41">
        <v>5</v>
      </c>
      <c r="HW205" s="41"/>
      <c r="HX205" s="41"/>
      <c r="HY205" s="41"/>
      <c r="HZ205" s="41"/>
      <c r="IA205" s="691"/>
      <c r="IB205" s="691" t="s">
        <v>1233</v>
      </c>
      <c r="IC205" s="691">
        <v>0</v>
      </c>
      <c r="ID205" s="691">
        <v>0</v>
      </c>
      <c r="IE205" s="691">
        <v>1</v>
      </c>
      <c r="IF205" s="691">
        <v>0</v>
      </c>
      <c r="IG205" s="691">
        <v>0</v>
      </c>
      <c r="IH205" s="691">
        <v>0</v>
      </c>
      <c r="II205" s="691">
        <v>0</v>
      </c>
      <c r="IJ205" s="691">
        <v>1</v>
      </c>
      <c r="IK205" s="691">
        <v>0</v>
      </c>
      <c r="IL205" s="691">
        <v>0</v>
      </c>
      <c r="IM205" s="691">
        <v>0</v>
      </c>
      <c r="IN205" s="691">
        <v>0</v>
      </c>
      <c r="IO205" s="691">
        <v>0</v>
      </c>
      <c r="IP205" s="691">
        <v>0</v>
      </c>
      <c r="IQ205" s="691">
        <v>0</v>
      </c>
      <c r="IR205" s="691">
        <v>0</v>
      </c>
      <c r="IS205" s="691">
        <v>2</v>
      </c>
      <c r="IT205" s="691"/>
      <c r="IU205" s="692"/>
    </row>
    <row r="206" spans="2:255">
      <c r="D206" s="4800" t="s">
        <v>15</v>
      </c>
      <c r="E206" s="4606"/>
      <c r="F206" s="4606">
        <v>1</v>
      </c>
      <c r="G206" s="4606"/>
      <c r="H206" s="4606"/>
      <c r="I206" s="4606"/>
      <c r="J206" s="4606"/>
      <c r="K206" s="4606"/>
      <c r="L206" s="4606"/>
      <c r="M206" s="4606"/>
      <c r="N206" s="4606">
        <v>1</v>
      </c>
      <c r="O206" s="4606">
        <v>1</v>
      </c>
      <c r="P206" s="4606">
        <v>1</v>
      </c>
      <c r="Q206" s="4606">
        <v>1</v>
      </c>
      <c r="R206" s="4606">
        <v>5</v>
      </c>
      <c r="S206" s="2552">
        <v>2</v>
      </c>
      <c r="T206" s="2552"/>
      <c r="U206" s="2552">
        <v>12</v>
      </c>
      <c r="V206" s="1977">
        <f>+(U204+U205)/(U206)</f>
        <v>0.25</v>
      </c>
      <c r="AA206" s="1793" t="s">
        <v>15</v>
      </c>
      <c r="AB206" s="4804"/>
      <c r="AC206" s="4804">
        <v>1</v>
      </c>
      <c r="AD206" s="4804"/>
      <c r="AE206" s="4804"/>
      <c r="AF206" s="4804"/>
      <c r="AG206" s="4804"/>
      <c r="AH206" s="4804"/>
      <c r="AI206" s="4804"/>
      <c r="AJ206" s="4804"/>
      <c r="AK206" s="4804">
        <v>1</v>
      </c>
      <c r="AL206" s="4804">
        <v>1</v>
      </c>
      <c r="AM206" s="4804">
        <v>1</v>
      </c>
      <c r="AN206" s="4804">
        <v>6</v>
      </c>
      <c r="AO206" s="4804">
        <v>1</v>
      </c>
      <c r="AP206" s="4702">
        <v>1</v>
      </c>
      <c r="AQ206" s="4702">
        <v>12</v>
      </c>
      <c r="AR206" s="4703">
        <f>+AQ205/AQ206</f>
        <v>8.3333333333333329E-2</v>
      </c>
      <c r="AT206" s="41"/>
      <c r="AU206" s="41"/>
      <c r="AV206" s="41"/>
      <c r="AW206" s="41" t="s">
        <v>1344</v>
      </c>
      <c r="AX206" s="690"/>
      <c r="AY206" s="690"/>
      <c r="AZ206" s="690"/>
      <c r="BA206" s="690"/>
      <c r="BB206" s="690"/>
      <c r="BC206" s="690"/>
      <c r="BD206" s="690"/>
      <c r="BE206" s="690"/>
      <c r="BF206" s="690"/>
      <c r="BG206" s="690"/>
      <c r="BH206" s="690"/>
      <c r="BI206" s="690"/>
      <c r="BJ206" s="690">
        <v>2</v>
      </c>
      <c r="BK206" s="690"/>
      <c r="BL206" s="690"/>
      <c r="BM206" s="41"/>
      <c r="BN206" s="41"/>
      <c r="BO206" s="41">
        <v>2</v>
      </c>
      <c r="BP206" s="41"/>
      <c r="BR206" s="41"/>
      <c r="BS206" s="41"/>
      <c r="BT206" s="41"/>
      <c r="BU206" s="41" t="s">
        <v>1233</v>
      </c>
      <c r="BV206" s="2001">
        <v>0</v>
      </c>
      <c r="BW206" s="2001">
        <v>1</v>
      </c>
      <c r="BX206" s="2001">
        <v>0</v>
      </c>
      <c r="BY206" s="2001">
        <v>0</v>
      </c>
      <c r="BZ206" s="2001">
        <v>0</v>
      </c>
      <c r="CA206" s="2001">
        <v>0</v>
      </c>
      <c r="CB206" s="2001">
        <v>0</v>
      </c>
      <c r="CC206" s="2001">
        <v>1</v>
      </c>
      <c r="CD206" s="2001">
        <v>0</v>
      </c>
      <c r="CE206" s="2001">
        <v>0</v>
      </c>
      <c r="CF206" s="2001">
        <v>0</v>
      </c>
      <c r="CG206" s="2001">
        <v>0</v>
      </c>
      <c r="CH206" s="2001">
        <v>0</v>
      </c>
      <c r="CI206" s="2001">
        <v>0</v>
      </c>
      <c r="CJ206" s="2001">
        <v>0</v>
      </c>
      <c r="CK206" s="105">
        <v>0</v>
      </c>
      <c r="CL206" s="105">
        <v>0</v>
      </c>
      <c r="CM206" s="105">
        <v>2</v>
      </c>
      <c r="CN206" s="41"/>
      <c r="CS206" s="1663"/>
      <c r="CT206" s="1662"/>
      <c r="CU206" s="1662"/>
      <c r="CV206" s="1662"/>
      <c r="CW206" s="1662"/>
      <c r="CX206" s="1662"/>
      <c r="CY206" s="1662"/>
      <c r="CZ206" s="1662"/>
      <c r="DA206" s="1662"/>
      <c r="DB206" s="1662"/>
      <c r="DC206" s="1662"/>
      <c r="DD206" s="1662"/>
      <c r="DE206" s="1662"/>
      <c r="DF206" s="1662"/>
      <c r="DG206" s="1662"/>
      <c r="DH206" s="1662"/>
      <c r="DI206" s="1662"/>
      <c r="DJ206" s="1662"/>
      <c r="DK206" s="1662"/>
      <c r="DL206" s="1662"/>
      <c r="DM206" s="1663"/>
      <c r="DN206" s="1663"/>
      <c r="DO206" s="1663"/>
      <c r="DP206" s="1663"/>
      <c r="DQ206" s="1663"/>
      <c r="DR206" s="1663"/>
      <c r="DS206" s="1663"/>
      <c r="DT206" s="1663"/>
      <c r="DU206" s="1663"/>
      <c r="DV206" s="1663"/>
      <c r="DW206" s="1663"/>
      <c r="DX206" s="1663"/>
      <c r="DY206" s="1663"/>
      <c r="DZ206" s="1663"/>
      <c r="EA206" s="1663"/>
      <c r="EB206" s="1663"/>
      <c r="EC206" s="1663"/>
      <c r="ED206" s="1663"/>
      <c r="EE206" s="1663"/>
      <c r="EF206" s="1663"/>
      <c r="EG206" s="1663"/>
      <c r="EH206" s="1663"/>
      <c r="EI206" s="1663"/>
      <c r="EJ206" s="1663"/>
      <c r="FH206" s="41"/>
      <c r="FI206" s="41"/>
      <c r="FJ206" s="41"/>
      <c r="FK206" s="41"/>
      <c r="FL206" s="41"/>
      <c r="FM206" s="41"/>
      <c r="FN206" s="41"/>
      <c r="FO206" s="41"/>
      <c r="FP206" s="41"/>
      <c r="FQ206" s="41"/>
      <c r="FR206" s="41"/>
      <c r="FS206" s="41"/>
      <c r="FT206" s="41"/>
      <c r="FU206" s="41"/>
      <c r="FV206" s="41"/>
      <c r="FW206" s="41"/>
      <c r="FX206" s="41"/>
      <c r="FY206" s="41"/>
      <c r="FZ206" s="41"/>
      <c r="GA206" s="41"/>
      <c r="GB206" s="41"/>
      <c r="GC206" s="41"/>
      <c r="GD206" s="41"/>
      <c r="GE206" s="41"/>
      <c r="GF206" s="41"/>
      <c r="GG206" s="688"/>
      <c r="GH206" s="688"/>
      <c r="GI206" s="688"/>
      <c r="GJ206" s="457" t="s">
        <v>1235</v>
      </c>
      <c r="GK206" s="458">
        <v>0</v>
      </c>
      <c r="GL206" s="458">
        <v>0</v>
      </c>
      <c r="GM206" s="458">
        <v>0</v>
      </c>
      <c r="GN206" s="458">
        <v>0</v>
      </c>
      <c r="GO206" s="458">
        <v>1</v>
      </c>
      <c r="GP206" s="458">
        <v>6</v>
      </c>
      <c r="GQ206" s="458">
        <v>5</v>
      </c>
      <c r="GR206" s="458">
        <v>5</v>
      </c>
      <c r="GS206" s="458">
        <v>12</v>
      </c>
      <c r="GT206" s="458">
        <v>9</v>
      </c>
      <c r="GU206" s="458">
        <v>3</v>
      </c>
      <c r="GV206" s="458">
        <v>3</v>
      </c>
      <c r="GW206" s="458">
        <v>0</v>
      </c>
      <c r="GX206" s="458">
        <v>44</v>
      </c>
      <c r="GY206" s="690"/>
      <c r="GZ206" s="41"/>
      <c r="HA206" s="41"/>
      <c r="HB206" s="105"/>
      <c r="HC206" s="105"/>
      <c r="HD206" s="41"/>
      <c r="HE206" s="41" t="s">
        <v>1235</v>
      </c>
      <c r="HF206" s="41">
        <v>0</v>
      </c>
      <c r="HG206" s="41">
        <v>0</v>
      </c>
      <c r="HH206" s="41">
        <v>0</v>
      </c>
      <c r="HI206" s="41">
        <v>0</v>
      </c>
      <c r="HJ206" s="41">
        <v>0</v>
      </c>
      <c r="HK206" s="41">
        <v>0</v>
      </c>
      <c r="HL206" s="41">
        <v>0</v>
      </c>
      <c r="HM206" s="41">
        <v>0</v>
      </c>
      <c r="HN206" s="41">
        <v>5</v>
      </c>
      <c r="HO206" s="41">
        <v>3</v>
      </c>
      <c r="HP206" s="41">
        <v>4</v>
      </c>
      <c r="HQ206" s="41">
        <v>8</v>
      </c>
      <c r="HR206" s="41">
        <v>3</v>
      </c>
      <c r="HS206" s="41">
        <v>1</v>
      </c>
      <c r="HT206" s="41">
        <v>1</v>
      </c>
      <c r="HU206" s="41">
        <v>0</v>
      </c>
      <c r="HV206" s="41">
        <v>25</v>
      </c>
      <c r="HW206" s="41"/>
      <c r="HX206" s="41"/>
      <c r="HY206" s="41"/>
      <c r="HZ206" s="41"/>
      <c r="IA206" s="691"/>
      <c r="IB206" s="691" t="s">
        <v>1235</v>
      </c>
      <c r="IC206" s="691">
        <v>0</v>
      </c>
      <c r="ID206" s="691">
        <v>0</v>
      </c>
      <c r="IE206" s="691">
        <v>0</v>
      </c>
      <c r="IF206" s="691">
        <v>0</v>
      </c>
      <c r="IG206" s="691">
        <v>0</v>
      </c>
      <c r="IH206" s="691">
        <v>1</v>
      </c>
      <c r="II206" s="691">
        <v>0</v>
      </c>
      <c r="IJ206" s="691">
        <v>0</v>
      </c>
      <c r="IK206" s="691">
        <v>3</v>
      </c>
      <c r="IL206" s="691">
        <v>5</v>
      </c>
      <c r="IM206" s="691">
        <v>2</v>
      </c>
      <c r="IN206" s="691">
        <v>10</v>
      </c>
      <c r="IO206" s="691">
        <v>4</v>
      </c>
      <c r="IP206" s="691">
        <v>4</v>
      </c>
      <c r="IQ206" s="691">
        <v>3</v>
      </c>
      <c r="IR206" s="691">
        <v>0</v>
      </c>
      <c r="IS206" s="691">
        <v>32</v>
      </c>
      <c r="IT206" s="691"/>
      <c r="IU206" s="692"/>
    </row>
    <row r="207" spans="2:255">
      <c r="C207" s="32" t="s">
        <v>549</v>
      </c>
      <c r="D207" s="32" t="s">
        <v>1230</v>
      </c>
      <c r="E207" s="4607"/>
      <c r="F207" s="4607">
        <v>0</v>
      </c>
      <c r="G207" s="4607"/>
      <c r="H207" s="4607"/>
      <c r="I207" s="4607"/>
      <c r="J207" s="4607"/>
      <c r="K207" s="4607"/>
      <c r="L207" s="4607"/>
      <c r="M207" s="4607"/>
      <c r="N207" s="4607">
        <v>0</v>
      </c>
      <c r="O207" s="4607">
        <v>0</v>
      </c>
      <c r="P207" s="4607">
        <v>0</v>
      </c>
      <c r="Q207" s="4607">
        <v>0</v>
      </c>
      <c r="R207" s="4607">
        <v>1</v>
      </c>
      <c r="S207" s="4583">
        <v>0</v>
      </c>
      <c r="T207" s="4583"/>
      <c r="U207" s="4583">
        <v>1</v>
      </c>
      <c r="V207" s="4583"/>
      <c r="Z207" s="1793" t="s">
        <v>549</v>
      </c>
      <c r="AA207" s="1793" t="s">
        <v>1231</v>
      </c>
      <c r="AB207" s="4804"/>
      <c r="AC207" s="4804">
        <v>1</v>
      </c>
      <c r="AD207" s="4804"/>
      <c r="AE207" s="4804"/>
      <c r="AF207" s="4804"/>
      <c r="AG207" s="4804"/>
      <c r="AH207" s="4804"/>
      <c r="AI207" s="4804"/>
      <c r="AJ207" s="4804"/>
      <c r="AK207" s="4804">
        <v>0</v>
      </c>
      <c r="AL207" s="4804">
        <v>1</v>
      </c>
      <c r="AM207" s="4804">
        <v>1</v>
      </c>
      <c r="AN207" s="4804">
        <v>0</v>
      </c>
      <c r="AO207" s="4804">
        <v>0</v>
      </c>
      <c r="AP207" s="4702">
        <v>0</v>
      </c>
      <c r="AQ207" s="4702">
        <v>3</v>
      </c>
      <c r="AT207" s="41"/>
      <c r="AU207" s="41"/>
      <c r="AV207" s="41"/>
      <c r="AW207" s="461" t="s">
        <v>15</v>
      </c>
      <c r="AX207" s="2489"/>
      <c r="AY207" s="2489"/>
      <c r="AZ207" s="2489"/>
      <c r="BA207" s="2489"/>
      <c r="BB207" s="2489"/>
      <c r="BC207" s="2489"/>
      <c r="BD207" s="2489"/>
      <c r="BE207" s="2489"/>
      <c r="BF207" s="2489"/>
      <c r="BG207" s="2489"/>
      <c r="BH207" s="2489"/>
      <c r="BI207" s="2489"/>
      <c r="BJ207" s="2489">
        <v>7</v>
      </c>
      <c r="BK207" s="2489"/>
      <c r="BL207" s="2489"/>
      <c r="BM207" s="461"/>
      <c r="BN207" s="461"/>
      <c r="BO207" s="461">
        <v>7</v>
      </c>
      <c r="BP207" s="635">
        <f>+(BO206+BO205)/BO207</f>
        <v>0.42857142857142855</v>
      </c>
      <c r="BQ207" s="1977"/>
      <c r="BR207" s="41"/>
      <c r="BS207" s="41"/>
      <c r="BT207" s="41"/>
      <c r="BU207" s="41" t="s">
        <v>1235</v>
      </c>
      <c r="BV207" s="2001">
        <v>0</v>
      </c>
      <c r="BW207" s="2001">
        <v>0</v>
      </c>
      <c r="BX207" s="2001">
        <v>0</v>
      </c>
      <c r="BY207" s="2001">
        <v>0</v>
      </c>
      <c r="BZ207" s="2001">
        <v>0</v>
      </c>
      <c r="CA207" s="2001">
        <v>0</v>
      </c>
      <c r="CB207" s="2001">
        <v>0</v>
      </c>
      <c r="CC207" s="2001">
        <v>1</v>
      </c>
      <c r="CD207" s="2001">
        <v>0</v>
      </c>
      <c r="CE207" s="2001">
        <v>2</v>
      </c>
      <c r="CF207" s="2001">
        <v>0</v>
      </c>
      <c r="CG207" s="2001">
        <v>1</v>
      </c>
      <c r="CH207" s="2001">
        <v>16</v>
      </c>
      <c r="CI207" s="2001">
        <v>14</v>
      </c>
      <c r="CJ207" s="2001">
        <v>2</v>
      </c>
      <c r="CK207" s="105">
        <v>1</v>
      </c>
      <c r="CL207" s="105">
        <v>0</v>
      </c>
      <c r="CM207" s="105">
        <v>37</v>
      </c>
      <c r="CN207" s="41"/>
      <c r="CT207" s="1662"/>
      <c r="CU207" s="1662"/>
      <c r="CV207" s="1662"/>
      <c r="CW207" s="1662"/>
      <c r="CX207" s="1662"/>
      <c r="CY207" s="1662"/>
      <c r="CZ207" s="1662"/>
      <c r="DA207" s="1662"/>
      <c r="DB207" s="1662"/>
      <c r="DC207" s="1662"/>
      <c r="DD207" s="1662"/>
      <c r="DE207" s="1662"/>
      <c r="DF207" s="1662"/>
      <c r="DG207" s="1662"/>
      <c r="DH207" s="1662"/>
      <c r="DI207" s="1662"/>
      <c r="DJ207" s="1662"/>
      <c r="DK207" s="1662"/>
      <c r="DL207" s="1662"/>
      <c r="FH207" s="41"/>
      <c r="FI207" s="41"/>
      <c r="FJ207" s="41"/>
      <c r="FK207" s="41"/>
      <c r="FL207" s="41"/>
      <c r="FM207" s="41"/>
      <c r="FN207" s="41"/>
      <c r="FO207" s="41"/>
      <c r="FP207" s="41"/>
      <c r="FQ207" s="41"/>
      <c r="FR207" s="41"/>
      <c r="FS207" s="41"/>
      <c r="FT207" s="41"/>
      <c r="FU207" s="41"/>
      <c r="FV207" s="41"/>
      <c r="FW207" s="41"/>
      <c r="FX207" s="41"/>
      <c r="FY207" s="41"/>
      <c r="FZ207" s="41"/>
      <c r="GA207" s="41"/>
      <c r="GB207" s="41"/>
      <c r="GC207" s="41"/>
      <c r="GD207" s="41"/>
      <c r="GE207" s="41"/>
      <c r="GF207" s="41"/>
      <c r="GG207" s="688"/>
      <c r="GH207" s="688"/>
      <c r="GI207" s="688"/>
      <c r="GJ207" s="457" t="s">
        <v>1236</v>
      </c>
      <c r="GK207" s="458">
        <v>0</v>
      </c>
      <c r="GL207" s="458">
        <v>1</v>
      </c>
      <c r="GM207" s="458">
        <v>7</v>
      </c>
      <c r="GN207" s="458">
        <v>3</v>
      </c>
      <c r="GO207" s="458">
        <v>3</v>
      </c>
      <c r="GP207" s="458">
        <v>3</v>
      </c>
      <c r="GQ207" s="458">
        <v>3</v>
      </c>
      <c r="GR207" s="458">
        <v>2</v>
      </c>
      <c r="GS207" s="458">
        <v>2</v>
      </c>
      <c r="GT207" s="458">
        <v>0</v>
      </c>
      <c r="GU207" s="458">
        <v>0</v>
      </c>
      <c r="GV207" s="458">
        <v>0</v>
      </c>
      <c r="GW207" s="458">
        <v>0</v>
      </c>
      <c r="GX207" s="458">
        <v>24</v>
      </c>
      <c r="GY207" s="690"/>
      <c r="GZ207" s="41"/>
      <c r="HA207" s="41"/>
      <c r="HB207" s="105"/>
      <c r="HC207" s="105"/>
      <c r="HD207" s="41"/>
      <c r="HE207" s="41" t="s">
        <v>1236</v>
      </c>
      <c r="HF207" s="41">
        <v>0</v>
      </c>
      <c r="HG207" s="41">
        <v>1</v>
      </c>
      <c r="HH207" s="41">
        <v>2</v>
      </c>
      <c r="HI207" s="41">
        <v>0</v>
      </c>
      <c r="HJ207" s="41">
        <v>0</v>
      </c>
      <c r="HK207" s="41">
        <v>1</v>
      </c>
      <c r="HL207" s="41">
        <v>2</v>
      </c>
      <c r="HM207" s="41">
        <v>1</v>
      </c>
      <c r="HN207" s="41">
        <v>0</v>
      </c>
      <c r="HO207" s="41">
        <v>0</v>
      </c>
      <c r="HP207" s="41">
        <v>1</v>
      </c>
      <c r="HQ207" s="41">
        <v>14</v>
      </c>
      <c r="HR207" s="41">
        <v>0</v>
      </c>
      <c r="HS207" s="41">
        <v>0</v>
      </c>
      <c r="HT207" s="41">
        <v>0</v>
      </c>
      <c r="HU207" s="41">
        <v>0</v>
      </c>
      <c r="HV207" s="41">
        <v>22</v>
      </c>
      <c r="HW207" s="41"/>
      <c r="HX207" s="41"/>
      <c r="HY207" s="41"/>
      <c r="HZ207" s="41"/>
      <c r="IA207" s="691"/>
      <c r="IB207" s="691" t="s">
        <v>1236</v>
      </c>
      <c r="IC207" s="691">
        <v>1</v>
      </c>
      <c r="ID207" s="691">
        <v>1</v>
      </c>
      <c r="IE207" s="691">
        <v>0</v>
      </c>
      <c r="IF207" s="691">
        <v>0</v>
      </c>
      <c r="IG207" s="691">
        <v>2</v>
      </c>
      <c r="IH207" s="691">
        <v>0</v>
      </c>
      <c r="II207" s="691">
        <v>2</v>
      </c>
      <c r="IJ207" s="691">
        <v>1</v>
      </c>
      <c r="IK207" s="691">
        <v>3</v>
      </c>
      <c r="IL207" s="691">
        <v>0</v>
      </c>
      <c r="IM207" s="691">
        <v>1</v>
      </c>
      <c r="IN207" s="691">
        <v>4</v>
      </c>
      <c r="IO207" s="691">
        <v>0</v>
      </c>
      <c r="IP207" s="691">
        <v>0</v>
      </c>
      <c r="IQ207" s="691">
        <v>0</v>
      </c>
      <c r="IR207" s="691">
        <v>0</v>
      </c>
      <c r="IS207" s="691">
        <v>15</v>
      </c>
      <c r="IT207" s="691"/>
      <c r="IU207" s="692"/>
    </row>
    <row r="208" spans="2:255">
      <c r="C208" s="32"/>
      <c r="D208" s="32" t="s">
        <v>1231</v>
      </c>
      <c r="E208" s="4607"/>
      <c r="F208" s="4607">
        <v>1</v>
      </c>
      <c r="G208" s="4607"/>
      <c r="H208" s="4607"/>
      <c r="I208" s="4607"/>
      <c r="J208" s="4607"/>
      <c r="K208" s="4607"/>
      <c r="L208" s="4607"/>
      <c r="M208" s="4607"/>
      <c r="N208" s="4607">
        <v>0</v>
      </c>
      <c r="O208" s="4607">
        <v>1</v>
      </c>
      <c r="P208" s="4607">
        <v>1</v>
      </c>
      <c r="Q208" s="4607">
        <v>0</v>
      </c>
      <c r="R208" s="4607">
        <v>0</v>
      </c>
      <c r="S208" s="4583">
        <v>0</v>
      </c>
      <c r="T208" s="4583"/>
      <c r="U208" s="4583">
        <v>3</v>
      </c>
      <c r="V208" s="4583"/>
      <c r="AA208" s="1793" t="s">
        <v>1239</v>
      </c>
      <c r="AB208" s="4804"/>
      <c r="AC208" s="4804">
        <v>0</v>
      </c>
      <c r="AD208" s="4804"/>
      <c r="AE208" s="4804"/>
      <c r="AF208" s="4804"/>
      <c r="AG208" s="4804"/>
      <c r="AH208" s="4804"/>
      <c r="AI208" s="4804"/>
      <c r="AJ208" s="4804"/>
      <c r="AK208" s="4804">
        <v>0</v>
      </c>
      <c r="AL208" s="4804">
        <v>0</v>
      </c>
      <c r="AM208" s="4804">
        <v>0</v>
      </c>
      <c r="AN208" s="4804">
        <v>6</v>
      </c>
      <c r="AO208" s="4804">
        <v>1</v>
      </c>
      <c r="AP208" s="4702">
        <v>1</v>
      </c>
      <c r="AQ208" s="4702">
        <v>8</v>
      </c>
      <c r="AT208" s="41"/>
      <c r="AU208" s="41"/>
      <c r="AV208" s="461" t="s">
        <v>546</v>
      </c>
      <c r="AW208" s="461" t="s">
        <v>1231</v>
      </c>
      <c r="AX208" s="2489"/>
      <c r="AY208" s="2489"/>
      <c r="AZ208" s="2489"/>
      <c r="BA208" s="2489"/>
      <c r="BB208" s="2489"/>
      <c r="BC208" s="2489"/>
      <c r="BD208" s="2489"/>
      <c r="BE208" s="2489"/>
      <c r="BF208" s="2489"/>
      <c r="BG208" s="2489"/>
      <c r="BH208" s="2489"/>
      <c r="BI208" s="2489"/>
      <c r="BJ208" s="2489">
        <v>4</v>
      </c>
      <c r="BK208" s="2489"/>
      <c r="BL208" s="2489"/>
      <c r="BM208" s="461"/>
      <c r="BN208" s="461"/>
      <c r="BO208" s="461">
        <v>4</v>
      </c>
      <c r="BP208" s="41"/>
      <c r="BR208" s="41"/>
      <c r="BS208" s="41"/>
      <c r="BT208" s="41"/>
      <c r="BU208" s="41" t="s">
        <v>1236</v>
      </c>
      <c r="BV208" s="2001">
        <v>0</v>
      </c>
      <c r="BW208" s="2001">
        <v>0</v>
      </c>
      <c r="BX208" s="2001">
        <v>0</v>
      </c>
      <c r="BY208" s="2001">
        <v>0</v>
      </c>
      <c r="BZ208" s="2001">
        <v>0</v>
      </c>
      <c r="CA208" s="2001">
        <v>0</v>
      </c>
      <c r="CB208" s="2001">
        <v>0</v>
      </c>
      <c r="CC208" s="2001">
        <v>1</v>
      </c>
      <c r="CD208" s="2001">
        <v>0</v>
      </c>
      <c r="CE208" s="2001">
        <v>2</v>
      </c>
      <c r="CF208" s="2001">
        <v>0</v>
      </c>
      <c r="CG208" s="2001">
        <v>0</v>
      </c>
      <c r="CH208" s="2001">
        <v>0</v>
      </c>
      <c r="CI208" s="2001">
        <v>0</v>
      </c>
      <c r="CJ208" s="2001">
        <v>0</v>
      </c>
      <c r="CK208" s="105">
        <v>0</v>
      </c>
      <c r="CL208" s="105">
        <v>0</v>
      </c>
      <c r="CM208" s="105">
        <v>3</v>
      </c>
      <c r="CN208" s="41"/>
      <c r="CT208" s="1662"/>
      <c r="CU208" s="1662"/>
      <c r="CV208" s="1662"/>
      <c r="CW208" s="1662"/>
      <c r="CX208" s="1662"/>
      <c r="CY208" s="1662"/>
      <c r="CZ208" s="1662"/>
      <c r="DA208" s="1662"/>
      <c r="DB208" s="1662"/>
      <c r="DC208" s="1662"/>
      <c r="DD208" s="1662"/>
      <c r="DE208" s="1662"/>
      <c r="DF208" s="1662"/>
      <c r="DG208" s="1662"/>
      <c r="DH208" s="1662"/>
      <c r="DI208" s="1662"/>
      <c r="DJ208" s="1662"/>
      <c r="DK208" s="1662"/>
      <c r="DL208" s="1662"/>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688"/>
      <c r="GH208" s="688"/>
      <c r="GI208" s="688"/>
      <c r="GJ208" s="457" t="s">
        <v>1239</v>
      </c>
      <c r="GK208" s="458">
        <v>0</v>
      </c>
      <c r="GL208" s="458">
        <v>0</v>
      </c>
      <c r="GM208" s="458">
        <v>0</v>
      </c>
      <c r="GN208" s="458">
        <v>0</v>
      </c>
      <c r="GO208" s="458">
        <v>2</v>
      </c>
      <c r="GP208" s="458">
        <v>1</v>
      </c>
      <c r="GQ208" s="458">
        <v>0</v>
      </c>
      <c r="GR208" s="458">
        <v>0</v>
      </c>
      <c r="GS208" s="458">
        <v>1</v>
      </c>
      <c r="GT208" s="458">
        <v>8</v>
      </c>
      <c r="GU208" s="458">
        <v>43</v>
      </c>
      <c r="GV208" s="458">
        <v>3</v>
      </c>
      <c r="GW208" s="458">
        <v>17</v>
      </c>
      <c r="GX208" s="458">
        <v>75</v>
      </c>
      <c r="GY208" s="690"/>
      <c r="GZ208" s="41"/>
      <c r="HA208" s="41"/>
      <c r="HB208" s="105"/>
      <c r="HC208" s="105"/>
      <c r="HD208" s="41"/>
      <c r="HE208" s="41" t="s">
        <v>1239</v>
      </c>
      <c r="HF208" s="41">
        <v>0</v>
      </c>
      <c r="HG208" s="41">
        <v>0</v>
      </c>
      <c r="HH208" s="41">
        <v>0</v>
      </c>
      <c r="HI208" s="41">
        <v>0</v>
      </c>
      <c r="HJ208" s="41">
        <v>0</v>
      </c>
      <c r="HK208" s="41">
        <v>0</v>
      </c>
      <c r="HL208" s="41">
        <v>0</v>
      </c>
      <c r="HM208" s="41">
        <v>0</v>
      </c>
      <c r="HN208" s="41">
        <v>0</v>
      </c>
      <c r="HO208" s="41">
        <v>2</v>
      </c>
      <c r="HP208" s="41">
        <v>2</v>
      </c>
      <c r="HQ208" s="41">
        <v>1</v>
      </c>
      <c r="HR208" s="41">
        <v>4</v>
      </c>
      <c r="HS208" s="41">
        <v>25</v>
      </c>
      <c r="HT208" s="41">
        <v>8</v>
      </c>
      <c r="HU208" s="41">
        <v>21</v>
      </c>
      <c r="HV208" s="41">
        <v>63</v>
      </c>
      <c r="HW208" s="41"/>
      <c r="HX208" s="41"/>
      <c r="HY208" s="41"/>
      <c r="HZ208" s="41"/>
      <c r="IA208" s="691"/>
      <c r="IB208" s="691" t="s">
        <v>1239</v>
      </c>
      <c r="IC208" s="691">
        <v>0</v>
      </c>
      <c r="ID208" s="691">
        <v>0</v>
      </c>
      <c r="IE208" s="691">
        <v>0</v>
      </c>
      <c r="IF208" s="691">
        <v>0</v>
      </c>
      <c r="IG208" s="691">
        <v>0</v>
      </c>
      <c r="IH208" s="691">
        <v>0</v>
      </c>
      <c r="II208" s="691">
        <v>0</v>
      </c>
      <c r="IJ208" s="691">
        <v>1</v>
      </c>
      <c r="IK208" s="691">
        <v>0</v>
      </c>
      <c r="IL208" s="691">
        <v>0</v>
      </c>
      <c r="IM208" s="691">
        <v>1</v>
      </c>
      <c r="IN208" s="691">
        <v>0</v>
      </c>
      <c r="IO208" s="691">
        <v>5</v>
      </c>
      <c r="IP208" s="691">
        <v>15</v>
      </c>
      <c r="IQ208" s="691">
        <v>7</v>
      </c>
      <c r="IR208" s="691">
        <v>19</v>
      </c>
      <c r="IS208" s="691">
        <v>48</v>
      </c>
      <c r="IT208" s="691"/>
      <c r="IU208" s="692"/>
    </row>
    <row r="209" spans="3:255">
      <c r="C209" s="32"/>
      <c r="D209" s="32" t="s">
        <v>1239</v>
      </c>
      <c r="E209" s="4607"/>
      <c r="F209" s="4607">
        <v>0</v>
      </c>
      <c r="G209" s="4607"/>
      <c r="H209" s="4607"/>
      <c r="I209" s="4607"/>
      <c r="J209" s="4607"/>
      <c r="K209" s="4607"/>
      <c r="L209" s="4607"/>
      <c r="M209" s="4607"/>
      <c r="N209" s="4607">
        <v>0</v>
      </c>
      <c r="O209" s="4607">
        <v>0</v>
      </c>
      <c r="P209" s="4607">
        <v>0</v>
      </c>
      <c r="Q209" s="4607">
        <v>0</v>
      </c>
      <c r="R209" s="4607">
        <v>4</v>
      </c>
      <c r="S209" s="4583">
        <v>1</v>
      </c>
      <c r="T209" s="4583"/>
      <c r="U209" s="4583">
        <v>5</v>
      </c>
      <c r="V209" s="4583"/>
      <c r="AA209" s="1793" t="s">
        <v>1344</v>
      </c>
      <c r="AB209" s="4804"/>
      <c r="AC209" s="4804">
        <v>0</v>
      </c>
      <c r="AD209" s="4804"/>
      <c r="AE209" s="4804"/>
      <c r="AF209" s="4804"/>
      <c r="AG209" s="4804"/>
      <c r="AH209" s="4804"/>
      <c r="AI209" s="4804"/>
      <c r="AJ209" s="4804"/>
      <c r="AK209" s="4804">
        <v>1</v>
      </c>
      <c r="AL209" s="4804">
        <v>0</v>
      </c>
      <c r="AM209" s="4804">
        <v>0</v>
      </c>
      <c r="AN209" s="4804">
        <v>0</v>
      </c>
      <c r="AO209" s="4804">
        <v>0</v>
      </c>
      <c r="AP209" s="4702">
        <v>0</v>
      </c>
      <c r="AQ209" s="4702">
        <v>1</v>
      </c>
      <c r="AT209" s="41"/>
      <c r="AU209" s="41"/>
      <c r="AV209" s="461"/>
      <c r="AW209" s="461" t="s">
        <v>1240</v>
      </c>
      <c r="AX209" s="2489"/>
      <c r="AY209" s="2489"/>
      <c r="AZ209" s="2489"/>
      <c r="BA209" s="2489"/>
      <c r="BB209" s="2489"/>
      <c r="BC209" s="2489"/>
      <c r="BD209" s="2489"/>
      <c r="BE209" s="2489"/>
      <c r="BF209" s="2489"/>
      <c r="BG209" s="2489"/>
      <c r="BH209" s="2489"/>
      <c r="BI209" s="2489"/>
      <c r="BJ209" s="2489">
        <v>1</v>
      </c>
      <c r="BK209" s="2489"/>
      <c r="BL209" s="2489"/>
      <c r="BM209" s="461"/>
      <c r="BN209" s="461"/>
      <c r="BO209" s="461">
        <v>1</v>
      </c>
      <c r="BP209" s="41"/>
      <c r="BR209" s="41"/>
      <c r="BS209" s="41"/>
      <c r="BT209" s="41"/>
      <c r="BU209" s="41" t="s">
        <v>1239</v>
      </c>
      <c r="BV209" s="2001">
        <v>0</v>
      </c>
      <c r="BW209" s="2001">
        <v>0</v>
      </c>
      <c r="BX209" s="2001">
        <v>0</v>
      </c>
      <c r="BY209" s="2001">
        <v>0</v>
      </c>
      <c r="BZ209" s="2001">
        <v>0</v>
      </c>
      <c r="CA209" s="2001">
        <v>0</v>
      </c>
      <c r="CB209" s="2001">
        <v>0</v>
      </c>
      <c r="CC209" s="2001">
        <v>0</v>
      </c>
      <c r="CD209" s="2001">
        <v>0</v>
      </c>
      <c r="CE209" s="2001">
        <v>0</v>
      </c>
      <c r="CF209" s="2001">
        <v>0</v>
      </c>
      <c r="CG209" s="2001">
        <v>1</v>
      </c>
      <c r="CH209" s="2001">
        <v>0</v>
      </c>
      <c r="CI209" s="2001">
        <v>0</v>
      </c>
      <c r="CJ209" s="2001">
        <v>41</v>
      </c>
      <c r="CK209" s="105">
        <v>5</v>
      </c>
      <c r="CL209" s="105">
        <v>27</v>
      </c>
      <c r="CM209" s="105">
        <v>74</v>
      </c>
      <c r="CN209" s="41"/>
      <c r="CT209" s="1662"/>
      <c r="CU209" s="1662"/>
      <c r="CV209" s="1662"/>
      <c r="CW209" s="1662"/>
      <c r="CX209" s="1662"/>
      <c r="CY209" s="1662"/>
      <c r="CZ209" s="1662"/>
      <c r="DA209" s="1662"/>
      <c r="DB209" s="1662"/>
      <c r="DC209" s="1662"/>
      <c r="DD209" s="1662"/>
      <c r="DE209" s="1662"/>
      <c r="DF209" s="1662"/>
      <c r="DG209" s="1662"/>
      <c r="DH209" s="1662"/>
      <c r="DI209" s="1662"/>
      <c r="DJ209" s="1662"/>
      <c r="DK209" s="1662"/>
      <c r="DL209" s="1662"/>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688"/>
      <c r="GH209" s="688"/>
      <c r="GI209" s="688"/>
      <c r="GJ209" s="457" t="s">
        <v>1240</v>
      </c>
      <c r="GK209" s="458">
        <v>0</v>
      </c>
      <c r="GL209" s="458">
        <v>0</v>
      </c>
      <c r="GM209" s="458">
        <v>0</v>
      </c>
      <c r="GN209" s="458">
        <v>0</v>
      </c>
      <c r="GO209" s="458">
        <v>0</v>
      </c>
      <c r="GP209" s="458">
        <v>1</v>
      </c>
      <c r="GQ209" s="458">
        <v>0</v>
      </c>
      <c r="GR209" s="458">
        <v>0</v>
      </c>
      <c r="GS209" s="458">
        <v>0</v>
      </c>
      <c r="GT209" s="458">
        <v>3</v>
      </c>
      <c r="GU209" s="458">
        <v>1</v>
      </c>
      <c r="GV209" s="458">
        <v>0</v>
      </c>
      <c r="GW209" s="458">
        <v>0</v>
      </c>
      <c r="GX209" s="458">
        <v>5</v>
      </c>
      <c r="GY209" s="690"/>
      <c r="GZ209" s="41"/>
      <c r="HA209" s="41"/>
      <c r="HB209" s="105"/>
      <c r="HC209" s="105"/>
      <c r="HD209" s="41"/>
      <c r="HE209" s="41" t="s">
        <v>1240</v>
      </c>
      <c r="HF209" s="41">
        <v>0</v>
      </c>
      <c r="HG209" s="41">
        <v>0</v>
      </c>
      <c r="HH209" s="41">
        <v>0</v>
      </c>
      <c r="HI209" s="41">
        <v>0</v>
      </c>
      <c r="HJ209" s="41">
        <v>0</v>
      </c>
      <c r="HK209" s="41">
        <v>0</v>
      </c>
      <c r="HL209" s="41">
        <v>0</v>
      </c>
      <c r="HM209" s="41">
        <v>0</v>
      </c>
      <c r="HN209" s="41">
        <v>5</v>
      </c>
      <c r="HO209" s="41">
        <v>3</v>
      </c>
      <c r="HP209" s="41">
        <v>2</v>
      </c>
      <c r="HQ209" s="41">
        <v>3</v>
      </c>
      <c r="HR209" s="41">
        <v>0</v>
      </c>
      <c r="HS209" s="41">
        <v>1</v>
      </c>
      <c r="HT209" s="41">
        <v>0</v>
      </c>
      <c r="HU209" s="41">
        <v>0</v>
      </c>
      <c r="HV209" s="41">
        <v>14</v>
      </c>
      <c r="HW209" s="41"/>
      <c r="HX209" s="41"/>
      <c r="HY209" s="41"/>
      <c r="HZ209" s="41"/>
      <c r="IA209" s="691"/>
      <c r="IB209" s="691" t="s">
        <v>1240</v>
      </c>
      <c r="IC209" s="691">
        <v>0</v>
      </c>
      <c r="ID209" s="691">
        <v>0</v>
      </c>
      <c r="IE209" s="691">
        <v>0</v>
      </c>
      <c r="IF209" s="691">
        <v>0</v>
      </c>
      <c r="IG209" s="691">
        <v>0</v>
      </c>
      <c r="IH209" s="691">
        <v>0</v>
      </c>
      <c r="II209" s="691">
        <v>0</v>
      </c>
      <c r="IJ209" s="691">
        <v>0</v>
      </c>
      <c r="IK209" s="691">
        <v>0</v>
      </c>
      <c r="IL209" s="691">
        <v>2</v>
      </c>
      <c r="IM209" s="691">
        <v>0</v>
      </c>
      <c r="IN209" s="691">
        <v>1</v>
      </c>
      <c r="IO209" s="691">
        <v>2</v>
      </c>
      <c r="IP209" s="691">
        <v>0</v>
      </c>
      <c r="IQ209" s="691">
        <v>0</v>
      </c>
      <c r="IR209" s="691">
        <v>0</v>
      </c>
      <c r="IS209" s="691">
        <v>5</v>
      </c>
      <c r="IT209" s="691"/>
      <c r="IU209" s="692"/>
    </row>
    <row r="210" spans="3:255">
      <c r="C210" s="32"/>
      <c r="D210" s="32" t="s">
        <v>1240</v>
      </c>
      <c r="E210" s="4607"/>
      <c r="F210" s="4607">
        <v>0</v>
      </c>
      <c r="G210" s="4607"/>
      <c r="H210" s="4607"/>
      <c r="I210" s="4607"/>
      <c r="J210" s="4607"/>
      <c r="K210" s="4607"/>
      <c r="L210" s="4607"/>
      <c r="M210" s="4607"/>
      <c r="N210" s="4607">
        <v>0</v>
      </c>
      <c r="O210" s="4607">
        <v>0</v>
      </c>
      <c r="P210" s="4607">
        <v>0</v>
      </c>
      <c r="Q210" s="4607">
        <v>1</v>
      </c>
      <c r="R210" s="4607">
        <v>0</v>
      </c>
      <c r="S210" s="4583">
        <v>1</v>
      </c>
      <c r="T210" s="4583"/>
      <c r="U210" s="4583">
        <v>2</v>
      </c>
      <c r="V210" s="4583"/>
      <c r="AA210" s="1793" t="s">
        <v>549</v>
      </c>
      <c r="AB210" s="4804"/>
      <c r="AC210" s="4804">
        <v>1</v>
      </c>
      <c r="AD210" s="4804"/>
      <c r="AE210" s="4804"/>
      <c r="AF210" s="4804"/>
      <c r="AG210" s="4804"/>
      <c r="AH210" s="4804"/>
      <c r="AI210" s="4804"/>
      <c r="AJ210" s="4804"/>
      <c r="AK210" s="4804">
        <v>1</v>
      </c>
      <c r="AL210" s="4804">
        <v>1</v>
      </c>
      <c r="AM210" s="4804">
        <v>1</v>
      </c>
      <c r="AN210" s="4804">
        <v>6</v>
      </c>
      <c r="AO210" s="4804">
        <v>1</v>
      </c>
      <c r="AP210" s="4702">
        <v>1</v>
      </c>
      <c r="AQ210" s="4702">
        <v>12</v>
      </c>
      <c r="AR210" s="4703">
        <f>+AQ209/AQ210</f>
        <v>8.3333333333333329E-2</v>
      </c>
      <c r="AT210" s="41"/>
      <c r="AU210" s="41"/>
      <c r="AV210" s="461"/>
      <c r="AW210" s="461" t="s">
        <v>1344</v>
      </c>
      <c r="AX210" s="2489"/>
      <c r="AY210" s="2489"/>
      <c r="AZ210" s="2489"/>
      <c r="BA210" s="2489"/>
      <c r="BB210" s="2489"/>
      <c r="BC210" s="2489"/>
      <c r="BD210" s="2489"/>
      <c r="BE210" s="2489"/>
      <c r="BF210" s="2489"/>
      <c r="BG210" s="2489"/>
      <c r="BH210" s="2489"/>
      <c r="BI210" s="2489"/>
      <c r="BJ210" s="2489">
        <v>2</v>
      </c>
      <c r="BK210" s="2489"/>
      <c r="BL210" s="2489"/>
      <c r="BM210" s="461"/>
      <c r="BN210" s="461"/>
      <c r="BO210" s="461">
        <v>2</v>
      </c>
      <c r="BP210" s="41"/>
      <c r="BR210" s="41"/>
      <c r="BS210" s="41"/>
      <c r="BT210" s="41"/>
      <c r="BU210" s="41" t="s">
        <v>1240</v>
      </c>
      <c r="BV210" s="2001">
        <v>0</v>
      </c>
      <c r="BW210" s="2001">
        <v>0</v>
      </c>
      <c r="BX210" s="2001">
        <v>0</v>
      </c>
      <c r="BY210" s="2001">
        <v>0</v>
      </c>
      <c r="BZ210" s="2001">
        <v>0</v>
      </c>
      <c r="CA210" s="2001">
        <v>0</v>
      </c>
      <c r="CB210" s="2001">
        <v>0</v>
      </c>
      <c r="CC210" s="2001">
        <v>0</v>
      </c>
      <c r="CD210" s="2001">
        <v>0</v>
      </c>
      <c r="CE210" s="2001">
        <v>1</v>
      </c>
      <c r="CF210" s="2001">
        <v>0</v>
      </c>
      <c r="CG210" s="2001">
        <v>1</v>
      </c>
      <c r="CH210" s="2001">
        <v>6</v>
      </c>
      <c r="CI210" s="2001">
        <v>0</v>
      </c>
      <c r="CJ210" s="2001">
        <v>2</v>
      </c>
      <c r="CK210" s="105">
        <v>1</v>
      </c>
      <c r="CL210" s="105">
        <v>0</v>
      </c>
      <c r="CM210" s="105">
        <v>11</v>
      </c>
      <c r="CN210" s="41"/>
      <c r="CS210" s="1663"/>
      <c r="CT210" s="1662"/>
      <c r="CU210" s="1662"/>
      <c r="CV210" s="1662"/>
      <c r="CW210" s="1662"/>
      <c r="CX210" s="1662"/>
      <c r="CY210" s="1662"/>
      <c r="CZ210" s="1662"/>
      <c r="DA210" s="1662"/>
      <c r="DB210" s="1662"/>
      <c r="DC210" s="1662"/>
      <c r="DD210" s="1662"/>
      <c r="DE210" s="1662"/>
      <c r="DF210" s="1662"/>
      <c r="DG210" s="1662"/>
      <c r="DH210" s="1662"/>
      <c r="DI210" s="1662"/>
      <c r="DJ210" s="1662"/>
      <c r="DK210" s="1662"/>
      <c r="DL210" s="1662"/>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688"/>
      <c r="GH210" s="688"/>
      <c r="GI210" s="688"/>
      <c r="GJ210" s="457" t="s">
        <v>1344</v>
      </c>
      <c r="GK210" s="458">
        <v>0</v>
      </c>
      <c r="GL210" s="458">
        <v>0</v>
      </c>
      <c r="GM210" s="458">
        <v>0</v>
      </c>
      <c r="GN210" s="458">
        <v>1</v>
      </c>
      <c r="GO210" s="458">
        <v>0</v>
      </c>
      <c r="GP210" s="458">
        <v>7</v>
      </c>
      <c r="GQ210" s="458">
        <v>7</v>
      </c>
      <c r="GR210" s="458">
        <v>3</v>
      </c>
      <c r="GS210" s="458">
        <v>10</v>
      </c>
      <c r="GT210" s="458">
        <v>2</v>
      </c>
      <c r="GU210" s="458">
        <v>0</v>
      </c>
      <c r="GV210" s="458">
        <v>0</v>
      </c>
      <c r="GW210" s="458">
        <v>0</v>
      </c>
      <c r="GX210" s="458">
        <v>30</v>
      </c>
      <c r="GY210" s="690"/>
      <c r="GZ210" s="41"/>
      <c r="HA210" s="41"/>
      <c r="HB210" s="105"/>
      <c r="HC210" s="105"/>
      <c r="HD210" s="41"/>
      <c r="HE210" s="41" t="s">
        <v>1344</v>
      </c>
      <c r="HF210" s="41">
        <v>0</v>
      </c>
      <c r="HG210" s="41">
        <v>0</v>
      </c>
      <c r="HH210" s="41">
        <v>0</v>
      </c>
      <c r="HI210" s="41">
        <v>0</v>
      </c>
      <c r="HJ210" s="41">
        <v>0</v>
      </c>
      <c r="HK210" s="41">
        <v>1</v>
      </c>
      <c r="HL210" s="41">
        <v>4</v>
      </c>
      <c r="HM210" s="41">
        <v>2</v>
      </c>
      <c r="HN210" s="41">
        <v>11</v>
      </c>
      <c r="HO210" s="41">
        <v>6</v>
      </c>
      <c r="HP210" s="41">
        <v>6</v>
      </c>
      <c r="HQ210" s="41">
        <v>14</v>
      </c>
      <c r="HR210" s="41">
        <v>5</v>
      </c>
      <c r="HS210" s="41">
        <v>1</v>
      </c>
      <c r="HT210" s="41">
        <v>0</v>
      </c>
      <c r="HU210" s="41">
        <v>0</v>
      </c>
      <c r="HV210" s="41">
        <v>50</v>
      </c>
      <c r="HW210" s="41"/>
      <c r="HX210" s="41"/>
      <c r="HY210" s="41"/>
      <c r="HZ210" s="41"/>
      <c r="IA210" s="691"/>
      <c r="IB210" s="691" t="s">
        <v>1344</v>
      </c>
      <c r="IC210" s="691">
        <v>0</v>
      </c>
      <c r="ID210" s="691">
        <v>0</v>
      </c>
      <c r="IE210" s="691">
        <v>0</v>
      </c>
      <c r="IF210" s="691">
        <v>0</v>
      </c>
      <c r="IG210" s="691">
        <v>0</v>
      </c>
      <c r="IH210" s="691">
        <v>0</v>
      </c>
      <c r="II210" s="691">
        <v>1</v>
      </c>
      <c r="IJ210" s="691">
        <v>3</v>
      </c>
      <c r="IK210" s="691">
        <v>2</v>
      </c>
      <c r="IL210" s="691">
        <v>4</v>
      </c>
      <c r="IM210" s="691">
        <v>7</v>
      </c>
      <c r="IN210" s="691">
        <v>12</v>
      </c>
      <c r="IO210" s="691">
        <v>3</v>
      </c>
      <c r="IP210" s="691">
        <v>2</v>
      </c>
      <c r="IQ210" s="691">
        <v>0</v>
      </c>
      <c r="IR210" s="691">
        <v>0</v>
      </c>
      <c r="IS210" s="691">
        <v>34</v>
      </c>
      <c r="IT210" s="691"/>
      <c r="IU210" s="692"/>
    </row>
    <row r="211" spans="3:255" ht="15" thickBot="1">
      <c r="C211" s="32"/>
      <c r="D211" s="32" t="s">
        <v>1344</v>
      </c>
      <c r="E211" s="4607"/>
      <c r="F211" s="4607">
        <v>0</v>
      </c>
      <c r="G211" s="4607"/>
      <c r="H211" s="4607"/>
      <c r="I211" s="4607"/>
      <c r="J211" s="4607"/>
      <c r="K211" s="4607"/>
      <c r="L211" s="4607"/>
      <c r="M211" s="4607"/>
      <c r="N211" s="4607">
        <v>1</v>
      </c>
      <c r="O211" s="4607">
        <v>0</v>
      </c>
      <c r="P211" s="4607">
        <v>0</v>
      </c>
      <c r="Q211" s="4607">
        <v>0</v>
      </c>
      <c r="R211" s="4607">
        <v>0</v>
      </c>
      <c r="S211" s="4583">
        <v>0</v>
      </c>
      <c r="T211" s="4583"/>
      <c r="U211" s="4583">
        <v>1</v>
      </c>
      <c r="V211" s="4583"/>
      <c r="Z211" s="1793" t="s">
        <v>260</v>
      </c>
      <c r="AA211" s="1793" t="s">
        <v>1230</v>
      </c>
      <c r="AB211" s="4804">
        <v>0</v>
      </c>
      <c r="AC211" s="4804">
        <v>0</v>
      </c>
      <c r="AD211" s="4804">
        <v>0</v>
      </c>
      <c r="AE211" s="4804"/>
      <c r="AF211" s="4804">
        <v>0</v>
      </c>
      <c r="AG211" s="4804"/>
      <c r="AH211" s="4804">
        <v>0</v>
      </c>
      <c r="AI211" s="4804">
        <v>0</v>
      </c>
      <c r="AJ211" s="4804"/>
      <c r="AK211" s="4804">
        <v>0</v>
      </c>
      <c r="AL211" s="4804">
        <v>0</v>
      </c>
      <c r="AM211" s="4804">
        <v>0</v>
      </c>
      <c r="AN211" s="4804">
        <v>1</v>
      </c>
      <c r="AO211" s="4804">
        <v>0</v>
      </c>
      <c r="AP211" s="4702">
        <v>0</v>
      </c>
      <c r="AQ211" s="4702">
        <v>1</v>
      </c>
      <c r="AR211" s="1793"/>
      <c r="AT211" s="41"/>
      <c r="AU211" s="41"/>
      <c r="AV211" s="461"/>
      <c r="AW211" s="461" t="s">
        <v>546</v>
      </c>
      <c r="AX211" s="2489"/>
      <c r="AY211" s="2489"/>
      <c r="AZ211" s="2489"/>
      <c r="BA211" s="2489"/>
      <c r="BB211" s="2489"/>
      <c r="BC211" s="2489"/>
      <c r="BD211" s="2489"/>
      <c r="BE211" s="2489"/>
      <c r="BF211" s="2489"/>
      <c r="BG211" s="2489"/>
      <c r="BH211" s="2489"/>
      <c r="BI211" s="2489"/>
      <c r="BJ211" s="2489">
        <v>7</v>
      </c>
      <c r="BK211" s="2489"/>
      <c r="BL211" s="2489"/>
      <c r="BM211" s="461"/>
      <c r="BN211" s="461"/>
      <c r="BO211" s="461">
        <v>7</v>
      </c>
      <c r="BP211" s="635">
        <f>+(BO210+BO209)/BO211</f>
        <v>0.42857142857142855</v>
      </c>
      <c r="BQ211" s="1977"/>
      <c r="BR211" s="41"/>
      <c r="BS211" s="41"/>
      <c r="BT211" s="41"/>
      <c r="BU211" s="41" t="s">
        <v>1344</v>
      </c>
      <c r="BV211" s="2001">
        <v>0</v>
      </c>
      <c r="BW211" s="2001">
        <v>0</v>
      </c>
      <c r="BX211" s="2001">
        <v>0</v>
      </c>
      <c r="BY211" s="2001">
        <v>0</v>
      </c>
      <c r="BZ211" s="2001">
        <v>0</v>
      </c>
      <c r="CA211" s="2001">
        <v>0</v>
      </c>
      <c r="CB211" s="2001">
        <v>0</v>
      </c>
      <c r="CC211" s="2001">
        <v>0</v>
      </c>
      <c r="CD211" s="2001">
        <v>2</v>
      </c>
      <c r="CE211" s="2001">
        <v>7</v>
      </c>
      <c r="CF211" s="2001">
        <v>2</v>
      </c>
      <c r="CG211" s="2001">
        <v>4</v>
      </c>
      <c r="CH211" s="2001">
        <v>16</v>
      </c>
      <c r="CI211" s="2001">
        <v>11</v>
      </c>
      <c r="CJ211" s="2001">
        <v>5</v>
      </c>
      <c r="CK211" s="105">
        <v>0</v>
      </c>
      <c r="CL211" s="105">
        <v>0</v>
      </c>
      <c r="CM211" s="105">
        <v>47</v>
      </c>
      <c r="CN211" s="41"/>
      <c r="CT211" s="1662"/>
      <c r="CU211" s="1662"/>
      <c r="CV211" s="1662"/>
      <c r="CW211" s="1662"/>
      <c r="CX211" s="1662"/>
      <c r="CY211" s="1662"/>
      <c r="CZ211" s="1662"/>
      <c r="DA211" s="1662"/>
      <c r="DB211" s="1662"/>
      <c r="DC211" s="1662"/>
      <c r="DD211" s="1662"/>
      <c r="DE211" s="1662"/>
      <c r="DF211" s="1662"/>
      <c r="DG211" s="1662"/>
      <c r="DH211" s="1662"/>
      <c r="DI211" s="1662"/>
      <c r="DJ211" s="1662"/>
      <c r="DK211" s="1662"/>
      <c r="DL211" s="1662"/>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712"/>
      <c r="GH211" s="712"/>
      <c r="GI211" s="712"/>
      <c r="GJ211" s="713" t="s">
        <v>113</v>
      </c>
      <c r="GK211" s="467">
        <v>3</v>
      </c>
      <c r="GL211" s="467">
        <v>2</v>
      </c>
      <c r="GM211" s="467">
        <v>9</v>
      </c>
      <c r="GN211" s="467">
        <v>7</v>
      </c>
      <c r="GO211" s="467">
        <v>6</v>
      </c>
      <c r="GP211" s="467">
        <v>20</v>
      </c>
      <c r="GQ211" s="467">
        <v>21</v>
      </c>
      <c r="GR211" s="467">
        <v>19</v>
      </c>
      <c r="GS211" s="467">
        <v>32</v>
      </c>
      <c r="GT211" s="467">
        <v>25</v>
      </c>
      <c r="GU211" s="467">
        <v>51</v>
      </c>
      <c r="GV211" s="467">
        <v>9</v>
      </c>
      <c r="GW211" s="467">
        <v>17</v>
      </c>
      <c r="GX211" s="467">
        <v>221</v>
      </c>
      <c r="GY211" s="642">
        <f>+(GX210+GX209+GX206-GV206)/GX211</f>
        <v>0.34389140271493213</v>
      </c>
      <c r="GZ211" s="41"/>
      <c r="HA211" s="41"/>
      <c r="HB211" s="466"/>
      <c r="HC211" s="466"/>
      <c r="HD211" s="465"/>
      <c r="HE211" s="465" t="s">
        <v>15</v>
      </c>
      <c r="HF211" s="465">
        <v>4</v>
      </c>
      <c r="HG211" s="465">
        <v>4</v>
      </c>
      <c r="HH211" s="465">
        <v>7</v>
      </c>
      <c r="HI211" s="465">
        <v>3</v>
      </c>
      <c r="HJ211" s="465">
        <v>5</v>
      </c>
      <c r="HK211" s="465">
        <v>4</v>
      </c>
      <c r="HL211" s="465">
        <v>9</v>
      </c>
      <c r="HM211" s="465">
        <v>7</v>
      </c>
      <c r="HN211" s="465">
        <v>50</v>
      </c>
      <c r="HO211" s="465">
        <v>30</v>
      </c>
      <c r="HP211" s="465">
        <v>29</v>
      </c>
      <c r="HQ211" s="465">
        <v>69</v>
      </c>
      <c r="HR211" s="465">
        <v>19</v>
      </c>
      <c r="HS211" s="465">
        <v>34</v>
      </c>
      <c r="HT211" s="465">
        <v>11</v>
      </c>
      <c r="HU211" s="465">
        <v>22</v>
      </c>
      <c r="HV211" s="465">
        <v>307</v>
      </c>
      <c r="HW211" s="741">
        <f>+(HV206+HV209+HV210)/HV211</f>
        <v>0.28990228013029318</v>
      </c>
      <c r="HX211" s="41"/>
      <c r="HY211" s="41"/>
      <c r="HZ211" s="41"/>
      <c r="IA211" s="691"/>
      <c r="IB211" s="709" t="s">
        <v>15</v>
      </c>
      <c r="IC211" s="709">
        <v>2</v>
      </c>
      <c r="ID211" s="709">
        <v>1</v>
      </c>
      <c r="IE211" s="709">
        <v>2</v>
      </c>
      <c r="IF211" s="709">
        <v>3</v>
      </c>
      <c r="IG211" s="709">
        <v>2</v>
      </c>
      <c r="IH211" s="709">
        <v>4</v>
      </c>
      <c r="II211" s="709">
        <v>3</v>
      </c>
      <c r="IJ211" s="709">
        <v>9</v>
      </c>
      <c r="IK211" s="709">
        <v>17</v>
      </c>
      <c r="IL211" s="709">
        <v>16</v>
      </c>
      <c r="IM211" s="709">
        <v>16</v>
      </c>
      <c r="IN211" s="709">
        <v>32</v>
      </c>
      <c r="IO211" s="709">
        <v>16</v>
      </c>
      <c r="IP211" s="709">
        <v>23</v>
      </c>
      <c r="IQ211" s="709">
        <v>10</v>
      </c>
      <c r="IR211" s="709">
        <v>19</v>
      </c>
      <c r="IS211" s="709">
        <v>175</v>
      </c>
      <c r="IT211" s="742">
        <f>+(IS210+IS209+IS206-IQ206)/IS211</f>
        <v>0.38857142857142857</v>
      </c>
      <c r="IU211" s="743">
        <f>+IS206+IS209+IS210-IQ206</f>
        <v>68</v>
      </c>
    </row>
    <row r="212" spans="3:255">
      <c r="C212" s="32"/>
      <c r="D212" s="4800" t="s">
        <v>15</v>
      </c>
      <c r="E212" s="4607"/>
      <c r="F212" s="4607">
        <v>1</v>
      </c>
      <c r="G212" s="4607"/>
      <c r="H212" s="4607"/>
      <c r="I212" s="4607"/>
      <c r="J212" s="4607"/>
      <c r="K212" s="4607"/>
      <c r="L212" s="4607"/>
      <c r="M212" s="4607"/>
      <c r="N212" s="4607">
        <v>1</v>
      </c>
      <c r="O212" s="4607">
        <v>1</v>
      </c>
      <c r="P212" s="4607">
        <v>1</v>
      </c>
      <c r="Q212" s="4607">
        <v>1</v>
      </c>
      <c r="R212" s="4607">
        <v>5</v>
      </c>
      <c r="S212" s="4583">
        <v>2</v>
      </c>
      <c r="T212" s="4583"/>
      <c r="U212" s="4583">
        <v>12</v>
      </c>
      <c r="V212" s="1977">
        <f>+(U210+U211)/(U212)</f>
        <v>0.25</v>
      </c>
      <c r="Z212" s="1793"/>
      <c r="AA212" s="1793" t="s">
        <v>1231</v>
      </c>
      <c r="AB212" s="4804">
        <v>0</v>
      </c>
      <c r="AC212" s="4804">
        <v>1</v>
      </c>
      <c r="AD212" s="4804">
        <v>0</v>
      </c>
      <c r="AE212" s="4804"/>
      <c r="AF212" s="4804">
        <v>0</v>
      </c>
      <c r="AG212" s="4804"/>
      <c r="AH212" s="4804">
        <v>1</v>
      </c>
      <c r="AI212" s="4804">
        <v>0</v>
      </c>
      <c r="AJ212" s="4804"/>
      <c r="AK212" s="4804">
        <v>2</v>
      </c>
      <c r="AL212" s="4804">
        <v>2</v>
      </c>
      <c r="AM212" s="4804">
        <v>5</v>
      </c>
      <c r="AN212" s="4804">
        <v>0</v>
      </c>
      <c r="AO212" s="4804">
        <v>0</v>
      </c>
      <c r="AP212" s="4702">
        <v>0</v>
      </c>
      <c r="AQ212" s="4702">
        <v>11</v>
      </c>
      <c r="AR212" s="1793"/>
      <c r="AT212" s="41"/>
      <c r="AU212" s="41"/>
      <c r="AV212" s="461" t="s">
        <v>442</v>
      </c>
      <c r="AW212" s="461" t="s">
        <v>1231</v>
      </c>
      <c r="AX212" s="2489"/>
      <c r="AY212" s="2489"/>
      <c r="AZ212" s="2489"/>
      <c r="BA212" s="2489"/>
      <c r="BB212" s="2489">
        <v>1</v>
      </c>
      <c r="BC212" s="2489"/>
      <c r="BD212" s="2489"/>
      <c r="BE212" s="2489"/>
      <c r="BF212" s="2489"/>
      <c r="BG212" s="2489">
        <v>4</v>
      </c>
      <c r="BH212" s="2489">
        <v>1</v>
      </c>
      <c r="BI212" s="2489"/>
      <c r="BJ212" s="2489">
        <v>6</v>
      </c>
      <c r="BK212" s="2489">
        <v>0</v>
      </c>
      <c r="BL212" s="2489">
        <v>2</v>
      </c>
      <c r="BM212" s="461">
        <v>1</v>
      </c>
      <c r="BN212" s="461">
        <v>0</v>
      </c>
      <c r="BO212" s="461">
        <v>15</v>
      </c>
      <c r="BP212" s="41"/>
      <c r="BR212" s="41"/>
      <c r="BS212" s="41"/>
      <c r="BT212" s="41"/>
      <c r="BU212" s="41" t="s">
        <v>1940</v>
      </c>
      <c r="BV212" s="2001">
        <v>1</v>
      </c>
      <c r="BW212" s="2001">
        <v>0</v>
      </c>
      <c r="BX212" s="2001">
        <v>0</v>
      </c>
      <c r="BY212" s="2001">
        <v>0</v>
      </c>
      <c r="BZ212" s="2001">
        <v>0</v>
      </c>
      <c r="CA212" s="2001">
        <v>0</v>
      </c>
      <c r="CB212" s="2001">
        <v>0</v>
      </c>
      <c r="CC212" s="2001">
        <v>0</v>
      </c>
      <c r="CD212" s="2001">
        <v>0</v>
      </c>
      <c r="CE212" s="2001">
        <v>0</v>
      </c>
      <c r="CF212" s="2001">
        <v>0</v>
      </c>
      <c r="CG212" s="2001">
        <v>0</v>
      </c>
      <c r="CH212" s="2001">
        <v>0</v>
      </c>
      <c r="CI212" s="2001">
        <v>0</v>
      </c>
      <c r="CJ212" s="2001">
        <v>0</v>
      </c>
      <c r="CK212" s="105">
        <v>0</v>
      </c>
      <c r="CL212" s="105">
        <v>0</v>
      </c>
      <c r="CM212" s="105">
        <v>1</v>
      </c>
      <c r="CN212" s="41"/>
      <c r="CT212" s="1662"/>
      <c r="CU212" s="1662"/>
      <c r="CV212" s="1662"/>
      <c r="CW212" s="1662"/>
      <c r="CX212" s="1662"/>
      <c r="CY212" s="1662"/>
      <c r="CZ212" s="1662"/>
      <c r="DA212" s="1662"/>
      <c r="DB212" s="1662"/>
      <c r="DC212" s="1662"/>
      <c r="DD212" s="1662"/>
      <c r="DE212" s="1662"/>
      <c r="DF212" s="1662"/>
      <c r="DG212" s="1662"/>
      <c r="DH212" s="1662"/>
      <c r="DI212" s="1662"/>
      <c r="DJ212" s="1662"/>
      <c r="DK212" s="1662"/>
      <c r="DL212" s="1662"/>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511" t="s">
        <v>1347</v>
      </c>
      <c r="GH212" s="41"/>
      <c r="GI212" s="41"/>
      <c r="GJ212" s="41"/>
      <c r="GK212" s="41"/>
      <c r="GL212" s="41"/>
      <c r="GM212" s="41"/>
      <c r="GN212" s="41"/>
      <c r="GO212" s="41"/>
      <c r="GP212" s="41"/>
      <c r="GQ212" s="41"/>
      <c r="GR212" s="41"/>
      <c r="GS212" s="41"/>
      <c r="GT212" s="41"/>
      <c r="GU212" s="41"/>
      <c r="GV212" s="41"/>
      <c r="GW212" s="41"/>
      <c r="GX212" s="41"/>
      <c r="GY212" s="41"/>
      <c r="GZ212" s="41"/>
      <c r="HA212" s="41"/>
      <c r="HB212" s="41" t="s">
        <v>1305</v>
      </c>
      <c r="HC212" s="105"/>
      <c r="HD212" s="41"/>
      <c r="HE212" s="41"/>
      <c r="HF212" s="41"/>
      <c r="HG212" s="41"/>
      <c r="HH212" s="41"/>
      <c r="HI212" s="41"/>
      <c r="HJ212" s="41"/>
      <c r="HK212" s="41"/>
      <c r="HL212" s="41"/>
      <c r="HM212" s="41"/>
      <c r="HN212" s="41"/>
      <c r="HO212" s="41"/>
      <c r="HP212" s="41"/>
      <c r="HQ212" s="41"/>
      <c r="HR212" s="41"/>
      <c r="HS212" s="41"/>
      <c r="HT212" s="41"/>
      <c r="HU212" s="41"/>
      <c r="HV212" s="41"/>
      <c r="HW212" s="41"/>
      <c r="HX212" s="41"/>
      <c r="HY212" s="41"/>
      <c r="HZ212" s="41"/>
      <c r="IA212" s="691"/>
      <c r="IB212" s="691"/>
      <c r="IC212" s="691"/>
      <c r="ID212" s="691"/>
      <c r="IE212" s="691"/>
      <c r="IF212" s="691"/>
      <c r="IG212" s="691"/>
      <c r="IH212" s="691"/>
      <c r="II212" s="691"/>
      <c r="IJ212" s="691"/>
      <c r="IK212" s="691"/>
      <c r="IL212" s="691"/>
      <c r="IM212" s="691"/>
      <c r="IN212" s="691"/>
      <c r="IO212" s="691"/>
      <c r="IP212" s="691"/>
      <c r="IQ212" s="691"/>
      <c r="IR212" s="691"/>
      <c r="IS212" s="691"/>
      <c r="IT212" s="691"/>
      <c r="IU212" s="691"/>
    </row>
    <row r="213" spans="3:255" ht="15" thickBot="1">
      <c r="C213" s="32" t="s">
        <v>260</v>
      </c>
      <c r="D213" s="32" t="s">
        <v>1230</v>
      </c>
      <c r="E213" s="4607"/>
      <c r="F213" s="4607">
        <v>0</v>
      </c>
      <c r="G213" s="4607">
        <v>0</v>
      </c>
      <c r="H213" s="4607"/>
      <c r="I213" s="4607">
        <v>0</v>
      </c>
      <c r="J213" s="4607"/>
      <c r="K213" s="4607">
        <v>0</v>
      </c>
      <c r="L213" s="4607">
        <v>0</v>
      </c>
      <c r="M213" s="4607"/>
      <c r="N213" s="4607">
        <v>0</v>
      </c>
      <c r="O213" s="4607">
        <v>0</v>
      </c>
      <c r="P213" s="4607">
        <v>0</v>
      </c>
      <c r="Q213" s="4607">
        <v>0</v>
      </c>
      <c r="R213" s="4607">
        <v>1</v>
      </c>
      <c r="S213" s="4583">
        <v>0</v>
      </c>
      <c r="T213" s="4583"/>
      <c r="U213" s="4583">
        <v>1</v>
      </c>
      <c r="V213" s="4583"/>
      <c r="Z213" s="1793"/>
      <c r="AA213" s="1793" t="s">
        <v>1236</v>
      </c>
      <c r="AB213" s="4804">
        <v>0</v>
      </c>
      <c r="AC213" s="4804">
        <v>0</v>
      </c>
      <c r="AD213" s="4804">
        <v>0</v>
      </c>
      <c r="AE213" s="4804"/>
      <c r="AF213" s="4804">
        <v>1</v>
      </c>
      <c r="AG213" s="4804"/>
      <c r="AH213" s="4804">
        <v>0</v>
      </c>
      <c r="AI213" s="4804">
        <v>1</v>
      </c>
      <c r="AJ213" s="4804"/>
      <c r="AK213" s="4804">
        <v>0</v>
      </c>
      <c r="AL213" s="4804">
        <v>0</v>
      </c>
      <c r="AM213" s="4804">
        <v>0</v>
      </c>
      <c r="AN213" s="4804">
        <v>0</v>
      </c>
      <c r="AO213" s="4804">
        <v>0</v>
      </c>
      <c r="AP213" s="4702">
        <v>0</v>
      </c>
      <c r="AQ213" s="4702">
        <v>2</v>
      </c>
      <c r="AR213" s="1793"/>
      <c r="AT213" s="41"/>
      <c r="AU213" s="41"/>
      <c r="AV213" s="461"/>
      <c r="AW213" s="461" t="s">
        <v>1235</v>
      </c>
      <c r="AX213" s="2489"/>
      <c r="AY213" s="2489"/>
      <c r="AZ213" s="2489"/>
      <c r="BA213" s="2489"/>
      <c r="BB213" s="2489">
        <v>0</v>
      </c>
      <c r="BC213" s="2489"/>
      <c r="BD213" s="2489"/>
      <c r="BE213" s="2489"/>
      <c r="BF213" s="2489"/>
      <c r="BG213" s="2489">
        <v>2</v>
      </c>
      <c r="BH213" s="2489">
        <v>0</v>
      </c>
      <c r="BI213" s="2489"/>
      <c r="BJ213" s="2489">
        <v>1</v>
      </c>
      <c r="BK213" s="2489">
        <v>0</v>
      </c>
      <c r="BL213" s="2489">
        <v>1</v>
      </c>
      <c r="BM213" s="461">
        <v>0</v>
      </c>
      <c r="BN213" s="461">
        <v>0</v>
      </c>
      <c r="BO213" s="461">
        <v>4</v>
      </c>
      <c r="BP213" s="41"/>
      <c r="BR213" s="469"/>
      <c r="BS213" s="469"/>
      <c r="BT213" s="469"/>
      <c r="BU213" s="465" t="s">
        <v>113</v>
      </c>
      <c r="BV213" s="2000">
        <v>2</v>
      </c>
      <c r="BW213" s="2000">
        <v>4</v>
      </c>
      <c r="BX213" s="2000">
        <v>4</v>
      </c>
      <c r="BY213" s="2000">
        <v>1</v>
      </c>
      <c r="BZ213" s="2000">
        <v>5</v>
      </c>
      <c r="CA213" s="2000">
        <v>2</v>
      </c>
      <c r="CB213" s="2000">
        <v>2</v>
      </c>
      <c r="CC213" s="2000">
        <v>5</v>
      </c>
      <c r="CD213" s="2000">
        <v>5</v>
      </c>
      <c r="CE213" s="2000">
        <v>23</v>
      </c>
      <c r="CF213" s="2000">
        <v>7</v>
      </c>
      <c r="CG213" s="2000">
        <v>14</v>
      </c>
      <c r="CH213" s="2000">
        <v>73</v>
      </c>
      <c r="CI213" s="2000">
        <v>43</v>
      </c>
      <c r="CJ213" s="2000">
        <v>54</v>
      </c>
      <c r="CK213" s="466">
        <v>10</v>
      </c>
      <c r="CL213" s="466">
        <v>27</v>
      </c>
      <c r="CM213" s="466">
        <v>281</v>
      </c>
      <c r="CN213" s="1645">
        <f>+(CM207-CK207+CM210-CK210+CM211)/(CM213-CM212)</f>
        <v>0.33214285714285713</v>
      </c>
      <c r="CS213" s="1663"/>
      <c r="CT213" s="1662"/>
      <c r="CU213" s="1662"/>
      <c r="CV213" s="1662"/>
      <c r="CW213" s="1662"/>
      <c r="CX213" s="1662"/>
      <c r="CY213" s="1662"/>
      <c r="CZ213" s="1662"/>
      <c r="DA213" s="1662"/>
      <c r="DB213" s="1662"/>
      <c r="DC213" s="1662"/>
      <c r="DD213" s="1662"/>
      <c r="DE213" s="1662"/>
      <c r="DF213" s="1662"/>
      <c r="DG213" s="1662"/>
      <c r="DH213" s="1662"/>
      <c r="DI213" s="1662"/>
      <c r="DJ213" s="1662"/>
      <c r="DK213" s="1662"/>
      <c r="DL213" s="1662"/>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733" t="s">
        <v>1356</v>
      </c>
      <c r="GH213" s="41"/>
      <c r="GI213" s="41"/>
      <c r="GJ213" s="41"/>
      <c r="GK213" s="41"/>
      <c r="GL213" s="41"/>
      <c r="GM213" s="41"/>
      <c r="GN213" s="41"/>
      <c r="GO213" s="41"/>
      <c r="GP213" s="41"/>
      <c r="GQ213" s="41"/>
      <c r="GR213" s="41"/>
      <c r="GS213" s="41"/>
      <c r="GT213" s="41"/>
      <c r="GU213" s="41"/>
      <c r="GV213" s="41"/>
      <c r="GW213" s="41"/>
      <c r="GX213" s="41"/>
      <c r="GY213" s="41"/>
      <c r="GZ213" s="41"/>
      <c r="HA213" s="41"/>
      <c r="HB213" s="105"/>
      <c r="HC213" s="105"/>
      <c r="HD213" s="41"/>
      <c r="HE213" s="41"/>
      <c r="HF213" s="41"/>
      <c r="HG213" s="41"/>
      <c r="HH213" s="41"/>
      <c r="HI213" s="41"/>
      <c r="HJ213" s="41"/>
      <c r="HK213" s="41"/>
      <c r="HL213" s="41"/>
      <c r="HM213" s="41"/>
      <c r="HN213" s="41"/>
      <c r="HO213" s="41"/>
      <c r="HP213" s="41"/>
      <c r="HQ213" s="41"/>
      <c r="HR213" s="41"/>
      <c r="HS213" s="41"/>
      <c r="HT213" s="41"/>
      <c r="HU213" s="41"/>
      <c r="HV213" s="41"/>
      <c r="HW213" s="41"/>
      <c r="HX213" s="41"/>
      <c r="HY213" s="41"/>
      <c r="HZ213" s="41"/>
      <c r="IA213" s="691"/>
      <c r="IB213" s="691"/>
      <c r="IC213" s="691"/>
      <c r="ID213" s="691"/>
      <c r="IE213" s="691"/>
      <c r="IF213" s="691"/>
      <c r="IG213" s="691"/>
      <c r="IH213" s="691"/>
      <c r="II213" s="691"/>
      <c r="IJ213" s="691"/>
      <c r="IK213" s="691"/>
      <c r="IL213" s="691"/>
      <c r="IM213" s="691"/>
      <c r="IN213" s="691"/>
      <c r="IO213" s="691"/>
      <c r="IP213" s="691"/>
      <c r="IQ213" s="691"/>
      <c r="IR213" s="691"/>
      <c r="IS213" s="691"/>
      <c r="IT213" s="691"/>
      <c r="IU213" s="691"/>
    </row>
    <row r="214" spans="3:255">
      <c r="C214" s="32"/>
      <c r="D214" s="32" t="s">
        <v>1231</v>
      </c>
      <c r="E214" s="4607"/>
      <c r="F214" s="4607">
        <v>1</v>
      </c>
      <c r="G214" s="4607">
        <v>0</v>
      </c>
      <c r="H214" s="4607"/>
      <c r="I214" s="4607">
        <v>0</v>
      </c>
      <c r="J214" s="4607"/>
      <c r="K214" s="4607">
        <v>1</v>
      </c>
      <c r="L214" s="4607">
        <v>0</v>
      </c>
      <c r="M214" s="4607"/>
      <c r="N214" s="4607">
        <v>1</v>
      </c>
      <c r="O214" s="4607">
        <v>2</v>
      </c>
      <c r="P214" s="4607">
        <v>5</v>
      </c>
      <c r="Q214" s="4607">
        <v>0</v>
      </c>
      <c r="R214" s="4607">
        <v>0</v>
      </c>
      <c r="S214" s="4583">
        <v>0</v>
      </c>
      <c r="T214" s="4583"/>
      <c r="U214" s="4583">
        <v>10</v>
      </c>
      <c r="V214" s="4583"/>
      <c r="Z214" s="1793"/>
      <c r="AA214" s="1793" t="s">
        <v>1239</v>
      </c>
      <c r="AB214" s="4804">
        <v>0</v>
      </c>
      <c r="AC214" s="4804">
        <v>0</v>
      </c>
      <c r="AD214" s="4804">
        <v>0</v>
      </c>
      <c r="AE214" s="4804"/>
      <c r="AF214" s="4804">
        <v>0</v>
      </c>
      <c r="AG214" s="4804"/>
      <c r="AH214" s="4804">
        <v>0</v>
      </c>
      <c r="AI214" s="4804">
        <v>0</v>
      </c>
      <c r="AJ214" s="4804"/>
      <c r="AK214" s="4804">
        <v>0</v>
      </c>
      <c r="AL214" s="4804">
        <v>0</v>
      </c>
      <c r="AM214" s="4804">
        <v>0</v>
      </c>
      <c r="AN214" s="4804">
        <v>12</v>
      </c>
      <c r="AO214" s="4804">
        <v>1</v>
      </c>
      <c r="AP214" s="4702">
        <v>1</v>
      </c>
      <c r="AQ214" s="4702">
        <v>14</v>
      </c>
      <c r="AR214" s="1793"/>
      <c r="AT214" s="41"/>
      <c r="AU214" s="41"/>
      <c r="AV214" s="461"/>
      <c r="AW214" s="461" t="s">
        <v>1239</v>
      </c>
      <c r="AX214" s="2489"/>
      <c r="AY214" s="2489"/>
      <c r="AZ214" s="2489"/>
      <c r="BA214" s="2489"/>
      <c r="BB214" s="2489">
        <v>0</v>
      </c>
      <c r="BC214" s="2489"/>
      <c r="BD214" s="2489"/>
      <c r="BE214" s="2489"/>
      <c r="BF214" s="2489"/>
      <c r="BG214" s="2489">
        <v>0</v>
      </c>
      <c r="BH214" s="2489">
        <v>0</v>
      </c>
      <c r="BI214" s="2489"/>
      <c r="BJ214" s="2489">
        <v>0</v>
      </c>
      <c r="BK214" s="2489">
        <v>0</v>
      </c>
      <c r="BL214" s="2489">
        <v>6</v>
      </c>
      <c r="BM214" s="461">
        <v>0</v>
      </c>
      <c r="BN214" s="461">
        <v>9</v>
      </c>
      <c r="BO214" s="461">
        <v>15</v>
      </c>
      <c r="BP214" s="41"/>
      <c r="CT214" s="1662"/>
      <c r="CU214" s="1662"/>
      <c r="CV214" s="1662"/>
      <c r="CW214" s="1662"/>
      <c r="CX214" s="1662"/>
      <c r="CY214" s="1662"/>
      <c r="CZ214" s="1662"/>
      <c r="DA214" s="1662"/>
      <c r="DB214" s="1662"/>
      <c r="DC214" s="1662"/>
      <c r="DD214" s="1662"/>
      <c r="DE214" s="1662"/>
      <c r="DF214" s="1662"/>
      <c r="DG214" s="1662"/>
      <c r="DH214" s="1662"/>
      <c r="DI214" s="1662"/>
      <c r="DJ214" s="1662"/>
      <c r="DK214" s="1662"/>
      <c r="DL214" s="1662"/>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s="41"/>
      <c r="GO214" s="41"/>
      <c r="GP214" s="41"/>
      <c r="GQ214" s="41"/>
      <c r="GR214" s="41"/>
      <c r="GS214" s="41"/>
      <c r="GT214" s="41"/>
      <c r="GU214" s="41"/>
      <c r="GV214" s="41"/>
      <c r="GW214" s="41"/>
      <c r="GX214" s="41"/>
      <c r="GY214" s="41"/>
      <c r="GZ214" s="41"/>
      <c r="HA214" s="41"/>
      <c r="HB214" s="733" t="s">
        <v>1332</v>
      </c>
      <c r="HC214" s="105"/>
      <c r="HD214" s="41"/>
      <c r="HE214" s="41"/>
      <c r="HF214" s="41"/>
      <c r="HG214" s="41"/>
      <c r="HH214" s="41"/>
      <c r="HI214" s="41"/>
      <c r="HJ214" s="41"/>
      <c r="HK214" s="41"/>
      <c r="HL214" s="41"/>
      <c r="HM214" s="41"/>
      <c r="HN214" s="41"/>
      <c r="HO214" s="41"/>
      <c r="HP214" s="41"/>
      <c r="HQ214" s="41"/>
      <c r="HR214" s="41"/>
      <c r="HS214" s="41"/>
      <c r="HT214" s="41"/>
      <c r="HU214" s="41"/>
      <c r="HV214" s="41"/>
      <c r="HW214" s="41"/>
      <c r="HX214" s="41"/>
      <c r="HY214" s="41"/>
      <c r="HZ214" s="41"/>
      <c r="IA214" s="460" t="s">
        <v>1332</v>
      </c>
      <c r="IB214" s="691"/>
      <c r="IC214" s="691"/>
      <c r="ID214" s="691"/>
      <c r="IE214" s="691"/>
      <c r="IF214" s="691"/>
      <c r="IG214" s="691"/>
      <c r="IH214" s="691"/>
      <c r="II214" s="691"/>
      <c r="IJ214" s="691"/>
      <c r="IK214" s="691"/>
      <c r="IL214" s="691"/>
      <c r="IM214" s="691"/>
      <c r="IN214" s="691"/>
      <c r="IO214" s="691"/>
      <c r="IP214" s="691"/>
      <c r="IQ214" s="691"/>
      <c r="IR214" s="691"/>
      <c r="IS214" s="691"/>
      <c r="IT214" s="691"/>
      <c r="IU214" s="691"/>
    </row>
    <row r="215" spans="3:255">
      <c r="C215" s="32"/>
      <c r="D215" s="32" t="s">
        <v>1235</v>
      </c>
      <c r="E215" s="4607"/>
      <c r="F215" s="4607">
        <v>0</v>
      </c>
      <c r="G215" s="4607">
        <v>0</v>
      </c>
      <c r="H215" s="4607"/>
      <c r="I215" s="4607">
        <v>0</v>
      </c>
      <c r="J215" s="4607"/>
      <c r="K215" s="4607">
        <v>0</v>
      </c>
      <c r="L215" s="4607">
        <v>0</v>
      </c>
      <c r="M215" s="4607"/>
      <c r="N215" s="4607">
        <v>0</v>
      </c>
      <c r="O215" s="4607">
        <v>0</v>
      </c>
      <c r="P215" s="4607">
        <v>1</v>
      </c>
      <c r="Q215" s="4607">
        <v>0</v>
      </c>
      <c r="R215" s="4607">
        <v>0</v>
      </c>
      <c r="S215" s="4583">
        <v>0</v>
      </c>
      <c r="T215" s="4583"/>
      <c r="U215" s="4583">
        <v>1</v>
      </c>
      <c r="V215" s="4583"/>
      <c r="Z215" s="1793"/>
      <c r="AA215" s="1793" t="s">
        <v>1240</v>
      </c>
      <c r="AB215" s="4804">
        <v>0</v>
      </c>
      <c r="AC215" s="4804">
        <v>0</v>
      </c>
      <c r="AD215" s="4804">
        <v>0</v>
      </c>
      <c r="AE215" s="4804"/>
      <c r="AF215" s="4804">
        <v>0</v>
      </c>
      <c r="AG215" s="4804"/>
      <c r="AH215" s="4804">
        <v>0</v>
      </c>
      <c r="AI215" s="4804">
        <v>0</v>
      </c>
      <c r="AJ215" s="4804"/>
      <c r="AK215" s="4804">
        <v>0</v>
      </c>
      <c r="AL215" s="4804">
        <v>0</v>
      </c>
      <c r="AM215" s="4804">
        <v>1</v>
      </c>
      <c r="AN215" s="4804">
        <v>0</v>
      </c>
      <c r="AO215" s="4804">
        <v>0</v>
      </c>
      <c r="AP215" s="4702">
        <v>0</v>
      </c>
      <c r="AQ215" s="4702">
        <v>1</v>
      </c>
      <c r="AR215" s="1793"/>
      <c r="AT215" s="41"/>
      <c r="AU215" s="41"/>
      <c r="AV215" s="461"/>
      <c r="AW215" s="461" t="s">
        <v>1240</v>
      </c>
      <c r="AX215" s="2489"/>
      <c r="AY215" s="2489"/>
      <c r="AZ215" s="2489"/>
      <c r="BA215" s="2489"/>
      <c r="BB215" s="2489">
        <v>0</v>
      </c>
      <c r="BC215" s="2489"/>
      <c r="BD215" s="2489"/>
      <c r="BE215" s="2489"/>
      <c r="BF215" s="2489"/>
      <c r="BG215" s="2489">
        <v>2</v>
      </c>
      <c r="BH215" s="2489">
        <v>1</v>
      </c>
      <c r="BI215" s="2489"/>
      <c r="BJ215" s="2489">
        <v>4</v>
      </c>
      <c r="BK215" s="2489">
        <v>1</v>
      </c>
      <c r="BL215" s="2489">
        <v>0</v>
      </c>
      <c r="BM215" s="461">
        <v>0</v>
      </c>
      <c r="BN215" s="461">
        <v>0</v>
      </c>
      <c r="BO215" s="461">
        <v>8</v>
      </c>
      <c r="BP215" s="41"/>
      <c r="CT215" s="1662"/>
      <c r="CU215" s="1662"/>
      <c r="CV215" s="1662"/>
      <c r="CW215" s="1662"/>
      <c r="CX215" s="1662"/>
      <c r="CY215" s="1662"/>
      <c r="CZ215" s="1662"/>
      <c r="DA215" s="1662"/>
      <c r="DB215" s="1662"/>
      <c r="DC215" s="1662"/>
      <c r="DD215" s="1662"/>
      <c r="DE215" s="1662"/>
      <c r="DF215" s="1662"/>
      <c r="DG215" s="1662"/>
      <c r="DH215" s="1662"/>
      <c r="DI215" s="1662"/>
      <c r="DJ215" s="1662"/>
      <c r="DK215" s="1662"/>
      <c r="DL215" s="1662"/>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s="41"/>
      <c r="GO215" s="41"/>
      <c r="GP215" s="41"/>
      <c r="GQ215" s="41"/>
      <c r="GR215" s="41"/>
      <c r="GS215" s="41"/>
      <c r="GT215" s="41"/>
      <c r="GU215" s="41"/>
      <c r="GV215" s="41"/>
      <c r="GW215" s="41"/>
      <c r="GX215" s="41"/>
      <c r="GY215" s="41"/>
      <c r="GZ215" s="41"/>
      <c r="HA215" s="41"/>
      <c r="HB215" s="733" t="s">
        <v>1356</v>
      </c>
      <c r="HC215" s="105"/>
      <c r="HD215" s="41"/>
      <c r="HE215" s="41"/>
      <c r="HF215" s="41"/>
      <c r="HG215" s="41"/>
      <c r="HH215" s="41"/>
      <c r="HI215" s="41"/>
      <c r="HJ215" s="41"/>
      <c r="HK215" s="41"/>
      <c r="HL215" s="41"/>
      <c r="HM215" s="41"/>
      <c r="HN215" s="41"/>
      <c r="HO215" s="41"/>
      <c r="HP215" s="41"/>
      <c r="HQ215" s="41"/>
      <c r="HR215" s="41"/>
      <c r="HS215" s="41"/>
      <c r="HT215" s="41"/>
      <c r="HU215" s="41"/>
      <c r="HV215" s="41"/>
      <c r="HW215" s="41"/>
      <c r="HX215" s="41"/>
      <c r="HY215" s="41"/>
      <c r="HZ215" s="41"/>
      <c r="IA215" s="460" t="s">
        <v>1334</v>
      </c>
      <c r="IB215" s="691"/>
      <c r="IC215" s="691"/>
      <c r="ID215" s="691"/>
      <c r="IE215" s="691"/>
      <c r="IF215" s="691"/>
      <c r="IG215" s="691"/>
      <c r="IH215" s="691"/>
      <c r="II215" s="691"/>
      <c r="IJ215" s="691"/>
      <c r="IK215" s="691"/>
      <c r="IL215" s="691"/>
      <c r="IM215" s="691"/>
      <c r="IN215" s="691"/>
      <c r="IO215" s="691"/>
      <c r="IP215" s="691"/>
      <c r="IQ215" s="691"/>
      <c r="IR215" s="691"/>
      <c r="IS215" s="691"/>
      <c r="IT215" s="691"/>
      <c r="IU215" s="691"/>
    </row>
    <row r="216" spans="3:255">
      <c r="C216" s="32"/>
      <c r="D216" s="32" t="s">
        <v>1236</v>
      </c>
      <c r="E216" s="4607"/>
      <c r="F216" s="4607">
        <v>0</v>
      </c>
      <c r="G216" s="4607">
        <v>0</v>
      </c>
      <c r="H216" s="4607"/>
      <c r="I216" s="4607">
        <v>1</v>
      </c>
      <c r="J216" s="4607"/>
      <c r="K216" s="4607">
        <v>0</v>
      </c>
      <c r="L216" s="4607">
        <v>1</v>
      </c>
      <c r="M216" s="4607"/>
      <c r="N216" s="4607">
        <v>0</v>
      </c>
      <c r="O216" s="4607">
        <v>0</v>
      </c>
      <c r="P216" s="4607">
        <v>0</v>
      </c>
      <c r="Q216" s="4607">
        <v>0</v>
      </c>
      <c r="R216" s="4607">
        <v>0</v>
      </c>
      <c r="S216" s="4583">
        <v>0</v>
      </c>
      <c r="T216" s="4583"/>
      <c r="U216" s="4583">
        <v>2</v>
      </c>
      <c r="V216" s="4583"/>
      <c r="Z216" s="1793"/>
      <c r="AA216" s="1793" t="s">
        <v>1344</v>
      </c>
      <c r="AB216" s="4804">
        <v>0</v>
      </c>
      <c r="AC216" s="4804">
        <v>0</v>
      </c>
      <c r="AD216" s="4804">
        <v>0</v>
      </c>
      <c r="AE216" s="4804"/>
      <c r="AF216" s="4804">
        <v>0</v>
      </c>
      <c r="AG216" s="4804"/>
      <c r="AH216" s="4804">
        <v>0</v>
      </c>
      <c r="AI216" s="4804">
        <v>0</v>
      </c>
      <c r="AJ216" s="4804"/>
      <c r="AK216" s="4804">
        <v>1</v>
      </c>
      <c r="AL216" s="4804">
        <v>0</v>
      </c>
      <c r="AM216" s="4804">
        <v>0</v>
      </c>
      <c r="AN216" s="4804">
        <v>0</v>
      </c>
      <c r="AO216" s="4804">
        <v>0</v>
      </c>
      <c r="AP216" s="4702">
        <v>0</v>
      </c>
      <c r="AQ216" s="4702">
        <v>1</v>
      </c>
      <c r="AR216" s="1793"/>
      <c r="AT216" s="41"/>
      <c r="AU216" s="41"/>
      <c r="AV216" s="461"/>
      <c r="AW216" s="461" t="s">
        <v>1344</v>
      </c>
      <c r="AX216" s="2489"/>
      <c r="AY216" s="2489"/>
      <c r="AZ216" s="2489"/>
      <c r="BA216" s="2489"/>
      <c r="BB216" s="2489">
        <v>0</v>
      </c>
      <c r="BC216" s="2489"/>
      <c r="BD216" s="2489"/>
      <c r="BE216" s="2489"/>
      <c r="BF216" s="2489"/>
      <c r="BG216" s="2489">
        <v>1</v>
      </c>
      <c r="BH216" s="2489">
        <v>1</v>
      </c>
      <c r="BI216" s="2489"/>
      <c r="BJ216" s="2489">
        <v>4</v>
      </c>
      <c r="BK216" s="2489">
        <v>1</v>
      </c>
      <c r="BL216" s="2489">
        <v>1</v>
      </c>
      <c r="BM216" s="461">
        <v>0</v>
      </c>
      <c r="BN216" s="461">
        <v>0</v>
      </c>
      <c r="BO216" s="461">
        <v>8</v>
      </c>
      <c r="BP216" s="41"/>
      <c r="CT216" s="1662"/>
      <c r="CU216" s="1662"/>
      <c r="CV216" s="1662"/>
      <c r="CW216" s="1662"/>
      <c r="CX216" s="1662"/>
      <c r="CY216" s="1662"/>
      <c r="CZ216" s="1662"/>
      <c r="DA216" s="1662"/>
      <c r="DB216" s="1662"/>
      <c r="DC216" s="1662"/>
      <c r="DD216" s="1662"/>
      <c r="DE216" s="1662"/>
      <c r="DF216" s="1662"/>
      <c r="DG216" s="1662"/>
      <c r="DH216" s="1662"/>
      <c r="DI216" s="1662"/>
      <c r="DJ216" s="1662"/>
      <c r="DK216" s="1662"/>
      <c r="DL216" s="1662"/>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s="41"/>
      <c r="GO216" s="41"/>
      <c r="GP216" s="41"/>
      <c r="GQ216" s="41"/>
      <c r="GR216" s="41"/>
      <c r="GS216" s="41"/>
      <c r="GT216" s="41"/>
      <c r="GU216" s="41"/>
      <c r="GV216" s="41"/>
      <c r="GW216" s="41"/>
      <c r="GX216" s="41"/>
      <c r="GY216" s="41"/>
      <c r="GZ216" s="41"/>
      <c r="HA216" s="41"/>
      <c r="HB216" s="733" t="s">
        <v>1335</v>
      </c>
      <c r="HC216" s="105"/>
      <c r="HD216" s="41"/>
      <c r="HE216" s="41"/>
      <c r="HF216" s="41"/>
      <c r="HG216" s="41"/>
      <c r="HH216" s="41"/>
      <c r="HI216" s="41"/>
      <c r="HJ216" s="41"/>
      <c r="HK216" s="41"/>
      <c r="HL216" s="41"/>
      <c r="HM216" s="41"/>
      <c r="HN216" s="41"/>
      <c r="HO216" s="41"/>
      <c r="HP216" s="41"/>
      <c r="HQ216" s="41"/>
      <c r="HR216" s="41"/>
      <c r="HS216" s="41"/>
      <c r="HT216" s="41"/>
      <c r="HU216" s="41"/>
      <c r="HV216" s="41"/>
      <c r="HW216" s="41"/>
      <c r="HX216" s="41"/>
      <c r="HY216" s="41"/>
      <c r="HZ216" s="41"/>
      <c r="IA216" s="460" t="s">
        <v>1306</v>
      </c>
      <c r="IB216" s="691"/>
      <c r="IC216" s="691"/>
      <c r="ID216" s="691"/>
      <c r="IE216" s="691"/>
      <c r="IF216" s="691"/>
      <c r="IG216" s="691"/>
      <c r="IH216" s="691"/>
      <c r="II216" s="691"/>
      <c r="IJ216" s="691"/>
      <c r="IK216" s="691"/>
      <c r="IL216" s="691"/>
      <c r="IM216" s="691"/>
      <c r="IN216" s="691"/>
      <c r="IO216" s="691"/>
      <c r="IP216" s="691"/>
      <c r="IQ216" s="691"/>
      <c r="IR216" s="691"/>
      <c r="IS216" s="691"/>
      <c r="IT216" s="691"/>
      <c r="IU216" s="691"/>
    </row>
    <row r="217" spans="3:255">
      <c r="C217" s="32"/>
      <c r="D217" s="32" t="s">
        <v>1239</v>
      </c>
      <c r="E217" s="4607"/>
      <c r="F217" s="4607">
        <v>0</v>
      </c>
      <c r="G217" s="4607">
        <v>0</v>
      </c>
      <c r="H217" s="4607"/>
      <c r="I217" s="4607">
        <v>0</v>
      </c>
      <c r="J217" s="4607"/>
      <c r="K217" s="4607">
        <v>0</v>
      </c>
      <c r="L217" s="4607">
        <v>0</v>
      </c>
      <c r="M217" s="4607"/>
      <c r="N217" s="4607">
        <v>0</v>
      </c>
      <c r="O217" s="4607">
        <v>0</v>
      </c>
      <c r="P217" s="4607">
        <v>0</v>
      </c>
      <c r="Q217" s="4607">
        <v>3</v>
      </c>
      <c r="R217" s="4607">
        <v>8</v>
      </c>
      <c r="S217" s="4583">
        <v>1</v>
      </c>
      <c r="T217" s="4583"/>
      <c r="U217" s="4583">
        <v>12</v>
      </c>
      <c r="V217" s="4583"/>
      <c r="Z217" s="1793"/>
      <c r="AA217" s="1793" t="s">
        <v>260</v>
      </c>
      <c r="AB217" s="4804">
        <v>0</v>
      </c>
      <c r="AC217" s="4804">
        <v>1</v>
      </c>
      <c r="AD217" s="4804">
        <v>0</v>
      </c>
      <c r="AE217" s="4804"/>
      <c r="AF217" s="4804">
        <v>1</v>
      </c>
      <c r="AG217" s="4804"/>
      <c r="AH217" s="4804">
        <v>1</v>
      </c>
      <c r="AI217" s="4804">
        <v>1</v>
      </c>
      <c r="AJ217" s="4804"/>
      <c r="AK217" s="4804">
        <v>3</v>
      </c>
      <c r="AL217" s="4804">
        <v>2</v>
      </c>
      <c r="AM217" s="4804">
        <v>6</v>
      </c>
      <c r="AN217" s="4804">
        <v>13</v>
      </c>
      <c r="AO217" s="4804">
        <v>1</v>
      </c>
      <c r="AP217" s="4702">
        <v>1</v>
      </c>
      <c r="AQ217" s="4702">
        <v>30</v>
      </c>
      <c r="AR217" s="4703">
        <f>+(AQ215+AQ216)/AQ217</f>
        <v>6.6666666666666666E-2</v>
      </c>
      <c r="AT217" s="41"/>
      <c r="AU217" s="41"/>
      <c r="AV217" s="461"/>
      <c r="AW217" s="461" t="s">
        <v>442</v>
      </c>
      <c r="AX217" s="2489"/>
      <c r="AY217" s="2489"/>
      <c r="AZ217" s="2489"/>
      <c r="BA217" s="2489"/>
      <c r="BB217" s="2489">
        <v>1</v>
      </c>
      <c r="BC217" s="2489"/>
      <c r="BD217" s="2489"/>
      <c r="BE217" s="2489"/>
      <c r="BF217" s="2489"/>
      <c r="BG217" s="2489">
        <v>9</v>
      </c>
      <c r="BH217" s="2489">
        <v>3</v>
      </c>
      <c r="BI217" s="2489"/>
      <c r="BJ217" s="2489">
        <v>15</v>
      </c>
      <c r="BK217" s="2489">
        <v>2</v>
      </c>
      <c r="BL217" s="2489">
        <v>10</v>
      </c>
      <c r="BM217" s="461">
        <v>1</v>
      </c>
      <c r="BN217" s="461">
        <v>9</v>
      </c>
      <c r="BO217" s="461">
        <v>50</v>
      </c>
      <c r="BP217" s="635">
        <f>+(BO216+BO215+BO213)/BO217</f>
        <v>0.4</v>
      </c>
      <c r="BQ217" s="1977"/>
      <c r="CT217" s="1662"/>
      <c r="CU217" s="1662"/>
      <c r="CV217" s="1662"/>
      <c r="CW217" s="1662"/>
      <c r="CX217" s="1662"/>
      <c r="CY217" s="1662"/>
      <c r="CZ217" s="1662"/>
      <c r="DA217" s="1662"/>
      <c r="DB217" s="1662"/>
      <c r="DC217" s="1662"/>
      <c r="DD217" s="1662"/>
      <c r="DE217" s="1662"/>
      <c r="DF217" s="1662"/>
      <c r="DG217" s="1662"/>
      <c r="DH217" s="1662"/>
      <c r="DI217" s="1662"/>
      <c r="DJ217" s="1662"/>
      <c r="DK217" s="1662"/>
      <c r="DL217" s="1662"/>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s="41"/>
      <c r="GO217" s="41"/>
      <c r="GP217" s="41"/>
      <c r="GQ217" s="41"/>
      <c r="GR217" s="41"/>
      <c r="GS217" s="41"/>
      <c r="GT217" s="41"/>
      <c r="GU217" s="41"/>
      <c r="GV217" s="41"/>
      <c r="GW217" s="41"/>
      <c r="GX217" s="41"/>
      <c r="GY217" s="41"/>
      <c r="GZ217" s="41"/>
      <c r="HA217" s="41"/>
      <c r="HB217" s="105"/>
      <c r="HC217" s="105"/>
      <c r="HD217" s="41"/>
      <c r="HE217" s="41"/>
      <c r="HF217" s="41"/>
      <c r="HG217" s="41"/>
      <c r="HH217" s="41"/>
      <c r="HI217" s="41"/>
      <c r="HJ217" s="41"/>
      <c r="HK217" s="41"/>
      <c r="HL217" s="41"/>
      <c r="HM217" s="41"/>
      <c r="HN217" s="41"/>
      <c r="HO217" s="41"/>
      <c r="HP217" s="41"/>
      <c r="HQ217" s="41"/>
      <c r="HR217" s="41"/>
      <c r="HS217" s="41"/>
      <c r="HT217" s="41"/>
      <c r="HU217" s="41"/>
      <c r="HV217" s="41"/>
      <c r="HW217" s="41"/>
      <c r="HX217" s="41"/>
      <c r="HY217" s="41"/>
      <c r="HZ217" s="41"/>
      <c r="IA217" s="41"/>
      <c r="IB217" s="41"/>
      <c r="IC217" s="41"/>
      <c r="ID217" s="41"/>
      <c r="IE217" s="41"/>
      <c r="IF217" s="41"/>
      <c r="IG217" s="41"/>
      <c r="IH217" s="41"/>
      <c r="II217" s="41"/>
      <c r="IJ217" s="41"/>
      <c r="IK217" s="41"/>
      <c r="IL217" s="41"/>
      <c r="IM217" s="41"/>
      <c r="IN217" s="41"/>
      <c r="IO217" s="41"/>
      <c r="IP217" s="41"/>
      <c r="IQ217" s="41"/>
      <c r="IR217" s="41"/>
      <c r="IS217" s="41"/>
      <c r="IT217" s="41"/>
      <c r="IU217" s="41"/>
    </row>
    <row r="218" spans="3:255">
      <c r="C218" s="32"/>
      <c r="D218" s="32" t="s">
        <v>1240</v>
      </c>
      <c r="E218" s="4607"/>
      <c r="F218" s="4607">
        <v>0</v>
      </c>
      <c r="G218" s="4607">
        <v>0</v>
      </c>
      <c r="H218" s="4607"/>
      <c r="I218" s="4607">
        <v>0</v>
      </c>
      <c r="J218" s="4607"/>
      <c r="K218" s="4607">
        <v>0</v>
      </c>
      <c r="L218" s="4607">
        <v>0</v>
      </c>
      <c r="M218" s="4607"/>
      <c r="N218" s="4607">
        <v>1</v>
      </c>
      <c r="O218" s="4607">
        <v>0</v>
      </c>
      <c r="P218" s="4607">
        <v>0</v>
      </c>
      <c r="Q218" s="4607">
        <v>1</v>
      </c>
      <c r="R218" s="4607">
        <v>0</v>
      </c>
      <c r="S218" s="4583">
        <v>1</v>
      </c>
      <c r="T218" s="4583"/>
      <c r="U218" s="4583">
        <v>3</v>
      </c>
      <c r="V218" s="4583"/>
      <c r="Z218" s="1793" t="s">
        <v>113</v>
      </c>
      <c r="AA218" s="1793" t="s">
        <v>1230</v>
      </c>
      <c r="AB218" s="4804">
        <v>0</v>
      </c>
      <c r="AC218" s="4804">
        <v>0</v>
      </c>
      <c r="AD218" s="4804">
        <v>0</v>
      </c>
      <c r="AE218" s="4804">
        <v>0</v>
      </c>
      <c r="AF218" s="4804">
        <v>0</v>
      </c>
      <c r="AG218" s="4804">
        <v>0</v>
      </c>
      <c r="AH218" s="4804">
        <v>0</v>
      </c>
      <c r="AI218" s="4804">
        <v>0</v>
      </c>
      <c r="AJ218" s="4804">
        <v>0</v>
      </c>
      <c r="AK218" s="4804">
        <v>1</v>
      </c>
      <c r="AL218" s="4804">
        <v>0</v>
      </c>
      <c r="AM218" s="4804">
        <v>1</v>
      </c>
      <c r="AN218" s="4804">
        <v>12</v>
      </c>
      <c r="AO218" s="4804">
        <v>0</v>
      </c>
      <c r="AP218" s="4702">
        <v>1</v>
      </c>
      <c r="AQ218" s="4702">
        <v>15</v>
      </c>
      <c r="AR218" s="1793"/>
      <c r="AT218" s="41" t="s">
        <v>59</v>
      </c>
      <c r="AU218" s="41" t="s">
        <v>16</v>
      </c>
      <c r="AV218" s="41" t="s">
        <v>670</v>
      </c>
      <c r="AW218" s="41" t="s">
        <v>1231</v>
      </c>
      <c r="AX218" s="690"/>
      <c r="AY218" s="690"/>
      <c r="AZ218" s="690"/>
      <c r="BA218" s="690"/>
      <c r="BB218" s="690"/>
      <c r="BC218" s="690">
        <v>0</v>
      </c>
      <c r="BD218" s="690"/>
      <c r="BE218" s="690">
        <v>0</v>
      </c>
      <c r="BF218" s="690">
        <v>1</v>
      </c>
      <c r="BG218" s="690">
        <v>4</v>
      </c>
      <c r="BH218" s="690">
        <v>1</v>
      </c>
      <c r="BI218" s="690"/>
      <c r="BJ218" s="690">
        <v>0</v>
      </c>
      <c r="BK218" s="690"/>
      <c r="BL218" s="690">
        <v>0</v>
      </c>
      <c r="BM218" s="41"/>
      <c r="BN218" s="41"/>
      <c r="BO218" s="41">
        <v>6</v>
      </c>
      <c r="BP218" s="41"/>
      <c r="CS218" s="1663"/>
      <c r="CT218" s="1662"/>
      <c r="CU218" s="1662"/>
      <c r="CV218" s="1662"/>
      <c r="CW218" s="1662"/>
      <c r="CX218" s="1662"/>
      <c r="CY218" s="1662"/>
      <c r="CZ218" s="1662"/>
      <c r="DA218" s="1662"/>
      <c r="DB218" s="1662"/>
      <c r="DC218" s="1662"/>
      <c r="DD218" s="1662"/>
      <c r="DE218" s="1662"/>
      <c r="DF218" s="1662"/>
      <c r="DG218" s="1662"/>
      <c r="DH218" s="1662"/>
      <c r="DI218" s="1662"/>
      <c r="DJ218" s="1662"/>
      <c r="DK218" s="1662"/>
      <c r="DL218" s="1662"/>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s="41"/>
      <c r="GO218" s="41"/>
      <c r="GP218" s="41"/>
      <c r="GQ218" s="41"/>
      <c r="GR218" s="41"/>
      <c r="GS218" s="41"/>
      <c r="GT218" s="41"/>
      <c r="GU218" s="41"/>
      <c r="GV218" s="41"/>
      <c r="GW218" s="41"/>
      <c r="GX218" s="41"/>
      <c r="GY218" s="41"/>
      <c r="GZ218" s="41"/>
      <c r="HA218" s="41"/>
      <c r="HB218" s="105"/>
      <c r="HC218" s="105"/>
      <c r="HD218" s="41"/>
      <c r="HE218" s="41"/>
      <c r="HF218" s="41"/>
      <c r="HG218" s="41"/>
      <c r="HH218" s="41"/>
      <c r="HI218" s="41"/>
      <c r="HJ218" s="41"/>
      <c r="HK218" s="41"/>
      <c r="HL218" s="41"/>
      <c r="HM218" s="41"/>
      <c r="HN218" s="41"/>
      <c r="HO218" s="41"/>
      <c r="HP218" s="41"/>
      <c r="HQ218" s="41"/>
      <c r="HR218" s="41"/>
      <c r="HS218" s="41"/>
      <c r="HT218" s="41"/>
      <c r="HU218" s="41"/>
      <c r="HV218" s="41"/>
      <c r="HW218" s="41"/>
      <c r="HX218" s="41"/>
      <c r="HY218" s="41"/>
      <c r="HZ218" s="41"/>
      <c r="IA218" s="41"/>
      <c r="IB218" s="41"/>
      <c r="IC218" s="41"/>
      <c r="ID218" s="41"/>
      <c r="IE218" s="41"/>
      <c r="IF218" s="41"/>
      <c r="IG218" s="41"/>
      <c r="IH218" s="41"/>
      <c r="II218" s="41"/>
      <c r="IJ218" s="41"/>
      <c r="IK218" s="41"/>
      <c r="IL218" s="41"/>
      <c r="IM218" s="41"/>
      <c r="IN218" s="41"/>
      <c r="IO218" s="41"/>
      <c r="IP218" s="41"/>
      <c r="IQ218" s="41"/>
      <c r="IR218" s="41"/>
      <c r="IS218" s="41"/>
      <c r="IT218" s="41"/>
      <c r="IU218" s="41"/>
    </row>
    <row r="219" spans="3:255">
      <c r="C219" s="32"/>
      <c r="D219" s="32" t="s">
        <v>1344</v>
      </c>
      <c r="E219" s="4607"/>
      <c r="F219" s="4607">
        <v>0</v>
      </c>
      <c r="G219" s="4607">
        <v>0</v>
      </c>
      <c r="H219" s="4607"/>
      <c r="I219" s="4607">
        <v>0</v>
      </c>
      <c r="J219" s="4607"/>
      <c r="K219" s="4607">
        <v>0</v>
      </c>
      <c r="L219" s="4607">
        <v>0</v>
      </c>
      <c r="M219" s="4607"/>
      <c r="N219" s="4607">
        <v>1</v>
      </c>
      <c r="O219" s="4607">
        <v>0</v>
      </c>
      <c r="P219" s="4607">
        <v>0</v>
      </c>
      <c r="Q219" s="4607">
        <v>0</v>
      </c>
      <c r="R219" s="4607">
        <v>0</v>
      </c>
      <c r="S219" s="4583">
        <v>0</v>
      </c>
      <c r="T219" s="4583"/>
      <c r="U219" s="4583">
        <v>1</v>
      </c>
      <c r="V219" s="4583"/>
      <c r="Z219" s="1793"/>
      <c r="AA219" s="1793" t="s">
        <v>1231</v>
      </c>
      <c r="AB219" s="4804">
        <v>1</v>
      </c>
      <c r="AC219" s="4804">
        <v>2</v>
      </c>
      <c r="AD219" s="4804">
        <v>0</v>
      </c>
      <c r="AE219" s="4804">
        <v>1</v>
      </c>
      <c r="AF219" s="4804">
        <v>2</v>
      </c>
      <c r="AG219" s="4804">
        <v>1</v>
      </c>
      <c r="AH219" s="4804">
        <v>3</v>
      </c>
      <c r="AI219" s="4804">
        <v>1</v>
      </c>
      <c r="AJ219" s="4804">
        <v>4</v>
      </c>
      <c r="AK219" s="4804">
        <v>7</v>
      </c>
      <c r="AL219" s="4804">
        <v>8</v>
      </c>
      <c r="AM219" s="4804">
        <v>55</v>
      </c>
      <c r="AN219" s="4804">
        <v>21</v>
      </c>
      <c r="AO219" s="4804">
        <v>2</v>
      </c>
      <c r="AP219" s="4702">
        <v>0</v>
      </c>
      <c r="AQ219" s="4702">
        <v>108</v>
      </c>
      <c r="AR219" s="1793"/>
      <c r="AT219" s="41"/>
      <c r="AU219" s="41"/>
      <c r="AV219" s="41"/>
      <c r="AW219" s="41" t="s">
        <v>1233</v>
      </c>
      <c r="AX219" s="690"/>
      <c r="AY219" s="690"/>
      <c r="AZ219" s="690"/>
      <c r="BA219" s="690"/>
      <c r="BB219" s="690"/>
      <c r="BC219" s="690">
        <v>0</v>
      </c>
      <c r="BD219" s="690"/>
      <c r="BE219" s="690">
        <v>1</v>
      </c>
      <c r="BF219" s="690">
        <v>0</v>
      </c>
      <c r="BG219" s="690">
        <v>0</v>
      </c>
      <c r="BH219" s="690">
        <v>0</v>
      </c>
      <c r="BI219" s="690"/>
      <c r="BJ219" s="690">
        <v>0</v>
      </c>
      <c r="BK219" s="690"/>
      <c r="BL219" s="690">
        <v>0</v>
      </c>
      <c r="BM219" s="41"/>
      <c r="BN219" s="41"/>
      <c r="BO219" s="41">
        <v>1</v>
      </c>
      <c r="BP219" s="41"/>
      <c r="CT219" s="1662"/>
      <c r="CU219" s="1662"/>
      <c r="CV219" s="1662"/>
      <c r="CW219" s="1662"/>
      <c r="CX219" s="1662"/>
      <c r="CY219" s="1662"/>
      <c r="CZ219" s="1662"/>
      <c r="DA219" s="1662"/>
      <c r="DB219" s="1662"/>
      <c r="DC219" s="1662"/>
      <c r="DD219" s="1662"/>
      <c r="DE219" s="1662"/>
      <c r="DF219" s="1662"/>
      <c r="DG219" s="1662"/>
      <c r="DH219" s="1662"/>
      <c r="DI219" s="1662"/>
      <c r="DJ219" s="1662"/>
      <c r="DK219" s="1662"/>
      <c r="DL219" s="1662"/>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s="41"/>
      <c r="GO219" s="41"/>
      <c r="GP219" s="41"/>
      <c r="GQ219" s="41"/>
      <c r="GR219" s="41"/>
      <c r="GS219" s="41"/>
      <c r="GT219" s="41"/>
      <c r="GU219" s="41"/>
      <c r="GV219" s="41"/>
      <c r="GW219" s="41"/>
      <c r="GX219" s="41"/>
      <c r="GY219" s="41"/>
      <c r="GZ219" s="41"/>
      <c r="HA219" s="41"/>
      <c r="HB219" s="105"/>
      <c r="HC219" s="105"/>
      <c r="HD219" s="41"/>
      <c r="HE219" s="41"/>
      <c r="HF219" s="41"/>
      <c r="HG219" s="41"/>
      <c r="HH219" s="41"/>
      <c r="HI219" s="41"/>
      <c r="HJ219" s="41"/>
      <c r="HK219" s="41"/>
      <c r="HL219" s="41"/>
      <c r="HM219" s="41"/>
      <c r="HN219" s="41"/>
      <c r="HO219" s="41"/>
      <c r="HP219" s="41"/>
      <c r="HQ219" s="41"/>
      <c r="HR219" s="41"/>
      <c r="HS219" s="41"/>
      <c r="HT219" s="41"/>
      <c r="HU219" s="41"/>
      <c r="HV219" s="41"/>
      <c r="HW219" s="41"/>
      <c r="HX219" s="41"/>
      <c r="HY219" s="41"/>
      <c r="HZ219" s="41"/>
      <c r="IA219" s="41"/>
      <c r="IB219" s="41"/>
      <c r="IC219" s="41"/>
      <c r="ID219" s="41"/>
      <c r="IE219" s="41"/>
      <c r="IF219" s="41"/>
      <c r="IG219" s="41"/>
      <c r="IH219" s="41"/>
      <c r="II219" s="41"/>
      <c r="IJ219" s="41"/>
      <c r="IK219" s="41"/>
      <c r="IL219" s="41"/>
      <c r="IM219" s="41"/>
      <c r="IN219" s="41"/>
      <c r="IO219" s="41"/>
      <c r="IP219" s="41"/>
      <c r="IQ219" s="41"/>
      <c r="IR219" s="41"/>
      <c r="IS219" s="41"/>
      <c r="IT219" s="41"/>
      <c r="IU219" s="41"/>
    </row>
    <row r="220" spans="3:255">
      <c r="C220" s="32"/>
      <c r="D220" s="4800" t="s">
        <v>15</v>
      </c>
      <c r="E220" s="4607"/>
      <c r="F220" s="4607">
        <v>1</v>
      </c>
      <c r="G220" s="4607">
        <v>0</v>
      </c>
      <c r="H220" s="4607"/>
      <c r="I220" s="4607">
        <v>1</v>
      </c>
      <c r="J220" s="4607"/>
      <c r="K220" s="4607">
        <v>1</v>
      </c>
      <c r="L220" s="4607">
        <v>1</v>
      </c>
      <c r="M220" s="4607"/>
      <c r="N220" s="4607">
        <v>3</v>
      </c>
      <c r="O220" s="4607">
        <v>2</v>
      </c>
      <c r="P220" s="4607">
        <v>6</v>
      </c>
      <c r="Q220" s="4607">
        <v>4</v>
      </c>
      <c r="R220" s="4607">
        <v>9</v>
      </c>
      <c r="S220" s="4583">
        <v>2</v>
      </c>
      <c r="T220" s="4583"/>
      <c r="U220" s="4583">
        <v>30</v>
      </c>
      <c r="V220" s="1977">
        <f>+(U215+U218+U219)/(U220)</f>
        <v>0.16666666666666666</v>
      </c>
      <c r="Z220" s="1793"/>
      <c r="AA220" s="1793" t="s">
        <v>1233</v>
      </c>
      <c r="AB220" s="4804">
        <v>0</v>
      </c>
      <c r="AC220" s="4804">
        <v>1</v>
      </c>
      <c r="AD220" s="4804">
        <v>0</v>
      </c>
      <c r="AE220" s="4804">
        <v>0</v>
      </c>
      <c r="AF220" s="4804">
        <v>0</v>
      </c>
      <c r="AG220" s="4804">
        <v>0</v>
      </c>
      <c r="AH220" s="4804">
        <v>0</v>
      </c>
      <c r="AI220" s="4804">
        <v>0</v>
      </c>
      <c r="AJ220" s="4804">
        <v>1</v>
      </c>
      <c r="AK220" s="4804">
        <v>0</v>
      </c>
      <c r="AL220" s="4804">
        <v>0</v>
      </c>
      <c r="AM220" s="4804">
        <v>0</v>
      </c>
      <c r="AN220" s="4804">
        <v>0</v>
      </c>
      <c r="AO220" s="4804">
        <v>0</v>
      </c>
      <c r="AP220" s="4702">
        <v>0</v>
      </c>
      <c r="AQ220" s="4702">
        <v>2</v>
      </c>
      <c r="AR220" s="1793"/>
      <c r="AT220" s="41"/>
      <c r="AU220" s="41"/>
      <c r="AV220" s="41"/>
      <c r="AW220" s="41" t="s">
        <v>1236</v>
      </c>
      <c r="AX220" s="690"/>
      <c r="AY220" s="690"/>
      <c r="AZ220" s="690"/>
      <c r="BA220" s="690"/>
      <c r="BB220" s="690"/>
      <c r="BC220" s="690">
        <v>1</v>
      </c>
      <c r="BD220" s="690"/>
      <c r="BE220" s="690">
        <v>0</v>
      </c>
      <c r="BF220" s="690">
        <v>0</v>
      </c>
      <c r="BG220" s="690">
        <v>0</v>
      </c>
      <c r="BH220" s="690">
        <v>1</v>
      </c>
      <c r="BI220" s="690"/>
      <c r="BJ220" s="690">
        <v>0</v>
      </c>
      <c r="BK220" s="690"/>
      <c r="BL220" s="690">
        <v>0</v>
      </c>
      <c r="BM220" s="41"/>
      <c r="BN220" s="41"/>
      <c r="BO220" s="41">
        <v>2</v>
      </c>
      <c r="BP220" s="41"/>
      <c r="CS220" s="1663"/>
      <c r="CT220" s="1662"/>
      <c r="CU220" s="1662"/>
      <c r="CV220" s="1662"/>
      <c r="CW220" s="1662"/>
      <c r="CX220" s="1662"/>
      <c r="CY220" s="1662"/>
      <c r="CZ220" s="1662"/>
      <c r="DA220" s="1662"/>
      <c r="DB220" s="1662"/>
      <c r="DC220" s="1662"/>
      <c r="DD220" s="1662"/>
      <c r="DE220" s="1662"/>
      <c r="DF220" s="1662"/>
      <c r="DG220" s="1662"/>
      <c r="DH220" s="1662"/>
      <c r="DI220" s="1662"/>
      <c r="DJ220" s="1662"/>
      <c r="DK220" s="1662"/>
      <c r="DL220" s="1662"/>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s="41"/>
      <c r="GO220" s="41"/>
      <c r="GP220" s="41"/>
      <c r="GQ220" s="41"/>
      <c r="GR220" s="41"/>
      <c r="GS220" s="41"/>
      <c r="GT220" s="41"/>
      <c r="GU220" s="41"/>
      <c r="GV220" s="41"/>
      <c r="GW220" s="41"/>
      <c r="GX220" s="41"/>
      <c r="GY220" s="41"/>
      <c r="GZ220" s="41"/>
      <c r="HA220" s="41"/>
      <c r="HB220" s="105"/>
      <c r="HC220" s="105"/>
      <c r="HD220" s="41"/>
      <c r="HE220" s="41"/>
      <c r="HF220" s="41"/>
      <c r="HG220" s="41"/>
      <c r="HH220" s="41"/>
      <c r="HI220" s="41"/>
      <c r="HJ220" s="41"/>
      <c r="HK220" s="41"/>
      <c r="HL220" s="41"/>
      <c r="HM220" s="41"/>
      <c r="HN220" s="41"/>
      <c r="HO220" s="41"/>
      <c r="HP220" s="41"/>
      <c r="HQ220" s="41"/>
      <c r="HR220" s="41"/>
      <c r="HS220" s="41"/>
      <c r="HT220" s="41"/>
      <c r="HU220" s="41"/>
      <c r="HV220" s="41"/>
      <c r="HW220" s="41"/>
      <c r="HX220" s="41"/>
      <c r="HY220" s="41"/>
      <c r="HZ220" s="41"/>
      <c r="IA220" s="41"/>
      <c r="IB220" s="41"/>
      <c r="IC220" s="41"/>
      <c r="ID220" s="41"/>
      <c r="IE220" s="41"/>
      <c r="IF220" s="41"/>
      <c r="IG220" s="41"/>
      <c r="IH220" s="41"/>
      <c r="II220" s="41"/>
      <c r="IJ220" s="41"/>
      <c r="IK220" s="41"/>
      <c r="IL220" s="41"/>
      <c r="IM220" s="41"/>
      <c r="IN220" s="41"/>
      <c r="IO220" s="41"/>
      <c r="IP220" s="41"/>
      <c r="IQ220" s="41"/>
      <c r="IR220" s="41"/>
      <c r="IS220" s="41"/>
      <c r="IT220" s="41"/>
      <c r="IU220" s="41"/>
    </row>
    <row r="221" spans="3:255">
      <c r="C221" s="32" t="s">
        <v>113</v>
      </c>
      <c r="D221" s="32" t="s">
        <v>1230</v>
      </c>
      <c r="E221" s="4607">
        <v>0</v>
      </c>
      <c r="F221" s="4607">
        <v>0</v>
      </c>
      <c r="G221" s="4607">
        <v>0</v>
      </c>
      <c r="H221" s="4607">
        <v>0</v>
      </c>
      <c r="I221" s="4607">
        <v>0</v>
      </c>
      <c r="J221" s="4607">
        <v>0</v>
      </c>
      <c r="K221" s="4607">
        <v>0</v>
      </c>
      <c r="L221" s="4607">
        <v>0</v>
      </c>
      <c r="M221" s="4607">
        <v>0</v>
      </c>
      <c r="N221" s="4607">
        <v>0</v>
      </c>
      <c r="O221" s="4607">
        <v>0</v>
      </c>
      <c r="P221" s="4607">
        <v>0</v>
      </c>
      <c r="Q221" s="4607">
        <v>1</v>
      </c>
      <c r="R221" s="4607">
        <v>4</v>
      </c>
      <c r="S221" s="4583">
        <v>0</v>
      </c>
      <c r="T221" s="4583">
        <v>0</v>
      </c>
      <c r="U221" s="4583">
        <v>5</v>
      </c>
      <c r="V221" s="4583"/>
      <c r="Z221" s="1793"/>
      <c r="AA221" s="1793" t="s">
        <v>1235</v>
      </c>
      <c r="AB221" s="4804">
        <v>0</v>
      </c>
      <c r="AC221" s="4804">
        <v>0</v>
      </c>
      <c r="AD221" s="4804">
        <v>0</v>
      </c>
      <c r="AE221" s="4804">
        <v>0</v>
      </c>
      <c r="AF221" s="4804">
        <v>0</v>
      </c>
      <c r="AG221" s="4804">
        <v>0</v>
      </c>
      <c r="AH221" s="4804">
        <v>0</v>
      </c>
      <c r="AI221" s="4804">
        <v>0</v>
      </c>
      <c r="AJ221" s="4804">
        <v>0</v>
      </c>
      <c r="AK221" s="4804">
        <v>1</v>
      </c>
      <c r="AL221" s="4804">
        <v>0</v>
      </c>
      <c r="AM221" s="4804">
        <v>15</v>
      </c>
      <c r="AN221" s="4804">
        <v>7</v>
      </c>
      <c r="AO221" s="4804">
        <v>3</v>
      </c>
      <c r="AP221" s="4702">
        <v>0</v>
      </c>
      <c r="AQ221" s="4702">
        <v>26</v>
      </c>
      <c r="AR221" s="1793"/>
      <c r="AT221" s="41"/>
      <c r="AU221" s="41"/>
      <c r="AV221" s="41"/>
      <c r="AW221" s="41" t="s">
        <v>1239</v>
      </c>
      <c r="AX221" s="690"/>
      <c r="AY221" s="690"/>
      <c r="AZ221" s="690"/>
      <c r="BA221" s="690"/>
      <c r="BB221" s="690"/>
      <c r="BC221" s="690">
        <v>0</v>
      </c>
      <c r="BD221" s="690"/>
      <c r="BE221" s="690">
        <v>0</v>
      </c>
      <c r="BF221" s="690">
        <v>0</v>
      </c>
      <c r="BG221" s="690">
        <v>0</v>
      </c>
      <c r="BH221" s="690">
        <v>0</v>
      </c>
      <c r="BI221" s="690"/>
      <c r="BJ221" s="690">
        <v>2</v>
      </c>
      <c r="BK221" s="690"/>
      <c r="BL221" s="690">
        <v>1</v>
      </c>
      <c r="BM221" s="41"/>
      <c r="BN221" s="41"/>
      <c r="BO221" s="41">
        <v>3</v>
      </c>
      <c r="BP221" s="41"/>
      <c r="CT221" s="1662"/>
      <c r="CU221" s="1662"/>
      <c r="CV221" s="1662"/>
      <c r="CW221" s="1662"/>
      <c r="CX221" s="1662"/>
      <c r="CY221" s="1662"/>
      <c r="CZ221" s="1662"/>
      <c r="DA221" s="1662"/>
      <c r="DB221" s="1662"/>
      <c r="DC221" s="1662"/>
      <c r="DD221" s="1662"/>
      <c r="DE221" s="1662"/>
      <c r="DF221" s="1662"/>
      <c r="DG221" s="1662"/>
      <c r="DH221" s="1662"/>
      <c r="DI221" s="1662"/>
      <c r="DJ221" s="1662"/>
      <c r="DK221" s="1662"/>
      <c r="DL221" s="1662"/>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s="41"/>
      <c r="GO221" s="41"/>
      <c r="GP221" s="41"/>
      <c r="GQ221" s="41"/>
      <c r="GR221" s="41"/>
      <c r="GS221" s="41"/>
      <c r="GT221" s="41"/>
      <c r="GU221" s="41"/>
      <c r="GV221" s="41"/>
      <c r="GW221" s="41"/>
      <c r="GX221" s="41"/>
      <c r="GY221" s="41"/>
      <c r="GZ221" s="41"/>
      <c r="HA221" s="41"/>
      <c r="HB221" s="105"/>
      <c r="HC221" s="105"/>
      <c r="HD221" s="4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row>
    <row r="222" spans="3:255">
      <c r="C222" s="32"/>
      <c r="D222" s="32" t="s">
        <v>1231</v>
      </c>
      <c r="E222" s="4607">
        <v>1</v>
      </c>
      <c r="F222" s="4607">
        <v>2</v>
      </c>
      <c r="G222" s="4607">
        <v>0</v>
      </c>
      <c r="H222" s="4607">
        <v>1</v>
      </c>
      <c r="I222" s="4607">
        <v>2</v>
      </c>
      <c r="J222" s="4607">
        <v>1</v>
      </c>
      <c r="K222" s="4607">
        <v>3</v>
      </c>
      <c r="L222" s="4607">
        <v>1</v>
      </c>
      <c r="M222" s="4607">
        <v>4</v>
      </c>
      <c r="N222" s="4607">
        <v>5</v>
      </c>
      <c r="O222" s="4607">
        <v>6</v>
      </c>
      <c r="P222" s="4607">
        <v>45</v>
      </c>
      <c r="Q222" s="4607">
        <v>18</v>
      </c>
      <c r="R222" s="4607">
        <v>1</v>
      </c>
      <c r="S222" s="4583">
        <v>0</v>
      </c>
      <c r="T222" s="4583">
        <v>0</v>
      </c>
      <c r="U222" s="4583">
        <v>90</v>
      </c>
      <c r="V222" s="4583"/>
      <c r="Z222" s="1793"/>
      <c r="AA222" s="1793" t="s">
        <v>1236</v>
      </c>
      <c r="AB222" s="4804">
        <v>0</v>
      </c>
      <c r="AC222" s="4804">
        <v>1</v>
      </c>
      <c r="AD222" s="4804">
        <v>0</v>
      </c>
      <c r="AE222" s="4804">
        <v>0</v>
      </c>
      <c r="AF222" s="4804">
        <v>1</v>
      </c>
      <c r="AG222" s="4804">
        <v>1</v>
      </c>
      <c r="AH222" s="4804">
        <v>1</v>
      </c>
      <c r="AI222" s="4804">
        <v>2</v>
      </c>
      <c r="AJ222" s="4804">
        <v>0</v>
      </c>
      <c r="AK222" s="4804">
        <v>0</v>
      </c>
      <c r="AL222" s="4804">
        <v>2</v>
      </c>
      <c r="AM222" s="4804">
        <v>1</v>
      </c>
      <c r="AN222" s="4804">
        <v>0</v>
      </c>
      <c r="AO222" s="4804">
        <v>1</v>
      </c>
      <c r="AP222" s="4702">
        <v>1</v>
      </c>
      <c r="AQ222" s="4702">
        <v>11</v>
      </c>
      <c r="AR222" s="1793"/>
      <c r="AT222" s="41"/>
      <c r="AU222" s="41"/>
      <c r="AV222" s="41"/>
      <c r="AW222" s="41" t="s">
        <v>1240</v>
      </c>
      <c r="AX222" s="690"/>
      <c r="AY222" s="690"/>
      <c r="AZ222" s="690"/>
      <c r="BA222" s="690"/>
      <c r="BB222" s="690"/>
      <c r="BC222" s="690">
        <v>0</v>
      </c>
      <c r="BD222" s="690"/>
      <c r="BE222" s="690">
        <v>0</v>
      </c>
      <c r="BF222" s="690">
        <v>0</v>
      </c>
      <c r="BG222" s="690">
        <v>2</v>
      </c>
      <c r="BH222" s="690">
        <v>0</v>
      </c>
      <c r="BI222" s="690"/>
      <c r="BJ222" s="690">
        <v>0</v>
      </c>
      <c r="BK222" s="690"/>
      <c r="BL222" s="690">
        <v>0</v>
      </c>
      <c r="BM222" s="41"/>
      <c r="BN222" s="41"/>
      <c r="BO222" s="41">
        <v>2</v>
      </c>
      <c r="BP222" s="41"/>
      <c r="CT222" s="1662"/>
      <c r="CU222" s="1662"/>
      <c r="CV222" s="1662"/>
      <c r="CW222" s="1662"/>
      <c r="CX222" s="1662"/>
      <c r="CY222" s="1662"/>
      <c r="CZ222" s="1662"/>
      <c r="DA222" s="1662"/>
      <c r="DB222" s="1662"/>
      <c r="DC222" s="1662"/>
      <c r="DD222" s="1662"/>
      <c r="DE222" s="1662"/>
      <c r="DF222" s="1662"/>
      <c r="DG222" s="1662"/>
      <c r="DH222" s="1662"/>
      <c r="DI222" s="1662"/>
      <c r="DJ222" s="1662"/>
      <c r="DK222" s="1662"/>
      <c r="DL222" s="1662"/>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s="41"/>
      <c r="GO222" s="41"/>
      <c r="GP222" s="41"/>
      <c r="GQ222" s="41"/>
      <c r="GR222" s="41"/>
      <c r="GS222" s="41"/>
      <c r="GT222" s="41"/>
      <c r="GU222" s="41"/>
      <c r="GV222" s="41"/>
      <c r="GW222" s="41"/>
      <c r="GX222" s="41"/>
      <c r="GY222" s="41"/>
      <c r="GZ222" s="41"/>
      <c r="HA222" s="41"/>
      <c r="HB222" s="105"/>
      <c r="HC222" s="105"/>
      <c r="HD222" s="4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row>
    <row r="223" spans="3:255">
      <c r="C223" s="32"/>
      <c r="D223" s="32" t="s">
        <v>1233</v>
      </c>
      <c r="E223" s="4607">
        <v>0</v>
      </c>
      <c r="F223" s="4607">
        <v>1</v>
      </c>
      <c r="G223" s="4607">
        <v>0</v>
      </c>
      <c r="H223" s="4607">
        <v>0</v>
      </c>
      <c r="I223" s="4607">
        <v>0</v>
      </c>
      <c r="J223" s="4607">
        <v>0</v>
      </c>
      <c r="K223" s="4607">
        <v>0</v>
      </c>
      <c r="L223" s="4607">
        <v>0</v>
      </c>
      <c r="M223" s="4607">
        <v>1</v>
      </c>
      <c r="N223" s="4607">
        <v>0</v>
      </c>
      <c r="O223" s="4607">
        <v>0</v>
      </c>
      <c r="P223" s="4607">
        <v>0</v>
      </c>
      <c r="Q223" s="4607">
        <v>0</v>
      </c>
      <c r="R223" s="4607">
        <v>0</v>
      </c>
      <c r="S223" s="4583">
        <v>0</v>
      </c>
      <c r="T223" s="4583">
        <v>0</v>
      </c>
      <c r="U223" s="4583">
        <v>2</v>
      </c>
      <c r="V223" s="4583"/>
      <c r="Z223" s="1793"/>
      <c r="AA223" s="1793" t="s">
        <v>1239</v>
      </c>
      <c r="AB223" s="4804">
        <v>0</v>
      </c>
      <c r="AC223" s="4804">
        <v>0</v>
      </c>
      <c r="AD223" s="4804">
        <v>0</v>
      </c>
      <c r="AE223" s="4804">
        <v>0</v>
      </c>
      <c r="AF223" s="4804">
        <v>0</v>
      </c>
      <c r="AG223" s="4804">
        <v>0</v>
      </c>
      <c r="AH223" s="4804">
        <v>0</v>
      </c>
      <c r="AI223" s="4804">
        <v>0</v>
      </c>
      <c r="AJ223" s="4804">
        <v>0</v>
      </c>
      <c r="AK223" s="4804">
        <v>0</v>
      </c>
      <c r="AL223" s="4804">
        <v>0</v>
      </c>
      <c r="AM223" s="4804">
        <v>1</v>
      </c>
      <c r="AN223" s="4804">
        <v>68</v>
      </c>
      <c r="AO223" s="4804">
        <v>8</v>
      </c>
      <c r="AP223" s="4702">
        <v>27</v>
      </c>
      <c r="AQ223" s="4702">
        <v>104</v>
      </c>
      <c r="AR223" s="1793"/>
      <c r="AT223" s="41"/>
      <c r="AU223" s="41"/>
      <c r="AV223" s="41"/>
      <c r="AW223" s="41" t="s">
        <v>1344</v>
      </c>
      <c r="AX223" s="690"/>
      <c r="AY223" s="690"/>
      <c r="AZ223" s="690"/>
      <c r="BA223" s="690"/>
      <c r="BB223" s="690"/>
      <c r="BC223" s="690">
        <v>0</v>
      </c>
      <c r="BD223" s="690"/>
      <c r="BE223" s="690">
        <v>0</v>
      </c>
      <c r="BF223" s="690">
        <v>0</v>
      </c>
      <c r="BG223" s="690">
        <v>0</v>
      </c>
      <c r="BH223" s="690">
        <v>3</v>
      </c>
      <c r="BI223" s="690"/>
      <c r="BJ223" s="690">
        <v>0</v>
      </c>
      <c r="BK223" s="690"/>
      <c r="BL223" s="690">
        <v>0</v>
      </c>
      <c r="BM223" s="41"/>
      <c r="BN223" s="41"/>
      <c r="BO223" s="41">
        <v>3</v>
      </c>
      <c r="BP223" s="41"/>
      <c r="CT223" s="1662"/>
      <c r="CU223" s="1662"/>
      <c r="CV223" s="1662"/>
      <c r="CW223" s="1662"/>
      <c r="CX223" s="1662"/>
      <c r="CY223" s="1662"/>
      <c r="CZ223" s="1662"/>
      <c r="DA223" s="1662"/>
      <c r="DB223" s="1662"/>
      <c r="DC223" s="1662"/>
      <c r="DD223" s="1662"/>
      <c r="DE223" s="1662"/>
      <c r="DF223" s="1662"/>
      <c r="DG223" s="1662"/>
      <c r="DH223" s="1662"/>
      <c r="DI223" s="1662"/>
      <c r="DJ223" s="1662"/>
      <c r="DK223" s="1662"/>
      <c r="DL223" s="1662"/>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s="41"/>
      <c r="GO223" s="41"/>
      <c r="GP223" s="41"/>
      <c r="GQ223" s="41"/>
      <c r="GR223" s="41"/>
      <c r="GS223" s="41"/>
      <c r="GT223" s="41"/>
      <c r="GU223" s="41"/>
      <c r="GV223" s="41"/>
      <c r="GW223" s="41"/>
      <c r="GX223" s="41"/>
      <c r="GY223" s="41"/>
      <c r="GZ223" s="41"/>
      <c r="HA223" s="41"/>
      <c r="HB223" s="105"/>
      <c r="HC223" s="105"/>
      <c r="HD223" s="41"/>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row>
    <row r="224" spans="3:255">
      <c r="C224" s="32"/>
      <c r="D224" s="32" t="s">
        <v>1235</v>
      </c>
      <c r="E224" s="4607">
        <v>0</v>
      </c>
      <c r="F224" s="4607">
        <v>0</v>
      </c>
      <c r="G224" s="4607">
        <v>0</v>
      </c>
      <c r="H224" s="4607">
        <v>0</v>
      </c>
      <c r="I224" s="4607">
        <v>0</v>
      </c>
      <c r="J224" s="4607">
        <v>0</v>
      </c>
      <c r="K224" s="4607">
        <v>0</v>
      </c>
      <c r="L224" s="4607">
        <v>0</v>
      </c>
      <c r="M224" s="4607">
        <v>0</v>
      </c>
      <c r="N224" s="4607">
        <v>0</v>
      </c>
      <c r="O224" s="4607">
        <v>1</v>
      </c>
      <c r="P224" s="4607">
        <v>12</v>
      </c>
      <c r="Q224" s="4607">
        <v>20</v>
      </c>
      <c r="R224" s="4607">
        <v>1</v>
      </c>
      <c r="S224" s="4583">
        <v>2</v>
      </c>
      <c r="T224" s="4583">
        <v>0</v>
      </c>
      <c r="U224" s="4583">
        <v>36</v>
      </c>
      <c r="V224" s="4583"/>
      <c r="Z224" s="1793"/>
      <c r="AA224" s="1793" t="s">
        <v>1240</v>
      </c>
      <c r="AB224" s="4804">
        <v>0</v>
      </c>
      <c r="AC224" s="4804">
        <v>0</v>
      </c>
      <c r="AD224" s="4804">
        <v>0</v>
      </c>
      <c r="AE224" s="4804">
        <v>0</v>
      </c>
      <c r="AF224" s="4804">
        <v>0</v>
      </c>
      <c r="AG224" s="4804">
        <v>0</v>
      </c>
      <c r="AH224" s="4804">
        <v>0</v>
      </c>
      <c r="AI224" s="4804">
        <v>0</v>
      </c>
      <c r="AJ224" s="4804">
        <v>0</v>
      </c>
      <c r="AK224" s="4804">
        <v>0</v>
      </c>
      <c r="AL224" s="4804">
        <v>1</v>
      </c>
      <c r="AM224" s="4804">
        <v>6</v>
      </c>
      <c r="AN224" s="4804">
        <v>4</v>
      </c>
      <c r="AO224" s="4804">
        <v>1</v>
      </c>
      <c r="AP224" s="4702">
        <v>0</v>
      </c>
      <c r="AQ224" s="4702">
        <v>12</v>
      </c>
      <c r="AR224" s="1793"/>
      <c r="AT224" s="41"/>
      <c r="AU224" s="41"/>
      <c r="AV224" s="41"/>
      <c r="AW224" s="461" t="s">
        <v>15</v>
      </c>
      <c r="AX224" s="2489"/>
      <c r="AY224" s="2489"/>
      <c r="AZ224" s="2489"/>
      <c r="BA224" s="2489"/>
      <c r="BB224" s="2489"/>
      <c r="BC224" s="2489">
        <v>1</v>
      </c>
      <c r="BD224" s="2489"/>
      <c r="BE224" s="2489">
        <v>1</v>
      </c>
      <c r="BF224" s="2489">
        <v>1</v>
      </c>
      <c r="BG224" s="2489">
        <v>6</v>
      </c>
      <c r="BH224" s="2489">
        <v>5</v>
      </c>
      <c r="BI224" s="2489"/>
      <c r="BJ224" s="2489">
        <v>2</v>
      </c>
      <c r="BK224" s="2489"/>
      <c r="BL224" s="2489">
        <v>1</v>
      </c>
      <c r="BM224" s="461"/>
      <c r="BN224" s="461"/>
      <c r="BO224" s="461">
        <v>17</v>
      </c>
      <c r="BP224" s="635">
        <f>+(BO223+BO222)/BO224</f>
        <v>0.29411764705882354</v>
      </c>
      <c r="BQ224" s="1977"/>
      <c r="CT224" s="1662"/>
      <c r="CU224" s="1662"/>
      <c r="CV224" s="1662"/>
      <c r="CW224" s="1662"/>
      <c r="CX224" s="1662"/>
      <c r="CY224" s="1662"/>
      <c r="CZ224" s="1662"/>
      <c r="DA224" s="1662"/>
      <c r="DB224" s="1662"/>
      <c r="DC224" s="1662"/>
      <c r="DD224" s="1662"/>
      <c r="DE224" s="1662"/>
      <c r="DF224" s="1662"/>
      <c r="DG224" s="1662"/>
      <c r="DH224" s="1662"/>
      <c r="DI224" s="1662"/>
      <c r="DJ224" s="1662"/>
      <c r="DK224" s="1662"/>
      <c r="DL224" s="1662"/>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s="41"/>
      <c r="GO224" s="41"/>
      <c r="GP224" s="41"/>
      <c r="GQ224" s="41"/>
      <c r="GR224" s="41"/>
      <c r="GS224" s="41"/>
      <c r="GT224" s="41"/>
      <c r="GU224" s="41"/>
      <c r="GV224" s="41"/>
      <c r="GW224" s="41"/>
      <c r="GX224" s="41"/>
      <c r="GY224" s="41"/>
      <c r="GZ224" s="41"/>
      <c r="HA224" s="41"/>
      <c r="HB224" s="105"/>
      <c r="HC224" s="105"/>
      <c r="HD224" s="41"/>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row>
    <row r="225" spans="3:255">
      <c r="C225" s="32"/>
      <c r="D225" s="32" t="s">
        <v>1236</v>
      </c>
      <c r="E225" s="4607">
        <v>0</v>
      </c>
      <c r="F225" s="4607">
        <v>1</v>
      </c>
      <c r="G225" s="4607">
        <v>0</v>
      </c>
      <c r="H225" s="4607">
        <v>0</v>
      </c>
      <c r="I225" s="4607">
        <v>1</v>
      </c>
      <c r="J225" s="4607">
        <v>1</v>
      </c>
      <c r="K225" s="4607">
        <v>1</v>
      </c>
      <c r="L225" s="4607">
        <v>2</v>
      </c>
      <c r="M225" s="4607">
        <v>0</v>
      </c>
      <c r="N225" s="4607">
        <v>0</v>
      </c>
      <c r="O225" s="4607">
        <v>2</v>
      </c>
      <c r="P225" s="4607">
        <v>0</v>
      </c>
      <c r="Q225" s="4607">
        <v>0</v>
      </c>
      <c r="R225" s="4607">
        <v>1</v>
      </c>
      <c r="S225" s="4583">
        <v>1</v>
      </c>
      <c r="T225" s="4583">
        <v>0</v>
      </c>
      <c r="U225" s="4583">
        <v>10</v>
      </c>
      <c r="V225" s="4583"/>
      <c r="Z225" s="1793"/>
      <c r="AA225" s="1793" t="s">
        <v>1344</v>
      </c>
      <c r="AB225" s="4804">
        <v>0</v>
      </c>
      <c r="AC225" s="4804">
        <v>0</v>
      </c>
      <c r="AD225" s="4804">
        <v>0</v>
      </c>
      <c r="AE225" s="4804">
        <v>0</v>
      </c>
      <c r="AF225" s="4804">
        <v>0</v>
      </c>
      <c r="AG225" s="4804">
        <v>0</v>
      </c>
      <c r="AH225" s="4804">
        <v>0</v>
      </c>
      <c r="AI225" s="4804">
        <v>0</v>
      </c>
      <c r="AJ225" s="4804">
        <v>12</v>
      </c>
      <c r="AK225" s="4804">
        <v>2</v>
      </c>
      <c r="AL225" s="4804">
        <v>4</v>
      </c>
      <c r="AM225" s="4804">
        <v>12</v>
      </c>
      <c r="AN225" s="4804">
        <v>4</v>
      </c>
      <c r="AO225" s="4804">
        <v>0</v>
      </c>
      <c r="AP225" s="4702">
        <v>0</v>
      </c>
      <c r="AQ225" s="4702">
        <v>34</v>
      </c>
      <c r="AR225" s="1793"/>
      <c r="AT225" s="41"/>
      <c r="AU225" s="41"/>
      <c r="AV225" s="461" t="s">
        <v>545</v>
      </c>
      <c r="AW225" s="461" t="s">
        <v>1231</v>
      </c>
      <c r="AX225" s="2489"/>
      <c r="AY225" s="2489"/>
      <c r="AZ225" s="2489"/>
      <c r="BA225" s="2489"/>
      <c r="BB225" s="2489"/>
      <c r="BC225" s="2489">
        <v>0</v>
      </c>
      <c r="BD225" s="2489"/>
      <c r="BE225" s="2489">
        <v>0</v>
      </c>
      <c r="BF225" s="2489">
        <v>1</v>
      </c>
      <c r="BG225" s="2489">
        <v>4</v>
      </c>
      <c r="BH225" s="2489">
        <v>1</v>
      </c>
      <c r="BI225" s="2489"/>
      <c r="BJ225" s="2489">
        <v>0</v>
      </c>
      <c r="BK225" s="2489"/>
      <c r="BL225" s="2489">
        <v>0</v>
      </c>
      <c r="BM225" s="461"/>
      <c r="BN225" s="461"/>
      <c r="BO225" s="461">
        <v>6</v>
      </c>
      <c r="BP225" s="41"/>
      <c r="CS225" s="1663"/>
      <c r="CT225" s="1662"/>
      <c r="CU225" s="1662"/>
      <c r="CV225" s="1662"/>
      <c r="CW225" s="1662"/>
      <c r="CX225" s="1662"/>
      <c r="CY225" s="1662"/>
      <c r="CZ225" s="1662"/>
      <c r="DA225" s="1662"/>
      <c r="DB225" s="1662"/>
      <c r="DC225" s="1662"/>
      <c r="DD225" s="1662"/>
      <c r="DE225" s="1662"/>
      <c r="DF225" s="1662"/>
      <c r="DG225" s="1662"/>
      <c r="DH225" s="1662"/>
      <c r="DI225" s="1662"/>
      <c r="DJ225" s="1662"/>
      <c r="DK225" s="1662"/>
      <c r="DL225" s="1662"/>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s="41"/>
      <c r="GO225" s="41"/>
      <c r="GP225" s="41"/>
      <c r="GQ225" s="41"/>
      <c r="GR225" s="41"/>
      <c r="GS225" s="41"/>
      <c r="GT225" s="41"/>
      <c r="GU225" s="41"/>
      <c r="GV225" s="41"/>
      <c r="GW225" s="41"/>
      <c r="GX225" s="41"/>
      <c r="GY225" s="41"/>
      <c r="GZ225" s="41"/>
      <c r="HA225" s="41"/>
      <c r="HB225" s="105"/>
      <c r="HC225" s="105"/>
      <c r="HD225" s="41"/>
      <c r="HE225" s="41"/>
      <c r="HF225" s="41"/>
      <c r="HG225" s="41"/>
      <c r="HH225" s="41"/>
      <c r="HI225" s="41"/>
      <c r="HJ225" s="41"/>
      <c r="HK225" s="41"/>
      <c r="HL225" s="41"/>
      <c r="HM225" s="41"/>
      <c r="HN225" s="41"/>
      <c r="HO225" s="41"/>
      <c r="HP225" s="41"/>
      <c r="HQ225" s="41"/>
      <c r="HR225" s="41"/>
      <c r="HS225" s="41"/>
      <c r="HT225" s="41"/>
      <c r="HU225" s="41"/>
      <c r="HV225" s="41"/>
      <c r="HW225" s="41"/>
      <c r="HX225" s="41"/>
      <c r="HY225" s="41"/>
      <c r="HZ225" s="41"/>
      <c r="IA225" s="41"/>
      <c r="IB225" s="41"/>
      <c r="IC225" s="41"/>
      <c r="ID225" s="41"/>
      <c r="IE225" s="41"/>
      <c r="IF225" s="41"/>
      <c r="IG225" s="41"/>
      <c r="IH225" s="41"/>
      <c r="II225" s="41"/>
      <c r="IJ225" s="41"/>
      <c r="IK225" s="41"/>
      <c r="IL225" s="41"/>
      <c r="IM225" s="41"/>
      <c r="IN225" s="41"/>
      <c r="IO225" s="41"/>
      <c r="IP225" s="41"/>
      <c r="IQ225" s="41"/>
      <c r="IR225" s="41"/>
      <c r="IS225" s="41"/>
      <c r="IT225" s="41"/>
      <c r="IU225" s="41"/>
    </row>
    <row r="226" spans="3:255" ht="15" thickBot="1">
      <c r="C226" s="32"/>
      <c r="D226" s="32" t="s">
        <v>1239</v>
      </c>
      <c r="E226" s="4607">
        <v>0</v>
      </c>
      <c r="F226" s="4607">
        <v>0</v>
      </c>
      <c r="G226" s="4607">
        <v>0</v>
      </c>
      <c r="H226" s="4607">
        <v>0</v>
      </c>
      <c r="I226" s="4607">
        <v>0</v>
      </c>
      <c r="J226" s="4607">
        <v>0</v>
      </c>
      <c r="K226" s="4607">
        <v>0</v>
      </c>
      <c r="L226" s="4607">
        <v>0</v>
      </c>
      <c r="M226" s="4607">
        <v>0</v>
      </c>
      <c r="N226" s="4607">
        <v>0</v>
      </c>
      <c r="O226" s="4607">
        <v>1</v>
      </c>
      <c r="P226" s="4607">
        <v>1</v>
      </c>
      <c r="Q226" s="4607">
        <v>31</v>
      </c>
      <c r="R226" s="4607">
        <v>37</v>
      </c>
      <c r="S226" s="4583">
        <v>19</v>
      </c>
      <c r="T226" s="4583">
        <v>8</v>
      </c>
      <c r="U226" s="4583">
        <v>97</v>
      </c>
      <c r="V226" s="4583"/>
      <c r="X226" s="4760"/>
      <c r="Y226" s="4760"/>
      <c r="Z226" s="4698"/>
      <c r="AA226" s="4698" t="s">
        <v>113</v>
      </c>
      <c r="AB226" s="4802">
        <v>1</v>
      </c>
      <c r="AC226" s="4802">
        <v>4</v>
      </c>
      <c r="AD226" s="4802">
        <v>0</v>
      </c>
      <c r="AE226" s="4802">
        <v>1</v>
      </c>
      <c r="AF226" s="4802">
        <v>3</v>
      </c>
      <c r="AG226" s="4802">
        <v>2</v>
      </c>
      <c r="AH226" s="4802">
        <v>4</v>
      </c>
      <c r="AI226" s="4802">
        <v>3</v>
      </c>
      <c r="AJ226" s="4802">
        <v>17</v>
      </c>
      <c r="AK226" s="4802">
        <v>11</v>
      </c>
      <c r="AL226" s="4802">
        <v>15</v>
      </c>
      <c r="AM226" s="4802">
        <v>91</v>
      </c>
      <c r="AN226" s="4802">
        <v>116</v>
      </c>
      <c r="AO226" s="4802">
        <v>15</v>
      </c>
      <c r="AP226" s="4697">
        <v>29</v>
      </c>
      <c r="AQ226" s="4697">
        <v>312</v>
      </c>
      <c r="AR226" s="4711">
        <f>+(AQ221+AQ224+AQ225)/AQ226</f>
        <v>0.23076923076923078</v>
      </c>
      <c r="AT226" s="41"/>
      <c r="AU226" s="41"/>
      <c r="AV226" s="461"/>
      <c r="AW226" s="461" t="s">
        <v>1233</v>
      </c>
      <c r="AX226" s="2489"/>
      <c r="AY226" s="2489"/>
      <c r="AZ226" s="2489"/>
      <c r="BA226" s="2489"/>
      <c r="BB226" s="2489"/>
      <c r="BC226" s="2489">
        <v>0</v>
      </c>
      <c r="BD226" s="2489"/>
      <c r="BE226" s="2489">
        <v>1</v>
      </c>
      <c r="BF226" s="2489">
        <v>0</v>
      </c>
      <c r="BG226" s="2489">
        <v>0</v>
      </c>
      <c r="BH226" s="2489">
        <v>0</v>
      </c>
      <c r="BI226" s="2489"/>
      <c r="BJ226" s="2489">
        <v>0</v>
      </c>
      <c r="BK226" s="2489"/>
      <c r="BL226" s="2489">
        <v>0</v>
      </c>
      <c r="BM226" s="461"/>
      <c r="BN226" s="461"/>
      <c r="BO226" s="461">
        <v>1</v>
      </c>
      <c r="BP226" s="41"/>
      <c r="CT226" s="1662"/>
      <c r="CU226" s="1662"/>
      <c r="CV226" s="1662"/>
      <c r="CW226" s="1662"/>
      <c r="CX226" s="1662"/>
      <c r="CY226" s="1662"/>
      <c r="CZ226" s="1662"/>
      <c r="DA226" s="1662"/>
      <c r="DB226" s="1662"/>
      <c r="DC226" s="1662"/>
      <c r="DD226" s="1662"/>
      <c r="DE226" s="1662"/>
      <c r="DF226" s="1662"/>
      <c r="DG226" s="1662"/>
      <c r="DH226" s="1662"/>
      <c r="DI226" s="1662"/>
      <c r="DJ226" s="1662"/>
      <c r="DK226" s="1662"/>
      <c r="DL226" s="1662"/>
      <c r="FH226" s="41"/>
      <c r="FI226" s="41"/>
      <c r="FJ226" s="41"/>
      <c r="FK226" s="41"/>
      <c r="FL226" s="41"/>
      <c r="FM226" s="41"/>
      <c r="FN226" s="41"/>
      <c r="FO226" s="41"/>
      <c r="FP226" s="41"/>
      <c r="FQ226" s="41"/>
      <c r="FR226" s="41"/>
      <c r="FS226" s="41"/>
      <c r="FT226" s="41"/>
      <c r="FU226" s="41"/>
      <c r="FV226" s="41"/>
      <c r="FW226" s="41"/>
      <c r="FX226" s="41"/>
      <c r="FY226" s="41"/>
      <c r="FZ226" s="41"/>
      <c r="GA226" s="41"/>
      <c r="GB226" s="41"/>
      <c r="GC226" s="41"/>
      <c r="GD226" s="41"/>
      <c r="GE226" s="41"/>
      <c r="GF226" s="41"/>
      <c r="GG226" s="41"/>
      <c r="GH226" s="41"/>
      <c r="GI226" s="41"/>
      <c r="GJ226" s="41"/>
      <c r="GK226" s="41"/>
      <c r="GL226" s="41"/>
      <c r="GM226" s="41"/>
      <c r="GN226" s="41"/>
      <c r="GO226" s="41"/>
      <c r="GP226" s="41"/>
      <c r="GQ226" s="41"/>
      <c r="GR226" s="41"/>
      <c r="GS226" s="41"/>
      <c r="GT226" s="41"/>
      <c r="GU226" s="41"/>
      <c r="GV226" s="41"/>
      <c r="GW226" s="41"/>
      <c r="GX226" s="41"/>
      <c r="GY226" s="41"/>
      <c r="GZ226" s="41"/>
      <c r="HA226" s="41"/>
      <c r="HB226" s="105"/>
      <c r="HC226" s="105"/>
      <c r="HD226" s="41"/>
      <c r="HE226" s="41"/>
      <c r="HF226" s="41"/>
      <c r="HG226" s="41"/>
      <c r="HH226" s="41"/>
      <c r="HI226" s="41"/>
      <c r="HJ226" s="41"/>
      <c r="HK226" s="41"/>
      <c r="HL226" s="41"/>
      <c r="HM226" s="41"/>
      <c r="HN226" s="41"/>
      <c r="HO226" s="41"/>
      <c r="HP226" s="41"/>
      <c r="HQ226" s="41"/>
      <c r="HR226" s="41"/>
      <c r="HS226" s="41"/>
      <c r="HT226" s="41"/>
      <c r="HU226" s="41"/>
      <c r="HV226" s="41"/>
      <c r="HW226" s="41"/>
      <c r="HX226" s="41"/>
      <c r="HY226" s="41"/>
      <c r="HZ226" s="41"/>
      <c r="IA226" s="41"/>
      <c r="IB226" s="41"/>
      <c r="IC226" s="41"/>
      <c r="ID226" s="41"/>
      <c r="IE226" s="41"/>
      <c r="IF226" s="41"/>
      <c r="IG226" s="41"/>
      <c r="IH226" s="41"/>
      <c r="II226" s="41"/>
      <c r="IJ226" s="41"/>
      <c r="IK226" s="41"/>
      <c r="IL226" s="41"/>
      <c r="IM226" s="41"/>
      <c r="IN226" s="41"/>
      <c r="IO226" s="41"/>
      <c r="IP226" s="41"/>
      <c r="IQ226" s="41"/>
      <c r="IR226" s="41"/>
      <c r="IS226" s="41"/>
      <c r="IT226" s="41"/>
      <c r="IU226" s="41"/>
    </row>
    <row r="227" spans="3:255">
      <c r="C227" s="32"/>
      <c r="D227" s="32" t="s">
        <v>1240</v>
      </c>
      <c r="E227" s="4607">
        <v>0</v>
      </c>
      <c r="F227" s="4607">
        <v>0</v>
      </c>
      <c r="G227" s="4607">
        <v>0</v>
      </c>
      <c r="H227" s="4607">
        <v>0</v>
      </c>
      <c r="I227" s="4607">
        <v>0</v>
      </c>
      <c r="J227" s="4607">
        <v>0</v>
      </c>
      <c r="K227" s="4607">
        <v>0</v>
      </c>
      <c r="L227" s="4607">
        <v>0</v>
      </c>
      <c r="M227" s="4607">
        <v>0</v>
      </c>
      <c r="N227" s="4607">
        <v>2</v>
      </c>
      <c r="O227" s="4607">
        <v>1</v>
      </c>
      <c r="P227" s="4607">
        <v>11</v>
      </c>
      <c r="Q227" s="4607">
        <v>6</v>
      </c>
      <c r="R227" s="4607">
        <v>1</v>
      </c>
      <c r="S227" s="4583">
        <v>1</v>
      </c>
      <c r="T227" s="4583">
        <v>0</v>
      </c>
      <c r="U227" s="4583">
        <v>22</v>
      </c>
      <c r="V227" s="4583"/>
      <c r="AT227" s="41"/>
      <c r="AU227" s="41"/>
      <c r="AV227" s="461"/>
      <c r="AW227" s="461" t="s">
        <v>1236</v>
      </c>
      <c r="AX227" s="2489"/>
      <c r="AY227" s="2489"/>
      <c r="AZ227" s="2489"/>
      <c r="BA227" s="2489"/>
      <c r="BB227" s="2489"/>
      <c r="BC227" s="2489">
        <v>1</v>
      </c>
      <c r="BD227" s="2489"/>
      <c r="BE227" s="2489">
        <v>0</v>
      </c>
      <c r="BF227" s="2489">
        <v>0</v>
      </c>
      <c r="BG227" s="2489">
        <v>0</v>
      </c>
      <c r="BH227" s="2489">
        <v>1</v>
      </c>
      <c r="BI227" s="2489"/>
      <c r="BJ227" s="2489">
        <v>0</v>
      </c>
      <c r="BK227" s="2489"/>
      <c r="BL227" s="2489">
        <v>0</v>
      </c>
      <c r="BM227" s="461"/>
      <c r="BN227" s="461"/>
      <c r="BO227" s="461">
        <v>2</v>
      </c>
      <c r="BP227" s="41"/>
      <c r="CT227" s="1662"/>
      <c r="CU227" s="1662"/>
      <c r="CV227" s="1662"/>
      <c r="CW227" s="1662"/>
      <c r="CX227" s="1662"/>
      <c r="CY227" s="1662"/>
      <c r="CZ227" s="1662"/>
      <c r="DA227" s="1662"/>
      <c r="DB227" s="1662"/>
      <c r="DC227" s="1662"/>
      <c r="DD227" s="1662"/>
      <c r="DE227" s="1662"/>
      <c r="DF227" s="1662"/>
      <c r="DG227" s="1662"/>
      <c r="DH227" s="1662"/>
      <c r="DI227" s="1662"/>
      <c r="DJ227" s="1662"/>
      <c r="DK227" s="1662"/>
      <c r="DL227" s="1662"/>
      <c r="FH227" s="41"/>
      <c r="FI227" s="41"/>
      <c r="FJ227" s="41"/>
      <c r="FK227" s="41"/>
      <c r="FL227" s="41"/>
      <c r="FM227" s="41"/>
      <c r="FN227" s="41"/>
      <c r="FO227" s="41"/>
      <c r="FP227" s="41"/>
      <c r="FQ227" s="41"/>
      <c r="FR227" s="41"/>
      <c r="FS227" s="41"/>
      <c r="FT227" s="41"/>
      <c r="FU227" s="41"/>
      <c r="FV227" s="41"/>
      <c r="FW227" s="41"/>
      <c r="FX227" s="41"/>
      <c r="FY227" s="41"/>
      <c r="FZ227" s="41"/>
      <c r="GA227" s="41"/>
      <c r="GB227" s="41"/>
      <c r="GC227" s="41"/>
      <c r="GD227" s="41"/>
      <c r="GE227" s="41"/>
      <c r="GF227" s="41"/>
      <c r="GG227" s="41"/>
      <c r="GH227" s="41"/>
      <c r="GI227" s="41"/>
      <c r="GJ227" s="41"/>
      <c r="GK227" s="41"/>
      <c r="GL227" s="41"/>
      <c r="GM227" s="41"/>
      <c r="GN227" s="41"/>
      <c r="GO227" s="41"/>
      <c r="GP227" s="41"/>
      <c r="GQ227" s="41"/>
      <c r="GR227" s="41"/>
      <c r="GS227" s="41"/>
      <c r="GT227" s="41"/>
      <c r="GU227" s="41"/>
      <c r="GV227" s="41"/>
      <c r="GW227" s="41"/>
      <c r="GX227" s="41"/>
      <c r="GY227" s="41"/>
      <c r="GZ227" s="41"/>
      <c r="HA227" s="41"/>
      <c r="HB227" s="105"/>
      <c r="HC227" s="105"/>
      <c r="HD227" s="41"/>
      <c r="HE227" s="41"/>
      <c r="HF227" s="41"/>
      <c r="HG227" s="41"/>
      <c r="HH227" s="41"/>
      <c r="HI227" s="41"/>
      <c r="HJ227" s="41"/>
      <c r="HK227" s="41"/>
      <c r="HL227" s="41"/>
      <c r="HM227" s="41"/>
      <c r="HN227" s="41"/>
      <c r="HO227" s="41"/>
      <c r="HP227" s="41"/>
      <c r="HQ227" s="41"/>
      <c r="HR227" s="41"/>
      <c r="HS227" s="41"/>
      <c r="HT227" s="41"/>
      <c r="HU227" s="41"/>
      <c r="HV227" s="41"/>
      <c r="HW227" s="41"/>
      <c r="HX227" s="41"/>
      <c r="HY227" s="41"/>
      <c r="HZ227" s="41"/>
      <c r="IA227" s="41"/>
      <c r="IB227" s="41"/>
      <c r="IC227" s="41"/>
      <c r="ID227" s="41"/>
      <c r="IE227" s="41"/>
      <c r="IF227" s="41"/>
      <c r="IG227" s="41"/>
      <c r="IH227" s="41"/>
      <c r="II227" s="41"/>
      <c r="IJ227" s="41"/>
      <c r="IK227" s="41"/>
      <c r="IL227" s="41"/>
      <c r="IM227" s="41"/>
      <c r="IN227" s="41"/>
      <c r="IO227" s="41"/>
      <c r="IP227" s="41"/>
      <c r="IQ227" s="41"/>
      <c r="IR227" s="41"/>
      <c r="IS227" s="41"/>
      <c r="IT227" s="41"/>
      <c r="IU227" s="41"/>
    </row>
    <row r="228" spans="3:255">
      <c r="C228" s="32"/>
      <c r="D228" s="32" t="s">
        <v>1344</v>
      </c>
      <c r="E228" s="4607">
        <v>0</v>
      </c>
      <c r="F228" s="4607">
        <v>0</v>
      </c>
      <c r="G228" s="4607">
        <v>0</v>
      </c>
      <c r="H228" s="4607">
        <v>0</v>
      </c>
      <c r="I228" s="4607">
        <v>0</v>
      </c>
      <c r="J228" s="4607">
        <v>0</v>
      </c>
      <c r="K228" s="4607">
        <v>0</v>
      </c>
      <c r="L228" s="4607">
        <v>0</v>
      </c>
      <c r="M228" s="4607">
        <v>12</v>
      </c>
      <c r="N228" s="4607">
        <v>3</v>
      </c>
      <c r="O228" s="4607">
        <v>4</v>
      </c>
      <c r="P228" s="4607">
        <v>21</v>
      </c>
      <c r="Q228" s="4607">
        <v>6</v>
      </c>
      <c r="R228" s="4607">
        <v>3</v>
      </c>
      <c r="S228" s="4583">
        <v>1</v>
      </c>
      <c r="T228" s="4583">
        <v>0</v>
      </c>
      <c r="U228" s="4583">
        <v>50</v>
      </c>
      <c r="V228" s="4583"/>
      <c r="AT228" s="41"/>
      <c r="AU228" s="41"/>
      <c r="AV228" s="461"/>
      <c r="AW228" s="461" t="s">
        <v>1239</v>
      </c>
      <c r="AX228" s="2489"/>
      <c r="AY228" s="2489"/>
      <c r="AZ228" s="2489"/>
      <c r="BA228" s="2489"/>
      <c r="BB228" s="2489"/>
      <c r="BC228" s="2489">
        <v>0</v>
      </c>
      <c r="BD228" s="2489"/>
      <c r="BE228" s="2489">
        <v>0</v>
      </c>
      <c r="BF228" s="2489">
        <v>0</v>
      </c>
      <c r="BG228" s="2489">
        <v>0</v>
      </c>
      <c r="BH228" s="2489">
        <v>0</v>
      </c>
      <c r="BI228" s="2489"/>
      <c r="BJ228" s="2489">
        <v>2</v>
      </c>
      <c r="BK228" s="2489"/>
      <c r="BL228" s="2489">
        <v>1</v>
      </c>
      <c r="BM228" s="461"/>
      <c r="BN228" s="461"/>
      <c r="BO228" s="461">
        <v>3</v>
      </c>
      <c r="BP228" s="41"/>
      <c r="CT228" s="1662"/>
      <c r="CU228" s="1662"/>
      <c r="CV228" s="1662"/>
      <c r="CW228" s="1662"/>
      <c r="CX228" s="1662"/>
      <c r="CY228" s="1662"/>
      <c r="CZ228" s="1662"/>
      <c r="DA228" s="1662"/>
      <c r="DB228" s="1662"/>
      <c r="DC228" s="1662"/>
      <c r="DD228" s="1662"/>
      <c r="DE228" s="1662"/>
      <c r="DF228" s="1662"/>
      <c r="DG228" s="1662"/>
      <c r="DH228" s="1662"/>
      <c r="DI228" s="1662"/>
      <c r="DJ228" s="1662"/>
      <c r="DK228" s="1662"/>
      <c r="DL228" s="1662"/>
      <c r="FH228" s="41"/>
      <c r="FI228" s="41"/>
      <c r="FJ228" s="41"/>
      <c r="FK228" s="41"/>
      <c r="FL228" s="41"/>
      <c r="FM228" s="41"/>
      <c r="FN228" s="41"/>
      <c r="FO228" s="41"/>
      <c r="FP228" s="41"/>
      <c r="FQ228" s="41"/>
      <c r="FR228" s="41"/>
      <c r="FS228" s="41"/>
      <c r="FT228" s="41"/>
      <c r="FU228" s="41"/>
      <c r="FV228" s="41"/>
      <c r="FW228" s="41"/>
      <c r="FX228" s="41"/>
      <c r="FY228" s="41"/>
      <c r="FZ228" s="41"/>
      <c r="GA228" s="41"/>
      <c r="GB228" s="41"/>
      <c r="GC228" s="41"/>
      <c r="GD228" s="41"/>
      <c r="GE228" s="41"/>
      <c r="GF228" s="41"/>
      <c r="GG228" s="41"/>
      <c r="GH228" s="41"/>
      <c r="GI228" s="41"/>
      <c r="GJ228" s="41"/>
      <c r="GK228" s="41"/>
      <c r="GL228" s="41"/>
      <c r="GM228" s="41"/>
      <c r="GN228" s="41"/>
      <c r="GO228" s="41"/>
      <c r="GP228" s="41"/>
      <c r="GQ228" s="41"/>
      <c r="GR228" s="41"/>
      <c r="GS228" s="41"/>
      <c r="GT228" s="41"/>
      <c r="GU228" s="41"/>
      <c r="GV228" s="41"/>
      <c r="GW228" s="41"/>
      <c r="GX228" s="41"/>
      <c r="GY228" s="41"/>
      <c r="GZ228" s="41"/>
      <c r="HA228" s="41"/>
      <c r="HB228" s="105"/>
      <c r="HC228" s="105"/>
      <c r="HD228" s="41"/>
      <c r="HE228" s="41"/>
      <c r="HF228" s="41"/>
      <c r="HG228" s="41"/>
      <c r="HH228" s="41"/>
      <c r="HI228" s="41"/>
      <c r="HJ228" s="41"/>
      <c r="HK228" s="41"/>
      <c r="HL228" s="41"/>
      <c r="HM228" s="41"/>
      <c r="HN228" s="41"/>
      <c r="HO228" s="41"/>
      <c r="HP228" s="41"/>
      <c r="HQ228" s="41"/>
      <c r="HR228" s="41"/>
      <c r="HS228" s="41"/>
      <c r="HT228" s="41"/>
      <c r="HU228" s="41"/>
      <c r="HV228" s="41"/>
      <c r="HW228" s="41"/>
      <c r="HX228" s="41"/>
      <c r="HY228" s="41"/>
      <c r="HZ228" s="41"/>
      <c r="IA228" s="41"/>
      <c r="IB228" s="41"/>
      <c r="IC228" s="41"/>
      <c r="ID228" s="41"/>
      <c r="IE228" s="41"/>
      <c r="IF228" s="41"/>
      <c r="IG228" s="41"/>
      <c r="IH228" s="41"/>
      <c r="II228" s="41"/>
      <c r="IJ228" s="41"/>
      <c r="IK228" s="41"/>
      <c r="IL228" s="41"/>
      <c r="IM228" s="41"/>
      <c r="IN228" s="41"/>
      <c r="IO228" s="41"/>
      <c r="IP228" s="41"/>
      <c r="IQ228" s="41"/>
      <c r="IR228" s="41"/>
      <c r="IS228" s="41"/>
      <c r="IT228" s="41"/>
      <c r="IU228" s="41"/>
    </row>
    <row r="229" spans="3:255">
      <c r="C229" s="32"/>
      <c r="D229" s="4800" t="s">
        <v>15</v>
      </c>
      <c r="E229" s="4607">
        <v>1</v>
      </c>
      <c r="F229" s="4607">
        <v>4</v>
      </c>
      <c r="G229" s="4607">
        <v>0</v>
      </c>
      <c r="H229" s="4607">
        <v>1</v>
      </c>
      <c r="I229" s="4607">
        <v>3</v>
      </c>
      <c r="J229" s="4607">
        <v>2</v>
      </c>
      <c r="K229" s="4607">
        <v>4</v>
      </c>
      <c r="L229" s="4607">
        <v>3</v>
      </c>
      <c r="M229" s="4607">
        <v>17</v>
      </c>
      <c r="N229" s="4607">
        <v>10</v>
      </c>
      <c r="O229" s="4607">
        <v>15</v>
      </c>
      <c r="P229" s="4607">
        <v>90</v>
      </c>
      <c r="Q229" s="4607">
        <v>82</v>
      </c>
      <c r="R229" s="4607">
        <v>48</v>
      </c>
      <c r="S229" s="4583">
        <v>24</v>
      </c>
      <c r="T229" s="4583">
        <v>8</v>
      </c>
      <c r="U229" s="4583">
        <v>312</v>
      </c>
      <c r="V229" s="1977">
        <f>+(U224+U227+U228)/(U229)</f>
        <v>0.34615384615384615</v>
      </c>
      <c r="AT229" s="41"/>
      <c r="AU229" s="41"/>
      <c r="AV229" s="461"/>
      <c r="AW229" s="461" t="s">
        <v>1240</v>
      </c>
      <c r="AX229" s="2489"/>
      <c r="AY229" s="2489"/>
      <c r="AZ229" s="2489"/>
      <c r="BA229" s="2489"/>
      <c r="BB229" s="2489"/>
      <c r="BC229" s="2489">
        <v>0</v>
      </c>
      <c r="BD229" s="2489"/>
      <c r="BE229" s="2489">
        <v>0</v>
      </c>
      <c r="BF229" s="2489">
        <v>0</v>
      </c>
      <c r="BG229" s="2489">
        <v>2</v>
      </c>
      <c r="BH229" s="2489">
        <v>0</v>
      </c>
      <c r="BI229" s="2489"/>
      <c r="BJ229" s="2489">
        <v>0</v>
      </c>
      <c r="BK229" s="2489"/>
      <c r="BL229" s="2489">
        <v>0</v>
      </c>
      <c r="BM229" s="461"/>
      <c r="BN229" s="461"/>
      <c r="BO229" s="461">
        <v>2</v>
      </c>
      <c r="BP229" s="41"/>
      <c r="CT229" s="1662"/>
      <c r="CU229" s="1662"/>
      <c r="CV229" s="1662"/>
      <c r="CW229" s="1662"/>
      <c r="CX229" s="1662"/>
      <c r="CY229" s="1662"/>
      <c r="CZ229" s="1662"/>
      <c r="DA229" s="1662"/>
      <c r="DB229" s="1662"/>
      <c r="DC229" s="1662"/>
      <c r="DD229" s="1662"/>
      <c r="DE229" s="1662"/>
      <c r="DF229" s="1662"/>
      <c r="DG229" s="1662"/>
      <c r="DH229" s="1662"/>
      <c r="DI229" s="1662"/>
      <c r="DJ229" s="1662"/>
      <c r="DK229" s="1662"/>
      <c r="DL229" s="1662"/>
      <c r="FH229" s="41"/>
      <c r="FI229" s="41"/>
      <c r="FJ229" s="41"/>
      <c r="FK229" s="41"/>
      <c r="FL229" s="41"/>
      <c r="FM229" s="41"/>
      <c r="FN229" s="41"/>
      <c r="FO229" s="41"/>
      <c r="FP229" s="41"/>
      <c r="FQ229" s="41"/>
      <c r="FR229" s="41"/>
      <c r="FS229" s="41"/>
      <c r="FT229" s="41"/>
      <c r="FU229" s="41"/>
      <c r="FV229" s="41"/>
      <c r="FW229" s="41"/>
      <c r="FX229" s="41"/>
      <c r="FY229" s="41"/>
      <c r="FZ229" s="41"/>
      <c r="GA229" s="41"/>
      <c r="GB229" s="41"/>
      <c r="GC229" s="41"/>
      <c r="GD229" s="41"/>
      <c r="GE229" s="41"/>
      <c r="GF229" s="41"/>
      <c r="GG229" s="41"/>
      <c r="GH229" s="41"/>
      <c r="GI229" s="41"/>
      <c r="GJ229" s="41"/>
      <c r="GK229" s="41"/>
      <c r="GL229" s="41"/>
      <c r="GM229" s="41"/>
      <c r="GN229" s="41"/>
      <c r="GO229" s="41"/>
      <c r="GP229" s="41"/>
      <c r="GQ229" s="41"/>
      <c r="GR229" s="41"/>
      <c r="GS229" s="41"/>
      <c r="GT229" s="41"/>
      <c r="GU229" s="41"/>
      <c r="GV229" s="41"/>
      <c r="GW229" s="41"/>
      <c r="GX229" s="41"/>
      <c r="GY229" s="41"/>
      <c r="GZ229" s="41"/>
      <c r="HA229" s="41"/>
      <c r="HB229" s="105"/>
      <c r="HC229" s="105"/>
      <c r="HD229" s="41"/>
      <c r="HE229" s="41"/>
      <c r="HF229" s="41"/>
      <c r="HG229" s="41"/>
      <c r="HH229" s="41"/>
      <c r="HI229" s="41"/>
      <c r="HJ229" s="41"/>
      <c r="HK229" s="41"/>
      <c r="HL229" s="41"/>
      <c r="HM229" s="41"/>
      <c r="HN229" s="41"/>
      <c r="HO229" s="41"/>
      <c r="HP229" s="41"/>
      <c r="HQ229" s="41"/>
      <c r="HR229" s="41"/>
      <c r="HS229" s="41"/>
      <c r="HT229" s="41"/>
      <c r="HU229" s="41"/>
      <c r="HV229" s="41"/>
      <c r="HW229" s="41"/>
      <c r="HX229" s="41"/>
      <c r="HY229" s="41"/>
      <c r="HZ229" s="41"/>
      <c r="IA229" s="41"/>
      <c r="IB229" s="41"/>
      <c r="IC229" s="41"/>
      <c r="ID229" s="41"/>
      <c r="IE229" s="41"/>
      <c r="IF229" s="41"/>
      <c r="IG229" s="41"/>
      <c r="IH229" s="41"/>
      <c r="II229" s="41"/>
      <c r="IJ229" s="41"/>
      <c r="IK229" s="41"/>
      <c r="IL229" s="41"/>
      <c r="IM229" s="41"/>
      <c r="IN229" s="41"/>
      <c r="IO229" s="41"/>
      <c r="IP229" s="41"/>
      <c r="IQ229" s="41"/>
      <c r="IR229" s="41"/>
      <c r="IS229" s="41"/>
      <c r="IT229" s="41"/>
      <c r="IU229" s="41"/>
    </row>
    <row r="230" spans="3:255">
      <c r="AT230" s="41"/>
      <c r="AU230" s="41"/>
      <c r="AV230" s="461"/>
      <c r="AW230" s="461" t="s">
        <v>1344</v>
      </c>
      <c r="AX230" s="2489"/>
      <c r="AY230" s="2489"/>
      <c r="AZ230" s="2489"/>
      <c r="BA230" s="2489"/>
      <c r="BB230" s="2489"/>
      <c r="BC230" s="2489">
        <v>0</v>
      </c>
      <c r="BD230" s="2489"/>
      <c r="BE230" s="2489">
        <v>0</v>
      </c>
      <c r="BF230" s="2489">
        <v>0</v>
      </c>
      <c r="BG230" s="2489">
        <v>0</v>
      </c>
      <c r="BH230" s="2489">
        <v>3</v>
      </c>
      <c r="BI230" s="2489"/>
      <c r="BJ230" s="2489">
        <v>0</v>
      </c>
      <c r="BK230" s="2489"/>
      <c r="BL230" s="2489">
        <v>0</v>
      </c>
      <c r="BM230" s="461"/>
      <c r="BN230" s="461"/>
      <c r="BO230" s="461">
        <v>3</v>
      </c>
      <c r="BP230" s="41"/>
      <c r="CS230" s="1663"/>
      <c r="CT230" s="1662"/>
      <c r="CU230" s="1662"/>
      <c r="CV230" s="1662"/>
      <c r="CW230" s="1662"/>
      <c r="CX230" s="1662"/>
      <c r="CY230" s="1662"/>
      <c r="CZ230" s="1662"/>
      <c r="DA230" s="1662"/>
      <c r="DB230" s="1662"/>
      <c r="DC230" s="1662"/>
      <c r="DD230" s="1662"/>
      <c r="DE230" s="1662"/>
      <c r="DF230" s="1662"/>
      <c r="DG230" s="1662"/>
      <c r="DH230" s="1662"/>
      <c r="DI230" s="1662"/>
      <c r="DJ230" s="1662"/>
      <c r="DK230" s="1662"/>
      <c r="DL230" s="1662"/>
      <c r="FH230" s="41"/>
      <c r="FI230" s="41"/>
      <c r="FJ230" s="41"/>
      <c r="FK230" s="41"/>
      <c r="FL230" s="41"/>
      <c r="FM230" s="41"/>
      <c r="FN230" s="41"/>
      <c r="FO230" s="41"/>
      <c r="FP230" s="41"/>
      <c r="FQ230" s="41"/>
      <c r="FR230" s="41"/>
      <c r="FS230" s="41"/>
      <c r="FT230" s="41"/>
      <c r="FU230" s="41"/>
      <c r="FV230" s="41"/>
      <c r="FW230" s="41"/>
      <c r="FX230" s="41"/>
      <c r="FY230" s="41"/>
      <c r="FZ230" s="41"/>
      <c r="GA230" s="41"/>
      <c r="GB230" s="41"/>
      <c r="GC230" s="41"/>
      <c r="GD230" s="41"/>
      <c r="GE230" s="41"/>
      <c r="GF230" s="41"/>
      <c r="GG230" s="41"/>
      <c r="GH230" s="41"/>
      <c r="GI230" s="41"/>
      <c r="GJ230" s="41"/>
      <c r="GK230" s="41"/>
      <c r="GL230" s="41"/>
      <c r="GM230" s="41"/>
      <c r="GN230" s="41"/>
      <c r="GO230" s="41"/>
      <c r="GP230" s="41"/>
      <c r="GQ230" s="41"/>
      <c r="GR230" s="41"/>
      <c r="GS230" s="41"/>
      <c r="GT230" s="41"/>
      <c r="GU230" s="41"/>
      <c r="GV230" s="41"/>
      <c r="GW230" s="41"/>
      <c r="GX230" s="41"/>
      <c r="GY230" s="41"/>
      <c r="GZ230" s="41"/>
      <c r="HA230" s="41"/>
      <c r="HB230" s="105"/>
      <c r="HC230" s="105"/>
      <c r="HD230" s="41"/>
      <c r="HE230" s="41"/>
      <c r="HF230" s="41"/>
      <c r="HG230" s="41"/>
      <c r="HH230" s="41"/>
      <c r="HI230" s="41"/>
      <c r="HJ230" s="41"/>
      <c r="HK230" s="41"/>
      <c r="HL230" s="41"/>
      <c r="HM230" s="41"/>
      <c r="HN230" s="41"/>
      <c r="HO230" s="41"/>
      <c r="HP230" s="41"/>
      <c r="HQ230" s="41"/>
      <c r="HR230" s="41"/>
      <c r="HS230" s="41"/>
      <c r="HT230" s="41"/>
      <c r="HU230" s="41"/>
      <c r="HV230" s="41"/>
      <c r="HW230" s="41"/>
      <c r="HX230" s="41"/>
      <c r="HY230" s="41"/>
      <c r="HZ230" s="41"/>
      <c r="IA230" s="41"/>
      <c r="IB230" s="41"/>
      <c r="IC230" s="41"/>
      <c r="ID230" s="41"/>
      <c r="IE230" s="41"/>
      <c r="IF230" s="41"/>
      <c r="IG230" s="41"/>
      <c r="IH230" s="41"/>
      <c r="II230" s="41"/>
      <c r="IJ230" s="41"/>
      <c r="IK230" s="41"/>
      <c r="IL230" s="41"/>
      <c r="IM230" s="41"/>
      <c r="IN230" s="41"/>
      <c r="IO230" s="41"/>
      <c r="IP230" s="41"/>
      <c r="IQ230" s="41"/>
      <c r="IR230" s="41"/>
      <c r="IS230" s="41"/>
      <c r="IT230" s="41"/>
      <c r="IU230" s="41"/>
    </row>
    <row r="231" spans="3:255">
      <c r="V231" s="125" t="s">
        <v>2971</v>
      </c>
      <c r="AT231" s="41"/>
      <c r="AU231" s="41"/>
      <c r="AV231" s="461"/>
      <c r="AW231" s="461" t="s">
        <v>545</v>
      </c>
      <c r="AX231" s="2489"/>
      <c r="AY231" s="2489"/>
      <c r="AZ231" s="2489"/>
      <c r="BA231" s="2489"/>
      <c r="BB231" s="2489"/>
      <c r="BC231" s="2489">
        <v>1</v>
      </c>
      <c r="BD231" s="2489"/>
      <c r="BE231" s="2489">
        <v>1</v>
      </c>
      <c r="BF231" s="2489">
        <v>1</v>
      </c>
      <c r="BG231" s="2489">
        <v>6</v>
      </c>
      <c r="BH231" s="2489">
        <v>5</v>
      </c>
      <c r="BI231" s="2489"/>
      <c r="BJ231" s="2489">
        <v>2</v>
      </c>
      <c r="BK231" s="2489"/>
      <c r="BL231" s="2489">
        <v>1</v>
      </c>
      <c r="BM231" s="461"/>
      <c r="BN231" s="461"/>
      <c r="BO231" s="461">
        <v>17</v>
      </c>
      <c r="BP231" s="635">
        <f>+(BO230+BO229)/BO231</f>
        <v>0.29411764705882354</v>
      </c>
      <c r="BQ231" s="1977"/>
      <c r="CT231" s="1662"/>
      <c r="CU231" s="1662"/>
      <c r="CV231" s="1662"/>
      <c r="CW231" s="1662"/>
      <c r="CX231" s="1662"/>
      <c r="CY231" s="1662"/>
      <c r="CZ231" s="1662"/>
      <c r="DA231" s="1662"/>
      <c r="DB231" s="1662"/>
      <c r="DC231" s="1662"/>
      <c r="DD231" s="1662"/>
      <c r="DE231" s="1662"/>
      <c r="DF231" s="1662"/>
      <c r="DG231" s="1662"/>
      <c r="DH231" s="1662"/>
      <c r="DI231" s="1662"/>
      <c r="DJ231" s="1662"/>
      <c r="DK231" s="1662"/>
      <c r="DL231" s="1662"/>
      <c r="FH231" s="41"/>
      <c r="FI231" s="41"/>
      <c r="FJ231" s="41"/>
      <c r="FK231" s="41"/>
      <c r="FL231" s="41"/>
      <c r="FM231" s="41"/>
      <c r="FN231" s="41"/>
      <c r="FO231" s="41"/>
      <c r="FP231" s="41"/>
      <c r="FQ231" s="41"/>
      <c r="FR231" s="41"/>
      <c r="FS231" s="41"/>
      <c r="FT231" s="41"/>
      <c r="FU231" s="41"/>
      <c r="FV231" s="41"/>
      <c r="FW231" s="41"/>
      <c r="FX231" s="41"/>
      <c r="FY231" s="41"/>
      <c r="FZ231" s="41"/>
      <c r="GA231" s="41"/>
      <c r="GB231" s="41"/>
      <c r="GC231" s="41"/>
      <c r="GD231" s="41"/>
      <c r="GE231" s="41"/>
      <c r="GF231" s="41"/>
      <c r="GG231" s="41"/>
      <c r="GH231" s="41"/>
      <c r="GI231" s="41"/>
      <c r="GJ231" s="41"/>
      <c r="GK231" s="41"/>
      <c r="GL231" s="41"/>
      <c r="GM231" s="41"/>
      <c r="GN231" s="41"/>
      <c r="GO231" s="41"/>
      <c r="GP231" s="41"/>
      <c r="GQ231" s="41"/>
      <c r="GR231" s="41"/>
      <c r="GS231" s="41"/>
      <c r="GT231" s="41"/>
      <c r="GU231" s="41"/>
      <c r="GV231" s="41"/>
      <c r="GW231" s="41"/>
      <c r="GX231" s="41"/>
      <c r="GY231" s="41"/>
      <c r="GZ231" s="41"/>
      <c r="HA231" s="41"/>
      <c r="HB231" s="105"/>
      <c r="HC231" s="105"/>
      <c r="HD231" s="41"/>
      <c r="HE231" s="41"/>
      <c r="HF231" s="41"/>
      <c r="HG231" s="41"/>
      <c r="HH231" s="41"/>
      <c r="HI231" s="41"/>
      <c r="HJ231" s="41"/>
      <c r="HK231" s="41"/>
      <c r="HL231" s="41"/>
      <c r="HM231" s="41"/>
      <c r="HN231" s="41"/>
      <c r="HO231" s="41"/>
      <c r="HP231" s="41"/>
      <c r="HQ231" s="41"/>
      <c r="HR231" s="41"/>
      <c r="HS231" s="41"/>
      <c r="HT231" s="41"/>
      <c r="HU231" s="41"/>
      <c r="HV231" s="41"/>
      <c r="HW231" s="41"/>
      <c r="HX231" s="41"/>
      <c r="HY231" s="41"/>
      <c r="HZ231" s="41"/>
      <c r="IA231" s="41"/>
      <c r="IB231" s="41"/>
      <c r="IC231" s="41"/>
      <c r="ID231" s="41"/>
      <c r="IE231" s="41"/>
      <c r="IF231" s="41"/>
      <c r="IG231" s="41"/>
      <c r="IH231" s="41"/>
      <c r="II231" s="41"/>
      <c r="IJ231" s="41"/>
      <c r="IK231" s="41"/>
      <c r="IL231" s="41"/>
      <c r="IM231" s="41"/>
      <c r="IN231" s="41"/>
      <c r="IO231" s="41"/>
      <c r="IP231" s="41"/>
      <c r="IQ231" s="41"/>
      <c r="IR231" s="41"/>
      <c r="IS231" s="41"/>
      <c r="IT231" s="41"/>
      <c r="IU231" s="41"/>
    </row>
    <row r="232" spans="3:255">
      <c r="AT232" s="41"/>
      <c r="AU232" s="41" t="s">
        <v>64</v>
      </c>
      <c r="AV232" s="41" t="s">
        <v>671</v>
      </c>
      <c r="AW232" s="41" t="s">
        <v>1231</v>
      </c>
      <c r="AX232" s="690"/>
      <c r="AY232" s="690"/>
      <c r="AZ232" s="690"/>
      <c r="BA232" s="690"/>
      <c r="BB232" s="690"/>
      <c r="BC232" s="690"/>
      <c r="BD232" s="690"/>
      <c r="BE232" s="690"/>
      <c r="BF232" s="690"/>
      <c r="BG232" s="690"/>
      <c r="BH232" s="690">
        <v>1</v>
      </c>
      <c r="BI232" s="690"/>
      <c r="BJ232" s="690">
        <v>1</v>
      </c>
      <c r="BK232" s="690"/>
      <c r="BL232" s="690">
        <v>1</v>
      </c>
      <c r="BM232" s="41">
        <v>0</v>
      </c>
      <c r="BN232" s="41">
        <v>0</v>
      </c>
      <c r="BO232" s="41">
        <v>3</v>
      </c>
      <c r="BP232" s="41"/>
      <c r="CT232" s="1662"/>
      <c r="CU232" s="1662"/>
      <c r="CV232" s="1662"/>
      <c r="CW232" s="1662"/>
      <c r="CX232" s="1662"/>
      <c r="CY232" s="1662"/>
      <c r="CZ232" s="1662"/>
      <c r="DA232" s="1662"/>
      <c r="DB232" s="1662"/>
      <c r="DC232" s="1662"/>
      <c r="DD232" s="1662"/>
      <c r="DE232" s="1662"/>
      <c r="DF232" s="1662"/>
      <c r="DG232" s="1662"/>
      <c r="DH232" s="1662"/>
      <c r="DI232" s="1662"/>
      <c r="DJ232" s="1662"/>
      <c r="DK232" s="1662"/>
      <c r="DL232" s="1662"/>
      <c r="FH232" s="41"/>
      <c r="FI232" s="41"/>
      <c r="FJ232" s="41"/>
      <c r="FK232" s="41"/>
      <c r="FL232" s="41"/>
      <c r="FM232" s="41"/>
      <c r="FN232" s="41"/>
      <c r="FO232" s="41"/>
      <c r="FP232" s="41"/>
      <c r="FQ232" s="41"/>
      <c r="FR232" s="41"/>
      <c r="FS232" s="41"/>
      <c r="FT232" s="41"/>
      <c r="FU232" s="41"/>
      <c r="FV232" s="41"/>
      <c r="FW232" s="41"/>
      <c r="FX232" s="41"/>
      <c r="FY232" s="41"/>
      <c r="FZ232" s="41"/>
      <c r="GA232" s="41"/>
      <c r="GB232" s="41"/>
      <c r="GC232" s="41"/>
      <c r="GD232" s="41"/>
      <c r="GE232" s="41"/>
      <c r="GF232" s="41"/>
      <c r="GG232" s="41"/>
      <c r="GH232" s="41"/>
      <c r="GI232" s="41"/>
      <c r="GJ232" s="41"/>
      <c r="GK232" s="41"/>
      <c r="GL232" s="41"/>
      <c r="GM232" s="41"/>
      <c r="GN232" s="41"/>
      <c r="GO232" s="41"/>
      <c r="GP232" s="41"/>
      <c r="GQ232" s="41"/>
      <c r="GR232" s="41"/>
      <c r="GS232" s="41"/>
      <c r="GT232" s="41"/>
      <c r="GU232" s="41"/>
      <c r="GV232" s="41"/>
      <c r="GW232" s="41"/>
      <c r="GX232" s="41"/>
      <c r="GY232" s="41"/>
      <c r="GZ232" s="41"/>
      <c r="HA232" s="41"/>
      <c r="HB232" s="105"/>
      <c r="HC232" s="105"/>
      <c r="HD232" s="41"/>
      <c r="HE232" s="41"/>
      <c r="HF232" s="41"/>
      <c r="HG232" s="41"/>
      <c r="HH232" s="41"/>
      <c r="HI232" s="41"/>
      <c r="HJ232" s="41"/>
      <c r="HK232" s="41"/>
      <c r="HL232" s="41"/>
      <c r="HM232" s="41"/>
      <c r="HN232" s="41"/>
      <c r="HO232" s="41"/>
      <c r="HP232" s="41"/>
      <c r="HQ232" s="41"/>
      <c r="HR232" s="41"/>
      <c r="HS232" s="41"/>
      <c r="HT232" s="41"/>
      <c r="HU232" s="41"/>
      <c r="HV232" s="41"/>
      <c r="HW232" s="41"/>
      <c r="HX232" s="41"/>
      <c r="HY232" s="41"/>
      <c r="HZ232" s="41"/>
      <c r="IA232" s="41"/>
      <c r="IB232" s="41"/>
      <c r="IC232" s="41"/>
      <c r="ID232" s="41"/>
      <c r="IE232" s="41"/>
      <c r="IF232" s="41"/>
      <c r="IG232" s="41"/>
      <c r="IH232" s="41"/>
      <c r="II232" s="41"/>
      <c r="IJ232" s="41"/>
      <c r="IK232" s="41"/>
      <c r="IL232" s="41"/>
      <c r="IM232" s="41"/>
      <c r="IN232" s="41"/>
      <c r="IO232" s="41"/>
      <c r="IP232" s="41"/>
      <c r="IQ232" s="41"/>
      <c r="IR232" s="41"/>
      <c r="IS232" s="41"/>
      <c r="IT232" s="41"/>
      <c r="IU232" s="41"/>
    </row>
    <row r="233" spans="3:255">
      <c r="AT233" s="41"/>
      <c r="AU233" s="41"/>
      <c r="AV233" s="41"/>
      <c r="AW233" s="41" t="s">
        <v>1239</v>
      </c>
      <c r="AX233" s="690"/>
      <c r="AY233" s="690"/>
      <c r="AZ233" s="690"/>
      <c r="BA233" s="690"/>
      <c r="BB233" s="690"/>
      <c r="BC233" s="690"/>
      <c r="BD233" s="690"/>
      <c r="BE233" s="690"/>
      <c r="BF233" s="690"/>
      <c r="BG233" s="690"/>
      <c r="BH233" s="690">
        <v>0</v>
      </c>
      <c r="BI233" s="690"/>
      <c r="BJ233" s="690">
        <v>0</v>
      </c>
      <c r="BK233" s="690"/>
      <c r="BL233" s="690">
        <v>2</v>
      </c>
      <c r="BM233" s="41">
        <v>2</v>
      </c>
      <c r="BN233" s="41">
        <v>1</v>
      </c>
      <c r="BO233" s="41">
        <v>5</v>
      </c>
      <c r="BP233" s="41"/>
      <c r="CT233" s="1662"/>
      <c r="CU233" s="1662"/>
      <c r="CV233" s="1662"/>
      <c r="CW233" s="1662"/>
      <c r="CX233" s="1662"/>
      <c r="CY233" s="1662"/>
      <c r="CZ233" s="1662"/>
      <c r="DA233" s="1662"/>
      <c r="DB233" s="1662"/>
      <c r="DC233" s="1662"/>
      <c r="DD233" s="1662"/>
      <c r="DE233" s="1662"/>
      <c r="DF233" s="1662"/>
      <c r="DG233" s="1662"/>
      <c r="DH233" s="1662"/>
      <c r="DI233" s="1662"/>
      <c r="DJ233" s="1662"/>
      <c r="DK233" s="1662"/>
      <c r="DL233" s="1662"/>
    </row>
    <row r="234" spans="3:255">
      <c r="AT234" s="41"/>
      <c r="AU234" s="41"/>
      <c r="AV234" s="41"/>
      <c r="AW234" s="461" t="s">
        <v>15</v>
      </c>
      <c r="AX234" s="2489"/>
      <c r="AY234" s="2489"/>
      <c r="AZ234" s="2489"/>
      <c r="BA234" s="2489"/>
      <c r="BB234" s="2489"/>
      <c r="BC234" s="2489"/>
      <c r="BD234" s="2489"/>
      <c r="BE234" s="2489"/>
      <c r="BF234" s="2489"/>
      <c r="BG234" s="2489"/>
      <c r="BH234" s="2489">
        <v>1</v>
      </c>
      <c r="BI234" s="2489"/>
      <c r="BJ234" s="2489">
        <v>1</v>
      </c>
      <c r="BK234" s="2489"/>
      <c r="BL234" s="2489">
        <v>3</v>
      </c>
      <c r="BM234" s="461">
        <v>2</v>
      </c>
      <c r="BN234" s="461">
        <v>1</v>
      </c>
      <c r="BO234" s="461">
        <v>8</v>
      </c>
      <c r="BP234" s="635">
        <v>0</v>
      </c>
      <c r="BQ234" s="1977"/>
      <c r="CS234" s="1663"/>
      <c r="CT234" s="1662"/>
      <c r="CU234" s="1662"/>
      <c r="CV234" s="1662"/>
      <c r="CW234" s="1662"/>
      <c r="CX234" s="1662"/>
      <c r="CY234" s="1662"/>
      <c r="CZ234" s="1662"/>
      <c r="DA234" s="1662"/>
      <c r="DB234" s="1662"/>
      <c r="DC234" s="1662"/>
      <c r="DD234" s="1662"/>
      <c r="DE234" s="1662"/>
      <c r="DF234" s="1662"/>
      <c r="DG234" s="1662"/>
      <c r="DH234" s="1662"/>
      <c r="DI234" s="1662"/>
      <c r="DJ234" s="1662"/>
      <c r="DK234" s="1662"/>
      <c r="DL234" s="1662"/>
    </row>
    <row r="235" spans="3:255">
      <c r="AT235" s="41"/>
      <c r="AU235" s="41"/>
      <c r="AV235" s="461" t="s">
        <v>549</v>
      </c>
      <c r="AW235" s="461" t="s">
        <v>1231</v>
      </c>
      <c r="AX235" s="2489"/>
      <c r="AY235" s="2489"/>
      <c r="AZ235" s="2489"/>
      <c r="BA235" s="2489"/>
      <c r="BB235" s="2489"/>
      <c r="BC235" s="2489"/>
      <c r="BD235" s="2489"/>
      <c r="BE235" s="2489"/>
      <c r="BF235" s="2489"/>
      <c r="BG235" s="2489"/>
      <c r="BH235" s="2489">
        <v>1</v>
      </c>
      <c r="BI235" s="2489"/>
      <c r="BJ235" s="2489">
        <v>1</v>
      </c>
      <c r="BK235" s="2489"/>
      <c r="BL235" s="2489">
        <v>1</v>
      </c>
      <c r="BM235" s="461">
        <v>0</v>
      </c>
      <c r="BN235" s="461">
        <v>0</v>
      </c>
      <c r="BO235" s="461">
        <v>3</v>
      </c>
      <c r="BP235" s="41"/>
      <c r="CT235" s="1662"/>
      <c r="CU235" s="1662"/>
      <c r="CV235" s="1662"/>
      <c r="CW235" s="1662"/>
      <c r="CX235" s="1662"/>
      <c r="CY235" s="1662"/>
      <c r="CZ235" s="1662"/>
      <c r="DA235" s="1662"/>
      <c r="DB235" s="1662"/>
      <c r="DC235" s="1662"/>
      <c r="DD235" s="1662"/>
      <c r="DE235" s="1662"/>
      <c r="DF235" s="1662"/>
      <c r="DG235" s="1662"/>
      <c r="DH235" s="1662"/>
      <c r="DI235" s="1662"/>
      <c r="DJ235" s="1662"/>
      <c r="DK235" s="1662"/>
      <c r="DL235" s="1662"/>
    </row>
    <row r="236" spans="3:255">
      <c r="AT236" s="41"/>
      <c r="AU236" s="41"/>
      <c r="AV236" s="461"/>
      <c r="AW236" s="461" t="s">
        <v>1239</v>
      </c>
      <c r="AX236" s="2489"/>
      <c r="AY236" s="2489"/>
      <c r="AZ236" s="2489"/>
      <c r="BA236" s="2489"/>
      <c r="BB236" s="2489"/>
      <c r="BC236" s="2489"/>
      <c r="BD236" s="2489"/>
      <c r="BE236" s="2489"/>
      <c r="BF236" s="2489"/>
      <c r="BG236" s="2489"/>
      <c r="BH236" s="2489">
        <v>0</v>
      </c>
      <c r="BI236" s="2489"/>
      <c r="BJ236" s="2489">
        <v>0</v>
      </c>
      <c r="BK236" s="2489"/>
      <c r="BL236" s="2489">
        <v>2</v>
      </c>
      <c r="BM236" s="461">
        <v>2</v>
      </c>
      <c r="BN236" s="461">
        <v>1</v>
      </c>
      <c r="BO236" s="461">
        <v>5</v>
      </c>
      <c r="BP236" s="41"/>
      <c r="CT236" s="1662"/>
      <c r="CU236" s="1662"/>
      <c r="CV236" s="1662"/>
      <c r="CW236" s="1662"/>
      <c r="CX236" s="1662"/>
      <c r="CY236" s="1662"/>
      <c r="CZ236" s="1662"/>
      <c r="DA236" s="1662"/>
      <c r="DB236" s="1662"/>
      <c r="DC236" s="1662"/>
      <c r="DD236" s="1662"/>
      <c r="DE236" s="1662"/>
      <c r="DF236" s="1662"/>
      <c r="DG236" s="1662"/>
      <c r="DH236" s="1662"/>
      <c r="DI236" s="1662"/>
      <c r="DJ236" s="1662"/>
      <c r="DK236" s="1662"/>
      <c r="DL236" s="1662"/>
    </row>
    <row r="237" spans="3:255">
      <c r="AT237" s="41"/>
      <c r="AU237" s="41"/>
      <c r="AV237" s="461"/>
      <c r="AW237" s="461" t="s">
        <v>549</v>
      </c>
      <c r="AX237" s="2489"/>
      <c r="AY237" s="2489"/>
      <c r="AZ237" s="2489"/>
      <c r="BA237" s="2489"/>
      <c r="BB237" s="2489"/>
      <c r="BC237" s="2489"/>
      <c r="BD237" s="2489"/>
      <c r="BE237" s="2489"/>
      <c r="BF237" s="2489"/>
      <c r="BG237" s="2489"/>
      <c r="BH237" s="2489">
        <v>1</v>
      </c>
      <c r="BI237" s="2489"/>
      <c r="BJ237" s="2489">
        <v>1</v>
      </c>
      <c r="BK237" s="2489"/>
      <c r="BL237" s="2489">
        <v>3</v>
      </c>
      <c r="BM237" s="461">
        <v>2</v>
      </c>
      <c r="BN237" s="461">
        <v>1</v>
      </c>
      <c r="BO237" s="461">
        <v>8</v>
      </c>
      <c r="BP237" s="635">
        <v>0</v>
      </c>
      <c r="BQ237" s="1977"/>
      <c r="CT237" s="1662"/>
      <c r="CU237" s="1662"/>
      <c r="CV237" s="1662"/>
      <c r="CW237" s="1662"/>
      <c r="CX237" s="1662"/>
      <c r="CY237" s="1662"/>
      <c r="CZ237" s="1662"/>
      <c r="DA237" s="1662"/>
      <c r="DB237" s="1662"/>
      <c r="DC237" s="1662"/>
      <c r="DD237" s="1662"/>
      <c r="DE237" s="1662"/>
      <c r="DF237" s="1662"/>
      <c r="DG237" s="1662"/>
      <c r="DH237" s="1662"/>
      <c r="DI237" s="1662"/>
      <c r="DJ237" s="1662"/>
      <c r="DK237" s="1662"/>
      <c r="DL237" s="1662"/>
    </row>
    <row r="238" spans="3:255">
      <c r="AT238" s="41"/>
      <c r="AU238" s="41"/>
      <c r="AV238" s="461" t="s">
        <v>260</v>
      </c>
      <c r="AW238" s="461" t="s">
        <v>1231</v>
      </c>
      <c r="AX238" s="2489"/>
      <c r="AY238" s="2489"/>
      <c r="AZ238" s="2489"/>
      <c r="BA238" s="2489"/>
      <c r="BB238" s="2489"/>
      <c r="BC238" s="2489">
        <v>0</v>
      </c>
      <c r="BD238" s="2489"/>
      <c r="BE238" s="2489">
        <v>0</v>
      </c>
      <c r="BF238" s="2489">
        <v>1</v>
      </c>
      <c r="BG238" s="2489">
        <v>4</v>
      </c>
      <c r="BH238" s="2489">
        <v>2</v>
      </c>
      <c r="BI238" s="2489"/>
      <c r="BJ238" s="2489">
        <v>1</v>
      </c>
      <c r="BK238" s="2489"/>
      <c r="BL238" s="2489">
        <v>1</v>
      </c>
      <c r="BM238" s="461">
        <v>0</v>
      </c>
      <c r="BN238" s="461">
        <v>0</v>
      </c>
      <c r="BO238" s="461">
        <v>9</v>
      </c>
      <c r="BP238" s="41"/>
      <c r="CT238" s="1662"/>
      <c r="CU238" s="1662"/>
      <c r="CV238" s="1662"/>
      <c r="CW238" s="1662"/>
      <c r="CX238" s="1662"/>
      <c r="CY238" s="1662"/>
      <c r="CZ238" s="1662"/>
      <c r="DA238" s="1662"/>
      <c r="DB238" s="1662"/>
      <c r="DC238" s="1662"/>
      <c r="DD238" s="1662"/>
      <c r="DE238" s="1662"/>
      <c r="DF238" s="1662"/>
      <c r="DG238" s="1662"/>
      <c r="DH238" s="1662"/>
      <c r="DI238" s="1662"/>
      <c r="DJ238" s="1662"/>
      <c r="DK238" s="1662"/>
      <c r="DL238" s="1662"/>
    </row>
    <row r="239" spans="3:255">
      <c r="AT239" s="41"/>
      <c r="AU239" s="41"/>
      <c r="AV239" s="461"/>
      <c r="AW239" s="461" t="s">
        <v>1233</v>
      </c>
      <c r="AX239" s="2489"/>
      <c r="AY239" s="2489"/>
      <c r="AZ239" s="2489"/>
      <c r="BA239" s="2489"/>
      <c r="BB239" s="2489"/>
      <c r="BC239" s="2489">
        <v>0</v>
      </c>
      <c r="BD239" s="2489"/>
      <c r="BE239" s="2489">
        <v>1</v>
      </c>
      <c r="BF239" s="2489">
        <v>0</v>
      </c>
      <c r="BG239" s="2489">
        <v>0</v>
      </c>
      <c r="BH239" s="2489">
        <v>0</v>
      </c>
      <c r="BI239" s="2489"/>
      <c r="BJ239" s="2489">
        <v>0</v>
      </c>
      <c r="BK239" s="2489"/>
      <c r="BL239" s="2489">
        <v>0</v>
      </c>
      <c r="BM239" s="461">
        <v>0</v>
      </c>
      <c r="BN239" s="461">
        <v>0</v>
      </c>
      <c r="BO239" s="461">
        <v>1</v>
      </c>
      <c r="BP239" s="41"/>
      <c r="CS239" s="1663"/>
      <c r="CT239" s="1662"/>
      <c r="CU239" s="1662"/>
      <c r="CV239" s="1662"/>
      <c r="CW239" s="1662"/>
      <c r="CX239" s="1662"/>
      <c r="CY239" s="1662"/>
      <c r="CZ239" s="1662"/>
      <c r="DA239" s="1662"/>
      <c r="DB239" s="1662"/>
      <c r="DC239" s="1662"/>
      <c r="DD239" s="1662"/>
      <c r="DE239" s="1662"/>
      <c r="DF239" s="1662"/>
      <c r="DG239" s="1662"/>
      <c r="DH239" s="1662"/>
      <c r="DI239" s="1662"/>
      <c r="DJ239" s="1662"/>
      <c r="DK239" s="1662"/>
      <c r="DL239" s="1662"/>
    </row>
    <row r="240" spans="3:255">
      <c r="AT240" s="41"/>
      <c r="AU240" s="41"/>
      <c r="AV240" s="461"/>
      <c r="AW240" s="461" t="s">
        <v>1236</v>
      </c>
      <c r="AX240" s="2489"/>
      <c r="AY240" s="2489"/>
      <c r="AZ240" s="2489"/>
      <c r="BA240" s="2489"/>
      <c r="BB240" s="2489"/>
      <c r="BC240" s="2489">
        <v>1</v>
      </c>
      <c r="BD240" s="2489"/>
      <c r="BE240" s="2489">
        <v>0</v>
      </c>
      <c r="BF240" s="2489">
        <v>0</v>
      </c>
      <c r="BG240" s="2489">
        <v>0</v>
      </c>
      <c r="BH240" s="2489">
        <v>1</v>
      </c>
      <c r="BI240" s="2489"/>
      <c r="BJ240" s="2489">
        <v>0</v>
      </c>
      <c r="BK240" s="2489"/>
      <c r="BL240" s="2489">
        <v>0</v>
      </c>
      <c r="BM240" s="461">
        <v>0</v>
      </c>
      <c r="BN240" s="461">
        <v>0</v>
      </c>
      <c r="BO240" s="461">
        <v>2</v>
      </c>
      <c r="BP240" s="41"/>
      <c r="CT240" s="1662"/>
      <c r="CU240" s="1662"/>
      <c r="CV240" s="1662"/>
      <c r="CW240" s="1662"/>
      <c r="CX240" s="1662"/>
      <c r="CY240" s="1662"/>
      <c r="CZ240" s="1662"/>
      <c r="DA240" s="1662"/>
      <c r="DB240" s="1662"/>
      <c r="DC240" s="1662"/>
      <c r="DD240" s="1662"/>
      <c r="DE240" s="1662"/>
      <c r="DF240" s="1662"/>
      <c r="DG240" s="1662"/>
      <c r="DH240" s="1662"/>
      <c r="DI240" s="1662"/>
      <c r="DJ240" s="1662"/>
      <c r="DK240" s="1662"/>
      <c r="DL240" s="1662"/>
    </row>
    <row r="241" spans="46:116">
      <c r="AT241" s="41"/>
      <c r="AU241" s="41"/>
      <c r="AV241" s="461"/>
      <c r="AW241" s="461" t="s">
        <v>1239</v>
      </c>
      <c r="AX241" s="2489"/>
      <c r="AY241" s="2489"/>
      <c r="AZ241" s="2489"/>
      <c r="BA241" s="2489"/>
      <c r="BB241" s="2489"/>
      <c r="BC241" s="2489">
        <v>0</v>
      </c>
      <c r="BD241" s="2489"/>
      <c r="BE241" s="2489">
        <v>0</v>
      </c>
      <c r="BF241" s="2489">
        <v>0</v>
      </c>
      <c r="BG241" s="2489">
        <v>0</v>
      </c>
      <c r="BH241" s="2489">
        <v>0</v>
      </c>
      <c r="BI241" s="2489"/>
      <c r="BJ241" s="2489">
        <v>2</v>
      </c>
      <c r="BK241" s="2489"/>
      <c r="BL241" s="2489">
        <v>3</v>
      </c>
      <c r="BM241" s="461">
        <v>2</v>
      </c>
      <c r="BN241" s="461">
        <v>1</v>
      </c>
      <c r="BO241" s="461">
        <v>8</v>
      </c>
      <c r="BP241" s="41"/>
      <c r="CT241" s="1662"/>
      <c r="CU241" s="1662"/>
      <c r="CV241" s="1662"/>
      <c r="CW241" s="1662"/>
      <c r="CX241" s="1662"/>
      <c r="CY241" s="1662"/>
      <c r="CZ241" s="1662"/>
      <c r="DA241" s="1662"/>
      <c r="DB241" s="1662"/>
      <c r="DC241" s="1662"/>
      <c r="DD241" s="1662"/>
      <c r="DE241" s="1662"/>
      <c r="DF241" s="1662"/>
      <c r="DG241" s="1662"/>
      <c r="DH241" s="1662"/>
      <c r="DI241" s="1662"/>
      <c r="DJ241" s="1662"/>
      <c r="DK241" s="1662"/>
      <c r="DL241" s="1662"/>
    </row>
    <row r="242" spans="46:116">
      <c r="AT242" s="41"/>
      <c r="AU242" s="41"/>
      <c r="AV242" s="461"/>
      <c r="AW242" s="461" t="s">
        <v>1240</v>
      </c>
      <c r="AX242" s="2489"/>
      <c r="AY242" s="2489"/>
      <c r="AZ242" s="2489"/>
      <c r="BA242" s="2489"/>
      <c r="BB242" s="2489"/>
      <c r="BC242" s="2489">
        <v>0</v>
      </c>
      <c r="BD242" s="2489"/>
      <c r="BE242" s="2489">
        <v>0</v>
      </c>
      <c r="BF242" s="2489">
        <v>0</v>
      </c>
      <c r="BG242" s="2489">
        <v>2</v>
      </c>
      <c r="BH242" s="2489">
        <v>0</v>
      </c>
      <c r="BI242" s="2489"/>
      <c r="BJ242" s="2489">
        <v>0</v>
      </c>
      <c r="BK242" s="2489"/>
      <c r="BL242" s="2489">
        <v>0</v>
      </c>
      <c r="BM242" s="461">
        <v>0</v>
      </c>
      <c r="BN242" s="461">
        <v>0</v>
      </c>
      <c r="BO242" s="461">
        <v>2</v>
      </c>
      <c r="BP242" s="41"/>
      <c r="CT242" s="1662"/>
      <c r="CU242" s="1662"/>
      <c r="CV242" s="1662"/>
      <c r="CW242" s="1662"/>
      <c r="CX242" s="1662"/>
      <c r="CY242" s="1662"/>
      <c r="CZ242" s="1662"/>
      <c r="DA242" s="1662"/>
      <c r="DB242" s="1662"/>
      <c r="DC242" s="1662"/>
      <c r="DD242" s="1662"/>
      <c r="DE242" s="1662"/>
      <c r="DF242" s="1662"/>
      <c r="DG242" s="1662"/>
      <c r="DH242" s="1662"/>
      <c r="DI242" s="1662"/>
      <c r="DJ242" s="1662"/>
      <c r="DK242" s="1662"/>
      <c r="DL242" s="1662"/>
    </row>
    <row r="243" spans="46:116">
      <c r="AT243" s="41"/>
      <c r="AU243" s="41"/>
      <c r="AV243" s="461"/>
      <c r="AW243" s="461" t="s">
        <v>1344</v>
      </c>
      <c r="AX243" s="2489"/>
      <c r="AY243" s="2489"/>
      <c r="AZ243" s="2489"/>
      <c r="BA243" s="2489"/>
      <c r="BB243" s="2489"/>
      <c r="BC243" s="2489">
        <v>0</v>
      </c>
      <c r="BD243" s="2489"/>
      <c r="BE243" s="2489">
        <v>0</v>
      </c>
      <c r="BF243" s="2489">
        <v>0</v>
      </c>
      <c r="BG243" s="2489">
        <v>0</v>
      </c>
      <c r="BH243" s="2489">
        <v>3</v>
      </c>
      <c r="BI243" s="2489"/>
      <c r="BJ243" s="2489">
        <v>0</v>
      </c>
      <c r="BK243" s="2489"/>
      <c r="BL243" s="2489">
        <v>0</v>
      </c>
      <c r="BM243" s="461">
        <v>0</v>
      </c>
      <c r="BN243" s="461">
        <v>0</v>
      </c>
      <c r="BO243" s="461">
        <v>3</v>
      </c>
      <c r="BP243" s="41"/>
      <c r="CT243" s="1662"/>
      <c r="CU243" s="1662"/>
      <c r="CV243" s="1662"/>
      <c r="CW243" s="1662"/>
      <c r="CX243" s="1662"/>
      <c r="CY243" s="1662"/>
      <c r="CZ243" s="1662"/>
      <c r="DA243" s="1662"/>
      <c r="DB243" s="1662"/>
      <c r="DC243" s="1662"/>
      <c r="DD243" s="1662"/>
      <c r="DE243" s="1662"/>
      <c r="DF243" s="1662"/>
      <c r="DG243" s="1662"/>
      <c r="DH243" s="1662"/>
      <c r="DI243" s="1662"/>
      <c r="DJ243" s="1662"/>
      <c r="DK243" s="1662"/>
      <c r="DL243" s="1662"/>
    </row>
    <row r="244" spans="46:116">
      <c r="AT244" s="41"/>
      <c r="AU244" s="41"/>
      <c r="AV244" s="461"/>
      <c r="AW244" s="461" t="s">
        <v>260</v>
      </c>
      <c r="AX244" s="2489"/>
      <c r="AY244" s="2489"/>
      <c r="AZ244" s="2489"/>
      <c r="BA244" s="2489"/>
      <c r="BB244" s="2489"/>
      <c r="BC244" s="2489">
        <v>1</v>
      </c>
      <c r="BD244" s="2489"/>
      <c r="BE244" s="2489">
        <v>1</v>
      </c>
      <c r="BF244" s="2489">
        <v>1</v>
      </c>
      <c r="BG244" s="2489">
        <v>6</v>
      </c>
      <c r="BH244" s="2489">
        <v>6</v>
      </c>
      <c r="BI244" s="2489"/>
      <c r="BJ244" s="2489">
        <v>3</v>
      </c>
      <c r="BK244" s="2489"/>
      <c r="BL244" s="2489">
        <v>4</v>
      </c>
      <c r="BM244" s="461">
        <v>2</v>
      </c>
      <c r="BN244" s="461">
        <v>1</v>
      </c>
      <c r="BO244" s="461">
        <v>25</v>
      </c>
      <c r="BP244" s="635">
        <f>+(BO243+BO242)/BO244</f>
        <v>0.2</v>
      </c>
      <c r="BQ244" s="1977"/>
      <c r="CT244" s="1662"/>
      <c r="CU244" s="1662"/>
      <c r="CV244" s="1662"/>
      <c r="CW244" s="1662"/>
      <c r="CX244" s="1662"/>
      <c r="CY244" s="1662"/>
      <c r="CZ244" s="1662"/>
      <c r="DA244" s="1662"/>
      <c r="DB244" s="1662"/>
      <c r="DC244" s="1662"/>
      <c r="DD244" s="1662"/>
      <c r="DE244" s="1662"/>
      <c r="DF244" s="1662"/>
      <c r="DG244" s="1662"/>
      <c r="DH244" s="1662"/>
      <c r="DI244" s="1662"/>
      <c r="DJ244" s="1662"/>
      <c r="DK244" s="1662"/>
      <c r="DL244" s="1662"/>
    </row>
    <row r="245" spans="46:116">
      <c r="AT245" s="41"/>
      <c r="AU245" s="41"/>
      <c r="AV245" s="461" t="s">
        <v>113</v>
      </c>
      <c r="AW245" s="461" t="s">
        <v>1230</v>
      </c>
      <c r="AX245" s="2489">
        <v>0</v>
      </c>
      <c r="AY245" s="2489">
        <v>0</v>
      </c>
      <c r="AZ245" s="2489">
        <v>0</v>
      </c>
      <c r="BA245" s="2489">
        <v>0</v>
      </c>
      <c r="BB245" s="2489">
        <v>0</v>
      </c>
      <c r="BC245" s="2489">
        <v>0</v>
      </c>
      <c r="BD245" s="2489">
        <v>0</v>
      </c>
      <c r="BE245" s="2489">
        <v>0</v>
      </c>
      <c r="BF245" s="2489">
        <v>0</v>
      </c>
      <c r="BG245" s="2489">
        <v>0</v>
      </c>
      <c r="BH245" s="2489">
        <v>0</v>
      </c>
      <c r="BI245" s="2489">
        <v>0</v>
      </c>
      <c r="BJ245" s="2489">
        <v>0</v>
      </c>
      <c r="BK245" s="2489">
        <v>0</v>
      </c>
      <c r="BL245" s="2489">
        <v>1</v>
      </c>
      <c r="BM245" s="461">
        <v>0</v>
      </c>
      <c r="BN245" s="461">
        <v>1</v>
      </c>
      <c r="BO245" s="461">
        <v>2</v>
      </c>
      <c r="BP245" s="41"/>
      <c r="CS245" s="1663"/>
      <c r="CT245" s="1662"/>
      <c r="CU245" s="1662"/>
      <c r="CV245" s="1662"/>
      <c r="CW245" s="1662"/>
      <c r="CX245" s="1662"/>
      <c r="CY245" s="1662"/>
      <c r="CZ245" s="1662"/>
      <c r="DA245" s="1662"/>
      <c r="DB245" s="1662"/>
      <c r="DC245" s="1662"/>
      <c r="DD245" s="1662"/>
      <c r="DE245" s="1662"/>
      <c r="DF245" s="1662"/>
      <c r="DG245" s="1662"/>
      <c r="DH245" s="1662"/>
      <c r="DI245" s="1662"/>
      <c r="DJ245" s="1662"/>
      <c r="DK245" s="1662"/>
      <c r="DL245" s="1662"/>
    </row>
    <row r="246" spans="46:116">
      <c r="AT246" s="41"/>
      <c r="AU246" s="41"/>
      <c r="AV246" s="461"/>
      <c r="AW246" s="461" t="s">
        <v>1231</v>
      </c>
      <c r="AX246" s="2489">
        <v>3</v>
      </c>
      <c r="AY246" s="2489">
        <v>0</v>
      </c>
      <c r="AZ246" s="2489">
        <v>1</v>
      </c>
      <c r="BA246" s="2489">
        <v>2</v>
      </c>
      <c r="BB246" s="2489">
        <v>2</v>
      </c>
      <c r="BC246" s="2489">
        <v>1</v>
      </c>
      <c r="BD246" s="2489">
        <v>1</v>
      </c>
      <c r="BE246" s="2489">
        <v>2</v>
      </c>
      <c r="BF246" s="2489">
        <v>2</v>
      </c>
      <c r="BG246" s="2489">
        <v>18</v>
      </c>
      <c r="BH246" s="2489">
        <v>6</v>
      </c>
      <c r="BI246" s="2489">
        <v>6</v>
      </c>
      <c r="BJ246" s="2489">
        <v>14</v>
      </c>
      <c r="BK246" s="2489">
        <v>20</v>
      </c>
      <c r="BL246" s="2489">
        <v>4</v>
      </c>
      <c r="BM246" s="461">
        <v>2</v>
      </c>
      <c r="BN246" s="461">
        <v>0</v>
      </c>
      <c r="BO246" s="461">
        <v>84</v>
      </c>
      <c r="BP246" s="41"/>
      <c r="CT246" s="1662"/>
      <c r="CU246" s="1662"/>
      <c r="CV246" s="1662"/>
      <c r="CW246" s="1662"/>
      <c r="CX246" s="1662"/>
      <c r="CY246" s="1662"/>
      <c r="CZ246" s="1662"/>
      <c r="DA246" s="1662"/>
      <c r="DB246" s="1662"/>
      <c r="DC246" s="1662"/>
      <c r="DD246" s="1662"/>
      <c r="DE246" s="1662"/>
      <c r="DF246" s="1662"/>
      <c r="DG246" s="1662"/>
      <c r="DH246" s="1662"/>
      <c r="DI246" s="1662"/>
      <c r="DJ246" s="1662"/>
      <c r="DK246" s="1662"/>
      <c r="DL246" s="1662"/>
    </row>
    <row r="247" spans="46:116">
      <c r="AT247" s="41"/>
      <c r="AU247" s="41"/>
      <c r="AV247" s="461"/>
      <c r="AW247" s="461" t="s">
        <v>1233</v>
      </c>
      <c r="AX247" s="2489">
        <v>0</v>
      </c>
      <c r="AY247" s="2489">
        <v>2</v>
      </c>
      <c r="AZ247" s="2489">
        <v>0</v>
      </c>
      <c r="BA247" s="2489">
        <v>1</v>
      </c>
      <c r="BB247" s="2489">
        <v>1</v>
      </c>
      <c r="BC247" s="2489">
        <v>2</v>
      </c>
      <c r="BD247" s="2489">
        <v>1</v>
      </c>
      <c r="BE247" s="2489">
        <v>1</v>
      </c>
      <c r="BF247" s="2489">
        <v>0</v>
      </c>
      <c r="BG247" s="2489">
        <v>0</v>
      </c>
      <c r="BH247" s="2489">
        <v>0</v>
      </c>
      <c r="BI247" s="2489">
        <v>0</v>
      </c>
      <c r="BJ247" s="2489">
        <v>0</v>
      </c>
      <c r="BK247" s="2489">
        <v>0</v>
      </c>
      <c r="BL247" s="2489">
        <v>0</v>
      </c>
      <c r="BM247" s="461">
        <v>0</v>
      </c>
      <c r="BN247" s="461">
        <v>0</v>
      </c>
      <c r="BO247" s="461">
        <v>8</v>
      </c>
      <c r="BP247" s="41"/>
      <c r="CS247" s="1663"/>
      <c r="CT247" s="1662"/>
      <c r="CU247" s="1662"/>
      <c r="CV247" s="1662"/>
      <c r="CW247" s="1662"/>
      <c r="CX247" s="1662"/>
      <c r="CY247" s="1662"/>
      <c r="CZ247" s="1662"/>
      <c r="DA247" s="1662"/>
      <c r="DB247" s="1662"/>
      <c r="DC247" s="1662"/>
      <c r="DD247" s="1662"/>
      <c r="DE247" s="1662"/>
      <c r="DF247" s="1662"/>
      <c r="DG247" s="1662"/>
      <c r="DH247" s="1662"/>
      <c r="DI247" s="1662"/>
      <c r="DJ247" s="1662"/>
      <c r="DK247" s="1662"/>
      <c r="DL247" s="1662"/>
    </row>
    <row r="248" spans="46:116">
      <c r="AT248" s="41"/>
      <c r="AU248" s="41"/>
      <c r="AV248" s="461"/>
      <c r="AW248" s="461" t="s">
        <v>1235</v>
      </c>
      <c r="AX248" s="2489">
        <v>0</v>
      </c>
      <c r="AY248" s="2489">
        <v>0</v>
      </c>
      <c r="AZ248" s="2489">
        <v>0</v>
      </c>
      <c r="BA248" s="2489">
        <v>0</v>
      </c>
      <c r="BB248" s="2489">
        <v>0</v>
      </c>
      <c r="BC248" s="2489">
        <v>0</v>
      </c>
      <c r="BD248" s="2489">
        <v>0</v>
      </c>
      <c r="BE248" s="2489">
        <v>0</v>
      </c>
      <c r="BF248" s="2489">
        <v>0</v>
      </c>
      <c r="BG248" s="2489">
        <v>5</v>
      </c>
      <c r="BH248" s="2489">
        <v>0</v>
      </c>
      <c r="BI248" s="2489">
        <v>1</v>
      </c>
      <c r="BJ248" s="2489">
        <v>16</v>
      </c>
      <c r="BK248" s="2489">
        <v>27</v>
      </c>
      <c r="BL248" s="2489">
        <v>4</v>
      </c>
      <c r="BM248" s="461">
        <v>3</v>
      </c>
      <c r="BN248" s="461">
        <v>0</v>
      </c>
      <c r="BO248" s="461">
        <v>56</v>
      </c>
      <c r="BP248" s="41"/>
      <c r="CT248" s="1662"/>
      <c r="CU248" s="1662"/>
      <c r="CV248" s="1662"/>
      <c r="CW248" s="1662"/>
      <c r="CX248" s="1662"/>
      <c r="CY248" s="1662"/>
      <c r="CZ248" s="1662"/>
      <c r="DA248" s="1662"/>
      <c r="DB248" s="1662"/>
      <c r="DC248" s="1662"/>
      <c r="DD248" s="1662"/>
      <c r="DE248" s="1662"/>
      <c r="DF248" s="1662"/>
      <c r="DG248" s="1662"/>
      <c r="DH248" s="1662"/>
      <c r="DI248" s="1662"/>
      <c r="DJ248" s="1662"/>
      <c r="DK248" s="1662"/>
      <c r="DL248" s="1662"/>
    </row>
    <row r="249" spans="46:116">
      <c r="AT249" s="41"/>
      <c r="AU249" s="41"/>
      <c r="AV249" s="461"/>
      <c r="AW249" s="461" t="s">
        <v>1236</v>
      </c>
      <c r="AX249" s="2489">
        <v>0</v>
      </c>
      <c r="AY249" s="2489">
        <v>1</v>
      </c>
      <c r="AZ249" s="2489">
        <v>0</v>
      </c>
      <c r="BA249" s="2489">
        <v>1</v>
      </c>
      <c r="BB249" s="2489">
        <v>0</v>
      </c>
      <c r="BC249" s="2489">
        <v>1</v>
      </c>
      <c r="BD249" s="2489">
        <v>0</v>
      </c>
      <c r="BE249" s="2489">
        <v>0</v>
      </c>
      <c r="BF249" s="2489">
        <v>0</v>
      </c>
      <c r="BG249" s="2489">
        <v>0</v>
      </c>
      <c r="BH249" s="2489">
        <v>2</v>
      </c>
      <c r="BI249" s="2489">
        <v>0</v>
      </c>
      <c r="BJ249" s="2489">
        <v>0</v>
      </c>
      <c r="BK249" s="2489">
        <v>0</v>
      </c>
      <c r="BL249" s="2489">
        <v>0</v>
      </c>
      <c r="BM249" s="461">
        <v>0</v>
      </c>
      <c r="BN249" s="461">
        <v>0</v>
      </c>
      <c r="BO249" s="461">
        <v>5</v>
      </c>
      <c r="BP249" s="41"/>
      <c r="CT249" s="1662"/>
      <c r="CU249" s="1662"/>
      <c r="CV249" s="1662"/>
      <c r="CW249" s="1662"/>
      <c r="CX249" s="1662"/>
      <c r="CY249" s="1662"/>
      <c r="CZ249" s="1662"/>
      <c r="DA249" s="1662"/>
      <c r="DB249" s="1662"/>
      <c r="DC249" s="1662"/>
      <c r="DD249" s="1662"/>
      <c r="DE249" s="1662"/>
      <c r="DF249" s="1662"/>
      <c r="DG249" s="1662"/>
      <c r="DH249" s="1662"/>
      <c r="DI249" s="1662"/>
      <c r="DJ249" s="1662"/>
      <c r="DK249" s="1662"/>
      <c r="DL249" s="1662"/>
    </row>
    <row r="250" spans="46:116">
      <c r="AT250" s="41"/>
      <c r="AU250" s="41"/>
      <c r="AV250" s="461"/>
      <c r="AW250" s="461" t="s">
        <v>1239</v>
      </c>
      <c r="AX250" s="2489">
        <v>0</v>
      </c>
      <c r="AY250" s="2489">
        <v>0</v>
      </c>
      <c r="AZ250" s="2489">
        <v>0</v>
      </c>
      <c r="BA250" s="2489">
        <v>0</v>
      </c>
      <c r="BB250" s="2489">
        <v>0</v>
      </c>
      <c r="BC250" s="2489">
        <v>0</v>
      </c>
      <c r="BD250" s="2489">
        <v>0</v>
      </c>
      <c r="BE250" s="2489">
        <v>0</v>
      </c>
      <c r="BF250" s="2489">
        <v>0</v>
      </c>
      <c r="BG250" s="2489">
        <v>0</v>
      </c>
      <c r="BH250" s="2489">
        <v>1</v>
      </c>
      <c r="BI250" s="2489">
        <v>3</v>
      </c>
      <c r="BJ250" s="2489">
        <v>2</v>
      </c>
      <c r="BK250" s="2489">
        <v>11</v>
      </c>
      <c r="BL250" s="2489">
        <v>80</v>
      </c>
      <c r="BM250" s="461">
        <v>11</v>
      </c>
      <c r="BN250" s="461">
        <v>23</v>
      </c>
      <c r="BO250" s="461">
        <v>131</v>
      </c>
      <c r="BP250" s="41"/>
      <c r="CT250" s="1662"/>
      <c r="CU250" s="1662"/>
      <c r="CV250" s="1662"/>
      <c r="CW250" s="1662"/>
      <c r="CX250" s="1662"/>
      <c r="CY250" s="1662"/>
      <c r="CZ250" s="1662"/>
      <c r="DA250" s="1662"/>
      <c r="DB250" s="1662"/>
      <c r="DC250" s="1662"/>
      <c r="DD250" s="1662"/>
      <c r="DE250" s="1662"/>
      <c r="DF250" s="1662"/>
      <c r="DG250" s="1662"/>
      <c r="DH250" s="1662"/>
      <c r="DI250" s="1662"/>
      <c r="DJ250" s="1662"/>
      <c r="DK250" s="1662"/>
      <c r="DL250" s="1662"/>
    </row>
    <row r="251" spans="46:116">
      <c r="AT251" s="41"/>
      <c r="AU251" s="41"/>
      <c r="AV251" s="461"/>
      <c r="AW251" s="461" t="s">
        <v>1240</v>
      </c>
      <c r="AX251" s="2489">
        <v>0</v>
      </c>
      <c r="AY251" s="2489">
        <v>0</v>
      </c>
      <c r="AZ251" s="2489">
        <v>0</v>
      </c>
      <c r="BA251" s="2489">
        <v>0</v>
      </c>
      <c r="BB251" s="2489">
        <v>0</v>
      </c>
      <c r="BC251" s="2489">
        <v>0</v>
      </c>
      <c r="BD251" s="2489">
        <v>0</v>
      </c>
      <c r="BE251" s="2489">
        <v>0</v>
      </c>
      <c r="BF251" s="2489">
        <v>0</v>
      </c>
      <c r="BG251" s="2489">
        <v>8</v>
      </c>
      <c r="BH251" s="2489">
        <v>1</v>
      </c>
      <c r="BI251" s="2489">
        <v>1</v>
      </c>
      <c r="BJ251" s="2489">
        <v>5</v>
      </c>
      <c r="BK251" s="2489">
        <v>2</v>
      </c>
      <c r="BL251" s="2489">
        <v>0</v>
      </c>
      <c r="BM251" s="461">
        <v>0</v>
      </c>
      <c r="BN251" s="461">
        <v>0</v>
      </c>
      <c r="BO251" s="461">
        <v>17</v>
      </c>
      <c r="BP251" s="41"/>
      <c r="CT251" s="1662"/>
      <c r="CU251" s="1662"/>
      <c r="CV251" s="1662"/>
      <c r="CW251" s="1662"/>
      <c r="CX251" s="1662"/>
      <c r="CY251" s="1662"/>
      <c r="CZ251" s="1662"/>
      <c r="DA251" s="1662"/>
      <c r="DB251" s="1662"/>
      <c r="DC251" s="1662"/>
      <c r="DD251" s="1662"/>
      <c r="DE251" s="1662"/>
      <c r="DF251" s="1662"/>
      <c r="DG251" s="1662"/>
      <c r="DH251" s="1662"/>
      <c r="DI251" s="1662"/>
      <c r="DJ251" s="1662"/>
      <c r="DK251" s="1662"/>
      <c r="DL251" s="1662"/>
    </row>
    <row r="252" spans="46:116">
      <c r="AT252" s="41"/>
      <c r="AU252" s="41"/>
      <c r="AV252" s="461"/>
      <c r="AW252" s="461" t="s">
        <v>1344</v>
      </c>
      <c r="AX252" s="2489">
        <v>0</v>
      </c>
      <c r="AY252" s="2489">
        <v>0</v>
      </c>
      <c r="AZ252" s="2489">
        <v>0</v>
      </c>
      <c r="BA252" s="2489">
        <v>0</v>
      </c>
      <c r="BB252" s="2489">
        <v>0</v>
      </c>
      <c r="BC252" s="2489">
        <v>0</v>
      </c>
      <c r="BD252" s="2489">
        <v>0</v>
      </c>
      <c r="BE252" s="2489">
        <v>0</v>
      </c>
      <c r="BF252" s="2489">
        <v>0</v>
      </c>
      <c r="BG252" s="2489">
        <v>4</v>
      </c>
      <c r="BH252" s="2489">
        <v>6</v>
      </c>
      <c r="BI252" s="2489">
        <v>3</v>
      </c>
      <c r="BJ252" s="2489">
        <v>15</v>
      </c>
      <c r="BK252" s="2489">
        <v>8</v>
      </c>
      <c r="BL252" s="2489">
        <v>3</v>
      </c>
      <c r="BM252" s="461">
        <v>0</v>
      </c>
      <c r="BN252" s="461">
        <v>0</v>
      </c>
      <c r="BO252" s="461">
        <v>39</v>
      </c>
      <c r="BP252" s="41"/>
      <c r="CS252" s="1663"/>
      <c r="CT252" s="1662"/>
      <c r="CU252" s="1662"/>
      <c r="CV252" s="1662"/>
      <c r="CW252" s="1662"/>
      <c r="CX252" s="1662"/>
      <c r="CY252" s="1662"/>
      <c r="CZ252" s="1662"/>
      <c r="DA252" s="1662"/>
      <c r="DB252" s="1662"/>
      <c r="DC252" s="1662"/>
      <c r="DD252" s="1662"/>
      <c r="DE252" s="1662"/>
      <c r="DF252" s="1662"/>
      <c r="DG252" s="1662"/>
      <c r="DH252" s="1662"/>
      <c r="DI252" s="1662"/>
      <c r="DJ252" s="1662"/>
      <c r="DK252" s="1662"/>
      <c r="DL252" s="1662"/>
    </row>
    <row r="253" spans="46:116" ht="15" thickBot="1">
      <c r="AT253" s="469"/>
      <c r="AU253" s="469"/>
      <c r="AV253" s="465"/>
      <c r="AW253" s="465" t="s">
        <v>113</v>
      </c>
      <c r="AX253" s="2490">
        <v>3</v>
      </c>
      <c r="AY253" s="2490">
        <v>3</v>
      </c>
      <c r="AZ253" s="2490">
        <v>1</v>
      </c>
      <c r="BA253" s="2490">
        <v>4</v>
      </c>
      <c r="BB253" s="2490">
        <v>3</v>
      </c>
      <c r="BC253" s="2490">
        <v>4</v>
      </c>
      <c r="BD253" s="2490">
        <v>2</v>
      </c>
      <c r="BE253" s="2490">
        <v>3</v>
      </c>
      <c r="BF253" s="2490">
        <v>2</v>
      </c>
      <c r="BG253" s="2490">
        <v>35</v>
      </c>
      <c r="BH253" s="2490">
        <v>16</v>
      </c>
      <c r="BI253" s="2490">
        <v>14</v>
      </c>
      <c r="BJ253" s="2490">
        <v>52</v>
      </c>
      <c r="BK253" s="2490">
        <v>68</v>
      </c>
      <c r="BL253" s="2490">
        <v>92</v>
      </c>
      <c r="BM253" s="465">
        <v>16</v>
      </c>
      <c r="BN253" s="465">
        <v>24</v>
      </c>
      <c r="BO253" s="465">
        <v>342</v>
      </c>
      <c r="BP253" s="1645">
        <f>+(BO252+BO251+BO248-BM248)/BO253</f>
        <v>0.31871345029239767</v>
      </c>
      <c r="BQ253" s="2487"/>
      <c r="CT253" s="1662"/>
      <c r="CU253" s="1662"/>
      <c r="CV253" s="1662"/>
      <c r="CW253" s="1662"/>
      <c r="CX253" s="1662"/>
      <c r="CY253" s="1662"/>
      <c r="CZ253" s="1662"/>
      <c r="DA253" s="1662"/>
      <c r="DB253" s="1662"/>
      <c r="DC253" s="1662"/>
      <c r="DD253" s="1662"/>
      <c r="DE253" s="1662"/>
      <c r="DF253" s="1662"/>
      <c r="DG253" s="1662"/>
      <c r="DH253" s="1662"/>
      <c r="DI253" s="1662"/>
      <c r="DJ253" s="1662"/>
      <c r="DK253" s="1662"/>
      <c r="DL253" s="1662"/>
    </row>
    <row r="254" spans="46:116">
      <c r="CT254" s="1662"/>
      <c r="CU254" s="1662"/>
      <c r="CV254" s="1662"/>
      <c r="CW254" s="1662"/>
      <c r="CX254" s="1662"/>
      <c r="CY254" s="1662"/>
      <c r="CZ254" s="1662"/>
      <c r="DA254" s="1662"/>
      <c r="DB254" s="1662"/>
      <c r="DC254" s="1662"/>
      <c r="DD254" s="1662"/>
      <c r="DE254" s="1662"/>
      <c r="DF254" s="1662"/>
      <c r="DG254" s="1662"/>
      <c r="DH254" s="1662"/>
      <c r="DI254" s="1662"/>
      <c r="DJ254" s="1662"/>
      <c r="DK254" s="1662"/>
      <c r="DL254" s="1662"/>
    </row>
    <row r="255" spans="46:116">
      <c r="CT255" s="1662"/>
      <c r="CU255" s="1662"/>
      <c r="CV255" s="1662"/>
      <c r="CW255" s="1662"/>
      <c r="CX255" s="1662"/>
      <c r="CY255" s="1662"/>
      <c r="CZ255" s="1662"/>
      <c r="DA255" s="1662"/>
      <c r="DB255" s="1662"/>
      <c r="DC255" s="1662"/>
      <c r="DD255" s="1662"/>
      <c r="DE255" s="1662"/>
      <c r="DF255" s="1662"/>
      <c r="DG255" s="1662"/>
      <c r="DH255" s="1662"/>
      <c r="DI255" s="1662"/>
      <c r="DJ255" s="1662"/>
      <c r="DK255" s="1662"/>
      <c r="DL255" s="1662"/>
    </row>
    <row r="256" spans="46:116">
      <c r="CT256" s="1662"/>
      <c r="CU256" s="1662"/>
      <c r="CV256" s="1662"/>
      <c r="CW256" s="1662"/>
      <c r="CX256" s="1662"/>
      <c r="CY256" s="1662"/>
      <c r="CZ256" s="1662"/>
      <c r="DA256" s="1662"/>
      <c r="DB256" s="1662"/>
      <c r="DC256" s="1662"/>
      <c r="DD256" s="1662"/>
      <c r="DE256" s="1662"/>
      <c r="DF256" s="1662"/>
      <c r="DG256" s="1662"/>
      <c r="DH256" s="1662"/>
      <c r="DI256" s="1662"/>
      <c r="DJ256" s="1662"/>
      <c r="DK256" s="1662"/>
      <c r="DL256" s="1662"/>
    </row>
    <row r="257" spans="97:116">
      <c r="CT257" s="1662"/>
      <c r="CU257" s="1662"/>
      <c r="CV257" s="1662"/>
      <c r="CW257" s="1662"/>
      <c r="CX257" s="1662"/>
      <c r="CY257" s="1662"/>
      <c r="CZ257" s="1662"/>
      <c r="DA257" s="1662"/>
      <c r="DB257" s="1662"/>
      <c r="DC257" s="1662"/>
      <c r="DD257" s="1662"/>
      <c r="DE257" s="1662"/>
      <c r="DF257" s="1662"/>
      <c r="DG257" s="1662"/>
      <c r="DH257" s="1662"/>
      <c r="DI257" s="1662"/>
      <c r="DJ257" s="1662"/>
      <c r="DK257" s="1662"/>
      <c r="DL257" s="1662"/>
    </row>
    <row r="258" spans="97:116">
      <c r="CS258" s="1663"/>
      <c r="CT258" s="1662"/>
      <c r="CU258" s="1662"/>
      <c r="CV258" s="1662"/>
      <c r="CW258" s="1662"/>
      <c r="CX258" s="1662"/>
      <c r="CY258" s="1662"/>
      <c r="CZ258" s="1662"/>
      <c r="DA258" s="1662"/>
      <c r="DB258" s="1662"/>
      <c r="DC258" s="1662"/>
      <c r="DD258" s="1662"/>
      <c r="DE258" s="1662"/>
      <c r="DF258" s="1662"/>
      <c r="DG258" s="1662"/>
      <c r="DH258" s="1662"/>
      <c r="DI258" s="1662"/>
      <c r="DJ258" s="1662"/>
      <c r="DK258" s="1662"/>
      <c r="DL258" s="1662"/>
    </row>
    <row r="259" spans="97:116">
      <c r="CT259" s="1662"/>
      <c r="CU259" s="1662"/>
      <c r="CV259" s="1662"/>
      <c r="CW259" s="1662"/>
      <c r="CX259" s="1662"/>
      <c r="CY259" s="1662"/>
      <c r="CZ259" s="1662"/>
      <c r="DA259" s="1662"/>
      <c r="DB259" s="1662"/>
      <c r="DC259" s="1662"/>
      <c r="DD259" s="1662"/>
      <c r="DE259" s="1662"/>
      <c r="DF259" s="1662"/>
      <c r="DG259" s="1662"/>
      <c r="DH259" s="1662"/>
      <c r="DI259" s="1662"/>
      <c r="DJ259" s="1662"/>
      <c r="DK259" s="1662"/>
      <c r="DL259" s="1662"/>
    </row>
    <row r="260" spans="97:116">
      <c r="CT260" s="1662"/>
      <c r="CU260" s="1662"/>
      <c r="CV260" s="1662"/>
      <c r="CW260" s="1662"/>
      <c r="CX260" s="1662"/>
      <c r="CY260" s="1662"/>
      <c r="CZ260" s="1662"/>
      <c r="DA260" s="1662"/>
      <c r="DB260" s="1662"/>
      <c r="DC260" s="1662"/>
      <c r="DD260" s="1662"/>
      <c r="DE260" s="1662"/>
      <c r="DF260" s="1662"/>
      <c r="DG260" s="1662"/>
      <c r="DH260" s="1662"/>
      <c r="DI260" s="1662"/>
      <c r="DJ260" s="1662"/>
      <c r="DK260" s="1662"/>
      <c r="DL260" s="1662"/>
    </row>
    <row r="261" spans="97:116">
      <c r="CT261" s="1662"/>
      <c r="CU261" s="1662"/>
      <c r="CV261" s="1662"/>
      <c r="CW261" s="1662"/>
      <c r="CX261" s="1662"/>
      <c r="CY261" s="1662"/>
      <c r="CZ261" s="1662"/>
      <c r="DA261" s="1662"/>
      <c r="DB261" s="1662"/>
      <c r="DC261" s="1662"/>
      <c r="DD261" s="1662"/>
      <c r="DE261" s="1662"/>
      <c r="DF261" s="1662"/>
      <c r="DG261" s="1662"/>
      <c r="DH261" s="1662"/>
      <c r="DI261" s="1662"/>
      <c r="DJ261" s="1662"/>
      <c r="DK261" s="1662"/>
      <c r="DL261" s="1662"/>
    </row>
    <row r="262" spans="97:116">
      <c r="CT262" s="1662"/>
      <c r="CU262" s="1662"/>
      <c r="CV262" s="1662"/>
      <c r="CW262" s="1662"/>
      <c r="CX262" s="1662"/>
      <c r="CY262" s="1662"/>
      <c r="CZ262" s="1662"/>
      <c r="DA262" s="1662"/>
      <c r="DB262" s="1662"/>
      <c r="DC262" s="1662"/>
      <c r="DD262" s="1662"/>
      <c r="DE262" s="1662"/>
      <c r="DF262" s="1662"/>
      <c r="DG262" s="1662"/>
      <c r="DH262" s="1662"/>
      <c r="DI262" s="1662"/>
      <c r="DJ262" s="1662"/>
      <c r="DK262" s="1662"/>
      <c r="DL262" s="1662"/>
    </row>
    <row r="263" spans="97:116">
      <c r="CT263" s="1662"/>
      <c r="CU263" s="1662"/>
      <c r="CV263" s="1662"/>
      <c r="CW263" s="1662"/>
      <c r="CX263" s="1662"/>
      <c r="CY263" s="1662"/>
      <c r="CZ263" s="1662"/>
      <c r="DA263" s="1662"/>
      <c r="DB263" s="1662"/>
      <c r="DC263" s="1662"/>
      <c r="DD263" s="1662"/>
      <c r="DE263" s="1662"/>
      <c r="DF263" s="1662"/>
      <c r="DG263" s="1662"/>
      <c r="DH263" s="1662"/>
      <c r="DI263" s="1662"/>
      <c r="DJ263" s="1662"/>
      <c r="DK263" s="1662"/>
      <c r="DL263" s="1662"/>
    </row>
    <row r="264" spans="97:116">
      <c r="CS264" s="1663"/>
      <c r="CT264" s="1662"/>
      <c r="CU264" s="1662"/>
      <c r="CV264" s="1662"/>
      <c r="CW264" s="1662"/>
      <c r="CX264" s="1662"/>
      <c r="CY264" s="1662"/>
      <c r="CZ264" s="1662"/>
      <c r="DA264" s="1662"/>
      <c r="DB264" s="1662"/>
      <c r="DC264" s="1662"/>
      <c r="DD264" s="1662"/>
      <c r="DE264" s="1662"/>
      <c r="DF264" s="1662"/>
      <c r="DG264" s="1662"/>
      <c r="DH264" s="1662"/>
      <c r="DI264" s="1662"/>
      <c r="DJ264" s="1662"/>
      <c r="DK264" s="1662"/>
      <c r="DL264" s="1662"/>
    </row>
    <row r="265" spans="97:116">
      <c r="CT265" s="1662"/>
      <c r="CU265" s="1662"/>
      <c r="CV265" s="1662"/>
      <c r="CW265" s="1662"/>
      <c r="CX265" s="1662"/>
      <c r="CY265" s="1662"/>
      <c r="CZ265" s="1662"/>
      <c r="DA265" s="1662"/>
      <c r="DB265" s="1662"/>
      <c r="DC265" s="1662"/>
      <c r="DD265" s="1662"/>
      <c r="DE265" s="1662"/>
      <c r="DF265" s="1662"/>
      <c r="DG265" s="1662"/>
      <c r="DH265" s="1662"/>
      <c r="DI265" s="1662"/>
      <c r="DJ265" s="1662"/>
      <c r="DK265" s="1662"/>
      <c r="DL265" s="1662"/>
    </row>
    <row r="266" spans="97:116">
      <c r="CT266" s="1662"/>
      <c r="CU266" s="1662"/>
      <c r="CV266" s="1662"/>
      <c r="CW266" s="1662"/>
      <c r="CX266" s="1662"/>
      <c r="CY266" s="1662"/>
      <c r="CZ266" s="1662"/>
      <c r="DA266" s="1662"/>
      <c r="DB266" s="1662"/>
      <c r="DC266" s="1662"/>
      <c r="DD266" s="1662"/>
      <c r="DE266" s="1662"/>
      <c r="DF266" s="1662"/>
      <c r="DG266" s="1662"/>
      <c r="DH266" s="1662"/>
      <c r="DI266" s="1662"/>
      <c r="DJ266" s="1662"/>
      <c r="DK266" s="1662"/>
      <c r="DL266" s="1662"/>
    </row>
    <row r="267" spans="97:116">
      <c r="CT267" s="1662"/>
      <c r="CU267" s="1662"/>
      <c r="CV267" s="1662"/>
      <c r="CW267" s="1662"/>
      <c r="CX267" s="1662"/>
      <c r="CY267" s="1662"/>
      <c r="CZ267" s="1662"/>
      <c r="DA267" s="1662"/>
      <c r="DB267" s="1662"/>
      <c r="DC267" s="1662"/>
      <c r="DD267" s="1662"/>
      <c r="DE267" s="1662"/>
      <c r="DF267" s="1662"/>
      <c r="DG267" s="1662"/>
      <c r="DH267" s="1662"/>
      <c r="DI267" s="1662"/>
      <c r="DJ267" s="1662"/>
      <c r="DK267" s="1662"/>
      <c r="DL267" s="1662"/>
    </row>
    <row r="268" spans="97:116">
      <c r="CS268" s="1663"/>
      <c r="CT268" s="1662"/>
      <c r="CU268" s="1662"/>
      <c r="CV268" s="1662"/>
      <c r="CW268" s="1662"/>
      <c r="CX268" s="1662"/>
      <c r="CY268" s="1662"/>
      <c r="CZ268" s="1662"/>
      <c r="DA268" s="1662"/>
      <c r="DB268" s="1662"/>
      <c r="DC268" s="1662"/>
      <c r="DD268" s="1662"/>
      <c r="DE268" s="1662"/>
      <c r="DF268" s="1662"/>
      <c r="DG268" s="1662"/>
      <c r="DH268" s="1662"/>
      <c r="DI268" s="1662"/>
      <c r="DJ268" s="1662"/>
      <c r="DK268" s="1662"/>
      <c r="DL268" s="1662"/>
    </row>
    <row r="269" spans="97:116">
      <c r="CT269" s="1662"/>
      <c r="CU269" s="1662"/>
      <c r="CV269" s="1662"/>
      <c r="CW269" s="1662"/>
      <c r="CX269" s="1662"/>
      <c r="CY269" s="1662"/>
      <c r="CZ269" s="1662"/>
      <c r="DA269" s="1662"/>
      <c r="DB269" s="1662"/>
      <c r="DC269" s="1662"/>
      <c r="DD269" s="1662"/>
      <c r="DE269" s="1662"/>
      <c r="DF269" s="1662"/>
      <c r="DG269" s="1662"/>
      <c r="DH269" s="1662"/>
      <c r="DI269" s="1662"/>
      <c r="DJ269" s="1662"/>
      <c r="DK269" s="1662"/>
      <c r="DL269" s="1662"/>
    </row>
    <row r="270" spans="97:116">
      <c r="CT270" s="1662"/>
      <c r="CU270" s="1662"/>
      <c r="CV270" s="1662"/>
      <c r="CW270" s="1662"/>
      <c r="CX270" s="1662"/>
      <c r="CY270" s="1662"/>
      <c r="CZ270" s="1662"/>
      <c r="DA270" s="1662"/>
      <c r="DB270" s="1662"/>
      <c r="DC270" s="1662"/>
      <c r="DD270" s="1662"/>
      <c r="DE270" s="1662"/>
      <c r="DF270" s="1662"/>
      <c r="DG270" s="1662"/>
      <c r="DH270" s="1662"/>
      <c r="DI270" s="1662"/>
      <c r="DJ270" s="1662"/>
      <c r="DK270" s="1662"/>
      <c r="DL270" s="1662"/>
    </row>
    <row r="271" spans="97:116">
      <c r="CT271" s="1662"/>
      <c r="CU271" s="1662"/>
      <c r="CV271" s="1662"/>
      <c r="CW271" s="1662"/>
      <c r="CX271" s="1662"/>
      <c r="CY271" s="1662"/>
      <c r="CZ271" s="1662"/>
      <c r="DA271" s="1662"/>
      <c r="DB271" s="1662"/>
      <c r="DC271" s="1662"/>
      <c r="DD271" s="1662"/>
      <c r="DE271" s="1662"/>
      <c r="DF271" s="1662"/>
      <c r="DG271" s="1662"/>
      <c r="DH271" s="1662"/>
      <c r="DI271" s="1662"/>
      <c r="DJ271" s="1662"/>
      <c r="DK271" s="1662"/>
      <c r="DL271" s="1662"/>
    </row>
    <row r="272" spans="97:116">
      <c r="CT272" s="1662"/>
      <c r="CU272" s="1662"/>
      <c r="CV272" s="1662"/>
      <c r="CW272" s="1662"/>
      <c r="CX272" s="1662"/>
      <c r="CY272" s="1662"/>
      <c r="CZ272" s="1662"/>
      <c r="DA272" s="1662"/>
      <c r="DB272" s="1662"/>
      <c r="DC272" s="1662"/>
      <c r="DD272" s="1662"/>
      <c r="DE272" s="1662"/>
      <c r="DF272" s="1662"/>
      <c r="DG272" s="1662"/>
      <c r="DH272" s="1662"/>
      <c r="DI272" s="1662"/>
      <c r="DJ272" s="1662"/>
      <c r="DK272" s="1662"/>
      <c r="DL272" s="1662"/>
    </row>
    <row r="273" spans="97:116">
      <c r="CT273" s="1662"/>
      <c r="CU273" s="1662"/>
      <c r="CV273" s="1662"/>
      <c r="CW273" s="1662"/>
      <c r="CX273" s="1662"/>
      <c r="CY273" s="1662"/>
      <c r="CZ273" s="1662"/>
      <c r="DA273" s="1662"/>
      <c r="DB273" s="1662"/>
      <c r="DC273" s="1662"/>
      <c r="DD273" s="1662"/>
      <c r="DE273" s="1662"/>
      <c r="DF273" s="1662"/>
      <c r="DG273" s="1662"/>
      <c r="DH273" s="1662"/>
      <c r="DI273" s="1662"/>
      <c r="DJ273" s="1662"/>
      <c r="DK273" s="1662"/>
      <c r="DL273" s="1662"/>
    </row>
    <row r="274" spans="97:116">
      <c r="CT274" s="1662"/>
      <c r="CU274" s="1662"/>
      <c r="CV274" s="1662"/>
      <c r="CW274" s="1662"/>
      <c r="CX274" s="1662"/>
      <c r="CY274" s="1662"/>
      <c r="CZ274" s="1662"/>
      <c r="DA274" s="1662"/>
      <c r="DB274" s="1662"/>
      <c r="DC274" s="1662"/>
      <c r="DD274" s="1662"/>
      <c r="DE274" s="1662"/>
      <c r="DF274" s="1662"/>
      <c r="DG274" s="1662"/>
      <c r="DH274" s="1662"/>
      <c r="DI274" s="1662"/>
      <c r="DJ274" s="1662"/>
      <c r="DK274" s="1662"/>
      <c r="DL274" s="1662"/>
    </row>
    <row r="275" spans="97:116">
      <c r="CS275" s="1663"/>
      <c r="CT275" s="1662"/>
      <c r="CU275" s="1662"/>
      <c r="CV275" s="1662"/>
      <c r="CW275" s="1662"/>
      <c r="CX275" s="1662"/>
      <c r="CY275" s="1662"/>
      <c r="CZ275" s="1662"/>
      <c r="DA275" s="1662"/>
      <c r="DB275" s="1662"/>
      <c r="DC275" s="1662"/>
      <c r="DD275" s="1662"/>
      <c r="DE275" s="1662"/>
      <c r="DF275" s="1662"/>
      <c r="DG275" s="1662"/>
      <c r="DH275" s="1662"/>
      <c r="DI275" s="1662"/>
      <c r="DJ275" s="1662"/>
      <c r="DK275" s="1662"/>
      <c r="DL275" s="1662"/>
    </row>
    <row r="276" spans="97:116">
      <c r="CT276" s="1662"/>
      <c r="CU276" s="1662"/>
      <c r="CV276" s="1662"/>
      <c r="CW276" s="1662"/>
      <c r="CX276" s="1662"/>
      <c r="CY276" s="1662"/>
      <c r="CZ276" s="1662"/>
      <c r="DA276" s="1662"/>
      <c r="DB276" s="1662"/>
      <c r="DC276" s="1662"/>
      <c r="DD276" s="1662"/>
      <c r="DE276" s="1662"/>
      <c r="DF276" s="1662"/>
      <c r="DG276" s="1662"/>
      <c r="DH276" s="1662"/>
      <c r="DI276" s="1662"/>
      <c r="DJ276" s="1662"/>
      <c r="DK276" s="1662"/>
      <c r="DL276" s="1662"/>
    </row>
    <row r="277" spans="97:116">
      <c r="CT277" s="1662"/>
      <c r="CU277" s="1662"/>
      <c r="CV277" s="1662"/>
      <c r="CW277" s="1662"/>
      <c r="CX277" s="1662"/>
      <c r="CY277" s="1662"/>
      <c r="CZ277" s="1662"/>
      <c r="DA277" s="1662"/>
      <c r="DB277" s="1662"/>
      <c r="DC277" s="1662"/>
      <c r="DD277" s="1662"/>
      <c r="DE277" s="1662"/>
      <c r="DF277" s="1662"/>
      <c r="DG277" s="1662"/>
      <c r="DH277" s="1662"/>
      <c r="DI277" s="1662"/>
      <c r="DJ277" s="1662"/>
      <c r="DK277" s="1662"/>
      <c r="DL277" s="1662"/>
    </row>
    <row r="278" spans="97:116">
      <c r="CT278" s="1662"/>
      <c r="CU278" s="1662"/>
      <c r="CV278" s="1662"/>
      <c r="CW278" s="1662"/>
      <c r="CX278" s="1662"/>
      <c r="CY278" s="1662"/>
      <c r="CZ278" s="1662"/>
      <c r="DA278" s="1662"/>
      <c r="DB278" s="1662"/>
      <c r="DC278" s="1662"/>
      <c r="DD278" s="1662"/>
      <c r="DE278" s="1662"/>
      <c r="DF278" s="1662"/>
      <c r="DG278" s="1662"/>
      <c r="DH278" s="1662"/>
      <c r="DI278" s="1662"/>
      <c r="DJ278" s="1662"/>
      <c r="DK278" s="1662"/>
      <c r="DL278" s="1662"/>
    </row>
    <row r="279" spans="97:116">
      <c r="CT279" s="1662"/>
      <c r="CU279" s="1662"/>
      <c r="CV279" s="1662"/>
      <c r="CW279" s="1662"/>
      <c r="CX279" s="1662"/>
      <c r="CY279" s="1662"/>
      <c r="CZ279" s="1662"/>
      <c r="DA279" s="1662"/>
      <c r="DB279" s="1662"/>
      <c r="DC279" s="1662"/>
      <c r="DD279" s="1662"/>
      <c r="DE279" s="1662"/>
      <c r="DF279" s="1662"/>
      <c r="DG279" s="1662"/>
      <c r="DH279" s="1662"/>
      <c r="DI279" s="1662"/>
      <c r="DJ279" s="1662"/>
      <c r="DK279" s="1662"/>
      <c r="DL279" s="1662"/>
    </row>
    <row r="280" spans="97:116">
      <c r="CS280" s="1663"/>
      <c r="CT280" s="1662"/>
      <c r="CU280" s="1662"/>
      <c r="CV280" s="1662"/>
      <c r="CW280" s="1662"/>
      <c r="CX280" s="1662"/>
      <c r="CY280" s="1662"/>
      <c r="CZ280" s="1662"/>
      <c r="DA280" s="1662"/>
      <c r="DB280" s="1662"/>
      <c r="DC280" s="1662"/>
      <c r="DD280" s="1662"/>
      <c r="DE280" s="1662"/>
      <c r="DF280" s="1662"/>
      <c r="DG280" s="1662"/>
      <c r="DH280" s="1662"/>
      <c r="DI280" s="1662"/>
      <c r="DJ280" s="1662"/>
      <c r="DK280" s="1662"/>
      <c r="DL280" s="1662"/>
    </row>
    <row r="281" spans="97:116">
      <c r="CT281" s="1662"/>
      <c r="CU281" s="1662"/>
      <c r="CV281" s="1662"/>
      <c r="CW281" s="1662"/>
      <c r="CX281" s="1662"/>
      <c r="CY281" s="1662"/>
      <c r="CZ281" s="1662"/>
      <c r="DA281" s="1662"/>
      <c r="DB281" s="1662"/>
      <c r="DC281" s="1662"/>
      <c r="DD281" s="1662"/>
      <c r="DE281" s="1662"/>
      <c r="DF281" s="1662"/>
      <c r="DG281" s="1662"/>
      <c r="DH281" s="1662"/>
      <c r="DI281" s="1662"/>
      <c r="DJ281" s="1662"/>
      <c r="DK281" s="1662"/>
      <c r="DL281" s="1662"/>
    </row>
    <row r="282" spans="97:116">
      <c r="CT282" s="1662"/>
      <c r="CU282" s="1662"/>
      <c r="CV282" s="1662"/>
      <c r="CW282" s="1662"/>
      <c r="CX282" s="1662"/>
      <c r="CY282" s="1662"/>
      <c r="CZ282" s="1662"/>
      <c r="DA282" s="1662"/>
      <c r="DB282" s="1662"/>
      <c r="DC282" s="1662"/>
      <c r="DD282" s="1662"/>
      <c r="DE282" s="1662"/>
      <c r="DF282" s="1662"/>
      <c r="DG282" s="1662"/>
      <c r="DH282" s="1662"/>
      <c r="DI282" s="1662"/>
      <c r="DJ282" s="1662"/>
      <c r="DK282" s="1662"/>
      <c r="DL282" s="1662"/>
    </row>
    <row r="283" spans="97:116">
      <c r="CT283" s="1662"/>
      <c r="CU283" s="1662"/>
      <c r="CV283" s="1662"/>
      <c r="CW283" s="1662"/>
      <c r="CX283" s="1662"/>
      <c r="CY283" s="1662"/>
      <c r="CZ283" s="1662"/>
      <c r="DA283" s="1662"/>
      <c r="DB283" s="1662"/>
      <c r="DC283" s="1662"/>
      <c r="DD283" s="1662"/>
      <c r="DE283" s="1662"/>
      <c r="DF283" s="1662"/>
      <c r="DG283" s="1662"/>
      <c r="DH283" s="1662"/>
      <c r="DI283" s="1662"/>
      <c r="DJ283" s="1662"/>
      <c r="DK283" s="1662"/>
      <c r="DL283" s="1662"/>
    </row>
    <row r="284" spans="97:116">
      <c r="CT284" s="1662"/>
      <c r="CU284" s="1662"/>
      <c r="CV284" s="1662"/>
      <c r="CW284" s="1662"/>
      <c r="CX284" s="1662"/>
      <c r="CY284" s="1662"/>
      <c r="CZ284" s="1662"/>
      <c r="DA284" s="1662"/>
      <c r="DB284" s="1662"/>
      <c r="DC284" s="1662"/>
      <c r="DD284" s="1662"/>
      <c r="DE284" s="1662"/>
      <c r="DF284" s="1662"/>
      <c r="DG284" s="1662"/>
      <c r="DH284" s="1662"/>
      <c r="DI284" s="1662"/>
      <c r="DJ284" s="1662"/>
      <c r="DK284" s="1662"/>
      <c r="DL284" s="1662"/>
    </row>
    <row r="285" spans="97:116">
      <c r="CS285" s="1663"/>
      <c r="CT285" s="1662"/>
      <c r="CU285" s="1662"/>
      <c r="CV285" s="1662"/>
      <c r="CW285" s="1662"/>
      <c r="CX285" s="1662"/>
      <c r="CY285" s="1662"/>
      <c r="CZ285" s="1662"/>
      <c r="DA285" s="1662"/>
      <c r="DB285" s="1662"/>
      <c r="DC285" s="1662"/>
      <c r="DD285" s="1662"/>
      <c r="DE285" s="1662"/>
      <c r="DF285" s="1662"/>
      <c r="DG285" s="1662"/>
      <c r="DH285" s="1662"/>
      <c r="DI285" s="1662"/>
      <c r="DJ285" s="1662"/>
      <c r="DK285" s="1662"/>
      <c r="DL285" s="1662"/>
    </row>
    <row r="286" spans="97:116">
      <c r="CT286" s="1662"/>
      <c r="CU286" s="1662"/>
      <c r="CV286" s="1662"/>
      <c r="CW286" s="1662"/>
      <c r="CX286" s="1662"/>
      <c r="CY286" s="1662"/>
      <c r="CZ286" s="1662"/>
      <c r="DA286" s="1662"/>
      <c r="DB286" s="1662"/>
      <c r="DC286" s="1662"/>
      <c r="DD286" s="1662"/>
      <c r="DE286" s="1662"/>
      <c r="DF286" s="1662"/>
      <c r="DG286" s="1662"/>
      <c r="DH286" s="1662"/>
      <c r="DI286" s="1662"/>
      <c r="DJ286" s="1662"/>
      <c r="DK286" s="1662"/>
      <c r="DL286" s="1662"/>
    </row>
    <row r="287" spans="97:116">
      <c r="CT287" s="1662"/>
      <c r="CU287" s="1662"/>
      <c r="CV287" s="1662"/>
      <c r="CW287" s="1662"/>
      <c r="CX287" s="1662"/>
      <c r="CY287" s="1662"/>
      <c r="CZ287" s="1662"/>
      <c r="DA287" s="1662"/>
      <c r="DB287" s="1662"/>
      <c r="DC287" s="1662"/>
      <c r="DD287" s="1662"/>
      <c r="DE287" s="1662"/>
      <c r="DF287" s="1662"/>
      <c r="DG287" s="1662"/>
      <c r="DH287" s="1662"/>
      <c r="DI287" s="1662"/>
      <c r="DJ287" s="1662"/>
      <c r="DK287" s="1662"/>
      <c r="DL287" s="1662"/>
    </row>
    <row r="288" spans="97:116">
      <c r="CT288" s="1662"/>
      <c r="CU288" s="1662"/>
      <c r="CV288" s="1662"/>
      <c r="CW288" s="1662"/>
      <c r="CX288" s="1662"/>
      <c r="CY288" s="1662"/>
      <c r="CZ288" s="1662"/>
      <c r="DA288" s="1662"/>
      <c r="DB288" s="1662"/>
      <c r="DC288" s="1662"/>
      <c r="DD288" s="1662"/>
      <c r="DE288" s="1662"/>
      <c r="DF288" s="1662"/>
      <c r="DG288" s="1662"/>
      <c r="DH288" s="1662"/>
      <c r="DI288" s="1662"/>
      <c r="DJ288" s="1662"/>
      <c r="DK288" s="1662"/>
      <c r="DL288" s="1662"/>
    </row>
    <row r="289" spans="97:116">
      <c r="CT289" s="1662"/>
      <c r="CU289" s="1662"/>
      <c r="CV289" s="1662"/>
      <c r="CW289" s="1662"/>
      <c r="CX289" s="1662"/>
      <c r="CY289" s="1662"/>
      <c r="CZ289" s="1662"/>
      <c r="DA289" s="1662"/>
      <c r="DB289" s="1662"/>
      <c r="DC289" s="1662"/>
      <c r="DD289" s="1662"/>
      <c r="DE289" s="1662"/>
      <c r="DF289" s="1662"/>
      <c r="DG289" s="1662"/>
      <c r="DH289" s="1662"/>
      <c r="DI289" s="1662"/>
      <c r="DJ289" s="1662"/>
      <c r="DK289" s="1662"/>
      <c r="DL289" s="1662"/>
    </row>
    <row r="290" spans="97:116">
      <c r="CT290" s="1662"/>
      <c r="CU290" s="1662"/>
      <c r="CV290" s="1662"/>
      <c r="CW290" s="1662"/>
      <c r="CX290" s="1662"/>
      <c r="CY290" s="1662"/>
      <c r="CZ290" s="1662"/>
      <c r="DA290" s="1662"/>
      <c r="DB290" s="1662"/>
      <c r="DC290" s="1662"/>
      <c r="DD290" s="1662"/>
      <c r="DE290" s="1662"/>
      <c r="DF290" s="1662"/>
      <c r="DG290" s="1662"/>
      <c r="DH290" s="1662"/>
      <c r="DI290" s="1662"/>
      <c r="DJ290" s="1662"/>
      <c r="DK290" s="1662"/>
      <c r="DL290" s="1662"/>
    </row>
    <row r="291" spans="97:116">
      <c r="CT291" s="1662"/>
      <c r="CU291" s="1662"/>
      <c r="CV291" s="1662"/>
      <c r="CW291" s="1662"/>
      <c r="CX291" s="1662"/>
      <c r="CY291" s="1662"/>
      <c r="CZ291" s="1662"/>
      <c r="DA291" s="1662"/>
      <c r="DB291" s="1662"/>
      <c r="DC291" s="1662"/>
      <c r="DD291" s="1662"/>
      <c r="DE291" s="1662"/>
      <c r="DF291" s="1662"/>
      <c r="DG291" s="1662"/>
      <c r="DH291" s="1662"/>
      <c r="DI291" s="1662"/>
      <c r="DJ291" s="1662"/>
      <c r="DK291" s="1662"/>
      <c r="DL291" s="1662"/>
    </row>
    <row r="292" spans="97:116">
      <c r="CS292" s="1663"/>
      <c r="CT292" s="1662"/>
      <c r="CU292" s="1662"/>
      <c r="CV292" s="1662"/>
      <c r="CW292" s="1662"/>
      <c r="CX292" s="1662"/>
      <c r="CY292" s="1662"/>
      <c r="CZ292" s="1662"/>
      <c r="DA292" s="1662"/>
      <c r="DB292" s="1662"/>
      <c r="DC292" s="1662"/>
      <c r="DD292" s="1662"/>
      <c r="DE292" s="1662"/>
      <c r="DF292" s="1662"/>
      <c r="DG292" s="1662"/>
      <c r="DH292" s="1662"/>
      <c r="DI292" s="1662"/>
      <c r="DJ292" s="1662"/>
      <c r="DK292" s="1662"/>
      <c r="DL292" s="1662"/>
    </row>
    <row r="293" spans="97:116">
      <c r="CT293" s="1662"/>
      <c r="CU293" s="1662"/>
      <c r="CV293" s="1662"/>
      <c r="CW293" s="1662"/>
      <c r="CX293" s="1662"/>
      <c r="CY293" s="1662"/>
      <c r="CZ293" s="1662"/>
      <c r="DA293" s="1662"/>
      <c r="DB293" s="1662"/>
      <c r="DC293" s="1662"/>
      <c r="DD293" s="1662"/>
      <c r="DE293" s="1662"/>
      <c r="DF293" s="1662"/>
      <c r="DG293" s="1662"/>
      <c r="DH293" s="1662"/>
      <c r="DI293" s="1662"/>
      <c r="DJ293" s="1662"/>
      <c r="DK293" s="1662"/>
      <c r="DL293" s="1662"/>
    </row>
    <row r="294" spans="97:116">
      <c r="CT294" s="1662"/>
      <c r="CU294" s="1662"/>
      <c r="CV294" s="1662"/>
      <c r="CW294" s="1662"/>
      <c r="CX294" s="1662"/>
      <c r="CY294" s="1662"/>
      <c r="CZ294" s="1662"/>
      <c r="DA294" s="1662"/>
      <c r="DB294" s="1662"/>
      <c r="DC294" s="1662"/>
      <c r="DD294" s="1662"/>
      <c r="DE294" s="1662"/>
      <c r="DF294" s="1662"/>
      <c r="DG294" s="1662"/>
      <c r="DH294" s="1662"/>
      <c r="DI294" s="1662"/>
      <c r="DJ294" s="1662"/>
      <c r="DK294" s="1662"/>
      <c r="DL294" s="1662"/>
    </row>
    <row r="295" spans="97:116">
      <c r="CT295" s="1662"/>
      <c r="CU295" s="1662"/>
      <c r="CV295" s="1662"/>
      <c r="CW295" s="1662"/>
      <c r="CX295" s="1662"/>
      <c r="CY295" s="1662"/>
      <c r="CZ295" s="1662"/>
      <c r="DA295" s="1662"/>
      <c r="DB295" s="1662"/>
      <c r="DC295" s="1662"/>
      <c r="DD295" s="1662"/>
      <c r="DE295" s="1662"/>
      <c r="DF295" s="1662"/>
      <c r="DG295" s="1662"/>
      <c r="DH295" s="1662"/>
      <c r="DI295" s="1662"/>
      <c r="DJ295" s="1662"/>
      <c r="DK295" s="1662"/>
      <c r="DL295" s="1662"/>
    </row>
    <row r="296" spans="97:116">
      <c r="CT296" s="1662"/>
      <c r="CU296" s="1662"/>
      <c r="CV296" s="1662"/>
      <c r="CW296" s="1662"/>
      <c r="CX296" s="1662"/>
      <c r="CY296" s="1662"/>
      <c r="CZ296" s="1662"/>
      <c r="DA296" s="1662"/>
      <c r="DB296" s="1662"/>
      <c r="DC296" s="1662"/>
      <c r="DD296" s="1662"/>
      <c r="DE296" s="1662"/>
      <c r="DF296" s="1662"/>
      <c r="DG296" s="1662"/>
      <c r="DH296" s="1662"/>
      <c r="DI296" s="1662"/>
      <c r="DJ296" s="1662"/>
      <c r="DK296" s="1662"/>
      <c r="DL296" s="1662"/>
    </row>
    <row r="297" spans="97:116">
      <c r="CT297" s="1662"/>
      <c r="CU297" s="1662"/>
      <c r="CV297" s="1662"/>
      <c r="CW297" s="1662"/>
      <c r="CX297" s="1662"/>
      <c r="CY297" s="1662"/>
      <c r="CZ297" s="1662"/>
      <c r="DA297" s="1662"/>
      <c r="DB297" s="1662"/>
      <c r="DC297" s="1662"/>
      <c r="DD297" s="1662"/>
      <c r="DE297" s="1662"/>
      <c r="DF297" s="1662"/>
      <c r="DG297" s="1662"/>
      <c r="DH297" s="1662"/>
      <c r="DI297" s="1662"/>
      <c r="DJ297" s="1662"/>
      <c r="DK297" s="1662"/>
      <c r="DL297" s="1662"/>
    </row>
    <row r="298" spans="97:116">
      <c r="CS298" s="1663"/>
      <c r="CT298" s="1662"/>
      <c r="CU298" s="1662"/>
      <c r="CV298" s="1662"/>
      <c r="CW298" s="1662"/>
      <c r="CX298" s="1662"/>
      <c r="CY298" s="1662"/>
      <c r="CZ298" s="1662"/>
      <c r="DA298" s="1662"/>
      <c r="DB298" s="1662"/>
      <c r="DC298" s="1662"/>
      <c r="DD298" s="1662"/>
      <c r="DE298" s="1662"/>
      <c r="DF298" s="1662"/>
      <c r="DG298" s="1662"/>
      <c r="DH298" s="1662"/>
      <c r="DI298" s="1662"/>
      <c r="DJ298" s="1662"/>
      <c r="DK298" s="1662"/>
      <c r="DL298" s="1662"/>
    </row>
    <row r="299" spans="97:116">
      <c r="CT299" s="1662"/>
      <c r="CU299" s="1662"/>
      <c r="CV299" s="1662"/>
      <c r="CW299" s="1662"/>
      <c r="CX299" s="1662"/>
      <c r="CY299" s="1662"/>
      <c r="CZ299" s="1662"/>
      <c r="DA299" s="1662"/>
      <c r="DB299" s="1662"/>
      <c r="DC299" s="1662"/>
      <c r="DD299" s="1662"/>
      <c r="DE299" s="1662"/>
      <c r="DF299" s="1662"/>
      <c r="DG299" s="1662"/>
      <c r="DH299" s="1662"/>
      <c r="DI299" s="1662"/>
      <c r="DJ299" s="1662"/>
      <c r="DK299" s="1662"/>
      <c r="DL299" s="1662"/>
    </row>
    <row r="300" spans="97:116">
      <c r="CT300" s="1662"/>
      <c r="CU300" s="1662"/>
      <c r="CV300" s="1662"/>
      <c r="CW300" s="1662"/>
      <c r="CX300" s="1662"/>
      <c r="CY300" s="1662"/>
      <c r="CZ300" s="1662"/>
      <c r="DA300" s="1662"/>
      <c r="DB300" s="1662"/>
      <c r="DC300" s="1662"/>
      <c r="DD300" s="1662"/>
      <c r="DE300" s="1662"/>
      <c r="DF300" s="1662"/>
      <c r="DG300" s="1662"/>
      <c r="DH300" s="1662"/>
      <c r="DI300" s="1662"/>
      <c r="DJ300" s="1662"/>
      <c r="DK300" s="1662"/>
      <c r="DL300" s="1662"/>
    </row>
    <row r="301" spans="97:116">
      <c r="CT301" s="1662"/>
      <c r="CU301" s="1662"/>
      <c r="CV301" s="1662"/>
      <c r="CW301" s="1662"/>
      <c r="CX301" s="1662"/>
      <c r="CY301" s="1662"/>
      <c r="CZ301" s="1662"/>
      <c r="DA301" s="1662"/>
      <c r="DB301" s="1662"/>
      <c r="DC301" s="1662"/>
      <c r="DD301" s="1662"/>
      <c r="DE301" s="1662"/>
      <c r="DF301" s="1662"/>
      <c r="DG301" s="1662"/>
      <c r="DH301" s="1662"/>
      <c r="DI301" s="1662"/>
      <c r="DJ301" s="1662"/>
      <c r="DK301" s="1662"/>
      <c r="DL301" s="1662"/>
    </row>
    <row r="302" spans="97:116">
      <c r="CT302" s="1662"/>
      <c r="CU302" s="1662"/>
      <c r="CV302" s="1662"/>
      <c r="CW302" s="1662"/>
      <c r="CX302" s="1662"/>
      <c r="CY302" s="1662"/>
      <c r="CZ302" s="1662"/>
      <c r="DA302" s="1662"/>
      <c r="DB302" s="1662"/>
      <c r="DC302" s="1662"/>
      <c r="DD302" s="1662"/>
      <c r="DE302" s="1662"/>
      <c r="DF302" s="1662"/>
      <c r="DG302" s="1662"/>
      <c r="DH302" s="1662"/>
      <c r="DI302" s="1662"/>
      <c r="DJ302" s="1662"/>
      <c r="DK302" s="1662"/>
      <c r="DL302" s="1662"/>
    </row>
    <row r="303" spans="97:116">
      <c r="CT303" s="1662"/>
      <c r="CU303" s="1662"/>
      <c r="CV303" s="1662"/>
      <c r="CW303" s="1662"/>
      <c r="CX303" s="1662"/>
      <c r="CY303" s="1662"/>
      <c r="CZ303" s="1662"/>
      <c r="DA303" s="1662"/>
      <c r="DB303" s="1662"/>
      <c r="DC303" s="1662"/>
      <c r="DD303" s="1662"/>
      <c r="DE303" s="1662"/>
      <c r="DF303" s="1662"/>
      <c r="DG303" s="1662"/>
      <c r="DH303" s="1662"/>
      <c r="DI303" s="1662"/>
      <c r="DJ303" s="1662"/>
      <c r="DK303" s="1662"/>
      <c r="DL303" s="1662"/>
    </row>
    <row r="304" spans="97:116">
      <c r="CS304" s="1663"/>
      <c r="CT304" s="1662"/>
      <c r="CU304" s="1662"/>
      <c r="CV304" s="1662"/>
      <c r="CW304" s="1662"/>
      <c r="CX304" s="1662"/>
      <c r="CY304" s="1662"/>
      <c r="CZ304" s="1662"/>
      <c r="DA304" s="1662"/>
      <c r="DB304" s="1662"/>
      <c r="DC304" s="1662"/>
      <c r="DD304" s="1662"/>
      <c r="DE304" s="1662"/>
      <c r="DF304" s="1662"/>
      <c r="DG304" s="1662"/>
      <c r="DH304" s="1662"/>
      <c r="DI304" s="1662"/>
      <c r="DJ304" s="1662"/>
      <c r="DK304" s="1662"/>
      <c r="DL304" s="1662"/>
    </row>
    <row r="305" spans="97:116">
      <c r="CT305" s="1662"/>
      <c r="CU305" s="1662"/>
      <c r="CV305" s="1662"/>
      <c r="CW305" s="1662"/>
      <c r="CX305" s="1662"/>
      <c r="CY305" s="1662"/>
      <c r="CZ305" s="1662"/>
      <c r="DA305" s="1662"/>
      <c r="DB305" s="1662"/>
      <c r="DC305" s="1662"/>
      <c r="DD305" s="1662"/>
      <c r="DE305" s="1662"/>
      <c r="DF305" s="1662"/>
      <c r="DG305" s="1662"/>
      <c r="DH305" s="1662"/>
      <c r="DI305" s="1662"/>
      <c r="DJ305" s="1662"/>
      <c r="DK305" s="1662"/>
      <c r="DL305" s="1662"/>
    </row>
    <row r="306" spans="97:116">
      <c r="CT306" s="1662"/>
      <c r="CU306" s="1662"/>
      <c r="CV306" s="1662"/>
      <c r="CW306" s="1662"/>
      <c r="CX306" s="1662"/>
      <c r="CY306" s="1662"/>
      <c r="CZ306" s="1662"/>
      <c r="DA306" s="1662"/>
      <c r="DB306" s="1662"/>
      <c r="DC306" s="1662"/>
      <c r="DD306" s="1662"/>
      <c r="DE306" s="1662"/>
      <c r="DF306" s="1662"/>
      <c r="DG306" s="1662"/>
      <c r="DH306" s="1662"/>
      <c r="DI306" s="1662"/>
      <c r="DJ306" s="1662"/>
      <c r="DK306" s="1662"/>
      <c r="DL306" s="1662"/>
    </row>
    <row r="307" spans="97:116">
      <c r="CT307" s="1662"/>
      <c r="CU307" s="1662"/>
      <c r="CV307" s="1662"/>
      <c r="CW307" s="1662"/>
      <c r="CX307" s="1662"/>
      <c r="CY307" s="1662"/>
      <c r="CZ307" s="1662"/>
      <c r="DA307" s="1662"/>
      <c r="DB307" s="1662"/>
      <c r="DC307" s="1662"/>
      <c r="DD307" s="1662"/>
      <c r="DE307" s="1662"/>
      <c r="DF307" s="1662"/>
      <c r="DG307" s="1662"/>
      <c r="DH307" s="1662"/>
      <c r="DI307" s="1662"/>
      <c r="DJ307" s="1662"/>
      <c r="DK307" s="1662"/>
      <c r="DL307" s="1662"/>
    </row>
    <row r="308" spans="97:116">
      <c r="CT308" s="1662"/>
      <c r="CU308" s="1662"/>
      <c r="CV308" s="1662"/>
      <c r="CW308" s="1662"/>
      <c r="CX308" s="1662"/>
      <c r="CY308" s="1662"/>
      <c r="CZ308" s="1662"/>
      <c r="DA308" s="1662"/>
      <c r="DB308" s="1662"/>
      <c r="DC308" s="1662"/>
      <c r="DD308" s="1662"/>
      <c r="DE308" s="1662"/>
      <c r="DF308" s="1662"/>
      <c r="DG308" s="1662"/>
      <c r="DH308" s="1662"/>
      <c r="DI308" s="1662"/>
      <c r="DJ308" s="1662"/>
      <c r="DK308" s="1662"/>
      <c r="DL308" s="1662"/>
    </row>
    <row r="309" spans="97:116">
      <c r="CS309" s="1663"/>
      <c r="CT309" s="1662"/>
      <c r="CU309" s="1662"/>
      <c r="CV309" s="1662"/>
      <c r="CW309" s="1662"/>
      <c r="CX309" s="1662"/>
      <c r="CY309" s="1662"/>
      <c r="CZ309" s="1662"/>
      <c r="DA309" s="1662"/>
      <c r="DB309" s="1662"/>
      <c r="DC309" s="1662"/>
      <c r="DD309" s="1662"/>
      <c r="DE309" s="1662"/>
      <c r="DF309" s="1662"/>
      <c r="DG309" s="1662"/>
      <c r="DH309" s="1662"/>
      <c r="DI309" s="1662"/>
      <c r="DJ309" s="1662"/>
      <c r="DK309" s="1662"/>
      <c r="DL309" s="1662"/>
    </row>
    <row r="310" spans="97:116">
      <c r="CT310" s="1662"/>
      <c r="CU310" s="1662"/>
      <c r="CV310" s="1662"/>
      <c r="CW310" s="1662"/>
      <c r="CX310" s="1662"/>
      <c r="CY310" s="1662"/>
      <c r="CZ310" s="1662"/>
      <c r="DA310" s="1662"/>
      <c r="DB310" s="1662"/>
      <c r="DC310" s="1662"/>
      <c r="DD310" s="1662"/>
      <c r="DE310" s="1662"/>
      <c r="DF310" s="1662"/>
      <c r="DG310" s="1662"/>
      <c r="DH310" s="1662"/>
      <c r="DI310" s="1662"/>
      <c r="DJ310" s="1662"/>
      <c r="DK310" s="1662"/>
      <c r="DL310" s="1662"/>
    </row>
    <row r="311" spans="97:116">
      <c r="CT311" s="1662"/>
      <c r="CU311" s="1662"/>
      <c r="CV311" s="1662"/>
      <c r="CW311" s="1662"/>
      <c r="CX311" s="1662"/>
      <c r="CY311" s="1662"/>
      <c r="CZ311" s="1662"/>
      <c r="DA311" s="1662"/>
      <c r="DB311" s="1662"/>
      <c r="DC311" s="1662"/>
      <c r="DD311" s="1662"/>
      <c r="DE311" s="1662"/>
      <c r="DF311" s="1662"/>
      <c r="DG311" s="1662"/>
      <c r="DH311" s="1662"/>
      <c r="DI311" s="1662"/>
      <c r="DJ311" s="1662"/>
      <c r="DK311" s="1662"/>
      <c r="DL311" s="1662"/>
    </row>
    <row r="312" spans="97:116">
      <c r="CT312" s="1662"/>
      <c r="CU312" s="1662"/>
      <c r="CV312" s="1662"/>
      <c r="CW312" s="1662"/>
      <c r="CX312" s="1662"/>
      <c r="CY312" s="1662"/>
      <c r="CZ312" s="1662"/>
      <c r="DA312" s="1662"/>
      <c r="DB312" s="1662"/>
      <c r="DC312" s="1662"/>
      <c r="DD312" s="1662"/>
      <c r="DE312" s="1662"/>
      <c r="DF312" s="1662"/>
      <c r="DG312" s="1662"/>
      <c r="DH312" s="1662"/>
      <c r="DI312" s="1662"/>
      <c r="DJ312" s="1662"/>
      <c r="DK312" s="1662"/>
      <c r="DL312" s="1662"/>
    </row>
    <row r="313" spans="97:116">
      <c r="CT313" s="1662"/>
      <c r="CU313" s="1662"/>
      <c r="CV313" s="1662"/>
      <c r="CW313" s="1662"/>
      <c r="CX313" s="1662"/>
      <c r="CY313" s="1662"/>
      <c r="CZ313" s="1662"/>
      <c r="DA313" s="1662"/>
      <c r="DB313" s="1662"/>
      <c r="DC313" s="1662"/>
      <c r="DD313" s="1662"/>
      <c r="DE313" s="1662"/>
      <c r="DF313" s="1662"/>
      <c r="DG313" s="1662"/>
      <c r="DH313" s="1662"/>
      <c r="DI313" s="1662"/>
      <c r="DJ313" s="1662"/>
      <c r="DK313" s="1662"/>
      <c r="DL313" s="1662"/>
    </row>
    <row r="314" spans="97:116">
      <c r="CS314" s="1663"/>
      <c r="CT314" s="1662"/>
      <c r="CU314" s="1662"/>
      <c r="CV314" s="1662"/>
      <c r="CW314" s="1662"/>
      <c r="CX314" s="1662"/>
      <c r="CY314" s="1662"/>
      <c r="CZ314" s="1662"/>
      <c r="DA314" s="1662"/>
      <c r="DB314" s="1662"/>
      <c r="DC314" s="1662"/>
      <c r="DD314" s="1662"/>
      <c r="DE314" s="1662"/>
      <c r="DF314" s="1662"/>
      <c r="DG314" s="1662"/>
      <c r="DH314" s="1662"/>
      <c r="DI314" s="1662"/>
      <c r="DJ314" s="1662"/>
      <c r="DK314" s="1662"/>
      <c r="DL314" s="1662"/>
    </row>
    <row r="315" spans="97:116">
      <c r="CT315" s="1662"/>
      <c r="CU315" s="1662"/>
      <c r="CV315" s="1662"/>
      <c r="CW315" s="1662"/>
      <c r="CX315" s="1662"/>
      <c r="CY315" s="1662"/>
      <c r="CZ315" s="1662"/>
      <c r="DA315" s="1662"/>
      <c r="DB315" s="1662"/>
      <c r="DC315" s="1662"/>
      <c r="DD315" s="1662"/>
      <c r="DE315" s="1662"/>
      <c r="DF315" s="1662"/>
      <c r="DG315" s="1662"/>
      <c r="DH315" s="1662"/>
      <c r="DI315" s="1662"/>
      <c r="DJ315" s="1662"/>
      <c r="DK315" s="1662"/>
      <c r="DL315" s="1662"/>
    </row>
    <row r="316" spans="97:116">
      <c r="CT316" s="1662"/>
      <c r="CU316" s="1662"/>
      <c r="CV316" s="1662"/>
      <c r="CW316" s="1662"/>
      <c r="CX316" s="1662"/>
      <c r="CY316" s="1662"/>
      <c r="CZ316" s="1662"/>
      <c r="DA316" s="1662"/>
      <c r="DB316" s="1662"/>
      <c r="DC316" s="1662"/>
      <c r="DD316" s="1662"/>
      <c r="DE316" s="1662"/>
      <c r="DF316" s="1662"/>
      <c r="DG316" s="1662"/>
      <c r="DH316" s="1662"/>
      <c r="DI316" s="1662"/>
      <c r="DJ316" s="1662"/>
      <c r="DK316" s="1662"/>
      <c r="DL316" s="1662"/>
    </row>
    <row r="317" spans="97:116">
      <c r="CT317" s="1662"/>
      <c r="CU317" s="1662"/>
      <c r="CV317" s="1662"/>
      <c r="CW317" s="1662"/>
      <c r="CX317" s="1662"/>
      <c r="CY317" s="1662"/>
      <c r="CZ317" s="1662"/>
      <c r="DA317" s="1662"/>
      <c r="DB317" s="1662"/>
      <c r="DC317" s="1662"/>
      <c r="DD317" s="1662"/>
      <c r="DE317" s="1662"/>
      <c r="DF317" s="1662"/>
      <c r="DG317" s="1662"/>
      <c r="DH317" s="1662"/>
      <c r="DI317" s="1662"/>
      <c r="DJ317" s="1662"/>
      <c r="DK317" s="1662"/>
      <c r="DL317" s="1662"/>
    </row>
    <row r="318" spans="97:116">
      <c r="CT318" s="1662"/>
      <c r="CU318" s="1662"/>
      <c r="CV318" s="1662"/>
      <c r="CW318" s="1662"/>
      <c r="CX318" s="1662"/>
      <c r="CY318" s="1662"/>
      <c r="CZ318" s="1662"/>
      <c r="DA318" s="1662"/>
      <c r="DB318" s="1662"/>
      <c r="DC318" s="1662"/>
      <c r="DD318" s="1662"/>
      <c r="DE318" s="1662"/>
      <c r="DF318" s="1662"/>
      <c r="DG318" s="1662"/>
      <c r="DH318" s="1662"/>
      <c r="DI318" s="1662"/>
      <c r="DJ318" s="1662"/>
      <c r="DK318" s="1662"/>
      <c r="DL318" s="1662"/>
    </row>
    <row r="319" spans="97:116">
      <c r="CT319" s="1662"/>
      <c r="CU319" s="1662"/>
      <c r="CV319" s="1662"/>
      <c r="CW319" s="1662"/>
      <c r="CX319" s="1662"/>
      <c r="CY319" s="1662"/>
      <c r="CZ319" s="1662"/>
      <c r="DA319" s="1662"/>
      <c r="DB319" s="1662"/>
      <c r="DC319" s="1662"/>
      <c r="DD319" s="1662"/>
      <c r="DE319" s="1662"/>
      <c r="DF319" s="1662"/>
      <c r="DG319" s="1662"/>
      <c r="DH319" s="1662"/>
      <c r="DI319" s="1662"/>
      <c r="DJ319" s="1662"/>
      <c r="DK319" s="1662"/>
      <c r="DL319" s="1662"/>
    </row>
    <row r="320" spans="97:116">
      <c r="CT320" s="1662"/>
      <c r="CU320" s="1662"/>
      <c r="CV320" s="1662"/>
      <c r="CW320" s="1662"/>
      <c r="CX320" s="1662"/>
      <c r="CY320" s="1662"/>
      <c r="CZ320" s="1662"/>
      <c r="DA320" s="1662"/>
      <c r="DB320" s="1662"/>
      <c r="DC320" s="1662"/>
      <c r="DD320" s="1662"/>
      <c r="DE320" s="1662"/>
      <c r="DF320" s="1662"/>
      <c r="DG320" s="1662"/>
      <c r="DH320" s="1662"/>
      <c r="DI320" s="1662"/>
      <c r="DJ320" s="1662"/>
      <c r="DK320" s="1662"/>
      <c r="DL320" s="1662"/>
    </row>
    <row r="321" spans="97:116">
      <c r="CS321" s="1663"/>
      <c r="CT321" s="1662"/>
      <c r="CU321" s="1662"/>
      <c r="CV321" s="1662"/>
      <c r="CW321" s="1662"/>
      <c r="CX321" s="1662"/>
      <c r="CY321" s="1662"/>
      <c r="CZ321" s="1662"/>
      <c r="DA321" s="1662"/>
      <c r="DB321" s="1662"/>
      <c r="DC321" s="1662"/>
      <c r="DD321" s="1662"/>
      <c r="DE321" s="1662"/>
      <c r="DF321" s="1662"/>
      <c r="DG321" s="1662"/>
      <c r="DH321" s="1662"/>
      <c r="DI321" s="1662"/>
      <c r="DJ321" s="1662"/>
      <c r="DK321" s="1662"/>
      <c r="DL321" s="1662"/>
    </row>
    <row r="322" spans="97:116">
      <c r="CT322" s="1662"/>
      <c r="CU322" s="1662"/>
      <c r="CV322" s="1662"/>
      <c r="CW322" s="1662"/>
      <c r="CX322" s="1662"/>
      <c r="CY322" s="1662"/>
      <c r="CZ322" s="1662"/>
      <c r="DA322" s="1662"/>
      <c r="DB322" s="1662"/>
      <c r="DC322" s="1662"/>
      <c r="DD322" s="1662"/>
      <c r="DE322" s="1662"/>
      <c r="DF322" s="1662"/>
      <c r="DG322" s="1662"/>
      <c r="DH322" s="1662"/>
      <c r="DI322" s="1662"/>
      <c r="DJ322" s="1662"/>
      <c r="DK322" s="1662"/>
      <c r="DL322" s="1662"/>
    </row>
    <row r="323" spans="97:116">
      <c r="CT323" s="1662"/>
      <c r="CU323" s="1662"/>
      <c r="CV323" s="1662"/>
      <c r="CW323" s="1662"/>
      <c r="CX323" s="1662"/>
      <c r="CY323" s="1662"/>
      <c r="CZ323" s="1662"/>
      <c r="DA323" s="1662"/>
      <c r="DB323" s="1662"/>
      <c r="DC323" s="1662"/>
      <c r="DD323" s="1662"/>
      <c r="DE323" s="1662"/>
      <c r="DF323" s="1662"/>
      <c r="DG323" s="1662"/>
      <c r="DH323" s="1662"/>
      <c r="DI323" s="1662"/>
      <c r="DJ323" s="1662"/>
      <c r="DK323" s="1662"/>
      <c r="DL323" s="1662"/>
    </row>
    <row r="324" spans="97:116">
      <c r="CT324" s="1662"/>
      <c r="CU324" s="1662"/>
      <c r="CV324" s="1662"/>
      <c r="CW324" s="1662"/>
      <c r="CX324" s="1662"/>
      <c r="CY324" s="1662"/>
      <c r="CZ324" s="1662"/>
      <c r="DA324" s="1662"/>
      <c r="DB324" s="1662"/>
      <c r="DC324" s="1662"/>
      <c r="DD324" s="1662"/>
      <c r="DE324" s="1662"/>
      <c r="DF324" s="1662"/>
      <c r="DG324" s="1662"/>
      <c r="DH324" s="1662"/>
      <c r="DI324" s="1662"/>
      <c r="DJ324" s="1662"/>
      <c r="DK324" s="1662"/>
      <c r="DL324" s="1662"/>
    </row>
    <row r="325" spans="97:116">
      <c r="CT325" s="1662"/>
      <c r="CU325" s="1662"/>
      <c r="CV325" s="1662"/>
      <c r="CW325" s="1662"/>
      <c r="CX325" s="1662"/>
      <c r="CY325" s="1662"/>
      <c r="CZ325" s="1662"/>
      <c r="DA325" s="1662"/>
      <c r="DB325" s="1662"/>
      <c r="DC325" s="1662"/>
      <c r="DD325" s="1662"/>
      <c r="DE325" s="1662"/>
      <c r="DF325" s="1662"/>
      <c r="DG325" s="1662"/>
      <c r="DH325" s="1662"/>
      <c r="DI325" s="1662"/>
      <c r="DJ325" s="1662"/>
      <c r="DK325" s="1662"/>
      <c r="DL325" s="1662"/>
    </row>
    <row r="326" spans="97:116">
      <c r="CT326" s="1662"/>
      <c r="CU326" s="1662"/>
      <c r="CV326" s="1662"/>
      <c r="CW326" s="1662"/>
      <c r="CX326" s="1662"/>
      <c r="CY326" s="1662"/>
      <c r="CZ326" s="1662"/>
      <c r="DA326" s="1662"/>
      <c r="DB326" s="1662"/>
      <c r="DC326" s="1662"/>
      <c r="DD326" s="1662"/>
      <c r="DE326" s="1662"/>
      <c r="DF326" s="1662"/>
      <c r="DG326" s="1662"/>
      <c r="DH326" s="1662"/>
      <c r="DI326" s="1662"/>
      <c r="DJ326" s="1662"/>
      <c r="DK326" s="1662"/>
      <c r="DL326" s="1662"/>
    </row>
    <row r="327" spans="97:116">
      <c r="CT327" s="1662"/>
      <c r="CU327" s="1662"/>
      <c r="CV327" s="1662"/>
      <c r="CW327" s="1662"/>
      <c r="CX327" s="1662"/>
      <c r="CY327" s="1662"/>
      <c r="CZ327" s="1662"/>
      <c r="DA327" s="1662"/>
      <c r="DB327" s="1662"/>
      <c r="DC327" s="1662"/>
      <c r="DD327" s="1662"/>
      <c r="DE327" s="1662"/>
      <c r="DF327" s="1662"/>
      <c r="DG327" s="1662"/>
      <c r="DH327" s="1662"/>
      <c r="DI327" s="1662"/>
      <c r="DJ327" s="1662"/>
      <c r="DK327" s="1662"/>
      <c r="DL327" s="1662"/>
    </row>
    <row r="328" spans="97:116">
      <c r="CS328" s="1663"/>
      <c r="CT328" s="1662"/>
      <c r="CU328" s="1662"/>
      <c r="CV328" s="1662"/>
      <c r="CW328" s="1662"/>
      <c r="CX328" s="1662"/>
      <c r="CY328" s="1662"/>
      <c r="CZ328" s="1662"/>
      <c r="DA328" s="1662"/>
      <c r="DB328" s="1662"/>
      <c r="DC328" s="1662"/>
      <c r="DD328" s="1662"/>
      <c r="DE328" s="1662"/>
      <c r="DF328" s="1662"/>
      <c r="DG328" s="1662"/>
      <c r="DH328" s="1662"/>
      <c r="DI328" s="1662"/>
      <c r="DJ328" s="1662"/>
      <c r="DK328" s="1662"/>
      <c r="DL328" s="1662"/>
    </row>
    <row r="329" spans="97:116">
      <c r="CT329" s="1662"/>
      <c r="CU329" s="1662"/>
      <c r="CV329" s="1662"/>
      <c r="CW329" s="1662"/>
      <c r="CX329" s="1662"/>
      <c r="CY329" s="1662"/>
      <c r="CZ329" s="1662"/>
      <c r="DA329" s="1662"/>
      <c r="DB329" s="1662"/>
      <c r="DC329" s="1662"/>
      <c r="DD329" s="1662"/>
      <c r="DE329" s="1662"/>
      <c r="DF329" s="1662"/>
      <c r="DG329" s="1662"/>
      <c r="DH329" s="1662"/>
      <c r="DI329" s="1662"/>
      <c r="DJ329" s="1662"/>
      <c r="DK329" s="1662"/>
      <c r="DL329" s="1662"/>
    </row>
    <row r="330" spans="97:116">
      <c r="CT330" s="1662"/>
      <c r="CU330" s="1662"/>
      <c r="CV330" s="1662"/>
      <c r="CW330" s="1662"/>
      <c r="CX330" s="1662"/>
      <c r="CY330" s="1662"/>
      <c r="CZ330" s="1662"/>
      <c r="DA330" s="1662"/>
      <c r="DB330" s="1662"/>
      <c r="DC330" s="1662"/>
      <c r="DD330" s="1662"/>
      <c r="DE330" s="1662"/>
      <c r="DF330" s="1662"/>
      <c r="DG330" s="1662"/>
      <c r="DH330" s="1662"/>
      <c r="DI330" s="1662"/>
      <c r="DJ330" s="1662"/>
      <c r="DK330" s="1662"/>
      <c r="DL330" s="1662"/>
    </row>
    <row r="331" spans="97:116">
      <c r="CT331" s="1662"/>
      <c r="CU331" s="1662"/>
      <c r="CV331" s="1662"/>
      <c r="CW331" s="1662"/>
      <c r="CX331" s="1662"/>
      <c r="CY331" s="1662"/>
      <c r="CZ331" s="1662"/>
      <c r="DA331" s="1662"/>
      <c r="DB331" s="1662"/>
      <c r="DC331" s="1662"/>
      <c r="DD331" s="1662"/>
      <c r="DE331" s="1662"/>
      <c r="DF331" s="1662"/>
      <c r="DG331" s="1662"/>
      <c r="DH331" s="1662"/>
      <c r="DI331" s="1662"/>
      <c r="DJ331" s="1662"/>
      <c r="DK331" s="1662"/>
      <c r="DL331" s="1662"/>
    </row>
    <row r="332" spans="97:116">
      <c r="CT332" s="1662"/>
      <c r="CU332" s="1662"/>
      <c r="CV332" s="1662"/>
      <c r="CW332" s="1662"/>
      <c r="CX332" s="1662"/>
      <c r="CY332" s="1662"/>
      <c r="CZ332" s="1662"/>
      <c r="DA332" s="1662"/>
      <c r="DB332" s="1662"/>
      <c r="DC332" s="1662"/>
      <c r="DD332" s="1662"/>
      <c r="DE332" s="1662"/>
      <c r="DF332" s="1662"/>
      <c r="DG332" s="1662"/>
      <c r="DH332" s="1662"/>
      <c r="DI332" s="1662"/>
      <c r="DJ332" s="1662"/>
      <c r="DK332" s="1662"/>
      <c r="DL332" s="1662"/>
    </row>
    <row r="333" spans="97:116">
      <c r="CT333" s="1662"/>
      <c r="CU333" s="1662"/>
      <c r="CV333" s="1662"/>
      <c r="CW333" s="1662"/>
      <c r="CX333" s="1662"/>
      <c r="CY333" s="1662"/>
      <c r="CZ333" s="1662"/>
      <c r="DA333" s="1662"/>
      <c r="DB333" s="1662"/>
      <c r="DC333" s="1662"/>
      <c r="DD333" s="1662"/>
      <c r="DE333" s="1662"/>
      <c r="DF333" s="1662"/>
      <c r="DG333" s="1662"/>
      <c r="DH333" s="1662"/>
      <c r="DI333" s="1662"/>
      <c r="DJ333" s="1662"/>
      <c r="DK333" s="1662"/>
      <c r="DL333" s="1662"/>
    </row>
    <row r="334" spans="97:116">
      <c r="CT334" s="1662"/>
      <c r="CU334" s="1662"/>
      <c r="CV334" s="1662"/>
      <c r="CW334" s="1662"/>
      <c r="CX334" s="1662"/>
      <c r="CY334" s="1662"/>
      <c r="CZ334" s="1662"/>
      <c r="DA334" s="1662"/>
      <c r="DB334" s="1662"/>
      <c r="DC334" s="1662"/>
      <c r="DD334" s="1662"/>
      <c r="DE334" s="1662"/>
      <c r="DF334" s="1662"/>
      <c r="DG334" s="1662"/>
      <c r="DH334" s="1662"/>
      <c r="DI334" s="1662"/>
      <c r="DJ334" s="1662"/>
      <c r="DK334" s="1662"/>
      <c r="DL334" s="1662"/>
    </row>
    <row r="335" spans="97:116">
      <c r="CT335" s="1662"/>
      <c r="CU335" s="1662"/>
      <c r="CV335" s="1662"/>
      <c r="CW335" s="1662"/>
      <c r="CX335" s="1662"/>
      <c r="CY335" s="1662"/>
      <c r="CZ335" s="1662"/>
      <c r="DA335" s="1662"/>
      <c r="DB335" s="1662"/>
      <c r="DC335" s="1662"/>
      <c r="DD335" s="1662"/>
      <c r="DE335" s="1662"/>
      <c r="DF335" s="1662"/>
      <c r="DG335" s="1662"/>
      <c r="DH335" s="1662"/>
      <c r="DI335" s="1662"/>
      <c r="DJ335" s="1662"/>
      <c r="DK335" s="1662"/>
      <c r="DL335" s="1662"/>
    </row>
    <row r="336" spans="97:116">
      <c r="CT336" s="1662"/>
      <c r="CU336" s="1662"/>
      <c r="CV336" s="1662"/>
      <c r="CW336" s="1662"/>
      <c r="CX336" s="1662"/>
      <c r="CY336" s="1662"/>
      <c r="CZ336" s="1662"/>
      <c r="DA336" s="1662"/>
      <c r="DB336" s="1662"/>
      <c r="DC336" s="1662"/>
      <c r="DD336" s="1662"/>
      <c r="DE336" s="1662"/>
      <c r="DF336" s="1662"/>
      <c r="DG336" s="1662"/>
      <c r="DH336" s="1662"/>
      <c r="DI336" s="1662"/>
      <c r="DJ336" s="1662"/>
      <c r="DK336" s="1662"/>
      <c r="DL336" s="1662"/>
    </row>
    <row r="337" spans="94:116">
      <c r="CS337" s="1663"/>
      <c r="CT337" s="1662"/>
      <c r="CU337" s="1662"/>
      <c r="CV337" s="1662"/>
      <c r="CW337" s="1662"/>
      <c r="CX337" s="1662"/>
      <c r="CY337" s="1662"/>
      <c r="CZ337" s="1662"/>
      <c r="DA337" s="1662"/>
      <c r="DB337" s="1662"/>
      <c r="DC337" s="1662"/>
      <c r="DD337" s="1662"/>
      <c r="DE337" s="1662"/>
      <c r="DF337" s="1662"/>
      <c r="DG337" s="1662"/>
      <c r="DH337" s="1662"/>
      <c r="DI337" s="1662"/>
      <c r="DJ337" s="1662"/>
      <c r="DK337" s="1662"/>
      <c r="DL337" s="1662"/>
    </row>
    <row r="338" spans="94:116">
      <c r="CT338" s="1662"/>
      <c r="CU338" s="1662"/>
      <c r="CV338" s="1662"/>
      <c r="CW338" s="1662"/>
      <c r="CX338" s="1662"/>
      <c r="CY338" s="1662"/>
      <c r="CZ338" s="1662"/>
      <c r="DA338" s="1662"/>
      <c r="DB338" s="1662"/>
      <c r="DC338" s="1662"/>
      <c r="DD338" s="1662"/>
      <c r="DE338" s="1662"/>
      <c r="DF338" s="1662"/>
      <c r="DG338" s="1662"/>
      <c r="DH338" s="1662"/>
      <c r="DI338" s="1662"/>
      <c r="DJ338" s="1662"/>
      <c r="DK338" s="1662"/>
      <c r="DL338" s="1662"/>
    </row>
    <row r="339" spans="94:116">
      <c r="CT339" s="1662"/>
      <c r="CU339" s="1662"/>
      <c r="CV339" s="1662"/>
      <c r="CW339" s="1662"/>
      <c r="CX339" s="1662"/>
      <c r="CY339" s="1662"/>
      <c r="CZ339" s="1662"/>
      <c r="DA339" s="1662"/>
      <c r="DB339" s="1662"/>
      <c r="DC339" s="1662"/>
      <c r="DD339" s="1662"/>
      <c r="DE339" s="1662"/>
      <c r="DF339" s="1662"/>
      <c r="DG339" s="1662"/>
      <c r="DH339" s="1662"/>
      <c r="DI339" s="1662"/>
      <c r="DJ339" s="1662"/>
      <c r="DK339" s="1662"/>
      <c r="DL339" s="1662"/>
    </row>
    <row r="340" spans="94:116">
      <c r="CT340" s="1662"/>
      <c r="CU340" s="1662"/>
      <c r="CV340" s="1662"/>
      <c r="CW340" s="1662"/>
      <c r="CX340" s="1662"/>
      <c r="CY340" s="1662"/>
      <c r="CZ340" s="1662"/>
      <c r="DA340" s="1662"/>
      <c r="DB340" s="1662"/>
      <c r="DC340" s="1662"/>
      <c r="DD340" s="1662"/>
      <c r="DE340" s="1662"/>
      <c r="DF340" s="1662"/>
      <c r="DG340" s="1662"/>
      <c r="DH340" s="1662"/>
      <c r="DI340" s="1662"/>
      <c r="DJ340" s="1662"/>
      <c r="DK340" s="1662"/>
      <c r="DL340" s="1662"/>
    </row>
    <row r="341" spans="94:116">
      <c r="CT341" s="1662"/>
      <c r="CU341" s="1662"/>
      <c r="CV341" s="1662"/>
      <c r="CW341" s="1662"/>
      <c r="CX341" s="1662"/>
      <c r="CY341" s="1662"/>
      <c r="CZ341" s="1662"/>
      <c r="DA341" s="1662"/>
      <c r="DB341" s="1662"/>
      <c r="DC341" s="1662"/>
      <c r="DD341" s="1662"/>
      <c r="DE341" s="1662"/>
      <c r="DF341" s="1662"/>
      <c r="DG341" s="1662"/>
      <c r="DH341" s="1662"/>
      <c r="DI341" s="1662"/>
      <c r="DJ341" s="1662"/>
      <c r="DK341" s="1662"/>
      <c r="DL341" s="1662"/>
    </row>
    <row r="342" spans="94:116">
      <c r="CT342" s="1662"/>
      <c r="CU342" s="1662"/>
      <c r="CV342" s="1662"/>
      <c r="CW342" s="1662"/>
      <c r="CX342" s="1662"/>
      <c r="CY342" s="1662"/>
      <c r="CZ342" s="1662"/>
      <c r="DA342" s="1662"/>
      <c r="DB342" s="1662"/>
      <c r="DC342" s="1662"/>
      <c r="DD342" s="1662"/>
      <c r="DE342" s="1662"/>
      <c r="DF342" s="1662"/>
      <c r="DG342" s="1662"/>
      <c r="DH342" s="1662"/>
      <c r="DI342" s="1662"/>
      <c r="DJ342" s="1662"/>
      <c r="DK342" s="1662"/>
      <c r="DL342" s="1662"/>
    </row>
    <row r="343" spans="94:116">
      <c r="CT343" s="1662"/>
      <c r="CU343" s="1662"/>
      <c r="CV343" s="1662"/>
      <c r="CW343" s="1662"/>
      <c r="CX343" s="1662"/>
      <c r="CY343" s="1662"/>
      <c r="CZ343" s="1662"/>
      <c r="DA343" s="1662"/>
      <c r="DB343" s="1662"/>
      <c r="DC343" s="1662"/>
      <c r="DD343" s="1662"/>
      <c r="DE343" s="1662"/>
      <c r="DF343" s="1662"/>
      <c r="DG343" s="1662"/>
      <c r="DH343" s="1662"/>
      <c r="DI343" s="1662"/>
      <c r="DJ343" s="1662"/>
      <c r="DK343" s="1662"/>
      <c r="DL343" s="1662"/>
    </row>
    <row r="344" spans="94:116">
      <c r="CT344" s="1662"/>
      <c r="CU344" s="1662"/>
      <c r="CV344" s="1662"/>
      <c r="CW344" s="1662"/>
      <c r="CX344" s="1662"/>
      <c r="CY344" s="1662"/>
      <c r="CZ344" s="1662"/>
      <c r="DA344" s="1662"/>
      <c r="DB344" s="1662"/>
      <c r="DC344" s="1662"/>
      <c r="DD344" s="1662"/>
      <c r="DE344" s="1662"/>
      <c r="DF344" s="1662"/>
      <c r="DG344" s="1662"/>
      <c r="DH344" s="1662"/>
      <c r="DI344" s="1662"/>
      <c r="DJ344" s="1662"/>
      <c r="DK344" s="1662"/>
      <c r="DL344" s="1662"/>
    </row>
    <row r="345" spans="94:116">
      <c r="CT345" s="1662"/>
      <c r="CU345" s="1662"/>
      <c r="CV345" s="1662"/>
      <c r="CW345" s="1662"/>
      <c r="CX345" s="1662"/>
      <c r="CY345" s="1662"/>
      <c r="CZ345" s="1662"/>
      <c r="DA345" s="1662"/>
      <c r="DB345" s="1662"/>
      <c r="DC345" s="1662"/>
      <c r="DD345" s="1662"/>
      <c r="DE345" s="1662"/>
      <c r="DF345" s="1662"/>
      <c r="DG345" s="1662"/>
      <c r="DH345" s="1662"/>
      <c r="DI345" s="1662"/>
      <c r="DJ345" s="1662"/>
      <c r="DK345" s="1662"/>
      <c r="DL345" s="1662"/>
    </row>
    <row r="346" spans="94:116">
      <c r="CP346" s="1662"/>
      <c r="CQ346" s="1662"/>
      <c r="CT346" s="1662"/>
      <c r="CU346" s="1662"/>
      <c r="CV346" s="1662"/>
      <c r="CW346" s="1662"/>
      <c r="CX346" s="1662"/>
      <c r="CY346" s="1662"/>
      <c r="CZ346" s="1662"/>
      <c r="DA346" s="1662"/>
      <c r="DB346" s="1662"/>
      <c r="DC346" s="1662"/>
      <c r="DD346" s="1662"/>
      <c r="DE346" s="1662"/>
      <c r="DF346" s="1662"/>
      <c r="DG346" s="1662"/>
      <c r="DH346" s="1662"/>
      <c r="DI346" s="1662"/>
      <c r="DJ346" s="1662"/>
      <c r="DK346" s="1662"/>
      <c r="DL346" s="1662"/>
    </row>
    <row r="347" spans="94:116">
      <c r="CP347" s="1662"/>
      <c r="CQ347" s="1662"/>
      <c r="CT347" s="1662"/>
      <c r="CU347" s="1662"/>
      <c r="CV347" s="1662"/>
      <c r="CW347" s="1662"/>
      <c r="CX347" s="1662"/>
      <c r="CY347" s="1662"/>
      <c r="CZ347" s="1662"/>
      <c r="DA347" s="1662"/>
      <c r="DB347" s="1662"/>
      <c r="DC347" s="1662"/>
      <c r="DD347" s="1662"/>
      <c r="DE347" s="1662"/>
      <c r="DF347" s="1662"/>
      <c r="DG347" s="1662"/>
      <c r="DH347" s="1662"/>
      <c r="DI347" s="1662"/>
      <c r="DJ347" s="1662"/>
      <c r="DK347" s="1662"/>
      <c r="DL347" s="1662"/>
    </row>
    <row r="348" spans="94:116">
      <c r="CT348" s="1662"/>
      <c r="CU348" s="1662"/>
      <c r="CV348" s="1662"/>
      <c r="CW348" s="1662"/>
      <c r="CX348" s="1662"/>
      <c r="CY348" s="1662"/>
      <c r="CZ348" s="1662"/>
      <c r="DA348" s="1662"/>
      <c r="DB348" s="1662"/>
      <c r="DC348" s="1662"/>
      <c r="DD348" s="1662"/>
      <c r="DE348" s="1662"/>
      <c r="DF348" s="1662"/>
      <c r="DG348" s="1662"/>
      <c r="DH348" s="1662"/>
      <c r="DI348" s="1662"/>
      <c r="DJ348" s="1662"/>
      <c r="DK348" s="1662"/>
      <c r="DL348" s="1662"/>
    </row>
    <row r="349" spans="94:116">
      <c r="CT349" s="1662"/>
      <c r="CU349" s="1662"/>
      <c r="CV349" s="1662"/>
      <c r="CW349" s="1662"/>
      <c r="CX349" s="1662"/>
      <c r="CY349" s="1662"/>
      <c r="CZ349" s="1662"/>
      <c r="DA349" s="1662"/>
      <c r="DB349" s="1662"/>
      <c r="DC349" s="1662"/>
      <c r="DD349" s="1662"/>
      <c r="DE349" s="1662"/>
      <c r="DF349" s="1662"/>
      <c r="DG349" s="1662"/>
      <c r="DH349" s="1662"/>
      <c r="DI349" s="1662"/>
      <c r="DJ349" s="1662"/>
      <c r="DK349" s="1662"/>
      <c r="DL349" s="1662"/>
    </row>
    <row r="350" spans="94:116">
      <c r="CT350" s="1662"/>
      <c r="CU350" s="1662"/>
      <c r="CV350" s="1662"/>
      <c r="CW350" s="1662"/>
      <c r="CX350" s="1662"/>
      <c r="CY350" s="1662"/>
      <c r="CZ350" s="1662"/>
      <c r="DA350" s="1662"/>
      <c r="DB350" s="1662"/>
      <c r="DC350" s="1662"/>
      <c r="DD350" s="1662"/>
      <c r="DE350" s="1662"/>
      <c r="DF350" s="1662"/>
      <c r="DG350" s="1662"/>
      <c r="DH350" s="1662"/>
      <c r="DI350" s="1662"/>
      <c r="DJ350" s="1662"/>
      <c r="DK350" s="1662"/>
      <c r="DL350" s="1662"/>
    </row>
    <row r="351" spans="94:116">
      <c r="CT351" s="1662"/>
      <c r="CU351" s="1662"/>
      <c r="CV351" s="1662"/>
      <c r="CW351" s="1662"/>
      <c r="CX351" s="1662"/>
      <c r="CY351" s="1662"/>
      <c r="CZ351" s="1662"/>
      <c r="DA351" s="1662"/>
      <c r="DB351" s="1662"/>
      <c r="DC351" s="1662"/>
      <c r="DD351" s="1662"/>
      <c r="DE351" s="1662"/>
      <c r="DF351" s="1662"/>
      <c r="DG351" s="1662"/>
      <c r="DH351" s="1662"/>
      <c r="DI351" s="1662"/>
      <c r="DJ351" s="1662"/>
      <c r="DK351" s="1662"/>
      <c r="DL351" s="1662"/>
    </row>
    <row r="352" spans="94:116">
      <c r="CT352" s="1662"/>
      <c r="CU352" s="1662"/>
      <c r="CV352" s="1662"/>
      <c r="CW352" s="1662"/>
      <c r="CX352" s="1662"/>
      <c r="CY352" s="1662"/>
      <c r="CZ352" s="1662"/>
      <c r="DA352" s="1662"/>
      <c r="DB352" s="1662"/>
      <c r="DC352" s="1662"/>
      <c r="DD352" s="1662"/>
      <c r="DE352" s="1662"/>
      <c r="DF352" s="1662"/>
      <c r="DG352" s="1662"/>
      <c r="DH352" s="1662"/>
      <c r="DI352" s="1662"/>
      <c r="DJ352" s="1662"/>
      <c r="DK352" s="1662"/>
      <c r="DL352" s="1662"/>
    </row>
    <row r="353" spans="98:116">
      <c r="CT353" s="1662"/>
      <c r="CU353" s="1662"/>
      <c r="CV353" s="1662"/>
      <c r="CW353" s="1662"/>
      <c r="CX353" s="1662"/>
      <c r="CY353" s="1662"/>
      <c r="CZ353" s="1662"/>
      <c r="DA353" s="1662"/>
      <c r="DB353" s="1662"/>
      <c r="DC353" s="1662"/>
      <c r="DD353" s="1662"/>
      <c r="DE353" s="1662"/>
      <c r="DF353" s="1662"/>
      <c r="DG353" s="1662"/>
      <c r="DH353" s="1662"/>
      <c r="DI353" s="1662"/>
      <c r="DJ353" s="1662"/>
      <c r="DK353" s="1662"/>
      <c r="DL353" s="1662"/>
    </row>
    <row r="354" spans="98:116">
      <c r="CT354" s="1662"/>
      <c r="CU354" s="1662"/>
      <c r="CV354" s="1662"/>
      <c r="CW354" s="1662"/>
      <c r="CX354" s="1662"/>
      <c r="CY354" s="1662"/>
      <c r="CZ354" s="1662"/>
      <c r="DA354" s="1662"/>
      <c r="DB354" s="1662"/>
      <c r="DC354" s="1662"/>
      <c r="DD354" s="1662"/>
      <c r="DE354" s="1662"/>
      <c r="DF354" s="1662"/>
      <c r="DG354" s="1662"/>
      <c r="DH354" s="1662"/>
      <c r="DI354" s="1662"/>
      <c r="DJ354" s="1662"/>
      <c r="DK354" s="1662"/>
      <c r="DL354" s="1662"/>
    </row>
    <row r="355" spans="98:116">
      <c r="CT355" s="1662"/>
      <c r="CU355" s="1662"/>
      <c r="CV355" s="1662"/>
      <c r="CW355" s="1662"/>
      <c r="CX355" s="1662"/>
      <c r="CY355" s="1662"/>
      <c r="CZ355" s="1662"/>
      <c r="DA355" s="1662"/>
      <c r="DB355" s="1662"/>
      <c r="DC355" s="1662"/>
      <c r="DD355" s="1662"/>
      <c r="DE355" s="1662"/>
      <c r="DF355" s="1662"/>
      <c r="DG355" s="1662"/>
      <c r="DH355" s="1662"/>
      <c r="DI355" s="1662"/>
      <c r="DJ355" s="1662"/>
      <c r="DK355" s="1662"/>
      <c r="DL355" s="1662"/>
    </row>
    <row r="356" spans="98:116">
      <c r="CT356" s="1662"/>
      <c r="CU356" s="1662"/>
      <c r="CV356" s="1662"/>
      <c r="CW356" s="1662"/>
      <c r="CX356" s="1662"/>
      <c r="CY356" s="1662"/>
      <c r="CZ356" s="1662"/>
      <c r="DA356" s="1662"/>
      <c r="DB356" s="1662"/>
      <c r="DC356" s="1662"/>
      <c r="DD356" s="1662"/>
      <c r="DE356" s="1662"/>
      <c r="DF356" s="1662"/>
      <c r="DG356" s="1662"/>
      <c r="DH356" s="1662"/>
      <c r="DI356" s="1662"/>
      <c r="DJ356" s="1662"/>
      <c r="DK356" s="1662"/>
      <c r="DL356" s="1662"/>
    </row>
    <row r="357" spans="98:116">
      <c r="CT357" s="1662"/>
      <c r="CU357" s="1662"/>
      <c r="CV357" s="1662"/>
      <c r="CW357" s="1662"/>
      <c r="CX357" s="1662"/>
      <c r="CY357" s="1662"/>
      <c r="CZ357" s="1662"/>
      <c r="DA357" s="1662"/>
      <c r="DB357" s="1662"/>
      <c r="DC357" s="1662"/>
      <c r="DD357" s="1662"/>
      <c r="DE357" s="1662"/>
      <c r="DF357" s="1662"/>
      <c r="DG357" s="1662"/>
      <c r="DH357" s="1662"/>
      <c r="DI357" s="1662"/>
      <c r="DJ357" s="1662"/>
      <c r="DK357" s="1662"/>
      <c r="DL357" s="1662"/>
    </row>
    <row r="358" spans="98:116">
      <c r="CT358" s="1662"/>
      <c r="CU358" s="1662"/>
      <c r="CV358" s="1662"/>
      <c r="CW358" s="1662"/>
      <c r="CX358" s="1662"/>
      <c r="CY358" s="1662"/>
      <c r="CZ358" s="1662"/>
      <c r="DA358" s="1662"/>
      <c r="DB358" s="1662"/>
      <c r="DC358" s="1662"/>
      <c r="DD358" s="1662"/>
      <c r="DE358" s="1662"/>
      <c r="DF358" s="1662"/>
      <c r="DG358" s="1662"/>
      <c r="DH358" s="1662"/>
      <c r="DI358" s="1662"/>
      <c r="DJ358" s="1662"/>
      <c r="DK358" s="1662"/>
      <c r="DL358" s="1662"/>
    </row>
    <row r="359" spans="98:116">
      <c r="CT359" s="1662"/>
      <c r="CU359" s="1662"/>
      <c r="CV359" s="1662"/>
      <c r="CW359" s="1662"/>
      <c r="CX359" s="1662"/>
      <c r="CY359" s="1662"/>
      <c r="CZ359" s="1662"/>
      <c r="DA359" s="1662"/>
      <c r="DB359" s="1662"/>
      <c r="DC359" s="1662"/>
      <c r="DD359" s="1662"/>
      <c r="DE359" s="1662"/>
      <c r="DF359" s="1662"/>
      <c r="DG359" s="1662"/>
      <c r="DH359" s="1662"/>
      <c r="DI359" s="1662"/>
      <c r="DJ359" s="1662"/>
      <c r="DK359" s="1662"/>
      <c r="DL359" s="1662"/>
    </row>
    <row r="360" spans="98:116">
      <c r="CT360" s="1662"/>
      <c r="CU360" s="1662"/>
      <c r="CV360" s="1662"/>
      <c r="CW360" s="1662"/>
      <c r="CX360" s="1662"/>
      <c r="CY360" s="1662"/>
      <c r="CZ360" s="1662"/>
      <c r="DA360" s="1662"/>
      <c r="DB360" s="1662"/>
      <c r="DC360" s="1662"/>
      <c r="DD360" s="1662"/>
      <c r="DE360" s="1662"/>
      <c r="DF360" s="1662"/>
      <c r="DG360" s="1662"/>
      <c r="DH360" s="1662"/>
      <c r="DI360" s="1662"/>
      <c r="DJ360" s="1662"/>
      <c r="DK360" s="1662"/>
      <c r="DL360" s="1662"/>
    </row>
    <row r="361" spans="98:116">
      <c r="CT361" s="1662"/>
      <c r="CU361" s="1662"/>
      <c r="CV361" s="1662"/>
      <c r="CW361" s="1662"/>
      <c r="CX361" s="1662"/>
      <c r="CY361" s="1662"/>
      <c r="CZ361" s="1662"/>
      <c r="DA361" s="1662"/>
      <c r="DB361" s="1662"/>
      <c r="DC361" s="1662"/>
      <c r="DD361" s="1662"/>
      <c r="DE361" s="1662"/>
      <c r="DF361" s="1662"/>
      <c r="DG361" s="1662"/>
      <c r="DH361" s="1662"/>
      <c r="DI361" s="1662"/>
      <c r="DJ361" s="1662"/>
      <c r="DK361" s="1662"/>
      <c r="DL361" s="1662"/>
    </row>
    <row r="362" spans="98:116">
      <c r="CT362" s="1662"/>
      <c r="CU362" s="1662"/>
      <c r="CV362" s="1662"/>
      <c r="CW362" s="1662"/>
      <c r="CX362" s="1662"/>
      <c r="CY362" s="1662"/>
      <c r="CZ362" s="1662"/>
      <c r="DA362" s="1662"/>
      <c r="DB362" s="1662"/>
      <c r="DC362" s="1662"/>
      <c r="DD362" s="1662"/>
      <c r="DE362" s="1662"/>
      <c r="DF362" s="1662"/>
      <c r="DG362" s="1662"/>
      <c r="DH362" s="1662"/>
      <c r="DI362" s="1662"/>
      <c r="DJ362" s="1662"/>
      <c r="DK362" s="1662"/>
      <c r="DL362" s="1662"/>
    </row>
    <row r="363" spans="98:116">
      <c r="CT363" s="1662"/>
      <c r="CU363" s="1662"/>
      <c r="CV363" s="1662"/>
      <c r="CW363" s="1662"/>
      <c r="CX363" s="1662"/>
      <c r="CY363" s="1662"/>
      <c r="CZ363" s="1662"/>
      <c r="DA363" s="1662"/>
      <c r="DB363" s="1662"/>
      <c r="DC363" s="1662"/>
      <c r="DD363" s="1662"/>
      <c r="DE363" s="1662"/>
      <c r="DF363" s="1662"/>
      <c r="DG363" s="1662"/>
      <c r="DH363" s="1662"/>
      <c r="DI363" s="1662"/>
      <c r="DJ363" s="1662"/>
      <c r="DK363" s="1662"/>
      <c r="DL363" s="1662"/>
    </row>
    <row r="364" spans="98:116">
      <c r="CT364" s="1662"/>
      <c r="CU364" s="1662"/>
      <c r="CV364" s="1662"/>
      <c r="CW364" s="1662"/>
      <c r="CX364" s="1662"/>
      <c r="CY364" s="1662"/>
      <c r="CZ364" s="1662"/>
      <c r="DA364" s="1662"/>
      <c r="DB364" s="1662"/>
      <c r="DC364" s="1662"/>
      <c r="DD364" s="1662"/>
      <c r="DE364" s="1662"/>
      <c r="DF364" s="1662"/>
      <c r="DG364" s="1662"/>
      <c r="DH364" s="1662"/>
      <c r="DI364" s="1662"/>
      <c r="DJ364" s="1662"/>
      <c r="DK364" s="1662"/>
      <c r="DL364" s="1662"/>
    </row>
    <row r="365" spans="98:116">
      <c r="CT365" s="1662"/>
      <c r="CU365" s="1662"/>
      <c r="CV365" s="1662"/>
      <c r="CW365" s="1662"/>
      <c r="CX365" s="1662"/>
      <c r="CY365" s="1662"/>
      <c r="CZ365" s="1662"/>
      <c r="DA365" s="1662"/>
      <c r="DB365" s="1662"/>
      <c r="DC365" s="1662"/>
      <c r="DD365" s="1662"/>
      <c r="DE365" s="1662"/>
      <c r="DF365" s="1662"/>
      <c r="DG365" s="1662"/>
      <c r="DH365" s="1662"/>
      <c r="DI365" s="1662"/>
      <c r="DJ365" s="1662"/>
      <c r="DK365" s="1662"/>
      <c r="DL365" s="1662"/>
    </row>
    <row r="366" spans="98:116">
      <c r="CT366" s="1662"/>
      <c r="CU366" s="1662"/>
      <c r="CV366" s="1662"/>
      <c r="CW366" s="1662"/>
      <c r="CX366" s="1662"/>
      <c r="CY366" s="1662"/>
      <c r="CZ366" s="1662"/>
      <c r="DA366" s="1662"/>
      <c r="DB366" s="1662"/>
      <c r="DC366" s="1662"/>
      <c r="DD366" s="1662"/>
      <c r="DE366" s="1662"/>
      <c r="DF366" s="1662"/>
      <c r="DG366" s="1662"/>
      <c r="DH366" s="1662"/>
      <c r="DI366" s="1662"/>
      <c r="DJ366" s="1662"/>
      <c r="DK366" s="1662"/>
      <c r="DL366" s="1662"/>
    </row>
    <row r="367" spans="98:116">
      <c r="CT367" s="1662"/>
      <c r="CU367" s="1662"/>
      <c r="CV367" s="1662"/>
      <c r="CW367" s="1662"/>
      <c r="CX367" s="1662"/>
      <c r="CY367" s="1662"/>
      <c r="CZ367" s="1662"/>
      <c r="DA367" s="1662"/>
      <c r="DB367" s="1662"/>
      <c r="DC367" s="1662"/>
      <c r="DD367" s="1662"/>
      <c r="DE367" s="1662"/>
      <c r="DF367" s="1662"/>
      <c r="DG367" s="1662"/>
      <c r="DH367" s="1662"/>
      <c r="DI367" s="1662"/>
      <c r="DJ367" s="1662"/>
      <c r="DK367" s="1662"/>
      <c r="DL367" s="1662"/>
    </row>
    <row r="368" spans="98:116">
      <c r="CT368" s="1662"/>
      <c r="CU368" s="1662"/>
      <c r="CV368" s="1662"/>
      <c r="CW368" s="1662"/>
      <c r="CX368" s="1662"/>
      <c r="CY368" s="1662"/>
      <c r="CZ368" s="1662"/>
      <c r="DA368" s="1662"/>
      <c r="DB368" s="1662"/>
      <c r="DC368" s="1662"/>
      <c r="DD368" s="1662"/>
      <c r="DE368" s="1662"/>
      <c r="DF368" s="1662"/>
      <c r="DG368" s="1662"/>
      <c r="DH368" s="1662"/>
      <c r="DI368" s="1662"/>
      <c r="DJ368" s="1662"/>
      <c r="DK368" s="1662"/>
      <c r="DL368" s="1662"/>
    </row>
    <row r="369" spans="98:116">
      <c r="CT369" s="1662"/>
      <c r="CU369" s="1662"/>
      <c r="CV369" s="1662"/>
      <c r="CW369" s="1662"/>
      <c r="CX369" s="1662"/>
      <c r="CY369" s="1662"/>
      <c r="CZ369" s="1662"/>
      <c r="DA369" s="1662"/>
      <c r="DB369" s="1662"/>
      <c r="DC369" s="1662"/>
      <c r="DD369" s="1662"/>
      <c r="DE369" s="1662"/>
      <c r="DF369" s="1662"/>
      <c r="DG369" s="1662"/>
      <c r="DH369" s="1662"/>
      <c r="DI369" s="1662"/>
      <c r="DJ369" s="1662"/>
      <c r="DK369" s="1662"/>
      <c r="DL369" s="1662"/>
    </row>
    <row r="370" spans="98:116">
      <c r="CT370" s="1662"/>
      <c r="CU370" s="1662"/>
      <c r="CV370" s="1662"/>
      <c r="CW370" s="1662"/>
      <c r="CX370" s="1662"/>
      <c r="CY370" s="1662"/>
      <c r="CZ370" s="1662"/>
      <c r="DA370" s="1662"/>
      <c r="DB370" s="1662"/>
      <c r="DC370" s="1662"/>
      <c r="DD370" s="1662"/>
      <c r="DE370" s="1662"/>
      <c r="DF370" s="1662"/>
      <c r="DG370" s="1662"/>
      <c r="DH370" s="1662"/>
      <c r="DI370" s="1662"/>
      <c r="DJ370" s="1662"/>
      <c r="DK370" s="1662"/>
      <c r="DL370" s="1662"/>
    </row>
    <row r="371" spans="98:116">
      <c r="CT371" s="1662"/>
      <c r="CU371" s="1662"/>
      <c r="CV371" s="1662"/>
      <c r="CW371" s="1662"/>
      <c r="CX371" s="1662"/>
      <c r="CY371" s="1662"/>
      <c r="CZ371" s="1662"/>
      <c r="DA371" s="1662"/>
      <c r="DB371" s="1662"/>
      <c r="DC371" s="1662"/>
      <c r="DD371" s="1662"/>
      <c r="DE371" s="1662"/>
      <c r="DF371" s="1662"/>
      <c r="DG371" s="1662"/>
      <c r="DH371" s="1662"/>
      <c r="DI371" s="1662"/>
      <c r="DJ371" s="1662"/>
      <c r="DK371" s="1662"/>
      <c r="DL371" s="1662"/>
    </row>
    <row r="372" spans="98:116">
      <c r="CT372" s="1662"/>
      <c r="CU372" s="1662"/>
      <c r="CV372" s="1662"/>
      <c r="CW372" s="1662"/>
      <c r="CX372" s="1662"/>
      <c r="CY372" s="1662"/>
      <c r="CZ372" s="1662"/>
      <c r="DA372" s="1662"/>
      <c r="DB372" s="1662"/>
      <c r="DC372" s="1662"/>
      <c r="DD372" s="1662"/>
      <c r="DE372" s="1662"/>
      <c r="DF372" s="1662"/>
      <c r="DG372" s="1662"/>
      <c r="DH372" s="1662"/>
      <c r="DI372" s="1662"/>
      <c r="DJ372" s="1662"/>
      <c r="DK372" s="1662"/>
      <c r="DL372" s="1662"/>
    </row>
    <row r="373" spans="98:116">
      <c r="CT373" s="1662"/>
      <c r="CU373" s="1662"/>
      <c r="CV373" s="1662"/>
      <c r="CW373" s="1662"/>
      <c r="CX373" s="1662"/>
      <c r="CY373" s="1662"/>
      <c r="CZ373" s="1662"/>
      <c r="DA373" s="1662"/>
      <c r="DB373" s="1662"/>
      <c r="DC373" s="1662"/>
      <c r="DD373" s="1662"/>
      <c r="DE373" s="1662"/>
      <c r="DF373" s="1662"/>
      <c r="DG373" s="1662"/>
      <c r="DH373" s="1662"/>
      <c r="DI373" s="1662"/>
      <c r="DJ373" s="1662"/>
      <c r="DK373" s="1662"/>
      <c r="DL373" s="1662"/>
    </row>
    <row r="374" spans="98:116">
      <c r="CT374" s="1662"/>
      <c r="CU374" s="1662"/>
      <c r="CV374" s="1662"/>
      <c r="CW374" s="1662"/>
      <c r="CX374" s="1662"/>
      <c r="CY374" s="1662"/>
      <c r="CZ374" s="1662"/>
      <c r="DA374" s="1662"/>
      <c r="DB374" s="1662"/>
      <c r="DC374" s="1662"/>
      <c r="DD374" s="1662"/>
      <c r="DE374" s="1662"/>
      <c r="DF374" s="1662"/>
      <c r="DG374" s="1662"/>
      <c r="DH374" s="1662"/>
      <c r="DI374" s="1662"/>
      <c r="DJ374" s="1662"/>
      <c r="DK374" s="1662"/>
      <c r="DL374" s="1662"/>
    </row>
    <row r="375" spans="98:116">
      <c r="CT375" s="1662"/>
      <c r="CU375" s="1662"/>
      <c r="CV375" s="1662"/>
      <c r="CW375" s="1662"/>
      <c r="CX375" s="1662"/>
      <c r="CY375" s="1662"/>
      <c r="CZ375" s="1662"/>
      <c r="DA375" s="1662"/>
      <c r="DB375" s="1662"/>
      <c r="DC375" s="1662"/>
      <c r="DD375" s="1662"/>
      <c r="DE375" s="1662"/>
      <c r="DF375" s="1662"/>
      <c r="DG375" s="1662"/>
      <c r="DH375" s="1662"/>
      <c r="DI375" s="1662"/>
      <c r="DJ375" s="1662"/>
      <c r="DK375" s="1662"/>
      <c r="DL375" s="1662"/>
    </row>
    <row r="376" spans="98:116">
      <c r="CT376" s="1662"/>
      <c r="CU376" s="1662"/>
      <c r="CV376" s="1662"/>
      <c r="CW376" s="1662"/>
      <c r="CX376" s="1662"/>
      <c r="CY376" s="1662"/>
      <c r="CZ376" s="1662"/>
      <c r="DA376" s="1662"/>
      <c r="DB376" s="1662"/>
      <c r="DC376" s="1662"/>
      <c r="DD376" s="1662"/>
      <c r="DE376" s="1662"/>
      <c r="DF376" s="1662"/>
      <c r="DG376" s="1662"/>
      <c r="DH376" s="1662"/>
      <c r="DI376" s="1662"/>
      <c r="DJ376" s="1662"/>
      <c r="DK376" s="1662"/>
      <c r="DL376" s="1662"/>
    </row>
    <row r="377" spans="98:116">
      <c r="CT377" s="1662"/>
      <c r="CU377" s="1662"/>
      <c r="CV377" s="1662"/>
      <c r="CW377" s="1662"/>
      <c r="CX377" s="1662"/>
      <c r="CY377" s="1662"/>
      <c r="CZ377" s="1662"/>
      <c r="DA377" s="1662"/>
      <c r="DB377" s="1662"/>
      <c r="DC377" s="1662"/>
      <c r="DD377" s="1662"/>
      <c r="DE377" s="1662"/>
      <c r="DF377" s="1662"/>
      <c r="DG377" s="1662"/>
      <c r="DH377" s="1662"/>
      <c r="DI377" s="1662"/>
      <c r="DJ377" s="1662"/>
      <c r="DK377" s="1662"/>
      <c r="DL377" s="1662"/>
    </row>
    <row r="378" spans="98:116">
      <c r="CT378" s="1662"/>
      <c r="CU378" s="1662"/>
      <c r="CV378" s="1662"/>
      <c r="CW378" s="1662"/>
      <c r="CX378" s="1662"/>
      <c r="CY378" s="1662"/>
      <c r="CZ378" s="1662"/>
      <c r="DA378" s="1662"/>
      <c r="DB378" s="1662"/>
      <c r="DC378" s="1662"/>
      <c r="DD378" s="1662"/>
      <c r="DE378" s="1662"/>
      <c r="DF378" s="1662"/>
      <c r="DG378" s="1662"/>
      <c r="DH378" s="1662"/>
      <c r="DI378" s="1662"/>
      <c r="DJ378" s="1662"/>
      <c r="DK378" s="1662"/>
      <c r="DL378" s="1662"/>
    </row>
    <row r="379" spans="98:116">
      <c r="CT379" s="1662"/>
      <c r="CU379" s="1662"/>
      <c r="CV379" s="1662"/>
      <c r="CW379" s="1662"/>
      <c r="CX379" s="1662"/>
      <c r="CY379" s="1662"/>
      <c r="CZ379" s="1662"/>
      <c r="DA379" s="1662"/>
      <c r="DB379" s="1662"/>
      <c r="DC379" s="1662"/>
      <c r="DD379" s="1662"/>
      <c r="DE379" s="1662"/>
      <c r="DF379" s="1662"/>
      <c r="DG379" s="1662"/>
      <c r="DH379" s="1662"/>
      <c r="DI379" s="1662"/>
      <c r="DJ379" s="1662"/>
      <c r="DK379" s="1662"/>
      <c r="DL379" s="1662"/>
    </row>
    <row r="380" spans="98:116">
      <c r="CT380" s="1662"/>
      <c r="CU380" s="1662"/>
      <c r="CV380" s="1662"/>
      <c r="CW380" s="1662"/>
      <c r="CX380" s="1662"/>
      <c r="CY380" s="1662"/>
      <c r="CZ380" s="1662"/>
      <c r="DA380" s="1662"/>
      <c r="DB380" s="1662"/>
      <c r="DC380" s="1662"/>
      <c r="DD380" s="1662"/>
      <c r="DE380" s="1662"/>
      <c r="DF380" s="1662"/>
      <c r="DG380" s="1662"/>
      <c r="DH380" s="1662"/>
      <c r="DI380" s="1662"/>
      <c r="DJ380" s="1662"/>
      <c r="DK380" s="1662"/>
      <c r="DL380" s="1662"/>
    </row>
    <row r="381" spans="98:116">
      <c r="CT381" s="1662"/>
      <c r="CU381" s="1662"/>
      <c r="CV381" s="1662"/>
      <c r="CW381" s="1662"/>
      <c r="CX381" s="1662"/>
      <c r="CY381" s="1662"/>
      <c r="CZ381" s="1662"/>
      <c r="DA381" s="1662"/>
      <c r="DB381" s="1662"/>
      <c r="DC381" s="1662"/>
      <c r="DD381" s="1662"/>
      <c r="DE381" s="1662"/>
      <c r="DF381" s="1662"/>
      <c r="DG381" s="1662"/>
      <c r="DH381" s="1662"/>
      <c r="DI381" s="1662"/>
      <c r="DJ381" s="1662"/>
      <c r="DK381" s="1662"/>
      <c r="DL381" s="1662"/>
    </row>
    <row r="382" spans="98:116">
      <c r="CT382" s="1662"/>
      <c r="CU382" s="1662"/>
      <c r="CV382" s="1662"/>
      <c r="CW382" s="1662"/>
      <c r="CX382" s="1662"/>
      <c r="CY382" s="1662"/>
      <c r="CZ382" s="1662"/>
      <c r="DA382" s="1662"/>
      <c r="DB382" s="1662"/>
      <c r="DC382" s="1662"/>
      <c r="DD382" s="1662"/>
      <c r="DE382" s="1662"/>
      <c r="DF382" s="1662"/>
      <c r="DG382" s="1662"/>
      <c r="DH382" s="1662"/>
      <c r="DI382" s="1662"/>
      <c r="DJ382" s="1662"/>
      <c r="DK382" s="1662"/>
      <c r="DL382" s="1662"/>
    </row>
    <row r="383" spans="98:116">
      <c r="CT383" s="1662"/>
      <c r="CU383" s="1662"/>
      <c r="CV383" s="1662"/>
      <c r="CW383" s="1662"/>
      <c r="CX383" s="1662"/>
      <c r="CY383" s="1662"/>
      <c r="CZ383" s="1662"/>
      <c r="DA383" s="1662"/>
      <c r="DB383" s="1662"/>
      <c r="DC383" s="1662"/>
      <c r="DD383" s="1662"/>
      <c r="DE383" s="1662"/>
      <c r="DF383" s="1662"/>
      <c r="DG383" s="1662"/>
      <c r="DH383" s="1662"/>
      <c r="DI383" s="1662"/>
      <c r="DJ383" s="1662"/>
      <c r="DK383" s="1662"/>
      <c r="DL383" s="1662"/>
    </row>
    <row r="384" spans="98:116">
      <c r="CT384" s="1662"/>
      <c r="CU384" s="1662"/>
      <c r="CV384" s="1662"/>
      <c r="CW384" s="1662"/>
      <c r="CX384" s="1662"/>
      <c r="CY384" s="1662"/>
      <c r="CZ384" s="1662"/>
      <c r="DA384" s="1662"/>
      <c r="DB384" s="1662"/>
      <c r="DC384" s="1662"/>
      <c r="DD384" s="1662"/>
      <c r="DE384" s="1662"/>
      <c r="DF384" s="1662"/>
      <c r="DG384" s="1662"/>
      <c r="DH384" s="1662"/>
      <c r="DI384" s="1662"/>
      <c r="DJ384" s="1662"/>
      <c r="DK384" s="1662"/>
      <c r="DL384" s="1662"/>
    </row>
    <row r="385" spans="98:116">
      <c r="CT385" s="1662"/>
      <c r="CU385" s="1662"/>
      <c r="CV385" s="1662"/>
      <c r="CW385" s="1662"/>
      <c r="CX385" s="1662"/>
      <c r="CY385" s="1662"/>
      <c r="CZ385" s="1662"/>
      <c r="DA385" s="1662"/>
      <c r="DB385" s="1662"/>
      <c r="DC385" s="1662"/>
      <c r="DD385" s="1662"/>
      <c r="DE385" s="1662"/>
      <c r="DF385" s="1662"/>
      <c r="DG385" s="1662"/>
      <c r="DH385" s="1662"/>
      <c r="DI385" s="1662"/>
      <c r="DJ385" s="1662"/>
      <c r="DK385" s="1662"/>
      <c r="DL385" s="1662"/>
    </row>
    <row r="386" spans="98:116">
      <c r="CT386" s="1662"/>
      <c r="CU386" s="1662"/>
      <c r="CV386" s="1662"/>
      <c r="CW386" s="1662"/>
      <c r="CX386" s="1662"/>
      <c r="CY386" s="1662"/>
      <c r="CZ386" s="1662"/>
      <c r="DA386" s="1662"/>
      <c r="DB386" s="1662"/>
      <c r="DC386" s="1662"/>
      <c r="DD386" s="1662"/>
      <c r="DE386" s="1662"/>
      <c r="DF386" s="1662"/>
      <c r="DG386" s="1662"/>
      <c r="DH386" s="1662"/>
      <c r="DI386" s="1662"/>
      <c r="DJ386" s="1662"/>
      <c r="DK386" s="1662"/>
      <c r="DL386" s="1662"/>
    </row>
    <row r="387" spans="98:116">
      <c r="CT387" s="1662"/>
      <c r="CU387" s="1662"/>
      <c r="CV387" s="1662"/>
      <c r="CW387" s="1662"/>
      <c r="CX387" s="1662"/>
      <c r="CY387" s="1662"/>
      <c r="CZ387" s="1662"/>
      <c r="DA387" s="1662"/>
      <c r="DB387" s="1662"/>
      <c r="DC387" s="1662"/>
      <c r="DD387" s="1662"/>
      <c r="DE387" s="1662"/>
      <c r="DF387" s="1662"/>
      <c r="DG387" s="1662"/>
      <c r="DH387" s="1662"/>
      <c r="DI387" s="1662"/>
      <c r="DJ387" s="1662"/>
      <c r="DK387" s="1662"/>
      <c r="DL387" s="1662"/>
    </row>
    <row r="388" spans="98:116">
      <c r="CT388" s="1662"/>
      <c r="CU388" s="1662"/>
      <c r="CV388" s="1662"/>
      <c r="CW388" s="1662"/>
      <c r="CX388" s="1662"/>
      <c r="CY388" s="1662"/>
      <c r="CZ388" s="1662"/>
      <c r="DA388" s="1662"/>
      <c r="DB388" s="1662"/>
      <c r="DC388" s="1662"/>
      <c r="DD388" s="1662"/>
      <c r="DE388" s="1662"/>
      <c r="DF388" s="1662"/>
      <c r="DG388" s="1662"/>
      <c r="DH388" s="1662"/>
      <c r="DI388" s="1662"/>
      <c r="DJ388" s="1662"/>
      <c r="DK388" s="1662"/>
      <c r="DL388" s="1662"/>
    </row>
    <row r="389" spans="98:116">
      <c r="CT389" s="1662"/>
      <c r="CU389" s="1662"/>
      <c r="CV389" s="1662"/>
      <c r="CW389" s="1662"/>
      <c r="CX389" s="1662"/>
      <c r="CY389" s="1662"/>
      <c r="CZ389" s="1662"/>
      <c r="DA389" s="1662"/>
      <c r="DB389" s="1662"/>
      <c r="DC389" s="1662"/>
      <c r="DD389" s="1662"/>
      <c r="DE389" s="1662"/>
      <c r="DF389" s="1662"/>
      <c r="DG389" s="1662"/>
      <c r="DH389" s="1662"/>
      <c r="DI389" s="1662"/>
      <c r="DJ389" s="1662"/>
      <c r="DK389" s="1662"/>
      <c r="DL389" s="1662"/>
    </row>
    <row r="390" spans="98:116">
      <c r="CT390" s="1662"/>
      <c r="CU390" s="1662"/>
      <c r="CV390" s="1662"/>
      <c r="CW390" s="1662"/>
      <c r="CX390" s="1662"/>
      <c r="CY390" s="1662"/>
      <c r="CZ390" s="1662"/>
      <c r="DA390" s="1662"/>
      <c r="DB390" s="1662"/>
      <c r="DC390" s="1662"/>
      <c r="DD390" s="1662"/>
      <c r="DE390" s="1662"/>
      <c r="DF390" s="1662"/>
      <c r="DG390" s="1662"/>
      <c r="DH390" s="1662"/>
      <c r="DI390" s="1662"/>
      <c r="DJ390" s="1662"/>
      <c r="DK390" s="1662"/>
      <c r="DL390" s="1662"/>
    </row>
    <row r="391" spans="98:116">
      <c r="CT391" s="1662"/>
      <c r="CU391" s="1662"/>
      <c r="CV391" s="1662"/>
      <c r="CW391" s="1662"/>
      <c r="CX391" s="1662"/>
      <c r="CY391" s="1662"/>
      <c r="CZ391" s="1662"/>
      <c r="DA391" s="1662"/>
      <c r="DB391" s="1662"/>
      <c r="DC391" s="1662"/>
      <c r="DD391" s="1662"/>
      <c r="DE391" s="1662"/>
      <c r="DF391" s="1662"/>
      <c r="DG391" s="1662"/>
      <c r="DH391" s="1662"/>
      <c r="DI391" s="1662"/>
      <c r="DJ391" s="1662"/>
      <c r="DK391" s="1662"/>
      <c r="DL391" s="1662"/>
    </row>
    <row r="392" spans="98:116">
      <c r="CT392" s="1662"/>
      <c r="CU392" s="1662"/>
      <c r="CV392" s="1662"/>
      <c r="CW392" s="1662"/>
      <c r="CX392" s="1662"/>
      <c r="CY392" s="1662"/>
      <c r="CZ392" s="1662"/>
      <c r="DA392" s="1662"/>
      <c r="DB392" s="1662"/>
      <c r="DC392" s="1662"/>
      <c r="DD392" s="1662"/>
      <c r="DE392" s="1662"/>
      <c r="DF392" s="1662"/>
      <c r="DG392" s="1662"/>
      <c r="DH392" s="1662"/>
      <c r="DI392" s="1662"/>
      <c r="DJ392" s="1662"/>
      <c r="DK392" s="1662"/>
      <c r="DL392" s="1662"/>
    </row>
    <row r="393" spans="98:116">
      <c r="CT393" s="1662"/>
      <c r="CU393" s="1662"/>
      <c r="CV393" s="1662"/>
      <c r="CW393" s="1662"/>
      <c r="CX393" s="1662"/>
      <c r="CY393" s="1662"/>
      <c r="CZ393" s="1662"/>
      <c r="DA393" s="1662"/>
      <c r="DB393" s="1662"/>
      <c r="DC393" s="1662"/>
      <c r="DD393" s="1662"/>
      <c r="DE393" s="1662"/>
      <c r="DF393" s="1662"/>
      <c r="DG393" s="1662"/>
      <c r="DH393" s="1662"/>
      <c r="DI393" s="1662"/>
      <c r="DJ393" s="1662"/>
      <c r="DK393" s="1662"/>
      <c r="DL393" s="1662"/>
    </row>
    <row r="394" spans="98:116">
      <c r="CT394" s="1662"/>
      <c r="CU394" s="1662"/>
      <c r="CV394" s="1662"/>
      <c r="CW394" s="1662"/>
      <c r="CX394" s="1662"/>
      <c r="CY394" s="1662"/>
      <c r="CZ394" s="1662"/>
      <c r="DA394" s="1662"/>
      <c r="DB394" s="1662"/>
      <c r="DC394" s="1662"/>
      <c r="DD394" s="1662"/>
      <c r="DE394" s="1662"/>
      <c r="DF394" s="1662"/>
      <c r="DG394" s="1662"/>
      <c r="DH394" s="1662"/>
      <c r="DI394" s="1662"/>
      <c r="DJ394" s="1662"/>
      <c r="DK394" s="1662"/>
      <c r="DL394" s="1662"/>
    </row>
    <row r="395" spans="98:116">
      <c r="CT395" s="1662"/>
      <c r="CU395" s="1662"/>
      <c r="CV395" s="1662"/>
      <c r="CW395" s="1662"/>
      <c r="CX395" s="1662"/>
      <c r="CY395" s="1662"/>
      <c r="CZ395" s="1662"/>
      <c r="DA395" s="1662"/>
      <c r="DB395" s="1662"/>
      <c r="DC395" s="1662"/>
      <c r="DD395" s="1662"/>
      <c r="DE395" s="1662"/>
      <c r="DF395" s="1662"/>
      <c r="DG395" s="1662"/>
      <c r="DH395" s="1662"/>
      <c r="DI395" s="1662"/>
      <c r="DJ395" s="1662"/>
      <c r="DK395" s="1662"/>
      <c r="DL395" s="1662"/>
    </row>
    <row r="396" spans="98:116">
      <c r="CT396" s="1662"/>
      <c r="CU396" s="1662"/>
      <c r="CV396" s="1662"/>
      <c r="CW396" s="1662"/>
      <c r="CX396" s="1662"/>
      <c r="CY396" s="1662"/>
      <c r="CZ396" s="1662"/>
      <c r="DA396" s="1662"/>
      <c r="DB396" s="1662"/>
      <c r="DC396" s="1662"/>
      <c r="DD396" s="1662"/>
      <c r="DE396" s="1662"/>
      <c r="DF396" s="1662"/>
      <c r="DG396" s="1662"/>
      <c r="DH396" s="1662"/>
      <c r="DI396" s="1662"/>
      <c r="DJ396" s="1662"/>
      <c r="DK396" s="1662"/>
      <c r="DL396" s="1662"/>
    </row>
    <row r="397" spans="98:116">
      <c r="CT397" s="1662"/>
      <c r="CU397" s="1662"/>
      <c r="CV397" s="1662"/>
      <c r="CW397" s="1662"/>
      <c r="CX397" s="1662"/>
      <c r="CY397" s="1662"/>
      <c r="CZ397" s="1662"/>
      <c r="DA397" s="1662"/>
      <c r="DB397" s="1662"/>
      <c r="DC397" s="1662"/>
      <c r="DD397" s="1662"/>
      <c r="DE397" s="1662"/>
      <c r="DF397" s="1662"/>
      <c r="DG397" s="1662"/>
      <c r="DH397" s="1662"/>
      <c r="DI397" s="1662"/>
      <c r="DJ397" s="1662"/>
      <c r="DK397" s="1662"/>
      <c r="DL397" s="1662"/>
    </row>
    <row r="398" spans="98:116">
      <c r="CT398" s="1662"/>
      <c r="CU398" s="1662"/>
      <c r="CV398" s="1662"/>
      <c r="CW398" s="1662"/>
      <c r="CX398" s="1662"/>
      <c r="CY398" s="1662"/>
      <c r="CZ398" s="1662"/>
      <c r="DA398" s="1662"/>
      <c r="DB398" s="1662"/>
      <c r="DC398" s="1662"/>
      <c r="DD398" s="1662"/>
      <c r="DE398" s="1662"/>
      <c r="DF398" s="1662"/>
      <c r="DG398" s="1662"/>
      <c r="DH398" s="1662"/>
      <c r="DI398" s="1662"/>
      <c r="DJ398" s="1662"/>
      <c r="DK398" s="1662"/>
      <c r="DL398" s="1662"/>
    </row>
    <row r="399" spans="98:116">
      <c r="CT399" s="1662"/>
      <c r="CU399" s="1662"/>
      <c r="CV399" s="1662"/>
      <c r="CW399" s="1662"/>
      <c r="CX399" s="1662"/>
      <c r="CY399" s="1662"/>
      <c r="CZ399" s="1662"/>
      <c r="DA399" s="1662"/>
      <c r="DB399" s="1662"/>
      <c r="DC399" s="1662"/>
      <c r="DD399" s="1662"/>
      <c r="DE399" s="1662"/>
      <c r="DF399" s="1662"/>
      <c r="DG399" s="1662"/>
      <c r="DH399" s="1662"/>
      <c r="DI399" s="1662"/>
      <c r="DJ399" s="1662"/>
      <c r="DK399" s="1662"/>
      <c r="DL399" s="1662"/>
    </row>
    <row r="400" spans="98:116">
      <c r="CT400" s="1662"/>
      <c r="CU400" s="1662"/>
      <c r="CV400" s="1662"/>
      <c r="CW400" s="1662"/>
      <c r="CX400" s="1662"/>
      <c r="CY400" s="1662"/>
      <c r="CZ400" s="1662"/>
      <c r="DA400" s="1662"/>
      <c r="DB400" s="1662"/>
      <c r="DC400" s="1662"/>
      <c r="DD400" s="1662"/>
      <c r="DE400" s="1662"/>
      <c r="DF400" s="1662"/>
      <c r="DG400" s="1662"/>
      <c r="DH400" s="1662"/>
      <c r="DI400" s="1662"/>
      <c r="DJ400" s="1662"/>
      <c r="DK400" s="1662"/>
      <c r="DL400" s="1662"/>
    </row>
    <row r="401" spans="98:116">
      <c r="CT401" s="1662"/>
      <c r="CU401" s="1662"/>
      <c r="CV401" s="1662"/>
      <c r="CW401" s="1662"/>
      <c r="CX401" s="1662"/>
      <c r="CY401" s="1662"/>
      <c r="CZ401" s="1662"/>
      <c r="DA401" s="1662"/>
      <c r="DB401" s="1662"/>
      <c r="DC401" s="1662"/>
      <c r="DD401" s="1662"/>
      <c r="DE401" s="1662"/>
      <c r="DF401" s="1662"/>
      <c r="DG401" s="1662"/>
      <c r="DH401" s="1662"/>
      <c r="DI401" s="1662"/>
      <c r="DJ401" s="1662"/>
      <c r="DK401" s="1662"/>
      <c r="DL401" s="1662"/>
    </row>
    <row r="402" spans="98:116">
      <c r="CT402" s="1662"/>
      <c r="CU402" s="1662"/>
      <c r="CV402" s="1662"/>
      <c r="CW402" s="1662"/>
      <c r="CX402" s="1662"/>
      <c r="CY402" s="1662"/>
      <c r="CZ402" s="1662"/>
      <c r="DA402" s="1662"/>
      <c r="DB402" s="1662"/>
      <c r="DC402" s="1662"/>
      <c r="DD402" s="1662"/>
      <c r="DE402" s="1662"/>
      <c r="DF402" s="1662"/>
      <c r="DG402" s="1662"/>
      <c r="DH402" s="1662"/>
      <c r="DI402" s="1662"/>
      <c r="DJ402" s="1662"/>
      <c r="DK402" s="1662"/>
      <c r="DL402" s="1662"/>
    </row>
    <row r="403" spans="98:116">
      <c r="CT403" s="1662"/>
      <c r="CU403" s="1662"/>
      <c r="CV403" s="1662"/>
      <c r="CW403" s="1662"/>
      <c r="CX403" s="1662"/>
      <c r="CY403" s="1662"/>
      <c r="CZ403" s="1662"/>
      <c r="DA403" s="1662"/>
      <c r="DB403" s="1662"/>
      <c r="DC403" s="1662"/>
      <c r="DD403" s="1662"/>
      <c r="DE403" s="1662"/>
      <c r="DF403" s="1662"/>
      <c r="DG403" s="1662"/>
      <c r="DH403" s="1662"/>
      <c r="DI403" s="1662"/>
      <c r="DJ403" s="1662"/>
      <c r="DK403" s="1662"/>
      <c r="DL403" s="1662"/>
    </row>
    <row r="404" spans="98:116">
      <c r="CT404" s="1662"/>
      <c r="CU404" s="1662"/>
      <c r="CV404" s="1662"/>
      <c r="CW404" s="1662"/>
      <c r="CX404" s="1662"/>
      <c r="CY404" s="1662"/>
      <c r="CZ404" s="1662"/>
      <c r="DA404" s="1662"/>
      <c r="DB404" s="1662"/>
      <c r="DC404" s="1662"/>
      <c r="DD404" s="1662"/>
      <c r="DE404" s="1662"/>
      <c r="DF404" s="1662"/>
      <c r="DG404" s="1662"/>
      <c r="DH404" s="1662"/>
      <c r="DI404" s="1662"/>
      <c r="DJ404" s="1662"/>
      <c r="DK404" s="1662"/>
      <c r="DL404" s="1662"/>
    </row>
    <row r="405" spans="98:116">
      <c r="CT405" s="1662"/>
      <c r="CU405" s="1662"/>
      <c r="CV405" s="1662"/>
      <c r="CW405" s="1662"/>
      <c r="CX405" s="1662"/>
      <c r="CY405" s="1662"/>
      <c r="CZ405" s="1662"/>
      <c r="DA405" s="1662"/>
      <c r="DB405" s="1662"/>
      <c r="DC405" s="1662"/>
      <c r="DD405" s="1662"/>
      <c r="DE405" s="1662"/>
      <c r="DF405" s="1662"/>
      <c r="DG405" s="1662"/>
      <c r="DH405" s="1662"/>
      <c r="DI405" s="1662"/>
      <c r="DJ405" s="1662"/>
      <c r="DK405" s="1662"/>
      <c r="DL405" s="1662"/>
    </row>
    <row r="406" spans="98:116">
      <c r="CT406" s="1662"/>
      <c r="CU406" s="1662"/>
      <c r="CV406" s="1662"/>
      <c r="CW406" s="1662"/>
      <c r="CX406" s="1662"/>
      <c r="CY406" s="1662"/>
      <c r="CZ406" s="1662"/>
      <c r="DA406" s="1662"/>
      <c r="DB406" s="1662"/>
      <c r="DC406" s="1662"/>
      <c r="DD406" s="1662"/>
      <c r="DE406" s="1662"/>
      <c r="DF406" s="1662"/>
      <c r="DG406" s="1662"/>
      <c r="DH406" s="1662"/>
      <c r="DI406" s="1662"/>
      <c r="DJ406" s="1662"/>
      <c r="DK406" s="1662"/>
      <c r="DL406" s="1662"/>
    </row>
    <row r="407" spans="98:116">
      <c r="CT407" s="1662"/>
      <c r="CU407" s="1662"/>
      <c r="CV407" s="1662"/>
      <c r="CW407" s="1662"/>
      <c r="CX407" s="1662"/>
      <c r="CY407" s="1662"/>
      <c r="CZ407" s="1662"/>
      <c r="DA407" s="1662"/>
      <c r="DB407" s="1662"/>
      <c r="DC407" s="1662"/>
      <c r="DD407" s="1662"/>
      <c r="DE407" s="1662"/>
      <c r="DF407" s="1662"/>
      <c r="DG407" s="1662"/>
      <c r="DH407" s="1662"/>
      <c r="DI407" s="1662"/>
      <c r="DJ407" s="1662"/>
      <c r="DK407" s="1662"/>
      <c r="DL407" s="1662"/>
    </row>
    <row r="408" spans="98:116">
      <c r="CT408" s="1662"/>
      <c r="CU408" s="1662"/>
      <c r="CV408" s="1662"/>
      <c r="CW408" s="1662"/>
      <c r="CX408" s="1662"/>
      <c r="CY408" s="1662"/>
      <c r="CZ408" s="1662"/>
      <c r="DA408" s="1662"/>
      <c r="DB408" s="1662"/>
      <c r="DC408" s="1662"/>
      <c r="DD408" s="1662"/>
      <c r="DE408" s="1662"/>
      <c r="DF408" s="1662"/>
      <c r="DG408" s="1662"/>
      <c r="DH408" s="1662"/>
      <c r="DI408" s="1662"/>
      <c r="DJ408" s="1662"/>
      <c r="DK408" s="1662"/>
      <c r="DL408" s="1662"/>
    </row>
    <row r="409" spans="98:116">
      <c r="CT409" s="1662"/>
      <c r="CU409" s="1662"/>
      <c r="CV409" s="1662"/>
      <c r="CW409" s="1662"/>
      <c r="CX409" s="1662"/>
      <c r="CY409" s="1662"/>
      <c r="CZ409" s="1662"/>
      <c r="DA409" s="1662"/>
      <c r="DB409" s="1662"/>
      <c r="DC409" s="1662"/>
      <c r="DD409" s="1662"/>
      <c r="DE409" s="1662"/>
      <c r="DF409" s="1662"/>
      <c r="DG409" s="1662"/>
      <c r="DH409" s="1662"/>
      <c r="DI409" s="1662"/>
      <c r="DJ409" s="1662"/>
      <c r="DK409" s="1662"/>
      <c r="DL409" s="1662"/>
    </row>
    <row r="410" spans="98:116">
      <c r="CT410" s="1662"/>
      <c r="CU410" s="1662"/>
      <c r="CV410" s="1662"/>
      <c r="CW410" s="1662"/>
      <c r="CX410" s="1662"/>
      <c r="CY410" s="1662"/>
      <c r="CZ410" s="1662"/>
      <c r="DA410" s="1662"/>
      <c r="DB410" s="1662"/>
      <c r="DC410" s="1662"/>
      <c r="DD410" s="1662"/>
      <c r="DE410" s="1662"/>
      <c r="DF410" s="1662"/>
      <c r="DG410" s="1662"/>
      <c r="DH410" s="1662"/>
      <c r="DI410" s="1662"/>
      <c r="DJ410" s="1662"/>
      <c r="DK410" s="1662"/>
      <c r="DL410" s="1662"/>
    </row>
    <row r="411" spans="98:116">
      <c r="CT411" s="1662"/>
      <c r="CU411" s="1662"/>
      <c r="CV411" s="1662"/>
      <c r="CW411" s="1662"/>
      <c r="CX411" s="1662"/>
      <c r="CY411" s="1662"/>
      <c r="CZ411" s="1662"/>
      <c r="DA411" s="1662"/>
      <c r="DB411" s="1662"/>
      <c r="DC411" s="1662"/>
      <c r="DD411" s="1662"/>
      <c r="DE411" s="1662"/>
      <c r="DF411" s="1662"/>
      <c r="DG411" s="1662"/>
      <c r="DH411" s="1662"/>
      <c r="DI411" s="1662"/>
      <c r="DJ411" s="1662"/>
      <c r="DK411" s="1662"/>
      <c r="DL411" s="1662"/>
    </row>
    <row r="412" spans="98:116">
      <c r="CT412" s="1662"/>
      <c r="CU412" s="1662"/>
      <c r="CV412" s="1662"/>
      <c r="CW412" s="1662"/>
      <c r="CX412" s="1662"/>
      <c r="CY412" s="1662"/>
      <c r="CZ412" s="1662"/>
      <c r="DA412" s="1662"/>
      <c r="DB412" s="1662"/>
      <c r="DC412" s="1662"/>
      <c r="DD412" s="1662"/>
      <c r="DE412" s="1662"/>
      <c r="DF412" s="1662"/>
      <c r="DG412" s="1662"/>
      <c r="DH412" s="1662"/>
      <c r="DI412" s="1662"/>
      <c r="DJ412" s="1662"/>
      <c r="DK412" s="1662"/>
      <c r="DL412" s="1662"/>
    </row>
    <row r="413" spans="98:116">
      <c r="CT413" s="1662"/>
      <c r="CU413" s="1662"/>
      <c r="CV413" s="1662"/>
      <c r="CW413" s="1662"/>
      <c r="CX413" s="1662"/>
      <c r="CY413" s="1662"/>
      <c r="CZ413" s="1662"/>
      <c r="DA413" s="1662"/>
      <c r="DB413" s="1662"/>
      <c r="DC413" s="1662"/>
      <c r="DD413" s="1662"/>
      <c r="DE413" s="1662"/>
      <c r="DF413" s="1662"/>
      <c r="DG413" s="1662"/>
      <c r="DH413" s="1662"/>
      <c r="DI413" s="1662"/>
      <c r="DJ413" s="1662"/>
      <c r="DK413" s="1662"/>
      <c r="DL413" s="1662"/>
    </row>
    <row r="414" spans="98:116">
      <c r="CT414" s="1662"/>
      <c r="CU414" s="1662"/>
      <c r="CV414" s="1662"/>
      <c r="CW414" s="1662"/>
      <c r="CX414" s="1662"/>
      <c r="CY414" s="1662"/>
      <c r="CZ414" s="1662"/>
      <c r="DA414" s="1662"/>
      <c r="DB414" s="1662"/>
      <c r="DC414" s="1662"/>
      <c r="DD414" s="1662"/>
      <c r="DE414" s="1662"/>
      <c r="DF414" s="1662"/>
      <c r="DG414" s="1662"/>
      <c r="DH414" s="1662"/>
      <c r="DI414" s="1662"/>
      <c r="DJ414" s="1662"/>
      <c r="DK414" s="1662"/>
      <c r="DL414" s="1662"/>
    </row>
    <row r="415" spans="98:116">
      <c r="CT415" s="1662"/>
      <c r="CU415" s="1662"/>
      <c r="CV415" s="1662"/>
      <c r="CW415" s="1662"/>
      <c r="CX415" s="1662"/>
      <c r="CY415" s="1662"/>
      <c r="CZ415" s="1662"/>
      <c r="DA415" s="1662"/>
      <c r="DB415" s="1662"/>
      <c r="DC415" s="1662"/>
      <c r="DD415" s="1662"/>
      <c r="DE415" s="1662"/>
      <c r="DF415" s="1662"/>
      <c r="DG415" s="1662"/>
      <c r="DH415" s="1662"/>
      <c r="DI415" s="1662"/>
      <c r="DJ415" s="1662"/>
      <c r="DK415" s="1662"/>
      <c r="DL415" s="1662"/>
    </row>
    <row r="416" spans="98:116">
      <c r="CT416" s="1662"/>
      <c r="CU416" s="1662"/>
      <c r="CV416" s="1662"/>
      <c r="CW416" s="1662"/>
      <c r="CX416" s="1662"/>
      <c r="CY416" s="1662"/>
      <c r="CZ416" s="1662"/>
      <c r="DA416" s="1662"/>
      <c r="DB416" s="1662"/>
      <c r="DC416" s="1662"/>
      <c r="DD416" s="1662"/>
      <c r="DE416" s="1662"/>
      <c r="DF416" s="1662"/>
      <c r="DG416" s="1662"/>
      <c r="DH416" s="1662"/>
      <c r="DI416" s="1662"/>
      <c r="DJ416" s="1662"/>
      <c r="DK416" s="1662"/>
      <c r="DL416" s="1662"/>
    </row>
    <row r="417" spans="98:116">
      <c r="CT417" s="1662"/>
      <c r="CU417" s="1662"/>
      <c r="CV417" s="1662"/>
      <c r="CW417" s="1662"/>
      <c r="CX417" s="1662"/>
      <c r="CY417" s="1662"/>
      <c r="CZ417" s="1662"/>
      <c r="DA417" s="1662"/>
      <c r="DB417" s="1662"/>
      <c r="DC417" s="1662"/>
      <c r="DD417" s="1662"/>
      <c r="DE417" s="1662"/>
      <c r="DF417" s="1662"/>
      <c r="DG417" s="1662"/>
      <c r="DH417" s="1662"/>
      <c r="DI417" s="1662"/>
      <c r="DJ417" s="1662"/>
      <c r="DK417" s="1662"/>
      <c r="DL417" s="1662"/>
    </row>
    <row r="418" spans="98:116">
      <c r="CT418" s="1662"/>
      <c r="CU418" s="1662"/>
      <c r="CV418" s="1662"/>
      <c r="CW418" s="1662"/>
      <c r="CX418" s="1662"/>
      <c r="CY418" s="1662"/>
      <c r="CZ418" s="1662"/>
      <c r="DA418" s="1662"/>
      <c r="DB418" s="1662"/>
      <c r="DC418" s="1662"/>
      <c r="DD418" s="1662"/>
      <c r="DE418" s="1662"/>
      <c r="DF418" s="1662"/>
      <c r="DG418" s="1662"/>
      <c r="DH418" s="1662"/>
      <c r="DI418" s="1662"/>
      <c r="DJ418" s="1662"/>
      <c r="DK418" s="1662"/>
      <c r="DL418" s="1662"/>
    </row>
    <row r="419" spans="98:116">
      <c r="CT419" s="1662"/>
      <c r="CU419" s="1662"/>
      <c r="CV419" s="1662"/>
      <c r="CW419" s="1662"/>
      <c r="CX419" s="1662"/>
      <c r="CY419" s="1662"/>
      <c r="CZ419" s="1662"/>
      <c r="DA419" s="1662"/>
      <c r="DB419" s="1662"/>
      <c r="DC419" s="1662"/>
      <c r="DD419" s="1662"/>
      <c r="DE419" s="1662"/>
      <c r="DF419" s="1662"/>
      <c r="DG419" s="1662"/>
      <c r="DH419" s="1662"/>
      <c r="DI419" s="1662"/>
      <c r="DJ419" s="1662"/>
      <c r="DK419" s="1662"/>
      <c r="DL419" s="1662"/>
    </row>
    <row r="420" spans="98:116">
      <c r="CT420" s="1662"/>
      <c r="CU420" s="1662"/>
      <c r="CV420" s="1662"/>
      <c r="CW420" s="1662"/>
      <c r="CX420" s="1662"/>
      <c r="CY420" s="1662"/>
      <c r="CZ420" s="1662"/>
      <c r="DA420" s="1662"/>
      <c r="DB420" s="1662"/>
      <c r="DC420" s="1662"/>
      <c r="DD420" s="1662"/>
      <c r="DE420" s="1662"/>
      <c r="DF420" s="1662"/>
      <c r="DG420" s="1662"/>
      <c r="DH420" s="1662"/>
      <c r="DI420" s="1662"/>
      <c r="DJ420" s="1662"/>
      <c r="DK420" s="1662"/>
      <c r="DL420" s="1662"/>
    </row>
    <row r="421" spans="98:116">
      <c r="CT421" s="1662"/>
      <c r="CU421" s="1662"/>
      <c r="CV421" s="1662"/>
      <c r="CW421" s="1662"/>
      <c r="CX421" s="1662"/>
      <c r="CY421" s="1662"/>
      <c r="CZ421" s="1662"/>
      <c r="DA421" s="1662"/>
      <c r="DB421" s="1662"/>
      <c r="DC421" s="1662"/>
      <c r="DD421" s="1662"/>
      <c r="DE421" s="1662"/>
      <c r="DF421" s="1662"/>
      <c r="DG421" s="1662"/>
      <c r="DH421" s="1662"/>
      <c r="DI421" s="1662"/>
      <c r="DJ421" s="1662"/>
      <c r="DK421" s="1662"/>
      <c r="DL421" s="1662"/>
    </row>
    <row r="422" spans="98:116">
      <c r="CT422" s="1662"/>
      <c r="CU422" s="1662"/>
      <c r="CV422" s="1662"/>
      <c r="CW422" s="1662"/>
      <c r="CX422" s="1662"/>
      <c r="CY422" s="1662"/>
      <c r="CZ422" s="1662"/>
      <c r="DA422" s="1662"/>
      <c r="DB422" s="1662"/>
      <c r="DC422" s="1662"/>
      <c r="DD422" s="1662"/>
      <c r="DE422" s="1662"/>
      <c r="DF422" s="1662"/>
      <c r="DG422" s="1662"/>
      <c r="DH422" s="1662"/>
      <c r="DI422" s="1662"/>
      <c r="DJ422" s="1662"/>
      <c r="DK422" s="1662"/>
      <c r="DL422" s="1662"/>
    </row>
    <row r="423" spans="98:116">
      <c r="CT423" s="1662"/>
      <c r="CU423" s="1662"/>
      <c r="CV423" s="1662"/>
      <c r="CW423" s="1662"/>
      <c r="CX423" s="1662"/>
      <c r="CY423" s="1662"/>
      <c r="CZ423" s="1662"/>
      <c r="DA423" s="1662"/>
      <c r="DB423" s="1662"/>
      <c r="DC423" s="1662"/>
      <c r="DD423" s="1662"/>
      <c r="DE423" s="1662"/>
      <c r="DF423" s="1662"/>
      <c r="DG423" s="1662"/>
      <c r="DH423" s="1662"/>
      <c r="DI423" s="1662"/>
      <c r="DJ423" s="1662"/>
      <c r="DK423" s="1662"/>
      <c r="DL423" s="1662"/>
    </row>
    <row r="424" spans="98:116">
      <c r="CT424" s="1662"/>
      <c r="CU424" s="1662"/>
      <c r="CV424" s="1662"/>
      <c r="CW424" s="1662"/>
      <c r="CX424" s="1662"/>
      <c r="CY424" s="1662"/>
      <c r="CZ424" s="1662"/>
      <c r="DA424" s="1662"/>
      <c r="DB424" s="1662"/>
      <c r="DC424" s="1662"/>
      <c r="DD424" s="1662"/>
      <c r="DE424" s="1662"/>
      <c r="DF424" s="1662"/>
      <c r="DG424" s="1662"/>
      <c r="DH424" s="1662"/>
      <c r="DI424" s="1662"/>
      <c r="DJ424" s="1662"/>
      <c r="DK424" s="1662"/>
      <c r="DL424" s="1662"/>
    </row>
    <row r="425" spans="98:116">
      <c r="CT425" s="1662"/>
      <c r="CU425" s="1662"/>
      <c r="CV425" s="1662"/>
      <c r="CW425" s="1662"/>
      <c r="CX425" s="1662"/>
      <c r="CY425" s="1662"/>
      <c r="CZ425" s="1662"/>
      <c r="DA425" s="1662"/>
      <c r="DB425" s="1662"/>
      <c r="DC425" s="1662"/>
      <c r="DD425" s="1662"/>
      <c r="DE425" s="1662"/>
      <c r="DF425" s="1662"/>
      <c r="DG425" s="1662"/>
      <c r="DH425" s="1662"/>
      <c r="DI425" s="1662"/>
      <c r="DJ425" s="1662"/>
      <c r="DK425" s="1662"/>
      <c r="DL425" s="1662"/>
    </row>
    <row r="426" spans="98:116">
      <c r="CT426" s="1662"/>
      <c r="CU426" s="1662"/>
      <c r="CV426" s="1662"/>
      <c r="CW426" s="1662"/>
      <c r="CX426" s="1662"/>
      <c r="CY426" s="1662"/>
      <c r="CZ426" s="1662"/>
      <c r="DA426" s="1662"/>
      <c r="DB426" s="1662"/>
      <c r="DC426" s="1662"/>
      <c r="DD426" s="1662"/>
      <c r="DE426" s="1662"/>
      <c r="DF426" s="1662"/>
      <c r="DG426" s="1662"/>
      <c r="DH426" s="1662"/>
      <c r="DI426" s="1662"/>
      <c r="DJ426" s="1662"/>
      <c r="DK426" s="1662"/>
      <c r="DL426" s="1662"/>
    </row>
    <row r="427" spans="98:116">
      <c r="CT427" s="1662"/>
      <c r="CU427" s="1662"/>
      <c r="CV427" s="1662"/>
      <c r="CW427" s="1662"/>
      <c r="CX427" s="1662"/>
      <c r="CY427" s="1662"/>
      <c r="CZ427" s="1662"/>
      <c r="DA427" s="1662"/>
      <c r="DB427" s="1662"/>
      <c r="DC427" s="1662"/>
      <c r="DD427" s="1662"/>
      <c r="DE427" s="1662"/>
      <c r="DF427" s="1662"/>
      <c r="DG427" s="1662"/>
      <c r="DH427" s="1662"/>
      <c r="DI427" s="1662"/>
      <c r="DJ427" s="1662"/>
      <c r="DK427" s="1662"/>
      <c r="DL427" s="1662"/>
    </row>
    <row r="428" spans="98:116">
      <c r="CT428" s="1662"/>
      <c r="CU428" s="1662"/>
      <c r="CV428" s="1662"/>
      <c r="CW428" s="1662"/>
      <c r="CX428" s="1662"/>
      <c r="CY428" s="1662"/>
      <c r="CZ428" s="1662"/>
      <c r="DA428" s="1662"/>
      <c r="DB428" s="1662"/>
      <c r="DC428" s="1662"/>
      <c r="DD428" s="1662"/>
      <c r="DE428" s="1662"/>
      <c r="DF428" s="1662"/>
      <c r="DG428" s="1662"/>
      <c r="DH428" s="1662"/>
      <c r="DI428" s="1662"/>
      <c r="DJ428" s="1662"/>
      <c r="DK428" s="1662"/>
      <c r="DL428" s="1662"/>
    </row>
    <row r="429" spans="98:116">
      <c r="CT429" s="1662"/>
      <c r="CU429" s="1662"/>
      <c r="CV429" s="1662"/>
      <c r="CW429" s="1662"/>
      <c r="CX429" s="1662"/>
      <c r="CY429" s="1662"/>
      <c r="CZ429" s="1662"/>
      <c r="DA429" s="1662"/>
      <c r="DB429" s="1662"/>
      <c r="DC429" s="1662"/>
      <c r="DD429" s="1662"/>
      <c r="DE429" s="1662"/>
      <c r="DF429" s="1662"/>
      <c r="DG429" s="1662"/>
      <c r="DH429" s="1662"/>
      <c r="DI429" s="1662"/>
      <c r="DJ429" s="1662"/>
      <c r="DK429" s="1662"/>
      <c r="DL429" s="1662"/>
    </row>
    <row r="430" spans="98:116">
      <c r="CT430" s="1662"/>
      <c r="CU430" s="1662"/>
      <c r="CV430" s="1662"/>
      <c r="CW430" s="1662"/>
      <c r="CX430" s="1662"/>
      <c r="CY430" s="1662"/>
      <c r="CZ430" s="1662"/>
      <c r="DA430" s="1662"/>
      <c r="DB430" s="1662"/>
      <c r="DC430" s="1662"/>
      <c r="DD430" s="1662"/>
      <c r="DE430" s="1662"/>
      <c r="DF430" s="1662"/>
      <c r="DG430" s="1662"/>
      <c r="DH430" s="1662"/>
      <c r="DI430" s="1662"/>
      <c r="DJ430" s="1662"/>
      <c r="DK430" s="1662"/>
      <c r="DL430" s="1662"/>
    </row>
    <row r="431" spans="98:116">
      <c r="CT431" s="1662"/>
      <c r="CU431" s="1662"/>
      <c r="CV431" s="1662"/>
      <c r="CW431" s="1662"/>
      <c r="CX431" s="1662"/>
      <c r="CY431" s="1662"/>
      <c r="CZ431" s="1662"/>
      <c r="DA431" s="1662"/>
      <c r="DB431" s="1662"/>
      <c r="DC431" s="1662"/>
      <c r="DD431" s="1662"/>
      <c r="DE431" s="1662"/>
      <c r="DF431" s="1662"/>
      <c r="DG431" s="1662"/>
      <c r="DH431" s="1662"/>
      <c r="DI431" s="1662"/>
      <c r="DJ431" s="1662"/>
      <c r="DK431" s="1662"/>
      <c r="DL431" s="1662"/>
    </row>
    <row r="432" spans="98:116">
      <c r="CT432" s="1662"/>
      <c r="CU432" s="1662"/>
      <c r="CV432" s="1662"/>
      <c r="CW432" s="1662"/>
      <c r="CX432" s="1662"/>
      <c r="CY432" s="1662"/>
      <c r="CZ432" s="1662"/>
      <c r="DA432" s="1662"/>
      <c r="DB432" s="1662"/>
      <c r="DC432" s="1662"/>
      <c r="DD432" s="1662"/>
      <c r="DE432" s="1662"/>
      <c r="DF432" s="1662"/>
      <c r="DG432" s="1662"/>
      <c r="DH432" s="1662"/>
      <c r="DI432" s="1662"/>
      <c r="DJ432" s="1662"/>
      <c r="DK432" s="1662"/>
      <c r="DL432" s="1662"/>
    </row>
    <row r="433" spans="98:116">
      <c r="CT433" s="1662"/>
      <c r="CU433" s="1662"/>
      <c r="CV433" s="1662"/>
      <c r="CW433" s="1662"/>
      <c r="CX433" s="1662"/>
      <c r="CY433" s="1662"/>
      <c r="CZ433" s="1662"/>
      <c r="DA433" s="1662"/>
      <c r="DB433" s="1662"/>
      <c r="DC433" s="1662"/>
      <c r="DD433" s="1662"/>
      <c r="DE433" s="1662"/>
      <c r="DF433" s="1662"/>
      <c r="DG433" s="1662"/>
      <c r="DH433" s="1662"/>
      <c r="DI433" s="1662"/>
      <c r="DJ433" s="1662"/>
      <c r="DK433" s="1662"/>
      <c r="DL433" s="1662"/>
    </row>
    <row r="434" spans="98:116">
      <c r="CT434" s="1662"/>
      <c r="CU434" s="1662"/>
      <c r="CV434" s="1662"/>
      <c r="CW434" s="1662"/>
      <c r="CX434" s="1662"/>
      <c r="CY434" s="1662"/>
      <c r="CZ434" s="1662"/>
      <c r="DA434" s="1662"/>
      <c r="DB434" s="1662"/>
      <c r="DC434" s="1662"/>
      <c r="DD434" s="1662"/>
      <c r="DE434" s="1662"/>
      <c r="DF434" s="1662"/>
      <c r="DG434" s="1662"/>
      <c r="DH434" s="1662"/>
      <c r="DI434" s="1662"/>
      <c r="DJ434" s="1662"/>
      <c r="DK434" s="1662"/>
      <c r="DL434" s="1662"/>
    </row>
    <row r="435" spans="98:116">
      <c r="CT435" s="1662"/>
      <c r="CU435" s="1662"/>
      <c r="CV435" s="1662"/>
      <c r="CW435" s="1662"/>
      <c r="CX435" s="1662"/>
      <c r="CY435" s="1662"/>
      <c r="CZ435" s="1662"/>
      <c r="DA435" s="1662"/>
      <c r="DB435" s="1662"/>
      <c r="DC435" s="1662"/>
      <c r="DD435" s="1662"/>
      <c r="DE435" s="1662"/>
      <c r="DF435" s="1662"/>
      <c r="DG435" s="1662"/>
      <c r="DH435" s="1662"/>
      <c r="DI435" s="1662"/>
      <c r="DJ435" s="1662"/>
      <c r="DK435" s="1662"/>
      <c r="DL435" s="1662"/>
    </row>
    <row r="436" spans="98:116">
      <c r="CT436" s="1662"/>
      <c r="CU436" s="1662"/>
      <c r="CV436" s="1662"/>
      <c r="CW436" s="1662"/>
      <c r="CX436" s="1662"/>
      <c r="CY436" s="1662"/>
      <c r="CZ436" s="1662"/>
      <c r="DA436" s="1662"/>
      <c r="DB436" s="1662"/>
      <c r="DC436" s="1662"/>
      <c r="DD436" s="1662"/>
      <c r="DE436" s="1662"/>
      <c r="DF436" s="1662"/>
      <c r="DG436" s="1662"/>
      <c r="DH436" s="1662"/>
      <c r="DI436" s="1662"/>
      <c r="DJ436" s="1662"/>
      <c r="DK436" s="1662"/>
      <c r="DL436" s="1662"/>
    </row>
    <row r="437" spans="98:116">
      <c r="CT437" s="1662"/>
      <c r="CU437" s="1662"/>
      <c r="CV437" s="1662"/>
      <c r="CW437" s="1662"/>
      <c r="CX437" s="1662"/>
      <c r="CY437" s="1662"/>
      <c r="CZ437" s="1662"/>
      <c r="DA437" s="1662"/>
      <c r="DB437" s="1662"/>
      <c r="DC437" s="1662"/>
      <c r="DD437" s="1662"/>
      <c r="DE437" s="1662"/>
      <c r="DF437" s="1662"/>
      <c r="DG437" s="1662"/>
      <c r="DH437" s="1662"/>
      <c r="DI437" s="1662"/>
      <c r="DJ437" s="1662"/>
      <c r="DK437" s="1662"/>
      <c r="DL437" s="1662"/>
    </row>
    <row r="438" spans="98:116">
      <c r="CT438" s="1662"/>
      <c r="CU438" s="1662"/>
      <c r="CV438" s="1662"/>
      <c r="CW438" s="1662"/>
      <c r="CX438" s="1662"/>
      <c r="CY438" s="1662"/>
      <c r="CZ438" s="1662"/>
      <c r="DA438" s="1662"/>
      <c r="DB438" s="1662"/>
      <c r="DC438" s="1662"/>
      <c r="DD438" s="1662"/>
      <c r="DE438" s="1662"/>
      <c r="DF438" s="1662"/>
      <c r="DG438" s="1662"/>
      <c r="DH438" s="1662"/>
      <c r="DI438" s="1662"/>
      <c r="DJ438" s="1662"/>
      <c r="DK438" s="1662"/>
      <c r="DL438" s="1662"/>
    </row>
    <row r="439" spans="98:116">
      <c r="CT439" s="1662"/>
      <c r="CU439" s="1662"/>
      <c r="CV439" s="1662"/>
      <c r="CW439" s="1662"/>
      <c r="CX439" s="1662"/>
      <c r="CY439" s="1662"/>
      <c r="CZ439" s="1662"/>
      <c r="DA439" s="1662"/>
      <c r="DB439" s="1662"/>
      <c r="DC439" s="1662"/>
      <c r="DD439" s="1662"/>
      <c r="DE439" s="1662"/>
      <c r="DF439" s="1662"/>
      <c r="DG439" s="1662"/>
      <c r="DH439" s="1662"/>
      <c r="DI439" s="1662"/>
      <c r="DJ439" s="1662"/>
      <c r="DK439" s="1662"/>
      <c r="DL439" s="1662"/>
    </row>
    <row r="440" spans="98:116">
      <c r="CT440" s="1662"/>
      <c r="CU440" s="1662"/>
      <c r="CV440" s="1662"/>
      <c r="CW440" s="1662"/>
      <c r="CX440" s="1662"/>
      <c r="CY440" s="1662"/>
      <c r="CZ440" s="1662"/>
      <c r="DA440" s="1662"/>
      <c r="DB440" s="1662"/>
      <c r="DC440" s="1662"/>
      <c r="DD440" s="1662"/>
      <c r="DE440" s="1662"/>
      <c r="DF440" s="1662"/>
      <c r="DG440" s="1662"/>
      <c r="DH440" s="1662"/>
      <c r="DI440" s="1662"/>
      <c r="DJ440" s="1662"/>
      <c r="DK440" s="1662"/>
      <c r="DL440" s="1662"/>
    </row>
    <row r="441" spans="98:116">
      <c r="CT441" s="1662"/>
      <c r="CU441" s="1662"/>
      <c r="CV441" s="1662"/>
      <c r="CW441" s="1662"/>
      <c r="CX441" s="1662"/>
      <c r="CY441" s="1662"/>
      <c r="CZ441" s="1662"/>
      <c r="DA441" s="1662"/>
      <c r="DB441" s="1662"/>
      <c r="DC441" s="1662"/>
      <c r="DD441" s="1662"/>
      <c r="DE441" s="1662"/>
      <c r="DF441" s="1662"/>
      <c r="DG441" s="1662"/>
      <c r="DH441" s="1662"/>
      <c r="DI441" s="1662"/>
      <c r="DJ441" s="1662"/>
      <c r="DK441" s="1662"/>
      <c r="DL441" s="1662"/>
    </row>
    <row r="442" spans="98:116">
      <c r="CT442" s="1662"/>
      <c r="CU442" s="1662"/>
      <c r="CV442" s="1662"/>
      <c r="CW442" s="1662"/>
      <c r="CX442" s="1662"/>
      <c r="CY442" s="1662"/>
      <c r="CZ442" s="1662"/>
      <c r="DA442" s="1662"/>
      <c r="DB442" s="1662"/>
      <c r="DC442" s="1662"/>
      <c r="DD442" s="1662"/>
      <c r="DE442" s="1662"/>
      <c r="DF442" s="1662"/>
      <c r="DG442" s="1662"/>
      <c r="DH442" s="1662"/>
      <c r="DI442" s="1662"/>
      <c r="DJ442" s="1662"/>
      <c r="DK442" s="1662"/>
      <c r="DL442" s="1662"/>
    </row>
  </sheetData>
  <mergeCells count="24">
    <mergeCell ref="HB1:HW1"/>
    <mergeCell ref="HB2:HW2"/>
    <mergeCell ref="HB3:HW3"/>
    <mergeCell ref="HY3:IU3"/>
    <mergeCell ref="EN5:FD5"/>
    <mergeCell ref="FM5:GC5"/>
    <mergeCell ref="GK5:GW5"/>
    <mergeCell ref="HF5:HU5"/>
    <mergeCell ref="IC5:IR5"/>
    <mergeCell ref="GK201:GW201"/>
    <mergeCell ref="HF201:HU201"/>
    <mergeCell ref="DR5:EG5"/>
    <mergeCell ref="IC201:IR201"/>
    <mergeCell ref="GK117:GW117"/>
    <mergeCell ref="HF117:HU117"/>
    <mergeCell ref="IC117:IR117"/>
    <mergeCell ref="GK172:GW172"/>
    <mergeCell ref="HF172:HU172"/>
    <mergeCell ref="IC172:IR172"/>
    <mergeCell ref="E5:T5"/>
    <mergeCell ref="AB5:AP5"/>
    <mergeCell ref="AX5:BL5"/>
    <mergeCell ref="BV5:CL5"/>
    <mergeCell ref="CT5:DJ5"/>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499984740745262"/>
  </sheetPr>
  <dimension ref="A1:N49"/>
  <sheetViews>
    <sheetView showGridLines="0" zoomScaleNormal="100" workbookViewId="0"/>
  </sheetViews>
  <sheetFormatPr baseColWidth="10" defaultRowHeight="13.8"/>
  <cols>
    <col min="1" max="1" width="2.77734375" style="31" customWidth="1"/>
    <col min="2" max="2" width="43" style="31" customWidth="1"/>
    <col min="3" max="7" width="11.44140625" style="31"/>
    <col min="8" max="8" width="11.21875" style="31" customWidth="1"/>
    <col min="9" max="241" width="11.44140625" style="31"/>
    <col min="242" max="242" width="4.21875" style="31" customWidth="1"/>
    <col min="243" max="243" width="14.77734375" style="31" customWidth="1"/>
    <col min="244" max="244" width="11.44140625" style="31"/>
    <col min="245" max="245" width="43.77734375" style="31" bestFit="1" customWidth="1"/>
    <col min="246" max="246" width="11.44140625" style="31"/>
    <col min="247" max="247" width="19.5546875" style="31" customWidth="1"/>
    <col min="248" max="248" width="15.44140625" style="31" customWidth="1"/>
    <col min="249" max="497" width="11.44140625" style="31"/>
    <col min="498" max="498" width="4.21875" style="31" customWidth="1"/>
    <col min="499" max="499" width="14.77734375" style="31" customWidth="1"/>
    <col min="500" max="500" width="11.44140625" style="31"/>
    <col min="501" max="501" width="43.77734375" style="31" bestFit="1" customWidth="1"/>
    <col min="502" max="502" width="11.44140625" style="31"/>
    <col min="503" max="503" width="19.5546875" style="31" customWidth="1"/>
    <col min="504" max="504" width="15.44140625" style="31" customWidth="1"/>
    <col min="505" max="753" width="11.44140625" style="31"/>
    <col min="754" max="754" width="4.21875" style="31" customWidth="1"/>
    <col min="755" max="755" width="14.77734375" style="31" customWidth="1"/>
    <col min="756" max="756" width="11.44140625" style="31"/>
    <col min="757" max="757" width="43.77734375" style="31" bestFit="1" customWidth="1"/>
    <col min="758" max="758" width="11.44140625" style="31"/>
    <col min="759" max="759" width="19.5546875" style="31" customWidth="1"/>
    <col min="760" max="760" width="15.44140625" style="31" customWidth="1"/>
    <col min="761" max="1009" width="11.44140625" style="31"/>
    <col min="1010" max="1010" width="4.21875" style="31" customWidth="1"/>
    <col min="1011" max="1011" width="14.77734375" style="31" customWidth="1"/>
    <col min="1012" max="1012" width="11.44140625" style="31"/>
    <col min="1013" max="1013" width="43.77734375" style="31" bestFit="1" customWidth="1"/>
    <col min="1014" max="1014" width="11.44140625" style="31"/>
    <col min="1015" max="1015" width="19.5546875" style="31" customWidth="1"/>
    <col min="1016" max="1016" width="15.44140625" style="31" customWidth="1"/>
    <col min="1017" max="1265" width="11.44140625" style="31"/>
    <col min="1266" max="1266" width="4.21875" style="31" customWidth="1"/>
    <col min="1267" max="1267" width="14.77734375" style="31" customWidth="1"/>
    <col min="1268" max="1268" width="11.44140625" style="31"/>
    <col min="1269" max="1269" width="43.77734375" style="31" bestFit="1" customWidth="1"/>
    <col min="1270" max="1270" width="11.44140625" style="31"/>
    <col min="1271" max="1271" width="19.5546875" style="31" customWidth="1"/>
    <col min="1272" max="1272" width="15.44140625" style="31" customWidth="1"/>
    <col min="1273" max="1521" width="11.44140625" style="31"/>
    <col min="1522" max="1522" width="4.21875" style="31" customWidth="1"/>
    <col min="1523" max="1523" width="14.77734375" style="31" customWidth="1"/>
    <col min="1524" max="1524" width="11.44140625" style="31"/>
    <col min="1525" max="1525" width="43.77734375" style="31" bestFit="1" customWidth="1"/>
    <col min="1526" max="1526" width="11.44140625" style="31"/>
    <col min="1527" max="1527" width="19.5546875" style="31" customWidth="1"/>
    <col min="1528" max="1528" width="15.44140625" style="31" customWidth="1"/>
    <col min="1529" max="1777" width="11.44140625" style="31"/>
    <col min="1778" max="1778" width="4.21875" style="31" customWidth="1"/>
    <col min="1779" max="1779" width="14.77734375" style="31" customWidth="1"/>
    <col min="1780" max="1780" width="11.44140625" style="31"/>
    <col min="1781" max="1781" width="43.77734375" style="31" bestFit="1" customWidth="1"/>
    <col min="1782" max="1782" width="11.44140625" style="31"/>
    <col min="1783" max="1783" width="19.5546875" style="31" customWidth="1"/>
    <col min="1784" max="1784" width="15.44140625" style="31" customWidth="1"/>
    <col min="1785" max="2033" width="11.44140625" style="31"/>
    <col min="2034" max="2034" width="4.21875" style="31" customWidth="1"/>
    <col min="2035" max="2035" width="14.77734375" style="31" customWidth="1"/>
    <col min="2036" max="2036" width="11.44140625" style="31"/>
    <col min="2037" max="2037" width="43.77734375" style="31" bestFit="1" customWidth="1"/>
    <col min="2038" max="2038" width="11.44140625" style="31"/>
    <col min="2039" max="2039" width="19.5546875" style="31" customWidth="1"/>
    <col min="2040" max="2040" width="15.44140625" style="31" customWidth="1"/>
    <col min="2041" max="2289" width="11.44140625" style="31"/>
    <col min="2290" max="2290" width="4.21875" style="31" customWidth="1"/>
    <col min="2291" max="2291" width="14.77734375" style="31" customWidth="1"/>
    <col min="2292" max="2292" width="11.44140625" style="31"/>
    <col min="2293" max="2293" width="43.77734375" style="31" bestFit="1" customWidth="1"/>
    <col min="2294" max="2294" width="11.44140625" style="31"/>
    <col min="2295" max="2295" width="19.5546875" style="31" customWidth="1"/>
    <col min="2296" max="2296" width="15.44140625" style="31" customWidth="1"/>
    <col min="2297" max="2545" width="11.44140625" style="31"/>
    <col min="2546" max="2546" width="4.21875" style="31" customWidth="1"/>
    <col min="2547" max="2547" width="14.77734375" style="31" customWidth="1"/>
    <col min="2548" max="2548" width="11.44140625" style="31"/>
    <col min="2549" max="2549" width="43.77734375" style="31" bestFit="1" customWidth="1"/>
    <col min="2550" max="2550" width="11.44140625" style="31"/>
    <col min="2551" max="2551" width="19.5546875" style="31" customWidth="1"/>
    <col min="2552" max="2552" width="15.44140625" style="31" customWidth="1"/>
    <col min="2553" max="2801" width="11.44140625" style="31"/>
    <col min="2802" max="2802" width="4.21875" style="31" customWidth="1"/>
    <col min="2803" max="2803" width="14.77734375" style="31" customWidth="1"/>
    <col min="2804" max="2804" width="11.44140625" style="31"/>
    <col min="2805" max="2805" width="43.77734375" style="31" bestFit="1" customWidth="1"/>
    <col min="2806" max="2806" width="11.44140625" style="31"/>
    <col min="2807" max="2807" width="19.5546875" style="31" customWidth="1"/>
    <col min="2808" max="2808" width="15.44140625" style="31" customWidth="1"/>
    <col min="2809" max="3057" width="11.44140625" style="31"/>
    <col min="3058" max="3058" width="4.21875" style="31" customWidth="1"/>
    <col min="3059" max="3059" width="14.77734375" style="31" customWidth="1"/>
    <col min="3060" max="3060" width="11.44140625" style="31"/>
    <col min="3061" max="3061" width="43.77734375" style="31" bestFit="1" customWidth="1"/>
    <col min="3062" max="3062" width="11.44140625" style="31"/>
    <col min="3063" max="3063" width="19.5546875" style="31" customWidth="1"/>
    <col min="3064" max="3064" width="15.44140625" style="31" customWidth="1"/>
    <col min="3065" max="3313" width="11.44140625" style="31"/>
    <col min="3314" max="3314" width="4.21875" style="31" customWidth="1"/>
    <col min="3315" max="3315" width="14.77734375" style="31" customWidth="1"/>
    <col min="3316" max="3316" width="11.44140625" style="31"/>
    <col min="3317" max="3317" width="43.77734375" style="31" bestFit="1" customWidth="1"/>
    <col min="3318" max="3318" width="11.44140625" style="31"/>
    <col min="3319" max="3319" width="19.5546875" style="31" customWidth="1"/>
    <col min="3320" max="3320" width="15.44140625" style="31" customWidth="1"/>
    <col min="3321" max="3569" width="11.44140625" style="31"/>
    <col min="3570" max="3570" width="4.21875" style="31" customWidth="1"/>
    <col min="3571" max="3571" width="14.77734375" style="31" customWidth="1"/>
    <col min="3572" max="3572" width="11.44140625" style="31"/>
    <col min="3573" max="3573" width="43.77734375" style="31" bestFit="1" customWidth="1"/>
    <col min="3574" max="3574" width="11.44140625" style="31"/>
    <col min="3575" max="3575" width="19.5546875" style="31" customWidth="1"/>
    <col min="3576" max="3576" width="15.44140625" style="31" customWidth="1"/>
    <col min="3577" max="3825" width="11.44140625" style="31"/>
    <col min="3826" max="3826" width="4.21875" style="31" customWidth="1"/>
    <col min="3827" max="3827" width="14.77734375" style="31" customWidth="1"/>
    <col min="3828" max="3828" width="11.44140625" style="31"/>
    <col min="3829" max="3829" width="43.77734375" style="31" bestFit="1" customWidth="1"/>
    <col min="3830" max="3830" width="11.44140625" style="31"/>
    <col min="3831" max="3831" width="19.5546875" style="31" customWidth="1"/>
    <col min="3832" max="3832" width="15.44140625" style="31" customWidth="1"/>
    <col min="3833" max="4081" width="11.44140625" style="31"/>
    <col min="4082" max="4082" width="4.21875" style="31" customWidth="1"/>
    <col min="4083" max="4083" width="14.77734375" style="31" customWidth="1"/>
    <col min="4084" max="4084" width="11.44140625" style="31"/>
    <col min="4085" max="4085" width="43.77734375" style="31" bestFit="1" customWidth="1"/>
    <col min="4086" max="4086" width="11.44140625" style="31"/>
    <col min="4087" max="4087" width="19.5546875" style="31" customWidth="1"/>
    <col min="4088" max="4088" width="15.44140625" style="31" customWidth="1"/>
    <col min="4089" max="4337" width="11.44140625" style="31"/>
    <col min="4338" max="4338" width="4.21875" style="31" customWidth="1"/>
    <col min="4339" max="4339" width="14.77734375" style="31" customWidth="1"/>
    <col min="4340" max="4340" width="11.44140625" style="31"/>
    <col min="4341" max="4341" width="43.77734375" style="31" bestFit="1" customWidth="1"/>
    <col min="4342" max="4342" width="11.44140625" style="31"/>
    <col min="4343" max="4343" width="19.5546875" style="31" customWidth="1"/>
    <col min="4344" max="4344" width="15.44140625" style="31" customWidth="1"/>
    <col min="4345" max="4593" width="11.44140625" style="31"/>
    <col min="4594" max="4594" width="4.21875" style="31" customWidth="1"/>
    <col min="4595" max="4595" width="14.77734375" style="31" customWidth="1"/>
    <col min="4596" max="4596" width="11.44140625" style="31"/>
    <col min="4597" max="4597" width="43.77734375" style="31" bestFit="1" customWidth="1"/>
    <col min="4598" max="4598" width="11.44140625" style="31"/>
    <col min="4599" max="4599" width="19.5546875" style="31" customWidth="1"/>
    <col min="4600" max="4600" width="15.44140625" style="31" customWidth="1"/>
    <col min="4601" max="4849" width="11.44140625" style="31"/>
    <col min="4850" max="4850" width="4.21875" style="31" customWidth="1"/>
    <col min="4851" max="4851" width="14.77734375" style="31" customWidth="1"/>
    <col min="4852" max="4852" width="11.44140625" style="31"/>
    <col min="4853" max="4853" width="43.77734375" style="31" bestFit="1" customWidth="1"/>
    <col min="4854" max="4854" width="11.44140625" style="31"/>
    <col min="4855" max="4855" width="19.5546875" style="31" customWidth="1"/>
    <col min="4856" max="4856" width="15.44140625" style="31" customWidth="1"/>
    <col min="4857" max="5105" width="11.44140625" style="31"/>
    <col min="5106" max="5106" width="4.21875" style="31" customWidth="1"/>
    <col min="5107" max="5107" width="14.77734375" style="31" customWidth="1"/>
    <col min="5108" max="5108" width="11.44140625" style="31"/>
    <col min="5109" max="5109" width="43.77734375" style="31" bestFit="1" customWidth="1"/>
    <col min="5110" max="5110" width="11.44140625" style="31"/>
    <col min="5111" max="5111" width="19.5546875" style="31" customWidth="1"/>
    <col min="5112" max="5112" width="15.44140625" style="31" customWidth="1"/>
    <col min="5113" max="5361" width="11.44140625" style="31"/>
    <col min="5362" max="5362" width="4.21875" style="31" customWidth="1"/>
    <col min="5363" max="5363" width="14.77734375" style="31" customWidth="1"/>
    <col min="5364" max="5364" width="11.44140625" style="31"/>
    <col min="5365" max="5365" width="43.77734375" style="31" bestFit="1" customWidth="1"/>
    <col min="5366" max="5366" width="11.44140625" style="31"/>
    <col min="5367" max="5367" width="19.5546875" style="31" customWidth="1"/>
    <col min="5368" max="5368" width="15.44140625" style="31" customWidth="1"/>
    <col min="5369" max="5617" width="11.44140625" style="31"/>
    <col min="5618" max="5618" width="4.21875" style="31" customWidth="1"/>
    <col min="5619" max="5619" width="14.77734375" style="31" customWidth="1"/>
    <col min="5620" max="5620" width="11.44140625" style="31"/>
    <col min="5621" max="5621" width="43.77734375" style="31" bestFit="1" customWidth="1"/>
    <col min="5622" max="5622" width="11.44140625" style="31"/>
    <col min="5623" max="5623" width="19.5546875" style="31" customWidth="1"/>
    <col min="5624" max="5624" width="15.44140625" style="31" customWidth="1"/>
    <col min="5625" max="5873" width="11.44140625" style="31"/>
    <col min="5874" max="5874" width="4.21875" style="31" customWidth="1"/>
    <col min="5875" max="5875" width="14.77734375" style="31" customWidth="1"/>
    <col min="5876" max="5876" width="11.44140625" style="31"/>
    <col min="5877" max="5877" width="43.77734375" style="31" bestFit="1" customWidth="1"/>
    <col min="5878" max="5878" width="11.44140625" style="31"/>
    <col min="5879" max="5879" width="19.5546875" style="31" customWidth="1"/>
    <col min="5880" max="5880" width="15.44140625" style="31" customWidth="1"/>
    <col min="5881" max="6129" width="11.44140625" style="31"/>
    <col min="6130" max="6130" width="4.21875" style="31" customWidth="1"/>
    <col min="6131" max="6131" width="14.77734375" style="31" customWidth="1"/>
    <col min="6132" max="6132" width="11.44140625" style="31"/>
    <col min="6133" max="6133" width="43.77734375" style="31" bestFit="1" customWidth="1"/>
    <col min="6134" max="6134" width="11.44140625" style="31"/>
    <col min="6135" max="6135" width="19.5546875" style="31" customWidth="1"/>
    <col min="6136" max="6136" width="15.44140625" style="31" customWidth="1"/>
    <col min="6137" max="6385" width="11.44140625" style="31"/>
    <col min="6386" max="6386" width="4.21875" style="31" customWidth="1"/>
    <col min="6387" max="6387" width="14.77734375" style="31" customWidth="1"/>
    <col min="6388" max="6388" width="11.44140625" style="31"/>
    <col min="6389" max="6389" width="43.77734375" style="31" bestFit="1" customWidth="1"/>
    <col min="6390" max="6390" width="11.44140625" style="31"/>
    <col min="6391" max="6391" width="19.5546875" style="31" customWidth="1"/>
    <col min="6392" max="6392" width="15.44140625" style="31" customWidth="1"/>
    <col min="6393" max="6641" width="11.44140625" style="31"/>
    <col min="6642" max="6642" width="4.21875" style="31" customWidth="1"/>
    <col min="6643" max="6643" width="14.77734375" style="31" customWidth="1"/>
    <col min="6644" max="6644" width="11.44140625" style="31"/>
    <col min="6645" max="6645" width="43.77734375" style="31" bestFit="1" customWidth="1"/>
    <col min="6646" max="6646" width="11.44140625" style="31"/>
    <col min="6647" max="6647" width="19.5546875" style="31" customWidth="1"/>
    <col min="6648" max="6648" width="15.44140625" style="31" customWidth="1"/>
    <col min="6649" max="6897" width="11.44140625" style="31"/>
    <col min="6898" max="6898" width="4.21875" style="31" customWidth="1"/>
    <col min="6899" max="6899" width="14.77734375" style="31" customWidth="1"/>
    <col min="6900" max="6900" width="11.44140625" style="31"/>
    <col min="6901" max="6901" width="43.77734375" style="31" bestFit="1" customWidth="1"/>
    <col min="6902" max="6902" width="11.44140625" style="31"/>
    <col min="6903" max="6903" width="19.5546875" style="31" customWidth="1"/>
    <col min="6904" max="6904" width="15.44140625" style="31" customWidth="1"/>
    <col min="6905" max="7153" width="11.44140625" style="31"/>
    <col min="7154" max="7154" width="4.21875" style="31" customWidth="1"/>
    <col min="7155" max="7155" width="14.77734375" style="31" customWidth="1"/>
    <col min="7156" max="7156" width="11.44140625" style="31"/>
    <col min="7157" max="7157" width="43.77734375" style="31" bestFit="1" customWidth="1"/>
    <col min="7158" max="7158" width="11.44140625" style="31"/>
    <col min="7159" max="7159" width="19.5546875" style="31" customWidth="1"/>
    <col min="7160" max="7160" width="15.44140625" style="31" customWidth="1"/>
    <col min="7161" max="7409" width="11.44140625" style="31"/>
    <col min="7410" max="7410" width="4.21875" style="31" customWidth="1"/>
    <col min="7411" max="7411" width="14.77734375" style="31" customWidth="1"/>
    <col min="7412" max="7412" width="11.44140625" style="31"/>
    <col min="7413" max="7413" width="43.77734375" style="31" bestFit="1" customWidth="1"/>
    <col min="7414" max="7414" width="11.44140625" style="31"/>
    <col min="7415" max="7415" width="19.5546875" style="31" customWidth="1"/>
    <col min="7416" max="7416" width="15.44140625" style="31" customWidth="1"/>
    <col min="7417" max="7665" width="11.44140625" style="31"/>
    <col min="7666" max="7666" width="4.21875" style="31" customWidth="1"/>
    <col min="7667" max="7667" width="14.77734375" style="31" customWidth="1"/>
    <col min="7668" max="7668" width="11.44140625" style="31"/>
    <col min="7669" max="7669" width="43.77734375" style="31" bestFit="1" customWidth="1"/>
    <col min="7670" max="7670" width="11.44140625" style="31"/>
    <col min="7671" max="7671" width="19.5546875" style="31" customWidth="1"/>
    <col min="7672" max="7672" width="15.44140625" style="31" customWidth="1"/>
    <col min="7673" max="7921" width="11.44140625" style="31"/>
    <col min="7922" max="7922" width="4.21875" style="31" customWidth="1"/>
    <col min="7923" max="7923" width="14.77734375" style="31" customWidth="1"/>
    <col min="7924" max="7924" width="11.44140625" style="31"/>
    <col min="7925" max="7925" width="43.77734375" style="31" bestFit="1" customWidth="1"/>
    <col min="7926" max="7926" width="11.44140625" style="31"/>
    <col min="7927" max="7927" width="19.5546875" style="31" customWidth="1"/>
    <col min="7928" max="7928" width="15.44140625" style="31" customWidth="1"/>
    <col min="7929" max="8177" width="11.44140625" style="31"/>
    <col min="8178" max="8178" width="4.21875" style="31" customWidth="1"/>
    <col min="8179" max="8179" width="14.77734375" style="31" customWidth="1"/>
    <col min="8180" max="8180" width="11.44140625" style="31"/>
    <col min="8181" max="8181" width="43.77734375" style="31" bestFit="1" customWidth="1"/>
    <col min="8182" max="8182" width="11.44140625" style="31"/>
    <col min="8183" max="8183" width="19.5546875" style="31" customWidth="1"/>
    <col min="8184" max="8184" width="15.44140625" style="31" customWidth="1"/>
    <col min="8185" max="8433" width="11.44140625" style="31"/>
    <col min="8434" max="8434" width="4.21875" style="31" customWidth="1"/>
    <col min="8435" max="8435" width="14.77734375" style="31" customWidth="1"/>
    <col min="8436" max="8436" width="11.44140625" style="31"/>
    <col min="8437" max="8437" width="43.77734375" style="31" bestFit="1" customWidth="1"/>
    <col min="8438" max="8438" width="11.44140625" style="31"/>
    <col min="8439" max="8439" width="19.5546875" style="31" customWidth="1"/>
    <col min="8440" max="8440" width="15.44140625" style="31" customWidth="1"/>
    <col min="8441" max="8689" width="11.44140625" style="31"/>
    <col min="8690" max="8690" width="4.21875" style="31" customWidth="1"/>
    <col min="8691" max="8691" width="14.77734375" style="31" customWidth="1"/>
    <col min="8692" max="8692" width="11.44140625" style="31"/>
    <col min="8693" max="8693" width="43.77734375" style="31" bestFit="1" customWidth="1"/>
    <col min="8694" max="8694" width="11.44140625" style="31"/>
    <col min="8695" max="8695" width="19.5546875" style="31" customWidth="1"/>
    <col min="8696" max="8696" width="15.44140625" style="31" customWidth="1"/>
    <col min="8697" max="8945" width="11.44140625" style="31"/>
    <col min="8946" max="8946" width="4.21875" style="31" customWidth="1"/>
    <col min="8947" max="8947" width="14.77734375" style="31" customWidth="1"/>
    <col min="8948" max="8948" width="11.44140625" style="31"/>
    <col min="8949" max="8949" width="43.77734375" style="31" bestFit="1" customWidth="1"/>
    <col min="8950" max="8950" width="11.44140625" style="31"/>
    <col min="8951" max="8951" width="19.5546875" style="31" customWidth="1"/>
    <col min="8952" max="8952" width="15.44140625" style="31" customWidth="1"/>
    <col min="8953" max="9201" width="11.44140625" style="31"/>
    <col min="9202" max="9202" width="4.21875" style="31" customWidth="1"/>
    <col min="9203" max="9203" width="14.77734375" style="31" customWidth="1"/>
    <col min="9204" max="9204" width="11.44140625" style="31"/>
    <col min="9205" max="9205" width="43.77734375" style="31" bestFit="1" customWidth="1"/>
    <col min="9206" max="9206" width="11.44140625" style="31"/>
    <col min="9207" max="9207" width="19.5546875" style="31" customWidth="1"/>
    <col min="9208" max="9208" width="15.44140625" style="31" customWidth="1"/>
    <col min="9209" max="9457" width="11.44140625" style="31"/>
    <col min="9458" max="9458" width="4.21875" style="31" customWidth="1"/>
    <col min="9459" max="9459" width="14.77734375" style="31" customWidth="1"/>
    <col min="9460" max="9460" width="11.44140625" style="31"/>
    <col min="9461" max="9461" width="43.77734375" style="31" bestFit="1" customWidth="1"/>
    <col min="9462" max="9462" width="11.44140625" style="31"/>
    <col min="9463" max="9463" width="19.5546875" style="31" customWidth="1"/>
    <col min="9464" max="9464" width="15.44140625" style="31" customWidth="1"/>
    <col min="9465" max="9713" width="11.44140625" style="31"/>
    <col min="9714" max="9714" width="4.21875" style="31" customWidth="1"/>
    <col min="9715" max="9715" width="14.77734375" style="31" customWidth="1"/>
    <col min="9716" max="9716" width="11.44140625" style="31"/>
    <col min="9717" max="9717" width="43.77734375" style="31" bestFit="1" customWidth="1"/>
    <col min="9718" max="9718" width="11.44140625" style="31"/>
    <col min="9719" max="9719" width="19.5546875" style="31" customWidth="1"/>
    <col min="9720" max="9720" width="15.44140625" style="31" customWidth="1"/>
    <col min="9721" max="9969" width="11.44140625" style="31"/>
    <col min="9970" max="9970" width="4.21875" style="31" customWidth="1"/>
    <col min="9971" max="9971" width="14.77734375" style="31" customWidth="1"/>
    <col min="9972" max="9972" width="11.44140625" style="31"/>
    <col min="9973" max="9973" width="43.77734375" style="31" bestFit="1" customWidth="1"/>
    <col min="9974" max="9974" width="11.44140625" style="31"/>
    <col min="9975" max="9975" width="19.5546875" style="31" customWidth="1"/>
    <col min="9976" max="9976" width="15.44140625" style="31" customWidth="1"/>
    <col min="9977" max="10225" width="11.44140625" style="31"/>
    <col min="10226" max="10226" width="4.21875" style="31" customWidth="1"/>
    <col min="10227" max="10227" width="14.77734375" style="31" customWidth="1"/>
    <col min="10228" max="10228" width="11.44140625" style="31"/>
    <col min="10229" max="10229" width="43.77734375" style="31" bestFit="1" customWidth="1"/>
    <col min="10230" max="10230" width="11.44140625" style="31"/>
    <col min="10231" max="10231" width="19.5546875" style="31" customWidth="1"/>
    <col min="10232" max="10232" width="15.44140625" style="31" customWidth="1"/>
    <col min="10233" max="10481" width="11.44140625" style="31"/>
    <col min="10482" max="10482" width="4.21875" style="31" customWidth="1"/>
    <col min="10483" max="10483" width="14.77734375" style="31" customWidth="1"/>
    <col min="10484" max="10484" width="11.44140625" style="31"/>
    <col min="10485" max="10485" width="43.77734375" style="31" bestFit="1" customWidth="1"/>
    <col min="10486" max="10486" width="11.44140625" style="31"/>
    <col min="10487" max="10487" width="19.5546875" style="31" customWidth="1"/>
    <col min="10488" max="10488" width="15.44140625" style="31" customWidth="1"/>
    <col min="10489" max="10737" width="11.44140625" style="31"/>
    <col min="10738" max="10738" width="4.21875" style="31" customWidth="1"/>
    <col min="10739" max="10739" width="14.77734375" style="31" customWidth="1"/>
    <col min="10740" max="10740" width="11.44140625" style="31"/>
    <col min="10741" max="10741" width="43.77734375" style="31" bestFit="1" customWidth="1"/>
    <col min="10742" max="10742" width="11.44140625" style="31"/>
    <col min="10743" max="10743" width="19.5546875" style="31" customWidth="1"/>
    <col min="10744" max="10744" width="15.44140625" style="31" customWidth="1"/>
    <col min="10745" max="10993" width="11.44140625" style="31"/>
    <col min="10994" max="10994" width="4.21875" style="31" customWidth="1"/>
    <col min="10995" max="10995" width="14.77734375" style="31" customWidth="1"/>
    <col min="10996" max="10996" width="11.44140625" style="31"/>
    <col min="10997" max="10997" width="43.77734375" style="31" bestFit="1" customWidth="1"/>
    <col min="10998" max="10998" width="11.44140625" style="31"/>
    <col min="10999" max="10999" width="19.5546875" style="31" customWidth="1"/>
    <col min="11000" max="11000" width="15.44140625" style="31" customWidth="1"/>
    <col min="11001" max="11249" width="11.44140625" style="31"/>
    <col min="11250" max="11250" width="4.21875" style="31" customWidth="1"/>
    <col min="11251" max="11251" width="14.77734375" style="31" customWidth="1"/>
    <col min="11252" max="11252" width="11.44140625" style="31"/>
    <col min="11253" max="11253" width="43.77734375" style="31" bestFit="1" customWidth="1"/>
    <col min="11254" max="11254" width="11.44140625" style="31"/>
    <col min="11255" max="11255" width="19.5546875" style="31" customWidth="1"/>
    <col min="11256" max="11256" width="15.44140625" style="31" customWidth="1"/>
    <col min="11257" max="11505" width="11.44140625" style="31"/>
    <col min="11506" max="11506" width="4.21875" style="31" customWidth="1"/>
    <col min="11507" max="11507" width="14.77734375" style="31" customWidth="1"/>
    <col min="11508" max="11508" width="11.44140625" style="31"/>
    <col min="11509" max="11509" width="43.77734375" style="31" bestFit="1" customWidth="1"/>
    <col min="11510" max="11510" width="11.44140625" style="31"/>
    <col min="11511" max="11511" width="19.5546875" style="31" customWidth="1"/>
    <col min="11512" max="11512" width="15.44140625" style="31" customWidth="1"/>
    <col min="11513" max="11761" width="11.44140625" style="31"/>
    <col min="11762" max="11762" width="4.21875" style="31" customWidth="1"/>
    <col min="11763" max="11763" width="14.77734375" style="31" customWidth="1"/>
    <col min="11764" max="11764" width="11.44140625" style="31"/>
    <col min="11765" max="11765" width="43.77734375" style="31" bestFit="1" customWidth="1"/>
    <col min="11766" max="11766" width="11.44140625" style="31"/>
    <col min="11767" max="11767" width="19.5546875" style="31" customWidth="1"/>
    <col min="11768" max="11768" width="15.44140625" style="31" customWidth="1"/>
    <col min="11769" max="12017" width="11.44140625" style="31"/>
    <col min="12018" max="12018" width="4.21875" style="31" customWidth="1"/>
    <col min="12019" max="12019" width="14.77734375" style="31" customWidth="1"/>
    <col min="12020" max="12020" width="11.44140625" style="31"/>
    <col min="12021" max="12021" width="43.77734375" style="31" bestFit="1" customWidth="1"/>
    <col min="12022" max="12022" width="11.44140625" style="31"/>
    <col min="12023" max="12023" width="19.5546875" style="31" customWidth="1"/>
    <col min="12024" max="12024" width="15.44140625" style="31" customWidth="1"/>
    <col min="12025" max="12273" width="11.44140625" style="31"/>
    <col min="12274" max="12274" width="4.21875" style="31" customWidth="1"/>
    <col min="12275" max="12275" width="14.77734375" style="31" customWidth="1"/>
    <col min="12276" max="12276" width="11.44140625" style="31"/>
    <col min="12277" max="12277" width="43.77734375" style="31" bestFit="1" customWidth="1"/>
    <col min="12278" max="12278" width="11.44140625" style="31"/>
    <col min="12279" max="12279" width="19.5546875" style="31" customWidth="1"/>
    <col min="12280" max="12280" width="15.44140625" style="31" customWidth="1"/>
    <col min="12281" max="12529" width="11.44140625" style="31"/>
    <col min="12530" max="12530" width="4.21875" style="31" customWidth="1"/>
    <col min="12531" max="12531" width="14.77734375" style="31" customWidth="1"/>
    <col min="12532" max="12532" width="11.44140625" style="31"/>
    <col min="12533" max="12533" width="43.77734375" style="31" bestFit="1" customWidth="1"/>
    <col min="12534" max="12534" width="11.44140625" style="31"/>
    <col min="12535" max="12535" width="19.5546875" style="31" customWidth="1"/>
    <col min="12536" max="12536" width="15.44140625" style="31" customWidth="1"/>
    <col min="12537" max="12785" width="11.44140625" style="31"/>
    <col min="12786" max="12786" width="4.21875" style="31" customWidth="1"/>
    <col min="12787" max="12787" width="14.77734375" style="31" customWidth="1"/>
    <col min="12788" max="12788" width="11.44140625" style="31"/>
    <col min="12789" max="12789" width="43.77734375" style="31" bestFit="1" customWidth="1"/>
    <col min="12790" max="12790" width="11.44140625" style="31"/>
    <col min="12791" max="12791" width="19.5546875" style="31" customWidth="1"/>
    <col min="12792" max="12792" width="15.44140625" style="31" customWidth="1"/>
    <col min="12793" max="13041" width="11.44140625" style="31"/>
    <col min="13042" max="13042" width="4.21875" style="31" customWidth="1"/>
    <col min="13043" max="13043" width="14.77734375" style="31" customWidth="1"/>
    <col min="13044" max="13044" width="11.44140625" style="31"/>
    <col min="13045" max="13045" width="43.77734375" style="31" bestFit="1" customWidth="1"/>
    <col min="13046" max="13046" width="11.44140625" style="31"/>
    <col min="13047" max="13047" width="19.5546875" style="31" customWidth="1"/>
    <col min="13048" max="13048" width="15.44140625" style="31" customWidth="1"/>
    <col min="13049" max="13297" width="11.44140625" style="31"/>
    <col min="13298" max="13298" width="4.21875" style="31" customWidth="1"/>
    <col min="13299" max="13299" width="14.77734375" style="31" customWidth="1"/>
    <col min="13300" max="13300" width="11.44140625" style="31"/>
    <col min="13301" max="13301" width="43.77734375" style="31" bestFit="1" customWidth="1"/>
    <col min="13302" max="13302" width="11.44140625" style="31"/>
    <col min="13303" max="13303" width="19.5546875" style="31" customWidth="1"/>
    <col min="13304" max="13304" width="15.44140625" style="31" customWidth="1"/>
    <col min="13305" max="13553" width="11.44140625" style="31"/>
    <col min="13554" max="13554" width="4.21875" style="31" customWidth="1"/>
    <col min="13555" max="13555" width="14.77734375" style="31" customWidth="1"/>
    <col min="13556" max="13556" width="11.44140625" style="31"/>
    <col min="13557" max="13557" width="43.77734375" style="31" bestFit="1" customWidth="1"/>
    <col min="13558" max="13558" width="11.44140625" style="31"/>
    <col min="13559" max="13559" width="19.5546875" style="31" customWidth="1"/>
    <col min="13560" max="13560" width="15.44140625" style="31" customWidth="1"/>
    <col min="13561" max="13809" width="11.44140625" style="31"/>
    <col min="13810" max="13810" width="4.21875" style="31" customWidth="1"/>
    <col min="13811" max="13811" width="14.77734375" style="31" customWidth="1"/>
    <col min="13812" max="13812" width="11.44140625" style="31"/>
    <col min="13813" max="13813" width="43.77734375" style="31" bestFit="1" customWidth="1"/>
    <col min="13814" max="13814" width="11.44140625" style="31"/>
    <col min="13815" max="13815" width="19.5546875" style="31" customWidth="1"/>
    <col min="13816" max="13816" width="15.44140625" style="31" customWidth="1"/>
    <col min="13817" max="14065" width="11.44140625" style="31"/>
    <col min="14066" max="14066" width="4.21875" style="31" customWidth="1"/>
    <col min="14067" max="14067" width="14.77734375" style="31" customWidth="1"/>
    <col min="14068" max="14068" width="11.44140625" style="31"/>
    <col min="14069" max="14069" width="43.77734375" style="31" bestFit="1" customWidth="1"/>
    <col min="14070" max="14070" width="11.44140625" style="31"/>
    <col min="14071" max="14071" width="19.5546875" style="31" customWidth="1"/>
    <col min="14072" max="14072" width="15.44140625" style="31" customWidth="1"/>
    <col min="14073" max="14321" width="11.44140625" style="31"/>
    <col min="14322" max="14322" width="4.21875" style="31" customWidth="1"/>
    <col min="14323" max="14323" width="14.77734375" style="31" customWidth="1"/>
    <col min="14324" max="14324" width="11.44140625" style="31"/>
    <col min="14325" max="14325" width="43.77734375" style="31" bestFit="1" customWidth="1"/>
    <col min="14326" max="14326" width="11.44140625" style="31"/>
    <col min="14327" max="14327" width="19.5546875" style="31" customWidth="1"/>
    <col min="14328" max="14328" width="15.44140625" style="31" customWidth="1"/>
    <col min="14329" max="14577" width="11.44140625" style="31"/>
    <col min="14578" max="14578" width="4.21875" style="31" customWidth="1"/>
    <col min="14579" max="14579" width="14.77734375" style="31" customWidth="1"/>
    <col min="14580" max="14580" width="11.44140625" style="31"/>
    <col min="14581" max="14581" width="43.77734375" style="31" bestFit="1" customWidth="1"/>
    <col min="14582" max="14582" width="11.44140625" style="31"/>
    <col min="14583" max="14583" width="19.5546875" style="31" customWidth="1"/>
    <col min="14584" max="14584" width="15.44140625" style="31" customWidth="1"/>
    <col min="14585" max="14833" width="11.44140625" style="31"/>
    <col min="14834" max="14834" width="4.21875" style="31" customWidth="1"/>
    <col min="14835" max="14835" width="14.77734375" style="31" customWidth="1"/>
    <col min="14836" max="14836" width="11.44140625" style="31"/>
    <col min="14837" max="14837" width="43.77734375" style="31" bestFit="1" customWidth="1"/>
    <col min="14838" max="14838" width="11.44140625" style="31"/>
    <col min="14839" max="14839" width="19.5546875" style="31" customWidth="1"/>
    <col min="14840" max="14840" width="15.44140625" style="31" customWidth="1"/>
    <col min="14841" max="15089" width="11.44140625" style="31"/>
    <col min="15090" max="15090" width="4.21875" style="31" customWidth="1"/>
    <col min="15091" max="15091" width="14.77734375" style="31" customWidth="1"/>
    <col min="15092" max="15092" width="11.44140625" style="31"/>
    <col min="15093" max="15093" width="43.77734375" style="31" bestFit="1" customWidth="1"/>
    <col min="15094" max="15094" width="11.44140625" style="31"/>
    <col min="15095" max="15095" width="19.5546875" style="31" customWidth="1"/>
    <col min="15096" max="15096" width="15.44140625" style="31" customWidth="1"/>
    <col min="15097" max="15345" width="11.44140625" style="31"/>
    <col min="15346" max="15346" width="4.21875" style="31" customWidth="1"/>
    <col min="15347" max="15347" width="14.77734375" style="31" customWidth="1"/>
    <col min="15348" max="15348" width="11.44140625" style="31"/>
    <col min="15349" max="15349" width="43.77734375" style="31" bestFit="1" customWidth="1"/>
    <col min="15350" max="15350" width="11.44140625" style="31"/>
    <col min="15351" max="15351" width="19.5546875" style="31" customWidth="1"/>
    <col min="15352" max="15352" width="15.44140625" style="31" customWidth="1"/>
    <col min="15353" max="15601" width="11.44140625" style="31"/>
    <col min="15602" max="15602" width="4.21875" style="31" customWidth="1"/>
    <col min="15603" max="15603" width="14.77734375" style="31" customWidth="1"/>
    <col min="15604" max="15604" width="11.44140625" style="31"/>
    <col min="15605" max="15605" width="43.77734375" style="31" bestFit="1" customWidth="1"/>
    <col min="15606" max="15606" width="11.44140625" style="31"/>
    <col min="15607" max="15607" width="19.5546875" style="31" customWidth="1"/>
    <col min="15608" max="15608" width="15.44140625" style="31" customWidth="1"/>
    <col min="15609" max="15857" width="11.44140625" style="31"/>
    <col min="15858" max="15858" width="4.21875" style="31" customWidth="1"/>
    <col min="15859" max="15859" width="14.77734375" style="31" customWidth="1"/>
    <col min="15860" max="15860" width="11.44140625" style="31"/>
    <col min="15861" max="15861" width="43.77734375" style="31" bestFit="1" customWidth="1"/>
    <col min="15862" max="15862" width="11.44140625" style="31"/>
    <col min="15863" max="15863" width="19.5546875" style="31" customWidth="1"/>
    <col min="15864" max="15864" width="15.44140625" style="31" customWidth="1"/>
    <col min="15865" max="16113" width="11.44140625" style="31"/>
    <col min="16114" max="16114" width="4.21875" style="31" customWidth="1"/>
    <col min="16115" max="16115" width="14.77734375" style="31" customWidth="1"/>
    <col min="16116" max="16116" width="11.44140625" style="31"/>
    <col min="16117" max="16117" width="43.77734375" style="31" bestFit="1" customWidth="1"/>
    <col min="16118" max="16118" width="11.44140625" style="31"/>
    <col min="16119" max="16119" width="19.5546875" style="31" customWidth="1"/>
    <col min="16120" max="16120" width="15.44140625" style="31" customWidth="1"/>
    <col min="16121" max="16384" width="11.44140625" style="31"/>
  </cols>
  <sheetData>
    <row r="1" spans="1:13" ht="15.6">
      <c r="B1" s="22" t="s">
        <v>2742</v>
      </c>
      <c r="C1" s="1015"/>
      <c r="D1" s="1015"/>
      <c r="E1" s="1015"/>
      <c r="F1" s="1015"/>
      <c r="G1" s="1015"/>
    </row>
    <row r="2" spans="1:13" ht="15.6">
      <c r="B2" s="22"/>
      <c r="C2" s="1015"/>
      <c r="D2" s="1015"/>
      <c r="E2" s="1015"/>
      <c r="F2" s="1015"/>
      <c r="G2" s="1015"/>
    </row>
    <row r="3" spans="1:13">
      <c r="B3" s="1016"/>
      <c r="C3" s="1016"/>
      <c r="D3" s="1016"/>
      <c r="E3" s="1016"/>
      <c r="F3" s="1016"/>
      <c r="G3" s="1016"/>
    </row>
    <row r="4" spans="1:13" ht="15" thickBot="1">
      <c r="B4" s="2560" t="s">
        <v>2728</v>
      </c>
      <c r="C4" s="3712">
        <v>2010</v>
      </c>
      <c r="D4" s="3712">
        <v>2011</v>
      </c>
      <c r="E4" s="3712">
        <v>2012</v>
      </c>
      <c r="F4" s="3712">
        <v>2013</v>
      </c>
      <c r="G4" s="3712">
        <v>2014</v>
      </c>
      <c r="H4" s="3712">
        <v>2015</v>
      </c>
      <c r="I4" s="3712">
        <v>2016</v>
      </c>
      <c r="J4" s="3712">
        <v>2017</v>
      </c>
      <c r="K4" s="3712">
        <v>2018</v>
      </c>
      <c r="L4" s="2556">
        <v>2019</v>
      </c>
      <c r="M4" s="2556">
        <v>2020</v>
      </c>
    </row>
    <row r="5" spans="1:13" s="1010" customFormat="1" ht="15" customHeight="1">
      <c r="A5" s="31"/>
      <c r="B5" s="3713" t="s">
        <v>103</v>
      </c>
      <c r="C5" s="3714">
        <v>0</v>
      </c>
      <c r="D5" s="3715">
        <v>0.66666666666666607</v>
      </c>
      <c r="E5" s="3716">
        <v>0</v>
      </c>
      <c r="F5" s="3717">
        <v>0</v>
      </c>
      <c r="G5" s="3718">
        <v>0</v>
      </c>
      <c r="H5" s="3719">
        <v>0.13333333333333375</v>
      </c>
      <c r="I5" s="3719">
        <v>0.10000000000000009</v>
      </c>
      <c r="J5" s="3719">
        <v>0.1</v>
      </c>
      <c r="K5" s="3720">
        <v>4.9999999999999822E-2</v>
      </c>
      <c r="L5" s="3778">
        <v>0</v>
      </c>
      <c r="M5" s="3778"/>
    </row>
    <row r="6" spans="1:13" s="1010" customFormat="1" ht="15" customHeight="1">
      <c r="A6" s="31"/>
      <c r="B6" s="3721" t="s">
        <v>416</v>
      </c>
      <c r="C6" s="3722"/>
      <c r="D6" s="3723">
        <v>0</v>
      </c>
      <c r="E6" s="3724">
        <v>0.33333333333333348</v>
      </c>
      <c r="F6" s="3725">
        <v>0</v>
      </c>
      <c r="G6" s="3726">
        <v>0.20000000000000018</v>
      </c>
      <c r="H6" s="3727"/>
      <c r="I6" s="3726">
        <v>0</v>
      </c>
      <c r="J6" s="3726"/>
      <c r="K6" s="3728"/>
      <c r="L6" s="3728"/>
      <c r="M6" s="3728">
        <v>0</v>
      </c>
    </row>
    <row r="7" spans="1:13" s="1010" customFormat="1" ht="15" customHeight="1">
      <c r="A7" s="31"/>
      <c r="B7" s="42" t="s">
        <v>3919</v>
      </c>
      <c r="C7" s="3722"/>
      <c r="D7" s="3723"/>
      <c r="E7" s="3724"/>
      <c r="F7" s="3725"/>
      <c r="G7" s="3726"/>
      <c r="H7" s="3727"/>
      <c r="I7" s="5525"/>
      <c r="J7" s="5525"/>
      <c r="K7" s="3755"/>
      <c r="L7" s="3728"/>
      <c r="M7" s="3728">
        <v>0</v>
      </c>
    </row>
    <row r="8" spans="1:13" s="1010" customFormat="1" ht="15" customHeight="1">
      <c r="A8" s="31"/>
      <c r="B8" s="3729" t="s">
        <v>545</v>
      </c>
      <c r="C8" s="3730">
        <v>0</v>
      </c>
      <c r="D8" s="3731">
        <v>0.42105263157894701</v>
      </c>
      <c r="E8" s="3732">
        <v>0.12500000000000006</v>
      </c>
      <c r="F8" s="3733">
        <v>0</v>
      </c>
      <c r="G8" s="3734">
        <v>4.5454545454545497E-2</v>
      </c>
      <c r="H8" s="2928">
        <v>0.13333333333333375</v>
      </c>
      <c r="I8" s="2928">
        <v>8.0000000000000071E-2</v>
      </c>
      <c r="J8" s="2928"/>
      <c r="K8" s="2937">
        <v>4.9999999999999822E-2</v>
      </c>
      <c r="L8" s="3634">
        <v>0</v>
      </c>
      <c r="M8" s="3634">
        <v>0</v>
      </c>
    </row>
    <row r="9" spans="1:13" s="1010" customFormat="1" ht="15" customHeight="1">
      <c r="A9" s="31"/>
      <c r="B9" s="3721" t="s">
        <v>105</v>
      </c>
      <c r="C9" s="3722">
        <v>3.6153846153846132</v>
      </c>
      <c r="D9" s="3723">
        <v>1.1818181818181825</v>
      </c>
      <c r="E9" s="3724">
        <v>2.666666666666667</v>
      </c>
      <c r="F9" s="3725">
        <v>0.30303030303030409</v>
      </c>
      <c r="G9" s="3726">
        <v>3</v>
      </c>
      <c r="H9" s="3727"/>
      <c r="I9" s="3727"/>
      <c r="J9" s="3735">
        <v>5</v>
      </c>
      <c r="K9" s="3736"/>
      <c r="L9" s="3779"/>
      <c r="M9" s="3779"/>
    </row>
    <row r="10" spans="1:13" s="1010" customFormat="1" ht="15" customHeight="1">
      <c r="A10" s="31"/>
      <c r="B10" s="3692" t="s">
        <v>847</v>
      </c>
      <c r="C10" s="3722"/>
      <c r="D10" s="3723">
        <v>7</v>
      </c>
      <c r="E10" s="3724"/>
      <c r="F10" s="3725"/>
      <c r="G10" s="3726"/>
      <c r="H10" s="3727"/>
      <c r="I10" s="3727"/>
      <c r="J10" s="3735"/>
      <c r="K10" s="3736">
        <v>0</v>
      </c>
      <c r="L10" s="3779">
        <v>0</v>
      </c>
      <c r="M10" s="3779"/>
    </row>
    <row r="11" spans="1:13" s="1010" customFormat="1" ht="28.8">
      <c r="A11" s="31"/>
      <c r="B11" s="3737" t="s">
        <v>1637</v>
      </c>
      <c r="C11" s="3722"/>
      <c r="D11" s="3723"/>
      <c r="E11" s="3724"/>
      <c r="F11" s="3725"/>
      <c r="G11" s="3726"/>
      <c r="H11" s="3727"/>
      <c r="I11" s="3727"/>
      <c r="J11" s="3735">
        <v>0.88</v>
      </c>
      <c r="K11" s="3736"/>
      <c r="L11" s="3779"/>
      <c r="M11" s="3779">
        <v>0</v>
      </c>
    </row>
    <row r="12" spans="1:13" s="1010" customFormat="1" ht="15" customHeight="1">
      <c r="A12" s="31"/>
      <c r="B12" s="3729" t="s">
        <v>546</v>
      </c>
      <c r="C12" s="3730">
        <v>3.6153846153846132</v>
      </c>
      <c r="D12" s="3731">
        <v>1.3529411764705888</v>
      </c>
      <c r="E12" s="3732">
        <v>2.666666666666667</v>
      </c>
      <c r="F12" s="3733">
        <v>0.30303030303030409</v>
      </c>
      <c r="G12" s="3734">
        <v>3</v>
      </c>
      <c r="H12" s="3727"/>
      <c r="I12" s="3727"/>
      <c r="J12" s="3735">
        <v>1.34</v>
      </c>
      <c r="K12" s="3736">
        <v>0</v>
      </c>
      <c r="L12" s="3779">
        <v>0</v>
      </c>
      <c r="M12" s="3779">
        <v>0</v>
      </c>
    </row>
    <row r="13" spans="1:13" s="1010" customFormat="1" ht="15" customHeight="1">
      <c r="A13" s="31"/>
      <c r="B13" s="3738" t="s">
        <v>106</v>
      </c>
      <c r="C13" s="3739">
        <v>2.8484848484848468</v>
      </c>
      <c r="D13" s="3740">
        <v>1.0188679245283021</v>
      </c>
      <c r="E13" s="3741">
        <v>0.6333333333333333</v>
      </c>
      <c r="F13" s="3742">
        <v>0.22727272727272807</v>
      </c>
      <c r="G13" s="3743">
        <v>0.17391304347826092</v>
      </c>
      <c r="H13" s="2942">
        <v>0.13333333333333375</v>
      </c>
      <c r="I13" s="2942">
        <v>8.0000000000000071E-2</v>
      </c>
      <c r="J13" s="2942">
        <v>0.48</v>
      </c>
      <c r="K13" s="2943">
        <v>4.5238095238095077E-2</v>
      </c>
      <c r="L13" s="3636">
        <v>0</v>
      </c>
      <c r="M13" s="3636">
        <v>0</v>
      </c>
    </row>
    <row r="14" spans="1:13" s="1010" customFormat="1" ht="15" customHeight="1">
      <c r="A14" s="31"/>
      <c r="B14" s="3744" t="s">
        <v>2532</v>
      </c>
      <c r="C14" s="3745"/>
      <c r="D14" s="3746"/>
      <c r="E14" s="3747"/>
      <c r="F14" s="3748"/>
      <c r="G14" s="3749"/>
      <c r="H14" s="3750"/>
      <c r="I14" s="3750"/>
      <c r="J14" s="3750"/>
      <c r="K14" s="3751"/>
      <c r="L14" s="3780">
        <v>0.3</v>
      </c>
      <c r="M14" s="3780">
        <v>1</v>
      </c>
    </row>
    <row r="15" spans="1:13" s="1010" customFormat="1" ht="15" customHeight="1">
      <c r="A15" s="31"/>
      <c r="B15" s="3729" t="s">
        <v>544</v>
      </c>
      <c r="C15" s="3730"/>
      <c r="D15" s="3731"/>
      <c r="E15" s="3732"/>
      <c r="F15" s="3733"/>
      <c r="G15" s="3734"/>
      <c r="H15" s="2928"/>
      <c r="I15" s="2928"/>
      <c r="J15" s="2928"/>
      <c r="K15" s="2937"/>
      <c r="L15" s="3634">
        <v>0.3</v>
      </c>
      <c r="M15" s="3634">
        <v>1</v>
      </c>
    </row>
    <row r="16" spans="1:13" s="1010" customFormat="1" ht="15" customHeight="1">
      <c r="A16" s="31"/>
      <c r="B16" s="3744" t="s">
        <v>107</v>
      </c>
      <c r="C16" s="3745">
        <v>0.53333333333333321</v>
      </c>
      <c r="D16" s="3746">
        <v>0.37962962962963021</v>
      </c>
      <c r="E16" s="3747">
        <v>0.65000000000000169</v>
      </c>
      <c r="F16" s="3748">
        <v>6.25E-2</v>
      </c>
      <c r="G16" s="3749">
        <v>0</v>
      </c>
      <c r="H16" s="3750">
        <v>0</v>
      </c>
      <c r="I16" s="3750">
        <v>0</v>
      </c>
      <c r="J16" s="3750">
        <v>0.14000000000000001</v>
      </c>
      <c r="K16" s="3751">
        <v>0.12999999999999989</v>
      </c>
      <c r="L16" s="3780">
        <v>0</v>
      </c>
      <c r="M16" s="3780">
        <v>4.0000000000000036E-2</v>
      </c>
    </row>
    <row r="17" spans="1:13" s="1010" customFormat="1" ht="15" customHeight="1">
      <c r="A17" s="31"/>
      <c r="B17" s="3729" t="s">
        <v>545</v>
      </c>
      <c r="C17" s="3730">
        <v>0.53333333333333321</v>
      </c>
      <c r="D17" s="3731">
        <v>0.37962962962963021</v>
      </c>
      <c r="E17" s="3732">
        <v>0.65000000000000169</v>
      </c>
      <c r="F17" s="3733">
        <v>6.25E-2</v>
      </c>
      <c r="G17" s="3734">
        <v>0</v>
      </c>
      <c r="H17" s="2928">
        <v>0</v>
      </c>
      <c r="I17" s="2928">
        <v>0</v>
      </c>
      <c r="J17" s="2928">
        <v>0.14000000000000001</v>
      </c>
      <c r="K17" s="2937">
        <v>0.12999999999999989</v>
      </c>
      <c r="L17" s="3634">
        <v>0</v>
      </c>
      <c r="M17" s="3634">
        <v>4.0000000000000036E-2</v>
      </c>
    </row>
    <row r="18" spans="1:13" s="1010" customFormat="1" ht="15" customHeight="1">
      <c r="A18" s="31"/>
      <c r="B18" s="3721" t="s">
        <v>108</v>
      </c>
      <c r="C18" s="3722">
        <v>0.66666666666666652</v>
      </c>
      <c r="D18" s="3723">
        <v>1.1000000000000014</v>
      </c>
      <c r="E18" s="3724">
        <v>0.39999999999999991</v>
      </c>
      <c r="F18" s="3725">
        <v>0.61538461538461542</v>
      </c>
      <c r="G18" s="3726">
        <v>0.66666666666666652</v>
      </c>
      <c r="H18" s="3735">
        <v>0.38461538461538503</v>
      </c>
      <c r="I18" s="3735">
        <v>1.1399999999999997</v>
      </c>
      <c r="J18" s="3735">
        <v>1.21</v>
      </c>
      <c r="K18" s="3736">
        <v>1.7800000000000002</v>
      </c>
      <c r="L18" s="3779">
        <v>1</v>
      </c>
      <c r="M18" s="3779">
        <v>1.75</v>
      </c>
    </row>
    <row r="19" spans="1:13" s="1010" customFormat="1" ht="15" customHeight="1">
      <c r="A19" s="31"/>
      <c r="B19" s="3721" t="s">
        <v>590</v>
      </c>
      <c r="C19" s="3722">
        <v>1.75</v>
      </c>
      <c r="D19" s="3723">
        <v>3</v>
      </c>
      <c r="E19" s="3724">
        <v>0</v>
      </c>
      <c r="F19" s="3725">
        <v>1.666666666666667</v>
      </c>
      <c r="G19" s="3726">
        <v>4</v>
      </c>
      <c r="H19" s="3735">
        <v>3.5714285714285712</v>
      </c>
      <c r="I19" s="3735">
        <v>3.2899999999999991</v>
      </c>
      <c r="J19" s="3735">
        <v>4</v>
      </c>
      <c r="K19" s="3736">
        <v>2.33</v>
      </c>
      <c r="L19" s="3779"/>
      <c r="M19" s="3779"/>
    </row>
    <row r="20" spans="1:13" s="1010" customFormat="1" ht="15" customHeight="1">
      <c r="A20" s="31"/>
      <c r="B20" s="3729" t="s">
        <v>547</v>
      </c>
      <c r="C20" s="3730">
        <v>1.2083333333333333</v>
      </c>
      <c r="D20" s="3731">
        <v>1.272727272727274</v>
      </c>
      <c r="E20" s="3752">
        <v>0.35294117647058815</v>
      </c>
      <c r="F20" s="3753">
        <v>0.72413793103448276</v>
      </c>
      <c r="G20" s="3734">
        <v>2.3333333333333335</v>
      </c>
      <c r="H20" s="2928">
        <v>1.5000000000000004</v>
      </c>
      <c r="I20" s="2928">
        <v>1.856666666666666</v>
      </c>
      <c r="J20" s="2928">
        <v>1.78</v>
      </c>
      <c r="K20" s="2937">
        <v>3.3333333333333339</v>
      </c>
      <c r="L20" s="3634">
        <v>1</v>
      </c>
      <c r="M20" s="3634">
        <v>1.75</v>
      </c>
    </row>
    <row r="21" spans="1:13" s="1010" customFormat="1" ht="15" customHeight="1">
      <c r="A21" s="31"/>
      <c r="B21" s="3738" t="s">
        <v>110</v>
      </c>
      <c r="C21" s="3739">
        <v>0.98333333333333328</v>
      </c>
      <c r="D21" s="3740">
        <v>0.53076923076923144</v>
      </c>
      <c r="E21" s="3741">
        <v>0.60683760683760835</v>
      </c>
      <c r="F21" s="3742">
        <v>0.48888888888888887</v>
      </c>
      <c r="G21" s="3743">
        <v>0.77777777777777779</v>
      </c>
      <c r="H21" s="2942">
        <v>0.85714285714285732</v>
      </c>
      <c r="I21" s="2942">
        <v>0.57338235294117634</v>
      </c>
      <c r="J21" s="2942">
        <v>0.96</v>
      </c>
      <c r="K21" s="2943">
        <v>0.60262295081967221</v>
      </c>
      <c r="L21" s="3636">
        <v>0.09</v>
      </c>
      <c r="M21" s="3636">
        <v>0.29161290322580646</v>
      </c>
    </row>
    <row r="22" spans="1:13" s="1010" customFormat="1" ht="15" customHeight="1">
      <c r="A22" s="31"/>
      <c r="B22" s="3744" t="s">
        <v>111</v>
      </c>
      <c r="C22" s="3745">
        <v>1.0999999999999996</v>
      </c>
      <c r="D22" s="3746">
        <v>-2</v>
      </c>
      <c r="E22" s="3749"/>
      <c r="F22" s="3748">
        <v>3</v>
      </c>
      <c r="G22" s="3749">
        <v>0.96428571428571441</v>
      </c>
      <c r="H22" s="3750">
        <v>3</v>
      </c>
      <c r="I22" s="3750">
        <v>3</v>
      </c>
      <c r="J22" s="3750">
        <v>2</v>
      </c>
      <c r="K22" s="3751">
        <v>1</v>
      </c>
      <c r="L22" s="3780">
        <v>3</v>
      </c>
      <c r="M22" s="3780">
        <v>3</v>
      </c>
    </row>
    <row r="23" spans="1:13" s="1010" customFormat="1" ht="15" customHeight="1">
      <c r="A23" s="31"/>
      <c r="B23" s="3754" t="s">
        <v>134</v>
      </c>
      <c r="C23" s="3722"/>
      <c r="D23" s="3723">
        <v>1.4117647058823533</v>
      </c>
      <c r="E23" s="3724">
        <v>4</v>
      </c>
      <c r="F23" s="3753"/>
      <c r="G23" s="3734"/>
      <c r="H23" s="3727"/>
      <c r="I23" s="3727"/>
      <c r="J23" s="3735"/>
      <c r="K23" s="3736"/>
      <c r="L23" s="3779"/>
      <c r="M23" s="3779"/>
    </row>
    <row r="24" spans="1:13" s="1010" customFormat="1" ht="15" customHeight="1">
      <c r="A24" s="31"/>
      <c r="B24" s="3729" t="s">
        <v>850</v>
      </c>
      <c r="C24" s="3730">
        <v>1.0999999999999996</v>
      </c>
      <c r="D24" s="3731">
        <v>1.0526315789473688</v>
      </c>
      <c r="E24" s="3732">
        <v>4</v>
      </c>
      <c r="F24" s="3733">
        <v>3</v>
      </c>
      <c r="G24" s="3734">
        <v>0.96428571428571441</v>
      </c>
      <c r="H24" s="2928">
        <v>3</v>
      </c>
      <c r="I24" s="2928">
        <v>3</v>
      </c>
      <c r="J24" s="2928">
        <v>2</v>
      </c>
      <c r="K24" s="2937">
        <v>1</v>
      </c>
      <c r="L24" s="3634">
        <v>3</v>
      </c>
      <c r="M24" s="3634">
        <v>3</v>
      </c>
    </row>
    <row r="25" spans="1:13" s="1010" customFormat="1" ht="15" customHeight="1">
      <c r="A25" s="31"/>
      <c r="B25" s="3721" t="s">
        <v>138</v>
      </c>
      <c r="C25" s="3722"/>
      <c r="D25" s="3723">
        <v>3</v>
      </c>
      <c r="E25" s="3726"/>
      <c r="F25" s="3755"/>
      <c r="G25" s="3726">
        <v>3</v>
      </c>
      <c r="H25" s="3735">
        <v>2.5</v>
      </c>
      <c r="I25" s="3735">
        <v>1</v>
      </c>
      <c r="J25" s="3735">
        <v>3</v>
      </c>
      <c r="K25" s="3736">
        <v>4</v>
      </c>
      <c r="L25" s="3779"/>
      <c r="M25" s="3779"/>
    </row>
    <row r="26" spans="1:13" s="1010" customFormat="1" ht="15" customHeight="1">
      <c r="A26" s="31"/>
      <c r="B26" s="3721" t="s">
        <v>112</v>
      </c>
      <c r="C26" s="3722">
        <v>0.66666666666666652</v>
      </c>
      <c r="D26" s="3723">
        <v>0</v>
      </c>
      <c r="E26" s="3724">
        <v>1.1428571428571432</v>
      </c>
      <c r="F26" s="3755"/>
      <c r="G26" s="3726">
        <v>0.88888888888888884</v>
      </c>
      <c r="H26" s="3727"/>
      <c r="I26" s="3727"/>
      <c r="J26" s="3735"/>
      <c r="K26" s="3736"/>
      <c r="L26" s="3779"/>
      <c r="M26" s="3779"/>
    </row>
    <row r="27" spans="1:13" s="1010" customFormat="1" ht="15" customHeight="1">
      <c r="A27" s="31"/>
      <c r="B27" s="3729" t="s">
        <v>547</v>
      </c>
      <c r="C27" s="3730">
        <v>0.66666666666666652</v>
      </c>
      <c r="D27" s="3731">
        <v>2</v>
      </c>
      <c r="E27" s="3756">
        <v>1.1428571428571432</v>
      </c>
      <c r="F27" s="3757"/>
      <c r="G27" s="3734">
        <v>1.1000000000000001</v>
      </c>
      <c r="H27" s="2928">
        <v>2.5</v>
      </c>
      <c r="I27" s="2928">
        <v>1</v>
      </c>
      <c r="J27" s="2928">
        <v>3</v>
      </c>
      <c r="K27" s="2937">
        <v>4</v>
      </c>
      <c r="L27" s="3634"/>
      <c r="M27" s="3634"/>
    </row>
    <row r="28" spans="1:13" s="1010" customFormat="1" ht="15" customHeight="1">
      <c r="A28" s="31"/>
      <c r="B28" s="3738" t="s">
        <v>442</v>
      </c>
      <c r="C28" s="3739">
        <v>1.0434782608695654</v>
      </c>
      <c r="D28" s="3740">
        <v>1.1818181818181821</v>
      </c>
      <c r="E28" s="3758">
        <v>1.5000000000000004</v>
      </c>
      <c r="F28" s="3742">
        <v>3</v>
      </c>
      <c r="G28" s="3743">
        <v>1</v>
      </c>
      <c r="H28" s="2942">
        <v>2.5714285714285716</v>
      </c>
      <c r="I28" s="2942">
        <v>1.5</v>
      </c>
      <c r="J28" s="2942">
        <v>2.8</v>
      </c>
      <c r="K28" s="2943">
        <v>1.1304347826086956</v>
      </c>
      <c r="L28" s="3636">
        <v>3</v>
      </c>
      <c r="M28" s="3636">
        <v>3</v>
      </c>
    </row>
    <row r="29" spans="1:13" s="1010" customFormat="1" ht="15" customHeight="1">
      <c r="A29" s="31"/>
      <c r="B29" s="3744" t="s">
        <v>671</v>
      </c>
      <c r="C29" s="3759"/>
      <c r="D29" s="3760"/>
      <c r="E29" s="3749"/>
      <c r="F29" s="3748">
        <v>0</v>
      </c>
      <c r="G29" s="3749">
        <v>0</v>
      </c>
      <c r="H29" s="3750">
        <v>0</v>
      </c>
      <c r="I29" s="3750">
        <v>0</v>
      </c>
      <c r="J29" s="3750">
        <v>0</v>
      </c>
      <c r="K29" s="3751">
        <v>0</v>
      </c>
      <c r="L29" s="3780"/>
      <c r="M29" s="3780"/>
    </row>
    <row r="30" spans="1:13" s="1010" customFormat="1" ht="15" customHeight="1">
      <c r="A30" s="31"/>
      <c r="B30" s="3761" t="s">
        <v>549</v>
      </c>
      <c r="C30" s="3762"/>
      <c r="D30" s="3763"/>
      <c r="E30" s="3764"/>
      <c r="F30" s="3765">
        <v>0</v>
      </c>
      <c r="G30" s="3764">
        <v>0</v>
      </c>
      <c r="H30" s="3766">
        <v>0</v>
      </c>
      <c r="I30" s="3766">
        <v>0</v>
      </c>
      <c r="J30" s="3766">
        <v>0</v>
      </c>
      <c r="K30" s="3767">
        <v>0</v>
      </c>
      <c r="L30" s="3781"/>
      <c r="M30" s="3781"/>
    </row>
    <row r="31" spans="1:13" s="1010" customFormat="1" ht="15" customHeight="1">
      <c r="A31" s="31"/>
      <c r="B31" s="3768" t="s">
        <v>260</v>
      </c>
      <c r="C31" s="3769"/>
      <c r="D31" s="3770"/>
      <c r="E31" s="3771"/>
      <c r="F31" s="3772">
        <v>0</v>
      </c>
      <c r="G31" s="3771">
        <v>0</v>
      </c>
      <c r="H31" s="2557">
        <v>0</v>
      </c>
      <c r="I31" s="2557">
        <v>0</v>
      </c>
      <c r="J31" s="2557">
        <v>0</v>
      </c>
      <c r="K31" s="3773">
        <v>0</v>
      </c>
      <c r="L31" s="3782"/>
      <c r="M31" s="3782"/>
    </row>
    <row r="32" spans="1:13" s="1010" customFormat="1" ht="15" customHeight="1">
      <c r="B32" s="99"/>
      <c r="C32" s="99"/>
      <c r="D32" s="99"/>
      <c r="E32" s="99"/>
      <c r="F32" s="99"/>
      <c r="G32" s="99"/>
      <c r="H32" s="99"/>
      <c r="I32" s="99"/>
      <c r="J32" s="99"/>
      <c r="K32" s="99"/>
      <c r="L32" s="99"/>
      <c r="M32" s="99"/>
    </row>
    <row r="33" spans="1:14" s="1010" customFormat="1" ht="15" customHeight="1">
      <c r="A33" s="31"/>
      <c r="B33" s="3768" t="s">
        <v>842</v>
      </c>
      <c r="C33" s="3774">
        <v>1.6250988142292486</v>
      </c>
      <c r="D33" s="3773">
        <v>0.72682926829268346</v>
      </c>
      <c r="E33" s="3775">
        <v>0.65806451612903338</v>
      </c>
      <c r="F33" s="3776">
        <v>0.38043478260869606</v>
      </c>
      <c r="G33" s="3777">
        <v>0.70707070707070707</v>
      </c>
      <c r="H33" s="2557">
        <v>0.84745762711864436</v>
      </c>
      <c r="I33" s="2557">
        <v>0.47464646464646459</v>
      </c>
      <c r="J33" s="2557">
        <v>0.87</v>
      </c>
      <c r="K33" s="2557">
        <v>0.59542056074766347</v>
      </c>
      <c r="L33" s="3782">
        <v>0.15</v>
      </c>
      <c r="M33" s="3782">
        <v>0.25617021276595747</v>
      </c>
    </row>
    <row r="34" spans="1:14" ht="13.8" customHeight="1">
      <c r="L34" s="5657" t="s">
        <v>3861</v>
      </c>
      <c r="M34" s="5657"/>
      <c r="N34" s="4789"/>
    </row>
    <row r="35" spans="1:14" ht="14.4">
      <c r="B35" s="42" t="s">
        <v>2905</v>
      </c>
      <c r="L35" s="5636"/>
      <c r="M35" s="5636"/>
      <c r="N35" s="4789"/>
    </row>
    <row r="38" spans="1:14" ht="31.5" customHeight="1"/>
    <row r="47" spans="1:14" ht="32.25" customHeight="1"/>
    <row r="49" ht="33.75" customHeight="1"/>
  </sheetData>
  <sheetProtection algorithmName="SHA-512" hashValue="qibrPcO2UyozXZ3E8Nlwb0zGR+4yDYENX06lPsNM5T4rbDqpqCq5k0tbA3yEDE2f8RY2Glx6XSjlW00+4wpiwg==" saltValue="a0kR4M+7d0qc0lzq/WKGTw==" spinCount="100000" sheet="1" objects="1" scenarios="1"/>
  <mergeCells count="1">
    <mergeCell ref="L34:M3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P147"/>
  <sheetViews>
    <sheetView topLeftCell="B1" workbookViewId="0">
      <selection activeCell="F3" sqref="F3"/>
    </sheetView>
  </sheetViews>
  <sheetFormatPr baseColWidth="10" defaultRowHeight="14.4"/>
  <cols>
    <col min="1" max="1" width="11.5546875" style="5504"/>
    <col min="2" max="2" width="7.21875" style="5504" bestFit="1" customWidth="1"/>
    <col min="3" max="3" width="50.44140625" style="5504" bestFit="1" customWidth="1"/>
    <col min="4" max="7" width="11.5546875" style="5504"/>
    <col min="8" max="8" width="1.88671875" style="5504" customWidth="1"/>
    <col min="9" max="9" width="10.77734375" style="4689"/>
    <col min="10" max="10" width="7.21875" style="4689" bestFit="1" customWidth="1"/>
    <col min="11" max="11" width="32.77734375" style="4689" bestFit="1" customWidth="1"/>
    <col min="12" max="15" width="10.77734375" style="4689"/>
    <col min="16" max="16" width="11.44140625" style="4577"/>
    <col min="17" max="17" width="9.21875" style="37" customWidth="1"/>
    <col min="18" max="18" width="5.5546875" style="37" bestFit="1" customWidth="1"/>
    <col min="19" max="19" width="25.5546875" style="37" bestFit="1" customWidth="1"/>
    <col min="20" max="20" width="8.21875" style="37" bestFit="1" customWidth="1"/>
    <col min="21" max="21" width="2.21875" style="37" bestFit="1" customWidth="1"/>
    <col min="22" max="22" width="6.77734375" style="37" bestFit="1" customWidth="1"/>
    <col min="23" max="23" width="10" style="37" bestFit="1" customWidth="1"/>
    <col min="24" max="24" width="11.44140625" style="4577"/>
    <col min="25" max="25" width="13.44140625" style="2481" customWidth="1"/>
    <col min="26" max="26" width="11.44140625" style="2481"/>
    <col min="27" max="27" width="40.21875" style="2481" bestFit="1" customWidth="1"/>
    <col min="28" max="29" width="11.44140625" style="2481"/>
    <col min="30" max="30" width="8.77734375" style="2481" bestFit="1" customWidth="1"/>
    <col min="31" max="31" width="13" style="2481" customWidth="1"/>
    <col min="32" max="32" width="11.44140625" style="2481"/>
    <col min="34" max="34" width="7" bestFit="1" customWidth="1"/>
    <col min="35" max="35" width="59.44140625" bestFit="1" customWidth="1"/>
    <col min="36" max="36" width="9.77734375" bestFit="1" customWidth="1"/>
    <col min="37" max="37" width="5.21875" bestFit="1" customWidth="1"/>
    <col min="38" max="38" width="8.21875" bestFit="1" customWidth="1"/>
    <col min="41" max="41" width="6.77734375" bestFit="1" customWidth="1"/>
    <col min="42" max="42" width="37.21875" bestFit="1" customWidth="1"/>
    <col min="43" max="43" width="8.21875" bestFit="1" customWidth="1"/>
    <col min="44" max="44" width="6.21875" customWidth="1"/>
    <col min="45" max="45" width="8.21875" bestFit="1" customWidth="1"/>
    <col min="48" max="48" width="8.77734375" customWidth="1"/>
    <col min="49" max="49" width="36.21875" bestFit="1" customWidth="1"/>
    <col min="56" max="56" width="37.21875" bestFit="1" customWidth="1"/>
    <col min="63" max="63" width="7.21875" bestFit="1" customWidth="1"/>
    <col min="64" max="64" width="44.77734375" bestFit="1" customWidth="1"/>
    <col min="65" max="66" width="11.5546875" customWidth="1"/>
    <col min="69" max="69" width="4.21875" customWidth="1"/>
    <col min="70" max="70" width="10.5546875" customWidth="1"/>
    <col min="71" max="71" width="8.77734375" customWidth="1"/>
    <col min="72" max="72" width="34.77734375" bestFit="1" customWidth="1"/>
    <col min="73" max="74" width="8.77734375" hidden="1" customWidth="1"/>
    <col min="75" max="78" width="8.77734375" customWidth="1"/>
    <col min="79" max="79" width="12.21875" style="129" customWidth="1"/>
    <col min="80" max="80" width="7" style="129" bestFit="1" customWidth="1"/>
    <col min="81" max="81" width="35.77734375" customWidth="1"/>
    <col min="82" max="82" width="5.77734375" customWidth="1"/>
    <col min="83" max="83" width="17.5546875" bestFit="1" customWidth="1"/>
    <col min="84" max="84" width="13" bestFit="1" customWidth="1"/>
    <col min="85" max="85" width="8.77734375" bestFit="1" customWidth="1"/>
    <col min="86" max="86" width="0" hidden="1" customWidth="1"/>
    <col min="88" max="88" width="11.77734375" customWidth="1"/>
    <col min="90" max="90" width="36.77734375" bestFit="1" customWidth="1"/>
    <col min="334" max="334" width="4.21875" customWidth="1"/>
    <col min="335" max="335" width="14.77734375" customWidth="1"/>
    <col min="337" max="337" width="43.77734375" bestFit="1" customWidth="1"/>
    <col min="339" max="339" width="19.5546875" customWidth="1"/>
    <col min="340" max="340" width="15.44140625" customWidth="1"/>
    <col min="590" max="590" width="4.21875" customWidth="1"/>
    <col min="591" max="591" width="14.77734375" customWidth="1"/>
    <col min="593" max="593" width="43.77734375" bestFit="1" customWidth="1"/>
    <col min="595" max="595" width="19.5546875" customWidth="1"/>
    <col min="596" max="596" width="15.44140625" customWidth="1"/>
    <col min="846" max="846" width="4.21875" customWidth="1"/>
    <col min="847" max="847" width="14.77734375" customWidth="1"/>
    <col min="849" max="849" width="43.77734375" bestFit="1" customWidth="1"/>
    <col min="851" max="851" width="19.5546875" customWidth="1"/>
    <col min="852" max="852" width="15.44140625" customWidth="1"/>
    <col min="1102" max="1102" width="4.21875" customWidth="1"/>
    <col min="1103" max="1103" width="14.77734375" customWidth="1"/>
    <col min="1105" max="1105" width="43.77734375" bestFit="1" customWidth="1"/>
    <col min="1107" max="1107" width="19.5546875" customWidth="1"/>
    <col min="1108" max="1108" width="15.44140625" customWidth="1"/>
    <col min="1358" max="1358" width="4.21875" customWidth="1"/>
    <col min="1359" max="1359" width="14.77734375" customWidth="1"/>
    <col min="1361" max="1361" width="43.77734375" bestFit="1" customWidth="1"/>
    <col min="1363" max="1363" width="19.5546875" customWidth="1"/>
    <col min="1364" max="1364" width="15.44140625" customWidth="1"/>
    <col min="1614" max="1614" width="4.21875" customWidth="1"/>
    <col min="1615" max="1615" width="14.77734375" customWidth="1"/>
    <col min="1617" max="1617" width="43.77734375" bestFit="1" customWidth="1"/>
    <col min="1619" max="1619" width="19.5546875" customWidth="1"/>
    <col min="1620" max="1620" width="15.44140625" customWidth="1"/>
    <col min="1870" max="1870" width="4.21875" customWidth="1"/>
    <col min="1871" max="1871" width="14.77734375" customWidth="1"/>
    <col min="1873" max="1873" width="43.77734375" bestFit="1" customWidth="1"/>
    <col min="1875" max="1875" width="19.5546875" customWidth="1"/>
    <col min="1876" max="1876" width="15.44140625" customWidth="1"/>
    <col min="2126" max="2126" width="4.21875" customWidth="1"/>
    <col min="2127" max="2127" width="14.77734375" customWidth="1"/>
    <col min="2129" max="2129" width="43.77734375" bestFit="1" customWidth="1"/>
    <col min="2131" max="2131" width="19.5546875" customWidth="1"/>
    <col min="2132" max="2132" width="15.44140625" customWidth="1"/>
    <col min="2382" max="2382" width="4.21875" customWidth="1"/>
    <col min="2383" max="2383" width="14.77734375" customWidth="1"/>
    <col min="2385" max="2385" width="43.77734375" bestFit="1" customWidth="1"/>
    <col min="2387" max="2387" width="19.5546875" customWidth="1"/>
    <col min="2388" max="2388" width="15.44140625" customWidth="1"/>
    <col min="2638" max="2638" width="4.21875" customWidth="1"/>
    <col min="2639" max="2639" width="14.77734375" customWidth="1"/>
    <col min="2641" max="2641" width="43.77734375" bestFit="1" customWidth="1"/>
    <col min="2643" max="2643" width="19.5546875" customWidth="1"/>
    <col min="2644" max="2644" width="15.44140625" customWidth="1"/>
    <col min="2894" max="2894" width="4.21875" customWidth="1"/>
    <col min="2895" max="2895" width="14.77734375" customWidth="1"/>
    <col min="2897" max="2897" width="43.77734375" bestFit="1" customWidth="1"/>
    <col min="2899" max="2899" width="19.5546875" customWidth="1"/>
    <col min="2900" max="2900" width="15.44140625" customWidth="1"/>
    <col min="3150" max="3150" width="4.21875" customWidth="1"/>
    <col min="3151" max="3151" width="14.77734375" customWidth="1"/>
    <col min="3153" max="3153" width="43.77734375" bestFit="1" customWidth="1"/>
    <col min="3155" max="3155" width="19.5546875" customWidth="1"/>
    <col min="3156" max="3156" width="15.44140625" customWidth="1"/>
    <col min="3406" max="3406" width="4.21875" customWidth="1"/>
    <col min="3407" max="3407" width="14.77734375" customWidth="1"/>
    <col min="3409" max="3409" width="43.77734375" bestFit="1" customWidth="1"/>
    <col min="3411" max="3411" width="19.5546875" customWidth="1"/>
    <col min="3412" max="3412" width="15.44140625" customWidth="1"/>
    <col min="3662" max="3662" width="4.21875" customWidth="1"/>
    <col min="3663" max="3663" width="14.77734375" customWidth="1"/>
    <col min="3665" max="3665" width="43.77734375" bestFit="1" customWidth="1"/>
    <col min="3667" max="3667" width="19.5546875" customWidth="1"/>
    <col min="3668" max="3668" width="15.44140625" customWidth="1"/>
    <col min="3918" max="3918" width="4.21875" customWidth="1"/>
    <col min="3919" max="3919" width="14.77734375" customWidth="1"/>
    <col min="3921" max="3921" width="43.77734375" bestFit="1" customWidth="1"/>
    <col min="3923" max="3923" width="19.5546875" customWidth="1"/>
    <col min="3924" max="3924" width="15.44140625" customWidth="1"/>
    <col min="4174" max="4174" width="4.21875" customWidth="1"/>
    <col min="4175" max="4175" width="14.77734375" customWidth="1"/>
    <col min="4177" max="4177" width="43.77734375" bestFit="1" customWidth="1"/>
    <col min="4179" max="4179" width="19.5546875" customWidth="1"/>
    <col min="4180" max="4180" width="15.44140625" customWidth="1"/>
    <col min="4430" max="4430" width="4.21875" customWidth="1"/>
    <col min="4431" max="4431" width="14.77734375" customWidth="1"/>
    <col min="4433" max="4433" width="43.77734375" bestFit="1" customWidth="1"/>
    <col min="4435" max="4435" width="19.5546875" customWidth="1"/>
    <col min="4436" max="4436" width="15.44140625" customWidth="1"/>
    <col min="4686" max="4686" width="4.21875" customWidth="1"/>
    <col min="4687" max="4687" width="14.77734375" customWidth="1"/>
    <col min="4689" max="4689" width="43.77734375" bestFit="1" customWidth="1"/>
    <col min="4691" max="4691" width="19.5546875" customWidth="1"/>
    <col min="4692" max="4692" width="15.44140625" customWidth="1"/>
    <col min="4942" max="4942" width="4.21875" customWidth="1"/>
    <col min="4943" max="4943" width="14.77734375" customWidth="1"/>
    <col min="4945" max="4945" width="43.77734375" bestFit="1" customWidth="1"/>
    <col min="4947" max="4947" width="19.5546875" customWidth="1"/>
    <col min="4948" max="4948" width="15.44140625" customWidth="1"/>
    <col min="5198" max="5198" width="4.21875" customWidth="1"/>
    <col min="5199" max="5199" width="14.77734375" customWidth="1"/>
    <col min="5201" max="5201" width="43.77734375" bestFit="1" customWidth="1"/>
    <col min="5203" max="5203" width="19.5546875" customWidth="1"/>
    <col min="5204" max="5204" width="15.44140625" customWidth="1"/>
    <col min="5454" max="5454" width="4.21875" customWidth="1"/>
    <col min="5455" max="5455" width="14.77734375" customWidth="1"/>
    <col min="5457" max="5457" width="43.77734375" bestFit="1" customWidth="1"/>
    <col min="5459" max="5459" width="19.5546875" customWidth="1"/>
    <col min="5460" max="5460" width="15.44140625" customWidth="1"/>
    <col min="5710" max="5710" width="4.21875" customWidth="1"/>
    <col min="5711" max="5711" width="14.77734375" customWidth="1"/>
    <col min="5713" max="5713" width="43.77734375" bestFit="1" customWidth="1"/>
    <col min="5715" max="5715" width="19.5546875" customWidth="1"/>
    <col min="5716" max="5716" width="15.44140625" customWidth="1"/>
    <col min="5966" max="5966" width="4.21875" customWidth="1"/>
    <col min="5967" max="5967" width="14.77734375" customWidth="1"/>
    <col min="5969" max="5969" width="43.77734375" bestFit="1" customWidth="1"/>
    <col min="5971" max="5971" width="19.5546875" customWidth="1"/>
    <col min="5972" max="5972" width="15.44140625" customWidth="1"/>
    <col min="6222" max="6222" width="4.21875" customWidth="1"/>
    <col min="6223" max="6223" width="14.77734375" customWidth="1"/>
    <col min="6225" max="6225" width="43.77734375" bestFit="1" customWidth="1"/>
    <col min="6227" max="6227" width="19.5546875" customWidth="1"/>
    <col min="6228" max="6228" width="15.44140625" customWidth="1"/>
    <col min="6478" max="6478" width="4.21875" customWidth="1"/>
    <col min="6479" max="6479" width="14.77734375" customWidth="1"/>
    <col min="6481" max="6481" width="43.77734375" bestFit="1" customWidth="1"/>
    <col min="6483" max="6483" width="19.5546875" customWidth="1"/>
    <col min="6484" max="6484" width="15.44140625" customWidth="1"/>
    <col min="6734" max="6734" width="4.21875" customWidth="1"/>
    <col min="6735" max="6735" width="14.77734375" customWidth="1"/>
    <col min="6737" max="6737" width="43.77734375" bestFit="1" customWidth="1"/>
    <col min="6739" max="6739" width="19.5546875" customWidth="1"/>
    <col min="6740" max="6740" width="15.44140625" customWidth="1"/>
    <col min="6990" max="6990" width="4.21875" customWidth="1"/>
    <col min="6991" max="6991" width="14.77734375" customWidth="1"/>
    <col min="6993" max="6993" width="43.77734375" bestFit="1" customWidth="1"/>
    <col min="6995" max="6995" width="19.5546875" customWidth="1"/>
    <col min="6996" max="6996" width="15.44140625" customWidth="1"/>
    <col min="7246" max="7246" width="4.21875" customWidth="1"/>
    <col min="7247" max="7247" width="14.77734375" customWidth="1"/>
    <col min="7249" max="7249" width="43.77734375" bestFit="1" customWidth="1"/>
    <col min="7251" max="7251" width="19.5546875" customWidth="1"/>
    <col min="7252" max="7252" width="15.44140625" customWidth="1"/>
    <col min="7502" max="7502" width="4.21875" customWidth="1"/>
    <col min="7503" max="7503" width="14.77734375" customWidth="1"/>
    <col min="7505" max="7505" width="43.77734375" bestFit="1" customWidth="1"/>
    <col min="7507" max="7507" width="19.5546875" customWidth="1"/>
    <col min="7508" max="7508" width="15.44140625" customWidth="1"/>
    <col min="7758" max="7758" width="4.21875" customWidth="1"/>
    <col min="7759" max="7759" width="14.77734375" customWidth="1"/>
    <col min="7761" max="7761" width="43.77734375" bestFit="1" customWidth="1"/>
    <col min="7763" max="7763" width="19.5546875" customWidth="1"/>
    <col min="7764" max="7764" width="15.44140625" customWidth="1"/>
    <col min="8014" max="8014" width="4.21875" customWidth="1"/>
    <col min="8015" max="8015" width="14.77734375" customWidth="1"/>
    <col min="8017" max="8017" width="43.77734375" bestFit="1" customWidth="1"/>
    <col min="8019" max="8019" width="19.5546875" customWidth="1"/>
    <col min="8020" max="8020" width="15.44140625" customWidth="1"/>
    <col min="8270" max="8270" width="4.21875" customWidth="1"/>
    <col min="8271" max="8271" width="14.77734375" customWidth="1"/>
    <col min="8273" max="8273" width="43.77734375" bestFit="1" customWidth="1"/>
    <col min="8275" max="8275" width="19.5546875" customWidth="1"/>
    <col min="8276" max="8276" width="15.44140625" customWidth="1"/>
    <col min="8526" max="8526" width="4.21875" customWidth="1"/>
    <col min="8527" max="8527" width="14.77734375" customWidth="1"/>
    <col min="8529" max="8529" width="43.77734375" bestFit="1" customWidth="1"/>
    <col min="8531" max="8531" width="19.5546875" customWidth="1"/>
    <col min="8532" max="8532" width="15.44140625" customWidth="1"/>
    <col min="8782" max="8782" width="4.21875" customWidth="1"/>
    <col min="8783" max="8783" width="14.77734375" customWidth="1"/>
    <col min="8785" max="8785" width="43.77734375" bestFit="1" customWidth="1"/>
    <col min="8787" max="8787" width="19.5546875" customWidth="1"/>
    <col min="8788" max="8788" width="15.44140625" customWidth="1"/>
    <col min="9038" max="9038" width="4.21875" customWidth="1"/>
    <col min="9039" max="9039" width="14.77734375" customWidth="1"/>
    <col min="9041" max="9041" width="43.77734375" bestFit="1" customWidth="1"/>
    <col min="9043" max="9043" width="19.5546875" customWidth="1"/>
    <col min="9044" max="9044" width="15.44140625" customWidth="1"/>
    <col min="9294" max="9294" width="4.21875" customWidth="1"/>
    <col min="9295" max="9295" width="14.77734375" customWidth="1"/>
    <col min="9297" max="9297" width="43.77734375" bestFit="1" customWidth="1"/>
    <col min="9299" max="9299" width="19.5546875" customWidth="1"/>
    <col min="9300" max="9300" width="15.44140625" customWidth="1"/>
    <col min="9550" max="9550" width="4.21875" customWidth="1"/>
    <col min="9551" max="9551" width="14.77734375" customWidth="1"/>
    <col min="9553" max="9553" width="43.77734375" bestFit="1" customWidth="1"/>
    <col min="9555" max="9555" width="19.5546875" customWidth="1"/>
    <col min="9556" max="9556" width="15.44140625" customWidth="1"/>
    <col min="9806" max="9806" width="4.21875" customWidth="1"/>
    <col min="9807" max="9807" width="14.77734375" customWidth="1"/>
    <col min="9809" max="9809" width="43.77734375" bestFit="1" customWidth="1"/>
    <col min="9811" max="9811" width="19.5546875" customWidth="1"/>
    <col min="9812" max="9812" width="15.44140625" customWidth="1"/>
    <col min="10062" max="10062" width="4.21875" customWidth="1"/>
    <col min="10063" max="10063" width="14.77734375" customWidth="1"/>
    <col min="10065" max="10065" width="43.77734375" bestFit="1" customWidth="1"/>
    <col min="10067" max="10067" width="19.5546875" customWidth="1"/>
    <col min="10068" max="10068" width="15.44140625" customWidth="1"/>
    <col min="10318" max="10318" width="4.21875" customWidth="1"/>
    <col min="10319" max="10319" width="14.77734375" customWidth="1"/>
    <col min="10321" max="10321" width="43.77734375" bestFit="1" customWidth="1"/>
    <col min="10323" max="10323" width="19.5546875" customWidth="1"/>
    <col min="10324" max="10324" width="15.44140625" customWidth="1"/>
    <col min="10574" max="10574" width="4.21875" customWidth="1"/>
    <col min="10575" max="10575" width="14.77734375" customWidth="1"/>
    <col min="10577" max="10577" width="43.77734375" bestFit="1" customWidth="1"/>
    <col min="10579" max="10579" width="19.5546875" customWidth="1"/>
    <col min="10580" max="10580" width="15.44140625" customWidth="1"/>
    <col min="10830" max="10830" width="4.21875" customWidth="1"/>
    <col min="10831" max="10831" width="14.77734375" customWidth="1"/>
    <col min="10833" max="10833" width="43.77734375" bestFit="1" customWidth="1"/>
    <col min="10835" max="10835" width="19.5546875" customWidth="1"/>
    <col min="10836" max="10836" width="15.44140625" customWidth="1"/>
    <col min="11086" max="11086" width="4.21875" customWidth="1"/>
    <col min="11087" max="11087" width="14.77734375" customWidth="1"/>
    <col min="11089" max="11089" width="43.77734375" bestFit="1" customWidth="1"/>
    <col min="11091" max="11091" width="19.5546875" customWidth="1"/>
    <col min="11092" max="11092" width="15.44140625" customWidth="1"/>
    <col min="11342" max="11342" width="4.21875" customWidth="1"/>
    <col min="11343" max="11343" width="14.77734375" customWidth="1"/>
    <col min="11345" max="11345" width="43.77734375" bestFit="1" customWidth="1"/>
    <col min="11347" max="11347" width="19.5546875" customWidth="1"/>
    <col min="11348" max="11348" width="15.44140625" customWidth="1"/>
    <col min="11598" max="11598" width="4.21875" customWidth="1"/>
    <col min="11599" max="11599" width="14.77734375" customWidth="1"/>
    <col min="11601" max="11601" width="43.77734375" bestFit="1" customWidth="1"/>
    <col min="11603" max="11603" width="19.5546875" customWidth="1"/>
    <col min="11604" max="11604" width="15.44140625" customWidth="1"/>
    <col min="11854" max="11854" width="4.21875" customWidth="1"/>
    <col min="11855" max="11855" width="14.77734375" customWidth="1"/>
    <col min="11857" max="11857" width="43.77734375" bestFit="1" customWidth="1"/>
    <col min="11859" max="11859" width="19.5546875" customWidth="1"/>
    <col min="11860" max="11860" width="15.44140625" customWidth="1"/>
    <col min="12110" max="12110" width="4.21875" customWidth="1"/>
    <col min="12111" max="12111" width="14.77734375" customWidth="1"/>
    <col min="12113" max="12113" width="43.77734375" bestFit="1" customWidth="1"/>
    <col min="12115" max="12115" width="19.5546875" customWidth="1"/>
    <col min="12116" max="12116" width="15.44140625" customWidth="1"/>
    <col min="12366" max="12366" width="4.21875" customWidth="1"/>
    <col min="12367" max="12367" width="14.77734375" customWidth="1"/>
    <col min="12369" max="12369" width="43.77734375" bestFit="1" customWidth="1"/>
    <col min="12371" max="12371" width="19.5546875" customWidth="1"/>
    <col min="12372" max="12372" width="15.44140625" customWidth="1"/>
    <col min="12622" max="12622" width="4.21875" customWidth="1"/>
    <col min="12623" max="12623" width="14.77734375" customWidth="1"/>
    <col min="12625" max="12625" width="43.77734375" bestFit="1" customWidth="1"/>
    <col min="12627" max="12627" width="19.5546875" customWidth="1"/>
    <col min="12628" max="12628" width="15.44140625" customWidth="1"/>
    <col min="12878" max="12878" width="4.21875" customWidth="1"/>
    <col min="12879" max="12879" width="14.77734375" customWidth="1"/>
    <col min="12881" max="12881" width="43.77734375" bestFit="1" customWidth="1"/>
    <col min="12883" max="12883" width="19.5546875" customWidth="1"/>
    <col min="12884" max="12884" width="15.44140625" customWidth="1"/>
    <col min="13134" max="13134" width="4.21875" customWidth="1"/>
    <col min="13135" max="13135" width="14.77734375" customWidth="1"/>
    <col min="13137" max="13137" width="43.77734375" bestFit="1" customWidth="1"/>
    <col min="13139" max="13139" width="19.5546875" customWidth="1"/>
    <col min="13140" max="13140" width="15.44140625" customWidth="1"/>
    <col min="13390" max="13390" width="4.21875" customWidth="1"/>
    <col min="13391" max="13391" width="14.77734375" customWidth="1"/>
    <col min="13393" max="13393" width="43.77734375" bestFit="1" customWidth="1"/>
    <col min="13395" max="13395" width="19.5546875" customWidth="1"/>
    <col min="13396" max="13396" width="15.44140625" customWidth="1"/>
    <col min="13646" max="13646" width="4.21875" customWidth="1"/>
    <col min="13647" max="13647" width="14.77734375" customWidth="1"/>
    <col min="13649" max="13649" width="43.77734375" bestFit="1" customWidth="1"/>
    <col min="13651" max="13651" width="19.5546875" customWidth="1"/>
    <col min="13652" max="13652" width="15.44140625" customWidth="1"/>
    <col min="13902" max="13902" width="4.21875" customWidth="1"/>
    <col min="13903" max="13903" width="14.77734375" customWidth="1"/>
    <col min="13905" max="13905" width="43.77734375" bestFit="1" customWidth="1"/>
    <col min="13907" max="13907" width="19.5546875" customWidth="1"/>
    <col min="13908" max="13908" width="15.44140625" customWidth="1"/>
    <col min="14158" max="14158" width="4.21875" customWidth="1"/>
    <col min="14159" max="14159" width="14.77734375" customWidth="1"/>
    <col min="14161" max="14161" width="43.77734375" bestFit="1" customWidth="1"/>
    <col min="14163" max="14163" width="19.5546875" customWidth="1"/>
    <col min="14164" max="14164" width="15.44140625" customWidth="1"/>
    <col min="14414" max="14414" width="4.21875" customWidth="1"/>
    <col min="14415" max="14415" width="14.77734375" customWidth="1"/>
    <col min="14417" max="14417" width="43.77734375" bestFit="1" customWidth="1"/>
    <col min="14419" max="14419" width="19.5546875" customWidth="1"/>
    <col min="14420" max="14420" width="15.44140625" customWidth="1"/>
    <col min="14670" max="14670" width="4.21875" customWidth="1"/>
    <col min="14671" max="14671" width="14.77734375" customWidth="1"/>
    <col min="14673" max="14673" width="43.77734375" bestFit="1" customWidth="1"/>
    <col min="14675" max="14675" width="19.5546875" customWidth="1"/>
    <col min="14676" max="14676" width="15.44140625" customWidth="1"/>
    <col min="14926" max="14926" width="4.21875" customWidth="1"/>
    <col min="14927" max="14927" width="14.77734375" customWidth="1"/>
    <col min="14929" max="14929" width="43.77734375" bestFit="1" customWidth="1"/>
    <col min="14931" max="14931" width="19.5546875" customWidth="1"/>
    <col min="14932" max="14932" width="15.44140625" customWidth="1"/>
    <col min="15182" max="15182" width="4.21875" customWidth="1"/>
    <col min="15183" max="15183" width="14.77734375" customWidth="1"/>
    <col min="15185" max="15185" width="43.77734375" bestFit="1" customWidth="1"/>
    <col min="15187" max="15187" width="19.5546875" customWidth="1"/>
    <col min="15188" max="15188" width="15.44140625" customWidth="1"/>
    <col min="15438" max="15438" width="4.21875" customWidth="1"/>
    <col min="15439" max="15439" width="14.77734375" customWidth="1"/>
    <col min="15441" max="15441" width="43.77734375" bestFit="1" customWidth="1"/>
    <col min="15443" max="15443" width="19.5546875" customWidth="1"/>
    <col min="15444" max="15444" width="15.44140625" customWidth="1"/>
    <col min="15694" max="15694" width="4.21875" customWidth="1"/>
    <col min="15695" max="15695" width="14.77734375" customWidth="1"/>
    <col min="15697" max="15697" width="43.77734375" bestFit="1" customWidth="1"/>
    <col min="15699" max="15699" width="19.5546875" customWidth="1"/>
    <col min="15700" max="15700" width="15.44140625" customWidth="1"/>
    <col min="15950" max="15950" width="4.21875" customWidth="1"/>
    <col min="15951" max="15951" width="14.77734375" customWidth="1"/>
    <col min="15953" max="15953" width="43.77734375" bestFit="1" customWidth="1"/>
    <col min="15955" max="15955" width="19.5546875" customWidth="1"/>
    <col min="15956" max="15956" width="15.44140625" customWidth="1"/>
    <col min="16206" max="16206" width="4.21875" customWidth="1"/>
    <col min="16207" max="16207" width="14.77734375" customWidth="1"/>
    <col min="16209" max="16209" width="43.77734375" bestFit="1" customWidth="1"/>
    <col min="16211" max="16211" width="19.5546875" customWidth="1"/>
    <col min="16212" max="16212" width="15.44140625" customWidth="1"/>
  </cols>
  <sheetData>
    <row r="1" spans="1:94">
      <c r="BI1" s="32" t="s">
        <v>1357</v>
      </c>
      <c r="BR1" s="744" t="s">
        <v>1358</v>
      </c>
      <c r="BS1" s="669"/>
      <c r="BT1" s="669"/>
      <c r="BU1" s="669"/>
      <c r="BV1" s="669"/>
      <c r="BW1" s="669"/>
      <c r="CA1" s="482" t="s">
        <v>1359</v>
      </c>
      <c r="CB1" s="237"/>
      <c r="CC1" s="237"/>
      <c r="CD1" s="237"/>
      <c r="CE1" s="237"/>
      <c r="CF1" s="237"/>
      <c r="CG1" s="237"/>
    </row>
    <row r="2" spans="1:94" s="1" customFormat="1" ht="15.6">
      <c r="B2" s="32" t="s">
        <v>3925</v>
      </c>
      <c r="I2" s="5682" t="s">
        <v>2934</v>
      </c>
      <c r="J2" s="5682"/>
      <c r="K2" s="5682"/>
      <c r="L2" s="5682"/>
      <c r="M2" s="5682"/>
      <c r="N2" s="5682"/>
      <c r="O2" s="5682"/>
      <c r="Q2" s="5683" t="s">
        <v>2934</v>
      </c>
      <c r="R2" s="5683"/>
      <c r="S2" s="5683"/>
      <c r="T2" s="5683"/>
      <c r="U2" s="5683"/>
      <c r="V2" s="5683"/>
      <c r="W2" s="5683"/>
      <c r="Y2" s="5682" t="s">
        <v>2708</v>
      </c>
      <c r="Z2" s="5682"/>
      <c r="AA2" s="5682"/>
      <c r="AB2" s="5682"/>
      <c r="AC2" s="5682"/>
      <c r="AD2" s="4576"/>
      <c r="AG2" s="5685" t="s">
        <v>2547</v>
      </c>
      <c r="AH2" s="5685"/>
      <c r="AI2" s="5685"/>
      <c r="AJ2" s="5685"/>
      <c r="AK2" s="5685"/>
      <c r="AL2" s="4576"/>
      <c r="AN2" s="5685" t="s">
        <v>1941</v>
      </c>
      <c r="AO2" s="5685"/>
      <c r="AP2" s="5685"/>
      <c r="AQ2" s="5685"/>
      <c r="AR2" s="5685"/>
      <c r="AU2" s="5685" t="s">
        <v>1874</v>
      </c>
      <c r="AV2" s="5685"/>
      <c r="AW2" s="5685"/>
      <c r="AX2" s="5685"/>
      <c r="AY2" s="5685"/>
      <c r="AZ2" s="5685"/>
      <c r="BA2" s="4633"/>
      <c r="BB2" s="5685" t="s">
        <v>1360</v>
      </c>
      <c r="BC2" s="5685"/>
      <c r="BD2" s="5685"/>
      <c r="BE2" s="5685"/>
      <c r="BF2" s="5685"/>
      <c r="BG2" s="5685"/>
      <c r="BI2" s="745" t="s">
        <v>1361</v>
      </c>
      <c r="BR2" s="1474" t="s">
        <v>1362</v>
      </c>
      <c r="BS2" s="4152"/>
      <c r="BT2" s="4634"/>
      <c r="BU2" s="4634"/>
      <c r="BV2" s="4634"/>
      <c r="BW2" s="4634"/>
      <c r="CA2" s="4635" t="s">
        <v>1363</v>
      </c>
      <c r="CB2" s="417"/>
      <c r="CC2" s="417"/>
      <c r="CD2" s="417"/>
      <c r="CE2" s="417"/>
      <c r="CF2" s="417"/>
      <c r="CG2" s="417"/>
      <c r="CJ2" s="1453"/>
    </row>
    <row r="3" spans="1:94" ht="15.6">
      <c r="F3" s="5533" t="s">
        <v>3926</v>
      </c>
      <c r="I3" s="588" t="s">
        <v>2957</v>
      </c>
      <c r="J3" s="10"/>
      <c r="K3" s="10"/>
      <c r="L3" s="10"/>
      <c r="M3" s="10"/>
      <c r="N3" s="10"/>
      <c r="O3" s="10"/>
      <c r="Q3" s="1793" t="s">
        <v>2935</v>
      </c>
      <c r="Y3" s="32" t="s">
        <v>2709</v>
      </c>
      <c r="AG3" s="32" t="s">
        <v>2543</v>
      </c>
      <c r="AH3" s="42"/>
      <c r="AI3" s="42"/>
      <c r="AJ3" s="42"/>
      <c r="AK3" s="42"/>
      <c r="AL3" s="42"/>
      <c r="AN3" s="68" t="s">
        <v>1942</v>
      </c>
      <c r="AU3" s="1420" t="s">
        <v>1871</v>
      </c>
      <c r="BB3" s="747" t="s">
        <v>1364</v>
      </c>
      <c r="BC3" s="748"/>
      <c r="BD3" s="748"/>
      <c r="BE3" s="748"/>
      <c r="BF3" s="748"/>
      <c r="BG3" s="748"/>
      <c r="BI3" s="746" t="s">
        <v>1365</v>
      </c>
      <c r="CA3" s="749"/>
      <c r="CB3" s="749"/>
      <c r="CC3" s="749"/>
      <c r="CD3" s="749"/>
      <c r="CE3" s="749"/>
      <c r="CF3" s="749"/>
      <c r="CG3" s="68"/>
      <c r="CJ3" s="68"/>
    </row>
    <row r="4" spans="1:94" ht="16.2" thickBot="1">
      <c r="I4" s="2493"/>
      <c r="J4" s="2493"/>
      <c r="K4" s="2493"/>
      <c r="L4" s="2493"/>
      <c r="M4" s="2493"/>
      <c r="N4" s="2493"/>
      <c r="O4" s="2493"/>
      <c r="Q4" s="4696"/>
      <c r="R4" s="4696"/>
      <c r="S4" s="4696"/>
      <c r="T4" s="4696"/>
      <c r="U4" s="4696"/>
      <c r="V4" s="4696"/>
      <c r="W4" s="4696"/>
      <c r="AG4" s="484" t="s">
        <v>2544</v>
      </c>
      <c r="AH4" s="42"/>
      <c r="AI4" s="42"/>
      <c r="AJ4" s="42"/>
      <c r="AK4" s="42"/>
      <c r="AL4" s="42"/>
      <c r="AN4" s="1010"/>
      <c r="AO4" s="1010"/>
      <c r="AP4" s="1010"/>
      <c r="AQ4" s="5693">
        <v>2016</v>
      </c>
      <c r="AR4" s="5693"/>
      <c r="AS4" s="5693"/>
      <c r="AX4" s="5693">
        <v>2015</v>
      </c>
      <c r="AY4" s="5693"/>
      <c r="AZ4" s="5693"/>
      <c r="BE4" s="5688">
        <v>2014</v>
      </c>
      <c r="BF4" s="5688"/>
      <c r="BG4" s="5688"/>
      <c r="BI4" s="750"/>
      <c r="BJ4" s="750"/>
      <c r="BK4" s="750"/>
      <c r="BL4" s="750"/>
      <c r="BM4" s="5689">
        <v>2013</v>
      </c>
      <c r="BN4" s="5689"/>
      <c r="BO4" s="5689"/>
      <c r="BP4" s="5689"/>
      <c r="BR4" s="652"/>
      <c r="BS4" s="652"/>
      <c r="BT4" s="652"/>
      <c r="BU4" s="5690">
        <v>2012</v>
      </c>
      <c r="BV4" s="5690"/>
      <c r="BW4" s="5690"/>
      <c r="BX4" s="5690"/>
      <c r="BY4" s="5690"/>
      <c r="CA4" s="70"/>
      <c r="CB4" s="70"/>
      <c r="CC4" s="42"/>
      <c r="CD4" s="5690">
        <v>2011</v>
      </c>
      <c r="CE4" s="5690"/>
      <c r="CF4" s="5690"/>
      <c r="CG4" s="5690"/>
      <c r="CM4" s="5690">
        <v>2010</v>
      </c>
      <c r="CN4" s="5690"/>
      <c r="CO4" s="5690"/>
      <c r="CP4" s="5690"/>
    </row>
    <row r="5" spans="1:94" ht="30.75" customHeight="1" thickBot="1">
      <c r="A5" s="544" t="s">
        <v>0</v>
      </c>
      <c r="B5" s="544" t="s">
        <v>1</v>
      </c>
      <c r="C5" s="544" t="s">
        <v>2</v>
      </c>
      <c r="D5" s="491" t="s">
        <v>1368</v>
      </c>
      <c r="E5" s="491" t="s">
        <v>1366</v>
      </c>
      <c r="F5" s="2491" t="s">
        <v>1302</v>
      </c>
      <c r="G5" s="4751" t="s">
        <v>1371</v>
      </c>
      <c r="I5" s="544" t="s">
        <v>0</v>
      </c>
      <c r="J5" s="544" t="s">
        <v>1</v>
      </c>
      <c r="K5" s="544" t="s">
        <v>2</v>
      </c>
      <c r="L5" s="491" t="s">
        <v>2936</v>
      </c>
      <c r="M5" s="491" t="s">
        <v>1366</v>
      </c>
      <c r="N5" s="2491" t="s">
        <v>1302</v>
      </c>
      <c r="O5" s="4751" t="s">
        <v>1371</v>
      </c>
      <c r="Q5" s="4698" t="s">
        <v>0</v>
      </c>
      <c r="R5" s="4698" t="s">
        <v>1</v>
      </c>
      <c r="S5" s="4698" t="s">
        <v>2</v>
      </c>
      <c r="T5" s="4697" t="s">
        <v>2936</v>
      </c>
      <c r="U5" s="4697" t="s">
        <v>1366</v>
      </c>
      <c r="V5" s="4750" t="s">
        <v>1302</v>
      </c>
      <c r="W5" s="4751" t="s">
        <v>1371</v>
      </c>
      <c r="Y5" s="491" t="s">
        <v>0</v>
      </c>
      <c r="Z5" s="491" t="s">
        <v>1</v>
      </c>
      <c r="AA5" s="491" t="s">
        <v>2</v>
      </c>
      <c r="AB5" s="491" t="s">
        <v>1155</v>
      </c>
      <c r="AC5" s="491" t="s">
        <v>1366</v>
      </c>
      <c r="AD5" s="2491" t="s">
        <v>1302</v>
      </c>
      <c r="AE5" s="54" t="s">
        <v>1371</v>
      </c>
      <c r="AF5" s="54"/>
      <c r="AG5" s="491" t="s">
        <v>0</v>
      </c>
      <c r="AH5" s="491" t="s">
        <v>1</v>
      </c>
      <c r="AI5" s="491" t="s">
        <v>2</v>
      </c>
      <c r="AJ5" s="491" t="s">
        <v>2545</v>
      </c>
      <c r="AK5" s="560" t="s">
        <v>2523</v>
      </c>
      <c r="AL5" s="753" t="s">
        <v>1302</v>
      </c>
      <c r="AN5" s="466" t="s">
        <v>0</v>
      </c>
      <c r="AO5" s="466" t="s">
        <v>1</v>
      </c>
      <c r="AP5" s="466" t="s">
        <v>2</v>
      </c>
      <c r="AQ5" s="466" t="s">
        <v>1943</v>
      </c>
      <c r="AR5" s="466" t="s">
        <v>1366</v>
      </c>
      <c r="AS5" s="753" t="s">
        <v>1302</v>
      </c>
      <c r="AU5" s="938" t="s">
        <v>0</v>
      </c>
      <c r="AV5" s="938" t="s">
        <v>1</v>
      </c>
      <c r="AW5" s="938" t="s">
        <v>2</v>
      </c>
      <c r="AX5" s="938" t="s">
        <v>1872</v>
      </c>
      <c r="AY5" s="938" t="s">
        <v>1366</v>
      </c>
      <c r="AZ5" s="753" t="s">
        <v>1302</v>
      </c>
      <c r="BB5" s="751" t="s">
        <v>0</v>
      </c>
      <c r="BC5" s="751" t="s">
        <v>1</v>
      </c>
      <c r="BD5" s="751" t="s">
        <v>2</v>
      </c>
      <c r="BE5" s="752" t="s">
        <v>1155</v>
      </c>
      <c r="BF5" s="752" t="s">
        <v>1366</v>
      </c>
      <c r="BG5" s="753" t="s">
        <v>1302</v>
      </c>
      <c r="BI5" s="672" t="s">
        <v>1009</v>
      </c>
      <c r="BJ5" s="672" t="s">
        <v>0</v>
      </c>
      <c r="BK5" s="672" t="s">
        <v>1</v>
      </c>
      <c r="BL5" s="672" t="s">
        <v>2</v>
      </c>
      <c r="BM5" s="672" t="s">
        <v>1155</v>
      </c>
      <c r="BN5" s="672" t="s">
        <v>1366</v>
      </c>
      <c r="BO5" s="672" t="s">
        <v>1367</v>
      </c>
      <c r="BP5" s="753" t="s">
        <v>1302</v>
      </c>
      <c r="BR5" s="650" t="s">
        <v>0</v>
      </c>
      <c r="BS5" s="650" t="s">
        <v>1</v>
      </c>
      <c r="BT5" s="650" t="s">
        <v>2</v>
      </c>
      <c r="BU5" s="754" t="s">
        <v>1368</v>
      </c>
      <c r="BV5" s="754" t="s">
        <v>1302</v>
      </c>
      <c r="BW5" s="754" t="s">
        <v>1366</v>
      </c>
      <c r="BX5" s="754" t="s">
        <v>1369</v>
      </c>
      <c r="BY5" s="755" t="s">
        <v>1302</v>
      </c>
      <c r="CA5" s="491" t="s">
        <v>0</v>
      </c>
      <c r="CB5" s="491" t="s">
        <v>1</v>
      </c>
      <c r="CC5" s="491" t="s">
        <v>2</v>
      </c>
      <c r="CD5" s="756" t="s">
        <v>1366</v>
      </c>
      <c r="CE5" s="54" t="s">
        <v>1370</v>
      </c>
      <c r="CF5" s="54" t="s">
        <v>1371</v>
      </c>
      <c r="CG5" s="757" t="s">
        <v>1302</v>
      </c>
      <c r="CJ5" s="758" t="s">
        <v>0</v>
      </c>
      <c r="CK5" s="758" t="s">
        <v>1</v>
      </c>
      <c r="CL5" s="758" t="s">
        <v>2</v>
      </c>
      <c r="CM5" s="758" t="s">
        <v>1155</v>
      </c>
      <c r="CN5" s="758" t="s">
        <v>1301</v>
      </c>
      <c r="CO5" s="759" t="s">
        <v>1303</v>
      </c>
      <c r="CP5" s="760" t="s">
        <v>1304</v>
      </c>
    </row>
    <row r="6" spans="1:94">
      <c r="A6" s="42" t="s">
        <v>3</v>
      </c>
      <c r="B6" s="42" t="s">
        <v>16</v>
      </c>
      <c r="C6" s="42" t="s">
        <v>416</v>
      </c>
      <c r="D6" s="70">
        <v>3</v>
      </c>
      <c r="E6" s="70">
        <v>6</v>
      </c>
      <c r="F6" s="4766">
        <f>D6-G6</f>
        <v>0</v>
      </c>
      <c r="G6" s="70">
        <v>3</v>
      </c>
      <c r="I6" s="42" t="s">
        <v>3</v>
      </c>
      <c r="J6" s="42" t="s">
        <v>16</v>
      </c>
      <c r="K6" s="42" t="s">
        <v>103</v>
      </c>
      <c r="L6" s="70">
        <v>3</v>
      </c>
      <c r="M6" s="70">
        <v>13</v>
      </c>
      <c r="N6" s="4766">
        <f>L6-O6</f>
        <v>0</v>
      </c>
      <c r="O6" s="70">
        <v>3</v>
      </c>
      <c r="Q6" s="37" t="s">
        <v>3</v>
      </c>
      <c r="R6" s="37" t="s">
        <v>16</v>
      </c>
      <c r="S6" s="37" t="s">
        <v>103</v>
      </c>
      <c r="T6" s="1788">
        <v>3</v>
      </c>
      <c r="U6" s="1788">
        <v>13</v>
      </c>
      <c r="V6" s="4752">
        <f>T6-W6</f>
        <v>0</v>
      </c>
      <c r="W6" s="1788">
        <v>3</v>
      </c>
      <c r="Y6" s="42" t="s">
        <v>3</v>
      </c>
      <c r="Z6" s="42" t="s">
        <v>16</v>
      </c>
      <c r="AA6" s="42" t="s">
        <v>103</v>
      </c>
      <c r="AB6" s="769">
        <v>3.05</v>
      </c>
      <c r="AC6" s="70">
        <v>19</v>
      </c>
      <c r="AD6" s="1393">
        <f>AB6-AE6</f>
        <v>4.9999999999999822E-2</v>
      </c>
      <c r="AE6" s="70">
        <v>3</v>
      </c>
      <c r="AF6" s="70"/>
      <c r="AG6" s="58" t="s">
        <v>3</v>
      </c>
      <c r="AH6" s="95" t="s">
        <v>16</v>
      </c>
      <c r="AI6" s="58" t="s">
        <v>103</v>
      </c>
      <c r="AJ6" s="912">
        <v>3.1</v>
      </c>
      <c r="AK6" s="95">
        <v>20</v>
      </c>
      <c r="AL6" s="1393">
        <f>AJ6-3</f>
        <v>0.10000000000000009</v>
      </c>
      <c r="AN6" s="107" t="s">
        <v>3</v>
      </c>
      <c r="AO6" s="107" t="s">
        <v>16</v>
      </c>
      <c r="AP6" s="47" t="s">
        <v>103</v>
      </c>
      <c r="AQ6" s="144">
        <v>3.1</v>
      </c>
      <c r="AR6" s="2021">
        <v>20</v>
      </c>
      <c r="AS6" s="1393">
        <f>AQ6-3</f>
        <v>0.10000000000000009</v>
      </c>
      <c r="AU6" s="817" t="s">
        <v>3</v>
      </c>
      <c r="AV6" s="817" t="s">
        <v>16</v>
      </c>
      <c r="AW6" s="1064" t="s">
        <v>103</v>
      </c>
      <c r="AX6" s="1391">
        <v>3.1333333333333337</v>
      </c>
      <c r="AY6" s="1392">
        <v>15</v>
      </c>
      <c r="AZ6" s="1393">
        <f>AX6-3</f>
        <v>0.13333333333333375</v>
      </c>
      <c r="BB6" s="761" t="s">
        <v>3</v>
      </c>
      <c r="BC6" s="761" t="s">
        <v>16</v>
      </c>
      <c r="BD6" s="762" t="s">
        <v>103</v>
      </c>
      <c r="BE6" s="763">
        <v>3</v>
      </c>
      <c r="BF6" s="764">
        <v>17</v>
      </c>
      <c r="BG6" s="763">
        <f>BE6-3</f>
        <v>0</v>
      </c>
      <c r="BI6" s="689" t="s">
        <v>708</v>
      </c>
      <c r="BJ6" s="688" t="s">
        <v>3</v>
      </c>
      <c r="BK6" s="688" t="s">
        <v>16</v>
      </c>
      <c r="BL6" s="457" t="s">
        <v>103</v>
      </c>
      <c r="BM6" s="459">
        <v>3</v>
      </c>
      <c r="BN6" s="458">
        <v>11</v>
      </c>
      <c r="BO6" s="765">
        <v>0</v>
      </c>
      <c r="BP6" s="459">
        <f>BM6-3</f>
        <v>0</v>
      </c>
      <c r="BR6" s="615" t="s">
        <v>3</v>
      </c>
      <c r="BS6" s="615" t="s">
        <v>16</v>
      </c>
      <c r="BT6" s="616" t="s">
        <v>103</v>
      </c>
      <c r="BU6" s="766">
        <v>3</v>
      </c>
      <c r="BV6" s="766">
        <f>BU6-3</f>
        <v>0</v>
      </c>
      <c r="BW6" s="618">
        <v>15</v>
      </c>
      <c r="BX6" s="767">
        <v>3</v>
      </c>
      <c r="BY6" s="768">
        <f>BX6-3</f>
        <v>0</v>
      </c>
      <c r="CA6" s="70" t="s">
        <v>3</v>
      </c>
      <c r="CB6" s="70" t="s">
        <v>16</v>
      </c>
      <c r="CC6" s="42" t="s">
        <v>103</v>
      </c>
      <c r="CD6" s="70">
        <v>12</v>
      </c>
      <c r="CE6" s="769">
        <v>3.6666666666666661</v>
      </c>
      <c r="CF6" s="70">
        <v>3</v>
      </c>
      <c r="CG6" s="769">
        <f>+CE6-CF6</f>
        <v>0.66666666666666607</v>
      </c>
      <c r="CJ6" s="770" t="s">
        <v>3</v>
      </c>
      <c r="CK6" s="771" t="s">
        <v>16</v>
      </c>
      <c r="CL6" s="770" t="s">
        <v>103</v>
      </c>
      <c r="CM6" s="772">
        <v>3</v>
      </c>
      <c r="CN6" s="771">
        <v>7</v>
      </c>
      <c r="CO6" s="773">
        <v>3</v>
      </c>
      <c r="CP6" s="774">
        <f>CM6-3</f>
        <v>0</v>
      </c>
    </row>
    <row r="7" spans="1:94">
      <c r="A7" s="42"/>
      <c r="B7" s="42"/>
      <c r="C7" s="42" t="s">
        <v>3919</v>
      </c>
      <c r="D7" s="70">
        <v>3</v>
      </c>
      <c r="E7" s="70">
        <v>2</v>
      </c>
      <c r="F7" s="4766">
        <f>D7-G7</f>
        <v>0</v>
      </c>
      <c r="G7" s="70">
        <v>3</v>
      </c>
      <c r="I7" s="42"/>
      <c r="J7" s="42"/>
      <c r="K7" s="484" t="s">
        <v>15</v>
      </c>
      <c r="L7" s="4687">
        <v>3</v>
      </c>
      <c r="M7" s="4687">
        <v>13</v>
      </c>
      <c r="N7" s="4766">
        <f>L7-O7</f>
        <v>0</v>
      </c>
      <c r="O7" s="70">
        <v>3</v>
      </c>
      <c r="S7" s="1793" t="s">
        <v>545</v>
      </c>
      <c r="T7" s="4702">
        <v>3</v>
      </c>
      <c r="U7" s="4702">
        <v>13</v>
      </c>
      <c r="V7" s="4752">
        <f>T7-W7</f>
        <v>0</v>
      </c>
      <c r="W7" s="1788">
        <v>3</v>
      </c>
      <c r="Y7" s="42"/>
      <c r="Z7" s="42"/>
      <c r="AA7" s="484" t="s">
        <v>545</v>
      </c>
      <c r="AB7" s="782">
        <v>3.05</v>
      </c>
      <c r="AC7" s="2479">
        <v>19</v>
      </c>
      <c r="AD7" s="1397">
        <f t="shared" ref="AD7:AD25" si="0">AB7-AE7</f>
        <v>4.9999999999999822E-2</v>
      </c>
      <c r="AE7" s="70">
        <v>3</v>
      </c>
      <c r="AF7" s="70"/>
      <c r="AG7" s="58"/>
      <c r="AH7" s="95"/>
      <c r="AI7" s="2009" t="s">
        <v>545</v>
      </c>
      <c r="AJ7" s="2010">
        <v>3.1</v>
      </c>
      <c r="AK7" s="2011">
        <v>20</v>
      </c>
      <c r="AL7" s="1397">
        <f>AJ7-3</f>
        <v>0.10000000000000009</v>
      </c>
      <c r="AN7" s="107"/>
      <c r="AO7" s="107"/>
      <c r="AP7" s="47" t="s">
        <v>416</v>
      </c>
      <c r="AQ7" s="144">
        <v>3</v>
      </c>
      <c r="AR7" s="2021">
        <v>5</v>
      </c>
      <c r="AS7" s="1393">
        <f t="shared" ref="AS7:AS26" si="1">AQ7-3</f>
        <v>0</v>
      </c>
      <c r="AU7" s="817"/>
      <c r="AV7" s="817"/>
      <c r="AW7" s="1064"/>
      <c r="AX7" s="1391"/>
      <c r="AY7" s="1392"/>
      <c r="AZ7" s="1393"/>
      <c r="BB7" s="761"/>
      <c r="BC7" s="761"/>
      <c r="BD7" s="762" t="s">
        <v>416</v>
      </c>
      <c r="BE7" s="763">
        <v>3.2</v>
      </c>
      <c r="BF7" s="764">
        <v>5</v>
      </c>
      <c r="BG7" s="763">
        <f t="shared" ref="BG7:BG26" si="2">BE7-3</f>
        <v>0.20000000000000018</v>
      </c>
      <c r="BI7" s="688"/>
      <c r="BJ7" s="688"/>
      <c r="BK7" s="688"/>
      <c r="BL7" s="457"/>
      <c r="BM7" s="459"/>
      <c r="BN7" s="458"/>
      <c r="BO7" s="765"/>
      <c r="BP7" s="459"/>
      <c r="BR7" s="615"/>
      <c r="BS7" s="615"/>
      <c r="BT7" s="616" t="s">
        <v>416</v>
      </c>
      <c r="BU7" s="766">
        <v>3</v>
      </c>
      <c r="BV7" s="766">
        <f t="shared" ref="BV7:BV14" si="3">BU7-3</f>
        <v>0</v>
      </c>
      <c r="BW7" s="618">
        <v>9</v>
      </c>
      <c r="BX7" s="767">
        <v>3.3333333333333335</v>
      </c>
      <c r="BY7" s="768">
        <f t="shared" ref="BY7:BY14" si="4">BX7-3</f>
        <v>0.33333333333333348</v>
      </c>
      <c r="CA7" s="70"/>
      <c r="CB7" s="70"/>
      <c r="CC7" s="42" t="s">
        <v>416</v>
      </c>
      <c r="CD7" s="70">
        <v>7</v>
      </c>
      <c r="CE7" s="769">
        <v>3</v>
      </c>
      <c r="CF7" s="70">
        <v>3</v>
      </c>
      <c r="CG7" s="769">
        <f t="shared" ref="CG7:CG21" si="5">+CE7-CF7</f>
        <v>0</v>
      </c>
      <c r="CJ7" s="770"/>
      <c r="CK7" s="771"/>
      <c r="CL7" s="770"/>
      <c r="CM7" s="772"/>
      <c r="CN7" s="771"/>
      <c r="CO7" s="773"/>
      <c r="CP7" s="774"/>
    </row>
    <row r="8" spans="1:94">
      <c r="A8" s="42"/>
      <c r="B8" s="42"/>
      <c r="C8" s="484" t="s">
        <v>545</v>
      </c>
      <c r="D8" s="5502">
        <v>3</v>
      </c>
      <c r="E8" s="5502">
        <v>8</v>
      </c>
      <c r="F8" s="4766">
        <f>D8-G8</f>
        <v>0</v>
      </c>
      <c r="G8" s="70">
        <v>3</v>
      </c>
      <c r="I8" s="42"/>
      <c r="J8" s="42" t="s">
        <v>21</v>
      </c>
      <c r="K8" s="42" t="s">
        <v>847</v>
      </c>
      <c r="L8" s="70">
        <v>3</v>
      </c>
      <c r="M8" s="70">
        <v>4</v>
      </c>
      <c r="N8" s="4766">
        <f>L8-O8</f>
        <v>0</v>
      </c>
      <c r="O8" s="70">
        <v>3</v>
      </c>
      <c r="R8" s="37" t="s">
        <v>21</v>
      </c>
      <c r="S8" s="37" t="s">
        <v>847</v>
      </c>
      <c r="T8" s="1788">
        <v>3</v>
      </c>
      <c r="U8" s="1788">
        <v>4</v>
      </c>
      <c r="V8" s="4752">
        <f>T8-W8</f>
        <v>0</v>
      </c>
      <c r="W8" s="1788">
        <v>3</v>
      </c>
      <c r="Y8" s="42"/>
      <c r="Z8" s="42" t="s">
        <v>21</v>
      </c>
      <c r="AA8" s="42" t="s">
        <v>847</v>
      </c>
      <c r="AB8" s="769">
        <v>3</v>
      </c>
      <c r="AC8" s="70">
        <v>2</v>
      </c>
      <c r="AD8" s="1393">
        <f t="shared" si="0"/>
        <v>0</v>
      </c>
      <c r="AE8" s="70">
        <v>3</v>
      </c>
      <c r="AF8" s="2479"/>
      <c r="AG8" s="58"/>
      <c r="AH8" s="95" t="s">
        <v>21</v>
      </c>
      <c r="AI8" s="58" t="s">
        <v>105</v>
      </c>
      <c r="AJ8" s="912">
        <v>8</v>
      </c>
      <c r="AK8" s="95">
        <v>1</v>
      </c>
      <c r="AL8" s="1393">
        <f>AJ8-3</f>
        <v>5</v>
      </c>
      <c r="AN8" s="107"/>
      <c r="AO8" s="107"/>
      <c r="AP8" s="968" t="s">
        <v>545</v>
      </c>
      <c r="AQ8" s="969">
        <v>3.08</v>
      </c>
      <c r="AR8" s="2022">
        <v>25</v>
      </c>
      <c r="AS8" s="776">
        <f>+(AR6*AS6+AR7*AS7)/AR8</f>
        <v>8.0000000000000071E-2</v>
      </c>
      <c r="AU8" s="817"/>
      <c r="AV8" s="817"/>
      <c r="AW8" s="1394" t="s">
        <v>545</v>
      </c>
      <c r="AX8" s="1395">
        <v>3.1333333333333337</v>
      </c>
      <c r="AY8" s="1396">
        <v>15</v>
      </c>
      <c r="AZ8" s="1397">
        <f t="shared" ref="AZ8:AZ26" si="6">AX8-3</f>
        <v>0.13333333333333375</v>
      </c>
      <c r="BB8" s="761"/>
      <c r="BC8" s="761"/>
      <c r="BD8" s="775" t="s">
        <v>545</v>
      </c>
      <c r="BE8" s="776">
        <v>3.0454545454545454</v>
      </c>
      <c r="BF8" s="777">
        <v>22</v>
      </c>
      <c r="BG8" s="776">
        <f>+(BF6*BG6+BF7*BG7)/BF8</f>
        <v>4.5454545454545497E-2</v>
      </c>
      <c r="BI8" s="688"/>
      <c r="BJ8" s="688"/>
      <c r="BK8" s="688" t="s">
        <v>104</v>
      </c>
      <c r="BL8" s="457" t="s">
        <v>105</v>
      </c>
      <c r="BM8" s="459">
        <v>3.3030303030303041</v>
      </c>
      <c r="BN8" s="458">
        <v>33</v>
      </c>
      <c r="BO8" s="765">
        <v>1.1587937824751349</v>
      </c>
      <c r="BP8" s="459">
        <f t="shared" ref="BP8:BP17" si="7">BM8-3</f>
        <v>0.30303030303030409</v>
      </c>
      <c r="BR8" s="615"/>
      <c r="BS8" s="615"/>
      <c r="BT8" s="778" t="s">
        <v>545</v>
      </c>
      <c r="BU8" s="779">
        <v>3</v>
      </c>
      <c r="BV8" s="779">
        <f t="shared" si="3"/>
        <v>0</v>
      </c>
      <c r="BW8" s="627">
        <v>24</v>
      </c>
      <c r="BX8" s="780">
        <v>3.1249999999999996</v>
      </c>
      <c r="BY8" s="781">
        <f>+(BW6*BY6+BW7*BY7)/BW8</f>
        <v>0.12500000000000006</v>
      </c>
      <c r="CA8" s="70"/>
      <c r="CB8" s="70"/>
      <c r="CC8" s="484" t="s">
        <v>15</v>
      </c>
      <c r="CD8" s="454">
        <v>19</v>
      </c>
      <c r="CE8" s="782">
        <v>3.4210526315789473</v>
      </c>
      <c r="CF8" s="454"/>
      <c r="CG8" s="782">
        <f>+(CD6*CG6+CD7*CG7)/CD8</f>
        <v>0.42105263157894701</v>
      </c>
      <c r="CH8" s="783">
        <f>AVERAGE(CG6:CG7)</f>
        <v>0.33333333333333304</v>
      </c>
      <c r="CJ8" s="770"/>
      <c r="CK8" s="771"/>
      <c r="CL8" s="770"/>
      <c r="CM8" s="772"/>
      <c r="CN8" s="771"/>
      <c r="CO8" s="773"/>
      <c r="CP8" s="774"/>
    </row>
    <row r="9" spans="1:94">
      <c r="A9" s="42"/>
      <c r="B9" s="42" t="s">
        <v>21</v>
      </c>
      <c r="C9" s="42" t="s">
        <v>1637</v>
      </c>
      <c r="D9" s="70">
        <v>3</v>
      </c>
      <c r="E9" s="70">
        <v>7</v>
      </c>
      <c r="F9" s="4766">
        <f>D9-G9</f>
        <v>0</v>
      </c>
      <c r="G9" s="70">
        <v>3</v>
      </c>
      <c r="I9" s="42"/>
      <c r="J9" s="42"/>
      <c r="K9" s="42" t="s">
        <v>1637</v>
      </c>
      <c r="L9" s="70">
        <v>3</v>
      </c>
      <c r="M9" s="70">
        <v>7</v>
      </c>
      <c r="N9" s="4766">
        <f>L9-O9</f>
        <v>0</v>
      </c>
      <c r="O9" s="70">
        <v>3</v>
      </c>
      <c r="T9" s="1788"/>
      <c r="U9" s="1788"/>
      <c r="V9" s="4752"/>
      <c r="W9" s="4702"/>
      <c r="Y9" s="42"/>
      <c r="Z9" s="42"/>
      <c r="AA9" s="42"/>
      <c r="AB9" s="769"/>
      <c r="AC9" s="70"/>
      <c r="AD9" s="1393">
        <f t="shared" si="0"/>
        <v>0</v>
      </c>
      <c r="AE9" s="2479"/>
      <c r="AF9" s="70"/>
      <c r="AG9" s="58"/>
      <c r="AH9" s="95"/>
      <c r="AI9" s="58" t="s">
        <v>1637</v>
      </c>
      <c r="AJ9" s="912">
        <v>3.88</v>
      </c>
      <c r="AK9" s="95">
        <v>8</v>
      </c>
      <c r="AL9" s="1393">
        <f>AJ9-3</f>
        <v>0.87999999999999989</v>
      </c>
      <c r="AN9" s="107"/>
      <c r="AO9" s="107"/>
      <c r="AP9" s="1"/>
      <c r="AQ9" s="1"/>
      <c r="AR9" s="1"/>
      <c r="AS9" s="1"/>
      <c r="AU9" s="817"/>
      <c r="AV9" s="817"/>
      <c r="AW9" s="1394"/>
      <c r="AX9" s="1395"/>
      <c r="AY9" s="1396"/>
      <c r="AZ9" s="1393"/>
      <c r="BB9" s="761"/>
      <c r="BC9" s="761" t="s">
        <v>104</v>
      </c>
      <c r="BD9" s="762" t="s">
        <v>105</v>
      </c>
      <c r="BE9" s="763">
        <v>6</v>
      </c>
      <c r="BF9" s="764">
        <v>1</v>
      </c>
      <c r="BG9" s="763">
        <f t="shared" si="2"/>
        <v>3</v>
      </c>
      <c r="BI9" s="688"/>
      <c r="BJ9" s="688"/>
      <c r="BK9" s="688"/>
      <c r="BL9" s="784" t="s">
        <v>106</v>
      </c>
      <c r="BM9" s="462">
        <v>3.227272727272728</v>
      </c>
      <c r="BN9" s="463">
        <v>44</v>
      </c>
      <c r="BO9" s="785">
        <v>1.0084212013037512</v>
      </c>
      <c r="BP9" s="779">
        <f>+(BN6*BP6+BN8*BP8)/BN9</f>
        <v>0.22727272727272807</v>
      </c>
      <c r="BR9" s="615"/>
      <c r="BS9" s="615" t="s">
        <v>21</v>
      </c>
      <c r="BT9" s="616" t="s">
        <v>105</v>
      </c>
      <c r="BU9" s="766">
        <v>4.666666666666667</v>
      </c>
      <c r="BV9" s="766">
        <f t="shared" si="3"/>
        <v>1.666666666666667</v>
      </c>
      <c r="BW9" s="618">
        <v>6</v>
      </c>
      <c r="BX9" s="767">
        <v>5.666666666666667</v>
      </c>
      <c r="BY9" s="768">
        <f t="shared" si="4"/>
        <v>2.666666666666667</v>
      </c>
      <c r="CA9" s="70"/>
      <c r="CB9" s="70" t="s">
        <v>104</v>
      </c>
      <c r="CC9" s="42" t="s">
        <v>847</v>
      </c>
      <c r="CD9" s="70">
        <v>1</v>
      </c>
      <c r="CE9" s="769">
        <v>10</v>
      </c>
      <c r="CF9" s="70">
        <v>3</v>
      </c>
      <c r="CG9" s="769">
        <f t="shared" si="5"/>
        <v>7</v>
      </c>
      <c r="CJ9" s="770"/>
      <c r="CK9" s="771" t="s">
        <v>104</v>
      </c>
      <c r="CL9" s="770" t="s">
        <v>105</v>
      </c>
      <c r="CM9" s="772">
        <v>6.6153846153846132</v>
      </c>
      <c r="CN9" s="771">
        <v>26</v>
      </c>
      <c r="CO9" s="773">
        <v>3</v>
      </c>
      <c r="CP9" s="774">
        <f>CM9-3</f>
        <v>3.6153846153846132</v>
      </c>
    </row>
    <row r="10" spans="1:94" ht="15.75" customHeight="1">
      <c r="A10" s="42"/>
      <c r="B10" s="42"/>
      <c r="C10" s="484" t="s">
        <v>546</v>
      </c>
      <c r="D10" s="5502">
        <v>3</v>
      </c>
      <c r="E10" s="5502">
        <v>7</v>
      </c>
      <c r="F10" s="4767">
        <f>D10-G10</f>
        <v>0</v>
      </c>
      <c r="G10" s="2488">
        <v>3</v>
      </c>
      <c r="I10" s="42"/>
      <c r="J10" s="42"/>
      <c r="K10" s="484" t="s">
        <v>15</v>
      </c>
      <c r="L10" s="4687">
        <v>3</v>
      </c>
      <c r="M10" s="4687">
        <v>11</v>
      </c>
      <c r="N10" s="4767">
        <f>L10-O10</f>
        <v>0</v>
      </c>
      <c r="O10" s="2488">
        <v>3</v>
      </c>
      <c r="S10" s="1793" t="s">
        <v>546</v>
      </c>
      <c r="T10" s="4702">
        <v>3</v>
      </c>
      <c r="U10" s="4702">
        <v>4</v>
      </c>
      <c r="V10" s="4752">
        <f>T10-W10</f>
        <v>0</v>
      </c>
      <c r="W10" s="4753">
        <v>3</v>
      </c>
      <c r="Y10" s="2495"/>
      <c r="Z10" s="2495"/>
      <c r="AA10" s="2493" t="s">
        <v>546</v>
      </c>
      <c r="AB10" s="2494">
        <v>3</v>
      </c>
      <c r="AC10" s="2488">
        <v>2</v>
      </c>
      <c r="AD10" s="2496">
        <f t="shared" si="0"/>
        <v>0</v>
      </c>
      <c r="AE10" s="2497">
        <v>3</v>
      </c>
      <c r="AF10" s="70"/>
      <c r="AG10" s="58"/>
      <c r="AH10" s="95"/>
      <c r="AI10" s="2009" t="s">
        <v>546</v>
      </c>
      <c r="AJ10" s="2010">
        <v>4.33</v>
      </c>
      <c r="AK10" s="2011">
        <v>9</v>
      </c>
      <c r="AL10" s="776">
        <f>+(AK8*AL8+AK9*AL9)/AK10</f>
        <v>1.3377777777777777</v>
      </c>
      <c r="AN10" s="107"/>
      <c r="AO10" s="107"/>
      <c r="AP10" s="968"/>
      <c r="AQ10" s="969"/>
      <c r="AR10" s="2022"/>
      <c r="AS10" s="1397"/>
      <c r="AU10" s="817"/>
      <c r="AV10" s="817"/>
      <c r="AW10" s="1394"/>
      <c r="AX10" s="1395"/>
      <c r="AY10" s="1396"/>
      <c r="AZ10" s="1393"/>
      <c r="BB10" s="761"/>
      <c r="BC10" s="761"/>
      <c r="BD10" s="775" t="s">
        <v>844</v>
      </c>
      <c r="BE10" s="776">
        <v>6</v>
      </c>
      <c r="BF10" s="777">
        <v>1</v>
      </c>
      <c r="BG10" s="776">
        <f t="shared" si="2"/>
        <v>3</v>
      </c>
      <c r="BI10" s="688"/>
      <c r="BJ10" s="688" t="s">
        <v>25</v>
      </c>
      <c r="BK10" s="688" t="s">
        <v>16</v>
      </c>
      <c r="BL10" s="457" t="s">
        <v>107</v>
      </c>
      <c r="BM10" s="459">
        <v>3.0625</v>
      </c>
      <c r="BN10" s="458">
        <v>16</v>
      </c>
      <c r="BO10" s="765">
        <v>0.25</v>
      </c>
      <c r="BP10" s="459">
        <f t="shared" si="7"/>
        <v>6.25E-2</v>
      </c>
      <c r="BR10" s="615"/>
      <c r="BS10" s="615"/>
      <c r="BT10" s="778" t="s">
        <v>844</v>
      </c>
      <c r="BU10" s="779">
        <v>4.666666666666667</v>
      </c>
      <c r="BV10" s="779">
        <f t="shared" si="3"/>
        <v>1.666666666666667</v>
      </c>
      <c r="BW10" s="627">
        <v>6</v>
      </c>
      <c r="BX10" s="780">
        <v>5.666666666666667</v>
      </c>
      <c r="BY10" s="781">
        <f t="shared" si="4"/>
        <v>2.666666666666667</v>
      </c>
      <c r="CA10" s="70"/>
      <c r="CB10" s="70"/>
      <c r="CC10" s="42" t="s">
        <v>105</v>
      </c>
      <c r="CD10" s="70">
        <v>33</v>
      </c>
      <c r="CE10" s="769">
        <v>4.1818181818181825</v>
      </c>
      <c r="CF10" s="70">
        <v>3</v>
      </c>
      <c r="CG10" s="769">
        <f t="shared" si="5"/>
        <v>1.1818181818181825</v>
      </c>
      <c r="CJ10" s="770"/>
      <c r="CK10" s="771"/>
      <c r="CL10" s="786" t="s">
        <v>106</v>
      </c>
      <c r="CM10" s="787">
        <v>5.8484848484848468</v>
      </c>
      <c r="CN10" s="788">
        <v>33</v>
      </c>
      <c r="CO10" s="773"/>
      <c r="CP10" s="789">
        <f>CM10-3</f>
        <v>2.8484848484848468</v>
      </c>
    </row>
    <row r="11" spans="1:94">
      <c r="A11" s="5520"/>
      <c r="B11" s="5520"/>
      <c r="C11" s="5521" t="s">
        <v>106</v>
      </c>
      <c r="D11" s="5522">
        <v>3</v>
      </c>
      <c r="E11" s="5522">
        <v>15</v>
      </c>
      <c r="F11" s="4768">
        <f>+(E7*F7+E10*F10)/E11</f>
        <v>0</v>
      </c>
      <c r="G11" s="2501">
        <v>3</v>
      </c>
      <c r="I11" s="4762"/>
      <c r="J11" s="4762"/>
      <c r="K11" s="4763" t="s">
        <v>106</v>
      </c>
      <c r="L11" s="4764">
        <v>3</v>
      </c>
      <c r="M11" s="4764">
        <f>SUM(M7,M10)</f>
        <v>24</v>
      </c>
      <c r="N11" s="4768">
        <f>+(M7*N7+M10*N10)/M11</f>
        <v>0</v>
      </c>
      <c r="O11" s="2501"/>
      <c r="Q11" s="4754"/>
      <c r="R11" s="4754"/>
      <c r="S11" s="4755" t="s">
        <v>106</v>
      </c>
      <c r="T11" s="4756">
        <v>3</v>
      </c>
      <c r="U11" s="4756">
        <v>17</v>
      </c>
      <c r="V11" s="4757">
        <f>+(U7*V7+U10*V10)/U11</f>
        <v>0</v>
      </c>
      <c r="W11" s="4758"/>
      <c r="Y11" s="2498"/>
      <c r="Z11" s="2498"/>
      <c r="AA11" s="2499" t="s">
        <v>106</v>
      </c>
      <c r="AB11" s="2500">
        <v>3.05</v>
      </c>
      <c r="AC11" s="2501">
        <v>21</v>
      </c>
      <c r="AD11" s="791">
        <f>+(AC7*AD7+AC10*AD10)/AC11</f>
        <v>4.5238095238095077E-2</v>
      </c>
      <c r="AE11" s="2503">
        <v>3</v>
      </c>
      <c r="AF11" s="2479"/>
      <c r="AG11" s="2012"/>
      <c r="AH11" s="2008"/>
      <c r="AI11" s="2013" t="s">
        <v>106</v>
      </c>
      <c r="AJ11" s="2014">
        <v>3.48</v>
      </c>
      <c r="AK11" s="2015">
        <v>29</v>
      </c>
      <c r="AL11" s="791">
        <f>+(AK7*AL7+AK10*AL10)/AK11</f>
        <v>0.48413793103448277</v>
      </c>
      <c r="AN11" s="1676"/>
      <c r="AO11" s="1676"/>
      <c r="AP11" s="1673" t="s">
        <v>106</v>
      </c>
      <c r="AQ11" s="1674">
        <v>3.08</v>
      </c>
      <c r="AR11" s="2023">
        <v>25</v>
      </c>
      <c r="AS11" s="1672">
        <f>+(AR8*AS8)/AR11</f>
        <v>8.0000000000000071E-2</v>
      </c>
      <c r="AU11" s="1398"/>
      <c r="AV11" s="1398"/>
      <c r="AW11" s="1399" t="s">
        <v>106</v>
      </c>
      <c r="AX11" s="1400">
        <v>3.1333333333333337</v>
      </c>
      <c r="AY11" s="1401">
        <v>15</v>
      </c>
      <c r="AZ11" s="1402">
        <f t="shared" si="6"/>
        <v>0.13333333333333375</v>
      </c>
      <c r="BB11" s="761"/>
      <c r="BC11" s="761"/>
      <c r="BD11" s="790" t="s">
        <v>106</v>
      </c>
      <c r="BE11" s="791">
        <v>3.1739130434782616</v>
      </c>
      <c r="BF11" s="792">
        <v>23</v>
      </c>
      <c r="BG11" s="791">
        <f>+(BF8*BG8+BF10*BG10)/BF11</f>
        <v>0.17391304347826092</v>
      </c>
      <c r="BI11" s="688"/>
      <c r="BJ11" s="688"/>
      <c r="BK11" s="688" t="s">
        <v>41</v>
      </c>
      <c r="BL11" s="457" t="s">
        <v>108</v>
      </c>
      <c r="BM11" s="459">
        <v>3.6153846153846154</v>
      </c>
      <c r="BN11" s="458">
        <v>26</v>
      </c>
      <c r="BO11" s="765">
        <v>0.80383695246850051</v>
      </c>
      <c r="BP11" s="459">
        <f t="shared" si="7"/>
        <v>0.61538461538461542</v>
      </c>
      <c r="BR11" s="615"/>
      <c r="BS11" s="615"/>
      <c r="CA11" s="70"/>
      <c r="CB11" s="70"/>
      <c r="CC11" s="484" t="s">
        <v>15</v>
      </c>
      <c r="CD11" s="454">
        <v>34</v>
      </c>
      <c r="CE11" s="782">
        <v>4.3529411764705879</v>
      </c>
      <c r="CF11" s="454"/>
      <c r="CG11" s="782">
        <f>+(CD9*CG9+CD10*CG10)/CD11</f>
        <v>1.3529411764705888</v>
      </c>
      <c r="CH11" s="783">
        <f>AVERAGE(CG9:CG10)</f>
        <v>4.0909090909090917</v>
      </c>
      <c r="CJ11" s="770"/>
      <c r="CK11" s="771"/>
    </row>
    <row r="12" spans="1:94">
      <c r="A12" s="42" t="s">
        <v>25</v>
      </c>
      <c r="B12" s="42" t="s">
        <v>4</v>
      </c>
      <c r="C12" s="1679" t="s">
        <v>3920</v>
      </c>
      <c r="D12" s="5517">
        <v>7</v>
      </c>
      <c r="E12" s="5517">
        <v>1</v>
      </c>
      <c r="F12" s="4766">
        <f>D12-G12</f>
        <v>1</v>
      </c>
      <c r="G12" s="70">
        <v>6</v>
      </c>
      <c r="I12" s="42" t="s">
        <v>25</v>
      </c>
      <c r="J12" s="42" t="s">
        <v>4</v>
      </c>
      <c r="K12" s="42" t="s">
        <v>2532</v>
      </c>
      <c r="L12" s="70">
        <v>6.3</v>
      </c>
      <c r="M12" s="70">
        <v>3</v>
      </c>
      <c r="N12" s="4766">
        <f>L12-O12</f>
        <v>0.29999999999999982</v>
      </c>
      <c r="O12" s="70">
        <v>6</v>
      </c>
      <c r="Q12" s="37" t="s">
        <v>25</v>
      </c>
      <c r="R12" s="37" t="s">
        <v>4</v>
      </c>
      <c r="S12" s="37" t="s">
        <v>2532</v>
      </c>
      <c r="T12" s="1788">
        <v>6</v>
      </c>
      <c r="U12" s="1788">
        <v>2</v>
      </c>
      <c r="V12" s="4752">
        <f>T12-W12</f>
        <v>0</v>
      </c>
      <c r="W12" s="1788">
        <v>6</v>
      </c>
      <c r="Y12" s="42" t="s">
        <v>25</v>
      </c>
      <c r="Z12" s="42" t="s">
        <v>16</v>
      </c>
      <c r="AA12" s="42" t="s">
        <v>107</v>
      </c>
      <c r="AB12" s="769">
        <v>3.13</v>
      </c>
      <c r="AC12" s="70">
        <v>52</v>
      </c>
      <c r="AD12" s="1393">
        <f t="shared" si="0"/>
        <v>0.12999999999999989</v>
      </c>
      <c r="AE12" s="2479">
        <v>3</v>
      </c>
      <c r="AF12" s="70"/>
      <c r="AG12" s="58" t="s">
        <v>25</v>
      </c>
      <c r="AH12" s="95" t="s">
        <v>16</v>
      </c>
      <c r="AI12" s="58" t="s">
        <v>107</v>
      </c>
      <c r="AJ12" s="912">
        <v>3.14</v>
      </c>
      <c r="AK12" s="95">
        <v>14</v>
      </c>
      <c r="AL12" s="1393">
        <f>AJ12-3</f>
        <v>0.14000000000000012</v>
      </c>
      <c r="AN12" s="107" t="s">
        <v>25</v>
      </c>
      <c r="AO12" s="107" t="s">
        <v>16</v>
      </c>
      <c r="AP12" s="47" t="s">
        <v>107</v>
      </c>
      <c r="AQ12" s="144">
        <v>3</v>
      </c>
      <c r="AR12" s="2021">
        <v>47</v>
      </c>
      <c r="AS12" s="1393">
        <f t="shared" si="1"/>
        <v>0</v>
      </c>
      <c r="AU12" s="817" t="s">
        <v>25</v>
      </c>
      <c r="AV12" s="817" t="s">
        <v>16</v>
      </c>
      <c r="AW12" s="1064" t="s">
        <v>107</v>
      </c>
      <c r="AX12" s="1391">
        <v>3</v>
      </c>
      <c r="AY12" s="1392">
        <v>15</v>
      </c>
      <c r="AZ12" s="1393">
        <f t="shared" si="6"/>
        <v>0</v>
      </c>
      <c r="BB12" s="761" t="s">
        <v>25</v>
      </c>
      <c r="BC12" s="761" t="s">
        <v>16</v>
      </c>
      <c r="BD12" s="762" t="s">
        <v>107</v>
      </c>
      <c r="BE12" s="763">
        <v>3</v>
      </c>
      <c r="BF12" s="764">
        <v>24</v>
      </c>
      <c r="BG12" s="763">
        <f t="shared" si="2"/>
        <v>0</v>
      </c>
      <c r="BI12" s="688"/>
      <c r="BJ12" s="688"/>
      <c r="BK12" s="688"/>
      <c r="BL12" s="457" t="s">
        <v>109</v>
      </c>
      <c r="BM12" s="459">
        <v>7.666666666666667</v>
      </c>
      <c r="BN12" s="458">
        <v>3</v>
      </c>
      <c r="BO12" s="765">
        <v>0.57735026918962573</v>
      </c>
      <c r="BP12" s="459">
        <f>BM12-6</f>
        <v>1.666666666666667</v>
      </c>
      <c r="BR12" s="615" t="s">
        <v>25</v>
      </c>
      <c r="BS12" s="615" t="s">
        <v>16</v>
      </c>
      <c r="BT12" s="616" t="s">
        <v>107</v>
      </c>
      <c r="BU12" s="766">
        <v>3.01</v>
      </c>
      <c r="BV12" s="766">
        <f t="shared" si="3"/>
        <v>9.9999999999997868E-3</v>
      </c>
      <c r="BW12" s="618">
        <v>100</v>
      </c>
      <c r="BX12" s="767">
        <v>3.6500000000000017</v>
      </c>
      <c r="BY12" s="768">
        <f t="shared" si="4"/>
        <v>0.65000000000000169</v>
      </c>
      <c r="CA12" s="70" t="s">
        <v>25</v>
      </c>
      <c r="CB12" s="70" t="s">
        <v>16</v>
      </c>
      <c r="CC12" s="42" t="s">
        <v>107</v>
      </c>
      <c r="CD12" s="70">
        <v>108</v>
      </c>
      <c r="CE12" s="769">
        <v>3.3796296296296302</v>
      </c>
      <c r="CF12" s="70">
        <v>3</v>
      </c>
      <c r="CG12" s="769">
        <f t="shared" si="5"/>
        <v>0.37962962962963021</v>
      </c>
      <c r="CJ12" s="770" t="s">
        <v>25</v>
      </c>
      <c r="CK12" s="771" t="s">
        <v>16</v>
      </c>
      <c r="CL12" s="770" t="s">
        <v>107</v>
      </c>
      <c r="CM12" s="772">
        <v>3.5333333333333332</v>
      </c>
      <c r="CN12" s="771">
        <v>15</v>
      </c>
      <c r="CO12" s="773">
        <v>3</v>
      </c>
      <c r="CP12" s="774">
        <f>CM12-3</f>
        <v>0.53333333333333321</v>
      </c>
    </row>
    <row r="13" spans="1:94">
      <c r="A13" s="42"/>
      <c r="B13" s="42"/>
      <c r="C13" s="5518" t="s">
        <v>544</v>
      </c>
      <c r="D13" s="5519">
        <v>7</v>
      </c>
      <c r="E13" s="5519">
        <v>1</v>
      </c>
      <c r="F13" s="4766">
        <f>+(E12*F12)/E13</f>
        <v>1</v>
      </c>
      <c r="G13" s="70">
        <v>6</v>
      </c>
      <c r="I13" s="42"/>
      <c r="J13" s="42"/>
      <c r="K13" s="484" t="s">
        <v>544</v>
      </c>
      <c r="L13" s="4687">
        <v>6</v>
      </c>
      <c r="M13" s="4687">
        <v>3</v>
      </c>
      <c r="N13" s="4766">
        <f>+(M12*N12)/M13</f>
        <v>0.29999999999999982</v>
      </c>
      <c r="O13" s="4687"/>
      <c r="S13" s="1793" t="s">
        <v>544</v>
      </c>
      <c r="T13" s="4702">
        <v>6</v>
      </c>
      <c r="U13" s="4702">
        <v>2</v>
      </c>
      <c r="V13" s="4752">
        <f>+(U12*V12)/U13</f>
        <v>0</v>
      </c>
      <c r="W13" s="4702"/>
      <c r="Y13" s="42"/>
      <c r="Z13" s="42"/>
      <c r="AA13" s="484" t="s">
        <v>545</v>
      </c>
      <c r="AB13" s="782">
        <v>3.13</v>
      </c>
      <c r="AC13" s="2479">
        <v>52</v>
      </c>
      <c r="AD13" s="1397">
        <f t="shared" si="0"/>
        <v>0.12999999999999989</v>
      </c>
      <c r="AE13" s="70">
        <v>3</v>
      </c>
      <c r="AF13" s="2479"/>
      <c r="AG13" s="58"/>
      <c r="AH13" s="95"/>
      <c r="AI13" s="2009" t="s">
        <v>545</v>
      </c>
      <c r="AJ13" s="2010">
        <v>3.14</v>
      </c>
      <c r="AK13" s="2011">
        <v>14</v>
      </c>
      <c r="AL13" s="1397">
        <f>AJ13-3</f>
        <v>0.14000000000000012</v>
      </c>
      <c r="AN13" s="107"/>
      <c r="AO13" s="107"/>
      <c r="AP13" s="968" t="s">
        <v>545</v>
      </c>
      <c r="AQ13" s="969">
        <v>3</v>
      </c>
      <c r="AR13" s="2022">
        <v>47</v>
      </c>
      <c r="AS13" s="1397">
        <f t="shared" si="1"/>
        <v>0</v>
      </c>
      <c r="AU13" s="817"/>
      <c r="AV13" s="817"/>
      <c r="AW13" s="1394" t="s">
        <v>545</v>
      </c>
      <c r="AX13" s="1395">
        <v>3</v>
      </c>
      <c r="AY13" s="1396">
        <v>15</v>
      </c>
      <c r="AZ13" s="1397">
        <f t="shared" si="6"/>
        <v>0</v>
      </c>
      <c r="BB13" s="761"/>
      <c r="BC13" s="761"/>
      <c r="BD13" s="775" t="s">
        <v>545</v>
      </c>
      <c r="BE13" s="776">
        <v>3</v>
      </c>
      <c r="BF13" s="777">
        <v>24</v>
      </c>
      <c r="BG13" s="776">
        <f t="shared" si="2"/>
        <v>0</v>
      </c>
      <c r="BI13" s="688"/>
      <c r="BJ13" s="688"/>
      <c r="BK13" s="688"/>
      <c r="BL13" s="784" t="s">
        <v>547</v>
      </c>
      <c r="BM13" s="462">
        <v>4.0344827586206895</v>
      </c>
      <c r="BN13" s="463">
        <v>29</v>
      </c>
      <c r="BO13" s="785">
        <v>1.4755812080254451</v>
      </c>
      <c r="BP13" s="779">
        <f>+(BN11*BP11+BN12*BP12)/BN13</f>
        <v>0.72413793103448276</v>
      </c>
      <c r="BR13" s="615"/>
      <c r="BS13" s="615"/>
      <c r="BT13" s="778" t="s">
        <v>545</v>
      </c>
      <c r="BU13" s="779">
        <v>3.01</v>
      </c>
      <c r="BV13" s="779">
        <f t="shared" si="3"/>
        <v>9.9999999999997868E-3</v>
      </c>
      <c r="BW13" s="627">
        <v>100</v>
      </c>
      <c r="BX13" s="780">
        <v>3.6500000000000017</v>
      </c>
      <c r="BY13" s="781">
        <f t="shared" si="4"/>
        <v>0.65000000000000169</v>
      </c>
      <c r="CA13" s="70"/>
      <c r="CB13" s="70"/>
      <c r="CC13" s="484" t="s">
        <v>15</v>
      </c>
      <c r="CD13" s="454">
        <v>108</v>
      </c>
      <c r="CE13" s="782">
        <v>3.3796296296296302</v>
      </c>
      <c r="CF13" s="454"/>
      <c r="CG13" s="782">
        <f>+CG12</f>
        <v>0.37962962962963021</v>
      </c>
      <c r="CH13" s="783">
        <f>+CG13</f>
        <v>0.37962962962963021</v>
      </c>
      <c r="CJ13" s="770"/>
      <c r="CK13" s="771" t="s">
        <v>41</v>
      </c>
      <c r="CL13" s="770" t="s">
        <v>108</v>
      </c>
      <c r="CM13" s="772">
        <v>3.6666666666666665</v>
      </c>
      <c r="CN13" s="771">
        <v>18</v>
      </c>
      <c r="CO13" s="773">
        <v>3</v>
      </c>
      <c r="CP13" s="774">
        <f>CM13-3</f>
        <v>0.66666666666666652</v>
      </c>
    </row>
    <row r="14" spans="1:94">
      <c r="A14" s="42"/>
      <c r="B14" s="42" t="s">
        <v>16</v>
      </c>
      <c r="C14" s="42" t="s">
        <v>107</v>
      </c>
      <c r="D14" s="70">
        <v>3.04</v>
      </c>
      <c r="E14" s="70">
        <v>26</v>
      </c>
      <c r="F14" s="4766">
        <f>D14-G14</f>
        <v>4.0000000000000036E-2</v>
      </c>
      <c r="G14" s="2497">
        <v>3</v>
      </c>
      <c r="I14" s="42"/>
      <c r="J14" s="42" t="s">
        <v>16</v>
      </c>
      <c r="K14" s="42" t="s">
        <v>107</v>
      </c>
      <c r="L14" s="70">
        <v>3</v>
      </c>
      <c r="M14" s="70">
        <v>40</v>
      </c>
      <c r="N14" s="4766">
        <f>L14-O14</f>
        <v>0</v>
      </c>
      <c r="O14" s="2497">
        <v>3</v>
      </c>
      <c r="R14" s="37" t="s">
        <v>16</v>
      </c>
      <c r="S14" s="37" t="s">
        <v>107</v>
      </c>
      <c r="T14" s="1788">
        <v>3</v>
      </c>
      <c r="U14" s="1788">
        <v>40</v>
      </c>
      <c r="V14" s="4752">
        <f t="shared" ref="V14:V19" si="8">T14-W14</f>
        <v>0</v>
      </c>
      <c r="W14" s="4753">
        <v>3</v>
      </c>
      <c r="Y14" s="42"/>
      <c r="Z14" s="42" t="s">
        <v>41</v>
      </c>
      <c r="AA14" s="42" t="s">
        <v>108</v>
      </c>
      <c r="AB14" s="769">
        <v>4.78</v>
      </c>
      <c r="AC14" s="70">
        <v>9</v>
      </c>
      <c r="AD14" s="1393">
        <f t="shared" si="0"/>
        <v>1.7800000000000002</v>
      </c>
      <c r="AE14" s="70">
        <v>3</v>
      </c>
      <c r="AF14" s="70"/>
      <c r="AG14" s="58"/>
      <c r="AH14" s="95" t="s">
        <v>41</v>
      </c>
      <c r="AI14" s="58" t="s">
        <v>108</v>
      </c>
      <c r="AJ14" s="912">
        <v>4.21</v>
      </c>
      <c r="AK14" s="95">
        <v>14</v>
      </c>
      <c r="AL14" s="1393">
        <f>AJ14-3</f>
        <v>1.21</v>
      </c>
      <c r="AN14" s="107"/>
      <c r="AO14" s="107" t="s">
        <v>41</v>
      </c>
      <c r="AP14" s="47" t="s">
        <v>108</v>
      </c>
      <c r="AQ14" s="144">
        <v>4.1399999999999997</v>
      </c>
      <c r="AR14" s="2021">
        <v>14</v>
      </c>
      <c r="AS14" s="1393">
        <f t="shared" si="1"/>
        <v>1.1399999999999997</v>
      </c>
      <c r="AU14" s="817"/>
      <c r="AV14" s="817" t="s">
        <v>41</v>
      </c>
      <c r="AW14" s="1064" t="s">
        <v>108</v>
      </c>
      <c r="AX14" s="1391">
        <v>3.384615384615385</v>
      </c>
      <c r="AY14" s="1392">
        <v>13</v>
      </c>
      <c r="AZ14" s="1393">
        <f t="shared" si="6"/>
        <v>0.38461538461538503</v>
      </c>
      <c r="BB14" s="761"/>
      <c r="BC14" s="761" t="s">
        <v>41</v>
      </c>
      <c r="BD14" s="762" t="s">
        <v>108</v>
      </c>
      <c r="BE14" s="763">
        <v>3.6666666666666665</v>
      </c>
      <c r="BF14" s="764">
        <v>6</v>
      </c>
      <c r="BG14" s="763">
        <f t="shared" si="2"/>
        <v>0.66666666666666652</v>
      </c>
      <c r="BI14" s="688"/>
      <c r="BJ14" s="688"/>
      <c r="BK14" s="688"/>
      <c r="BL14" s="784" t="s">
        <v>110</v>
      </c>
      <c r="BM14" s="462">
        <v>3.68888888888889</v>
      </c>
      <c r="BN14" s="463">
        <v>45</v>
      </c>
      <c r="BO14" s="785">
        <v>1.2760418599257743</v>
      </c>
      <c r="BP14" s="779">
        <f>+(BN10*BP10+BN13*BP13)/BN14</f>
        <v>0.48888888888888887</v>
      </c>
      <c r="BR14" s="615"/>
      <c r="BS14" s="615" t="s">
        <v>41</v>
      </c>
      <c r="BT14" s="616" t="s">
        <v>108</v>
      </c>
      <c r="BU14" s="766">
        <v>3.4</v>
      </c>
      <c r="BV14" s="766">
        <f t="shared" si="3"/>
        <v>0.39999999999999991</v>
      </c>
      <c r="BW14" s="618">
        <v>15</v>
      </c>
      <c r="BX14" s="767">
        <v>3.4</v>
      </c>
      <c r="BY14" s="768">
        <f t="shared" si="4"/>
        <v>0.39999999999999991</v>
      </c>
      <c r="CA14" s="70"/>
      <c r="CB14" s="70" t="s">
        <v>41</v>
      </c>
      <c r="CC14" s="42" t="s">
        <v>108</v>
      </c>
      <c r="CD14" s="70">
        <v>20</v>
      </c>
      <c r="CE14" s="769">
        <v>4.1000000000000014</v>
      </c>
      <c r="CF14" s="70">
        <v>3</v>
      </c>
      <c r="CG14" s="769">
        <f t="shared" si="5"/>
        <v>1.1000000000000014</v>
      </c>
      <c r="CJ14" s="770"/>
      <c r="CK14" s="771"/>
      <c r="CL14" s="770" t="s">
        <v>109</v>
      </c>
      <c r="CM14" s="772">
        <v>7.75</v>
      </c>
      <c r="CN14" s="771">
        <v>4</v>
      </c>
      <c r="CO14" s="773">
        <v>6</v>
      </c>
      <c r="CP14" s="774">
        <f>CM14-6</f>
        <v>1.75</v>
      </c>
    </row>
    <row r="15" spans="1:94">
      <c r="A15" s="42"/>
      <c r="B15" s="42"/>
      <c r="C15" s="484" t="s">
        <v>545</v>
      </c>
      <c r="D15" s="5502">
        <v>3.04</v>
      </c>
      <c r="E15" s="5502">
        <v>26</v>
      </c>
      <c r="F15" s="4767">
        <f>+(E14*F14)/E15</f>
        <v>4.0000000000000036E-2</v>
      </c>
      <c r="G15" s="2497">
        <v>3</v>
      </c>
      <c r="I15" s="42"/>
      <c r="J15" s="42"/>
      <c r="K15" s="484" t="s">
        <v>545</v>
      </c>
      <c r="L15" s="4687">
        <v>3</v>
      </c>
      <c r="M15" s="4687">
        <v>40</v>
      </c>
      <c r="N15" s="4766">
        <f>+(M14*N14)/M15</f>
        <v>0</v>
      </c>
      <c r="O15" s="2497"/>
      <c r="S15" s="1793" t="s">
        <v>545</v>
      </c>
      <c r="T15" s="4702">
        <v>3</v>
      </c>
      <c r="U15" s="4702">
        <v>40</v>
      </c>
      <c r="V15" s="4752">
        <f>+(U14*V14)/U15</f>
        <v>0</v>
      </c>
      <c r="W15" s="4753"/>
      <c r="Y15" s="42"/>
      <c r="Z15" s="42"/>
      <c r="AA15" s="133" t="s">
        <v>590</v>
      </c>
      <c r="AB15" s="2492">
        <v>8.33</v>
      </c>
      <c r="AC15" s="2492">
        <v>6</v>
      </c>
      <c r="AD15" s="1393">
        <f t="shared" si="0"/>
        <v>2.33</v>
      </c>
      <c r="AE15" s="70">
        <v>6</v>
      </c>
      <c r="AF15" s="70"/>
      <c r="AG15" s="58"/>
      <c r="AH15" s="95"/>
      <c r="AI15" s="2016" t="s">
        <v>109</v>
      </c>
      <c r="AJ15" s="2017">
        <v>10</v>
      </c>
      <c r="AK15" s="2018">
        <v>2</v>
      </c>
      <c r="AL15" s="1393">
        <f>AJ15-6</f>
        <v>4</v>
      </c>
      <c r="AN15" s="107"/>
      <c r="AO15" s="107"/>
      <c r="AP15" s="47" t="s">
        <v>1944</v>
      </c>
      <c r="AQ15" s="144">
        <v>9.2899999999999991</v>
      </c>
      <c r="AR15" s="2021">
        <v>7</v>
      </c>
      <c r="AS15" s="1393">
        <f>AQ15-6</f>
        <v>3.2899999999999991</v>
      </c>
      <c r="AU15" s="817"/>
      <c r="AV15" s="817"/>
      <c r="AW15" s="1064" t="s">
        <v>590</v>
      </c>
      <c r="AX15" s="1391">
        <v>9.5714285714285712</v>
      </c>
      <c r="AY15" s="1392">
        <v>7</v>
      </c>
      <c r="AZ15" s="1393">
        <f>AX15-6</f>
        <v>3.5714285714285712</v>
      </c>
      <c r="BB15" s="761"/>
      <c r="BC15" s="761"/>
      <c r="BD15" s="762" t="s">
        <v>109</v>
      </c>
      <c r="BE15" s="763">
        <v>7</v>
      </c>
      <c r="BF15" s="764">
        <v>6</v>
      </c>
      <c r="BG15" s="763">
        <f t="shared" si="2"/>
        <v>4</v>
      </c>
      <c r="BI15" s="688"/>
      <c r="BJ15" s="688" t="s">
        <v>48</v>
      </c>
      <c r="BK15" s="688" t="s">
        <v>16</v>
      </c>
      <c r="BL15" s="457" t="s">
        <v>111</v>
      </c>
      <c r="BM15" s="459">
        <v>6</v>
      </c>
      <c r="BN15" s="458">
        <v>1</v>
      </c>
      <c r="BO15" s="765"/>
      <c r="BP15" s="459">
        <f t="shared" si="7"/>
        <v>3</v>
      </c>
      <c r="BR15" s="615"/>
      <c r="BS15" s="615"/>
      <c r="BT15" s="616" t="s">
        <v>590</v>
      </c>
      <c r="BU15" s="766">
        <v>6</v>
      </c>
      <c r="BV15" s="766">
        <f>BU15-6</f>
        <v>0</v>
      </c>
      <c r="BW15" s="618">
        <v>2</v>
      </c>
      <c r="BX15" s="767">
        <v>6</v>
      </c>
      <c r="BY15" s="768">
        <f>BX15-6</f>
        <v>0</v>
      </c>
      <c r="CA15" s="70"/>
      <c r="CB15" s="70"/>
      <c r="CC15" s="42" t="s">
        <v>109</v>
      </c>
      <c r="CD15" s="70">
        <v>2</v>
      </c>
      <c r="CE15" s="769">
        <v>9</v>
      </c>
      <c r="CF15" s="70">
        <v>6</v>
      </c>
      <c r="CG15" s="769">
        <f t="shared" si="5"/>
        <v>3</v>
      </c>
      <c r="CJ15" s="770"/>
      <c r="CK15" s="771"/>
      <c r="CL15" s="771" t="s">
        <v>15</v>
      </c>
      <c r="CM15" s="772">
        <v>4.4090909090909092</v>
      </c>
      <c r="CN15" s="771">
        <v>22</v>
      </c>
      <c r="CO15" s="773"/>
      <c r="CP15" s="774">
        <f>AVERAGE(CP13:CP14)</f>
        <v>1.2083333333333333</v>
      </c>
    </row>
    <row r="16" spans="1:94">
      <c r="A16" s="42"/>
      <c r="B16" s="42" t="s">
        <v>41</v>
      </c>
      <c r="C16" s="42" t="s">
        <v>108</v>
      </c>
      <c r="D16" s="70">
        <v>4.75</v>
      </c>
      <c r="E16" s="70">
        <v>4</v>
      </c>
      <c r="F16" s="4766">
        <f>D16-G16</f>
        <v>1.75</v>
      </c>
      <c r="G16" s="2497">
        <v>3</v>
      </c>
      <c r="I16" s="42"/>
      <c r="J16" s="42" t="s">
        <v>41</v>
      </c>
      <c r="K16" s="42" t="s">
        <v>108</v>
      </c>
      <c r="L16" s="70">
        <v>4</v>
      </c>
      <c r="M16" s="70">
        <v>4</v>
      </c>
      <c r="N16" s="4766">
        <f>L16-O16</f>
        <v>1</v>
      </c>
      <c r="O16" s="2497">
        <v>3</v>
      </c>
      <c r="R16" s="37" t="s">
        <v>41</v>
      </c>
      <c r="S16" s="37" t="s">
        <v>108</v>
      </c>
      <c r="T16" s="1788">
        <v>4</v>
      </c>
      <c r="U16" s="1788">
        <v>4</v>
      </c>
      <c r="V16" s="4752">
        <f t="shared" si="8"/>
        <v>1</v>
      </c>
      <c r="W16" s="4753">
        <v>3</v>
      </c>
      <c r="Y16" s="42"/>
      <c r="Z16" s="42"/>
      <c r="AA16" s="484" t="s">
        <v>547</v>
      </c>
      <c r="AB16" s="782">
        <v>4.78</v>
      </c>
      <c r="AC16" s="2479">
        <v>9</v>
      </c>
      <c r="AD16" s="776">
        <f>+(AC14*AD14+AC15*AD15)/AC16</f>
        <v>3.3333333333333339</v>
      </c>
      <c r="AE16" s="70">
        <v>6</v>
      </c>
      <c r="AF16" s="782"/>
      <c r="AG16" s="58"/>
      <c r="AH16" s="95"/>
      <c r="AI16" s="2009" t="s">
        <v>547</v>
      </c>
      <c r="AJ16" s="2010">
        <v>4.21</v>
      </c>
      <c r="AK16" s="2011">
        <v>14</v>
      </c>
      <c r="AL16" s="776">
        <f>+(AK14*AL14+AK15*AL15)/AK16</f>
        <v>1.7814285714285714</v>
      </c>
      <c r="AN16" s="107"/>
      <c r="AO16" s="107"/>
      <c r="AP16" s="968" t="s">
        <v>547</v>
      </c>
      <c r="AQ16" s="969">
        <v>5.86</v>
      </c>
      <c r="AR16" s="2022">
        <v>21</v>
      </c>
      <c r="AS16" s="776">
        <f>+(AR14*AS14+AR15*AS15)/AR16</f>
        <v>1.856666666666666</v>
      </c>
      <c r="AU16" s="817"/>
      <c r="AV16" s="817"/>
      <c r="AW16" s="1394" t="s">
        <v>547</v>
      </c>
      <c r="AX16" s="1395">
        <v>5.55</v>
      </c>
      <c r="AY16" s="1396">
        <v>20</v>
      </c>
      <c r="AZ16" s="776">
        <f>+(AY14*AZ14+AY15*AZ15)/AY16</f>
        <v>1.5000000000000004</v>
      </c>
      <c r="BB16" s="761"/>
      <c r="BC16" s="761"/>
      <c r="BD16" s="775" t="s">
        <v>547</v>
      </c>
      <c r="BE16" s="776">
        <v>5.3333333333333339</v>
      </c>
      <c r="BF16" s="777">
        <v>12</v>
      </c>
      <c r="BG16" s="776">
        <f>+(BF14*BG14+BF15*BG15)/BF16</f>
        <v>2.3333333333333335</v>
      </c>
      <c r="BI16" s="688"/>
      <c r="BJ16" s="688"/>
      <c r="BK16" s="688"/>
      <c r="BL16" s="784" t="s">
        <v>442</v>
      </c>
      <c r="BM16" s="462">
        <v>6</v>
      </c>
      <c r="BN16" s="463">
        <v>1</v>
      </c>
      <c r="BO16" s="785"/>
      <c r="BP16" s="779">
        <f>+(BN15*BP15)/BN16</f>
        <v>3</v>
      </c>
      <c r="BR16" s="615"/>
      <c r="BS16" s="615"/>
      <c r="BT16" s="778" t="s">
        <v>547</v>
      </c>
      <c r="BU16" s="779">
        <v>3.7058823529411766</v>
      </c>
      <c r="BV16" s="779">
        <f>+(BW14*BV14+BW15*BV15)/BW16</f>
        <v>0.35294117647058815</v>
      </c>
      <c r="BW16" s="627">
        <v>17</v>
      </c>
      <c r="BX16" s="780">
        <v>3.7058823529411766</v>
      </c>
      <c r="BY16" s="793">
        <f>+(BW14*BY14+BW15*BY15)/BW16</f>
        <v>0.35294117647058815</v>
      </c>
      <c r="CA16" s="70"/>
      <c r="CB16" s="70"/>
      <c r="CC16" s="484" t="s">
        <v>15</v>
      </c>
      <c r="CD16" s="454">
        <v>22</v>
      </c>
      <c r="CE16" s="782">
        <v>4.5454545454545459</v>
      </c>
      <c r="CF16" s="782"/>
      <c r="CG16" s="782">
        <f>+(CD14*CG14+CD15*CG15)/CD16</f>
        <v>1.272727272727274</v>
      </c>
      <c r="CH16" s="783">
        <f>AVERAGE(CG14:CG15)</f>
        <v>2.0500000000000007</v>
      </c>
      <c r="CJ16" s="770"/>
      <c r="CK16" s="771"/>
      <c r="CL16" s="786" t="s">
        <v>110</v>
      </c>
      <c r="CM16" s="787">
        <v>4.0540540540540553</v>
      </c>
      <c r="CN16" s="788">
        <v>37</v>
      </c>
      <c r="CO16" s="773"/>
      <c r="CP16" s="789">
        <f>AVERAGE(CP12:CP14)</f>
        <v>0.98333333333333328</v>
      </c>
    </row>
    <row r="17" spans="1:94">
      <c r="A17" s="42"/>
      <c r="B17" s="42"/>
      <c r="C17" s="484" t="s">
        <v>547</v>
      </c>
      <c r="D17" s="5502">
        <v>4.75</v>
      </c>
      <c r="E17" s="5502">
        <v>4</v>
      </c>
      <c r="F17" s="4766">
        <f>+(E16*F16)/E17</f>
        <v>1.75</v>
      </c>
      <c r="G17" s="2497">
        <v>3</v>
      </c>
      <c r="I17" s="42"/>
      <c r="J17" s="42"/>
      <c r="K17" s="484" t="s">
        <v>547</v>
      </c>
      <c r="L17" s="4687">
        <v>4</v>
      </c>
      <c r="M17" s="4687">
        <v>4</v>
      </c>
      <c r="N17" s="4766">
        <f>+(M16*N16)/M17</f>
        <v>1</v>
      </c>
      <c r="O17" s="2497"/>
      <c r="S17" s="1793" t="s">
        <v>547</v>
      </c>
      <c r="T17" s="4702">
        <v>4</v>
      </c>
      <c r="U17" s="4702">
        <v>4</v>
      </c>
      <c r="V17" s="4752">
        <f>+(U16*V16)/U17</f>
        <v>1</v>
      </c>
      <c r="W17" s="4753"/>
      <c r="Y17" s="2498"/>
      <c r="Z17" s="2498"/>
      <c r="AA17" s="2499" t="s">
        <v>110</v>
      </c>
      <c r="AB17" s="2500">
        <v>3.38</v>
      </c>
      <c r="AC17" s="2501">
        <v>61</v>
      </c>
      <c r="AD17" s="791">
        <f>+(AC13*AD13+AC16*AD16)/AC17</f>
        <v>0.60262295081967221</v>
      </c>
      <c r="AE17" s="2503">
        <v>3</v>
      </c>
      <c r="AF17" s="70"/>
      <c r="AG17" s="2012"/>
      <c r="AH17" s="2008"/>
      <c r="AI17" s="2013" t="s">
        <v>110</v>
      </c>
      <c r="AJ17" s="2014">
        <v>3.68</v>
      </c>
      <c r="AK17" s="2015">
        <v>28</v>
      </c>
      <c r="AL17" s="791">
        <f>+(AK13*AL13+AK16*AL16)/AK17</f>
        <v>0.96071428571428563</v>
      </c>
      <c r="AN17" s="1676"/>
      <c r="AO17" s="1676"/>
      <c r="AP17" s="1673" t="s">
        <v>110</v>
      </c>
      <c r="AQ17" s="1674">
        <v>3.88</v>
      </c>
      <c r="AR17" s="2023">
        <v>68</v>
      </c>
      <c r="AS17" s="1672">
        <f>+(AR13*AS13+AR16*AS16)/AR17</f>
        <v>0.57338235294117634</v>
      </c>
      <c r="AU17" s="1398"/>
      <c r="AV17" s="1398"/>
      <c r="AW17" s="1399" t="s">
        <v>110</v>
      </c>
      <c r="AX17" s="1400">
        <v>4.4571428571428555</v>
      </c>
      <c r="AY17" s="1401">
        <v>35</v>
      </c>
      <c r="AZ17" s="1403">
        <f>+(AY13*AZ13+AY16*AZ16)/AY17</f>
        <v>0.85714285714285732</v>
      </c>
      <c r="BB17" s="761"/>
      <c r="BC17" s="761"/>
      <c r="BD17" s="790" t="s">
        <v>110</v>
      </c>
      <c r="BE17" s="791">
        <v>3.777777777777779</v>
      </c>
      <c r="BF17" s="792">
        <v>36</v>
      </c>
      <c r="BG17" s="791">
        <f>+(BF13*BG13+BF16*BG16)/BF17</f>
        <v>0.77777777777777779</v>
      </c>
      <c r="BI17" s="688"/>
      <c r="BJ17" s="688" t="s">
        <v>59</v>
      </c>
      <c r="BK17" s="688" t="s">
        <v>64</v>
      </c>
      <c r="BL17" s="457" t="s">
        <v>671</v>
      </c>
      <c r="BM17" s="459">
        <v>3</v>
      </c>
      <c r="BN17" s="458">
        <v>2</v>
      </c>
      <c r="BO17" s="765">
        <v>0</v>
      </c>
      <c r="BP17" s="459">
        <f t="shared" si="7"/>
        <v>0</v>
      </c>
      <c r="BR17" s="615" t="s">
        <v>48</v>
      </c>
      <c r="BS17" s="615" t="s">
        <v>16</v>
      </c>
      <c r="BT17" s="616" t="s">
        <v>134</v>
      </c>
      <c r="BU17" s="766">
        <v>6</v>
      </c>
      <c r="BV17" s="766">
        <f>BU17-3</f>
        <v>3</v>
      </c>
      <c r="BW17" s="618">
        <v>1</v>
      </c>
      <c r="BX17" s="767">
        <v>7</v>
      </c>
      <c r="BY17" s="768">
        <f>BX17-3</f>
        <v>4</v>
      </c>
      <c r="CA17" s="70" t="s">
        <v>48</v>
      </c>
      <c r="CB17" s="70" t="s">
        <v>16</v>
      </c>
      <c r="CC17" s="42" t="s">
        <v>134</v>
      </c>
      <c r="CD17" s="70">
        <v>17</v>
      </c>
      <c r="CE17" s="769">
        <v>4.4117647058823533</v>
      </c>
      <c r="CF17" s="70">
        <v>3</v>
      </c>
      <c r="CG17" s="769">
        <f t="shared" si="5"/>
        <v>1.4117647058823533</v>
      </c>
      <c r="CJ17" s="770" t="s">
        <v>48</v>
      </c>
      <c r="CK17" s="771" t="s">
        <v>16</v>
      </c>
      <c r="CL17" s="770" t="s">
        <v>111</v>
      </c>
      <c r="CM17" s="772">
        <v>4.0999999999999996</v>
      </c>
      <c r="CN17" s="771">
        <v>40</v>
      </c>
      <c r="CO17" s="773">
        <v>3</v>
      </c>
      <c r="CP17" s="774">
        <f>CM17-3</f>
        <v>1.0999999999999996</v>
      </c>
    </row>
    <row r="18" spans="1:94">
      <c r="A18" s="5520"/>
      <c r="B18" s="5520"/>
      <c r="C18" s="5521" t="s">
        <v>110</v>
      </c>
      <c r="D18" s="5522">
        <v>3.39</v>
      </c>
      <c r="E18" s="5522">
        <v>31</v>
      </c>
      <c r="F18" s="4768">
        <f>+(E13*F13+E15*F15+E17*F17)/E18</f>
        <v>0.29161290322580646</v>
      </c>
      <c r="G18" s="5522">
        <v>3</v>
      </c>
      <c r="I18" s="4762"/>
      <c r="J18" s="4762"/>
      <c r="K18" s="4763" t="s">
        <v>110</v>
      </c>
      <c r="L18" s="4764">
        <v>3.22</v>
      </c>
      <c r="M18" s="4764">
        <f>SUM(M13,M15,M17)</f>
        <v>47</v>
      </c>
      <c r="N18" s="4768">
        <f>+(M13*N13+M15*N15+M17*N17)/M18</f>
        <v>0.10425531914893615</v>
      </c>
      <c r="O18" s="4765"/>
      <c r="Q18" s="4754"/>
      <c r="R18" s="4754"/>
      <c r="S18" s="4755" t="s">
        <v>110</v>
      </c>
      <c r="T18" s="4756">
        <v>3.22</v>
      </c>
      <c r="U18" s="4756">
        <v>46</v>
      </c>
      <c r="V18" s="4757">
        <f>+(U13*V13+U15*V15+U17*V17)/U18</f>
        <v>8.6956521739130432E-2</v>
      </c>
      <c r="W18" s="4759"/>
      <c r="Y18" s="42" t="s">
        <v>48</v>
      </c>
      <c r="Z18" s="42" t="s">
        <v>16</v>
      </c>
      <c r="AA18" s="42" t="s">
        <v>111</v>
      </c>
      <c r="AB18" s="769">
        <v>4</v>
      </c>
      <c r="AC18" s="70">
        <v>22</v>
      </c>
      <c r="AD18" s="1393">
        <f t="shared" si="0"/>
        <v>1</v>
      </c>
      <c r="AE18" s="70">
        <v>3</v>
      </c>
      <c r="AF18" s="70"/>
      <c r="AG18" s="58" t="s">
        <v>48</v>
      </c>
      <c r="AH18" s="95" t="s">
        <v>16</v>
      </c>
      <c r="AI18" s="58" t="s">
        <v>111</v>
      </c>
      <c r="AJ18" s="912">
        <v>5</v>
      </c>
      <c r="AK18" s="95">
        <v>1</v>
      </c>
      <c r="AL18" s="1393">
        <f>AJ18-3</f>
        <v>2</v>
      </c>
      <c r="AN18" s="107" t="s">
        <v>48</v>
      </c>
      <c r="AO18" s="107" t="s">
        <v>16</v>
      </c>
      <c r="AP18" s="47" t="s">
        <v>111</v>
      </c>
      <c r="AQ18" s="144">
        <v>6</v>
      </c>
      <c r="AR18" s="2021">
        <v>1</v>
      </c>
      <c r="AS18" s="1393">
        <f t="shared" si="1"/>
        <v>3</v>
      </c>
      <c r="AU18" s="817" t="s">
        <v>48</v>
      </c>
      <c r="AV18" s="817" t="s">
        <v>16</v>
      </c>
      <c r="AW18" s="1064" t="s">
        <v>111</v>
      </c>
      <c r="AX18" s="1391">
        <v>6</v>
      </c>
      <c r="AY18" s="1392">
        <v>1</v>
      </c>
      <c r="AZ18" s="1393">
        <f t="shared" si="6"/>
        <v>3</v>
      </c>
      <c r="BB18" s="761" t="s">
        <v>48</v>
      </c>
      <c r="BC18" s="761" t="s">
        <v>16</v>
      </c>
      <c r="BD18" s="762" t="s">
        <v>111</v>
      </c>
      <c r="BE18" s="763">
        <v>3.9642857142857144</v>
      </c>
      <c r="BF18" s="764">
        <v>28</v>
      </c>
      <c r="BG18" s="763">
        <f t="shared" si="2"/>
        <v>0.96428571428571441</v>
      </c>
      <c r="BI18" s="688"/>
      <c r="BJ18" s="688"/>
      <c r="BK18" s="688"/>
      <c r="BL18" s="784" t="s">
        <v>1372</v>
      </c>
      <c r="BM18" s="462">
        <v>3</v>
      </c>
      <c r="BN18" s="463">
        <v>2</v>
      </c>
      <c r="BO18" s="785">
        <v>0</v>
      </c>
      <c r="BP18" s="779">
        <f>+(BN17*BP17)/BN18</f>
        <v>0</v>
      </c>
      <c r="BR18" s="615"/>
      <c r="BS18" s="615"/>
      <c r="BT18" s="778" t="s">
        <v>545</v>
      </c>
      <c r="BU18" s="779">
        <v>6</v>
      </c>
      <c r="BV18" s="779">
        <f>BU18-3</f>
        <v>3</v>
      </c>
      <c r="BW18" s="627">
        <v>1</v>
      </c>
      <c r="BX18" s="780">
        <v>7</v>
      </c>
      <c r="BY18" s="781">
        <f>BX18-3</f>
        <v>4</v>
      </c>
      <c r="CA18" s="70"/>
      <c r="CB18" s="70"/>
      <c r="CC18" s="42" t="s">
        <v>111</v>
      </c>
      <c r="CD18" s="70">
        <v>2</v>
      </c>
      <c r="CE18" s="769">
        <v>1</v>
      </c>
      <c r="CF18" s="70">
        <v>3</v>
      </c>
      <c r="CG18" s="769">
        <f t="shared" si="5"/>
        <v>-2</v>
      </c>
      <c r="CJ18" s="770"/>
      <c r="CK18" s="771"/>
      <c r="CL18" s="770"/>
      <c r="CM18" s="772"/>
      <c r="CN18" s="771"/>
      <c r="CO18" s="773"/>
      <c r="CP18" s="774"/>
    </row>
    <row r="19" spans="1:94" ht="15" thickBot="1">
      <c r="A19" s="42" t="s">
        <v>48</v>
      </c>
      <c r="B19" s="42" t="s">
        <v>16</v>
      </c>
      <c r="C19" s="42" t="s">
        <v>111</v>
      </c>
      <c r="D19" s="70">
        <v>6</v>
      </c>
      <c r="E19" s="70">
        <v>1</v>
      </c>
      <c r="F19" s="4766">
        <f>D19-G19</f>
        <v>3</v>
      </c>
      <c r="G19" s="2497">
        <v>3</v>
      </c>
      <c r="I19" s="42" t="s">
        <v>48</v>
      </c>
      <c r="J19" s="42" t="s">
        <v>16</v>
      </c>
      <c r="K19" s="42" t="s">
        <v>111</v>
      </c>
      <c r="L19" s="70">
        <v>6</v>
      </c>
      <c r="M19" s="70">
        <v>4</v>
      </c>
      <c r="N19" s="4766">
        <f>L19-O19</f>
        <v>3</v>
      </c>
      <c r="O19" s="2488">
        <v>3</v>
      </c>
      <c r="Q19" s="37" t="s">
        <v>48</v>
      </c>
      <c r="R19" s="37" t="s">
        <v>16</v>
      </c>
      <c r="S19" s="37" t="s">
        <v>111</v>
      </c>
      <c r="T19" s="1788">
        <v>6</v>
      </c>
      <c r="U19" s="1788">
        <v>2</v>
      </c>
      <c r="V19" s="4752">
        <f t="shared" si="8"/>
        <v>3</v>
      </c>
      <c r="W19" s="4707">
        <v>3</v>
      </c>
      <c r="Y19" s="42"/>
      <c r="Z19" s="42"/>
      <c r="AA19" s="484" t="s">
        <v>545</v>
      </c>
      <c r="AB19" s="782">
        <v>4</v>
      </c>
      <c r="AC19" s="2479">
        <v>22</v>
      </c>
      <c r="AD19" s="1397">
        <f t="shared" si="0"/>
        <v>1</v>
      </c>
      <c r="AE19" s="2479">
        <v>3</v>
      </c>
      <c r="AF19" s="2479"/>
      <c r="AG19" s="58"/>
      <c r="AH19" s="95"/>
      <c r="AI19" s="2009" t="s">
        <v>545</v>
      </c>
      <c r="AJ19" s="2010">
        <v>5</v>
      </c>
      <c r="AK19" s="2011">
        <v>1</v>
      </c>
      <c r="AL19" s="1397">
        <f t="shared" ref="AL19:AL25" si="9">AJ19-3</f>
        <v>2</v>
      </c>
      <c r="AN19" s="107"/>
      <c r="AO19" s="107"/>
      <c r="AP19" s="968" t="s">
        <v>545</v>
      </c>
      <c r="AQ19" s="969">
        <v>6</v>
      </c>
      <c r="AR19" s="2022">
        <v>1</v>
      </c>
      <c r="AS19" s="1397">
        <f t="shared" si="1"/>
        <v>3</v>
      </c>
      <c r="AU19" s="817"/>
      <c r="AV19" s="817"/>
      <c r="AW19" s="1394" t="s">
        <v>545</v>
      </c>
      <c r="AX19" s="1395">
        <v>6</v>
      </c>
      <c r="AY19" s="1396">
        <v>1</v>
      </c>
      <c r="AZ19" s="1397">
        <f t="shared" si="6"/>
        <v>3</v>
      </c>
      <c r="BB19" s="761"/>
      <c r="BC19" s="761"/>
      <c r="BD19" s="775" t="s">
        <v>850</v>
      </c>
      <c r="BE19" s="776">
        <v>3.9642857142857144</v>
      </c>
      <c r="BF19" s="777">
        <v>28</v>
      </c>
      <c r="BG19" s="776">
        <f t="shared" si="2"/>
        <v>0.96428571428571441</v>
      </c>
      <c r="BI19" s="712"/>
      <c r="BJ19" s="712"/>
      <c r="BK19" s="712"/>
      <c r="BL19" s="794" t="s">
        <v>113</v>
      </c>
      <c r="BM19" s="468">
        <v>3.478260869565216</v>
      </c>
      <c r="BN19" s="467">
        <v>92</v>
      </c>
      <c r="BO19" s="795">
        <v>1.1811547792384858</v>
      </c>
      <c r="BP19" s="796">
        <f>+(BN9*BP9+BN14*BP14+BN16*BP16+BN18*BP18)/BN19</f>
        <v>0.38043478260869606</v>
      </c>
      <c r="BR19" s="615"/>
      <c r="BS19" s="615" t="s">
        <v>41</v>
      </c>
      <c r="BT19" s="616" t="s">
        <v>112</v>
      </c>
      <c r="BU19" s="766">
        <v>4.1428571428571432</v>
      </c>
      <c r="BV19" s="766">
        <f>BU19-3</f>
        <v>1.1428571428571432</v>
      </c>
      <c r="BW19" s="618">
        <v>7</v>
      </c>
      <c r="BX19" s="767">
        <v>4.1428571428571432</v>
      </c>
      <c r="BY19" s="768">
        <f>BX19-3</f>
        <v>1.1428571428571432</v>
      </c>
      <c r="CA19" s="70"/>
      <c r="CB19" s="70"/>
      <c r="CC19" s="484" t="s">
        <v>15</v>
      </c>
      <c r="CD19" s="454">
        <v>19</v>
      </c>
      <c r="CE19" s="782">
        <v>4.0526315789473681</v>
      </c>
      <c r="CF19" s="454"/>
      <c r="CG19" s="782">
        <f>+(CD17*CG17+CD18*CG18)/CD19</f>
        <v>1.0526315789473688</v>
      </c>
      <c r="CH19" s="783">
        <f>AVERAGE(CG17:CG18)</f>
        <v>-0.29411764705882337</v>
      </c>
      <c r="CJ19" s="770"/>
      <c r="CK19" s="771"/>
      <c r="CL19" s="770"/>
      <c r="CM19" s="772"/>
      <c r="CN19" s="771"/>
      <c r="CO19" s="773"/>
      <c r="CP19" s="774"/>
    </row>
    <row r="20" spans="1:94" ht="15" thickBot="1">
      <c r="A20" s="42"/>
      <c r="B20" s="42"/>
      <c r="C20" s="2493" t="s">
        <v>545</v>
      </c>
      <c r="D20" s="2488">
        <v>6</v>
      </c>
      <c r="E20" s="2488">
        <v>1</v>
      </c>
      <c r="F20" s="4767">
        <f>+(E19*F19)/E20</f>
        <v>3</v>
      </c>
      <c r="G20" s="2497">
        <v>3</v>
      </c>
      <c r="I20" s="4762"/>
      <c r="J20" s="4762"/>
      <c r="K20" s="4763" t="s">
        <v>545</v>
      </c>
      <c r="L20" s="4764">
        <v>6</v>
      </c>
      <c r="M20" s="4764">
        <v>4</v>
      </c>
      <c r="N20" s="4766">
        <f>+(M19*N19)/M20</f>
        <v>3</v>
      </c>
      <c r="O20" s="4764"/>
      <c r="Q20" s="4754"/>
      <c r="R20" s="4754"/>
      <c r="S20" s="4755" t="s">
        <v>545</v>
      </c>
      <c r="T20" s="4756">
        <v>6</v>
      </c>
      <c r="U20" s="4756">
        <v>2</v>
      </c>
      <c r="V20" s="4752">
        <f>+(U19*V19)/U20</f>
        <v>3</v>
      </c>
      <c r="W20" s="4756"/>
      <c r="Y20" s="42"/>
      <c r="Z20" s="42" t="s">
        <v>41</v>
      </c>
      <c r="AA20" s="42" t="s">
        <v>138</v>
      </c>
      <c r="AB20" s="769">
        <v>7</v>
      </c>
      <c r="AC20" s="70">
        <v>1</v>
      </c>
      <c r="AD20" s="1393">
        <f t="shared" si="0"/>
        <v>4</v>
      </c>
      <c r="AE20" s="2479">
        <v>3</v>
      </c>
      <c r="AF20" s="70"/>
      <c r="AG20" s="58"/>
      <c r="AH20" s="95" t="s">
        <v>41</v>
      </c>
      <c r="AI20" s="58" t="s">
        <v>138</v>
      </c>
      <c r="AJ20" s="912">
        <v>6</v>
      </c>
      <c r="AK20" s="95">
        <v>4</v>
      </c>
      <c r="AL20" s="1393">
        <f t="shared" si="9"/>
        <v>3</v>
      </c>
      <c r="AN20" s="107"/>
      <c r="AO20" s="107" t="s">
        <v>41</v>
      </c>
      <c r="AP20" s="47" t="s">
        <v>138</v>
      </c>
      <c r="AQ20" s="144">
        <v>4</v>
      </c>
      <c r="AR20" s="2021">
        <v>3</v>
      </c>
      <c r="AS20" s="1393">
        <f t="shared" si="1"/>
        <v>1</v>
      </c>
      <c r="AU20" s="817"/>
      <c r="AV20" s="817" t="s">
        <v>41</v>
      </c>
      <c r="AW20" s="1064" t="s">
        <v>138</v>
      </c>
      <c r="AX20" s="1391">
        <v>5.5</v>
      </c>
      <c r="AY20" s="1392">
        <v>6</v>
      </c>
      <c r="AZ20" s="1393">
        <f t="shared" si="6"/>
        <v>2.5</v>
      </c>
      <c r="BB20" s="761"/>
      <c r="BC20" s="761" t="s">
        <v>41</v>
      </c>
      <c r="BD20" s="762" t="s">
        <v>138</v>
      </c>
      <c r="BE20" s="763">
        <v>6</v>
      </c>
      <c r="BF20" s="764">
        <v>1</v>
      </c>
      <c r="BG20" s="763">
        <f t="shared" si="2"/>
        <v>3</v>
      </c>
      <c r="BI20" s="688"/>
      <c r="BJ20" s="688"/>
      <c r="BK20" s="688"/>
      <c r="BL20" s="457"/>
      <c r="BM20" s="797"/>
      <c r="BN20" s="798"/>
      <c r="BO20" s="799"/>
      <c r="BP20" s="799"/>
      <c r="BR20" s="638"/>
      <c r="BS20" s="638"/>
      <c r="BT20" s="800" t="s">
        <v>547</v>
      </c>
      <c r="BU20" s="796">
        <v>4.1428571428571432</v>
      </c>
      <c r="BV20" s="796">
        <f>BU20-3</f>
        <v>1.1428571428571432</v>
      </c>
      <c r="BW20" s="641">
        <v>7</v>
      </c>
      <c r="BX20" s="801">
        <v>4.1428571428571432</v>
      </c>
      <c r="BY20" s="802">
        <f>BX20-3</f>
        <v>1.1428571428571432</v>
      </c>
      <c r="CA20" s="70"/>
      <c r="CB20" s="70" t="s">
        <v>41</v>
      </c>
      <c r="CC20" s="42" t="s">
        <v>138</v>
      </c>
      <c r="CD20" s="70">
        <v>2</v>
      </c>
      <c r="CE20" s="769">
        <v>6</v>
      </c>
      <c r="CF20" s="70">
        <v>3</v>
      </c>
      <c r="CG20" s="769">
        <f t="shared" si="5"/>
        <v>3</v>
      </c>
      <c r="CJ20" s="770"/>
      <c r="CK20" s="771" t="s">
        <v>41</v>
      </c>
      <c r="CL20" s="770" t="s">
        <v>112</v>
      </c>
      <c r="CM20" s="772">
        <v>3.6666666666666665</v>
      </c>
      <c r="CN20" s="771">
        <v>6</v>
      </c>
      <c r="CO20" s="773">
        <v>3</v>
      </c>
      <c r="CP20" s="774">
        <f>CM20-3</f>
        <v>0.66666666666666652</v>
      </c>
    </row>
    <row r="21" spans="1:94" ht="15" thickBot="1">
      <c r="A21" s="42"/>
      <c r="B21" s="42"/>
      <c r="C21" s="2493" t="s">
        <v>442</v>
      </c>
      <c r="D21" s="2488">
        <v>6</v>
      </c>
      <c r="E21" s="2488">
        <v>1</v>
      </c>
      <c r="F21" s="4767">
        <f>+(E20*F20)/E21</f>
        <v>3</v>
      </c>
      <c r="G21" s="2497">
        <v>3</v>
      </c>
      <c r="I21" s="543"/>
      <c r="J21" s="543"/>
      <c r="K21" s="544" t="s">
        <v>113</v>
      </c>
      <c r="L21" s="491">
        <v>3.4</v>
      </c>
      <c r="M21" s="491">
        <f>SUM(M11,M18,M20)</f>
        <v>75</v>
      </c>
      <c r="N21" s="4769">
        <f>+(M11*N11+M18*N18+M20*N20)/M21</f>
        <v>0.2253333333333333</v>
      </c>
      <c r="O21" s="491"/>
      <c r="Q21" s="4760"/>
      <c r="R21" s="4760"/>
      <c r="S21" s="4698" t="s">
        <v>113</v>
      </c>
      <c r="T21" s="4697">
        <v>3.25</v>
      </c>
      <c r="U21" s="4697">
        <v>65</v>
      </c>
      <c r="V21" s="4761">
        <f>+(U11*V11+U18*V18+U20*V20)/U21</f>
        <v>0.15384615384615385</v>
      </c>
      <c r="W21" s="4697"/>
      <c r="Y21" s="42"/>
      <c r="Z21" s="42"/>
      <c r="AA21" s="484" t="s">
        <v>547</v>
      </c>
      <c r="AB21" s="782">
        <v>7</v>
      </c>
      <c r="AC21" s="2479">
        <v>1</v>
      </c>
      <c r="AD21" s="1397">
        <f t="shared" si="0"/>
        <v>4</v>
      </c>
      <c r="AE21" s="2479">
        <v>3</v>
      </c>
      <c r="AF21" s="70"/>
      <c r="AG21" s="58"/>
      <c r="AH21" s="95"/>
      <c r="AI21" s="2009" t="s">
        <v>547</v>
      </c>
      <c r="AJ21" s="2010">
        <v>6</v>
      </c>
      <c r="AK21" s="2011">
        <v>4</v>
      </c>
      <c r="AL21" s="1397">
        <f t="shared" si="9"/>
        <v>3</v>
      </c>
      <c r="AN21" s="107"/>
      <c r="AO21" s="107"/>
      <c r="AP21" s="47"/>
      <c r="AQ21" s="144"/>
      <c r="AR21" s="2021"/>
      <c r="AS21" s="1393"/>
      <c r="AU21" s="817"/>
      <c r="AV21" s="817"/>
      <c r="AW21" s="1064"/>
      <c r="AX21" s="1391"/>
      <c r="AY21" s="1392"/>
      <c r="AZ21" s="1393"/>
      <c r="BB21" s="761"/>
      <c r="BC21" s="761"/>
      <c r="BD21" s="762" t="s">
        <v>112</v>
      </c>
      <c r="BE21" s="763">
        <v>3.8888888888888888</v>
      </c>
      <c r="BF21" s="764">
        <v>9</v>
      </c>
      <c r="BG21" s="763">
        <f t="shared" si="2"/>
        <v>0.88888888888888884</v>
      </c>
      <c r="BI21" s="688"/>
      <c r="BJ21" s="688"/>
      <c r="BK21" s="688"/>
      <c r="BL21" s="457"/>
      <c r="BM21" s="797"/>
      <c r="BN21" s="798"/>
      <c r="BO21" s="799"/>
      <c r="BP21" s="799"/>
      <c r="BT21" s="803" t="s">
        <v>1373</v>
      </c>
      <c r="CA21" s="70"/>
      <c r="CB21" s="70"/>
      <c r="CC21" s="42" t="s">
        <v>112</v>
      </c>
      <c r="CD21" s="70">
        <v>1</v>
      </c>
      <c r="CE21" s="769">
        <v>3</v>
      </c>
      <c r="CF21" s="70">
        <v>3</v>
      </c>
      <c r="CG21" s="769">
        <f t="shared" si="5"/>
        <v>0</v>
      </c>
      <c r="CJ21" s="770"/>
      <c r="CK21" s="771"/>
      <c r="CL21" s="786" t="s">
        <v>442</v>
      </c>
      <c r="CM21" s="787">
        <v>4.0434782608695654</v>
      </c>
      <c r="CN21" s="788">
        <v>46</v>
      </c>
      <c r="CO21" s="773"/>
      <c r="CP21" s="789">
        <f>CM21-3</f>
        <v>1.0434782608695654</v>
      </c>
    </row>
    <row r="22" spans="1:94" ht="15" thickBot="1">
      <c r="A22" s="543"/>
      <c r="B22" s="543"/>
      <c r="C22" s="5523" t="s">
        <v>113</v>
      </c>
      <c r="D22" s="5524">
        <v>3.32</v>
      </c>
      <c r="E22" s="5524">
        <v>47</v>
      </c>
      <c r="F22" s="4769">
        <f>+(E11*F11+E18*F18+E21*F21)/E22</f>
        <v>0.25617021276595747</v>
      </c>
      <c r="G22" s="5524">
        <v>3</v>
      </c>
      <c r="I22" s="484" t="s">
        <v>2937</v>
      </c>
      <c r="J22" s="42"/>
      <c r="K22" s="484"/>
      <c r="L22" s="4687"/>
      <c r="M22" s="4687"/>
      <c r="N22" s="4687"/>
      <c r="O22" s="2488"/>
      <c r="Q22" s="1793" t="s">
        <v>2937</v>
      </c>
      <c r="S22" s="1793"/>
      <c r="T22" s="4702"/>
      <c r="U22" s="4702"/>
      <c r="V22" s="4702"/>
      <c r="W22" s="4707"/>
      <c r="Y22" s="2498"/>
      <c r="Z22" s="2498"/>
      <c r="AA22" s="2499" t="s">
        <v>442</v>
      </c>
      <c r="AB22" s="2500">
        <v>4.13</v>
      </c>
      <c r="AC22" s="2501">
        <v>23</v>
      </c>
      <c r="AD22" s="2508">
        <f>+(AC19*AD19+AC21*AD21)/AC22</f>
        <v>1.1304347826086956</v>
      </c>
      <c r="AE22" s="2501">
        <v>3</v>
      </c>
      <c r="AF22" s="2488"/>
      <c r="AG22" s="2012"/>
      <c r="AH22" s="2008"/>
      <c r="AI22" s="2013" t="s">
        <v>442</v>
      </c>
      <c r="AJ22" s="2014">
        <v>5.8</v>
      </c>
      <c r="AK22" s="2015">
        <v>5</v>
      </c>
      <c r="AL22" s="791">
        <f>+(AK19*AL19+AK21*AL21)/AK22</f>
        <v>2.8</v>
      </c>
      <c r="AN22" s="107"/>
      <c r="AO22" s="107"/>
      <c r="AP22" s="968" t="s">
        <v>547</v>
      </c>
      <c r="AQ22" s="969">
        <v>4</v>
      </c>
      <c r="AR22" s="2022">
        <v>3</v>
      </c>
      <c r="AS22" s="1397">
        <f t="shared" si="1"/>
        <v>1</v>
      </c>
      <c r="AU22" s="817"/>
      <c r="AV22" s="817"/>
      <c r="AW22" s="1394" t="s">
        <v>547</v>
      </c>
      <c r="AX22" s="1395">
        <v>5.5</v>
      </c>
      <c r="AY22" s="1396">
        <v>6</v>
      </c>
      <c r="AZ22" s="1397">
        <f t="shared" si="6"/>
        <v>2.5</v>
      </c>
      <c r="BB22" s="761"/>
      <c r="BC22" s="761"/>
      <c r="BD22" s="775" t="s">
        <v>547</v>
      </c>
      <c r="BE22" s="776">
        <v>4.1000000000000005</v>
      </c>
      <c r="BF22" s="777">
        <v>10</v>
      </c>
      <c r="BG22" s="776">
        <f>+(BF20*BG20+BF21*BG21)/BF22</f>
        <v>1.1000000000000001</v>
      </c>
      <c r="BI22" s="688"/>
      <c r="BJ22" s="688"/>
      <c r="BK22" s="688"/>
      <c r="BL22" s="457"/>
      <c r="BM22" s="797"/>
      <c r="BN22" s="798"/>
      <c r="BO22" s="799"/>
      <c r="BP22" s="799"/>
      <c r="CA22" s="542"/>
      <c r="CB22" s="542"/>
      <c r="CC22" s="544" t="s">
        <v>15</v>
      </c>
      <c r="CD22" s="491">
        <v>3</v>
      </c>
      <c r="CE22" s="804">
        <v>5</v>
      </c>
      <c r="CF22" s="491"/>
      <c r="CG22" s="804">
        <f>+(CD20*CG20+CD21*CG21)/CD22</f>
        <v>2</v>
      </c>
      <c r="CH22" s="783">
        <f>AVERAGE(CG20:CG21)</f>
        <v>1.5</v>
      </c>
      <c r="CJ22" s="805"/>
      <c r="CK22" s="806"/>
      <c r="CL22" s="807" t="s">
        <v>113</v>
      </c>
      <c r="CM22" s="808">
        <v>4.5603448275862055</v>
      </c>
      <c r="CN22" s="758">
        <v>116</v>
      </c>
      <c r="CO22" s="809"/>
      <c r="CP22" s="810">
        <f>AVERAGE(CP10,CP16,CP21)</f>
        <v>1.6250988142292486</v>
      </c>
    </row>
    <row r="23" spans="1:94">
      <c r="A23" s="42"/>
      <c r="B23" s="42"/>
      <c r="C23" s="42"/>
      <c r="D23" s="70"/>
      <c r="E23" s="70"/>
      <c r="I23" s="42"/>
      <c r="J23" s="42"/>
      <c r="K23" s="42"/>
      <c r="L23" s="42"/>
      <c r="M23" s="42"/>
      <c r="N23" s="42"/>
      <c r="O23" s="42"/>
      <c r="Y23" s="42" t="s">
        <v>59</v>
      </c>
      <c r="Z23" s="42" t="s">
        <v>64</v>
      </c>
      <c r="AA23" s="42" t="s">
        <v>671</v>
      </c>
      <c r="AB23" s="769">
        <v>3</v>
      </c>
      <c r="AC23" s="70">
        <v>2</v>
      </c>
      <c r="AD23" s="1393">
        <f t="shared" si="0"/>
        <v>0</v>
      </c>
      <c r="AE23" s="2479">
        <v>3</v>
      </c>
      <c r="AG23" s="58" t="s">
        <v>59</v>
      </c>
      <c r="AH23" s="95" t="s">
        <v>64</v>
      </c>
      <c r="AI23" s="58" t="s">
        <v>671</v>
      </c>
      <c r="AJ23" s="912">
        <v>3</v>
      </c>
      <c r="AK23" s="95">
        <v>1</v>
      </c>
      <c r="AL23" s="1393">
        <f t="shared" si="9"/>
        <v>0</v>
      </c>
      <c r="AN23" s="1676"/>
      <c r="AO23" s="1676"/>
      <c r="AP23" s="1673" t="s">
        <v>442</v>
      </c>
      <c r="AQ23" s="1674">
        <v>4.5</v>
      </c>
      <c r="AR23" s="2023">
        <v>4</v>
      </c>
      <c r="AS23" s="1672">
        <f>+(AR19*AS19+AR22*AS22)/AR23</f>
        <v>1.5</v>
      </c>
      <c r="AU23" s="817"/>
      <c r="AV23" s="817"/>
      <c r="AW23" s="1394" t="s">
        <v>442</v>
      </c>
      <c r="AX23" s="1395">
        <v>5.5714285714285712</v>
      </c>
      <c r="AY23" s="1396">
        <v>7</v>
      </c>
      <c r="AZ23" s="1403">
        <f>+(AY19*AZ19+AY22*AZ22)/AY23</f>
        <v>2.5714285714285716</v>
      </c>
      <c r="BB23" s="761"/>
      <c r="BC23" s="761"/>
      <c r="BD23" s="790" t="s">
        <v>442</v>
      </c>
      <c r="BE23" s="791">
        <v>4</v>
      </c>
      <c r="BF23" s="792">
        <v>38</v>
      </c>
      <c r="BG23" s="791">
        <f>+(BF19*BG19+BF22*BG22)/BF23</f>
        <v>1</v>
      </c>
      <c r="BI23" s="688"/>
      <c r="BJ23" s="688"/>
      <c r="BK23" s="688"/>
      <c r="BL23" s="457"/>
      <c r="BM23" s="797"/>
      <c r="BN23" s="798"/>
      <c r="BO23" s="799"/>
      <c r="BP23" s="799"/>
      <c r="BR23" s="615"/>
      <c r="BS23" s="615"/>
      <c r="BU23" s="779"/>
      <c r="BV23" s="779"/>
      <c r="BW23" s="627"/>
      <c r="BX23" s="627"/>
      <c r="BY23" s="627"/>
      <c r="CA23" s="70"/>
      <c r="CB23" s="70"/>
      <c r="CC23" s="42"/>
      <c r="CD23" s="70"/>
      <c r="CE23" s="769"/>
      <c r="CF23" s="42"/>
      <c r="CG23" s="42"/>
      <c r="CJ23" s="811" t="s">
        <v>1374</v>
      </c>
      <c r="CK23" s="812"/>
      <c r="CL23" s="811"/>
      <c r="CM23" s="811"/>
      <c r="CN23" s="812"/>
      <c r="CO23" s="812"/>
      <c r="CP23" s="811"/>
    </row>
    <row r="24" spans="1:94">
      <c r="A24" s="42"/>
      <c r="B24" s="42"/>
      <c r="C24" s="42"/>
      <c r="D24" s="70"/>
      <c r="E24" s="70"/>
      <c r="I24" s="42"/>
      <c r="J24" s="42"/>
      <c r="K24" s="42"/>
      <c r="L24" s="42"/>
      <c r="M24" s="42"/>
      <c r="N24" s="42"/>
      <c r="O24" s="42"/>
      <c r="Y24" s="42"/>
      <c r="Z24" s="42"/>
      <c r="AA24" s="2493" t="s">
        <v>549</v>
      </c>
      <c r="AB24" s="2494">
        <v>3</v>
      </c>
      <c r="AC24" s="2488">
        <v>2</v>
      </c>
      <c r="AD24" s="1397">
        <f t="shared" si="0"/>
        <v>0</v>
      </c>
      <c r="AE24" s="70">
        <v>3</v>
      </c>
      <c r="AG24" s="58"/>
      <c r="AH24" s="58"/>
      <c r="AI24" s="2009" t="s">
        <v>549</v>
      </c>
      <c r="AJ24" s="2010">
        <v>3</v>
      </c>
      <c r="AK24" s="2011">
        <v>1</v>
      </c>
      <c r="AL24" s="1397">
        <f t="shared" si="9"/>
        <v>0</v>
      </c>
      <c r="AN24" s="107" t="s">
        <v>59</v>
      </c>
      <c r="AO24" s="107" t="s">
        <v>64</v>
      </c>
      <c r="AP24" s="47" t="s">
        <v>671</v>
      </c>
      <c r="AQ24" s="144">
        <v>3</v>
      </c>
      <c r="AR24" s="2021">
        <v>2</v>
      </c>
      <c r="AS24" s="1393">
        <f t="shared" si="1"/>
        <v>0</v>
      </c>
      <c r="AU24" s="1404" t="s">
        <v>59</v>
      </c>
      <c r="AV24" s="1404" t="s">
        <v>64</v>
      </c>
      <c r="AW24" s="1405" t="s">
        <v>671</v>
      </c>
      <c r="AX24" s="1406">
        <v>3</v>
      </c>
      <c r="AY24" s="1407">
        <v>2</v>
      </c>
      <c r="AZ24" s="1408">
        <f t="shared" si="6"/>
        <v>0</v>
      </c>
      <c r="BB24" s="761" t="s">
        <v>59</v>
      </c>
      <c r="BC24" s="761" t="s">
        <v>64</v>
      </c>
      <c r="BD24" s="762" t="s">
        <v>671</v>
      </c>
      <c r="BE24" s="763">
        <v>3</v>
      </c>
      <c r="BF24" s="764">
        <v>2</v>
      </c>
      <c r="BG24" s="763">
        <f t="shared" si="2"/>
        <v>0</v>
      </c>
      <c r="BI24" s="688"/>
      <c r="BJ24" s="688"/>
      <c r="BK24" s="688"/>
      <c r="BL24" s="457"/>
      <c r="BM24" s="797"/>
      <c r="BN24" s="798"/>
      <c r="BO24" s="799"/>
      <c r="BP24" s="799"/>
      <c r="BR24" s="652"/>
      <c r="BS24" s="652"/>
      <c r="BT24" s="652"/>
      <c r="BU24" s="5691" t="s">
        <v>1375</v>
      </c>
      <c r="BV24" s="5692"/>
      <c r="BW24" s="652"/>
      <c r="BX24" s="813"/>
      <c r="BY24" s="813"/>
      <c r="CA24" s="70"/>
      <c r="CB24" s="70"/>
      <c r="CC24" s="42"/>
      <c r="CD24" s="70"/>
      <c r="CE24" s="769"/>
      <c r="CF24" s="42"/>
      <c r="CG24" s="42"/>
      <c r="CK24" s="812"/>
      <c r="CL24" s="811"/>
      <c r="CM24" s="811"/>
      <c r="CN24" s="812"/>
      <c r="CO24" s="812"/>
      <c r="CP24" s="811"/>
    </row>
    <row r="25" spans="1:94" ht="28.2" thickBot="1">
      <c r="A25" s="42"/>
      <c r="B25" s="2493"/>
      <c r="C25" s="756" t="s">
        <v>1</v>
      </c>
      <c r="D25" s="756" t="s">
        <v>2936</v>
      </c>
      <c r="E25" s="756" t="s">
        <v>1366</v>
      </c>
      <c r="I25" s="42"/>
      <c r="J25" s="42"/>
      <c r="K25" s="756" t="s">
        <v>1</v>
      </c>
      <c r="L25" s="756" t="s">
        <v>2936</v>
      </c>
      <c r="M25" s="756" t="s">
        <v>1366</v>
      </c>
      <c r="N25" s="42"/>
      <c r="O25" s="42"/>
      <c r="Y25" s="2498"/>
      <c r="Z25" s="2498"/>
      <c r="AA25" s="2499" t="s">
        <v>260</v>
      </c>
      <c r="AB25" s="2500">
        <v>3</v>
      </c>
      <c r="AC25" s="2501">
        <v>2</v>
      </c>
      <c r="AD25" s="2502">
        <f t="shared" si="0"/>
        <v>0</v>
      </c>
      <c r="AE25" s="2503">
        <v>3</v>
      </c>
      <c r="AG25" s="58"/>
      <c r="AH25" s="58"/>
      <c r="AI25" s="2013" t="s">
        <v>260</v>
      </c>
      <c r="AJ25" s="2014">
        <v>3</v>
      </c>
      <c r="AK25" s="2015">
        <v>1</v>
      </c>
      <c r="AL25" s="1671">
        <f t="shared" si="9"/>
        <v>0</v>
      </c>
      <c r="AN25" s="107"/>
      <c r="AO25" s="107"/>
      <c r="AP25" s="968" t="s">
        <v>549</v>
      </c>
      <c r="AQ25" s="969">
        <v>3</v>
      </c>
      <c r="AR25" s="2022">
        <v>2</v>
      </c>
      <c r="AS25" s="1397">
        <f t="shared" si="1"/>
        <v>0</v>
      </c>
      <c r="AU25" s="817"/>
      <c r="AV25" s="817"/>
      <c r="AW25" s="1394" t="s">
        <v>549</v>
      </c>
      <c r="AX25" s="1395">
        <v>3</v>
      </c>
      <c r="AY25" s="1396">
        <v>2</v>
      </c>
      <c r="AZ25" s="1393">
        <f t="shared" si="6"/>
        <v>0</v>
      </c>
      <c r="BB25" s="761"/>
      <c r="BC25" s="761"/>
      <c r="BD25" s="775" t="s">
        <v>549</v>
      </c>
      <c r="BE25" s="776">
        <v>3</v>
      </c>
      <c r="BF25" s="777">
        <v>2</v>
      </c>
      <c r="BG25" s="776">
        <f t="shared" si="2"/>
        <v>0</v>
      </c>
      <c r="BI25" s="672" t="s">
        <v>1009</v>
      </c>
      <c r="BJ25" s="814"/>
      <c r="BK25" s="814"/>
      <c r="BL25" s="672" t="s">
        <v>1</v>
      </c>
      <c r="BM25" s="672" t="s">
        <v>1155</v>
      </c>
      <c r="BN25" s="672" t="s">
        <v>1366</v>
      </c>
      <c r="BO25" s="815" t="s">
        <v>1367</v>
      </c>
      <c r="BP25" s="672" t="s">
        <v>1302</v>
      </c>
      <c r="BR25" s="816"/>
      <c r="BT25" s="600" t="s">
        <v>1</v>
      </c>
      <c r="BU25" s="754" t="s">
        <v>1368</v>
      </c>
      <c r="BV25" s="754" t="s">
        <v>1302</v>
      </c>
      <c r="BW25" s="754" t="s">
        <v>1366</v>
      </c>
      <c r="BX25" s="754" t="s">
        <v>1369</v>
      </c>
      <c r="BY25" s="754" t="s">
        <v>1302</v>
      </c>
      <c r="CA25" s="70"/>
      <c r="CB25" s="70"/>
      <c r="CC25" s="491" t="s">
        <v>1</v>
      </c>
      <c r="CD25" s="756" t="s">
        <v>1366</v>
      </c>
      <c r="CE25" s="54" t="s">
        <v>1370</v>
      </c>
      <c r="CF25" s="54" t="s">
        <v>1371</v>
      </c>
      <c r="CG25" s="757" t="s">
        <v>1302</v>
      </c>
    </row>
    <row r="26" spans="1:94" ht="15" thickBot="1">
      <c r="A26" s="42"/>
      <c r="C26" s="2495" t="s">
        <v>4</v>
      </c>
      <c r="D26" s="2497">
        <v>7</v>
      </c>
      <c r="E26" s="2497">
        <v>1</v>
      </c>
      <c r="I26" s="42"/>
      <c r="J26" s="42"/>
      <c r="K26" s="42" t="s">
        <v>4</v>
      </c>
      <c r="L26" s="70">
        <v>6</v>
      </c>
      <c r="M26" s="70">
        <v>2</v>
      </c>
      <c r="N26" s="42"/>
      <c r="O26" s="42"/>
      <c r="Y26" s="543"/>
      <c r="Z26" s="543"/>
      <c r="AA26" s="544" t="s">
        <v>113</v>
      </c>
      <c r="AB26" s="804">
        <v>3.47</v>
      </c>
      <c r="AC26" s="491">
        <v>107</v>
      </c>
      <c r="AD26" s="2025">
        <f>+(AC11*AD11+AC17*AD17+AC22*AD22+AC25*AD25)/AC26</f>
        <v>0.59542056074766347</v>
      </c>
      <c r="AE26" s="491">
        <v>3</v>
      </c>
      <c r="AG26" s="2019"/>
      <c r="AH26" s="2019"/>
      <c r="AI26" s="2020" t="s">
        <v>113</v>
      </c>
      <c r="AJ26" s="901">
        <v>3.75</v>
      </c>
      <c r="AK26" s="756">
        <v>63</v>
      </c>
      <c r="AL26" s="2025">
        <f>+(AK11*AL11+AK17*AL17+AK22*AL22+AK25*AL25)/AK26</f>
        <v>0.87206349206349199</v>
      </c>
      <c r="AN26" s="107"/>
      <c r="AO26" s="107"/>
      <c r="AP26" s="1673" t="s">
        <v>260</v>
      </c>
      <c r="AQ26" s="1674">
        <v>3</v>
      </c>
      <c r="AR26" s="2023">
        <v>2</v>
      </c>
      <c r="AS26" s="1671">
        <f t="shared" si="1"/>
        <v>0</v>
      </c>
      <c r="AU26" s="817"/>
      <c r="AV26" s="817"/>
      <c r="AW26" s="1399" t="s">
        <v>260</v>
      </c>
      <c r="AX26" s="1400">
        <v>3</v>
      </c>
      <c r="AY26" s="1401">
        <v>2</v>
      </c>
      <c r="AZ26" s="1409">
        <f t="shared" si="6"/>
        <v>0</v>
      </c>
      <c r="BB26" s="761"/>
      <c r="BC26" s="761"/>
      <c r="BD26" s="790" t="s">
        <v>260</v>
      </c>
      <c r="BE26" s="791">
        <v>3</v>
      </c>
      <c r="BF26" s="792">
        <v>2</v>
      </c>
      <c r="BG26" s="791">
        <f t="shared" si="2"/>
        <v>0</v>
      </c>
      <c r="BI26" s="817" t="s">
        <v>708</v>
      </c>
      <c r="BJ26" s="688"/>
      <c r="BK26" s="41"/>
      <c r="BL26" s="688" t="s">
        <v>16</v>
      </c>
      <c r="BM26" s="459">
        <v>3.1428571428571432</v>
      </c>
      <c r="BN26" s="458">
        <v>28</v>
      </c>
      <c r="BO26" s="765">
        <v>0.59093684028527882</v>
      </c>
      <c r="BP26" s="766">
        <f>+(BN6*BP6+BN10*BP10+BN15*BP15)/BN26</f>
        <v>0.14285714285714285</v>
      </c>
      <c r="BR26" s="615"/>
      <c r="BT26" s="818" t="s">
        <v>16</v>
      </c>
      <c r="BU26" s="779">
        <v>3.0320000000000005</v>
      </c>
      <c r="BV26" s="779">
        <f>+(BW8*BV8+BW13*BV13+BW18*BV18)/BW26</f>
        <v>3.1999999999999827E-2</v>
      </c>
      <c r="BW26" s="627">
        <v>125</v>
      </c>
      <c r="BX26" s="780">
        <v>3.5760000000000001</v>
      </c>
      <c r="BY26" s="819">
        <f>+(BW8*BY8+BW13*BY13+BW18*BY18)/BW26</f>
        <v>0.5760000000000014</v>
      </c>
      <c r="CA26" s="70"/>
      <c r="CB26" s="70"/>
      <c r="CC26" s="70" t="s">
        <v>16</v>
      </c>
      <c r="CD26" s="70">
        <v>146</v>
      </c>
      <c r="CE26" s="769">
        <v>3.4726027397260264</v>
      </c>
      <c r="CF26" s="42"/>
      <c r="CG26" s="769">
        <f>+(CD8*CG8+CD13*CG13+CD19*CG19)/CD26</f>
        <v>0.47260273972602779</v>
      </c>
      <c r="CH26" s="783">
        <f>AVERAGE(CG8,CG13,CG19)</f>
        <v>0.61777128005198201</v>
      </c>
    </row>
    <row r="27" spans="1:94" ht="15" thickBot="1">
      <c r="A27" s="42"/>
      <c r="C27" s="2495" t="s">
        <v>16</v>
      </c>
      <c r="D27" s="2497">
        <v>3.11</v>
      </c>
      <c r="E27" s="2497">
        <v>35</v>
      </c>
      <c r="I27" s="42"/>
      <c r="J27" s="42"/>
      <c r="K27" s="42" t="s">
        <v>16</v>
      </c>
      <c r="L27" s="70">
        <v>3.11</v>
      </c>
      <c r="M27" s="70">
        <v>55</v>
      </c>
      <c r="N27" s="42"/>
      <c r="O27" s="42"/>
      <c r="S27" s="4698" t="s">
        <v>1</v>
      </c>
      <c r="T27" s="4697" t="s">
        <v>2936</v>
      </c>
      <c r="U27" s="4697" t="s">
        <v>1366</v>
      </c>
      <c r="Y27" s="42"/>
      <c r="Z27" s="42"/>
      <c r="AA27" s="42"/>
      <c r="AB27" s="42"/>
      <c r="AC27" s="42"/>
      <c r="AD27" s="42"/>
      <c r="AG27" s="42"/>
      <c r="AH27" s="42"/>
      <c r="AI27" s="42"/>
      <c r="AJ27" s="42"/>
      <c r="AK27" s="42"/>
      <c r="AL27" s="42"/>
      <c r="AN27" s="1099"/>
      <c r="AO27" s="1099"/>
      <c r="AP27" s="941" t="s">
        <v>113</v>
      </c>
      <c r="AQ27" s="992">
        <v>3.69</v>
      </c>
      <c r="AR27" s="2024">
        <v>99</v>
      </c>
      <c r="AS27" s="824">
        <f>+(AR11*AS11+AR17*AS17+AR23*AS23+AR26*AS26)/AR27</f>
        <v>0.47464646464646459</v>
      </c>
      <c r="AU27" s="1095"/>
      <c r="AV27" s="1095"/>
      <c r="AW27" s="1410" t="s">
        <v>113</v>
      </c>
      <c r="AX27" s="1411">
        <v>4.2033898305084749</v>
      </c>
      <c r="AY27" s="1412">
        <v>59</v>
      </c>
      <c r="AZ27" s="824">
        <f>+(AY11*AZ11+AY17*AZ17+AY23*AZ23+AY26*AZ26)/AY27</f>
        <v>0.84745762711864436</v>
      </c>
      <c r="BB27" s="820"/>
      <c r="BC27" s="820"/>
      <c r="BD27" s="821" t="s">
        <v>113</v>
      </c>
      <c r="BE27" s="822">
        <v>3.7070707070707072</v>
      </c>
      <c r="BF27" s="823">
        <v>99</v>
      </c>
      <c r="BG27" s="824">
        <f>+(BF11*BG11+BF17*BG17+BF23*BG23+BF26*BG26)/BF27</f>
        <v>0.70707070707070707</v>
      </c>
      <c r="BI27" s="688"/>
      <c r="BJ27" s="688"/>
      <c r="BK27" s="41"/>
      <c r="BL27" s="688" t="s">
        <v>41</v>
      </c>
      <c r="BM27" s="459">
        <v>4.0344827586206895</v>
      </c>
      <c r="BN27" s="458">
        <v>29</v>
      </c>
      <c r="BO27" s="765">
        <v>1.4755812080254451</v>
      </c>
      <c r="BP27" s="766">
        <f>+(BN13*BP13)/BN27</f>
        <v>0.72413793103448276</v>
      </c>
      <c r="BR27" s="615"/>
      <c r="BT27" s="818" t="s">
        <v>41</v>
      </c>
      <c r="BU27" s="779">
        <v>3.833333333333333</v>
      </c>
      <c r="BV27" s="779">
        <f>+(BW16*BV16+BW20*BV20)/BW27</f>
        <v>0.58333333333333337</v>
      </c>
      <c r="BW27" s="627">
        <v>24</v>
      </c>
      <c r="BX27" s="780">
        <v>3.833333333333333</v>
      </c>
      <c r="BY27" s="819">
        <f>+(BW16*BY16+BW20*BY20)/BW27</f>
        <v>0.58333333333333337</v>
      </c>
      <c r="CA27" s="70"/>
      <c r="CB27" s="70"/>
      <c r="CC27" s="70" t="s">
        <v>41</v>
      </c>
      <c r="CD27" s="70">
        <v>25</v>
      </c>
      <c r="CE27" s="769">
        <v>4.5999999999999996</v>
      </c>
      <c r="CF27" s="42"/>
      <c r="CG27" s="769">
        <f>+(CD16*CG16+CD22*CG22)/CD27</f>
        <v>1.3600000000000012</v>
      </c>
      <c r="CH27" s="783">
        <f>AVERAGE(CG16,CG22)</f>
        <v>1.6363636363636371</v>
      </c>
    </row>
    <row r="28" spans="1:94">
      <c r="A28" s="42"/>
      <c r="C28" s="2495" t="s">
        <v>41</v>
      </c>
      <c r="D28" s="2497">
        <v>4.75</v>
      </c>
      <c r="E28" s="2497">
        <v>4</v>
      </c>
      <c r="I28" s="42"/>
      <c r="J28" s="42"/>
      <c r="K28" s="42" t="s">
        <v>41</v>
      </c>
      <c r="L28" s="70">
        <v>4</v>
      </c>
      <c r="M28" s="70">
        <v>4</v>
      </c>
      <c r="N28" s="42"/>
      <c r="O28" s="42"/>
      <c r="S28" s="37" t="s">
        <v>4</v>
      </c>
      <c r="T28" s="1788">
        <v>6</v>
      </c>
      <c r="U28" s="1788">
        <v>2</v>
      </c>
      <c r="Z28" s="42"/>
      <c r="AA28" s="42"/>
      <c r="AB28" s="42"/>
      <c r="AC28" s="42"/>
      <c r="AG28" s="5686" t="s">
        <v>2546</v>
      </c>
      <c r="AH28" s="5686"/>
      <c r="AI28" s="5686"/>
      <c r="AJ28" s="5686"/>
      <c r="AK28" s="5686"/>
      <c r="AL28" s="2003"/>
      <c r="AO28" s="41"/>
      <c r="AP28" s="1670" t="s">
        <v>1945</v>
      </c>
      <c r="AQ28" s="1510"/>
      <c r="AR28" s="1668"/>
      <c r="AU28" s="817"/>
      <c r="AV28" s="817"/>
      <c r="AW28" s="1064" t="s">
        <v>1873</v>
      </c>
      <c r="AX28" s="1391"/>
      <c r="AY28" s="1392"/>
      <c r="AZ28" s="1393"/>
      <c r="BI28" s="688"/>
      <c r="BJ28" s="688"/>
      <c r="BK28" s="41"/>
      <c r="BL28" s="688" t="s">
        <v>104</v>
      </c>
      <c r="BM28" s="459">
        <v>3.3030303030303041</v>
      </c>
      <c r="BN28" s="458">
        <v>33</v>
      </c>
      <c r="BO28" s="765">
        <v>1.1587937824751349</v>
      </c>
      <c r="BP28" s="459">
        <f>BM28-3</f>
        <v>0.30303030303030409</v>
      </c>
      <c r="BR28" s="615"/>
      <c r="BT28" s="818" t="s">
        <v>21</v>
      </c>
      <c r="BU28" s="779">
        <v>4.666666666666667</v>
      </c>
      <c r="BV28" s="779">
        <f>+(BW10*BV10)/BW28</f>
        <v>1.666666666666667</v>
      </c>
      <c r="BW28" s="627">
        <v>6</v>
      </c>
      <c r="BX28" s="780">
        <v>5.666666666666667</v>
      </c>
      <c r="BY28" s="819">
        <f>+(BW10*BY10)/BW28</f>
        <v>2.6666666666666665</v>
      </c>
      <c r="CA28" s="70"/>
      <c r="CB28" s="70"/>
      <c r="CC28" s="70" t="s">
        <v>104</v>
      </c>
      <c r="CD28" s="70">
        <v>34</v>
      </c>
      <c r="CE28" s="769">
        <v>4.3529411764705879</v>
      </c>
      <c r="CF28" s="42"/>
      <c r="CG28" s="769">
        <f>+CG11</f>
        <v>1.3529411764705888</v>
      </c>
      <c r="CH28" s="783">
        <f>+CG10</f>
        <v>1.1818181818181825</v>
      </c>
    </row>
    <row r="29" spans="1:94">
      <c r="A29" s="42"/>
      <c r="C29" s="2495" t="s">
        <v>21</v>
      </c>
      <c r="D29" s="2497">
        <v>3</v>
      </c>
      <c r="E29" s="2497">
        <v>7</v>
      </c>
      <c r="I29" s="42"/>
      <c r="J29" s="42"/>
      <c r="K29" s="42" t="s">
        <v>21</v>
      </c>
      <c r="L29" s="70">
        <v>3</v>
      </c>
      <c r="M29" s="70">
        <v>4</v>
      </c>
      <c r="N29" s="42"/>
      <c r="O29" s="42"/>
      <c r="S29" s="37" t="s">
        <v>16</v>
      </c>
      <c r="T29" s="1788">
        <v>3.11</v>
      </c>
      <c r="U29" s="1788">
        <v>55</v>
      </c>
      <c r="Y29" s="5684" t="s">
        <v>2570</v>
      </c>
      <c r="Z29" s="5684"/>
      <c r="AA29" s="5684"/>
      <c r="AB29" s="5684"/>
      <c r="AC29" s="5684"/>
      <c r="AG29" s="5686"/>
      <c r="AH29" s="5686"/>
      <c r="AI29" s="5686"/>
      <c r="AJ29" s="5686"/>
      <c r="AK29" s="5686"/>
      <c r="AL29" s="2003"/>
      <c r="AO29" s="41"/>
      <c r="AP29" s="1670"/>
      <c r="AQ29" s="1510"/>
      <c r="AR29" s="1668"/>
      <c r="AU29" s="99"/>
      <c r="AV29" s="817"/>
      <c r="AW29" s="817"/>
      <c r="AX29" s="1391"/>
      <c r="AY29" s="1392"/>
      <c r="AZ29" s="1393"/>
      <c r="BI29" s="688"/>
      <c r="BJ29" s="688"/>
      <c r="BK29" s="41"/>
      <c r="BL29" s="688" t="s">
        <v>64</v>
      </c>
      <c r="BM29" s="459">
        <v>3</v>
      </c>
      <c r="BN29" s="458">
        <v>2</v>
      </c>
      <c r="BO29" s="765">
        <v>0</v>
      </c>
      <c r="BP29" s="459">
        <f>BM29-3</f>
        <v>0</v>
      </c>
      <c r="BR29" s="615"/>
      <c r="BT29" s="825"/>
      <c r="BU29" s="779"/>
      <c r="BV29" s="779"/>
      <c r="BW29" s="627"/>
      <c r="BX29" s="627"/>
      <c r="BY29" s="793"/>
      <c r="CA29" s="70"/>
      <c r="CB29" s="70"/>
      <c r="CC29" s="454"/>
      <c r="CD29" s="454"/>
      <c r="CE29" s="782"/>
      <c r="CF29" s="42"/>
      <c r="CG29" s="769"/>
      <c r="CH29" s="783"/>
    </row>
    <row r="30" spans="1:94" ht="15" thickBot="1">
      <c r="A30" s="42"/>
      <c r="C30" s="544" t="s">
        <v>75</v>
      </c>
      <c r="D30" s="491">
        <v>3.32</v>
      </c>
      <c r="E30" s="491">
        <v>47</v>
      </c>
      <c r="I30" s="42"/>
      <c r="J30" s="42"/>
      <c r="K30" s="544" t="s">
        <v>113</v>
      </c>
      <c r="L30" s="491">
        <v>3.25</v>
      </c>
      <c r="M30" s="491">
        <v>65</v>
      </c>
      <c r="N30" s="42"/>
      <c r="O30" s="42"/>
      <c r="S30" s="37" t="s">
        <v>41</v>
      </c>
      <c r="T30" s="1788">
        <v>4</v>
      </c>
      <c r="U30" s="1788">
        <v>4</v>
      </c>
      <c r="Y30" s="5684"/>
      <c r="Z30" s="5684"/>
      <c r="AA30" s="5684"/>
      <c r="AB30" s="5684"/>
      <c r="AC30" s="5684"/>
      <c r="AN30" s="41"/>
      <c r="AO30" s="41"/>
      <c r="AP30" s="461"/>
      <c r="AQ30" s="1510"/>
      <c r="AR30" s="1668"/>
      <c r="AU30" s="817"/>
      <c r="AV30" s="817"/>
      <c r="AW30" s="817"/>
      <c r="AX30" s="1391"/>
      <c r="AY30" s="1392"/>
      <c r="AZ30" s="1393"/>
      <c r="BI30" s="712"/>
      <c r="BJ30" s="712"/>
      <c r="BK30" s="712"/>
      <c r="BL30" s="794" t="s">
        <v>113</v>
      </c>
      <c r="BM30" s="468">
        <v>3.478260869565216</v>
      </c>
      <c r="BN30" s="467">
        <v>92</v>
      </c>
      <c r="BO30" s="795">
        <v>1.1811547792384858</v>
      </c>
      <c r="BP30" s="826">
        <f>+(BN9*BP9+BN14*BP14+BN16*BP16+BN18*BP18)/BN30</f>
        <v>0.38043478260869606</v>
      </c>
      <c r="BR30" s="615"/>
      <c r="BT30" s="600" t="s">
        <v>75</v>
      </c>
      <c r="BU30" s="796">
        <v>3.219354838709676</v>
      </c>
      <c r="BV30" s="827">
        <f>+(BW34*BV34+BW35*BV35+BW36*BV36)/BW30</f>
        <v>0.18064516129032246</v>
      </c>
      <c r="BW30" s="641">
        <v>155</v>
      </c>
      <c r="BX30" s="801">
        <v>3.696774193548388</v>
      </c>
      <c r="BY30" s="827">
        <f>+(BW34*BY34+BW35*BY35+BW36*BY36)/BW30</f>
        <v>0.65806451612903338</v>
      </c>
      <c r="CA30" s="70"/>
      <c r="CB30" s="70"/>
      <c r="CC30" s="491" t="s">
        <v>113</v>
      </c>
      <c r="CD30" s="491">
        <v>205</v>
      </c>
      <c r="CE30" s="804">
        <v>3.7560975609756087</v>
      </c>
      <c r="CF30" s="543"/>
      <c r="CG30" s="804">
        <f>+(CD26*CG26+CD27*CG27+CD28*CG28)/CD30</f>
        <v>0.72682926829268346</v>
      </c>
      <c r="CH30" s="783">
        <f>AVERAGE(CG26:CG28)</f>
        <v>1.0618479720655392</v>
      </c>
    </row>
    <row r="31" spans="1:94" ht="15" thickBot="1">
      <c r="A31" s="42"/>
      <c r="I31" s="42"/>
      <c r="J31" s="42"/>
      <c r="N31" s="70"/>
      <c r="O31" s="2488"/>
      <c r="S31" s="37" t="s">
        <v>21</v>
      </c>
      <c r="T31" s="1788">
        <v>3</v>
      </c>
      <c r="U31" s="1788">
        <v>4</v>
      </c>
      <c r="V31" s="1788"/>
      <c r="W31" s="4707"/>
      <c r="AN31" s="41"/>
      <c r="AO31" s="41"/>
      <c r="AP31" s="466" t="s">
        <v>1</v>
      </c>
      <c r="AQ31" s="1541" t="s">
        <v>1943</v>
      </c>
      <c r="AR31" s="1669" t="s">
        <v>1366</v>
      </c>
      <c r="AS31" s="753" t="s">
        <v>1302</v>
      </c>
      <c r="AU31" s="817"/>
      <c r="AV31" s="817"/>
      <c r="AW31" s="938" t="s">
        <v>1</v>
      </c>
      <c r="AX31" s="938" t="s">
        <v>1872</v>
      </c>
      <c r="AY31" s="938" t="s">
        <v>1366</v>
      </c>
      <c r="AZ31" s="753" t="s">
        <v>1302</v>
      </c>
      <c r="BI31" s="750"/>
      <c r="BJ31" s="750"/>
      <c r="BK31" s="750"/>
      <c r="BL31" s="828"/>
      <c r="BM31" s="829"/>
      <c r="BN31" s="830"/>
      <c r="BO31" s="831"/>
      <c r="BP31" s="831"/>
      <c r="CA31" s="70"/>
      <c r="CB31" s="70"/>
      <c r="CC31" s="70"/>
      <c r="CD31" s="42"/>
      <c r="CE31" s="42"/>
      <c r="CF31" s="42"/>
      <c r="CG31" s="42"/>
    </row>
    <row r="32" spans="1:94" ht="15" thickBot="1">
      <c r="A32" s="42"/>
      <c r="I32" s="42"/>
      <c r="J32" s="42"/>
      <c r="N32" s="2488"/>
      <c r="O32" s="2488"/>
      <c r="S32" s="4698" t="s">
        <v>113</v>
      </c>
      <c r="T32" s="4697">
        <v>3.25</v>
      </c>
      <c r="U32" s="4697">
        <v>65</v>
      </c>
      <c r="V32" s="4707"/>
      <c r="W32" s="4707"/>
      <c r="AN32" s="41"/>
      <c r="AO32" s="41"/>
      <c r="AP32" s="105" t="s">
        <v>16</v>
      </c>
      <c r="AQ32" s="1510">
        <v>3.07</v>
      </c>
      <c r="AR32" s="1668">
        <v>73</v>
      </c>
      <c r="AS32" s="1417">
        <f>+(AR7*AS7+AR12*AS12+AR18*AS18)/AR32</f>
        <v>4.1095890410958902E-2</v>
      </c>
      <c r="AU32" s="817"/>
      <c r="AV32" s="1413"/>
      <c r="AW32" s="1414" t="s">
        <v>16</v>
      </c>
      <c r="AX32" s="1415">
        <v>3.1612903225806455</v>
      </c>
      <c r="AY32" s="1416">
        <v>31</v>
      </c>
      <c r="AZ32" s="1417">
        <f>+(AY8*AZ8+AY13*AZ13+AY19*AZ19)/AY32</f>
        <v>0.16129032258064535</v>
      </c>
      <c r="BI32" s="750"/>
      <c r="BJ32" s="750"/>
      <c r="BK32" s="750"/>
      <c r="BL32" s="828"/>
      <c r="BM32" s="829"/>
      <c r="BN32" s="830"/>
      <c r="BO32" s="831"/>
      <c r="BP32" s="831"/>
      <c r="CA32" s="70"/>
      <c r="CB32" s="70"/>
      <c r="CC32" s="70"/>
      <c r="CD32" s="42"/>
      <c r="CE32" s="42"/>
      <c r="CF32" s="42"/>
      <c r="CG32" s="42"/>
    </row>
    <row r="33" spans="1:86" ht="31.5" customHeight="1" thickBot="1">
      <c r="A33" s="42"/>
      <c r="AN33" s="41"/>
      <c r="AO33" s="41"/>
      <c r="AP33" s="105" t="s">
        <v>41</v>
      </c>
      <c r="AQ33" s="1510">
        <v>5.63</v>
      </c>
      <c r="AR33" s="1668">
        <v>24</v>
      </c>
      <c r="AS33" s="1418">
        <f>+(AR13*AS13+AR14*AS14+AR19*AS19)/AR33</f>
        <v>0.7899999999999997</v>
      </c>
      <c r="AU33" s="817"/>
      <c r="AV33" s="1413"/>
      <c r="AW33" s="817" t="s">
        <v>41</v>
      </c>
      <c r="AX33" s="1391">
        <v>5.5384615384615374</v>
      </c>
      <c r="AY33" s="1392">
        <v>26</v>
      </c>
      <c r="AZ33" s="1418">
        <f>+(AY14*AZ14+AY15*AZ15+AY20*AZ20)/AY33</f>
        <v>1.7307692307692311</v>
      </c>
      <c r="BI33" s="750"/>
      <c r="BJ33" s="750"/>
      <c r="BK33" s="750"/>
      <c r="BL33" s="828"/>
      <c r="BM33" s="829"/>
      <c r="BN33" s="830"/>
      <c r="BO33" s="831"/>
      <c r="BP33" s="831"/>
      <c r="BT33" s="650" t="s">
        <v>0</v>
      </c>
      <c r="BU33" s="754" t="s">
        <v>1368</v>
      </c>
      <c r="BV33" s="754" t="s">
        <v>1302</v>
      </c>
      <c r="BW33" s="754" t="s">
        <v>1366</v>
      </c>
      <c r="BX33" s="754" t="s">
        <v>1369</v>
      </c>
      <c r="BY33" s="754" t="s">
        <v>1302</v>
      </c>
      <c r="CA33" s="70"/>
      <c r="CB33" s="70"/>
      <c r="CC33" s="491" t="s">
        <v>0</v>
      </c>
      <c r="CD33" s="756" t="s">
        <v>1366</v>
      </c>
      <c r="CE33" s="54" t="s">
        <v>1370</v>
      </c>
      <c r="CF33" s="54" t="s">
        <v>1371</v>
      </c>
      <c r="CG33" s="757" t="s">
        <v>1302</v>
      </c>
    </row>
    <row r="34" spans="1:86">
      <c r="A34" s="42"/>
      <c r="AN34" s="41"/>
      <c r="AO34" s="41"/>
      <c r="AP34" s="105" t="s">
        <v>64</v>
      </c>
      <c r="AQ34" s="1510">
        <v>3</v>
      </c>
      <c r="AR34" s="1668">
        <v>2</v>
      </c>
      <c r="AS34" s="1418">
        <f>+(AR23*AS23)/AR34</f>
        <v>3</v>
      </c>
      <c r="AU34" s="817"/>
      <c r="AV34" s="1413"/>
      <c r="AW34" s="1414" t="s">
        <v>64</v>
      </c>
      <c r="AX34" s="1415">
        <v>3</v>
      </c>
      <c r="AY34" s="1416">
        <v>2</v>
      </c>
      <c r="AZ34" s="1418">
        <f>+(AY24*AZ24)/AY34</f>
        <v>0</v>
      </c>
      <c r="BI34" s="750"/>
      <c r="BJ34" s="750"/>
      <c r="BK34" s="750"/>
      <c r="BL34" s="828"/>
      <c r="BM34" s="829"/>
      <c r="BN34" s="830"/>
      <c r="BO34" s="831"/>
      <c r="BP34" s="831"/>
      <c r="BT34" s="70" t="s">
        <v>106</v>
      </c>
      <c r="BU34" s="70">
        <v>3.3333333333333344</v>
      </c>
      <c r="BV34" s="769">
        <f>+(BW8*BV8+BW10*BV10)/BW34</f>
        <v>0.33333333333333337</v>
      </c>
      <c r="BW34" s="42">
        <v>30</v>
      </c>
      <c r="BX34" s="832">
        <v>3.6333333333333337</v>
      </c>
      <c r="BY34" s="832">
        <f>+(BW8*BY8+BW10*BY10)/BW34</f>
        <v>0.6333333333333333</v>
      </c>
      <c r="CA34" s="70"/>
      <c r="CB34" s="70"/>
      <c r="CC34" s="70" t="s">
        <v>3</v>
      </c>
      <c r="CD34" s="70">
        <v>53</v>
      </c>
      <c r="CE34" s="769">
        <v>4.0188679245283039</v>
      </c>
      <c r="CF34" s="42"/>
      <c r="CG34" s="769">
        <f>+(CD8*CG8+CD11*CG11)/CD34</f>
        <v>1.0188679245283021</v>
      </c>
      <c r="CH34" s="783">
        <f>AVERAGE(CG8,CG11)</f>
        <v>0.88699690402476783</v>
      </c>
    </row>
    <row r="35" spans="1:86" ht="15" thickBot="1">
      <c r="A35" s="42"/>
      <c r="AN35" s="41"/>
      <c r="AO35" s="41"/>
      <c r="AP35" s="466" t="s">
        <v>75</v>
      </c>
      <c r="AQ35" s="1541">
        <v>3.69</v>
      </c>
      <c r="AR35" s="1669">
        <v>99</v>
      </c>
      <c r="AS35" s="824">
        <v>0.47464646464646459</v>
      </c>
      <c r="AU35" s="817"/>
      <c r="AV35" s="817"/>
      <c r="AW35" s="672" t="s">
        <v>113</v>
      </c>
      <c r="AX35" s="911">
        <v>4.2033898305084749</v>
      </c>
      <c r="AY35" s="1419">
        <v>59</v>
      </c>
      <c r="AZ35" s="824">
        <v>0.84745762711864436</v>
      </c>
      <c r="BI35" s="750"/>
      <c r="BJ35" s="750"/>
      <c r="BK35" s="750"/>
      <c r="BL35" s="828"/>
      <c r="BM35" s="829"/>
      <c r="BN35" s="830"/>
      <c r="BO35" s="831"/>
      <c r="BP35" s="831"/>
      <c r="BT35" s="70" t="s">
        <v>110</v>
      </c>
      <c r="BU35" s="70">
        <v>3.111111111111112</v>
      </c>
      <c r="BV35" s="769">
        <f>+(BW13*BV13+BW16*BV16)/BW35</f>
        <v>5.982905982905963E-2</v>
      </c>
      <c r="BW35" s="42">
        <v>117</v>
      </c>
      <c r="BX35" s="832">
        <v>3.6581196581196584</v>
      </c>
      <c r="BY35" s="832">
        <f>+(BW13*BY13+BW16*BY16)/BW35</f>
        <v>0.60683760683760835</v>
      </c>
      <c r="CA35" s="70"/>
      <c r="CB35" s="70"/>
      <c r="CC35" s="70" t="s">
        <v>25</v>
      </c>
      <c r="CD35" s="70">
        <v>130</v>
      </c>
      <c r="CE35" s="769">
        <v>3.5769230769230775</v>
      </c>
      <c r="CF35" s="42"/>
      <c r="CG35" s="769">
        <f>+(CD13*CG13+CD16*CG16)/CD35</f>
        <v>0.53076923076923144</v>
      </c>
      <c r="CH35" s="783">
        <f>AVERAGE(CG13,CG16)</f>
        <v>0.82617845117845212</v>
      </c>
    </row>
    <row r="36" spans="1:86">
      <c r="A36" s="42"/>
      <c r="BI36" s="750"/>
      <c r="BJ36" s="750"/>
      <c r="BK36" s="750"/>
      <c r="BL36" s="828"/>
      <c r="BM36" s="829"/>
      <c r="BN36" s="830"/>
      <c r="BO36" s="831"/>
      <c r="BP36" s="831"/>
      <c r="BT36" s="70" t="s">
        <v>442</v>
      </c>
      <c r="BU36" s="70">
        <v>4.375</v>
      </c>
      <c r="BV36" s="769">
        <f>+(BW18*BV18+BW20*BV20)/BW36</f>
        <v>1.3750000000000004</v>
      </c>
      <c r="BW36" s="42">
        <v>8</v>
      </c>
      <c r="BX36" s="832">
        <v>4.5</v>
      </c>
      <c r="BY36" s="832">
        <f>+(BW18*BY18+BW20*BY20)/BW36</f>
        <v>1.5000000000000004</v>
      </c>
      <c r="CA36" s="70"/>
      <c r="CB36" s="70"/>
      <c r="CC36" s="70" t="s">
        <v>48</v>
      </c>
      <c r="CD36" s="70">
        <v>22</v>
      </c>
      <c r="CE36" s="769">
        <v>4.1818181818181817</v>
      </c>
      <c r="CF36" s="42"/>
      <c r="CG36" s="769">
        <f>+(CD19*CG19+CD22*CG22)/CD36</f>
        <v>1.1818181818181821</v>
      </c>
      <c r="CH36" s="783">
        <f>AVERAGE(CG19,CG22)</f>
        <v>1.5263157894736845</v>
      </c>
    </row>
    <row r="37" spans="1:86">
      <c r="A37" s="42"/>
      <c r="BI37" s="750"/>
      <c r="BJ37" s="750"/>
      <c r="BK37" s="750"/>
      <c r="BL37" s="828"/>
      <c r="BM37" s="829"/>
      <c r="BN37" s="830"/>
      <c r="BO37" s="831"/>
      <c r="BP37" s="831"/>
      <c r="CA37" s="70"/>
      <c r="CB37" s="70"/>
      <c r="CC37" s="70"/>
      <c r="CD37" s="42"/>
      <c r="CE37" s="42"/>
      <c r="CF37" s="42"/>
      <c r="CG37" s="70"/>
    </row>
    <row r="38" spans="1:86" ht="15" thickBot="1">
      <c r="A38" s="42"/>
      <c r="BI38" s="750"/>
      <c r="BJ38" s="750"/>
      <c r="BK38" s="750"/>
      <c r="BL38" s="828"/>
      <c r="BM38" s="829"/>
      <c r="BN38" s="830"/>
      <c r="BO38" s="831"/>
      <c r="BP38" s="831"/>
      <c r="BT38" s="600" t="s">
        <v>75</v>
      </c>
      <c r="BU38" s="796">
        <v>3.219354838709676</v>
      </c>
      <c r="BV38" s="827">
        <f>+(BW42*BV42+BW43*BV43+BW44*BV44)/BW38</f>
        <v>0</v>
      </c>
      <c r="BW38" s="641">
        <v>155</v>
      </c>
      <c r="BX38" s="801">
        <v>3.696774193548388</v>
      </c>
      <c r="BY38" s="827">
        <f>+(BW34*BY34+BW35*BY35+BW36*BY36)/BW30</f>
        <v>0.65806451612903338</v>
      </c>
      <c r="CA38" s="70"/>
      <c r="CB38" s="70"/>
      <c r="CC38" s="491" t="s">
        <v>113</v>
      </c>
      <c r="CD38" s="491">
        <v>205</v>
      </c>
      <c r="CE38" s="804">
        <v>3.7560975609756087</v>
      </c>
      <c r="CF38" s="543"/>
      <c r="CG38" s="833">
        <f>+(CD34*CG34+CD35*CG35+CD36*CG36)/CD38</f>
        <v>0.72682926829268346</v>
      </c>
      <c r="CH38" s="783">
        <f>AVERAGE(CG34:CG36)</f>
        <v>0.91048511237190521</v>
      </c>
    </row>
    <row r="39" spans="1:86">
      <c r="A39" s="42"/>
      <c r="BI39" s="750"/>
      <c r="BJ39" s="750"/>
      <c r="BK39" s="750"/>
      <c r="BL39" s="828"/>
      <c r="BM39" s="829"/>
      <c r="BN39" s="830"/>
      <c r="BO39" s="831"/>
      <c r="BP39" s="831"/>
      <c r="CA39" s="70"/>
      <c r="CB39" s="70"/>
      <c r="CC39" s="834" t="s">
        <v>1335</v>
      </c>
      <c r="CD39" s="42"/>
      <c r="CE39" s="42"/>
      <c r="CF39" s="42"/>
      <c r="CG39" s="42"/>
    </row>
    <row r="40" spans="1:86">
      <c r="A40" s="42"/>
      <c r="BI40" s="750"/>
      <c r="BJ40" s="750"/>
      <c r="BK40" s="750"/>
      <c r="BL40" s="828"/>
      <c r="BM40" s="829"/>
      <c r="BN40" s="830"/>
      <c r="BO40" s="831"/>
      <c r="BP40" s="831"/>
      <c r="CA40" s="70"/>
      <c r="CB40" s="70"/>
      <c r="CC40" s="42"/>
      <c r="CD40" s="42"/>
      <c r="CE40" s="42"/>
      <c r="CF40" s="42"/>
      <c r="CG40" s="42"/>
    </row>
    <row r="41" spans="1:86">
      <c r="A41" s="42"/>
      <c r="BI41" s="750"/>
      <c r="BJ41" s="750"/>
      <c r="BK41" s="750"/>
      <c r="BL41" s="828"/>
      <c r="BM41" s="829"/>
      <c r="BN41" s="830"/>
      <c r="BO41" s="831"/>
      <c r="BP41" s="831"/>
      <c r="CA41" s="70"/>
      <c r="CB41" s="70"/>
      <c r="CC41" s="42"/>
      <c r="CD41" s="42"/>
      <c r="CE41" s="42"/>
      <c r="CF41" s="42"/>
      <c r="CG41" s="42"/>
    </row>
    <row r="42" spans="1:86" ht="32.25" customHeight="1">
      <c r="BI42" s="750"/>
      <c r="BJ42" s="750"/>
      <c r="BK42" s="750"/>
      <c r="BL42" s="828"/>
      <c r="BM42" s="829"/>
      <c r="BN42" s="830"/>
      <c r="BO42" s="831"/>
      <c r="BP42" s="831"/>
      <c r="CA42" s="5687" t="s">
        <v>1376</v>
      </c>
      <c r="CB42" s="5687"/>
      <c r="CC42" s="5687"/>
      <c r="CD42" s="5687"/>
      <c r="CE42" s="5687"/>
      <c r="CF42" s="5687"/>
      <c r="CG42" s="5687"/>
    </row>
    <row r="43" spans="1:86">
      <c r="BI43" s="750"/>
      <c r="BJ43" s="750"/>
      <c r="BK43" s="750"/>
      <c r="BL43" s="828"/>
      <c r="BM43" s="829"/>
      <c r="BN43" s="830"/>
      <c r="BO43" s="831"/>
      <c r="BP43" s="831"/>
      <c r="CA43" s="70"/>
      <c r="CB43" s="70"/>
      <c r="CC43" s="42"/>
      <c r="CD43" s="42"/>
      <c r="CE43" s="42"/>
      <c r="CF43" s="42"/>
      <c r="CG43" s="42"/>
    </row>
    <row r="44" spans="1:86" ht="33.75" customHeight="1">
      <c r="BI44" s="750"/>
      <c r="BJ44" s="750"/>
      <c r="BK44" s="750"/>
      <c r="BL44" s="828"/>
      <c r="BM44" s="829"/>
      <c r="BN44" s="830"/>
      <c r="BO44" s="831"/>
      <c r="BP44" s="831"/>
      <c r="CA44" s="5687" t="s">
        <v>1377</v>
      </c>
      <c r="CB44" s="5687"/>
      <c r="CC44" s="5687"/>
      <c r="CD44" s="5687"/>
      <c r="CE44" s="5687"/>
      <c r="CF44" s="5687"/>
      <c r="CG44" s="5687"/>
    </row>
    <row r="45" spans="1:86">
      <c r="BI45" s="750"/>
      <c r="BJ45" s="750"/>
      <c r="BK45" s="750"/>
      <c r="BL45" s="828"/>
      <c r="BM45" s="829"/>
      <c r="BN45" s="830"/>
      <c r="BO45" s="831"/>
      <c r="BP45" s="831"/>
    </row>
    <row r="46" spans="1:86">
      <c r="BI46" s="750"/>
      <c r="BJ46" s="750"/>
      <c r="BK46" s="750"/>
      <c r="BL46" s="828"/>
      <c r="BM46" s="829"/>
      <c r="BN46" s="830"/>
      <c r="BO46" s="831"/>
      <c r="BP46" s="831"/>
    </row>
    <row r="47" spans="1:86">
      <c r="BI47" s="750"/>
      <c r="BJ47" s="750"/>
      <c r="BK47" s="750"/>
      <c r="BL47" s="828"/>
      <c r="BM47" s="829"/>
      <c r="BN47" s="830"/>
      <c r="BO47" s="831"/>
      <c r="BP47" s="831"/>
    </row>
    <row r="48" spans="1:86">
      <c r="BI48" s="750"/>
      <c r="BJ48" s="750"/>
      <c r="BK48" s="750"/>
      <c r="BL48" s="828"/>
      <c r="BM48" s="829"/>
      <c r="BN48" s="830"/>
      <c r="BO48" s="831"/>
      <c r="BP48" s="831"/>
    </row>
    <row r="49" spans="61:68">
      <c r="BI49" s="750"/>
      <c r="BJ49" s="750"/>
      <c r="BK49" s="750"/>
      <c r="BL49" s="828"/>
      <c r="BM49" s="829"/>
      <c r="BN49" s="830"/>
      <c r="BO49" s="831"/>
      <c r="BP49" s="831"/>
    </row>
    <row r="50" spans="61:68">
      <c r="BI50" s="750"/>
      <c r="BJ50" s="750"/>
      <c r="BK50" s="750"/>
      <c r="BL50" s="828"/>
      <c r="BM50" s="829"/>
      <c r="BN50" s="830"/>
      <c r="BO50" s="831"/>
      <c r="BP50" s="831"/>
    </row>
    <row r="51" spans="61:68">
      <c r="BI51" s="750"/>
      <c r="BJ51" s="750"/>
      <c r="BK51" s="750"/>
      <c r="BL51" s="828"/>
      <c r="BM51" s="829"/>
      <c r="BN51" s="830"/>
      <c r="BO51" s="831"/>
      <c r="BP51" s="831"/>
    </row>
    <row r="52" spans="61:68">
      <c r="BI52" s="750"/>
      <c r="BJ52" s="750"/>
      <c r="BK52" s="750"/>
      <c r="BL52" s="828"/>
      <c r="BM52" s="829"/>
      <c r="BN52" s="830"/>
      <c r="BO52" s="831"/>
      <c r="BP52" s="831"/>
    </row>
    <row r="53" spans="61:68">
      <c r="BI53" s="750"/>
      <c r="BJ53" s="750"/>
      <c r="BK53" s="750"/>
      <c r="BL53" s="828"/>
      <c r="BM53" s="829"/>
      <c r="BN53" s="830"/>
      <c r="BO53" s="831"/>
      <c r="BP53" s="831"/>
    </row>
    <row r="54" spans="61:68">
      <c r="BI54" s="750"/>
      <c r="BJ54" s="750"/>
      <c r="BK54" s="750"/>
      <c r="BL54" s="828"/>
      <c r="BM54" s="829"/>
      <c r="BN54" s="830"/>
      <c r="BO54" s="831"/>
      <c r="BP54" s="831"/>
    </row>
    <row r="55" spans="61:68">
      <c r="BI55" s="750"/>
      <c r="BJ55" s="750"/>
      <c r="BK55" s="750"/>
      <c r="BL55" s="828"/>
      <c r="BM55" s="829"/>
      <c r="BN55" s="830"/>
      <c r="BO55" s="831"/>
      <c r="BP55" s="831"/>
    </row>
    <row r="56" spans="61:68">
      <c r="BI56" s="750"/>
      <c r="BJ56" s="750"/>
      <c r="BK56" s="750"/>
      <c r="BL56" s="828"/>
      <c r="BM56" s="829"/>
      <c r="BN56" s="830"/>
      <c r="BO56" s="831"/>
      <c r="BP56" s="831"/>
    </row>
    <row r="57" spans="61:68">
      <c r="BI57" s="750"/>
      <c r="BJ57" s="750"/>
      <c r="BK57" s="750"/>
      <c r="BL57" s="828"/>
      <c r="BM57" s="829"/>
      <c r="BN57" s="830"/>
      <c r="BO57" s="831"/>
      <c r="BP57" s="831"/>
    </row>
    <row r="58" spans="61:68">
      <c r="BI58" s="750"/>
      <c r="BJ58" s="750"/>
      <c r="BK58" s="750"/>
      <c r="BL58" s="828"/>
      <c r="BM58" s="829"/>
      <c r="BN58" s="830"/>
      <c r="BO58" s="831"/>
      <c r="BP58" s="831"/>
    </row>
    <row r="59" spans="61:68">
      <c r="BI59" s="750"/>
      <c r="BJ59" s="750"/>
      <c r="BK59" s="750"/>
      <c r="BL59" s="828"/>
      <c r="BM59" s="829"/>
      <c r="BN59" s="830"/>
      <c r="BO59" s="831"/>
      <c r="BP59" s="831"/>
    </row>
    <row r="60" spans="61:68">
      <c r="BI60" s="750"/>
      <c r="BJ60" s="750"/>
      <c r="BK60" s="750"/>
      <c r="BL60" s="828"/>
      <c r="BM60" s="829"/>
      <c r="BN60" s="830"/>
      <c r="BO60" s="831"/>
      <c r="BP60" s="831"/>
    </row>
    <row r="61" spans="61:68">
      <c r="BI61" s="750"/>
      <c r="BJ61" s="750"/>
      <c r="BK61" s="750"/>
      <c r="BL61" s="828"/>
      <c r="BM61" s="829"/>
      <c r="BN61" s="830"/>
      <c r="BO61" s="831"/>
      <c r="BP61" s="831"/>
    </row>
    <row r="62" spans="61:68">
      <c r="BI62" s="750"/>
      <c r="BJ62" s="750"/>
      <c r="BK62" s="750"/>
      <c r="BL62" s="828"/>
      <c r="BM62" s="829"/>
      <c r="BN62" s="830"/>
      <c r="BO62" s="831"/>
      <c r="BP62" s="831"/>
    </row>
    <row r="63" spans="61:68">
      <c r="BI63" s="750"/>
      <c r="BJ63" s="750"/>
      <c r="BK63" s="750"/>
      <c r="BL63" s="828"/>
      <c r="BM63" s="829"/>
      <c r="BN63" s="830"/>
      <c r="BO63" s="831"/>
      <c r="BP63" s="831"/>
    </row>
    <row r="64" spans="61:68">
      <c r="BI64" s="750"/>
      <c r="BJ64" s="750"/>
      <c r="BK64" s="750"/>
      <c r="BL64" s="828"/>
      <c r="BM64" s="829"/>
      <c r="BN64" s="830"/>
      <c r="BO64" s="831"/>
      <c r="BP64" s="831"/>
    </row>
    <row r="65" spans="61:68">
      <c r="BI65" s="750"/>
      <c r="BJ65" s="750"/>
      <c r="BK65" s="750"/>
      <c r="BL65" s="828"/>
      <c r="BM65" s="829"/>
      <c r="BN65" s="830"/>
      <c r="BO65" s="831"/>
      <c r="BP65" s="831"/>
    </row>
    <row r="66" spans="61:68">
      <c r="BI66" s="750"/>
      <c r="BJ66" s="750"/>
      <c r="BK66" s="750"/>
      <c r="BL66" s="828"/>
      <c r="BM66" s="829"/>
      <c r="BN66" s="830"/>
      <c r="BO66" s="831"/>
      <c r="BP66" s="831"/>
    </row>
    <row r="67" spans="61:68">
      <c r="BI67" s="750"/>
      <c r="BJ67" s="750"/>
      <c r="BK67" s="750"/>
      <c r="BL67" s="828"/>
      <c r="BM67" s="829"/>
      <c r="BN67" s="830"/>
      <c r="BO67" s="831"/>
      <c r="BP67" s="831"/>
    </row>
    <row r="68" spans="61:68">
      <c r="BI68" s="750"/>
      <c r="BJ68" s="750"/>
      <c r="BK68" s="750"/>
      <c r="BL68" s="828"/>
      <c r="BM68" s="829"/>
      <c r="BN68" s="830"/>
      <c r="BO68" s="831"/>
      <c r="BP68" s="831"/>
    </row>
    <row r="69" spans="61:68">
      <c r="BI69" s="750"/>
      <c r="BJ69" s="750"/>
      <c r="BK69" s="750"/>
      <c r="BL69" s="828"/>
      <c r="BM69" s="829"/>
      <c r="BN69" s="830"/>
      <c r="BO69" s="831"/>
      <c r="BP69" s="831"/>
    </row>
    <row r="70" spans="61:68">
      <c r="BI70" s="750"/>
      <c r="BJ70" s="750"/>
      <c r="BK70" s="750"/>
      <c r="BL70" s="828"/>
      <c r="BM70" s="829"/>
      <c r="BN70" s="830"/>
      <c r="BO70" s="831"/>
      <c r="BP70" s="831"/>
    </row>
    <row r="71" spans="61:68">
      <c r="BI71" s="750"/>
      <c r="BJ71" s="750"/>
      <c r="BK71" s="750"/>
      <c r="BL71" s="828"/>
      <c r="BM71" s="829"/>
      <c r="BN71" s="830"/>
      <c r="BO71" s="831"/>
      <c r="BP71" s="831"/>
    </row>
    <row r="72" spans="61:68">
      <c r="BI72" s="750"/>
      <c r="BJ72" s="750"/>
      <c r="BK72" s="750"/>
      <c r="BL72" s="828"/>
      <c r="BM72" s="829"/>
      <c r="BN72" s="830"/>
      <c r="BO72" s="831"/>
      <c r="BP72" s="831"/>
    </row>
    <row r="73" spans="61:68">
      <c r="BI73" s="750"/>
      <c r="BJ73" s="750"/>
      <c r="BK73" s="750"/>
      <c r="BL73" s="828"/>
      <c r="BM73" s="829"/>
      <c r="BN73" s="830"/>
      <c r="BO73" s="831"/>
      <c r="BP73" s="831"/>
    </row>
    <row r="74" spans="61:68">
      <c r="BI74" s="750"/>
      <c r="BJ74" s="750"/>
      <c r="BK74" s="750"/>
      <c r="BL74" s="828"/>
      <c r="BM74" s="829"/>
      <c r="BN74" s="830"/>
      <c r="BO74" s="831"/>
      <c r="BP74" s="831"/>
    </row>
    <row r="75" spans="61:68">
      <c r="BI75" s="750"/>
      <c r="BJ75" s="750"/>
      <c r="BK75" s="750"/>
      <c r="BL75" s="828"/>
      <c r="BM75" s="829"/>
      <c r="BN75" s="830"/>
      <c r="BO75" s="831"/>
      <c r="BP75" s="831"/>
    </row>
    <row r="76" spans="61:68">
      <c r="BI76" s="750"/>
      <c r="BJ76" s="750"/>
      <c r="BK76" s="750"/>
      <c r="BL76" s="828"/>
      <c r="BM76" s="829"/>
      <c r="BN76" s="830"/>
      <c r="BO76" s="831"/>
      <c r="BP76" s="831"/>
    </row>
    <row r="77" spans="61:68">
      <c r="BI77" s="750"/>
      <c r="BJ77" s="750"/>
      <c r="BK77" s="750"/>
      <c r="BL77" s="828"/>
      <c r="BM77" s="829"/>
      <c r="BN77" s="830"/>
      <c r="BO77" s="831"/>
      <c r="BP77" s="831"/>
    </row>
    <row r="78" spans="61:68">
      <c r="BI78" s="750"/>
      <c r="BJ78" s="750"/>
      <c r="BK78" s="750"/>
      <c r="BL78" s="828"/>
      <c r="BM78" s="829"/>
      <c r="BN78" s="830"/>
      <c r="BO78" s="831"/>
      <c r="BP78" s="831"/>
    </row>
    <row r="79" spans="61:68">
      <c r="BI79" s="750"/>
      <c r="BJ79" s="750"/>
      <c r="BK79" s="750"/>
      <c r="BL79" s="828"/>
      <c r="BM79" s="829"/>
      <c r="BN79" s="830"/>
      <c r="BO79" s="831"/>
      <c r="BP79" s="831"/>
    </row>
    <row r="80" spans="61:68">
      <c r="BI80" s="750"/>
      <c r="BJ80" s="750"/>
      <c r="BK80" s="750"/>
      <c r="BL80" s="828"/>
      <c r="BM80" s="829"/>
      <c r="BN80" s="830"/>
      <c r="BO80" s="831"/>
      <c r="BP80" s="831"/>
    </row>
    <row r="81" spans="61:68">
      <c r="BI81" s="750"/>
      <c r="BJ81" s="750"/>
      <c r="BK81" s="750"/>
      <c r="BL81" s="828"/>
      <c r="BM81" s="829"/>
      <c r="BN81" s="830"/>
      <c r="BO81" s="831"/>
      <c r="BP81" s="831"/>
    </row>
    <row r="82" spans="61:68">
      <c r="BI82" s="750"/>
      <c r="BJ82" s="750"/>
      <c r="BK82" s="750"/>
      <c r="BL82" s="828"/>
      <c r="BM82" s="829"/>
      <c r="BN82" s="830"/>
      <c r="BO82" s="831"/>
      <c r="BP82" s="831"/>
    </row>
    <row r="83" spans="61:68">
      <c r="BI83" s="750"/>
      <c r="BJ83" s="750"/>
      <c r="BK83" s="750"/>
      <c r="BL83" s="828"/>
      <c r="BM83" s="829"/>
      <c r="BN83" s="830"/>
      <c r="BO83" s="831"/>
      <c r="BP83" s="831"/>
    </row>
    <row r="84" spans="61:68">
      <c r="BI84" s="750"/>
      <c r="BJ84" s="750"/>
      <c r="BK84" s="750"/>
      <c r="BL84" s="828"/>
      <c r="BM84" s="829"/>
      <c r="BN84" s="830"/>
      <c r="BO84" s="831"/>
      <c r="BP84" s="831"/>
    </row>
    <row r="85" spans="61:68">
      <c r="BI85" s="750"/>
      <c r="BJ85" s="750"/>
      <c r="BK85" s="750"/>
      <c r="BL85" s="828"/>
      <c r="BM85" s="829"/>
      <c r="BN85" s="830"/>
      <c r="BO85" s="831"/>
      <c r="BP85" s="831"/>
    </row>
    <row r="86" spans="61:68">
      <c r="BI86" s="750"/>
      <c r="BJ86" s="750"/>
      <c r="BK86" s="750"/>
      <c r="BL86" s="828"/>
      <c r="BM86" s="829"/>
      <c r="BN86" s="830"/>
      <c r="BO86" s="831"/>
      <c r="BP86" s="831"/>
    </row>
    <row r="87" spans="61:68">
      <c r="BI87" s="750"/>
      <c r="BJ87" s="750"/>
      <c r="BK87" s="750"/>
      <c r="BL87" s="828"/>
      <c r="BM87" s="829"/>
      <c r="BN87" s="830"/>
      <c r="BO87" s="831"/>
      <c r="BP87" s="831"/>
    </row>
    <row r="88" spans="61:68">
      <c r="BI88" s="750"/>
      <c r="BJ88" s="750"/>
      <c r="BK88" s="750"/>
      <c r="BL88" s="828"/>
      <c r="BM88" s="829"/>
      <c r="BN88" s="830"/>
      <c r="BO88" s="831"/>
      <c r="BP88" s="831"/>
    </row>
    <row r="89" spans="61:68">
      <c r="BI89" s="750"/>
      <c r="BJ89" s="750"/>
      <c r="BK89" s="750"/>
      <c r="BL89" s="828"/>
      <c r="BM89" s="829"/>
      <c r="BN89" s="830"/>
      <c r="BO89" s="831"/>
      <c r="BP89" s="831"/>
    </row>
    <row r="90" spans="61:68">
      <c r="BI90" s="750"/>
      <c r="BJ90" s="750"/>
      <c r="BK90" s="750"/>
      <c r="BL90" s="828"/>
      <c r="BM90" s="829"/>
      <c r="BN90" s="830"/>
      <c r="BO90" s="831"/>
      <c r="BP90" s="831"/>
    </row>
    <row r="91" spans="61:68">
      <c r="BI91" s="750"/>
      <c r="BJ91" s="750"/>
      <c r="BK91" s="750"/>
      <c r="BL91" s="828"/>
      <c r="BM91" s="829"/>
      <c r="BN91" s="830"/>
      <c r="BO91" s="831"/>
      <c r="BP91" s="831"/>
    </row>
    <row r="92" spans="61:68">
      <c r="BI92" s="750"/>
      <c r="BJ92" s="750"/>
      <c r="BK92" s="750"/>
      <c r="BL92" s="828"/>
      <c r="BM92" s="829"/>
      <c r="BN92" s="830"/>
      <c r="BO92" s="831"/>
      <c r="BP92" s="831"/>
    </row>
    <row r="93" spans="61:68">
      <c r="BI93" s="750"/>
      <c r="BJ93" s="750"/>
      <c r="BK93" s="750"/>
      <c r="BL93" s="828"/>
      <c r="BM93" s="829"/>
      <c r="BN93" s="830"/>
      <c r="BO93" s="831"/>
      <c r="BP93" s="831"/>
    </row>
    <row r="94" spans="61:68">
      <c r="BI94" s="750"/>
      <c r="BJ94" s="750"/>
      <c r="BK94" s="750"/>
      <c r="BL94" s="828"/>
      <c r="BM94" s="829"/>
      <c r="BN94" s="830"/>
      <c r="BO94" s="831"/>
      <c r="BP94" s="831"/>
    </row>
    <row r="95" spans="61:68">
      <c r="BI95" s="750"/>
      <c r="BJ95" s="750"/>
      <c r="BK95" s="750"/>
      <c r="BL95" s="828"/>
      <c r="BM95" s="829"/>
      <c r="BN95" s="830"/>
      <c r="BO95" s="831"/>
      <c r="BP95" s="831"/>
    </row>
    <row r="96" spans="61:68">
      <c r="BI96" s="750"/>
      <c r="BJ96" s="750"/>
      <c r="BK96" s="750"/>
      <c r="BL96" s="828"/>
      <c r="BM96" s="829"/>
      <c r="BN96" s="830"/>
      <c r="BO96" s="831"/>
      <c r="BP96" s="831"/>
    </row>
    <row r="97" spans="61:68">
      <c r="BI97" s="750"/>
      <c r="BJ97" s="750"/>
      <c r="BK97" s="750"/>
      <c r="BL97" s="828"/>
      <c r="BM97" s="829"/>
      <c r="BN97" s="830"/>
      <c r="BO97" s="831"/>
      <c r="BP97" s="831"/>
    </row>
    <row r="98" spans="61:68">
      <c r="BI98" s="750"/>
      <c r="BJ98" s="750"/>
      <c r="BK98" s="750"/>
      <c r="BL98" s="828"/>
      <c r="BM98" s="829"/>
      <c r="BN98" s="830"/>
      <c r="BO98" s="831"/>
      <c r="BP98" s="831"/>
    </row>
    <row r="99" spans="61:68">
      <c r="BI99" s="750"/>
      <c r="BJ99" s="750"/>
      <c r="BK99" s="750"/>
      <c r="BL99" s="828"/>
      <c r="BM99" s="829"/>
      <c r="BN99" s="830"/>
      <c r="BO99" s="831"/>
      <c r="BP99" s="831"/>
    </row>
    <row r="100" spans="61:68">
      <c r="BI100" s="750"/>
      <c r="BJ100" s="750"/>
      <c r="BK100" s="750"/>
      <c r="BL100" s="828"/>
      <c r="BM100" s="829"/>
      <c r="BN100" s="830"/>
      <c r="BO100" s="831"/>
      <c r="BP100" s="831"/>
    </row>
    <row r="101" spans="61:68">
      <c r="BI101" s="750"/>
      <c r="BJ101" s="750"/>
      <c r="BK101" s="750"/>
      <c r="BL101" s="828"/>
      <c r="BM101" s="829"/>
      <c r="BN101" s="830"/>
      <c r="BO101" s="831"/>
      <c r="BP101" s="831"/>
    </row>
    <row r="102" spans="61:68">
      <c r="BI102" s="750"/>
      <c r="BJ102" s="750"/>
      <c r="BK102" s="750"/>
      <c r="BL102" s="828"/>
      <c r="BM102" s="829"/>
      <c r="BN102" s="830"/>
      <c r="BO102" s="831"/>
      <c r="BP102" s="831"/>
    </row>
    <row r="103" spans="61:68">
      <c r="BI103" s="750"/>
      <c r="BJ103" s="750"/>
      <c r="BK103" s="750"/>
      <c r="BL103" s="828"/>
      <c r="BM103" s="829"/>
      <c r="BN103" s="830"/>
      <c r="BO103" s="831"/>
      <c r="BP103" s="831"/>
    </row>
    <row r="104" spans="61:68">
      <c r="BI104" s="750"/>
      <c r="BJ104" s="750"/>
      <c r="BK104" s="750"/>
      <c r="BL104" s="828"/>
      <c r="BM104" s="829"/>
      <c r="BN104" s="830"/>
      <c r="BO104" s="831"/>
      <c r="BP104" s="831"/>
    </row>
    <row r="105" spans="61:68">
      <c r="BI105" s="750"/>
      <c r="BJ105" s="750"/>
      <c r="BK105" s="750"/>
      <c r="BL105" s="828"/>
      <c r="BM105" s="829"/>
      <c r="BN105" s="830"/>
      <c r="BO105" s="831"/>
      <c r="BP105" s="831"/>
    </row>
    <row r="106" spans="61:68">
      <c r="BI106" s="750"/>
      <c r="BJ106" s="750"/>
      <c r="BK106" s="750"/>
      <c r="BL106" s="828"/>
      <c r="BM106" s="829"/>
      <c r="BN106" s="830"/>
      <c r="BO106" s="831"/>
      <c r="BP106" s="831"/>
    </row>
    <row r="107" spans="61:68">
      <c r="BI107" s="750"/>
      <c r="BJ107" s="750"/>
      <c r="BK107" s="750"/>
      <c r="BL107" s="828"/>
      <c r="BM107" s="829"/>
      <c r="BN107" s="830"/>
      <c r="BO107" s="831"/>
      <c r="BP107" s="831"/>
    </row>
    <row r="108" spans="61:68">
      <c r="BI108" s="750"/>
      <c r="BJ108" s="750"/>
      <c r="BK108" s="750"/>
      <c r="BL108" s="828"/>
      <c r="BM108" s="829"/>
      <c r="BN108" s="830"/>
      <c r="BO108" s="831"/>
      <c r="BP108" s="831"/>
    </row>
    <row r="109" spans="61:68">
      <c r="BI109" s="750"/>
      <c r="BJ109" s="750"/>
      <c r="BK109" s="750"/>
      <c r="BL109" s="828"/>
      <c r="BM109" s="829"/>
      <c r="BN109" s="830"/>
      <c r="BO109" s="831"/>
      <c r="BP109" s="831"/>
    </row>
    <row r="110" spans="61:68">
      <c r="BI110" s="750"/>
      <c r="BJ110" s="750"/>
      <c r="BK110" s="750"/>
      <c r="BL110" s="828"/>
      <c r="BM110" s="829"/>
      <c r="BN110" s="830"/>
      <c r="BO110" s="831"/>
      <c r="BP110" s="831"/>
    </row>
    <row r="111" spans="61:68">
      <c r="BI111" s="750"/>
      <c r="BJ111" s="750"/>
      <c r="BK111" s="750"/>
      <c r="BL111" s="828"/>
      <c r="BM111" s="829"/>
      <c r="BN111" s="830"/>
      <c r="BO111" s="831"/>
      <c r="BP111" s="831"/>
    </row>
    <row r="112" spans="61:68">
      <c r="BI112" s="750"/>
      <c r="BJ112" s="750"/>
      <c r="BK112" s="750"/>
      <c r="BL112" s="828"/>
      <c r="BM112" s="829"/>
      <c r="BN112" s="830"/>
      <c r="BO112" s="831"/>
      <c r="BP112" s="831"/>
    </row>
    <row r="113" spans="61:68">
      <c r="BI113" s="750"/>
      <c r="BJ113" s="750"/>
      <c r="BK113" s="750"/>
      <c r="BL113" s="828"/>
      <c r="BM113" s="829"/>
      <c r="BN113" s="830"/>
      <c r="BO113" s="831"/>
      <c r="BP113" s="831"/>
    </row>
    <row r="114" spans="61:68">
      <c r="BI114" s="750"/>
      <c r="BJ114" s="750"/>
      <c r="BK114" s="750"/>
      <c r="BL114" s="828"/>
      <c r="BM114" s="829"/>
      <c r="BN114" s="830"/>
      <c r="BO114" s="831"/>
      <c r="BP114" s="831"/>
    </row>
    <row r="115" spans="61:68">
      <c r="BI115" s="750"/>
      <c r="BJ115" s="750"/>
      <c r="BK115" s="750"/>
      <c r="BL115" s="828"/>
      <c r="BM115" s="829"/>
      <c r="BN115" s="830"/>
      <c r="BO115" s="831"/>
      <c r="BP115" s="831"/>
    </row>
    <row r="116" spans="61:68">
      <c r="BI116" s="750"/>
      <c r="BJ116" s="750"/>
      <c r="BK116" s="750"/>
      <c r="BL116" s="828"/>
      <c r="BM116" s="829"/>
      <c r="BN116" s="830"/>
      <c r="BO116" s="831"/>
      <c r="BP116" s="831"/>
    </row>
    <row r="117" spans="61:68">
      <c r="BI117" s="750"/>
      <c r="BJ117" s="750"/>
      <c r="BK117" s="750"/>
      <c r="BL117" s="828"/>
      <c r="BM117" s="829"/>
      <c r="BN117" s="830"/>
      <c r="BO117" s="831"/>
      <c r="BP117" s="831"/>
    </row>
    <row r="118" spans="61:68">
      <c r="BI118" s="750"/>
      <c r="BJ118" s="750"/>
      <c r="BK118" s="750"/>
      <c r="BL118" s="828"/>
      <c r="BM118" s="829"/>
      <c r="BN118" s="830"/>
      <c r="BO118" s="831"/>
      <c r="BP118" s="831"/>
    </row>
    <row r="119" spans="61:68">
      <c r="BI119" s="750"/>
      <c r="BJ119" s="750"/>
      <c r="BK119" s="750"/>
      <c r="BL119" s="828"/>
      <c r="BM119" s="829"/>
      <c r="BN119" s="830"/>
      <c r="BO119" s="831"/>
      <c r="BP119" s="831"/>
    </row>
    <row r="120" spans="61:68">
      <c r="BI120" s="750"/>
      <c r="BJ120" s="750"/>
      <c r="BK120" s="750"/>
      <c r="BL120" s="828"/>
      <c r="BM120" s="829"/>
      <c r="BN120" s="830"/>
      <c r="BO120" s="831"/>
      <c r="BP120" s="831"/>
    </row>
    <row r="121" spans="61:68">
      <c r="BI121" s="750"/>
      <c r="BJ121" s="750"/>
      <c r="BK121" s="750"/>
      <c r="BL121" s="828"/>
      <c r="BM121" s="829"/>
      <c r="BN121" s="830"/>
      <c r="BO121" s="831"/>
      <c r="BP121" s="831"/>
    </row>
    <row r="122" spans="61:68">
      <c r="BI122" s="750"/>
      <c r="BJ122" s="750"/>
      <c r="BK122" s="750"/>
      <c r="BL122" s="828"/>
      <c r="BM122" s="829"/>
      <c r="BN122" s="830"/>
      <c r="BO122" s="831"/>
      <c r="BP122" s="831"/>
    </row>
    <row r="123" spans="61:68">
      <c r="BI123" s="750"/>
      <c r="BJ123" s="750"/>
      <c r="BK123" s="750"/>
      <c r="BL123" s="828"/>
      <c r="BM123" s="829"/>
      <c r="BN123" s="830"/>
      <c r="BO123" s="831"/>
      <c r="BP123" s="831"/>
    </row>
    <row r="124" spans="61:68">
      <c r="BI124" s="750"/>
      <c r="BJ124" s="750"/>
      <c r="BK124" s="750"/>
      <c r="BL124" s="828"/>
      <c r="BM124" s="829"/>
      <c r="BN124" s="830"/>
      <c r="BO124" s="831"/>
      <c r="BP124" s="831"/>
    </row>
    <row r="125" spans="61:68">
      <c r="BI125" s="750"/>
      <c r="BJ125" s="750"/>
      <c r="BK125" s="750"/>
      <c r="BL125" s="828"/>
      <c r="BM125" s="829"/>
      <c r="BN125" s="830"/>
      <c r="BO125" s="831"/>
      <c r="BP125" s="831"/>
    </row>
    <row r="126" spans="61:68">
      <c r="BI126" s="750"/>
      <c r="BJ126" s="750"/>
      <c r="BK126" s="750"/>
      <c r="BL126" s="828"/>
      <c r="BM126" s="829"/>
      <c r="BN126" s="830"/>
      <c r="BO126" s="831"/>
      <c r="BP126" s="831"/>
    </row>
    <row r="127" spans="61:68">
      <c r="BI127" s="750"/>
      <c r="BJ127" s="750"/>
      <c r="BK127" s="750"/>
      <c r="BL127" s="828"/>
      <c r="BM127" s="829"/>
      <c r="BN127" s="830"/>
      <c r="BO127" s="831"/>
      <c r="BP127" s="831"/>
    </row>
    <row r="128" spans="61:68">
      <c r="BI128" s="750"/>
      <c r="BJ128" s="750"/>
      <c r="BK128" s="750"/>
      <c r="BL128" s="828"/>
      <c r="BM128" s="829"/>
      <c r="BN128" s="830"/>
      <c r="BO128" s="831"/>
      <c r="BP128" s="831"/>
    </row>
    <row r="129" spans="61:68">
      <c r="BI129" s="750"/>
      <c r="BJ129" s="750"/>
      <c r="BK129" s="750"/>
      <c r="BL129" s="828"/>
      <c r="BM129" s="829"/>
      <c r="BN129" s="830"/>
      <c r="BO129" s="831"/>
      <c r="BP129" s="831"/>
    </row>
    <row r="130" spans="61:68">
      <c r="BI130" s="750"/>
      <c r="BJ130" s="750"/>
      <c r="BK130" s="750"/>
      <c r="BL130" s="828"/>
      <c r="BM130" s="829"/>
      <c r="BN130" s="830"/>
      <c r="BO130" s="831"/>
      <c r="BP130" s="831"/>
    </row>
    <row r="131" spans="61:68">
      <c r="BI131" s="750"/>
      <c r="BJ131" s="750"/>
      <c r="BK131" s="750"/>
      <c r="BL131" s="828"/>
      <c r="BM131" s="829"/>
      <c r="BN131" s="830"/>
      <c r="BO131" s="831"/>
      <c r="BP131" s="831"/>
    </row>
    <row r="132" spans="61:68">
      <c r="BI132" s="750"/>
      <c r="BJ132" s="750"/>
      <c r="BK132" s="750"/>
      <c r="BL132" s="828"/>
      <c r="BM132" s="829"/>
      <c r="BN132" s="830"/>
      <c r="BO132" s="831"/>
      <c r="BP132" s="831"/>
    </row>
    <row r="133" spans="61:68">
      <c r="BI133" s="750"/>
      <c r="BJ133" s="750"/>
      <c r="BK133" s="750"/>
      <c r="BL133" s="828"/>
      <c r="BM133" s="829"/>
      <c r="BN133" s="830"/>
      <c r="BO133" s="831"/>
      <c r="BP133" s="831"/>
    </row>
    <row r="134" spans="61:68">
      <c r="BI134" s="750"/>
      <c r="BJ134" s="750"/>
      <c r="BK134" s="750"/>
      <c r="BL134" s="828"/>
      <c r="BM134" s="829"/>
      <c r="BN134" s="830"/>
      <c r="BO134" s="831"/>
      <c r="BP134" s="831"/>
    </row>
    <row r="135" spans="61:68">
      <c r="BI135" s="750"/>
      <c r="BJ135" s="750"/>
      <c r="BK135" s="750"/>
      <c r="BL135" s="828"/>
      <c r="BM135" s="829"/>
      <c r="BN135" s="830"/>
      <c r="BO135" s="831"/>
      <c r="BP135" s="831"/>
    </row>
    <row r="136" spans="61:68">
      <c r="BI136" s="750"/>
      <c r="BJ136" s="750"/>
      <c r="BK136" s="750"/>
      <c r="BL136" s="828"/>
      <c r="BM136" s="829"/>
      <c r="BN136" s="830"/>
      <c r="BO136" s="831"/>
      <c r="BP136" s="831"/>
    </row>
    <row r="137" spans="61:68">
      <c r="BI137" s="750"/>
      <c r="BJ137" s="750"/>
      <c r="BK137" s="750"/>
      <c r="BL137" s="828"/>
      <c r="BM137" s="829"/>
      <c r="BN137" s="830"/>
      <c r="BO137" s="831"/>
      <c r="BP137" s="831"/>
    </row>
    <row r="138" spans="61:68">
      <c r="BI138" s="750"/>
      <c r="BJ138" s="750"/>
      <c r="BK138" s="750"/>
      <c r="BL138" s="828"/>
      <c r="BM138" s="829"/>
      <c r="BN138" s="830"/>
      <c r="BO138" s="831"/>
      <c r="BP138" s="831"/>
    </row>
    <row r="139" spans="61:68">
      <c r="BI139" s="750"/>
      <c r="BJ139" s="750"/>
      <c r="BK139" s="750"/>
      <c r="BL139" s="828"/>
      <c r="BM139" s="829"/>
      <c r="BN139" s="830"/>
      <c r="BO139" s="831"/>
      <c r="BP139" s="831"/>
    </row>
    <row r="140" spans="61:68">
      <c r="BI140" s="750"/>
      <c r="BJ140" s="750"/>
      <c r="BK140" s="750"/>
      <c r="BL140" s="828"/>
      <c r="BM140" s="829"/>
      <c r="BN140" s="830"/>
      <c r="BO140" s="831"/>
      <c r="BP140" s="831"/>
    </row>
    <row r="141" spans="61:68">
      <c r="BI141" s="750"/>
      <c r="BJ141" s="750"/>
      <c r="BK141" s="750"/>
      <c r="BL141" s="828"/>
      <c r="BM141" s="829"/>
      <c r="BN141" s="830"/>
      <c r="BO141" s="831"/>
      <c r="BP141" s="831"/>
    </row>
    <row r="142" spans="61:68">
      <c r="BI142" s="750"/>
      <c r="BJ142" s="750"/>
      <c r="BK142" s="750"/>
      <c r="BL142" s="828"/>
      <c r="BM142" s="829"/>
      <c r="BN142" s="830"/>
      <c r="BO142" s="831"/>
      <c r="BP142" s="831"/>
    </row>
    <row r="143" spans="61:68">
      <c r="BI143" s="750"/>
      <c r="BJ143" s="750"/>
      <c r="BK143" s="750"/>
      <c r="BL143" s="828"/>
      <c r="BM143" s="829"/>
      <c r="BN143" s="830"/>
      <c r="BO143" s="831"/>
      <c r="BP143" s="831"/>
    </row>
    <row r="144" spans="61:68">
      <c r="BI144" s="750"/>
      <c r="BJ144" s="750"/>
      <c r="BK144" s="750"/>
      <c r="BL144" s="828"/>
      <c r="BM144" s="829"/>
      <c r="BN144" s="830"/>
      <c r="BO144" s="831"/>
      <c r="BP144" s="831"/>
    </row>
    <row r="145" spans="61:68">
      <c r="BI145" s="750"/>
      <c r="BJ145" s="750"/>
      <c r="BL145" s="750"/>
      <c r="BM145" s="835"/>
      <c r="BN145" s="836"/>
      <c r="BO145" s="837"/>
      <c r="BP145" s="837"/>
    </row>
    <row r="146" spans="61:68">
      <c r="BI146" s="750"/>
      <c r="BJ146" s="750"/>
      <c r="BL146" s="750"/>
      <c r="BM146" s="835"/>
      <c r="BN146" s="836"/>
      <c r="BO146" s="837"/>
      <c r="BP146" s="837"/>
    </row>
    <row r="147" spans="61:68">
      <c r="BI147" s="750"/>
      <c r="BJ147" s="750"/>
      <c r="BL147" s="750"/>
      <c r="BM147" s="835"/>
      <c r="BN147" s="836"/>
      <c r="BO147" s="837"/>
      <c r="BP147" s="837"/>
    </row>
  </sheetData>
  <mergeCells count="19">
    <mergeCell ref="CM4:CP4"/>
    <mergeCell ref="BU24:BV24"/>
    <mergeCell ref="AN2:AR2"/>
    <mergeCell ref="AQ4:AS4"/>
    <mergeCell ref="CA42:CG42"/>
    <mergeCell ref="AX4:AZ4"/>
    <mergeCell ref="BB2:BG2"/>
    <mergeCell ref="AU2:AZ2"/>
    <mergeCell ref="CA44:CG44"/>
    <mergeCell ref="BE4:BG4"/>
    <mergeCell ref="BM4:BP4"/>
    <mergeCell ref="BU4:BY4"/>
    <mergeCell ref="CD4:CG4"/>
    <mergeCell ref="I2:O2"/>
    <mergeCell ref="Q2:W2"/>
    <mergeCell ref="Y2:AC2"/>
    <mergeCell ref="Y29:AC30"/>
    <mergeCell ref="AG2:AK2"/>
    <mergeCell ref="AG28:AK29"/>
  </mergeCells>
  <pageMargins left="0.7" right="0.7" top="0.75" bottom="0.75" header="0.3" footer="0.3"/>
  <pageSetup paperSize="9" orientation="portrait" r:id="rId1"/>
  <ignoredErrors>
    <ignoredError sqref="AS23 AD11:AD16 AD18:AD22 V11:V12 V14 V16 N12:N15 F11:F1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sheetPr>
  <dimension ref="B1:M93"/>
  <sheetViews>
    <sheetView showGridLines="0" zoomScaleNormal="100" workbookViewId="0">
      <pane xSplit="2" ySplit="3" topLeftCell="K4" activePane="bottomRight" state="frozen"/>
      <selection activeCell="L34" sqref="L34:M35"/>
      <selection pane="topRight" activeCell="L34" sqref="L34:M35"/>
      <selection pane="bottomLeft" activeCell="L34" sqref="L34:M35"/>
      <selection pane="bottomRight" activeCell="L92" sqref="L92:M93"/>
    </sheetView>
  </sheetViews>
  <sheetFormatPr baseColWidth="10" defaultRowHeight="14.4"/>
  <cols>
    <col min="1" max="1" width="2.77734375" customWidth="1"/>
    <col min="2" max="2" width="55" customWidth="1"/>
  </cols>
  <sheetData>
    <row r="1" spans="2:13" ht="15.6">
      <c r="B1" s="234" t="s">
        <v>2743</v>
      </c>
    </row>
    <row r="3" spans="2:13" ht="15" thickBot="1">
      <c r="B3" s="2560" t="s">
        <v>2728</v>
      </c>
      <c r="C3" s="3712">
        <v>2010</v>
      </c>
      <c r="D3" s="3712">
        <v>2011</v>
      </c>
      <c r="E3" s="3712">
        <v>2012</v>
      </c>
      <c r="F3" s="3712">
        <v>2013</v>
      </c>
      <c r="G3" s="3712">
        <v>2014</v>
      </c>
      <c r="H3" s="3712">
        <v>2015</v>
      </c>
      <c r="I3" s="3712">
        <v>2016</v>
      </c>
      <c r="J3" s="3712">
        <v>2017</v>
      </c>
      <c r="K3" s="3712">
        <v>2018</v>
      </c>
      <c r="L3" s="2556">
        <v>2019</v>
      </c>
      <c r="M3" s="2556">
        <v>2020</v>
      </c>
    </row>
    <row r="4" spans="2:13">
      <c r="B4" s="3785" t="s">
        <v>114</v>
      </c>
      <c r="C4" s="3786">
        <v>6</v>
      </c>
      <c r="D4" s="3787"/>
      <c r="E4" s="3788">
        <v>3</v>
      </c>
      <c r="F4" s="3717">
        <v>3</v>
      </c>
      <c r="G4" s="3789">
        <v>5.6666666666666661</v>
      </c>
      <c r="H4" s="3720"/>
      <c r="I4" s="3789"/>
      <c r="J4" s="3789">
        <v>-0.66999999999999993</v>
      </c>
      <c r="K4" s="3778">
        <v>1</v>
      </c>
      <c r="L4" s="3778">
        <v>2.33</v>
      </c>
      <c r="M4" s="3778">
        <v>0.33000000000000007</v>
      </c>
    </row>
    <row r="5" spans="2:13">
      <c r="B5" s="3790" t="s">
        <v>115</v>
      </c>
      <c r="C5" s="3722">
        <v>5.5</v>
      </c>
      <c r="D5" s="3723">
        <v>7.6111111111111072</v>
      </c>
      <c r="E5" s="3791">
        <v>3.8461538461538485</v>
      </c>
      <c r="F5" s="3725">
        <v>2.2857142857142883</v>
      </c>
      <c r="G5" s="3792">
        <v>1.5294117647058805</v>
      </c>
      <c r="H5" s="3736">
        <v>1.5294117647058814</v>
      </c>
      <c r="I5" s="3792">
        <v>1.1900000000000004</v>
      </c>
      <c r="J5" s="3792">
        <v>1.1299999999999999</v>
      </c>
      <c r="K5" s="3779"/>
      <c r="L5" s="3779"/>
      <c r="M5" s="3779"/>
    </row>
    <row r="6" spans="2:13">
      <c r="B6" s="3790" t="s">
        <v>116</v>
      </c>
      <c r="C6" s="3722">
        <v>2.125</v>
      </c>
      <c r="D6" s="3723">
        <v>3.4444444444444446</v>
      </c>
      <c r="E6" s="3722">
        <v>1.1666666666666661</v>
      </c>
      <c r="F6" s="3793">
        <v>2.25</v>
      </c>
      <c r="G6" s="3792">
        <v>1</v>
      </c>
      <c r="H6" s="3736">
        <v>1</v>
      </c>
      <c r="I6" s="3792">
        <v>1.38</v>
      </c>
      <c r="J6" s="3792">
        <v>0.5</v>
      </c>
      <c r="K6" s="3779">
        <v>0.37999999999999989</v>
      </c>
      <c r="L6" s="3779">
        <v>1</v>
      </c>
      <c r="M6" s="3779">
        <v>0.29000000000000004</v>
      </c>
    </row>
    <row r="7" spans="2:13">
      <c r="B7" s="3790" t="s">
        <v>669</v>
      </c>
      <c r="C7" s="3722"/>
      <c r="D7" s="3723"/>
      <c r="E7" s="3791"/>
      <c r="F7" s="3793"/>
      <c r="G7" s="3792">
        <v>1.5999999999999996</v>
      </c>
      <c r="H7" s="3736">
        <v>1.4000000000000004</v>
      </c>
      <c r="I7" s="3792">
        <v>1.67</v>
      </c>
      <c r="J7" s="3792">
        <v>1.75</v>
      </c>
      <c r="K7" s="3779">
        <v>1.5</v>
      </c>
      <c r="L7" s="3779">
        <v>2.2999999999999998</v>
      </c>
      <c r="M7" s="3779">
        <v>3</v>
      </c>
    </row>
    <row r="8" spans="2:13">
      <c r="B8" s="3790" t="s">
        <v>668</v>
      </c>
      <c r="C8" s="3791"/>
      <c r="D8" s="3793"/>
      <c r="E8" s="3791"/>
      <c r="F8" s="3793"/>
      <c r="G8" s="3792">
        <v>1</v>
      </c>
      <c r="H8" s="3736">
        <v>2.3333333333333339</v>
      </c>
      <c r="I8" s="3792">
        <v>2</v>
      </c>
      <c r="J8" s="3792">
        <v>1.67</v>
      </c>
      <c r="K8" s="3779">
        <v>2</v>
      </c>
      <c r="L8" s="3779"/>
      <c r="M8" s="3779">
        <v>3</v>
      </c>
    </row>
    <row r="9" spans="2:13">
      <c r="B9" s="3790" t="s">
        <v>2537</v>
      </c>
      <c r="C9" s="3783"/>
      <c r="D9" s="1870"/>
      <c r="E9" s="3783"/>
      <c r="F9" s="1870"/>
      <c r="G9" s="3783"/>
      <c r="H9" s="1870"/>
      <c r="I9" s="3783"/>
      <c r="J9" s="3722">
        <v>1.7300000000000004</v>
      </c>
      <c r="K9" s="3784">
        <v>1.58</v>
      </c>
      <c r="L9" s="3784">
        <v>0.7</v>
      </c>
      <c r="M9" s="3784">
        <v>0.75</v>
      </c>
    </row>
    <row r="10" spans="2:13" s="5504" customFormat="1">
      <c r="B10" s="3790" t="s">
        <v>3864</v>
      </c>
      <c r="C10" s="3783"/>
      <c r="D10" s="1870"/>
      <c r="E10" s="3783"/>
      <c r="F10" s="1870"/>
      <c r="G10" s="3783"/>
      <c r="H10" s="1870"/>
      <c r="I10" s="3783"/>
      <c r="J10" s="3722"/>
      <c r="K10" s="3784"/>
      <c r="L10" s="3784"/>
      <c r="M10" s="3784">
        <v>0</v>
      </c>
    </row>
    <row r="11" spans="2:13">
      <c r="B11" s="3794" t="s">
        <v>544</v>
      </c>
      <c r="C11" s="3795">
        <v>4.541666666666667</v>
      </c>
      <c r="D11" s="3731">
        <v>9.6774193548387082</v>
      </c>
      <c r="E11" s="3796">
        <v>3.0000000000000013</v>
      </c>
      <c r="F11" s="3797">
        <v>2.3043478260869579</v>
      </c>
      <c r="G11" s="2933">
        <v>1.6842105263157887</v>
      </c>
      <c r="H11" s="2937">
        <v>1.4411764705882348</v>
      </c>
      <c r="I11" s="2933">
        <v>1.4</v>
      </c>
      <c r="J11" s="2933">
        <v>1.1696923076923078</v>
      </c>
      <c r="K11" s="3634">
        <v>1.4317857142857144</v>
      </c>
      <c r="L11" s="3634">
        <v>1.3</v>
      </c>
      <c r="M11" s="3634">
        <v>0.76447368421052631</v>
      </c>
    </row>
    <row r="12" spans="2:13">
      <c r="B12" s="3790" t="s">
        <v>117</v>
      </c>
      <c r="C12" s="3798">
        <v>0.59999999999999964</v>
      </c>
      <c r="D12" s="3723">
        <v>1.333333333333333</v>
      </c>
      <c r="E12" s="3799">
        <v>1.5</v>
      </c>
      <c r="F12" s="3725">
        <v>1.25</v>
      </c>
      <c r="G12" s="3792">
        <v>0.5</v>
      </c>
      <c r="H12" s="3736">
        <v>0.7</v>
      </c>
      <c r="I12" s="3792">
        <v>0.88999999999999968</v>
      </c>
      <c r="J12" s="3792">
        <v>1.5</v>
      </c>
      <c r="K12" s="3779">
        <v>0.66999999999999993</v>
      </c>
      <c r="L12" s="3779">
        <v>0.66999999999999993</v>
      </c>
      <c r="M12" s="3779">
        <v>0.29000000000000004</v>
      </c>
    </row>
    <row r="13" spans="2:13">
      <c r="B13" s="3790" t="s">
        <v>242</v>
      </c>
      <c r="C13" s="3722"/>
      <c r="D13" s="3723">
        <v>0</v>
      </c>
      <c r="E13" s="3791"/>
      <c r="F13" s="3725">
        <v>0</v>
      </c>
      <c r="G13" s="3792">
        <v>0</v>
      </c>
      <c r="H13" s="3736">
        <v>0</v>
      </c>
      <c r="I13" s="3792">
        <v>0</v>
      </c>
      <c r="J13" s="3792">
        <v>0</v>
      </c>
      <c r="K13" s="3779">
        <v>0.29000000000000004</v>
      </c>
      <c r="L13" s="3779">
        <v>0</v>
      </c>
      <c r="M13" s="3779">
        <v>0.66999999999999993</v>
      </c>
    </row>
    <row r="14" spans="2:13">
      <c r="B14" s="3790" t="s">
        <v>118</v>
      </c>
      <c r="C14" s="3798">
        <v>0.41666666666666607</v>
      </c>
      <c r="D14" s="3723">
        <v>0.66666666666666607</v>
      </c>
      <c r="E14" s="3799">
        <v>1.3999999999999995</v>
      </c>
      <c r="F14" s="3793"/>
      <c r="G14" s="3792">
        <v>0.69999999999999929</v>
      </c>
      <c r="H14" s="3736">
        <v>2</v>
      </c>
      <c r="I14" s="3792">
        <v>1.0700000000000003</v>
      </c>
      <c r="J14" s="3792">
        <v>1</v>
      </c>
      <c r="K14" s="3779">
        <v>3.7799999999999994</v>
      </c>
      <c r="L14" s="3779">
        <v>2</v>
      </c>
      <c r="M14" s="3779">
        <v>1</v>
      </c>
    </row>
    <row r="15" spans="2:13">
      <c r="B15" s="3790" t="s">
        <v>119</v>
      </c>
      <c r="C15" s="3798">
        <v>3.3333333333333339</v>
      </c>
      <c r="D15" s="3723">
        <v>2.25</v>
      </c>
      <c r="E15" s="3799">
        <v>0</v>
      </c>
      <c r="F15" s="3725">
        <v>0</v>
      </c>
      <c r="G15" s="3792">
        <v>4.6666666666666661</v>
      </c>
      <c r="H15" s="3736">
        <v>0</v>
      </c>
      <c r="I15" s="3792">
        <v>2</v>
      </c>
      <c r="J15" s="3792">
        <v>1.2000000000000002</v>
      </c>
      <c r="K15" s="3779">
        <v>4.67</v>
      </c>
      <c r="L15" s="3779">
        <v>0</v>
      </c>
      <c r="M15" s="3779">
        <v>0</v>
      </c>
    </row>
    <row r="16" spans="2:13">
      <c r="B16" s="3790" t="s">
        <v>508</v>
      </c>
      <c r="C16" s="3722"/>
      <c r="D16" s="3723"/>
      <c r="E16" s="3722"/>
      <c r="F16" s="3793"/>
      <c r="G16" s="3792">
        <v>0.20000000000000018</v>
      </c>
      <c r="H16" s="3736">
        <v>0.5</v>
      </c>
      <c r="I16" s="3792">
        <v>0.26999999999999957</v>
      </c>
      <c r="J16" s="3792">
        <v>0.25</v>
      </c>
      <c r="K16" s="3779">
        <v>0.16999999999999993</v>
      </c>
      <c r="L16" s="3779">
        <v>0</v>
      </c>
      <c r="M16" s="3779">
        <v>1.5</v>
      </c>
    </row>
    <row r="17" spans="2:13" s="2481" customFormat="1">
      <c r="B17" s="3790" t="s">
        <v>2278</v>
      </c>
      <c r="C17" s="3722"/>
      <c r="D17" s="3723"/>
      <c r="E17" s="3722"/>
      <c r="F17" s="3793"/>
      <c r="G17" s="3792"/>
      <c r="H17" s="3736"/>
      <c r="I17" s="3792"/>
      <c r="J17" s="3792"/>
      <c r="K17" s="3779">
        <v>0</v>
      </c>
      <c r="L17" s="3779">
        <v>0.33000000000000007</v>
      </c>
      <c r="M17" s="3779"/>
    </row>
    <row r="18" spans="2:13">
      <c r="B18" s="1870" t="s">
        <v>848</v>
      </c>
      <c r="C18" s="3798">
        <v>0</v>
      </c>
      <c r="D18" s="3723">
        <v>14.333333333333332</v>
      </c>
      <c r="E18" s="3791"/>
      <c r="F18" s="3725"/>
      <c r="G18" s="3792"/>
      <c r="H18" s="3736"/>
      <c r="I18" s="3792"/>
      <c r="J18" s="3792"/>
      <c r="K18" s="3779"/>
      <c r="L18" s="3779"/>
      <c r="M18" s="3779"/>
    </row>
    <row r="19" spans="2:13" s="5504" customFormat="1">
      <c r="B19" s="2464" t="s">
        <v>2277</v>
      </c>
      <c r="C19" s="3798"/>
      <c r="D19" s="3723"/>
      <c r="E19" s="3791"/>
      <c r="F19" s="3725"/>
      <c r="G19" s="3792"/>
      <c r="H19" s="3736"/>
      <c r="I19" s="3792"/>
      <c r="J19" s="3792"/>
      <c r="K19" s="3779"/>
      <c r="L19" s="3779"/>
      <c r="M19" s="3779">
        <v>3</v>
      </c>
    </row>
    <row r="20" spans="2:13">
      <c r="B20" s="3794" t="s">
        <v>545</v>
      </c>
      <c r="C20" s="3795">
        <v>1.0874999999999999</v>
      </c>
      <c r="D20" s="3731">
        <v>2.3076923076923075</v>
      </c>
      <c r="E20" s="3796">
        <v>2.0624999999999996</v>
      </c>
      <c r="F20" s="3797">
        <v>0.25</v>
      </c>
      <c r="G20" s="2933">
        <v>0.91999999999999971</v>
      </c>
      <c r="H20" s="2937">
        <v>0.64</v>
      </c>
      <c r="I20" s="2933">
        <v>0.84</v>
      </c>
      <c r="J20" s="2933">
        <v>1</v>
      </c>
      <c r="K20" s="3634">
        <v>1.5478787878787879</v>
      </c>
      <c r="L20" s="3634">
        <v>0.3</v>
      </c>
      <c r="M20" s="3634">
        <v>0.7104166666666667</v>
      </c>
    </row>
    <row r="21" spans="2:13">
      <c r="B21" s="3790" t="s">
        <v>105</v>
      </c>
      <c r="C21" s="3798">
        <v>5.8947368421052637</v>
      </c>
      <c r="D21" s="3723">
        <v>2</v>
      </c>
      <c r="E21" s="3799">
        <v>1.0454545454545441</v>
      </c>
      <c r="F21" s="3725">
        <v>2.243243243243243</v>
      </c>
      <c r="G21" s="3792">
        <v>1.2307692307692317</v>
      </c>
      <c r="H21" s="3736">
        <v>2.5999999999999996</v>
      </c>
      <c r="I21" s="3792"/>
      <c r="J21" s="3792">
        <v>0</v>
      </c>
      <c r="K21" s="3779"/>
      <c r="L21" s="3779"/>
      <c r="M21" s="3779"/>
    </row>
    <row r="22" spans="2:13">
      <c r="B22" s="3790" t="s">
        <v>1638</v>
      </c>
      <c r="C22" s="3798"/>
      <c r="D22" s="3723"/>
      <c r="E22" s="3799"/>
      <c r="F22" s="3725"/>
      <c r="G22" s="3792"/>
      <c r="H22" s="3736">
        <v>1</v>
      </c>
      <c r="I22" s="3792">
        <v>4.67</v>
      </c>
      <c r="J22" s="3792">
        <v>-0.12000000000000011</v>
      </c>
      <c r="K22" s="3779">
        <v>0.66999999999999993</v>
      </c>
      <c r="L22" s="3779">
        <v>2</v>
      </c>
      <c r="M22" s="3779">
        <v>2</v>
      </c>
    </row>
    <row r="23" spans="2:13">
      <c r="B23" s="3790" t="s">
        <v>1639</v>
      </c>
      <c r="C23" s="3798"/>
      <c r="D23" s="3723"/>
      <c r="E23" s="3799"/>
      <c r="F23" s="3725"/>
      <c r="G23" s="3792"/>
      <c r="H23" s="3736"/>
      <c r="I23" s="3792">
        <v>5</v>
      </c>
      <c r="J23" s="3792">
        <v>3.5</v>
      </c>
      <c r="K23" s="3779">
        <v>2.67</v>
      </c>
      <c r="L23" s="3779"/>
      <c r="M23" s="3779">
        <v>8</v>
      </c>
    </row>
    <row r="24" spans="2:13">
      <c r="B24" s="3790" t="s">
        <v>1640</v>
      </c>
      <c r="C24" s="3798"/>
      <c r="D24" s="3723"/>
      <c r="E24" s="3799"/>
      <c r="F24" s="3725"/>
      <c r="G24" s="3792"/>
      <c r="H24" s="3736"/>
      <c r="I24" s="3792">
        <v>0.5</v>
      </c>
      <c r="J24" s="3792">
        <v>-0.66999999999999993</v>
      </c>
      <c r="K24" s="3779">
        <v>3.75</v>
      </c>
      <c r="L24" s="3779">
        <v>2.5</v>
      </c>
      <c r="M24" s="3779">
        <v>2</v>
      </c>
    </row>
    <row r="25" spans="2:13" ht="28.8">
      <c r="B25" s="3800" t="s">
        <v>1637</v>
      </c>
      <c r="C25" s="3798"/>
      <c r="D25" s="3723"/>
      <c r="E25" s="3799"/>
      <c r="F25" s="3725"/>
      <c r="G25" s="3792"/>
      <c r="H25" s="3736">
        <v>1.5</v>
      </c>
      <c r="I25" s="3792">
        <v>-1.33</v>
      </c>
      <c r="J25" s="3792">
        <v>4.5</v>
      </c>
      <c r="K25" s="3779"/>
      <c r="L25" s="3779">
        <v>3</v>
      </c>
      <c r="M25" s="3779"/>
    </row>
    <row r="26" spans="2:13">
      <c r="B26" s="3800" t="s">
        <v>1641</v>
      </c>
      <c r="C26" s="3798"/>
      <c r="D26" s="3723"/>
      <c r="E26" s="3799"/>
      <c r="F26" s="3725"/>
      <c r="G26" s="3792"/>
      <c r="H26" s="3736"/>
      <c r="I26" s="3792">
        <v>0</v>
      </c>
      <c r="J26" s="3792">
        <v>4</v>
      </c>
      <c r="K26" s="3779">
        <v>1.5999999999999996</v>
      </c>
      <c r="L26" s="3779"/>
      <c r="M26" s="3779"/>
    </row>
    <row r="27" spans="2:13" s="2481" customFormat="1" ht="28.8">
      <c r="B27" s="3800" t="s">
        <v>2538</v>
      </c>
      <c r="C27" s="3798"/>
      <c r="D27" s="3723"/>
      <c r="E27" s="3799"/>
      <c r="F27" s="3725"/>
      <c r="G27" s="3792"/>
      <c r="H27" s="3736"/>
      <c r="I27" s="3792"/>
      <c r="J27" s="3792"/>
      <c r="K27" s="3779">
        <v>3.33</v>
      </c>
      <c r="L27" s="3779">
        <v>6</v>
      </c>
      <c r="M27" s="3779"/>
    </row>
    <row r="28" spans="2:13">
      <c r="B28" s="3794" t="s">
        <v>546</v>
      </c>
      <c r="C28" s="3795">
        <v>8.8947368421052637</v>
      </c>
      <c r="D28" s="3731">
        <v>2</v>
      </c>
      <c r="E28" s="3796">
        <v>1.0454545454545441</v>
      </c>
      <c r="F28" s="3797">
        <v>2.243243243243243</v>
      </c>
      <c r="G28" s="2933">
        <v>1.2307692307692317</v>
      </c>
      <c r="H28" s="2937">
        <v>2.3888888888888884</v>
      </c>
      <c r="I28" s="2933">
        <v>2.3099999999999996</v>
      </c>
      <c r="J28" s="2933">
        <v>1.1747826086956521</v>
      </c>
      <c r="K28" s="3634">
        <v>4.9561904761904758</v>
      </c>
      <c r="L28" s="3634">
        <v>3.2</v>
      </c>
      <c r="M28" s="3634">
        <v>3.5</v>
      </c>
    </row>
    <row r="29" spans="2:13">
      <c r="B29" s="3801" t="s">
        <v>106</v>
      </c>
      <c r="C29" s="3802">
        <v>2.1746345029239755</v>
      </c>
      <c r="D29" s="3739">
        <v>5.0370370370370363</v>
      </c>
      <c r="E29" s="3803">
        <v>2.2467532467532472</v>
      </c>
      <c r="F29" s="3804">
        <v>1.7625</v>
      </c>
      <c r="G29" s="2939">
        <v>1.3370786516853932</v>
      </c>
      <c r="H29" s="2939">
        <v>1.432432432432432</v>
      </c>
      <c r="I29" s="2939">
        <v>1.2594444444444446</v>
      </c>
      <c r="J29" s="2939">
        <v>1.1393518518518517</v>
      </c>
      <c r="K29" s="3636">
        <v>1.675090909090909</v>
      </c>
      <c r="L29" s="3636">
        <v>1.1000000000000001</v>
      </c>
      <c r="M29" s="3636">
        <v>0.91060606060606064</v>
      </c>
    </row>
    <row r="30" spans="2:13">
      <c r="B30" s="3805" t="s">
        <v>120</v>
      </c>
      <c r="C30" s="3806">
        <v>2.25</v>
      </c>
      <c r="D30" s="3745">
        <v>3.6666666666666661</v>
      </c>
      <c r="E30" s="3807"/>
      <c r="F30" s="3808">
        <v>3.7777777777777786</v>
      </c>
      <c r="G30" s="3809">
        <v>3.75</v>
      </c>
      <c r="H30" s="3809">
        <v>2.2857142857142865</v>
      </c>
      <c r="I30" s="3809">
        <v>2.33</v>
      </c>
      <c r="J30" s="3809">
        <v>3</v>
      </c>
      <c r="K30" s="3780">
        <v>3.5700000000000003</v>
      </c>
      <c r="L30" s="3780">
        <v>3.6199999999999992</v>
      </c>
      <c r="M30" s="3780">
        <v>3.1400000000000006</v>
      </c>
    </row>
    <row r="31" spans="2:13">
      <c r="B31" s="3810" t="s">
        <v>121</v>
      </c>
      <c r="C31" s="3798">
        <v>3.5</v>
      </c>
      <c r="D31" s="3722">
        <v>5</v>
      </c>
      <c r="E31" s="3799">
        <v>5.5555555555555554</v>
      </c>
      <c r="F31" s="3811">
        <v>2</v>
      </c>
      <c r="G31" s="3792">
        <v>3.5</v>
      </c>
      <c r="H31" s="3792">
        <v>3.57</v>
      </c>
      <c r="I31" s="3792">
        <v>2.8499999999999996</v>
      </c>
      <c r="J31" s="3792">
        <v>2.5199999999999996</v>
      </c>
      <c r="K31" s="3779">
        <v>2.5999999999999996</v>
      </c>
      <c r="L31" s="3779">
        <v>2.9399999999999995</v>
      </c>
      <c r="M31" s="3779">
        <v>1.92</v>
      </c>
    </row>
    <row r="32" spans="2:13">
      <c r="B32" s="3810" t="s">
        <v>122</v>
      </c>
      <c r="C32" s="3798">
        <v>2.8000000000000007</v>
      </c>
      <c r="D32" s="3722">
        <v>3</v>
      </c>
      <c r="E32" s="3799">
        <v>0.5</v>
      </c>
      <c r="F32" s="3811">
        <v>0</v>
      </c>
      <c r="G32" s="3792">
        <v>1.9000000000000012</v>
      </c>
      <c r="H32" s="3792">
        <v>1</v>
      </c>
      <c r="I32" s="3792">
        <v>3</v>
      </c>
      <c r="J32" s="3792">
        <v>0.5</v>
      </c>
      <c r="K32" s="3779">
        <v>0.55999999999999961</v>
      </c>
      <c r="L32" s="3779">
        <v>0.66999999999999993</v>
      </c>
      <c r="M32" s="3779">
        <v>0.55999999999999961</v>
      </c>
    </row>
    <row r="33" spans="2:13">
      <c r="B33" s="3810" t="s">
        <v>123</v>
      </c>
      <c r="C33" s="3798">
        <v>4.0999999999999996</v>
      </c>
      <c r="D33" s="3722">
        <v>2.8571428571428577</v>
      </c>
      <c r="E33" s="3799">
        <v>2.7857142857142847</v>
      </c>
      <c r="F33" s="3811">
        <v>2.7000000000000011</v>
      </c>
      <c r="G33" s="3792">
        <v>1.333333333333333</v>
      </c>
      <c r="H33" s="3792">
        <v>2</v>
      </c>
      <c r="I33" s="3792">
        <v>2.5</v>
      </c>
      <c r="J33" s="3792">
        <v>1.9100000000000001</v>
      </c>
      <c r="K33" s="3779">
        <v>1.7300000000000004</v>
      </c>
      <c r="L33" s="3779">
        <v>1.33</v>
      </c>
      <c r="M33" s="3779">
        <v>1.33</v>
      </c>
    </row>
    <row r="34" spans="2:13">
      <c r="B34" s="3810" t="s">
        <v>124</v>
      </c>
      <c r="C34" s="3798">
        <v>4.235294117647058</v>
      </c>
      <c r="D34" s="3722">
        <v>7.75</v>
      </c>
      <c r="E34" s="3799">
        <v>5</v>
      </c>
      <c r="F34" s="3811">
        <v>2.7333333333333325</v>
      </c>
      <c r="G34" s="3792">
        <v>2.7000000000000011</v>
      </c>
      <c r="H34" s="3792">
        <v>2.88</v>
      </c>
      <c r="I34" s="3792">
        <v>4.1999999999999993</v>
      </c>
      <c r="J34" s="3792">
        <v>4.25</v>
      </c>
      <c r="K34" s="3779">
        <v>0.33000000000000007</v>
      </c>
      <c r="L34" s="3779">
        <v>3.67</v>
      </c>
      <c r="M34" s="3779">
        <v>3.5</v>
      </c>
    </row>
    <row r="35" spans="2:13">
      <c r="B35" s="3810" t="s">
        <v>417</v>
      </c>
      <c r="C35" s="3798">
        <v>2.25</v>
      </c>
      <c r="D35" s="3722">
        <v>1.1428571428571423</v>
      </c>
      <c r="E35" s="3799">
        <v>2.2857142857142865</v>
      </c>
      <c r="F35" s="3811">
        <v>1.7692307692307692</v>
      </c>
      <c r="G35" s="3792">
        <v>2.1999999999999993</v>
      </c>
      <c r="H35" s="3792">
        <v>1.67</v>
      </c>
      <c r="I35" s="3792">
        <v>3</v>
      </c>
      <c r="J35" s="3792">
        <v>2</v>
      </c>
      <c r="K35" s="3779">
        <v>3.4399999999999995</v>
      </c>
      <c r="L35" s="3779">
        <v>1.75</v>
      </c>
      <c r="M35" s="3779">
        <v>2</v>
      </c>
    </row>
    <row r="36" spans="2:13">
      <c r="B36" s="3810" t="s">
        <v>795</v>
      </c>
      <c r="C36" s="3798"/>
      <c r="D36" s="3722"/>
      <c r="E36" s="3791"/>
      <c r="F36" s="3811"/>
      <c r="G36" s="3792"/>
      <c r="H36" s="3792">
        <v>2</v>
      </c>
      <c r="I36" s="3792">
        <v>3.17</v>
      </c>
      <c r="J36" s="3792">
        <v>2.5999999999999996</v>
      </c>
      <c r="K36" s="3779">
        <v>2.3000000000000007</v>
      </c>
      <c r="L36" s="3779">
        <v>3.91</v>
      </c>
      <c r="M36" s="3779">
        <v>2.33</v>
      </c>
    </row>
    <row r="37" spans="2:13">
      <c r="B37" s="3812" t="s">
        <v>544</v>
      </c>
      <c r="C37" s="3795">
        <v>3.1892156862745096</v>
      </c>
      <c r="D37" s="3730">
        <v>3.8367346938775508</v>
      </c>
      <c r="E37" s="3796">
        <v>3.8163265306122449</v>
      </c>
      <c r="F37" s="3796">
        <v>2.359375</v>
      </c>
      <c r="G37" s="2933">
        <v>2.6527777777777786</v>
      </c>
      <c r="H37" s="2933">
        <v>2.4237288135593227</v>
      </c>
      <c r="I37" s="2933">
        <v>2.9049206349206349</v>
      </c>
      <c r="J37" s="2933">
        <v>2.1942682926829269</v>
      </c>
      <c r="K37" s="3634">
        <v>2.1398924731182798</v>
      </c>
      <c r="L37" s="3634">
        <v>2.7774626865671639</v>
      </c>
      <c r="M37" s="3634">
        <v>2.0743396226415096</v>
      </c>
    </row>
    <row r="38" spans="2:13">
      <c r="B38" s="3810" t="s">
        <v>107</v>
      </c>
      <c r="C38" s="3798">
        <v>15.5</v>
      </c>
      <c r="D38" s="3722">
        <v>0.1333333333333302</v>
      </c>
      <c r="E38" s="3799">
        <v>-3</v>
      </c>
      <c r="F38" s="3791"/>
      <c r="G38" s="3792">
        <v>0.33333333333333348</v>
      </c>
      <c r="H38" s="3792"/>
      <c r="I38" s="3792">
        <v>-3</v>
      </c>
      <c r="J38" s="3792">
        <v>-2</v>
      </c>
      <c r="K38" s="3792">
        <v>0</v>
      </c>
      <c r="M38" s="3779">
        <v>0.10999999999999988</v>
      </c>
    </row>
    <row r="39" spans="2:13">
      <c r="B39" s="3810" t="s">
        <v>125</v>
      </c>
      <c r="C39" s="3798">
        <v>0.29411764705882426</v>
      </c>
      <c r="D39" s="3722">
        <v>1.8888888888888893</v>
      </c>
      <c r="E39" s="3799">
        <v>7.5</v>
      </c>
      <c r="F39" s="3811">
        <v>3.3333333333333339</v>
      </c>
      <c r="G39" s="3792">
        <v>2.9333333333333336</v>
      </c>
      <c r="H39" s="3792">
        <v>5.5</v>
      </c>
      <c r="I39" s="3792">
        <v>0</v>
      </c>
      <c r="J39" s="3792">
        <v>0.45999999999999996</v>
      </c>
      <c r="K39" s="3779">
        <v>4</v>
      </c>
      <c r="L39" s="3779">
        <v>0.19000000000000039</v>
      </c>
      <c r="M39" s="3779">
        <v>0.79999999999999982</v>
      </c>
    </row>
    <row r="40" spans="2:13">
      <c r="B40" s="3810" t="s">
        <v>126</v>
      </c>
      <c r="C40" s="3798">
        <v>8</v>
      </c>
      <c r="D40" s="3722">
        <v>3.4999999999999964</v>
      </c>
      <c r="E40" s="3799">
        <v>2.1818181818181817</v>
      </c>
      <c r="F40" s="3811">
        <v>1.9024390243902456</v>
      </c>
      <c r="G40" s="3792">
        <v>1.8409090909090944</v>
      </c>
      <c r="H40" s="3792">
        <v>2.08</v>
      </c>
      <c r="I40" s="3792">
        <v>1.3399999999999999</v>
      </c>
      <c r="J40" s="3792">
        <v>2.5</v>
      </c>
      <c r="K40" s="3779">
        <v>1.1399999999999997</v>
      </c>
      <c r="L40" s="3779">
        <v>2.1099999999999994</v>
      </c>
      <c r="M40" s="3779">
        <v>0</v>
      </c>
    </row>
    <row r="41" spans="2:13">
      <c r="B41" s="3810" t="s">
        <v>127</v>
      </c>
      <c r="C41" s="3798">
        <v>0.375</v>
      </c>
      <c r="D41" s="3722">
        <v>1.333333333333333</v>
      </c>
      <c r="E41" s="3799">
        <v>0.61538461538461497</v>
      </c>
      <c r="F41" s="3811">
        <v>0.59999999999999964</v>
      </c>
      <c r="G41" s="3792">
        <v>0.26086956521739157</v>
      </c>
      <c r="H41" s="3792">
        <v>2.25</v>
      </c>
      <c r="I41" s="3792">
        <v>0.19000000000000039</v>
      </c>
      <c r="J41" s="3792">
        <v>0.40000000000000036</v>
      </c>
      <c r="K41" s="3779">
        <v>0.19000000000000039</v>
      </c>
      <c r="L41" s="3779">
        <v>1.5</v>
      </c>
      <c r="M41" s="3779">
        <v>0</v>
      </c>
    </row>
    <row r="42" spans="2:13">
      <c r="B42" s="3810" t="s">
        <v>128</v>
      </c>
      <c r="C42" s="3798">
        <v>1</v>
      </c>
      <c r="D42" s="3722">
        <v>1.666666666666667</v>
      </c>
      <c r="E42" s="3799">
        <v>1</v>
      </c>
      <c r="F42" s="3811">
        <v>1.8750000000000018</v>
      </c>
      <c r="G42" s="3792">
        <v>5.8823529411764497E-2</v>
      </c>
      <c r="H42" s="3792">
        <v>0.67</v>
      </c>
      <c r="I42" s="3792">
        <v>0.44000000000000039</v>
      </c>
      <c r="J42" s="3792">
        <v>0</v>
      </c>
      <c r="K42" s="3779">
        <v>0.33000000000000007</v>
      </c>
      <c r="L42" s="3779">
        <v>0</v>
      </c>
      <c r="M42" s="3779"/>
    </row>
    <row r="43" spans="2:13" s="4577" customFormat="1">
      <c r="B43" s="3810" t="s">
        <v>2278</v>
      </c>
      <c r="C43" s="3798"/>
      <c r="D43" s="3722"/>
      <c r="E43" s="3799"/>
      <c r="F43" s="3811"/>
      <c r="G43" s="3792"/>
      <c r="H43" s="3792"/>
      <c r="I43" s="3792"/>
      <c r="J43" s="3792"/>
      <c r="K43" s="3779"/>
      <c r="L43" s="3779">
        <v>1.33</v>
      </c>
      <c r="M43" s="3779">
        <v>2</v>
      </c>
    </row>
    <row r="44" spans="2:13" s="4577" customFormat="1">
      <c r="B44" s="3810" t="s">
        <v>2939</v>
      </c>
      <c r="C44" s="3798"/>
      <c r="D44" s="3722"/>
      <c r="E44" s="3799"/>
      <c r="F44" s="3811"/>
      <c r="G44" s="3792"/>
      <c r="H44" s="3792"/>
      <c r="I44" s="3792"/>
      <c r="J44" s="3792"/>
      <c r="K44" s="3779"/>
      <c r="L44" s="3779">
        <v>0.11000000000000032</v>
      </c>
      <c r="M44" s="3779">
        <v>1</v>
      </c>
    </row>
    <row r="45" spans="2:13">
      <c r="B45" s="3812" t="s">
        <v>545</v>
      </c>
      <c r="C45" s="3795">
        <v>6.361519607843138</v>
      </c>
      <c r="D45" s="3730">
        <v>2.8265306122448957</v>
      </c>
      <c r="E45" s="3796">
        <v>2.258297258297258</v>
      </c>
      <c r="F45" s="3796">
        <v>1.8615384615384631</v>
      </c>
      <c r="G45" s="2933">
        <v>1.2017543859649138</v>
      </c>
      <c r="H45" s="2933">
        <v>1.89</v>
      </c>
      <c r="I45" s="2933">
        <v>0.38023809523809532</v>
      </c>
      <c r="J45" s="2933">
        <v>0.73142857142857143</v>
      </c>
      <c r="K45" s="3634">
        <v>0.69543478260869573</v>
      </c>
      <c r="L45" s="3634">
        <v>0.92964285714285722</v>
      </c>
      <c r="M45" s="3634">
        <v>0.26633333333333326</v>
      </c>
    </row>
    <row r="46" spans="2:13">
      <c r="B46" s="3810" t="s">
        <v>443</v>
      </c>
      <c r="C46" s="3798">
        <v>3</v>
      </c>
      <c r="D46" s="3791"/>
      <c r="E46" s="3791"/>
      <c r="F46" s="3791"/>
      <c r="G46" s="3792">
        <v>1.5</v>
      </c>
      <c r="H46" s="3792">
        <v>2.3333333333333321</v>
      </c>
      <c r="I46" s="3792">
        <v>1.46</v>
      </c>
      <c r="J46" s="3792">
        <v>1.5</v>
      </c>
      <c r="K46" s="3779">
        <v>1.71</v>
      </c>
      <c r="L46" s="3779">
        <v>1.3099999999999996</v>
      </c>
      <c r="M46" s="3779">
        <v>1</v>
      </c>
    </row>
    <row r="47" spans="2:13">
      <c r="B47" s="3810" t="s">
        <v>129</v>
      </c>
      <c r="C47" s="3798">
        <v>4.3333333333333321</v>
      </c>
      <c r="D47" s="3722">
        <v>0.875</v>
      </c>
      <c r="E47" s="3799">
        <v>2.8000000000000007</v>
      </c>
      <c r="F47" s="3811">
        <v>1.3181818181818201</v>
      </c>
      <c r="G47" s="3792">
        <v>1.0000000000000009</v>
      </c>
      <c r="H47" s="3792">
        <v>0.75</v>
      </c>
      <c r="I47" s="3792">
        <v>1.2999999999999998</v>
      </c>
      <c r="J47" s="3792">
        <v>0.71</v>
      </c>
      <c r="K47" s="3779">
        <v>1</v>
      </c>
      <c r="L47" s="3779">
        <v>0.59999999999999964</v>
      </c>
      <c r="M47" s="3779">
        <v>0.37999999999999989</v>
      </c>
    </row>
    <row r="48" spans="2:13">
      <c r="B48" s="3810" t="s">
        <v>130</v>
      </c>
      <c r="C48" s="3798">
        <v>5.3846153846153868</v>
      </c>
      <c r="D48" s="3722">
        <v>1.6111111111111116</v>
      </c>
      <c r="E48" s="3799">
        <v>2.3913043478260896</v>
      </c>
      <c r="F48" s="3811">
        <v>2.3333333333333339</v>
      </c>
      <c r="G48" s="3792">
        <v>1.1052631578947381</v>
      </c>
      <c r="H48" s="3792">
        <v>1.07</v>
      </c>
      <c r="I48" s="3792">
        <v>0.80999999999999961</v>
      </c>
      <c r="J48" s="3792">
        <v>1.0999999999999996</v>
      </c>
      <c r="K48" s="3779">
        <v>1.3899999999999997</v>
      </c>
      <c r="L48" s="3779">
        <v>0.91000000000000014</v>
      </c>
      <c r="M48" s="3779">
        <v>0.5</v>
      </c>
    </row>
    <row r="49" spans="2:13">
      <c r="B49" s="3810" t="s">
        <v>131</v>
      </c>
      <c r="C49" s="3798">
        <v>3.4000000000000004</v>
      </c>
      <c r="D49" s="3722">
        <v>3.615384615384615</v>
      </c>
      <c r="E49" s="3799">
        <v>5.4285714285714288</v>
      </c>
      <c r="F49" s="3811">
        <v>2.6666666666666661</v>
      </c>
      <c r="G49" s="3792">
        <v>3.0000000000000018</v>
      </c>
      <c r="H49" s="3792">
        <v>2.5555555555555554</v>
      </c>
      <c r="I49" s="3792">
        <v>3.4600000000000009</v>
      </c>
      <c r="J49" s="3792">
        <v>2.5700000000000003</v>
      </c>
      <c r="K49" s="3779">
        <v>3</v>
      </c>
      <c r="L49" s="3779">
        <v>1.67</v>
      </c>
      <c r="M49" s="3779">
        <v>1</v>
      </c>
    </row>
    <row r="50" spans="2:13">
      <c r="B50" s="3812" t="s">
        <v>547</v>
      </c>
      <c r="C50" s="3795">
        <v>4.0294871794871803</v>
      </c>
      <c r="D50" s="3730">
        <v>1.9148936170212767</v>
      </c>
      <c r="E50" s="3796">
        <v>3.0000000000000013</v>
      </c>
      <c r="F50" s="3796">
        <v>1.9807692307692319</v>
      </c>
      <c r="G50" s="2933">
        <v>1.7301587301587302</v>
      </c>
      <c r="H50" s="2933">
        <v>1.551724137931034</v>
      </c>
      <c r="I50" s="2933">
        <v>1.931232876712329</v>
      </c>
      <c r="J50" s="2933">
        <v>1.4983333333333333</v>
      </c>
      <c r="K50" s="3634">
        <v>1.7620338983050847</v>
      </c>
      <c r="L50" s="3634">
        <v>1.0784313725490193</v>
      </c>
      <c r="M50" s="3634">
        <v>0.69384615384615378</v>
      </c>
    </row>
    <row r="51" spans="2:13">
      <c r="B51" s="3801" t="s">
        <v>110</v>
      </c>
      <c r="C51" s="3802">
        <v>4.5267408245349428</v>
      </c>
      <c r="D51" s="3739">
        <v>2.86082474226804</v>
      </c>
      <c r="E51" s="3804">
        <v>2.9571511291256516</v>
      </c>
      <c r="F51" s="3804">
        <v>2.0718232044198905</v>
      </c>
      <c r="G51" s="2939">
        <v>1.7550200803212861</v>
      </c>
      <c r="H51" s="2939">
        <v>1.7152777777777777</v>
      </c>
      <c r="I51" s="2939">
        <v>1.6178636363636365</v>
      </c>
      <c r="J51" s="2939">
        <v>1.574247311827957</v>
      </c>
      <c r="K51" s="3636">
        <v>1.691717171717172</v>
      </c>
      <c r="L51" s="3636">
        <v>1.6847701149425287</v>
      </c>
      <c r="M51" s="3636">
        <v>1.2474311926605504</v>
      </c>
    </row>
    <row r="52" spans="2:13">
      <c r="B52" s="3805" t="s">
        <v>132</v>
      </c>
      <c r="C52" s="3806">
        <v>8.9166666666666643</v>
      </c>
      <c r="D52" s="3745">
        <v>5.7777777777777786</v>
      </c>
      <c r="E52" s="3813">
        <v>3.5</v>
      </c>
      <c r="F52" s="3808">
        <v>1.75</v>
      </c>
      <c r="G52" s="3809">
        <v>2</v>
      </c>
      <c r="H52" s="3809">
        <v>1.38</v>
      </c>
      <c r="I52" s="3809">
        <v>1.0599999999999996</v>
      </c>
      <c r="J52" s="3809">
        <v>0.20000000000000018</v>
      </c>
      <c r="K52" s="3780">
        <v>1.2699999999999996</v>
      </c>
      <c r="L52" s="3780">
        <v>0.12999999999999989</v>
      </c>
      <c r="M52" s="3780">
        <v>1</v>
      </c>
    </row>
    <row r="53" spans="2:13">
      <c r="B53" s="3810" t="s">
        <v>135</v>
      </c>
      <c r="C53" s="3798">
        <v>0.5</v>
      </c>
      <c r="D53" s="3722">
        <v>3</v>
      </c>
      <c r="E53" s="3799">
        <v>0.29999999999999982</v>
      </c>
      <c r="F53" s="3811">
        <v>1.8181818181818192</v>
      </c>
      <c r="G53" s="3792">
        <v>1.1666666666666661</v>
      </c>
      <c r="H53" s="3792">
        <v>0.375</v>
      </c>
      <c r="I53" s="3792">
        <v>1.1399999999999997</v>
      </c>
      <c r="J53" s="3792">
        <v>0.37999999999999989</v>
      </c>
      <c r="K53" s="3779">
        <v>0.87999999999999989</v>
      </c>
      <c r="L53" s="3779">
        <v>0.16999999999999993</v>
      </c>
      <c r="M53" s="3779"/>
    </row>
    <row r="54" spans="2:13">
      <c r="B54" s="3810" t="s">
        <v>136</v>
      </c>
      <c r="C54" s="3798">
        <v>0</v>
      </c>
      <c r="D54" s="3722">
        <v>1.0909090909090899</v>
      </c>
      <c r="E54" s="3799">
        <v>2.125</v>
      </c>
      <c r="F54" s="3811">
        <v>0.125</v>
      </c>
      <c r="G54" s="3792">
        <v>4</v>
      </c>
      <c r="H54" s="3792">
        <v>0</v>
      </c>
      <c r="I54" s="3792">
        <v>0</v>
      </c>
      <c r="J54" s="3792">
        <v>0</v>
      </c>
      <c r="K54" s="3779">
        <v>0.59999999999999964</v>
      </c>
      <c r="L54" s="3779">
        <v>0.5</v>
      </c>
      <c r="M54" s="3779"/>
    </row>
    <row r="55" spans="2:13">
      <c r="B55" s="3810" t="s">
        <v>137</v>
      </c>
      <c r="C55" s="3798">
        <v>1.7272727272727275</v>
      </c>
      <c r="D55" s="3722">
        <v>3.2222222222222214</v>
      </c>
      <c r="E55" s="3799">
        <v>1</v>
      </c>
      <c r="F55" s="3811">
        <v>1.5714285714285712</v>
      </c>
      <c r="G55" s="3792">
        <v>0.5</v>
      </c>
      <c r="H55" s="3792">
        <v>1.83</v>
      </c>
      <c r="I55" s="3792">
        <v>0</v>
      </c>
      <c r="J55" s="3792">
        <v>0</v>
      </c>
      <c r="K55" s="3779">
        <v>0.66999999999999993</v>
      </c>
      <c r="L55" s="3779">
        <v>1.33</v>
      </c>
      <c r="M55" s="3779"/>
    </row>
    <row r="56" spans="2:13" s="2481" customFormat="1">
      <c r="B56" s="3810" t="s">
        <v>128</v>
      </c>
      <c r="C56" s="3798"/>
      <c r="D56" s="3722"/>
      <c r="E56" s="3799"/>
      <c r="F56" s="3811"/>
      <c r="G56" s="3792"/>
      <c r="H56" s="3792"/>
      <c r="I56" s="3792"/>
      <c r="J56" s="3792"/>
      <c r="K56" s="3779">
        <v>0</v>
      </c>
      <c r="L56" s="3417"/>
      <c r="M56" s="3779">
        <v>0</v>
      </c>
    </row>
    <row r="57" spans="2:13">
      <c r="B57" s="3810" t="s">
        <v>111</v>
      </c>
      <c r="C57" s="3798">
        <v>0.14285714285714413</v>
      </c>
      <c r="D57" s="3722">
        <v>2.378378378378379</v>
      </c>
      <c r="E57" s="3799">
        <v>0.1</v>
      </c>
      <c r="F57" s="3811">
        <v>9.0999999999999998E-2</v>
      </c>
      <c r="G57" s="3792">
        <v>0.67</v>
      </c>
      <c r="H57" s="3792">
        <v>0.79</v>
      </c>
      <c r="I57" s="3792">
        <v>-2.92</v>
      </c>
      <c r="J57" s="3792">
        <v>-0.54</v>
      </c>
      <c r="K57" s="3779">
        <v>-1.1500000000000004</v>
      </c>
      <c r="L57" s="3779">
        <v>-3</v>
      </c>
      <c r="M57" s="3779">
        <v>-2.52</v>
      </c>
    </row>
    <row r="58" spans="2:13">
      <c r="B58" s="3810" t="s">
        <v>509</v>
      </c>
      <c r="C58" s="3722"/>
      <c r="D58" s="3722"/>
      <c r="E58" s="3722"/>
      <c r="F58" s="3791"/>
      <c r="G58" s="3792">
        <v>0</v>
      </c>
      <c r="H58" s="3792">
        <v>0</v>
      </c>
      <c r="I58" s="3792">
        <v>0.5</v>
      </c>
      <c r="J58" s="3792"/>
      <c r="K58" s="3779">
        <v>0.57000000000000028</v>
      </c>
      <c r="L58" s="3779">
        <v>0</v>
      </c>
      <c r="M58" s="3779">
        <v>1.2999999999999998</v>
      </c>
    </row>
    <row r="59" spans="2:13">
      <c r="B59" s="3810" t="s">
        <v>591</v>
      </c>
      <c r="C59" s="3722"/>
      <c r="D59" s="3791"/>
      <c r="E59" s="3799">
        <v>-3</v>
      </c>
      <c r="F59" s="3811">
        <v>-3</v>
      </c>
      <c r="G59" s="3792">
        <v>2.4545454545454541</v>
      </c>
      <c r="H59" s="3792">
        <v>0</v>
      </c>
      <c r="I59" s="3792">
        <v>-0.20000000000000018</v>
      </c>
      <c r="J59" s="3792">
        <v>8.9999999999999858E-2</v>
      </c>
      <c r="K59" s="3779">
        <v>0</v>
      </c>
      <c r="L59" s="3779">
        <v>0</v>
      </c>
      <c r="M59" s="3779">
        <v>0</v>
      </c>
    </row>
    <row r="60" spans="2:13">
      <c r="B60" s="3814" t="s">
        <v>134</v>
      </c>
      <c r="C60" s="3798">
        <v>0.20000000000000018</v>
      </c>
      <c r="D60" s="3722">
        <v>-2.3846153846153846</v>
      </c>
      <c r="E60" s="3799">
        <v>-3</v>
      </c>
      <c r="F60" s="3811">
        <v>0</v>
      </c>
      <c r="G60" s="3792"/>
      <c r="H60" s="3792"/>
      <c r="I60" s="3783"/>
      <c r="J60" s="3783"/>
      <c r="K60" s="3779"/>
      <c r="L60" s="3779"/>
      <c r="M60" s="3779"/>
    </row>
    <row r="61" spans="2:13">
      <c r="B61" s="3810" t="s">
        <v>1936</v>
      </c>
      <c r="C61" s="3798">
        <v>0.30769230769230749</v>
      </c>
      <c r="D61" s="3722">
        <v>4.5999999999999996</v>
      </c>
      <c r="E61" s="3799">
        <v>0</v>
      </c>
      <c r="F61" s="3811">
        <v>0</v>
      </c>
      <c r="G61" s="3792">
        <v>0.625</v>
      </c>
      <c r="H61" s="3792">
        <v>0.29999999999999982</v>
      </c>
      <c r="I61" s="3792">
        <v>0.59999999999999964</v>
      </c>
      <c r="J61" s="3792">
        <v>0</v>
      </c>
      <c r="K61" s="3779">
        <v>0.24000000000000021</v>
      </c>
      <c r="L61" s="3779">
        <v>0</v>
      </c>
      <c r="M61" s="3779"/>
    </row>
    <row r="62" spans="2:13" s="2481" customFormat="1">
      <c r="B62" s="3810" t="s">
        <v>2278</v>
      </c>
      <c r="C62" s="3798"/>
      <c r="D62" s="3722"/>
      <c r="E62" s="3799"/>
      <c r="F62" s="3811"/>
      <c r="G62" s="3792"/>
      <c r="H62" s="3792"/>
      <c r="I62" s="3792"/>
      <c r="J62" s="3792"/>
      <c r="K62" s="3779">
        <v>0</v>
      </c>
      <c r="L62" s="3779">
        <v>1</v>
      </c>
      <c r="M62" s="3779"/>
    </row>
    <row r="63" spans="2:13" s="4577" customFormat="1">
      <c r="B63" s="3810" t="s">
        <v>2283</v>
      </c>
      <c r="C63" s="3798"/>
      <c r="D63" s="3722"/>
      <c r="E63" s="3799"/>
      <c r="F63" s="3811"/>
      <c r="G63" s="3792"/>
      <c r="H63" s="3792"/>
      <c r="I63" s="3792"/>
      <c r="J63" s="3792"/>
      <c r="K63" s="3779"/>
      <c r="L63" s="3779">
        <v>0</v>
      </c>
      <c r="M63" s="3779">
        <v>0</v>
      </c>
    </row>
    <row r="64" spans="2:13">
      <c r="B64" s="3812" t="s">
        <v>545</v>
      </c>
      <c r="C64" s="3795">
        <v>1.68492697778412</v>
      </c>
      <c r="D64" s="3730">
        <v>2.2448979591836733</v>
      </c>
      <c r="E64" s="3796">
        <v>0.50793650793650802</v>
      </c>
      <c r="F64" s="3796">
        <v>0.1911764705882355</v>
      </c>
      <c r="G64" s="2933">
        <v>0.42187499999999994</v>
      </c>
      <c r="H64" s="2933">
        <v>0.66197183098591561</v>
      </c>
      <c r="I64" s="2933">
        <v>-3.922077922077942E-2</v>
      </c>
      <c r="J64" s="2933">
        <v>-0.11169014084507047</v>
      </c>
      <c r="K64" s="3634">
        <v>0.30836734693877543</v>
      </c>
      <c r="L64" s="3634">
        <v>-0.24763157894736842</v>
      </c>
      <c r="M64" s="3634">
        <v>-0.85860465116279072</v>
      </c>
    </row>
    <row r="65" spans="2:13">
      <c r="B65" s="3810" t="s">
        <v>138</v>
      </c>
      <c r="C65" s="3798">
        <v>12.2</v>
      </c>
      <c r="D65" s="3791"/>
      <c r="E65" s="3799">
        <v>0</v>
      </c>
      <c r="F65" s="3811">
        <v>1</v>
      </c>
      <c r="G65" s="3792">
        <v>-1.5</v>
      </c>
      <c r="H65" s="3792">
        <v>-1.5714285714285712</v>
      </c>
      <c r="I65" s="3792">
        <v>-0.88999999999999968</v>
      </c>
      <c r="J65" s="3792">
        <v>0.33000000000000007</v>
      </c>
      <c r="K65" s="3779"/>
      <c r="L65" s="3779"/>
      <c r="M65" s="3779"/>
    </row>
    <row r="66" spans="2:13">
      <c r="B66" s="3810" t="s">
        <v>139</v>
      </c>
      <c r="C66" s="3798">
        <v>-0.83333333333333304</v>
      </c>
      <c r="D66" s="3722">
        <v>0.47619047619047716</v>
      </c>
      <c r="E66" s="3799">
        <v>-0.59999999999999964</v>
      </c>
      <c r="F66" s="3811">
        <v>-0.10526315789473539</v>
      </c>
      <c r="G66" s="3792">
        <v>-0.25</v>
      </c>
      <c r="H66" s="3792">
        <v>0.5</v>
      </c>
      <c r="I66" s="3792">
        <v>0.59999999999999964</v>
      </c>
      <c r="J66" s="3792">
        <v>0.23000000000000043</v>
      </c>
      <c r="K66" s="3779">
        <v>0.66999999999999993</v>
      </c>
      <c r="L66" s="3779">
        <v>0.26999999999999957</v>
      </c>
      <c r="M66" s="3779">
        <v>0.26999999999999957</v>
      </c>
    </row>
    <row r="67" spans="2:13">
      <c r="B67" s="3810" t="s">
        <v>2922</v>
      </c>
      <c r="C67" s="3798">
        <v>1.2727272727272725</v>
      </c>
      <c r="D67" s="3722">
        <v>0.5</v>
      </c>
      <c r="E67" s="3799">
        <v>2.2000000000000002</v>
      </c>
      <c r="F67" s="3811">
        <v>0.44444444444444464</v>
      </c>
      <c r="G67" s="3792">
        <v>0.66666666666666696</v>
      </c>
      <c r="H67" s="3792">
        <v>-0.625</v>
      </c>
      <c r="I67" s="3792"/>
      <c r="J67" s="3792">
        <v>-0.30999999999999961</v>
      </c>
      <c r="K67" s="3779">
        <v>0.20000000000000018</v>
      </c>
      <c r="L67" s="3779">
        <v>0</v>
      </c>
      <c r="M67" s="3779">
        <v>-0.66999999999999993</v>
      </c>
    </row>
    <row r="68" spans="2:13">
      <c r="B68" s="3810" t="s">
        <v>444</v>
      </c>
      <c r="C68" s="3798">
        <v>2</v>
      </c>
      <c r="D68" s="3722"/>
      <c r="E68" s="3799">
        <v>0</v>
      </c>
      <c r="F68" s="3791"/>
      <c r="G68" s="3792">
        <v>1.2000000000000002</v>
      </c>
      <c r="H68" s="3792"/>
      <c r="I68" s="3792">
        <v>0</v>
      </c>
      <c r="J68" s="3792">
        <v>0</v>
      </c>
      <c r="K68" s="3779"/>
      <c r="L68" s="3779"/>
      <c r="M68" s="3779"/>
    </row>
    <row r="69" spans="2:13">
      <c r="B69" s="3814" t="s">
        <v>141</v>
      </c>
      <c r="C69" s="3798">
        <v>3</v>
      </c>
      <c r="D69" s="3722">
        <v>1.1578947368421053</v>
      </c>
      <c r="E69" s="3799">
        <v>2.2000000000000011</v>
      </c>
      <c r="F69" s="3811">
        <v>0.5</v>
      </c>
      <c r="G69" s="3792">
        <v>1.2666666666666675</v>
      </c>
      <c r="H69" s="3792">
        <v>1.92</v>
      </c>
      <c r="I69" s="3792">
        <v>0.91999999999999993</v>
      </c>
      <c r="J69" s="3792">
        <v>0.66999999999999993</v>
      </c>
      <c r="K69" s="3779">
        <v>0.78000000000000025</v>
      </c>
      <c r="L69" s="3779">
        <v>1.42</v>
      </c>
      <c r="M69" s="3779">
        <v>1</v>
      </c>
    </row>
    <row r="70" spans="2:13">
      <c r="B70" s="3814" t="s">
        <v>142</v>
      </c>
      <c r="C70" s="3798">
        <v>-0.42857142857142794</v>
      </c>
      <c r="D70" s="3722">
        <v>-0.92857142857142883</v>
      </c>
      <c r="E70" s="3799">
        <v>2.5</v>
      </c>
      <c r="F70" s="3811">
        <v>0.92857142857142883</v>
      </c>
      <c r="G70" s="3792">
        <v>0.72727272727272751</v>
      </c>
      <c r="H70" s="3792">
        <v>1.3</v>
      </c>
      <c r="I70" s="3792">
        <v>0.53000000000000025</v>
      </c>
      <c r="J70" s="3792">
        <v>0.41000000000000014</v>
      </c>
      <c r="K70" s="3779">
        <v>1.3099999999999996</v>
      </c>
      <c r="L70" s="3779">
        <v>0.87000000000000011</v>
      </c>
      <c r="M70" s="3779">
        <v>0.66999999999999993</v>
      </c>
    </row>
    <row r="71" spans="2:13">
      <c r="B71" s="3814" t="s">
        <v>1937</v>
      </c>
      <c r="C71" s="3798"/>
      <c r="D71" s="3722"/>
      <c r="E71" s="3799"/>
      <c r="F71" s="3811"/>
      <c r="G71" s="3792"/>
      <c r="H71" s="3792"/>
      <c r="I71" s="3792">
        <v>0</v>
      </c>
      <c r="J71" s="3792">
        <v>0</v>
      </c>
      <c r="K71" s="3779">
        <v>0</v>
      </c>
      <c r="L71" s="3779">
        <v>0.29000000000000004</v>
      </c>
      <c r="M71" s="3779">
        <v>1.67</v>
      </c>
    </row>
    <row r="72" spans="2:13">
      <c r="B72" s="3814" t="s">
        <v>827</v>
      </c>
      <c r="C72" s="3798"/>
      <c r="D72" s="3722"/>
      <c r="E72" s="3799"/>
      <c r="F72" s="3811"/>
      <c r="G72" s="3792"/>
      <c r="H72" s="3792">
        <v>-2</v>
      </c>
      <c r="I72" s="3792">
        <v>-2</v>
      </c>
      <c r="J72" s="3792">
        <v>0</v>
      </c>
      <c r="K72" s="3779">
        <v>0</v>
      </c>
      <c r="L72" s="3779">
        <v>0.20000000000000018</v>
      </c>
      <c r="M72" s="3779">
        <v>0</v>
      </c>
    </row>
    <row r="73" spans="2:13">
      <c r="B73" s="3815" t="s">
        <v>2539</v>
      </c>
      <c r="C73" s="3798"/>
      <c r="D73" s="3722"/>
      <c r="E73" s="3799"/>
      <c r="F73" s="3811"/>
      <c r="G73" s="3792"/>
      <c r="H73" s="3792"/>
      <c r="I73" s="3792"/>
      <c r="J73" s="3792">
        <v>1</v>
      </c>
      <c r="K73" s="3779">
        <v>-1.17</v>
      </c>
      <c r="L73" s="3779">
        <v>1.5700000000000003</v>
      </c>
      <c r="M73" s="3779">
        <v>0.25</v>
      </c>
    </row>
    <row r="74" spans="2:13" s="5504" customFormat="1">
      <c r="B74" s="3814" t="s">
        <v>3865</v>
      </c>
      <c r="C74" s="3798"/>
      <c r="D74" s="3722"/>
      <c r="E74" s="3799"/>
      <c r="F74" s="3811"/>
      <c r="G74" s="3792"/>
      <c r="H74" s="3792"/>
      <c r="I74" s="3792"/>
      <c r="J74" s="3792"/>
      <c r="K74" s="3779"/>
      <c r="L74" s="3779"/>
      <c r="M74" s="3779">
        <v>0</v>
      </c>
    </row>
    <row r="75" spans="2:13" s="5504" customFormat="1">
      <c r="B75" s="3814" t="s">
        <v>3921</v>
      </c>
      <c r="C75" s="3798"/>
      <c r="D75" s="3722"/>
      <c r="E75" s="3799"/>
      <c r="F75" s="3811"/>
      <c r="G75" s="3792"/>
      <c r="H75" s="3792"/>
      <c r="I75" s="3792"/>
      <c r="J75" s="3792"/>
      <c r="K75" s="3779"/>
      <c r="L75" s="3779"/>
      <c r="M75" s="3779">
        <v>1.5</v>
      </c>
    </row>
    <row r="76" spans="2:13">
      <c r="B76" s="3814" t="s">
        <v>112</v>
      </c>
      <c r="C76" s="3722"/>
      <c r="D76" s="3722">
        <v>0.75</v>
      </c>
      <c r="E76" s="3722"/>
      <c r="F76" s="3811">
        <v>0.66666666666666652</v>
      </c>
      <c r="G76" s="3792"/>
      <c r="H76" s="3792"/>
      <c r="I76" s="3792"/>
      <c r="J76" s="3792"/>
      <c r="K76" s="3779"/>
      <c r="L76" s="3779"/>
      <c r="M76" s="3779"/>
    </row>
    <row r="77" spans="2:13">
      <c r="B77" s="3816" t="s">
        <v>547</v>
      </c>
      <c r="C77" s="3795">
        <v>2.8684704184704191</v>
      </c>
      <c r="D77" s="3730">
        <v>0.38709677419354865</v>
      </c>
      <c r="E77" s="3796">
        <v>1.2727272727272732</v>
      </c>
      <c r="F77" s="3796">
        <v>0.44262295081967268</v>
      </c>
      <c r="G77" s="2933">
        <v>0.76470588235294157</v>
      </c>
      <c r="H77" s="2933">
        <v>0.45161290322580644</v>
      </c>
      <c r="I77" s="2933">
        <v>0.26000000000000006</v>
      </c>
      <c r="J77" s="2933">
        <v>0.2</v>
      </c>
      <c r="K77" s="3634">
        <v>0.53999999999999992</v>
      </c>
      <c r="L77" s="3634">
        <v>0.78787234042553189</v>
      </c>
      <c r="M77" s="3634">
        <v>0.36083333333333317</v>
      </c>
    </row>
    <row r="78" spans="2:13">
      <c r="B78" s="3810" t="s">
        <v>143</v>
      </c>
      <c r="C78" s="3798">
        <v>0.375</v>
      </c>
      <c r="D78" s="3722">
        <v>5.8823529411764497E-2</v>
      </c>
      <c r="E78" s="3799">
        <v>0</v>
      </c>
      <c r="F78" s="3811">
        <v>0</v>
      </c>
      <c r="G78" s="3792">
        <v>0</v>
      </c>
      <c r="H78" s="3792">
        <v>5.2631578947368141E-2</v>
      </c>
      <c r="I78" s="3792">
        <v>0</v>
      </c>
      <c r="J78" s="3792">
        <v>7.0000000000000284E-2</v>
      </c>
      <c r="K78" s="3779">
        <v>4.0000000000000036E-2</v>
      </c>
      <c r="L78" s="3779">
        <v>0.15000000000000036</v>
      </c>
      <c r="M78" s="3779">
        <v>0.24000000000000021</v>
      </c>
    </row>
    <row r="79" spans="2:13">
      <c r="B79" s="3810" t="s">
        <v>418</v>
      </c>
      <c r="C79" s="3722"/>
      <c r="D79" s="3722">
        <v>0.53846153846153832</v>
      </c>
      <c r="E79" s="3722"/>
      <c r="F79" s="3811">
        <v>0.77777777777777768</v>
      </c>
      <c r="G79" s="3792">
        <v>1</v>
      </c>
      <c r="H79" s="3792">
        <v>0.17647058823529438</v>
      </c>
      <c r="I79" s="3792"/>
      <c r="J79" s="3792">
        <v>0</v>
      </c>
      <c r="K79" s="3779">
        <v>0</v>
      </c>
      <c r="L79" s="3779">
        <v>0</v>
      </c>
      <c r="M79" s="3779">
        <v>0.40000000000000036</v>
      </c>
    </row>
    <row r="80" spans="2:13">
      <c r="B80" s="3810" t="s">
        <v>419</v>
      </c>
      <c r="C80" s="3722"/>
      <c r="D80" s="3722"/>
      <c r="E80" s="3799">
        <v>0</v>
      </c>
      <c r="F80" s="3811">
        <v>0.18518518518518512</v>
      </c>
      <c r="G80" s="3792">
        <v>0</v>
      </c>
      <c r="H80" s="3792">
        <v>0</v>
      </c>
      <c r="I80" s="3792">
        <v>0</v>
      </c>
      <c r="J80" s="3792">
        <v>0.55999999999999961</v>
      </c>
      <c r="K80" s="3779"/>
      <c r="L80" s="3779">
        <v>0</v>
      </c>
      <c r="M80" s="3779"/>
    </row>
    <row r="81" spans="2:13">
      <c r="B81" s="3812" t="s">
        <v>546</v>
      </c>
      <c r="C81" s="3795">
        <v>0.375</v>
      </c>
      <c r="D81" s="3730">
        <v>0.2666666666666665</v>
      </c>
      <c r="E81" s="3796">
        <v>0</v>
      </c>
      <c r="F81" s="3796">
        <v>0.23529411764705876</v>
      </c>
      <c r="G81" s="2933">
        <v>4.3478260869564522E-2</v>
      </c>
      <c r="H81" s="2933">
        <v>7.8431372549019593E-2</v>
      </c>
      <c r="I81" s="2933">
        <v>0</v>
      </c>
      <c r="J81" s="2933">
        <v>0.15842105263157896</v>
      </c>
      <c r="K81" s="3634">
        <v>3.7241379310344859E-2</v>
      </c>
      <c r="L81" s="3634">
        <v>9.090909090909112E-2</v>
      </c>
      <c r="M81" s="3634">
        <v>0.27076923076923098</v>
      </c>
    </row>
    <row r="82" spans="2:13">
      <c r="B82" s="3801" t="s">
        <v>442</v>
      </c>
      <c r="C82" s="3802">
        <v>1.6427991320848463</v>
      </c>
      <c r="D82" s="3817">
        <v>1.3263157894736841</v>
      </c>
      <c r="E82" s="3803">
        <v>0.67272727272727295</v>
      </c>
      <c r="F82" s="3804">
        <v>0.28888888888888914</v>
      </c>
      <c r="G82" s="2939">
        <v>0.48550724637681159</v>
      </c>
      <c r="H82" s="2939">
        <v>0.42934782608695654</v>
      </c>
      <c r="I82" s="2939">
        <v>6.9746835443037891E-2</v>
      </c>
      <c r="J82" s="2939">
        <v>7.4973262032085611E-2</v>
      </c>
      <c r="K82" s="3636">
        <v>0.34583333333333327</v>
      </c>
      <c r="L82" s="3636">
        <v>0.1838823529411765</v>
      </c>
      <c r="M82" s="3636">
        <v>-0.16085714285714287</v>
      </c>
    </row>
    <row r="83" spans="2:13">
      <c r="B83" s="3805" t="s">
        <v>670</v>
      </c>
      <c r="C83" s="3807"/>
      <c r="D83" s="3807"/>
      <c r="E83" s="3807"/>
      <c r="F83" s="3808">
        <v>0.30000000000000071</v>
      </c>
      <c r="G83" s="3809">
        <v>0.33333333333333393</v>
      </c>
      <c r="H83" s="3809">
        <v>0</v>
      </c>
      <c r="I83" s="3809">
        <v>0</v>
      </c>
      <c r="J83" s="3809">
        <v>0.75</v>
      </c>
      <c r="K83" s="3780">
        <v>0.66999999999999993</v>
      </c>
      <c r="L83" s="3780">
        <v>0.91999999999999993</v>
      </c>
      <c r="M83" s="3780">
        <v>0.29000000000000004</v>
      </c>
    </row>
    <row r="84" spans="2:13">
      <c r="B84" s="3812" t="s">
        <v>545</v>
      </c>
      <c r="C84" s="3818"/>
      <c r="D84" s="3818"/>
      <c r="E84" s="3818"/>
      <c r="F84" s="3796">
        <v>0.30000000000000071</v>
      </c>
      <c r="G84" s="2933">
        <v>0.33333333333333393</v>
      </c>
      <c r="H84" s="2933">
        <v>0</v>
      </c>
      <c r="I84" s="2933">
        <v>0</v>
      </c>
      <c r="J84" s="2933">
        <v>0.75</v>
      </c>
      <c r="K84" s="3634">
        <v>0.66999999999999993</v>
      </c>
      <c r="L84" s="3634">
        <v>0.91999999999999993</v>
      </c>
      <c r="M84" s="3634">
        <v>0.29000000000000004</v>
      </c>
    </row>
    <row r="85" spans="2:13">
      <c r="B85" s="3810" t="s">
        <v>829</v>
      </c>
      <c r="C85" s="3791"/>
      <c r="D85" s="3791"/>
      <c r="E85" s="3791"/>
      <c r="F85" s="3791"/>
      <c r="G85" s="3792">
        <v>0</v>
      </c>
      <c r="H85" s="3792">
        <v>0.27272727272727249</v>
      </c>
      <c r="I85" s="3792">
        <v>0.83000000000000007</v>
      </c>
      <c r="J85" s="3792">
        <v>1</v>
      </c>
      <c r="K85" s="3779"/>
      <c r="L85" s="3779">
        <v>1.1299999999999999</v>
      </c>
      <c r="M85" s="3779">
        <v>0.5</v>
      </c>
    </row>
    <row r="86" spans="2:13">
      <c r="B86" s="3812" t="s">
        <v>548</v>
      </c>
      <c r="C86" s="3818"/>
      <c r="D86" s="3818"/>
      <c r="E86" s="3818"/>
      <c r="F86" s="3818"/>
      <c r="G86" s="2933">
        <v>0</v>
      </c>
      <c r="H86" s="2933">
        <v>0.27272727272727249</v>
      </c>
      <c r="I86" s="2933">
        <v>0.83000000000000007</v>
      </c>
      <c r="J86" s="2933">
        <v>1</v>
      </c>
      <c r="K86" s="3634"/>
      <c r="L86" s="3634">
        <v>1.1299999999999999</v>
      </c>
      <c r="M86" s="3634">
        <v>0.5</v>
      </c>
    </row>
    <row r="87" spans="2:13">
      <c r="B87" s="3810" t="s">
        <v>671</v>
      </c>
      <c r="C87" s="3791"/>
      <c r="D87" s="3791"/>
      <c r="E87" s="3791"/>
      <c r="F87" s="3791"/>
      <c r="G87" s="3792">
        <v>1</v>
      </c>
      <c r="H87" s="3792">
        <v>0.33333333333333393</v>
      </c>
      <c r="I87" s="3792">
        <v>1</v>
      </c>
      <c r="J87" s="3792">
        <v>0.86000000000000032</v>
      </c>
      <c r="K87" s="3779">
        <v>1.67</v>
      </c>
      <c r="L87" s="3779">
        <v>2.2699999999999996</v>
      </c>
      <c r="M87" s="3779">
        <v>0.59999999999999964</v>
      </c>
    </row>
    <row r="88" spans="2:13">
      <c r="B88" s="3812" t="s">
        <v>549</v>
      </c>
      <c r="C88" s="3818"/>
      <c r="D88" s="3818"/>
      <c r="E88" s="3818"/>
      <c r="F88" s="3818"/>
      <c r="G88" s="2933">
        <v>1</v>
      </c>
      <c r="H88" s="2933">
        <v>0.33333333333333393</v>
      </c>
      <c r="I88" s="2933">
        <v>1</v>
      </c>
      <c r="J88" s="2933">
        <v>0.86000000000000032</v>
      </c>
      <c r="K88" s="3634">
        <v>1.67</v>
      </c>
      <c r="L88" s="3634">
        <v>2.2699999999999996</v>
      </c>
      <c r="M88" s="3634">
        <v>0.59999999999999964</v>
      </c>
    </row>
    <row r="89" spans="2:13">
      <c r="B89" s="3801" t="s">
        <v>260</v>
      </c>
      <c r="C89" s="3819"/>
      <c r="D89" s="3819"/>
      <c r="E89" s="3819"/>
      <c r="F89" s="3804">
        <v>0.30000000000000071</v>
      </c>
      <c r="G89" s="2939">
        <v>0.20000000000000018</v>
      </c>
      <c r="H89" s="2939">
        <v>0.19230769230769235</v>
      </c>
      <c r="I89" s="2939">
        <v>0.70411764705882351</v>
      </c>
      <c r="J89" s="2939">
        <v>0.846923076923077</v>
      </c>
      <c r="K89" s="3636">
        <v>1.0699999999999998</v>
      </c>
      <c r="L89" s="3636">
        <v>1.3815384615384614</v>
      </c>
      <c r="M89" s="3636">
        <v>0.45958333333333329</v>
      </c>
    </row>
    <row r="90" spans="2:13" s="2549" customFormat="1">
      <c r="B90" s="99"/>
      <c r="C90" s="99"/>
      <c r="D90" s="99"/>
      <c r="E90" s="99"/>
      <c r="F90" s="99"/>
      <c r="G90" s="99"/>
      <c r="H90" s="99"/>
      <c r="I90" s="99"/>
      <c r="J90" s="99"/>
      <c r="K90" s="99"/>
      <c r="L90" s="99"/>
      <c r="M90" s="99"/>
    </row>
    <row r="91" spans="2:13">
      <c r="B91" s="3820" t="s">
        <v>842</v>
      </c>
      <c r="C91" s="3821">
        <v>2.7813914865145883</v>
      </c>
      <c r="D91" s="2466">
        <v>2.6129032258064511</v>
      </c>
      <c r="E91" s="2466">
        <v>2.0676532769556029</v>
      </c>
      <c r="F91" s="2466">
        <v>1.266075388026608</v>
      </c>
      <c r="G91" s="2466">
        <v>1.2749490835030555</v>
      </c>
      <c r="H91" s="3822">
        <v>1.0210280373831775</v>
      </c>
      <c r="I91" s="3823">
        <v>0.9862884615384615</v>
      </c>
      <c r="J91" s="3823">
        <v>0.89132149901380664</v>
      </c>
      <c r="K91" s="3823">
        <v>1.1682912621359223</v>
      </c>
      <c r="L91" s="4786">
        <v>1</v>
      </c>
      <c r="M91" s="4786">
        <v>0.62569078947368428</v>
      </c>
    </row>
    <row r="92" spans="2:13" ht="14.4" customHeight="1">
      <c r="L92" s="5657" t="s">
        <v>3861</v>
      </c>
      <c r="M92" s="5657"/>
    </row>
    <row r="93" spans="2:13">
      <c r="L93" s="5636"/>
      <c r="M93" s="5636"/>
    </row>
  </sheetData>
  <sheetProtection algorithmName="SHA-512" hashValue="FOUiB43//7MnLMBzpX5kLWoBq3d40EdK5K64TfpjGRz0qtypbUDVVUMBtAedkpIajp4zil2SjXxFenW3q452vQ==" saltValue="NWeZQRtFaauGFaE3VY/Xqw==" spinCount="100000" sheet="1" objects="1" scenarios="1"/>
  <mergeCells count="1">
    <mergeCell ref="L92:M93"/>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P91"/>
  <sheetViews>
    <sheetView workbookViewId="0">
      <selection activeCell="F3" sqref="F3"/>
    </sheetView>
  </sheetViews>
  <sheetFormatPr baseColWidth="10" defaultRowHeight="14.4"/>
  <cols>
    <col min="1" max="1" width="9.6640625" style="5504" bestFit="1" customWidth="1"/>
    <col min="2" max="2" width="6.33203125" style="5504" bestFit="1" customWidth="1"/>
    <col min="3" max="3" width="44.77734375" style="5504" bestFit="1" customWidth="1"/>
    <col min="4" max="4" width="9.21875" style="2552" bestFit="1" customWidth="1"/>
    <col min="5" max="5" width="5.77734375" style="2552" customWidth="1"/>
    <col min="6" max="8" width="11.5546875" style="5504"/>
    <col min="9" max="9" width="10.77734375" style="4689"/>
    <col min="10" max="10" width="6.21875" style="167" bestFit="1" customWidth="1"/>
    <col min="11" max="11" width="48.5546875" style="4689" bestFit="1" customWidth="1"/>
    <col min="12" max="12" width="8.5546875" style="4689" bestFit="1" customWidth="1"/>
    <col min="13" max="13" width="7.5546875" style="4689" bestFit="1" customWidth="1"/>
    <col min="14" max="14" width="7.77734375" style="4689" bestFit="1" customWidth="1"/>
    <col min="15" max="15" width="11.21875" style="4689" bestFit="1" customWidth="1"/>
    <col min="16" max="16" width="10.77734375" style="4689"/>
    <col min="17" max="18" width="8.77734375" style="44" customWidth="1"/>
    <col min="19" max="19" width="60.21875" style="44" bestFit="1" customWidth="1"/>
    <col min="20" max="23" width="8.77734375" style="44" customWidth="1"/>
    <col min="24" max="24" width="11.44140625" style="4577"/>
    <col min="25" max="26" width="11.44140625" style="2481"/>
    <col min="27" max="27" width="82" style="2481" bestFit="1" customWidth="1"/>
    <col min="28" max="29" width="8.21875" style="2481" customWidth="1"/>
    <col min="30" max="30" width="9.21875" style="2481" customWidth="1"/>
    <col min="31" max="31" width="13" style="2481" bestFit="1" customWidth="1"/>
    <col min="32" max="32" width="11.44140625" style="2481"/>
    <col min="34" max="34" width="7" bestFit="1" customWidth="1"/>
    <col min="35" max="35" width="59.44140625" bestFit="1" customWidth="1"/>
    <col min="36" max="36" width="9.77734375" bestFit="1" customWidth="1"/>
    <col min="37" max="37" width="5.21875" bestFit="1" customWidth="1"/>
    <col min="38" max="38" width="8.21875" bestFit="1" customWidth="1"/>
    <col min="40" max="40" width="11.77734375" customWidth="1"/>
    <col min="41" max="41" width="6.77734375" bestFit="1" customWidth="1"/>
    <col min="42" max="42" width="58.21875" bestFit="1" customWidth="1"/>
    <col min="43" max="43" width="8.21875" bestFit="1" customWidth="1"/>
    <col min="44" max="44" width="7.44140625" customWidth="1"/>
    <col min="45" max="45" width="8.21875" bestFit="1" customWidth="1"/>
    <col min="47" max="47" width="12" customWidth="1"/>
    <col min="48" max="48" width="8.77734375" customWidth="1"/>
    <col min="49" max="49" width="58.21875" bestFit="1" customWidth="1"/>
    <col min="50" max="52" width="8.77734375" customWidth="1"/>
    <col min="53" max="53" width="4.21875" customWidth="1"/>
    <col min="54" max="54" width="11.77734375" customWidth="1"/>
    <col min="55" max="55" width="7.21875" bestFit="1" customWidth="1"/>
    <col min="56" max="56" width="44.77734375" bestFit="1" customWidth="1"/>
    <col min="57" max="58" width="8.77734375" customWidth="1"/>
    <col min="59" max="59" width="12.77734375" customWidth="1"/>
    <col min="60" max="60" width="4.21875" customWidth="1"/>
    <col min="61" max="63" width="8.77734375" customWidth="1"/>
    <col min="64" max="64" width="43.5546875" bestFit="1" customWidth="1"/>
    <col min="65" max="69" width="8.77734375" customWidth="1"/>
    <col min="70" max="70" width="11" bestFit="1" customWidth="1"/>
    <col min="71" max="71" width="8.77734375" customWidth="1"/>
    <col min="72" max="72" width="43.5546875" bestFit="1" customWidth="1"/>
    <col min="73" max="74" width="8.77734375" hidden="1" customWidth="1"/>
    <col min="75" max="78" width="8.77734375" customWidth="1"/>
    <col min="79" max="79" width="11.21875" style="129" bestFit="1" customWidth="1"/>
    <col min="80" max="80" width="7" style="129" bestFit="1" customWidth="1"/>
    <col min="81" max="81" width="44.44140625" customWidth="1"/>
    <col min="82" max="82" width="5.77734375" customWidth="1"/>
    <col min="83" max="83" width="17.77734375" customWidth="1"/>
    <col min="84" max="84" width="13" bestFit="1" customWidth="1"/>
    <col min="85" max="85" width="8.77734375" bestFit="1" customWidth="1"/>
    <col min="86" max="86" width="0" hidden="1" customWidth="1"/>
    <col min="88" max="88" width="11.21875" bestFit="1" customWidth="1"/>
    <col min="89" max="89" width="8.77734375" customWidth="1"/>
    <col min="90" max="90" width="43.21875" bestFit="1" customWidth="1"/>
    <col min="91" max="91" width="6.44140625" bestFit="1" customWidth="1"/>
    <col min="92" max="92" width="9.21875" bestFit="1" customWidth="1"/>
    <col min="93" max="94" width="10" bestFit="1" customWidth="1"/>
    <col min="334" max="334" width="4.21875" customWidth="1"/>
    <col min="335" max="335" width="14.44140625" customWidth="1"/>
    <col min="337" max="337" width="54.5546875" bestFit="1" customWidth="1"/>
    <col min="339" max="339" width="20.21875" customWidth="1"/>
    <col min="340" max="340" width="14.44140625" customWidth="1"/>
    <col min="590" max="590" width="4.21875" customWidth="1"/>
    <col min="591" max="591" width="14.44140625" customWidth="1"/>
    <col min="593" max="593" width="54.5546875" bestFit="1" customWidth="1"/>
    <col min="595" max="595" width="20.21875" customWidth="1"/>
    <col min="596" max="596" width="14.44140625" customWidth="1"/>
    <col min="846" max="846" width="4.21875" customWidth="1"/>
    <col min="847" max="847" width="14.44140625" customWidth="1"/>
    <col min="849" max="849" width="54.5546875" bestFit="1" customWidth="1"/>
    <col min="851" max="851" width="20.21875" customWidth="1"/>
    <col min="852" max="852" width="14.44140625" customWidth="1"/>
    <col min="1102" max="1102" width="4.21875" customWidth="1"/>
    <col min="1103" max="1103" width="14.44140625" customWidth="1"/>
    <col min="1105" max="1105" width="54.5546875" bestFit="1" customWidth="1"/>
    <col min="1107" max="1107" width="20.21875" customWidth="1"/>
    <col min="1108" max="1108" width="14.44140625" customWidth="1"/>
    <col min="1358" max="1358" width="4.21875" customWidth="1"/>
    <col min="1359" max="1359" width="14.44140625" customWidth="1"/>
    <col min="1361" max="1361" width="54.5546875" bestFit="1" customWidth="1"/>
    <col min="1363" max="1363" width="20.21875" customWidth="1"/>
    <col min="1364" max="1364" width="14.44140625" customWidth="1"/>
    <col min="1614" max="1614" width="4.21875" customWidth="1"/>
    <col min="1615" max="1615" width="14.44140625" customWidth="1"/>
    <col min="1617" max="1617" width="54.5546875" bestFit="1" customWidth="1"/>
    <col min="1619" max="1619" width="20.21875" customWidth="1"/>
    <col min="1620" max="1620" width="14.44140625" customWidth="1"/>
    <col min="1870" max="1870" width="4.21875" customWidth="1"/>
    <col min="1871" max="1871" width="14.44140625" customWidth="1"/>
    <col min="1873" max="1873" width="54.5546875" bestFit="1" customWidth="1"/>
    <col min="1875" max="1875" width="20.21875" customWidth="1"/>
    <col min="1876" max="1876" width="14.44140625" customWidth="1"/>
    <col min="2126" max="2126" width="4.21875" customWidth="1"/>
    <col min="2127" max="2127" width="14.44140625" customWidth="1"/>
    <col min="2129" max="2129" width="54.5546875" bestFit="1" customWidth="1"/>
    <col min="2131" max="2131" width="20.21875" customWidth="1"/>
    <col min="2132" max="2132" width="14.44140625" customWidth="1"/>
    <col min="2382" max="2382" width="4.21875" customWidth="1"/>
    <col min="2383" max="2383" width="14.44140625" customWidth="1"/>
    <col min="2385" max="2385" width="54.5546875" bestFit="1" customWidth="1"/>
    <col min="2387" max="2387" width="20.21875" customWidth="1"/>
    <col min="2388" max="2388" width="14.44140625" customWidth="1"/>
    <col min="2638" max="2638" width="4.21875" customWidth="1"/>
    <col min="2639" max="2639" width="14.44140625" customWidth="1"/>
    <col min="2641" max="2641" width="54.5546875" bestFit="1" customWidth="1"/>
    <col min="2643" max="2643" width="20.21875" customWidth="1"/>
    <col min="2644" max="2644" width="14.44140625" customWidth="1"/>
    <col min="2894" max="2894" width="4.21875" customWidth="1"/>
    <col min="2895" max="2895" width="14.44140625" customWidth="1"/>
    <col min="2897" max="2897" width="54.5546875" bestFit="1" customWidth="1"/>
    <col min="2899" max="2899" width="20.21875" customWidth="1"/>
    <col min="2900" max="2900" width="14.44140625" customWidth="1"/>
    <col min="3150" max="3150" width="4.21875" customWidth="1"/>
    <col min="3151" max="3151" width="14.44140625" customWidth="1"/>
    <col min="3153" max="3153" width="54.5546875" bestFit="1" customWidth="1"/>
    <col min="3155" max="3155" width="20.21875" customWidth="1"/>
    <col min="3156" max="3156" width="14.44140625" customWidth="1"/>
    <col min="3406" max="3406" width="4.21875" customWidth="1"/>
    <col min="3407" max="3407" width="14.44140625" customWidth="1"/>
    <col min="3409" max="3409" width="54.5546875" bestFit="1" customWidth="1"/>
    <col min="3411" max="3411" width="20.21875" customWidth="1"/>
    <col min="3412" max="3412" width="14.44140625" customWidth="1"/>
    <col min="3662" max="3662" width="4.21875" customWidth="1"/>
    <col min="3663" max="3663" width="14.44140625" customWidth="1"/>
    <col min="3665" max="3665" width="54.5546875" bestFit="1" customWidth="1"/>
    <col min="3667" max="3667" width="20.21875" customWidth="1"/>
    <col min="3668" max="3668" width="14.44140625" customWidth="1"/>
    <col min="3918" max="3918" width="4.21875" customWidth="1"/>
    <col min="3919" max="3919" width="14.44140625" customWidth="1"/>
    <col min="3921" max="3921" width="54.5546875" bestFit="1" customWidth="1"/>
    <col min="3923" max="3923" width="20.21875" customWidth="1"/>
    <col min="3924" max="3924" width="14.44140625" customWidth="1"/>
    <col min="4174" max="4174" width="4.21875" customWidth="1"/>
    <col min="4175" max="4175" width="14.44140625" customWidth="1"/>
    <col min="4177" max="4177" width="54.5546875" bestFit="1" customWidth="1"/>
    <col min="4179" max="4179" width="20.21875" customWidth="1"/>
    <col min="4180" max="4180" width="14.44140625" customWidth="1"/>
    <col min="4430" max="4430" width="4.21875" customWidth="1"/>
    <col min="4431" max="4431" width="14.44140625" customWidth="1"/>
    <col min="4433" max="4433" width="54.5546875" bestFit="1" customWidth="1"/>
    <col min="4435" max="4435" width="20.21875" customWidth="1"/>
    <col min="4436" max="4436" width="14.44140625" customWidth="1"/>
    <col min="4686" max="4686" width="4.21875" customWidth="1"/>
    <col min="4687" max="4687" width="14.44140625" customWidth="1"/>
    <col min="4689" max="4689" width="54.5546875" bestFit="1" customWidth="1"/>
    <col min="4691" max="4691" width="20.21875" customWidth="1"/>
    <col min="4692" max="4692" width="14.44140625" customWidth="1"/>
    <col min="4942" max="4942" width="4.21875" customWidth="1"/>
    <col min="4943" max="4943" width="14.44140625" customWidth="1"/>
    <col min="4945" max="4945" width="54.5546875" bestFit="1" customWidth="1"/>
    <col min="4947" max="4947" width="20.21875" customWidth="1"/>
    <col min="4948" max="4948" width="14.44140625" customWidth="1"/>
    <col min="5198" max="5198" width="4.21875" customWidth="1"/>
    <col min="5199" max="5199" width="14.44140625" customWidth="1"/>
    <col min="5201" max="5201" width="54.5546875" bestFit="1" customWidth="1"/>
    <col min="5203" max="5203" width="20.21875" customWidth="1"/>
    <col min="5204" max="5204" width="14.44140625" customWidth="1"/>
    <col min="5454" max="5454" width="4.21875" customWidth="1"/>
    <col min="5455" max="5455" width="14.44140625" customWidth="1"/>
    <col min="5457" max="5457" width="54.5546875" bestFit="1" customWidth="1"/>
    <col min="5459" max="5459" width="20.21875" customWidth="1"/>
    <col min="5460" max="5460" width="14.44140625" customWidth="1"/>
    <col min="5710" max="5710" width="4.21875" customWidth="1"/>
    <col min="5711" max="5711" width="14.44140625" customWidth="1"/>
    <col min="5713" max="5713" width="54.5546875" bestFit="1" customWidth="1"/>
    <col min="5715" max="5715" width="20.21875" customWidth="1"/>
    <col min="5716" max="5716" width="14.44140625" customWidth="1"/>
    <col min="5966" max="5966" width="4.21875" customWidth="1"/>
    <col min="5967" max="5967" width="14.44140625" customWidth="1"/>
    <col min="5969" max="5969" width="54.5546875" bestFit="1" customWidth="1"/>
    <col min="5971" max="5971" width="20.21875" customWidth="1"/>
    <col min="5972" max="5972" width="14.44140625" customWidth="1"/>
    <col min="6222" max="6222" width="4.21875" customWidth="1"/>
    <col min="6223" max="6223" width="14.44140625" customWidth="1"/>
    <col min="6225" max="6225" width="54.5546875" bestFit="1" customWidth="1"/>
    <col min="6227" max="6227" width="20.21875" customWidth="1"/>
    <col min="6228" max="6228" width="14.44140625" customWidth="1"/>
    <col min="6478" max="6478" width="4.21875" customWidth="1"/>
    <col min="6479" max="6479" width="14.44140625" customWidth="1"/>
    <col min="6481" max="6481" width="54.5546875" bestFit="1" customWidth="1"/>
    <col min="6483" max="6483" width="20.21875" customWidth="1"/>
    <col min="6484" max="6484" width="14.44140625" customWidth="1"/>
    <col min="6734" max="6734" width="4.21875" customWidth="1"/>
    <col min="6735" max="6735" width="14.44140625" customWidth="1"/>
    <col min="6737" max="6737" width="54.5546875" bestFit="1" customWidth="1"/>
    <col min="6739" max="6739" width="20.21875" customWidth="1"/>
    <col min="6740" max="6740" width="14.44140625" customWidth="1"/>
    <col min="6990" max="6990" width="4.21875" customWidth="1"/>
    <col min="6991" max="6991" width="14.44140625" customWidth="1"/>
    <col min="6993" max="6993" width="54.5546875" bestFit="1" customWidth="1"/>
    <col min="6995" max="6995" width="20.21875" customWidth="1"/>
    <col min="6996" max="6996" width="14.44140625" customWidth="1"/>
    <col min="7246" max="7246" width="4.21875" customWidth="1"/>
    <col min="7247" max="7247" width="14.44140625" customWidth="1"/>
    <col min="7249" max="7249" width="54.5546875" bestFit="1" customWidth="1"/>
    <col min="7251" max="7251" width="20.21875" customWidth="1"/>
    <col min="7252" max="7252" width="14.44140625" customWidth="1"/>
    <col min="7502" max="7502" width="4.21875" customWidth="1"/>
    <col min="7503" max="7503" width="14.44140625" customWidth="1"/>
    <col min="7505" max="7505" width="54.5546875" bestFit="1" customWidth="1"/>
    <col min="7507" max="7507" width="20.21875" customWidth="1"/>
    <col min="7508" max="7508" width="14.44140625" customWidth="1"/>
    <col min="7758" max="7758" width="4.21875" customWidth="1"/>
    <col min="7759" max="7759" width="14.44140625" customWidth="1"/>
    <col min="7761" max="7761" width="54.5546875" bestFit="1" customWidth="1"/>
    <col min="7763" max="7763" width="20.21875" customWidth="1"/>
    <col min="7764" max="7764" width="14.44140625" customWidth="1"/>
    <col min="8014" max="8014" width="4.21875" customWidth="1"/>
    <col min="8015" max="8015" width="14.44140625" customWidth="1"/>
    <col min="8017" max="8017" width="54.5546875" bestFit="1" customWidth="1"/>
    <col min="8019" max="8019" width="20.21875" customWidth="1"/>
    <col min="8020" max="8020" width="14.44140625" customWidth="1"/>
    <col min="8270" max="8270" width="4.21875" customWidth="1"/>
    <col min="8271" max="8271" width="14.44140625" customWidth="1"/>
    <col min="8273" max="8273" width="54.5546875" bestFit="1" customWidth="1"/>
    <col min="8275" max="8275" width="20.21875" customWidth="1"/>
    <col min="8276" max="8276" width="14.44140625" customWidth="1"/>
    <col min="8526" max="8526" width="4.21875" customWidth="1"/>
    <col min="8527" max="8527" width="14.44140625" customWidth="1"/>
    <col min="8529" max="8529" width="54.5546875" bestFit="1" customWidth="1"/>
    <col min="8531" max="8531" width="20.21875" customWidth="1"/>
    <col min="8532" max="8532" width="14.44140625" customWidth="1"/>
    <col min="8782" max="8782" width="4.21875" customWidth="1"/>
    <col min="8783" max="8783" width="14.44140625" customWidth="1"/>
    <col min="8785" max="8785" width="54.5546875" bestFit="1" customWidth="1"/>
    <col min="8787" max="8787" width="20.21875" customWidth="1"/>
    <col min="8788" max="8788" width="14.44140625" customWidth="1"/>
    <col min="9038" max="9038" width="4.21875" customWidth="1"/>
    <col min="9039" max="9039" width="14.44140625" customWidth="1"/>
    <col min="9041" max="9041" width="54.5546875" bestFit="1" customWidth="1"/>
    <col min="9043" max="9043" width="20.21875" customWidth="1"/>
    <col min="9044" max="9044" width="14.44140625" customWidth="1"/>
    <col min="9294" max="9294" width="4.21875" customWidth="1"/>
    <col min="9295" max="9295" width="14.44140625" customWidth="1"/>
    <col min="9297" max="9297" width="54.5546875" bestFit="1" customWidth="1"/>
    <col min="9299" max="9299" width="20.21875" customWidth="1"/>
    <col min="9300" max="9300" width="14.44140625" customWidth="1"/>
    <col min="9550" max="9550" width="4.21875" customWidth="1"/>
    <col min="9551" max="9551" width="14.44140625" customWidth="1"/>
    <col min="9553" max="9553" width="54.5546875" bestFit="1" customWidth="1"/>
    <col min="9555" max="9555" width="20.21875" customWidth="1"/>
    <col min="9556" max="9556" width="14.44140625" customWidth="1"/>
    <col min="9806" max="9806" width="4.21875" customWidth="1"/>
    <col min="9807" max="9807" width="14.44140625" customWidth="1"/>
    <col min="9809" max="9809" width="54.5546875" bestFit="1" customWidth="1"/>
    <col min="9811" max="9811" width="20.21875" customWidth="1"/>
    <col min="9812" max="9812" width="14.44140625" customWidth="1"/>
    <col min="10062" max="10062" width="4.21875" customWidth="1"/>
    <col min="10063" max="10063" width="14.44140625" customWidth="1"/>
    <col min="10065" max="10065" width="54.5546875" bestFit="1" customWidth="1"/>
    <col min="10067" max="10067" width="20.21875" customWidth="1"/>
    <col min="10068" max="10068" width="14.44140625" customWidth="1"/>
    <col min="10318" max="10318" width="4.21875" customWidth="1"/>
    <col min="10319" max="10319" width="14.44140625" customWidth="1"/>
    <col min="10321" max="10321" width="54.5546875" bestFit="1" customWidth="1"/>
    <col min="10323" max="10323" width="20.21875" customWidth="1"/>
    <col min="10324" max="10324" width="14.44140625" customWidth="1"/>
    <col min="10574" max="10574" width="4.21875" customWidth="1"/>
    <col min="10575" max="10575" width="14.44140625" customWidth="1"/>
    <col min="10577" max="10577" width="54.5546875" bestFit="1" customWidth="1"/>
    <col min="10579" max="10579" width="20.21875" customWidth="1"/>
    <col min="10580" max="10580" width="14.44140625" customWidth="1"/>
    <col min="10830" max="10830" width="4.21875" customWidth="1"/>
    <col min="10831" max="10831" width="14.44140625" customWidth="1"/>
    <col min="10833" max="10833" width="54.5546875" bestFit="1" customWidth="1"/>
    <col min="10835" max="10835" width="20.21875" customWidth="1"/>
    <col min="10836" max="10836" width="14.44140625" customWidth="1"/>
    <col min="11086" max="11086" width="4.21875" customWidth="1"/>
    <col min="11087" max="11087" width="14.44140625" customWidth="1"/>
    <col min="11089" max="11089" width="54.5546875" bestFit="1" customWidth="1"/>
    <col min="11091" max="11091" width="20.21875" customWidth="1"/>
    <col min="11092" max="11092" width="14.44140625" customWidth="1"/>
    <col min="11342" max="11342" width="4.21875" customWidth="1"/>
    <col min="11343" max="11343" width="14.44140625" customWidth="1"/>
    <col min="11345" max="11345" width="54.5546875" bestFit="1" customWidth="1"/>
    <col min="11347" max="11347" width="20.21875" customWidth="1"/>
    <col min="11348" max="11348" width="14.44140625" customWidth="1"/>
    <col min="11598" max="11598" width="4.21875" customWidth="1"/>
    <col min="11599" max="11599" width="14.44140625" customWidth="1"/>
    <col min="11601" max="11601" width="54.5546875" bestFit="1" customWidth="1"/>
    <col min="11603" max="11603" width="20.21875" customWidth="1"/>
    <col min="11604" max="11604" width="14.44140625" customWidth="1"/>
    <col min="11854" max="11854" width="4.21875" customWidth="1"/>
    <col min="11855" max="11855" width="14.44140625" customWidth="1"/>
    <col min="11857" max="11857" width="54.5546875" bestFit="1" customWidth="1"/>
    <col min="11859" max="11859" width="20.21875" customWidth="1"/>
    <col min="11860" max="11860" width="14.44140625" customWidth="1"/>
    <col min="12110" max="12110" width="4.21875" customWidth="1"/>
    <col min="12111" max="12111" width="14.44140625" customWidth="1"/>
    <col min="12113" max="12113" width="54.5546875" bestFit="1" customWidth="1"/>
    <col min="12115" max="12115" width="20.21875" customWidth="1"/>
    <col min="12116" max="12116" width="14.44140625" customWidth="1"/>
    <col min="12366" max="12366" width="4.21875" customWidth="1"/>
    <col min="12367" max="12367" width="14.44140625" customWidth="1"/>
    <col min="12369" max="12369" width="54.5546875" bestFit="1" customWidth="1"/>
    <col min="12371" max="12371" width="20.21875" customWidth="1"/>
    <col min="12372" max="12372" width="14.44140625" customWidth="1"/>
    <col min="12622" max="12622" width="4.21875" customWidth="1"/>
    <col min="12623" max="12623" width="14.44140625" customWidth="1"/>
    <col min="12625" max="12625" width="54.5546875" bestFit="1" customWidth="1"/>
    <col min="12627" max="12627" width="20.21875" customWidth="1"/>
    <col min="12628" max="12628" width="14.44140625" customWidth="1"/>
    <col min="12878" max="12878" width="4.21875" customWidth="1"/>
    <col min="12879" max="12879" width="14.44140625" customWidth="1"/>
    <col min="12881" max="12881" width="54.5546875" bestFit="1" customWidth="1"/>
    <col min="12883" max="12883" width="20.21875" customWidth="1"/>
    <col min="12884" max="12884" width="14.44140625" customWidth="1"/>
    <col min="13134" max="13134" width="4.21875" customWidth="1"/>
    <col min="13135" max="13135" width="14.44140625" customWidth="1"/>
    <col min="13137" max="13137" width="54.5546875" bestFit="1" customWidth="1"/>
    <col min="13139" max="13139" width="20.21875" customWidth="1"/>
    <col min="13140" max="13140" width="14.44140625" customWidth="1"/>
    <col min="13390" max="13390" width="4.21875" customWidth="1"/>
    <col min="13391" max="13391" width="14.44140625" customWidth="1"/>
    <col min="13393" max="13393" width="54.5546875" bestFit="1" customWidth="1"/>
    <col min="13395" max="13395" width="20.21875" customWidth="1"/>
    <col min="13396" max="13396" width="14.44140625" customWidth="1"/>
    <col min="13646" max="13646" width="4.21875" customWidth="1"/>
    <col min="13647" max="13647" width="14.44140625" customWidth="1"/>
    <col min="13649" max="13649" width="54.5546875" bestFit="1" customWidth="1"/>
    <col min="13651" max="13651" width="20.21875" customWidth="1"/>
    <col min="13652" max="13652" width="14.44140625" customWidth="1"/>
    <col min="13902" max="13902" width="4.21875" customWidth="1"/>
    <col min="13903" max="13903" width="14.44140625" customWidth="1"/>
    <col min="13905" max="13905" width="54.5546875" bestFit="1" customWidth="1"/>
    <col min="13907" max="13907" width="20.21875" customWidth="1"/>
    <col min="13908" max="13908" width="14.44140625" customWidth="1"/>
    <col min="14158" max="14158" width="4.21875" customWidth="1"/>
    <col min="14159" max="14159" width="14.44140625" customWidth="1"/>
    <col min="14161" max="14161" width="54.5546875" bestFit="1" customWidth="1"/>
    <col min="14163" max="14163" width="20.21875" customWidth="1"/>
    <col min="14164" max="14164" width="14.44140625" customWidth="1"/>
    <col min="14414" max="14414" width="4.21875" customWidth="1"/>
    <col min="14415" max="14415" width="14.44140625" customWidth="1"/>
    <col min="14417" max="14417" width="54.5546875" bestFit="1" customWidth="1"/>
    <col min="14419" max="14419" width="20.21875" customWidth="1"/>
    <col min="14420" max="14420" width="14.44140625" customWidth="1"/>
    <col min="14670" max="14670" width="4.21875" customWidth="1"/>
    <col min="14671" max="14671" width="14.44140625" customWidth="1"/>
    <col min="14673" max="14673" width="54.5546875" bestFit="1" customWidth="1"/>
    <col min="14675" max="14675" width="20.21875" customWidth="1"/>
    <col min="14676" max="14676" width="14.44140625" customWidth="1"/>
    <col min="14926" max="14926" width="4.21875" customWidth="1"/>
    <col min="14927" max="14927" width="14.44140625" customWidth="1"/>
    <col min="14929" max="14929" width="54.5546875" bestFit="1" customWidth="1"/>
    <col min="14931" max="14931" width="20.21875" customWidth="1"/>
    <col min="14932" max="14932" width="14.44140625" customWidth="1"/>
    <col min="15182" max="15182" width="4.21875" customWidth="1"/>
    <col min="15183" max="15183" width="14.44140625" customWidth="1"/>
    <col min="15185" max="15185" width="54.5546875" bestFit="1" customWidth="1"/>
    <col min="15187" max="15187" width="20.21875" customWidth="1"/>
    <col min="15188" max="15188" width="14.44140625" customWidth="1"/>
    <col min="15438" max="15438" width="4.21875" customWidth="1"/>
    <col min="15439" max="15439" width="14.44140625" customWidth="1"/>
    <col min="15441" max="15441" width="54.5546875" bestFit="1" customWidth="1"/>
    <col min="15443" max="15443" width="20.21875" customWidth="1"/>
    <col min="15444" max="15444" width="14.44140625" customWidth="1"/>
    <col min="15694" max="15694" width="4.21875" customWidth="1"/>
    <col min="15695" max="15695" width="14.44140625" customWidth="1"/>
    <col min="15697" max="15697" width="54.5546875" bestFit="1" customWidth="1"/>
    <col min="15699" max="15699" width="20.21875" customWidth="1"/>
    <col min="15700" max="15700" width="14.44140625" customWidth="1"/>
    <col min="15950" max="15950" width="4.21875" customWidth="1"/>
    <col min="15951" max="15951" width="14.44140625" customWidth="1"/>
    <col min="15953" max="15953" width="54.5546875" bestFit="1" customWidth="1"/>
    <col min="15955" max="15955" width="20.21875" customWidth="1"/>
    <col min="15956" max="15956" width="14.44140625" customWidth="1"/>
    <col min="16206" max="16206" width="4.21875" customWidth="1"/>
    <col min="16207" max="16207" width="14.44140625" customWidth="1"/>
    <col min="16209" max="16209" width="54.5546875" bestFit="1" customWidth="1"/>
    <col min="16211" max="16211" width="20.21875" customWidth="1"/>
    <col min="16212" max="16212" width="14.44140625" customWidth="1"/>
  </cols>
  <sheetData>
    <row r="1" spans="1:94">
      <c r="BI1" s="32"/>
      <c r="BJ1" s="750"/>
      <c r="BK1" s="750"/>
      <c r="BL1" s="828"/>
      <c r="BM1" s="829"/>
      <c r="BN1" s="830"/>
      <c r="BO1" s="831"/>
      <c r="BP1" s="831"/>
      <c r="BR1" s="744"/>
      <c r="BS1" s="744"/>
      <c r="BT1" s="744"/>
      <c r="BU1" s="744"/>
      <c r="BV1" s="744"/>
      <c r="CA1" s="744"/>
      <c r="CB1" s="744"/>
      <c r="CC1" s="744"/>
      <c r="CD1" s="744"/>
      <c r="CE1" s="744"/>
      <c r="CF1" s="744"/>
      <c r="CG1" s="744"/>
    </row>
    <row r="2" spans="1:94" ht="29.25" customHeight="1">
      <c r="A2" s="32" t="s">
        <v>3922</v>
      </c>
      <c r="I2" s="5694" t="s">
        <v>2959</v>
      </c>
      <c r="J2" s="5694"/>
      <c r="K2" s="5694"/>
      <c r="L2" s="5694"/>
      <c r="M2" s="5694"/>
      <c r="N2" s="5694"/>
      <c r="O2" s="5694"/>
      <c r="Q2" s="4716" t="s">
        <v>2938</v>
      </c>
      <c r="Y2" s="5682" t="s">
        <v>2710</v>
      </c>
      <c r="Z2" s="5682"/>
      <c r="AA2" s="5682"/>
      <c r="AB2" s="2504"/>
      <c r="AC2" s="2504"/>
      <c r="AD2" s="2504"/>
      <c r="AE2" s="2504"/>
      <c r="AG2" s="5685" t="s">
        <v>2549</v>
      </c>
      <c r="AH2" s="5685"/>
      <c r="AI2" s="5685"/>
      <c r="AJ2" s="5685"/>
      <c r="AK2" s="5685"/>
      <c r="AL2" s="5685"/>
      <c r="AN2" s="194" t="s">
        <v>1946</v>
      </c>
      <c r="AO2" s="41"/>
      <c r="AP2" s="41"/>
      <c r="AQ2" s="41"/>
      <c r="AR2" s="41"/>
      <c r="AS2" s="41"/>
      <c r="AU2" s="194" t="s">
        <v>1875</v>
      </c>
      <c r="AV2" s="194"/>
      <c r="AW2" s="194"/>
      <c r="AX2" s="194"/>
      <c r="AY2" s="194"/>
      <c r="AZ2" s="194"/>
      <c r="BB2" s="5685" t="s">
        <v>1378</v>
      </c>
      <c r="BC2" s="5685"/>
      <c r="BD2" s="5685"/>
      <c r="BE2" s="5685"/>
      <c r="BF2" s="5685"/>
      <c r="BG2" s="5685"/>
      <c r="BI2" s="745" t="s">
        <v>2552</v>
      </c>
      <c r="BJ2" s="750"/>
      <c r="BK2" s="750"/>
      <c r="BL2" s="828"/>
      <c r="BM2" s="829"/>
      <c r="BN2" s="830"/>
      <c r="BO2" s="831"/>
      <c r="BP2" s="831"/>
      <c r="BR2" s="2026" t="s">
        <v>2551</v>
      </c>
      <c r="BS2" s="744"/>
      <c r="BT2" s="744"/>
      <c r="BU2" s="744"/>
      <c r="BV2" s="744"/>
      <c r="CA2" s="5695" t="s">
        <v>2550</v>
      </c>
      <c r="CB2" s="5695"/>
      <c r="CC2" s="5695"/>
      <c r="CD2" s="5695"/>
      <c r="CE2" s="5695"/>
      <c r="CF2" s="5695"/>
      <c r="CG2" s="5695"/>
      <c r="CJ2" s="68"/>
    </row>
    <row r="3" spans="1:94">
      <c r="F3" s="5534" t="s">
        <v>3926</v>
      </c>
      <c r="Q3" s="4716" t="s">
        <v>2958</v>
      </c>
      <c r="Y3" s="194"/>
      <c r="AG3" t="s">
        <v>2543</v>
      </c>
      <c r="AN3" s="747" t="s">
        <v>1942</v>
      </c>
      <c r="AO3" s="41"/>
      <c r="AP3" s="41"/>
      <c r="AQ3" s="41"/>
      <c r="AR3" s="41"/>
      <c r="AS3" s="41"/>
      <c r="AU3" s="1420" t="s">
        <v>1871</v>
      </c>
      <c r="BB3" s="1453" t="s">
        <v>1364</v>
      </c>
      <c r="BC3" s="838"/>
      <c r="BD3" s="838"/>
      <c r="BE3" s="838"/>
      <c r="BF3" s="838"/>
      <c r="BG3" s="41"/>
      <c r="BI3" s="32" t="s">
        <v>1365</v>
      </c>
      <c r="BJ3" s="750"/>
      <c r="BK3" s="750"/>
      <c r="BL3" s="828"/>
      <c r="BM3" s="829"/>
      <c r="BN3" s="830"/>
      <c r="BO3" s="831"/>
      <c r="BP3" s="831"/>
      <c r="CA3" s="839"/>
      <c r="CB3" s="839"/>
      <c r="CC3" s="839"/>
      <c r="CD3" s="839"/>
      <c r="CE3" s="839"/>
      <c r="CF3" s="839"/>
      <c r="CG3" s="68"/>
      <c r="CJ3" s="68"/>
    </row>
    <row r="4" spans="1:94" ht="15.6">
      <c r="AG4" s="42" t="s">
        <v>2548</v>
      </c>
      <c r="AN4" s="41"/>
      <c r="AO4" s="41"/>
      <c r="AP4" s="41"/>
      <c r="AQ4" s="5696">
        <v>2016</v>
      </c>
      <c r="AR4" s="5696"/>
      <c r="AS4" s="5696"/>
      <c r="AX4" s="5697">
        <v>2015</v>
      </c>
      <c r="AY4" s="5697"/>
      <c r="AZ4" s="5697"/>
      <c r="BB4" s="47"/>
      <c r="BC4" s="840"/>
      <c r="BD4" s="840"/>
      <c r="BE4" s="5696">
        <v>2014</v>
      </c>
      <c r="BF4" s="5696"/>
      <c r="BG4" s="5696"/>
      <c r="BI4" s="750"/>
      <c r="BJ4" s="750"/>
      <c r="BK4" s="750"/>
      <c r="BL4" s="828"/>
      <c r="BM4" s="5696">
        <v>2013</v>
      </c>
      <c r="BN4" s="5696"/>
      <c r="BO4" s="5696"/>
      <c r="BP4" s="5696"/>
      <c r="BR4" s="841"/>
      <c r="BS4" s="841"/>
      <c r="BT4" s="841"/>
      <c r="BU4" s="5696">
        <v>2012</v>
      </c>
      <c r="BV4" s="5696"/>
      <c r="BW4" s="5696"/>
      <c r="BX4" s="5696"/>
      <c r="BY4" s="5696"/>
      <c r="CA4" s="70"/>
      <c r="CB4" s="70"/>
      <c r="CC4" s="42"/>
      <c r="CD4" s="5696">
        <v>2011</v>
      </c>
      <c r="CE4" s="5696"/>
      <c r="CF4" s="5696"/>
      <c r="CG4" s="5696"/>
      <c r="CH4" s="42"/>
      <c r="CI4" s="42"/>
      <c r="CJ4" s="42"/>
      <c r="CK4" s="42"/>
      <c r="CL4" s="42"/>
      <c r="CM4" s="5696">
        <v>2010</v>
      </c>
      <c r="CN4" s="5696"/>
      <c r="CO4" s="5696"/>
      <c r="CP4" s="5696"/>
    </row>
    <row r="5" spans="1:94" ht="30.75" customHeight="1" thickBot="1">
      <c r="A5" s="466" t="s">
        <v>0</v>
      </c>
      <c r="B5" s="466" t="s">
        <v>1</v>
      </c>
      <c r="C5" s="466" t="s">
        <v>2</v>
      </c>
      <c r="D5" s="466" t="s">
        <v>1368</v>
      </c>
      <c r="E5" s="466" t="s">
        <v>1366</v>
      </c>
      <c r="F5" s="843" t="s">
        <v>1302</v>
      </c>
      <c r="G5" s="728" t="s">
        <v>1371</v>
      </c>
      <c r="I5" s="466" t="s">
        <v>0</v>
      </c>
      <c r="J5" s="466" t="s">
        <v>1</v>
      </c>
      <c r="K5" s="466" t="s">
        <v>2</v>
      </c>
      <c r="L5" s="466" t="s">
        <v>2545</v>
      </c>
      <c r="M5" s="1643" t="s">
        <v>1301</v>
      </c>
      <c r="N5" s="843" t="s">
        <v>1302</v>
      </c>
      <c r="O5" s="728" t="s">
        <v>1371</v>
      </c>
      <c r="Q5" s="4739" t="s">
        <v>0</v>
      </c>
      <c r="R5" s="4739" t="s">
        <v>1</v>
      </c>
      <c r="S5" s="4739" t="s">
        <v>2</v>
      </c>
      <c r="T5" s="4718" t="s">
        <v>2936</v>
      </c>
      <c r="U5" s="4718" t="s">
        <v>1366</v>
      </c>
      <c r="V5" s="4770" t="s">
        <v>1302</v>
      </c>
      <c r="W5" s="4751" t="s">
        <v>1371</v>
      </c>
      <c r="Y5" s="491" t="s">
        <v>0</v>
      </c>
      <c r="Z5" s="491" t="s">
        <v>1</v>
      </c>
      <c r="AA5" s="491" t="s">
        <v>2</v>
      </c>
      <c r="AB5" s="491" t="s">
        <v>1155</v>
      </c>
      <c r="AC5" s="491" t="s">
        <v>1366</v>
      </c>
      <c r="AD5" s="843" t="s">
        <v>1302</v>
      </c>
      <c r="AE5" s="54" t="s">
        <v>1371</v>
      </c>
      <c r="AG5" s="491" t="s">
        <v>0</v>
      </c>
      <c r="AH5" s="491" t="s">
        <v>1</v>
      </c>
      <c r="AI5" s="491" t="s">
        <v>2</v>
      </c>
      <c r="AJ5" s="491" t="s">
        <v>2545</v>
      </c>
      <c r="AK5" s="560" t="s">
        <v>1301</v>
      </c>
      <c r="AL5" s="843" t="s">
        <v>1302</v>
      </c>
      <c r="AN5" s="456" t="s">
        <v>0</v>
      </c>
      <c r="AO5" s="456" t="s">
        <v>1</v>
      </c>
      <c r="AP5" s="456" t="s">
        <v>2</v>
      </c>
      <c r="AQ5" s="456" t="s">
        <v>1943</v>
      </c>
      <c r="AR5" s="456" t="s">
        <v>1366</v>
      </c>
      <c r="AS5" s="843" t="s">
        <v>1302</v>
      </c>
      <c r="AT5" s="1"/>
      <c r="AU5" s="1421" t="s">
        <v>0</v>
      </c>
      <c r="AV5" s="1421" t="s">
        <v>1</v>
      </c>
      <c r="AW5" s="1422" t="s">
        <v>2</v>
      </c>
      <c r="AX5" s="1423" t="s">
        <v>1872</v>
      </c>
      <c r="AY5" s="1423" t="s">
        <v>1366</v>
      </c>
      <c r="AZ5" s="843" t="s">
        <v>1302</v>
      </c>
      <c r="BB5" s="842" t="s">
        <v>0</v>
      </c>
      <c r="BC5" s="842" t="s">
        <v>1</v>
      </c>
      <c r="BD5" s="842" t="s">
        <v>2</v>
      </c>
      <c r="BE5" s="842" t="s">
        <v>1155</v>
      </c>
      <c r="BF5" s="842" t="s">
        <v>1366</v>
      </c>
      <c r="BG5" s="843" t="s">
        <v>1302</v>
      </c>
      <c r="BI5" s="844" t="s">
        <v>1009</v>
      </c>
      <c r="BJ5" s="844" t="s">
        <v>0</v>
      </c>
      <c r="BK5" s="672" t="s">
        <v>1</v>
      </c>
      <c r="BL5" s="672" t="s">
        <v>2</v>
      </c>
      <c r="BM5" s="672" t="s">
        <v>1155</v>
      </c>
      <c r="BN5" s="672" t="s">
        <v>1366</v>
      </c>
      <c r="BO5" s="672" t="s">
        <v>1367</v>
      </c>
      <c r="BP5" s="843" t="s">
        <v>1302</v>
      </c>
      <c r="BR5" s="845" t="s">
        <v>0</v>
      </c>
      <c r="BS5" s="845" t="s">
        <v>1</v>
      </c>
      <c r="BT5" s="845" t="s">
        <v>2</v>
      </c>
      <c r="BU5" s="754" t="s">
        <v>1368</v>
      </c>
      <c r="BV5" s="754" t="s">
        <v>1302</v>
      </c>
      <c r="BW5" s="845" t="s">
        <v>1366</v>
      </c>
      <c r="BX5" s="754" t="s">
        <v>1369</v>
      </c>
      <c r="BY5" s="754" t="s">
        <v>1302</v>
      </c>
      <c r="CA5" s="491" t="s">
        <v>0</v>
      </c>
      <c r="CB5" s="491" t="s">
        <v>1</v>
      </c>
      <c r="CC5" s="491" t="s">
        <v>2</v>
      </c>
      <c r="CD5" s="756" t="s">
        <v>1366</v>
      </c>
      <c r="CE5" s="54" t="s">
        <v>1370</v>
      </c>
      <c r="CF5" s="54" t="s">
        <v>1371</v>
      </c>
      <c r="CG5" s="757" t="s">
        <v>1302</v>
      </c>
      <c r="CH5" s="42"/>
      <c r="CI5" s="42"/>
      <c r="CJ5" s="846" t="s">
        <v>0</v>
      </c>
      <c r="CK5" s="846" t="s">
        <v>1</v>
      </c>
      <c r="CL5" s="846" t="s">
        <v>2</v>
      </c>
      <c r="CM5" s="846" t="s">
        <v>1155</v>
      </c>
      <c r="CN5" s="846" t="s">
        <v>1301</v>
      </c>
      <c r="CO5" s="847" t="s">
        <v>1303</v>
      </c>
      <c r="CP5" s="848" t="s">
        <v>1304</v>
      </c>
    </row>
    <row r="6" spans="1:94">
      <c r="A6" s="41" t="s">
        <v>3</v>
      </c>
      <c r="B6" s="41" t="s">
        <v>4</v>
      </c>
      <c r="C6" s="41" t="s">
        <v>114</v>
      </c>
      <c r="D6" s="1496">
        <v>6.33</v>
      </c>
      <c r="E6" s="105">
        <v>3</v>
      </c>
      <c r="F6" s="1431">
        <f t="shared" ref="F6:F11" si="0">D6-6</f>
        <v>0.33000000000000007</v>
      </c>
      <c r="G6" s="107">
        <v>6</v>
      </c>
      <c r="I6" s="41" t="s">
        <v>3</v>
      </c>
      <c r="J6" s="107" t="s">
        <v>4</v>
      </c>
      <c r="K6" s="41" t="s">
        <v>114</v>
      </c>
      <c r="L6" s="1496">
        <v>8.33</v>
      </c>
      <c r="M6" s="105">
        <v>3</v>
      </c>
      <c r="N6" s="1431">
        <f>L6-6</f>
        <v>2.33</v>
      </c>
      <c r="O6" s="107">
        <v>6</v>
      </c>
      <c r="Q6" s="44" t="s">
        <v>3</v>
      </c>
      <c r="R6" s="44" t="s">
        <v>4</v>
      </c>
      <c r="S6" s="44" t="s">
        <v>114</v>
      </c>
      <c r="T6" s="4243">
        <v>8.33</v>
      </c>
      <c r="U6" s="4243">
        <v>3</v>
      </c>
      <c r="V6" s="4743">
        <f>T6-W6</f>
        <v>2.33</v>
      </c>
      <c r="W6" s="4243">
        <v>6</v>
      </c>
      <c r="Y6" s="42" t="s">
        <v>3</v>
      </c>
      <c r="Z6" s="42" t="s">
        <v>4</v>
      </c>
      <c r="AA6" s="42" t="s">
        <v>114</v>
      </c>
      <c r="AB6" s="769">
        <v>7</v>
      </c>
      <c r="AC6" s="70">
        <v>1</v>
      </c>
      <c r="AD6" s="912">
        <f>AB6-AE6</f>
        <v>1</v>
      </c>
      <c r="AE6" s="2482">
        <v>6</v>
      </c>
      <c r="AG6" s="42" t="s">
        <v>3</v>
      </c>
      <c r="AH6" s="42" t="s">
        <v>4</v>
      </c>
      <c r="AI6" s="42" t="s">
        <v>114</v>
      </c>
      <c r="AJ6" s="769">
        <v>5.33</v>
      </c>
      <c r="AK6" s="70">
        <v>3</v>
      </c>
      <c r="AL6" s="144">
        <f>AJ6-6</f>
        <v>-0.66999999999999993</v>
      </c>
      <c r="AN6" s="107" t="s">
        <v>3</v>
      </c>
      <c r="AO6" s="107" t="s">
        <v>4</v>
      </c>
      <c r="AP6" s="47" t="s">
        <v>115</v>
      </c>
      <c r="AQ6" s="144">
        <v>7.19</v>
      </c>
      <c r="AR6" s="107">
        <v>31</v>
      </c>
      <c r="AS6" s="144">
        <f>AQ6-6</f>
        <v>1.1900000000000004</v>
      </c>
      <c r="AT6" s="1"/>
      <c r="AU6" s="1424" t="s">
        <v>3</v>
      </c>
      <c r="AV6" s="1424" t="s">
        <v>4</v>
      </c>
      <c r="AW6" s="1425" t="s">
        <v>115</v>
      </c>
      <c r="AX6" s="1426">
        <v>7.5294117647058814</v>
      </c>
      <c r="AY6" s="1427">
        <v>17</v>
      </c>
      <c r="AZ6" s="144">
        <f>AX6-6</f>
        <v>1.5294117647058814</v>
      </c>
      <c r="BB6" s="849" t="s">
        <v>3</v>
      </c>
      <c r="BC6" s="849" t="s">
        <v>4</v>
      </c>
      <c r="BD6" s="850" t="s">
        <v>114</v>
      </c>
      <c r="BE6" s="851">
        <v>11.666666666666666</v>
      </c>
      <c r="BF6" s="852">
        <v>3</v>
      </c>
      <c r="BG6" s="853">
        <f>BE6-6</f>
        <v>5.6666666666666661</v>
      </c>
      <c r="BI6" s="688" t="s">
        <v>709</v>
      </c>
      <c r="BJ6" s="688" t="s">
        <v>3</v>
      </c>
      <c r="BK6" s="688" t="s">
        <v>4</v>
      </c>
      <c r="BL6" s="457" t="s">
        <v>114</v>
      </c>
      <c r="BM6" s="459">
        <v>9</v>
      </c>
      <c r="BN6" s="458">
        <v>1</v>
      </c>
      <c r="BO6" s="689"/>
      <c r="BP6" s="854">
        <f>BM6-6</f>
        <v>3</v>
      </c>
      <c r="BR6" s="855" t="s">
        <v>3</v>
      </c>
      <c r="BS6" s="855" t="s">
        <v>4</v>
      </c>
      <c r="BT6" s="856" t="s">
        <v>114</v>
      </c>
      <c r="BU6" s="857">
        <v>9</v>
      </c>
      <c r="BV6" s="857">
        <f>BU6-CF6</f>
        <v>3</v>
      </c>
      <c r="BW6" s="858">
        <v>1</v>
      </c>
      <c r="BX6" s="857">
        <v>9</v>
      </c>
      <c r="BY6" s="857">
        <f>BX6-CF6</f>
        <v>3</v>
      </c>
      <c r="CA6" s="70" t="s">
        <v>3</v>
      </c>
      <c r="CB6" s="70" t="s">
        <v>4</v>
      </c>
      <c r="CC6" s="42" t="s">
        <v>114</v>
      </c>
      <c r="CD6" s="70">
        <v>4</v>
      </c>
      <c r="CE6" s="769">
        <v>39</v>
      </c>
      <c r="CF6" s="70">
        <v>6</v>
      </c>
      <c r="CG6" s="769">
        <f>+CE6-CF6</f>
        <v>33</v>
      </c>
      <c r="CH6" s="42"/>
      <c r="CI6" s="42"/>
      <c r="CJ6" s="859" t="s">
        <v>3</v>
      </c>
      <c r="CK6" s="860" t="s">
        <v>4</v>
      </c>
      <c r="CL6" s="859" t="s">
        <v>114</v>
      </c>
      <c r="CM6" s="861">
        <v>12</v>
      </c>
      <c r="CN6" s="860">
        <v>1</v>
      </c>
      <c r="CO6" s="862">
        <v>6</v>
      </c>
      <c r="CP6" s="861">
        <f>CM6-6</f>
        <v>6</v>
      </c>
    </row>
    <row r="7" spans="1:94">
      <c r="A7" s="41"/>
      <c r="B7" s="41"/>
      <c r="C7" s="41" t="s">
        <v>116</v>
      </c>
      <c r="D7" s="1496">
        <v>6.29</v>
      </c>
      <c r="E7" s="105">
        <v>14</v>
      </c>
      <c r="F7" s="1431">
        <f t="shared" si="0"/>
        <v>0.29000000000000004</v>
      </c>
      <c r="G7" s="107">
        <v>6</v>
      </c>
      <c r="I7" s="41"/>
      <c r="J7" s="107"/>
      <c r="K7" s="41"/>
      <c r="L7" s="1496"/>
      <c r="M7" s="105"/>
      <c r="N7" s="1431"/>
      <c r="O7" s="107"/>
      <c r="T7" s="4243"/>
      <c r="U7" s="4243"/>
      <c r="V7" s="4743">
        <f>T7-W7</f>
        <v>0</v>
      </c>
      <c r="W7" s="4243"/>
      <c r="Y7" s="42"/>
      <c r="Z7" s="42"/>
      <c r="AA7" s="42"/>
      <c r="AB7" s="769"/>
      <c r="AC7" s="70"/>
      <c r="AD7" s="912"/>
      <c r="AE7" s="2482"/>
      <c r="AG7" s="42"/>
      <c r="AH7" s="42"/>
      <c r="AI7" s="42" t="s">
        <v>115</v>
      </c>
      <c r="AJ7" s="769">
        <v>7.13</v>
      </c>
      <c r="AK7" s="70">
        <v>16</v>
      </c>
      <c r="AL7" s="144">
        <f t="shared" ref="AL7:AL70" si="1">AJ7-6</f>
        <v>1.1299999999999999</v>
      </c>
      <c r="AN7" s="107"/>
      <c r="AO7" s="107"/>
      <c r="AP7" s="47" t="s">
        <v>116</v>
      </c>
      <c r="AQ7" s="144">
        <v>6.38</v>
      </c>
      <c r="AR7" s="107">
        <v>8</v>
      </c>
      <c r="AS7" s="144">
        <f>AQ7-5</f>
        <v>1.38</v>
      </c>
      <c r="AT7" s="1"/>
      <c r="AU7" s="1424"/>
      <c r="AV7" s="1424"/>
      <c r="AW7" s="1425" t="s">
        <v>116</v>
      </c>
      <c r="AX7" s="1426">
        <v>6</v>
      </c>
      <c r="AY7" s="1427">
        <v>9</v>
      </c>
      <c r="AZ7" s="144">
        <f>AX7-5</f>
        <v>1</v>
      </c>
      <c r="BB7" s="849"/>
      <c r="BC7" s="849"/>
      <c r="BD7" s="850" t="s">
        <v>115</v>
      </c>
      <c r="BE7" s="851">
        <v>7.5294117647058805</v>
      </c>
      <c r="BF7" s="852">
        <v>17</v>
      </c>
      <c r="BG7" s="853">
        <f>BE7-6</f>
        <v>1.5294117647058805</v>
      </c>
      <c r="BI7" s="688"/>
      <c r="BJ7" s="688"/>
      <c r="BK7" s="688"/>
      <c r="BL7" s="457" t="s">
        <v>115</v>
      </c>
      <c r="BM7" s="459">
        <v>8.2857142857142883</v>
      </c>
      <c r="BN7" s="458">
        <v>14</v>
      </c>
      <c r="BO7" s="765">
        <v>2.7576068618270453</v>
      </c>
      <c r="BP7" s="854">
        <f>BM7-6</f>
        <v>2.2857142857142883</v>
      </c>
      <c r="BR7" s="855"/>
      <c r="BS7" s="855"/>
      <c r="BT7" s="856" t="s">
        <v>115</v>
      </c>
      <c r="BU7" s="857">
        <v>8.1538461538461533</v>
      </c>
      <c r="BV7" s="857">
        <f t="shared" ref="BV7:BV16" si="2">BU7-CF7</f>
        <v>2.1538461538461533</v>
      </c>
      <c r="BW7" s="858">
        <v>26</v>
      </c>
      <c r="BX7" s="857">
        <v>9.8461538461538485</v>
      </c>
      <c r="BY7" s="857">
        <f>BX7-CF7</f>
        <v>3.8461538461538485</v>
      </c>
      <c r="CA7" s="70"/>
      <c r="CB7" s="70"/>
      <c r="CC7" s="42" t="s">
        <v>115</v>
      </c>
      <c r="CD7" s="70">
        <v>18</v>
      </c>
      <c r="CE7" s="769">
        <v>13.611111111111107</v>
      </c>
      <c r="CF7" s="70">
        <v>6</v>
      </c>
      <c r="CG7" s="769">
        <f t="shared" ref="CG7:CG58" si="3">+CE7-CF7</f>
        <v>7.6111111111111072</v>
      </c>
      <c r="CH7" s="42"/>
      <c r="CI7" s="42"/>
      <c r="CJ7" s="859"/>
      <c r="CK7" s="860"/>
      <c r="CL7" s="859" t="s">
        <v>115</v>
      </c>
      <c r="CM7" s="861">
        <v>11.5</v>
      </c>
      <c r="CN7" s="860">
        <v>10</v>
      </c>
      <c r="CO7" s="862">
        <v>6</v>
      </c>
      <c r="CP7" s="861">
        <f>CM7-6</f>
        <v>5.5</v>
      </c>
    </row>
    <row r="8" spans="1:94">
      <c r="A8" s="41"/>
      <c r="B8" s="41"/>
      <c r="C8" s="41" t="s">
        <v>669</v>
      </c>
      <c r="D8" s="1496">
        <v>9</v>
      </c>
      <c r="E8" s="105">
        <v>2</v>
      </c>
      <c r="F8" s="1431">
        <f t="shared" si="0"/>
        <v>3</v>
      </c>
      <c r="G8" s="107">
        <v>6</v>
      </c>
      <c r="I8" s="41"/>
      <c r="J8" s="107"/>
      <c r="K8" s="41" t="s">
        <v>116</v>
      </c>
      <c r="L8" s="1496">
        <v>7</v>
      </c>
      <c r="M8" s="105">
        <v>13</v>
      </c>
      <c r="N8" s="1431">
        <f>L8-6</f>
        <v>1</v>
      </c>
      <c r="O8" s="107">
        <v>6</v>
      </c>
      <c r="S8" s="44" t="s">
        <v>116</v>
      </c>
      <c r="T8" s="4243">
        <v>7.3</v>
      </c>
      <c r="U8" s="4243">
        <v>10</v>
      </c>
      <c r="V8" s="4743">
        <f>T8-W8</f>
        <v>1.2999999999999998</v>
      </c>
      <c r="W8" s="4243">
        <v>6</v>
      </c>
      <c r="Y8" s="42"/>
      <c r="Z8" s="42"/>
      <c r="AA8" s="42" t="s">
        <v>116</v>
      </c>
      <c r="AB8" s="769">
        <v>6.38</v>
      </c>
      <c r="AC8" s="70">
        <v>8</v>
      </c>
      <c r="AD8" s="912">
        <f t="shared" ref="AD8:AD70" si="4">AB8-AE8</f>
        <v>0.37999999999999989</v>
      </c>
      <c r="AE8" s="2482">
        <v>6</v>
      </c>
      <c r="AG8" s="42"/>
      <c r="AH8" s="42"/>
      <c r="AI8" s="42" t="s">
        <v>116</v>
      </c>
      <c r="AJ8" s="769">
        <v>6.5</v>
      </c>
      <c r="AK8" s="70">
        <v>16</v>
      </c>
      <c r="AL8" s="144">
        <f t="shared" si="1"/>
        <v>0.5</v>
      </c>
      <c r="AN8" s="107"/>
      <c r="AO8" s="107"/>
      <c r="AP8" s="47" t="s">
        <v>669</v>
      </c>
      <c r="AQ8" s="144">
        <v>7.67</v>
      </c>
      <c r="AR8" s="107">
        <v>9</v>
      </c>
      <c r="AS8" s="144">
        <f t="shared" ref="AS8:AS70" si="5">AQ8-6</f>
        <v>1.67</v>
      </c>
      <c r="AT8" s="1"/>
      <c r="AU8" s="1424"/>
      <c r="AV8" s="1424"/>
      <c r="AW8" s="1425" t="s">
        <v>669</v>
      </c>
      <c r="AX8" s="1426">
        <v>7.4</v>
      </c>
      <c r="AY8" s="1427">
        <v>5</v>
      </c>
      <c r="AZ8" s="144">
        <f t="shared" ref="AZ8:AZ68" si="6">AX8-6</f>
        <v>1.4000000000000004</v>
      </c>
      <c r="BB8" s="849"/>
      <c r="BC8" s="849"/>
      <c r="BD8" s="850" t="s">
        <v>116</v>
      </c>
      <c r="BE8" s="851">
        <v>6</v>
      </c>
      <c r="BF8" s="852">
        <v>12</v>
      </c>
      <c r="BG8" s="853">
        <f>BE8-5</f>
        <v>1</v>
      </c>
      <c r="BI8" s="688"/>
      <c r="BJ8" s="688"/>
      <c r="BK8" s="688"/>
      <c r="BL8" s="457" t="s">
        <v>116</v>
      </c>
      <c r="BM8" s="459">
        <v>7.25</v>
      </c>
      <c r="BN8" s="458">
        <v>8</v>
      </c>
      <c r="BO8" s="765">
        <v>1.8322507626258087</v>
      </c>
      <c r="BP8" s="854">
        <f>BM8-5</f>
        <v>2.25</v>
      </c>
      <c r="BR8" s="855"/>
      <c r="BS8" s="855"/>
      <c r="BT8" s="856" t="s">
        <v>116</v>
      </c>
      <c r="BU8" s="857">
        <v>5.8333333333333339</v>
      </c>
      <c r="BV8" s="857">
        <f t="shared" si="2"/>
        <v>0.83333333333333393</v>
      </c>
      <c r="BW8" s="858">
        <v>12</v>
      </c>
      <c r="BX8" s="857">
        <v>6.1666666666666661</v>
      </c>
      <c r="BY8" s="857">
        <f>BX8-CF8</f>
        <v>1.1666666666666661</v>
      </c>
      <c r="CA8" s="70"/>
      <c r="CB8" s="70"/>
      <c r="CC8" s="42" t="s">
        <v>116</v>
      </c>
      <c r="CD8" s="70">
        <v>9</v>
      </c>
      <c r="CE8" s="769">
        <v>8.4444444444444446</v>
      </c>
      <c r="CF8" s="70">
        <v>5</v>
      </c>
      <c r="CG8" s="769">
        <f t="shared" si="3"/>
        <v>3.4444444444444446</v>
      </c>
      <c r="CH8" s="42"/>
      <c r="CI8" s="42"/>
      <c r="CJ8" s="859"/>
      <c r="CK8" s="860"/>
      <c r="CL8" s="859" t="s">
        <v>116</v>
      </c>
      <c r="CM8" s="861">
        <v>7.125</v>
      </c>
      <c r="CN8" s="860">
        <v>8</v>
      </c>
      <c r="CO8" s="862">
        <v>5</v>
      </c>
      <c r="CP8" s="861">
        <f>CM8-5</f>
        <v>2.125</v>
      </c>
    </row>
    <row r="9" spans="1:94">
      <c r="A9" s="41"/>
      <c r="B9" s="41"/>
      <c r="C9" s="41" t="s">
        <v>668</v>
      </c>
      <c r="D9" s="1496">
        <v>9</v>
      </c>
      <c r="E9" s="105">
        <v>2</v>
      </c>
      <c r="F9" s="1431">
        <f t="shared" si="0"/>
        <v>3</v>
      </c>
      <c r="G9" s="107">
        <v>6</v>
      </c>
      <c r="I9" s="41"/>
      <c r="J9" s="107"/>
      <c r="K9" s="41" t="s">
        <v>669</v>
      </c>
      <c r="L9" s="1496">
        <v>8.33</v>
      </c>
      <c r="M9" s="105">
        <v>9</v>
      </c>
      <c r="N9" s="1431">
        <f>L9-6</f>
        <v>2.33</v>
      </c>
      <c r="O9" s="107">
        <v>6</v>
      </c>
      <c r="S9" s="44" t="s">
        <v>669</v>
      </c>
      <c r="T9" s="4243">
        <v>8</v>
      </c>
      <c r="U9" s="4243">
        <v>8</v>
      </c>
      <c r="V9" s="4743">
        <f>T9-W9</f>
        <v>2</v>
      </c>
      <c r="W9" s="4243">
        <v>6</v>
      </c>
      <c r="Y9" s="42"/>
      <c r="Z9" s="42"/>
      <c r="AA9" s="42" t="s">
        <v>669</v>
      </c>
      <c r="AB9" s="769">
        <v>7.5</v>
      </c>
      <c r="AC9" s="70">
        <v>8</v>
      </c>
      <c r="AD9" s="912">
        <f t="shared" si="4"/>
        <v>1.5</v>
      </c>
      <c r="AE9" s="2482">
        <v>6</v>
      </c>
      <c r="AG9" s="42"/>
      <c r="AH9" s="42"/>
      <c r="AI9" s="42" t="s">
        <v>669</v>
      </c>
      <c r="AJ9" s="769">
        <v>7.75</v>
      </c>
      <c r="AK9" s="70">
        <v>12</v>
      </c>
      <c r="AL9" s="144">
        <f t="shared" si="1"/>
        <v>1.75</v>
      </c>
      <c r="AN9" s="107"/>
      <c r="AO9" s="107"/>
      <c r="AP9" s="47" t="s">
        <v>668</v>
      </c>
      <c r="AQ9" s="144">
        <v>8</v>
      </c>
      <c r="AR9" s="107">
        <v>3</v>
      </c>
      <c r="AS9" s="144">
        <f t="shared" si="5"/>
        <v>2</v>
      </c>
      <c r="AT9" s="1"/>
      <c r="AU9" s="1424"/>
      <c r="AV9" s="1424"/>
      <c r="AW9" s="1425" t="s">
        <v>668</v>
      </c>
      <c r="AX9" s="1426">
        <v>8.3333333333333339</v>
      </c>
      <c r="AY9" s="1427">
        <v>3</v>
      </c>
      <c r="AZ9" s="144">
        <f t="shared" si="6"/>
        <v>2.3333333333333339</v>
      </c>
      <c r="BB9" s="849"/>
      <c r="BC9" s="849"/>
      <c r="BD9" s="850" t="s">
        <v>669</v>
      </c>
      <c r="BE9" s="851">
        <v>7.6</v>
      </c>
      <c r="BF9" s="852">
        <v>5</v>
      </c>
      <c r="BG9" s="853">
        <f>BE9-6</f>
        <v>1.5999999999999996</v>
      </c>
      <c r="BI9" s="688"/>
      <c r="BJ9" s="688"/>
      <c r="BK9" s="688"/>
      <c r="BL9" s="784" t="s">
        <v>544</v>
      </c>
      <c r="BM9" s="462">
        <v>7.9565217391304337</v>
      </c>
      <c r="BN9" s="463">
        <v>23</v>
      </c>
      <c r="BO9" s="785">
        <v>2.4210865492690226</v>
      </c>
      <c r="BP9" s="863">
        <f>+(BN6*BP6+BN7*BP7+BN8*BP8)/BN9</f>
        <v>2.3043478260869579</v>
      </c>
      <c r="BR9" s="855"/>
      <c r="BS9" s="855"/>
      <c r="BT9" s="864" t="s">
        <v>544</v>
      </c>
      <c r="BU9" s="863">
        <v>7.4615384615384626</v>
      </c>
      <c r="BV9" s="863">
        <f>+(BW6*BV6+BW7*BV7+BW8*BV8)/BW9</f>
        <v>1.7692307692307692</v>
      </c>
      <c r="BW9" s="865">
        <v>39</v>
      </c>
      <c r="BX9" s="863">
        <v>8.6923076923076952</v>
      </c>
      <c r="BY9" s="863">
        <f>+(BW6*BY6+BW7*BY7+BW8*BY8)/BW9</f>
        <v>3.0000000000000013</v>
      </c>
      <c r="CA9" s="70"/>
      <c r="CB9" s="70"/>
      <c r="CC9" s="484" t="s">
        <v>15</v>
      </c>
      <c r="CD9" s="454">
        <v>31</v>
      </c>
      <c r="CE9" s="782">
        <v>15.38709677419355</v>
      </c>
      <c r="CF9" s="866"/>
      <c r="CG9" s="782">
        <f>+(CD6*CG6+CD7*CG7+CD8*CG8)/CD9</f>
        <v>9.6774193548387082</v>
      </c>
      <c r="CH9" s="867">
        <f>AVERAGE(CG6:CG8)</f>
        <v>14.685185185185183</v>
      </c>
      <c r="CI9" s="42"/>
      <c r="CJ9" s="859"/>
      <c r="CK9" s="860"/>
      <c r="CL9" s="860" t="s">
        <v>15</v>
      </c>
      <c r="CM9" s="861">
        <v>9.6842105263157876</v>
      </c>
      <c r="CN9" s="860">
        <v>19</v>
      </c>
      <c r="CO9" s="868"/>
      <c r="CP9" s="869">
        <f>AVERAGE(CP6:CP8)</f>
        <v>4.541666666666667</v>
      </c>
    </row>
    <row r="10" spans="1:94">
      <c r="A10" s="41"/>
      <c r="B10" s="41"/>
      <c r="C10" s="41" t="s">
        <v>2537</v>
      </c>
      <c r="D10" s="1496">
        <v>6.75</v>
      </c>
      <c r="E10" s="105">
        <v>16</v>
      </c>
      <c r="F10" s="1431">
        <f t="shared" si="0"/>
        <v>0.75</v>
      </c>
      <c r="G10" s="107">
        <v>6</v>
      </c>
      <c r="I10" s="41"/>
      <c r="J10" s="107"/>
      <c r="K10" s="41"/>
      <c r="L10" s="1496"/>
      <c r="M10" s="105"/>
      <c r="N10" s="1431"/>
      <c r="O10" s="107"/>
      <c r="S10" s="44" t="s">
        <v>2537</v>
      </c>
      <c r="T10" s="4243">
        <v>7</v>
      </c>
      <c r="U10" s="4243">
        <v>8</v>
      </c>
      <c r="V10" s="4743">
        <f>T10-W10</f>
        <v>1</v>
      </c>
      <c r="W10" s="4243">
        <v>6</v>
      </c>
      <c r="Y10" s="42"/>
      <c r="Z10" s="42"/>
      <c r="AA10" s="42" t="s">
        <v>668</v>
      </c>
      <c r="AB10" s="769">
        <v>8</v>
      </c>
      <c r="AC10" s="70">
        <v>6</v>
      </c>
      <c r="AD10" s="912">
        <f t="shared" si="4"/>
        <v>2</v>
      </c>
      <c r="AE10" s="2482">
        <v>6</v>
      </c>
      <c r="AG10" s="42"/>
      <c r="AH10" s="42"/>
      <c r="AI10" s="42" t="s">
        <v>668</v>
      </c>
      <c r="AJ10" s="769">
        <v>7.67</v>
      </c>
      <c r="AK10" s="70">
        <v>3</v>
      </c>
      <c r="AL10" s="144">
        <f t="shared" si="1"/>
        <v>1.67</v>
      </c>
      <c r="AN10" s="107"/>
      <c r="AO10" s="107"/>
      <c r="AP10" s="968" t="s">
        <v>544</v>
      </c>
      <c r="AQ10" s="969">
        <v>7.2</v>
      </c>
      <c r="AR10" s="145">
        <v>51</v>
      </c>
      <c r="AS10" s="875">
        <f>+(AR6*AS6+AR7*AS7+AR8*AS8+AR9*AS9)/AR10</f>
        <v>1.3521568627450982</v>
      </c>
      <c r="AT10" s="1"/>
      <c r="AU10" s="1424"/>
      <c r="AV10" s="1424"/>
      <c r="AW10" s="1425"/>
      <c r="AX10" s="1426"/>
      <c r="AY10" s="1427"/>
      <c r="AZ10" s="144"/>
      <c r="BB10" s="849"/>
      <c r="BC10" s="849"/>
      <c r="BD10" s="850" t="s">
        <v>668</v>
      </c>
      <c r="BE10" s="851">
        <v>7</v>
      </c>
      <c r="BF10" s="852">
        <v>1</v>
      </c>
      <c r="BG10" s="853">
        <f t="shared" ref="BG10:BG67" si="7">BE10-6</f>
        <v>1</v>
      </c>
      <c r="BI10" s="688"/>
      <c r="BJ10" s="688"/>
      <c r="BK10" s="688" t="s">
        <v>16</v>
      </c>
      <c r="BL10" s="457" t="s">
        <v>117</v>
      </c>
      <c r="BM10" s="459">
        <v>7.25</v>
      </c>
      <c r="BN10" s="458">
        <v>4</v>
      </c>
      <c r="BO10" s="870">
        <v>0.49999999999999994</v>
      </c>
      <c r="BP10" s="871">
        <f>BM10-6</f>
        <v>1.25</v>
      </c>
      <c r="BR10" s="855"/>
      <c r="BS10" s="855" t="s">
        <v>16</v>
      </c>
      <c r="BT10" s="856" t="s">
        <v>117</v>
      </c>
      <c r="BU10" s="857">
        <v>7.5</v>
      </c>
      <c r="BV10" s="857">
        <f t="shared" si="2"/>
        <v>1.5</v>
      </c>
      <c r="BW10" s="858">
        <v>2</v>
      </c>
      <c r="BX10" s="857">
        <v>7.5</v>
      </c>
      <c r="BY10" s="857">
        <f>BX10-CF10</f>
        <v>1.5</v>
      </c>
      <c r="CA10" s="70"/>
      <c r="CB10" s="70" t="s">
        <v>16</v>
      </c>
      <c r="CC10" s="42" t="s">
        <v>117</v>
      </c>
      <c r="CD10" s="70">
        <v>3</v>
      </c>
      <c r="CE10" s="769">
        <v>7.333333333333333</v>
      </c>
      <c r="CF10" s="70">
        <v>6</v>
      </c>
      <c r="CG10" s="769">
        <f t="shared" si="3"/>
        <v>1.333333333333333</v>
      </c>
      <c r="CH10" s="42"/>
      <c r="CI10" s="42"/>
      <c r="CJ10" s="859"/>
      <c r="CK10" s="860" t="s">
        <v>16</v>
      </c>
      <c r="CL10" s="859" t="s">
        <v>117</v>
      </c>
      <c r="CM10" s="861">
        <v>6.6</v>
      </c>
      <c r="CN10" s="860">
        <v>5</v>
      </c>
      <c r="CO10" s="862">
        <v>6</v>
      </c>
      <c r="CP10" s="861">
        <f>CM10-6</f>
        <v>0.59999999999999964</v>
      </c>
    </row>
    <row r="11" spans="1:94">
      <c r="A11" s="41"/>
      <c r="B11" s="41"/>
      <c r="C11" s="41" t="s">
        <v>3864</v>
      </c>
      <c r="D11" s="1496">
        <v>6</v>
      </c>
      <c r="E11" s="105">
        <v>1</v>
      </c>
      <c r="F11" s="1431">
        <f t="shared" si="0"/>
        <v>0</v>
      </c>
      <c r="G11" s="107">
        <v>6</v>
      </c>
      <c r="I11" s="41"/>
      <c r="J11" s="107"/>
      <c r="K11" s="41" t="s">
        <v>2537</v>
      </c>
      <c r="L11" s="1496">
        <v>6.73</v>
      </c>
      <c r="M11" s="105">
        <v>15</v>
      </c>
      <c r="N11" s="1431">
        <f>L11-6</f>
        <v>0.73000000000000043</v>
      </c>
      <c r="O11" s="107">
        <v>6</v>
      </c>
      <c r="S11" s="4716" t="s">
        <v>544</v>
      </c>
      <c r="T11" s="4723">
        <v>7.52</v>
      </c>
      <c r="U11" s="4723">
        <v>29</v>
      </c>
      <c r="V11" s="4771">
        <f>+(U6*V6+U8*V8+U9*V9+U10*V10)/U11</f>
        <v>1.5168965517241377</v>
      </c>
      <c r="W11" s="4243"/>
      <c r="Y11" s="42"/>
      <c r="Z11" s="42"/>
      <c r="AA11" s="42" t="s">
        <v>2537</v>
      </c>
      <c r="AB11" s="769">
        <v>7.58</v>
      </c>
      <c r="AC11" s="70">
        <v>33</v>
      </c>
      <c r="AD11" s="912">
        <f t="shared" si="4"/>
        <v>1.58</v>
      </c>
      <c r="AE11" s="2482">
        <v>6</v>
      </c>
      <c r="AG11" s="42"/>
      <c r="AH11" s="42"/>
      <c r="AI11" s="42" t="s">
        <v>2537</v>
      </c>
      <c r="AJ11" s="769">
        <v>7.73</v>
      </c>
      <c r="AK11" s="70">
        <v>15</v>
      </c>
      <c r="AL11" s="144">
        <f t="shared" si="1"/>
        <v>1.7300000000000004</v>
      </c>
      <c r="AN11" s="107"/>
      <c r="AO11" s="107" t="s">
        <v>16</v>
      </c>
      <c r="AP11" s="47" t="s">
        <v>117</v>
      </c>
      <c r="AQ11" s="144">
        <v>6.89</v>
      </c>
      <c r="AR11" s="107">
        <v>9</v>
      </c>
      <c r="AS11" s="144">
        <f>AQ11-6</f>
        <v>0.88999999999999968</v>
      </c>
      <c r="AT11" s="1"/>
      <c r="AU11" s="1424"/>
      <c r="AV11" s="1424"/>
      <c r="AW11" s="1428" t="s">
        <v>544</v>
      </c>
      <c r="AX11" s="1429">
        <v>7.1764705882352944</v>
      </c>
      <c r="AY11" s="1430">
        <v>34</v>
      </c>
      <c r="AZ11" s="875">
        <f>+(AY6*AZ6+AY7*AZ7+AY8*AZ8+AY9*AZ9+AY10*AZ10)/AY11</f>
        <v>1.4411764705882348</v>
      </c>
      <c r="BB11" s="849"/>
      <c r="BC11" s="849"/>
      <c r="BD11" s="872" t="s">
        <v>544</v>
      </c>
      <c r="BE11" s="873">
        <v>7.3684210526315805</v>
      </c>
      <c r="BF11" s="874">
        <v>38</v>
      </c>
      <c r="BG11" s="875">
        <f>+(BF6*BG6+BF7*BG7+BF8*BG8+BF9*BG9+BF10*BG10)/BF11</f>
        <v>1.6842105263157887</v>
      </c>
      <c r="BI11" s="688"/>
      <c r="BJ11" s="688"/>
      <c r="BK11" s="688"/>
      <c r="BL11" s="457" t="s">
        <v>242</v>
      </c>
      <c r="BM11" s="459">
        <v>6</v>
      </c>
      <c r="BN11" s="458">
        <v>15</v>
      </c>
      <c r="BO11" s="765">
        <v>0</v>
      </c>
      <c r="BP11" s="871">
        <f>BM11-6</f>
        <v>0</v>
      </c>
      <c r="BR11" s="855"/>
      <c r="BS11" s="855"/>
      <c r="BT11" s="856"/>
      <c r="BU11" s="857"/>
      <c r="BV11" s="857"/>
      <c r="BW11" s="858"/>
      <c r="BX11" s="857"/>
      <c r="BY11" s="857"/>
      <c r="CA11" s="70"/>
      <c r="CB11" s="70"/>
      <c r="CC11" s="42" t="s">
        <v>242</v>
      </c>
      <c r="CD11" s="70">
        <v>10</v>
      </c>
      <c r="CE11" s="769">
        <v>6</v>
      </c>
      <c r="CF11" s="70">
        <v>6</v>
      </c>
      <c r="CG11" s="769">
        <f t="shared" si="3"/>
        <v>0</v>
      </c>
      <c r="CH11" s="42"/>
      <c r="CI11" s="42"/>
      <c r="CJ11" s="859"/>
      <c r="CK11" s="860"/>
      <c r="CL11" s="876" t="s">
        <v>848</v>
      </c>
      <c r="CM11" s="861">
        <v>6</v>
      </c>
      <c r="CN11" s="860">
        <v>2</v>
      </c>
      <c r="CO11" s="862">
        <v>6</v>
      </c>
      <c r="CP11" s="861">
        <f>CM11-6</f>
        <v>0</v>
      </c>
    </row>
    <row r="12" spans="1:94">
      <c r="A12" s="41"/>
      <c r="B12" s="41"/>
      <c r="C12" s="461" t="s">
        <v>544</v>
      </c>
      <c r="D12" s="1511">
        <v>6.76</v>
      </c>
      <c r="E12" s="5501">
        <v>38</v>
      </c>
      <c r="F12" s="1989">
        <f>+(E6*F6+E7*F7+E8*F8+E9*F9+E10*F10+E11*F11)/E12</f>
        <v>0.76447368421052631</v>
      </c>
      <c r="G12" s="107">
        <v>6</v>
      </c>
      <c r="I12" s="41"/>
      <c r="J12" s="107"/>
      <c r="K12" s="461" t="s">
        <v>544</v>
      </c>
      <c r="L12" s="1511">
        <v>7.3</v>
      </c>
      <c r="M12" s="4686">
        <v>40</v>
      </c>
      <c r="N12" s="1989">
        <f>+(M6*N6+M8*N8+M9*N9+M11*N11)/M12</f>
        <v>1.2977500000000002</v>
      </c>
      <c r="O12" s="107"/>
      <c r="R12" s="44" t="s">
        <v>16</v>
      </c>
      <c r="S12" s="44" t="s">
        <v>117</v>
      </c>
      <c r="T12" s="4243">
        <v>7.33</v>
      </c>
      <c r="U12" s="4243">
        <v>3</v>
      </c>
      <c r="V12" s="4743">
        <f t="shared" ref="V12:V17" si="8">T12-W12</f>
        <v>7.33</v>
      </c>
      <c r="W12" s="4243"/>
      <c r="Y12" s="42"/>
      <c r="Z12" s="42"/>
      <c r="AA12" s="484" t="s">
        <v>544</v>
      </c>
      <c r="AB12" s="782">
        <v>7.43</v>
      </c>
      <c r="AC12" s="2479">
        <v>56</v>
      </c>
      <c r="AD12" s="875">
        <f>+(AC6*AD6+AC7*AD7+AC8*AD8+AC9*AD9+AC10*AD10+AC11*AD11)/AC12</f>
        <v>1.4317857142857144</v>
      </c>
      <c r="AE12" s="2482"/>
      <c r="AG12" s="42"/>
      <c r="AH12" s="42"/>
      <c r="AI12" s="484" t="s">
        <v>544</v>
      </c>
      <c r="AJ12" s="782">
        <v>7.17</v>
      </c>
      <c r="AK12" s="454">
        <v>65</v>
      </c>
      <c r="AL12" s="875">
        <f>+(AK6*AL6+AK7*AL7+AK8*AL8+AK9*AL9+AK10*AL10+AK11*AL11)/AK12</f>
        <v>1.1696923076923078</v>
      </c>
      <c r="AN12" s="107"/>
      <c r="AO12" s="107"/>
      <c r="AP12" s="47" t="s">
        <v>242</v>
      </c>
      <c r="AQ12" s="144">
        <v>6</v>
      </c>
      <c r="AR12" s="107">
        <v>4</v>
      </c>
      <c r="AS12" s="144">
        <f>AQ12-6</f>
        <v>0</v>
      </c>
      <c r="AT12" s="1"/>
      <c r="AU12" s="1424"/>
      <c r="AV12" s="1424" t="s">
        <v>16</v>
      </c>
      <c r="AW12" s="1425" t="s">
        <v>117</v>
      </c>
      <c r="AX12" s="1426">
        <v>6.7</v>
      </c>
      <c r="AY12" s="1427">
        <v>10</v>
      </c>
      <c r="AZ12" s="144">
        <f t="shared" si="6"/>
        <v>0.70000000000000018</v>
      </c>
      <c r="BB12" s="849"/>
      <c r="BC12" s="849" t="s">
        <v>16</v>
      </c>
      <c r="BD12" s="850" t="s">
        <v>117</v>
      </c>
      <c r="BE12" s="851">
        <v>6.5</v>
      </c>
      <c r="BF12" s="852">
        <v>2</v>
      </c>
      <c r="BG12" s="853">
        <f t="shared" si="7"/>
        <v>0.5</v>
      </c>
      <c r="BI12" s="688"/>
      <c r="BJ12" s="688"/>
      <c r="BK12" s="688"/>
      <c r="BL12" s="457" t="s">
        <v>119</v>
      </c>
      <c r="BM12" s="459">
        <v>6</v>
      </c>
      <c r="BN12" s="458">
        <v>1</v>
      </c>
      <c r="BO12" s="689"/>
      <c r="BP12" s="871">
        <f>BM12-6</f>
        <v>0</v>
      </c>
      <c r="BR12" s="855"/>
      <c r="BS12" s="855"/>
      <c r="BT12" s="856" t="s">
        <v>848</v>
      </c>
      <c r="BU12" s="857">
        <v>6</v>
      </c>
      <c r="BV12" s="857">
        <f t="shared" si="2"/>
        <v>0</v>
      </c>
      <c r="BW12" s="858">
        <v>1</v>
      </c>
      <c r="BX12" s="857">
        <v>25</v>
      </c>
      <c r="BY12" s="857">
        <f>BX12-CF12</f>
        <v>19</v>
      </c>
      <c r="CA12" s="70"/>
      <c r="CB12" s="70"/>
      <c r="CC12" s="42" t="s">
        <v>848</v>
      </c>
      <c r="CD12" s="70">
        <v>3</v>
      </c>
      <c r="CE12" s="769">
        <v>20.333333333333332</v>
      </c>
      <c r="CF12" s="70">
        <v>6</v>
      </c>
      <c r="CG12" s="769">
        <f t="shared" si="3"/>
        <v>14.333333333333332</v>
      </c>
      <c r="CH12" s="42"/>
      <c r="CI12" s="42"/>
      <c r="CJ12" s="859"/>
      <c r="CK12" s="860"/>
      <c r="CL12" s="859" t="s">
        <v>118</v>
      </c>
      <c r="CM12" s="861">
        <v>6.4166666666666661</v>
      </c>
      <c r="CN12" s="860">
        <v>12</v>
      </c>
      <c r="CO12" s="862">
        <v>6</v>
      </c>
      <c r="CP12" s="861">
        <f>CM12-6</f>
        <v>0.41666666666666607</v>
      </c>
    </row>
    <row r="13" spans="1:94">
      <c r="A13" s="41"/>
      <c r="B13" s="41" t="s">
        <v>16</v>
      </c>
      <c r="C13" s="41" t="s">
        <v>117</v>
      </c>
      <c r="D13" s="1496">
        <v>6.29</v>
      </c>
      <c r="E13" s="105">
        <v>7</v>
      </c>
      <c r="F13" s="1431">
        <f t="shared" ref="F13:F18" si="9">D13-6</f>
        <v>0.29000000000000004</v>
      </c>
      <c r="G13" s="107">
        <v>6</v>
      </c>
      <c r="I13" s="41"/>
      <c r="J13" s="107" t="s">
        <v>16</v>
      </c>
      <c r="K13" s="41" t="s">
        <v>117</v>
      </c>
      <c r="L13" s="1496">
        <v>6.67</v>
      </c>
      <c r="M13" s="105">
        <v>6</v>
      </c>
      <c r="N13" s="1431">
        <f t="shared" ref="N13:N18" si="10">L13-6</f>
        <v>0.66999999999999993</v>
      </c>
      <c r="O13" s="107">
        <v>6</v>
      </c>
      <c r="S13" s="44" t="s">
        <v>242</v>
      </c>
      <c r="T13" s="4243">
        <v>6</v>
      </c>
      <c r="U13" s="4243">
        <v>1</v>
      </c>
      <c r="V13" s="4743">
        <f t="shared" si="8"/>
        <v>0</v>
      </c>
      <c r="W13" s="4243">
        <v>6</v>
      </c>
      <c r="Y13" s="42"/>
      <c r="Z13" s="42" t="s">
        <v>16</v>
      </c>
      <c r="AA13" s="42" t="s">
        <v>117</v>
      </c>
      <c r="AB13" s="769">
        <v>6.67</v>
      </c>
      <c r="AC13" s="70">
        <v>6</v>
      </c>
      <c r="AD13" s="912">
        <f t="shared" si="4"/>
        <v>0.66999999999999993</v>
      </c>
      <c r="AE13" s="2482">
        <v>6</v>
      </c>
      <c r="AG13" s="42"/>
      <c r="AH13" s="42" t="s">
        <v>16</v>
      </c>
      <c r="AI13" s="42" t="s">
        <v>117</v>
      </c>
      <c r="AJ13" s="769">
        <v>7.5</v>
      </c>
      <c r="AK13" s="70">
        <v>8</v>
      </c>
      <c r="AL13" s="144">
        <f t="shared" si="1"/>
        <v>1.5</v>
      </c>
      <c r="AN13" s="107"/>
      <c r="AO13" s="107"/>
      <c r="AP13" s="47" t="s">
        <v>118</v>
      </c>
      <c r="AQ13" s="144">
        <v>7.07</v>
      </c>
      <c r="AR13" s="107">
        <v>15</v>
      </c>
      <c r="AS13" s="144">
        <f>AQ13-6</f>
        <v>1.0700000000000003</v>
      </c>
      <c r="AT13" s="1"/>
      <c r="AU13" s="1424"/>
      <c r="AV13" s="1424"/>
      <c r="AW13" s="1425" t="s">
        <v>242</v>
      </c>
      <c r="AX13" s="1426">
        <v>6</v>
      </c>
      <c r="AY13" s="1427">
        <v>6</v>
      </c>
      <c r="AZ13" s="144">
        <f t="shared" si="6"/>
        <v>0</v>
      </c>
      <c r="BB13" s="849"/>
      <c r="BC13" s="849"/>
      <c r="BD13" s="850" t="s">
        <v>242</v>
      </c>
      <c r="BE13" s="851">
        <v>6</v>
      </c>
      <c r="BF13" s="852">
        <v>5</v>
      </c>
      <c r="BG13" s="853">
        <f t="shared" si="7"/>
        <v>0</v>
      </c>
      <c r="BI13" s="688"/>
      <c r="BJ13" s="688"/>
      <c r="BK13" s="688"/>
      <c r="BL13" s="784" t="s">
        <v>545</v>
      </c>
      <c r="BM13" s="462">
        <v>6.2499999999999991</v>
      </c>
      <c r="BN13" s="463">
        <v>20</v>
      </c>
      <c r="BO13" s="877">
        <v>0.5501196042201808</v>
      </c>
      <c r="BP13" s="863">
        <f>+(BN10*BP10+BN11*BP11+BN12*BP12)/BN13</f>
        <v>0.25</v>
      </c>
      <c r="BR13" s="855"/>
      <c r="BS13" s="855"/>
      <c r="BT13" s="856" t="s">
        <v>118</v>
      </c>
      <c r="BU13" s="857">
        <v>6.5</v>
      </c>
      <c r="BV13" s="857">
        <f t="shared" si="2"/>
        <v>0.5</v>
      </c>
      <c r="BW13" s="858">
        <v>10</v>
      </c>
      <c r="BX13" s="857">
        <v>7.3999999999999995</v>
      </c>
      <c r="BY13" s="857">
        <f>BX13-CF13</f>
        <v>1.3999999999999995</v>
      </c>
      <c r="CA13" s="70"/>
      <c r="CB13" s="70"/>
      <c r="CC13" s="42" t="s">
        <v>118</v>
      </c>
      <c r="CD13" s="70">
        <v>6</v>
      </c>
      <c r="CE13" s="769">
        <v>6.6666666666666661</v>
      </c>
      <c r="CF13" s="70">
        <v>6</v>
      </c>
      <c r="CG13" s="769">
        <f t="shared" si="3"/>
        <v>0.66666666666666607</v>
      </c>
      <c r="CH13" s="42"/>
      <c r="CI13" s="42"/>
      <c r="CJ13" s="859"/>
      <c r="CK13" s="860"/>
      <c r="CL13" s="859" t="s">
        <v>119</v>
      </c>
      <c r="CM13" s="861">
        <v>9.3333333333333339</v>
      </c>
      <c r="CN13" s="860">
        <v>3</v>
      </c>
      <c r="CO13" s="862">
        <v>6</v>
      </c>
      <c r="CP13" s="861">
        <f>CM13-6</f>
        <v>3.3333333333333339</v>
      </c>
    </row>
    <row r="14" spans="1:94">
      <c r="A14" s="41"/>
      <c r="B14" s="41"/>
      <c r="C14" s="41" t="s">
        <v>242</v>
      </c>
      <c r="D14" s="1496">
        <v>6.67</v>
      </c>
      <c r="E14" s="105">
        <v>6</v>
      </c>
      <c r="F14" s="1431">
        <f t="shared" si="9"/>
        <v>0.66999999999999993</v>
      </c>
      <c r="G14" s="107">
        <v>6</v>
      </c>
      <c r="I14" s="41"/>
      <c r="J14" s="107"/>
      <c r="K14" s="41" t="s">
        <v>242</v>
      </c>
      <c r="L14" s="1496">
        <v>6</v>
      </c>
      <c r="M14" s="105">
        <v>1</v>
      </c>
      <c r="N14" s="1431">
        <f t="shared" si="10"/>
        <v>0</v>
      </c>
      <c r="O14" s="107">
        <v>6</v>
      </c>
      <c r="S14" s="44" t="s">
        <v>118</v>
      </c>
      <c r="T14" s="4243">
        <v>8</v>
      </c>
      <c r="U14" s="4243">
        <v>1</v>
      </c>
      <c r="V14" s="4743">
        <f t="shared" si="8"/>
        <v>2</v>
      </c>
      <c r="W14" s="4243">
        <v>6</v>
      </c>
      <c r="Y14" s="42"/>
      <c r="Z14" s="42"/>
      <c r="AA14" s="42" t="s">
        <v>242</v>
      </c>
      <c r="AB14" s="769">
        <v>6.29</v>
      </c>
      <c r="AC14" s="70">
        <v>7</v>
      </c>
      <c r="AD14" s="912">
        <f t="shared" si="4"/>
        <v>0.29000000000000004</v>
      </c>
      <c r="AE14" s="2482">
        <v>6</v>
      </c>
      <c r="AG14" s="42"/>
      <c r="AH14" s="42"/>
      <c r="AI14" s="42" t="s">
        <v>242</v>
      </c>
      <c r="AJ14" s="769">
        <v>6</v>
      </c>
      <c r="AK14" s="70">
        <v>2</v>
      </c>
      <c r="AL14" s="144">
        <f t="shared" si="1"/>
        <v>0</v>
      </c>
      <c r="AN14" s="107"/>
      <c r="AO14" s="107"/>
      <c r="AP14" s="47" t="s">
        <v>119</v>
      </c>
      <c r="AQ14" s="144">
        <v>8</v>
      </c>
      <c r="AR14" s="107">
        <v>5</v>
      </c>
      <c r="AS14" s="144">
        <f>AQ14-6</f>
        <v>2</v>
      </c>
      <c r="AT14" s="1"/>
      <c r="AU14" s="1424"/>
      <c r="AV14" s="1424"/>
      <c r="AW14" s="1425" t="s">
        <v>118</v>
      </c>
      <c r="AX14" s="1426">
        <v>8</v>
      </c>
      <c r="AY14" s="1427">
        <v>3</v>
      </c>
      <c r="AZ14" s="144">
        <f t="shared" si="6"/>
        <v>2</v>
      </c>
      <c r="BB14" s="849"/>
      <c r="BC14" s="849"/>
      <c r="BD14" s="850" t="s">
        <v>118</v>
      </c>
      <c r="BE14" s="851">
        <v>6.6999999999999993</v>
      </c>
      <c r="BF14" s="852">
        <v>10</v>
      </c>
      <c r="BG14" s="853">
        <f t="shared" si="7"/>
        <v>0.69999999999999929</v>
      </c>
      <c r="BI14" s="688"/>
      <c r="BJ14" s="688"/>
      <c r="BK14" s="688" t="s">
        <v>104</v>
      </c>
      <c r="BL14" s="457" t="s">
        <v>105</v>
      </c>
      <c r="BM14" s="459">
        <v>5.243243243243243</v>
      </c>
      <c r="BN14" s="458">
        <v>37</v>
      </c>
      <c r="BO14" s="765">
        <v>1.9494358928419011</v>
      </c>
      <c r="BP14" s="459">
        <f>BM14-3</f>
        <v>2.243243243243243</v>
      </c>
      <c r="BR14" s="855"/>
      <c r="BS14" s="855"/>
      <c r="BT14" s="856" t="s">
        <v>119</v>
      </c>
      <c r="BU14" s="857">
        <v>6</v>
      </c>
      <c r="BV14" s="857">
        <f t="shared" si="2"/>
        <v>0</v>
      </c>
      <c r="BW14" s="858">
        <v>3</v>
      </c>
      <c r="BX14" s="857">
        <v>6</v>
      </c>
      <c r="BY14" s="857">
        <f>BX14-CF14</f>
        <v>0</v>
      </c>
      <c r="CA14" s="70"/>
      <c r="CB14" s="70"/>
      <c r="CC14" s="42" t="s">
        <v>119</v>
      </c>
      <c r="CD14" s="70">
        <v>4</v>
      </c>
      <c r="CE14" s="769">
        <v>8.25</v>
      </c>
      <c r="CF14" s="70">
        <v>6</v>
      </c>
      <c r="CG14" s="769">
        <f t="shared" si="3"/>
        <v>2.25</v>
      </c>
      <c r="CH14" s="42"/>
      <c r="CI14" s="42"/>
      <c r="CJ14" s="859"/>
      <c r="CK14" s="860"/>
      <c r="CL14" s="860" t="s">
        <v>15</v>
      </c>
      <c r="CM14" s="861">
        <v>6.8181818181818183</v>
      </c>
      <c r="CN14" s="860">
        <v>22</v>
      </c>
      <c r="CO14" s="862"/>
      <c r="CP14" s="869">
        <f>AVERAGE(CP10:CP13)</f>
        <v>1.0874999999999999</v>
      </c>
    </row>
    <row r="15" spans="1:94" ht="16.5" customHeight="1">
      <c r="A15" s="41"/>
      <c r="B15" s="41"/>
      <c r="C15" s="41" t="s">
        <v>118</v>
      </c>
      <c r="D15" s="1496">
        <v>7</v>
      </c>
      <c r="E15" s="105">
        <v>5</v>
      </c>
      <c r="F15" s="1431">
        <f t="shared" si="9"/>
        <v>1</v>
      </c>
      <c r="G15" s="107">
        <v>6</v>
      </c>
      <c r="I15" s="41"/>
      <c r="J15" s="107"/>
      <c r="K15" s="41" t="s">
        <v>118</v>
      </c>
      <c r="L15" s="1496">
        <v>8</v>
      </c>
      <c r="M15" s="105">
        <v>1</v>
      </c>
      <c r="N15" s="1431">
        <f t="shared" si="10"/>
        <v>2</v>
      </c>
      <c r="O15" s="107">
        <v>6</v>
      </c>
      <c r="S15" s="44" t="s">
        <v>119</v>
      </c>
      <c r="T15" s="4243">
        <v>6</v>
      </c>
      <c r="U15" s="4243">
        <v>2</v>
      </c>
      <c r="V15" s="4743">
        <f t="shared" si="8"/>
        <v>0</v>
      </c>
      <c r="W15" s="4243">
        <v>6</v>
      </c>
      <c r="Y15" s="42"/>
      <c r="Z15" s="42"/>
      <c r="AA15" s="42" t="s">
        <v>118</v>
      </c>
      <c r="AB15" s="769">
        <v>9.7799999999999994</v>
      </c>
      <c r="AC15" s="70">
        <v>9</v>
      </c>
      <c r="AD15" s="912">
        <f t="shared" si="4"/>
        <v>3.7799999999999994</v>
      </c>
      <c r="AE15" s="2482">
        <v>6</v>
      </c>
      <c r="AG15" s="42"/>
      <c r="AH15" s="42"/>
      <c r="AI15" s="42" t="s">
        <v>118</v>
      </c>
      <c r="AJ15" s="769">
        <v>7</v>
      </c>
      <c r="AK15" s="70">
        <v>1</v>
      </c>
      <c r="AL15" s="144">
        <f t="shared" si="1"/>
        <v>1</v>
      </c>
      <c r="AN15" s="107"/>
      <c r="AO15" s="107"/>
      <c r="AP15" s="47" t="s">
        <v>508</v>
      </c>
      <c r="AQ15" s="144">
        <v>6.27</v>
      </c>
      <c r="AR15" s="107">
        <v>11</v>
      </c>
      <c r="AS15" s="144">
        <f>AQ15-6</f>
        <v>0.26999999999999957</v>
      </c>
      <c r="AT15" s="1"/>
      <c r="AU15" s="1424"/>
      <c r="AV15" s="1424"/>
      <c r="AW15" s="1425" t="s">
        <v>119</v>
      </c>
      <c r="AX15" s="1426">
        <v>6</v>
      </c>
      <c r="AY15" s="1427">
        <v>1</v>
      </c>
      <c r="AZ15" s="144">
        <f t="shared" si="6"/>
        <v>0</v>
      </c>
      <c r="BB15" s="849"/>
      <c r="BC15" s="849"/>
      <c r="BD15" s="850" t="s">
        <v>119</v>
      </c>
      <c r="BE15" s="851">
        <v>10.666666666666666</v>
      </c>
      <c r="BF15" s="852">
        <v>3</v>
      </c>
      <c r="BG15" s="853">
        <f t="shared" si="7"/>
        <v>4.6666666666666661</v>
      </c>
      <c r="BI15" s="688"/>
      <c r="BJ15" s="688"/>
      <c r="BK15" s="688"/>
      <c r="BL15" s="784" t="s">
        <v>844</v>
      </c>
      <c r="BM15" s="462">
        <v>5.243243243243243</v>
      </c>
      <c r="BN15" s="463">
        <v>37</v>
      </c>
      <c r="BO15" s="785">
        <v>1.9494358928419011</v>
      </c>
      <c r="BP15" s="863">
        <f>+(BN14*BP14)/BN15</f>
        <v>2.243243243243243</v>
      </c>
      <c r="BR15" s="855"/>
      <c r="BS15" s="855"/>
      <c r="BT15" s="864" t="s">
        <v>545</v>
      </c>
      <c r="BU15" s="863">
        <v>6.5000000000000009</v>
      </c>
      <c r="BV15" s="863">
        <f>+(BW12*BV12+BW13*BV13+BW14*BV14)/BW15</f>
        <v>0.3125</v>
      </c>
      <c r="BW15" s="865">
        <v>16</v>
      </c>
      <c r="BX15" s="863">
        <v>8.25</v>
      </c>
      <c r="BY15" s="863">
        <f>+(BW12*BY12+BW13*BY13+BW14*BY14)/BW15</f>
        <v>2.0624999999999996</v>
      </c>
      <c r="CA15" s="70"/>
      <c r="CB15" s="70"/>
      <c r="CC15" s="484" t="s">
        <v>15</v>
      </c>
      <c r="CD15" s="454">
        <v>26</v>
      </c>
      <c r="CE15" s="782">
        <v>8.3076923076923084</v>
      </c>
      <c r="CF15" s="454"/>
      <c r="CG15" s="782">
        <f>+(CD10*CG10+CD11*CG11+CD12*CG12+CD13*CG13+CD14*CG14)/CD15</f>
        <v>2.3076923076923075</v>
      </c>
      <c r="CH15" s="867">
        <f>AVERAGE(CG10:CG14)</f>
        <v>3.7166666666666659</v>
      </c>
      <c r="CI15" s="42"/>
      <c r="CJ15" s="859"/>
      <c r="CK15" s="860"/>
      <c r="CL15" s="860"/>
      <c r="CM15" s="861"/>
      <c r="CN15" s="860"/>
      <c r="CO15" s="862"/>
      <c r="CP15" s="869"/>
    </row>
    <row r="16" spans="1:94">
      <c r="A16" s="41"/>
      <c r="B16" s="41"/>
      <c r="C16" s="41" t="s">
        <v>119</v>
      </c>
      <c r="D16" s="1496">
        <v>6</v>
      </c>
      <c r="E16" s="105">
        <v>3</v>
      </c>
      <c r="F16" s="1431">
        <f t="shared" si="9"/>
        <v>0</v>
      </c>
      <c r="G16" s="107">
        <v>6</v>
      </c>
      <c r="I16" s="41"/>
      <c r="J16" s="107"/>
      <c r="K16" s="41" t="s">
        <v>119</v>
      </c>
      <c r="L16" s="1496">
        <v>6</v>
      </c>
      <c r="M16" s="105">
        <v>4</v>
      </c>
      <c r="N16" s="1431">
        <f t="shared" si="10"/>
        <v>0</v>
      </c>
      <c r="O16" s="107">
        <v>6</v>
      </c>
      <c r="S16" s="44" t="s">
        <v>508</v>
      </c>
      <c r="T16" s="4243">
        <v>6</v>
      </c>
      <c r="U16" s="4243">
        <v>7</v>
      </c>
      <c r="V16" s="4743">
        <f t="shared" si="8"/>
        <v>0</v>
      </c>
      <c r="W16" s="4243">
        <v>6</v>
      </c>
      <c r="Y16" s="42"/>
      <c r="Z16" s="42"/>
      <c r="AA16" s="42" t="s">
        <v>119</v>
      </c>
      <c r="AB16" s="769">
        <v>10.67</v>
      </c>
      <c r="AC16" s="70">
        <v>3</v>
      </c>
      <c r="AD16" s="912">
        <f t="shared" si="4"/>
        <v>4.67</v>
      </c>
      <c r="AE16" s="2482">
        <v>6</v>
      </c>
      <c r="AG16" s="42"/>
      <c r="AH16" s="42"/>
      <c r="AI16" s="42" t="s">
        <v>119</v>
      </c>
      <c r="AJ16" s="769">
        <v>7.2</v>
      </c>
      <c r="AK16" s="70">
        <v>5</v>
      </c>
      <c r="AL16" s="144">
        <f t="shared" si="1"/>
        <v>1.2000000000000002</v>
      </c>
      <c r="AN16" s="107"/>
      <c r="AO16" s="107"/>
      <c r="AP16" s="968" t="s">
        <v>545</v>
      </c>
      <c r="AQ16" s="969">
        <v>6.84</v>
      </c>
      <c r="AR16" s="145">
        <v>44</v>
      </c>
      <c r="AS16" s="875">
        <f>+(AR11*AS11+AR12*AS12+AR13*AS13+AR14*AS14+AR15*AS15)/AR16</f>
        <v>0.84159090909090917</v>
      </c>
      <c r="AT16" s="1"/>
      <c r="AU16" s="1424"/>
      <c r="AV16" s="1424"/>
      <c r="AW16" s="1425" t="s">
        <v>508</v>
      </c>
      <c r="AX16" s="1426">
        <v>6.5</v>
      </c>
      <c r="AY16" s="1427">
        <v>2</v>
      </c>
      <c r="AZ16" s="144">
        <f t="shared" si="6"/>
        <v>0.5</v>
      </c>
      <c r="BB16" s="849"/>
      <c r="BC16" s="849"/>
      <c r="BD16" s="850" t="s">
        <v>508</v>
      </c>
      <c r="BE16" s="851">
        <v>6.2</v>
      </c>
      <c r="BF16" s="852">
        <v>5</v>
      </c>
      <c r="BG16" s="853">
        <f t="shared" si="7"/>
        <v>0.20000000000000018</v>
      </c>
      <c r="BI16" s="688"/>
      <c r="BJ16" s="688"/>
      <c r="BK16" s="688"/>
      <c r="BL16" s="878" t="s">
        <v>106</v>
      </c>
      <c r="BM16" s="879">
        <v>6.2749999999999977</v>
      </c>
      <c r="BN16" s="880">
        <v>80</v>
      </c>
      <c r="BO16" s="881">
        <v>2.1814813222885205</v>
      </c>
      <c r="BP16" s="882">
        <f>+(BN9*BP9+BN13*BP13+BN15*BP15)/BN16</f>
        <v>1.7625</v>
      </c>
      <c r="BR16" s="855"/>
      <c r="BS16" s="855" t="s">
        <v>104</v>
      </c>
      <c r="BT16" s="856" t="s">
        <v>105</v>
      </c>
      <c r="BU16" s="857">
        <v>4.1363636363636367</v>
      </c>
      <c r="BV16" s="857">
        <f t="shared" si="2"/>
        <v>-1.8636363636363633</v>
      </c>
      <c r="BW16" s="858">
        <v>22</v>
      </c>
      <c r="BX16" s="857">
        <v>7.0454545454545441</v>
      </c>
      <c r="BY16" s="857">
        <f>BX16-CF16</f>
        <v>1.0454545454545441</v>
      </c>
      <c r="CA16" s="70"/>
      <c r="CB16" s="70" t="s">
        <v>104</v>
      </c>
      <c r="CC16" s="42" t="s">
        <v>105</v>
      </c>
      <c r="CD16" s="70">
        <v>24</v>
      </c>
      <c r="CE16" s="769">
        <f>5+3</f>
        <v>8</v>
      </c>
      <c r="CF16" s="70">
        <v>6</v>
      </c>
      <c r="CG16" s="769">
        <f t="shared" si="3"/>
        <v>2</v>
      </c>
      <c r="CH16" s="42"/>
      <c r="CI16" s="42"/>
      <c r="CJ16" s="859"/>
      <c r="CK16" s="860" t="s">
        <v>104</v>
      </c>
      <c r="CL16" s="859" t="s">
        <v>105</v>
      </c>
      <c r="CM16" s="861">
        <v>11.894736842105264</v>
      </c>
      <c r="CN16" s="860">
        <v>19</v>
      </c>
      <c r="CO16" s="862">
        <v>6</v>
      </c>
      <c r="CP16" s="861">
        <f>CM16-6</f>
        <v>5.8947368421052637</v>
      </c>
    </row>
    <row r="17" spans="1:94">
      <c r="A17" s="41"/>
      <c r="B17" s="41"/>
      <c r="C17" s="41" t="s">
        <v>508</v>
      </c>
      <c r="D17" s="1496">
        <v>7.5</v>
      </c>
      <c r="E17" s="105">
        <v>2</v>
      </c>
      <c r="F17" s="1431">
        <f t="shared" si="9"/>
        <v>1.5</v>
      </c>
      <c r="G17" s="107">
        <v>6</v>
      </c>
      <c r="I17" s="41"/>
      <c r="J17" s="107"/>
      <c r="K17" s="41" t="s">
        <v>508</v>
      </c>
      <c r="L17" s="1496">
        <v>6</v>
      </c>
      <c r="M17" s="105">
        <v>7</v>
      </c>
      <c r="N17" s="1431">
        <f t="shared" si="10"/>
        <v>0</v>
      </c>
      <c r="O17" s="107">
        <v>6</v>
      </c>
      <c r="S17" s="44" t="s">
        <v>2278</v>
      </c>
      <c r="T17" s="4243">
        <v>6.33</v>
      </c>
      <c r="U17" s="4243">
        <v>3</v>
      </c>
      <c r="V17" s="4743">
        <f t="shared" si="8"/>
        <v>0.33000000000000007</v>
      </c>
      <c r="W17" s="4243">
        <v>6</v>
      </c>
      <c r="Y17" s="42"/>
      <c r="Z17" s="42"/>
      <c r="AA17" s="42" t="s">
        <v>508</v>
      </c>
      <c r="AB17" s="769">
        <v>6.17</v>
      </c>
      <c r="AC17" s="70">
        <v>6</v>
      </c>
      <c r="AD17" s="912">
        <f t="shared" si="4"/>
        <v>0.16999999999999993</v>
      </c>
      <c r="AE17" s="2482">
        <v>6</v>
      </c>
      <c r="AG17" s="42"/>
      <c r="AH17" s="42"/>
      <c r="AI17" s="42" t="s">
        <v>508</v>
      </c>
      <c r="AJ17" s="769">
        <v>6.25</v>
      </c>
      <c r="AK17" s="70">
        <v>4</v>
      </c>
      <c r="AL17" s="144">
        <f t="shared" si="1"/>
        <v>0.25</v>
      </c>
      <c r="AN17" s="107"/>
      <c r="AO17" s="107" t="s">
        <v>104</v>
      </c>
      <c r="AP17" s="47" t="s">
        <v>1638</v>
      </c>
      <c r="AQ17" s="144">
        <v>7.67</v>
      </c>
      <c r="AR17" s="107">
        <v>6</v>
      </c>
      <c r="AS17" s="1431">
        <f>AQ17-3</f>
        <v>4.67</v>
      </c>
      <c r="AT17" s="1"/>
      <c r="AU17" s="1424"/>
      <c r="AV17" s="1424"/>
      <c r="AW17" s="1428" t="s">
        <v>545</v>
      </c>
      <c r="AX17" s="1429">
        <v>6.6363636363636358</v>
      </c>
      <c r="AY17" s="1430">
        <v>22</v>
      </c>
      <c r="AZ17" s="875">
        <f>+(AY12*AZ12+AY13*AZ13+AY14*AZ14+AY15*AZ15+AY16*AZ16)/AY17</f>
        <v>0.63636363636363646</v>
      </c>
      <c r="BB17" s="849"/>
      <c r="BC17" s="849"/>
      <c r="BD17" s="872" t="s">
        <v>545</v>
      </c>
      <c r="BE17" s="873">
        <v>6.9200000000000008</v>
      </c>
      <c r="BF17" s="874">
        <v>25</v>
      </c>
      <c r="BG17" s="875">
        <f>+(BF12*BG12+BF13*BG13+BF14*BG14+BF15*BG15+BF16*BG16)/BF17</f>
        <v>0.91999999999999971</v>
      </c>
      <c r="BI17" s="688"/>
      <c r="BJ17" s="688" t="s">
        <v>25</v>
      </c>
      <c r="BK17" s="688" t="s">
        <v>4</v>
      </c>
      <c r="BL17" s="457" t="s">
        <v>120</v>
      </c>
      <c r="BM17" s="459">
        <v>9.7777777777777786</v>
      </c>
      <c r="BN17" s="458">
        <v>9</v>
      </c>
      <c r="BO17" s="765">
        <v>2.7738861628488727</v>
      </c>
      <c r="BP17" s="459">
        <f>BM17-6</f>
        <v>3.7777777777777786</v>
      </c>
      <c r="BR17" s="883"/>
      <c r="BS17" s="883"/>
      <c r="BT17" s="884" t="s">
        <v>844</v>
      </c>
      <c r="BU17" s="882">
        <v>4.1363636363636367</v>
      </c>
      <c r="BV17" s="882">
        <f>+(BW16*BV16)/BW17</f>
        <v>-1.8636363636363633</v>
      </c>
      <c r="BW17" s="885">
        <v>22</v>
      </c>
      <c r="BX17" s="882">
        <v>7.0454545454545441</v>
      </c>
      <c r="BY17" s="882">
        <f>+(BW16*BY16)/BW17</f>
        <v>1.0454545454545441</v>
      </c>
      <c r="CA17" s="886"/>
      <c r="CB17" s="886"/>
      <c r="CC17" s="887" t="s">
        <v>15</v>
      </c>
      <c r="CD17" s="888">
        <v>24</v>
      </c>
      <c r="CE17" s="889">
        <f>+CE16</f>
        <v>8</v>
      </c>
      <c r="CF17" s="888"/>
      <c r="CG17" s="889">
        <f>+CG16</f>
        <v>2</v>
      </c>
      <c r="CH17" s="867">
        <f>+CG17</f>
        <v>2</v>
      </c>
      <c r="CI17" s="42"/>
      <c r="CJ17" s="859"/>
      <c r="CK17" s="860"/>
      <c r="CL17" s="860" t="s">
        <v>15</v>
      </c>
      <c r="CM17" s="861">
        <v>11.894736842105264</v>
      </c>
      <c r="CN17" s="860">
        <v>19</v>
      </c>
      <c r="CO17" s="862"/>
      <c r="CP17" s="869">
        <f>CM17-3</f>
        <v>8.8947368421052637</v>
      </c>
    </row>
    <row r="18" spans="1:94">
      <c r="A18" s="41"/>
      <c r="B18" s="41"/>
      <c r="C18" s="41" t="s">
        <v>2277</v>
      </c>
      <c r="D18" s="1496">
        <v>9</v>
      </c>
      <c r="E18" s="105">
        <v>1</v>
      </c>
      <c r="F18" s="1431">
        <f t="shared" si="9"/>
        <v>3</v>
      </c>
      <c r="G18" s="107">
        <v>6</v>
      </c>
      <c r="I18" s="41"/>
      <c r="J18" s="107"/>
      <c r="K18" s="41" t="s">
        <v>2278</v>
      </c>
      <c r="L18" s="1496">
        <v>6.33</v>
      </c>
      <c r="M18" s="105">
        <v>3</v>
      </c>
      <c r="N18" s="1431">
        <f t="shared" si="10"/>
        <v>0.33000000000000007</v>
      </c>
      <c r="O18" s="107">
        <v>6</v>
      </c>
      <c r="S18" s="4716" t="s">
        <v>545</v>
      </c>
      <c r="T18" s="4723">
        <v>6.41</v>
      </c>
      <c r="U18" s="4723">
        <v>17</v>
      </c>
      <c r="V18" s="4771">
        <f>+(U13*V13+U14*V14+U15*V15+U16*V16+U17*V17)/U18</f>
        <v>0.17588235294117649</v>
      </c>
      <c r="W18" s="4243"/>
      <c r="Y18" s="42"/>
      <c r="Z18" s="42"/>
      <c r="AA18" s="42" t="s">
        <v>2278</v>
      </c>
      <c r="AB18" s="769">
        <v>6</v>
      </c>
      <c r="AC18" s="70">
        <v>2</v>
      </c>
      <c r="AD18" s="912">
        <f t="shared" si="4"/>
        <v>0</v>
      </c>
      <c r="AE18" s="2482">
        <v>6</v>
      </c>
      <c r="AG18" s="42"/>
      <c r="AH18" s="42"/>
      <c r="AI18" s="484" t="s">
        <v>545</v>
      </c>
      <c r="AJ18" s="782">
        <v>7</v>
      </c>
      <c r="AK18" s="454">
        <v>20</v>
      </c>
      <c r="AL18" s="875">
        <f>+(AK13*AL13+AK14*AL14+AK15*AL15+AK16*AL16+AK17*AL17)/AK18</f>
        <v>1</v>
      </c>
      <c r="AN18" s="107"/>
      <c r="AO18" s="107"/>
      <c r="AP18" s="47" t="s">
        <v>1639</v>
      </c>
      <c r="AQ18" s="144">
        <v>8</v>
      </c>
      <c r="AR18" s="107">
        <v>1</v>
      </c>
      <c r="AS18" s="1431">
        <f>AQ18-3</f>
        <v>5</v>
      </c>
      <c r="AT18" s="1"/>
      <c r="AU18" s="1424"/>
      <c r="AV18" s="1424" t="s">
        <v>104</v>
      </c>
      <c r="AW18" s="1425" t="s">
        <v>105</v>
      </c>
      <c r="AX18" s="1426">
        <v>5.6</v>
      </c>
      <c r="AY18" s="1427">
        <v>15</v>
      </c>
      <c r="AZ18" s="1431">
        <f>AX18-3</f>
        <v>2.5999999999999996</v>
      </c>
      <c r="BB18" s="849"/>
      <c r="BC18" s="849" t="s">
        <v>104</v>
      </c>
      <c r="BD18" s="850" t="s">
        <v>105</v>
      </c>
      <c r="BE18" s="851">
        <v>4.2307692307692317</v>
      </c>
      <c r="BF18" s="852">
        <v>26</v>
      </c>
      <c r="BG18" s="853">
        <f>BE18-3</f>
        <v>1.2307692307692317</v>
      </c>
      <c r="BI18" s="688"/>
      <c r="BJ18" s="688"/>
      <c r="BK18" s="688"/>
      <c r="BL18" s="457" t="s">
        <v>121</v>
      </c>
      <c r="BM18" s="459">
        <v>8</v>
      </c>
      <c r="BN18" s="458">
        <v>13</v>
      </c>
      <c r="BO18" s="765">
        <v>1.4719601443879742</v>
      </c>
      <c r="BP18" s="459">
        <f t="shared" ref="BP18:BP31" si="11">BM18-6</f>
        <v>2</v>
      </c>
      <c r="CA18" s="70"/>
      <c r="CB18" s="70"/>
      <c r="CC18" s="484"/>
      <c r="CD18" s="454"/>
      <c r="CE18" s="782"/>
      <c r="CF18" s="454"/>
      <c r="CG18" s="782"/>
      <c r="CH18" s="42"/>
      <c r="CI18" s="42"/>
      <c r="CJ18" s="890"/>
      <c r="CK18" s="891"/>
      <c r="CL18" s="892" t="s">
        <v>106</v>
      </c>
      <c r="CM18" s="893">
        <v>9.3333333333333321</v>
      </c>
      <c r="CN18" s="894">
        <v>60</v>
      </c>
      <c r="CO18" s="895"/>
      <c r="CP18" s="893">
        <f>CM18-12+AVERAGE(CP9,CP14,CP17)</f>
        <v>2.1746345029239755</v>
      </c>
    </row>
    <row r="19" spans="1:94">
      <c r="A19" s="41"/>
      <c r="B19" s="41"/>
      <c r="C19" s="461" t="s">
        <v>545</v>
      </c>
      <c r="D19" s="1511">
        <v>6.71</v>
      </c>
      <c r="E19" s="5501">
        <v>24</v>
      </c>
      <c r="F19" s="1989">
        <f>+(E13*F13+E14*F14+E15*F15+E16*F16+E17*F17+E18*F18)/E19</f>
        <v>0.7104166666666667</v>
      </c>
      <c r="G19" s="107">
        <v>6</v>
      </c>
      <c r="I19" s="41"/>
      <c r="J19" s="107"/>
      <c r="K19" s="461" t="s">
        <v>545</v>
      </c>
      <c r="L19" s="1511">
        <v>6.32</v>
      </c>
      <c r="M19" s="4686">
        <v>22</v>
      </c>
      <c r="N19" s="1989">
        <f>+(M13*N13+M14*N14+M15*N15+M16*N16+M17*N17+M18*N18)/M19</f>
        <v>0.31863636363636361</v>
      </c>
      <c r="O19" s="107"/>
      <c r="S19" s="4716"/>
      <c r="T19" s="4723"/>
      <c r="U19" s="4723"/>
      <c r="V19" s="4743"/>
      <c r="W19" s="4243"/>
      <c r="Y19" s="42"/>
      <c r="Z19" s="42"/>
      <c r="AA19" s="484" t="s">
        <v>545</v>
      </c>
      <c r="AB19" s="782">
        <v>7.67</v>
      </c>
      <c r="AC19" s="2479">
        <v>33</v>
      </c>
      <c r="AD19" s="875">
        <f>+(AC14*AD14+AC15*AD15+AC16*AD16+AC17*AD17+AC18*AD18)/AC19</f>
        <v>1.5478787878787879</v>
      </c>
      <c r="AE19" s="2482"/>
      <c r="AG19" s="42"/>
      <c r="AH19" s="42" t="s">
        <v>21</v>
      </c>
      <c r="AI19" s="42" t="s">
        <v>105</v>
      </c>
      <c r="AJ19" s="769">
        <v>6</v>
      </c>
      <c r="AK19" s="70">
        <v>1</v>
      </c>
      <c r="AL19" s="144">
        <f t="shared" si="1"/>
        <v>0</v>
      </c>
      <c r="AN19" s="107"/>
      <c r="AO19" s="107"/>
      <c r="AP19" s="47" t="s">
        <v>1640</v>
      </c>
      <c r="AQ19" s="144">
        <v>6.5</v>
      </c>
      <c r="AR19" s="107">
        <v>2</v>
      </c>
      <c r="AS19" s="144">
        <f t="shared" si="5"/>
        <v>0.5</v>
      </c>
      <c r="AT19" s="1"/>
      <c r="AU19" s="1424"/>
      <c r="AV19" s="1424"/>
      <c r="AW19" s="1425" t="s">
        <v>1638</v>
      </c>
      <c r="AX19" s="1426">
        <v>7</v>
      </c>
      <c r="AY19" s="1427">
        <v>1</v>
      </c>
      <c r="AZ19" s="144">
        <f t="shared" si="6"/>
        <v>1</v>
      </c>
      <c r="BB19" s="849"/>
      <c r="BC19" s="849"/>
      <c r="BD19" s="872" t="s">
        <v>844</v>
      </c>
      <c r="BE19" s="873">
        <v>4.2307692307692317</v>
      </c>
      <c r="BF19" s="874">
        <v>26</v>
      </c>
      <c r="BG19" s="875">
        <f>BE19-3</f>
        <v>1.2307692307692317</v>
      </c>
      <c r="BI19" s="688"/>
      <c r="BJ19" s="688"/>
      <c r="BK19" s="688"/>
      <c r="BL19" s="457" t="s">
        <v>122</v>
      </c>
      <c r="BM19" s="459">
        <v>6</v>
      </c>
      <c r="BN19" s="458">
        <v>4</v>
      </c>
      <c r="BO19" s="765">
        <v>0</v>
      </c>
      <c r="BP19" s="459">
        <f t="shared" si="11"/>
        <v>0</v>
      </c>
      <c r="BR19" s="855" t="s">
        <v>25</v>
      </c>
      <c r="BS19" s="855" t="s">
        <v>4</v>
      </c>
      <c r="CA19" s="70" t="s">
        <v>25</v>
      </c>
      <c r="CB19" s="70" t="s">
        <v>4</v>
      </c>
      <c r="CC19" s="42" t="s">
        <v>120</v>
      </c>
      <c r="CD19" s="70">
        <v>3</v>
      </c>
      <c r="CE19" s="769">
        <v>9.6666666666666661</v>
      </c>
      <c r="CF19" s="70">
        <v>6</v>
      </c>
      <c r="CG19" s="769">
        <f t="shared" si="3"/>
        <v>3.6666666666666661</v>
      </c>
      <c r="CH19" s="42"/>
      <c r="CI19" s="42"/>
      <c r="CJ19" s="859" t="s">
        <v>25</v>
      </c>
      <c r="CK19" s="860" t="s">
        <v>4</v>
      </c>
      <c r="CL19" s="859" t="s">
        <v>120</v>
      </c>
      <c r="CM19" s="861">
        <v>8.25</v>
      </c>
      <c r="CN19" s="860">
        <v>4</v>
      </c>
      <c r="CO19" s="862">
        <v>6</v>
      </c>
      <c r="CP19" s="861">
        <f t="shared" ref="CP19:CP24" si="12">CM19-6</f>
        <v>2.25</v>
      </c>
    </row>
    <row r="20" spans="1:94">
      <c r="A20" s="41"/>
      <c r="B20" s="41" t="s">
        <v>21</v>
      </c>
      <c r="C20" s="41" t="s">
        <v>1638</v>
      </c>
      <c r="D20" s="1496">
        <v>8</v>
      </c>
      <c r="E20" s="105">
        <v>1</v>
      </c>
      <c r="F20" s="1431">
        <f>D20-6</f>
        <v>2</v>
      </c>
      <c r="G20" s="107">
        <v>6</v>
      </c>
      <c r="I20" s="41"/>
      <c r="J20" s="107" t="s">
        <v>21</v>
      </c>
      <c r="K20" s="41"/>
      <c r="L20" s="1496"/>
      <c r="M20" s="105"/>
      <c r="N20" s="1431"/>
      <c r="O20" s="107"/>
      <c r="S20" s="4716"/>
      <c r="T20" s="4723"/>
      <c r="U20" s="4723"/>
      <c r="V20" s="4743"/>
      <c r="W20" s="4243"/>
      <c r="Y20" s="42"/>
      <c r="Z20" s="42" t="s">
        <v>21</v>
      </c>
      <c r="AA20" s="42" t="s">
        <v>1638</v>
      </c>
      <c r="AB20" s="769">
        <v>6.67</v>
      </c>
      <c r="AC20" s="70">
        <v>3</v>
      </c>
      <c r="AD20" s="912">
        <f t="shared" si="4"/>
        <v>0.66999999999999993</v>
      </c>
      <c r="AE20" s="2482">
        <v>6</v>
      </c>
      <c r="AG20" s="42"/>
      <c r="AH20" s="42"/>
      <c r="AI20" s="42" t="s">
        <v>1638</v>
      </c>
      <c r="AJ20" s="769">
        <v>5.88</v>
      </c>
      <c r="AK20" s="70">
        <v>8</v>
      </c>
      <c r="AL20" s="144">
        <f t="shared" si="1"/>
        <v>-0.12000000000000011</v>
      </c>
      <c r="AN20" s="107"/>
      <c r="AO20" s="107"/>
      <c r="AP20" s="47" t="s">
        <v>1637</v>
      </c>
      <c r="AQ20" s="144">
        <v>4.67</v>
      </c>
      <c r="AR20" s="107">
        <v>3</v>
      </c>
      <c r="AS20" s="144">
        <f t="shared" si="5"/>
        <v>-1.33</v>
      </c>
      <c r="AT20" s="1"/>
      <c r="AU20" s="1424"/>
      <c r="AV20" s="1424"/>
      <c r="AW20" s="1425" t="s">
        <v>1637</v>
      </c>
      <c r="AX20" s="1426">
        <v>7.5</v>
      </c>
      <c r="AY20" s="1427">
        <v>2</v>
      </c>
      <c r="AZ20" s="144">
        <f t="shared" si="6"/>
        <v>1.5</v>
      </c>
      <c r="BB20" s="849"/>
      <c r="BC20" s="849"/>
      <c r="BD20" s="896" t="s">
        <v>106</v>
      </c>
      <c r="BE20" s="897">
        <v>6.3258426966292127</v>
      </c>
      <c r="BF20" s="898">
        <v>89</v>
      </c>
      <c r="BG20" s="899">
        <f>+(BF11*BG11+BF17*BG17+BF19*BG19)/BF20</f>
        <v>1.3370786516853932</v>
      </c>
      <c r="BI20" s="688"/>
      <c r="BJ20" s="688"/>
      <c r="BK20" s="688"/>
      <c r="BL20" s="457" t="s">
        <v>123</v>
      </c>
      <c r="BM20" s="459">
        <v>8.7000000000000011</v>
      </c>
      <c r="BN20" s="458">
        <v>10</v>
      </c>
      <c r="BO20" s="765">
        <v>2.4517567397911053</v>
      </c>
      <c r="BP20" s="459">
        <f t="shared" si="11"/>
        <v>2.7000000000000011</v>
      </c>
      <c r="BT20" s="856" t="s">
        <v>121</v>
      </c>
      <c r="BU20" s="857">
        <v>9.7777777777777786</v>
      </c>
      <c r="BV20" s="857">
        <f>BU20-CF19</f>
        <v>3.7777777777777786</v>
      </c>
      <c r="BW20" s="858">
        <v>18</v>
      </c>
      <c r="BX20" s="857">
        <v>11.555555555555555</v>
      </c>
      <c r="BY20" s="857">
        <f>BX20-CF20</f>
        <v>5.5555555555555554</v>
      </c>
      <c r="CA20" s="70"/>
      <c r="CB20" s="70"/>
      <c r="CC20" s="42" t="s">
        <v>121</v>
      </c>
      <c r="CD20" s="70">
        <v>14</v>
      </c>
      <c r="CE20" s="769">
        <v>11</v>
      </c>
      <c r="CF20" s="70">
        <v>6</v>
      </c>
      <c r="CG20" s="769">
        <f t="shared" si="3"/>
        <v>5</v>
      </c>
      <c r="CH20" s="42"/>
      <c r="CI20" s="42"/>
      <c r="CJ20" s="859"/>
      <c r="CK20" s="860"/>
      <c r="CL20" s="859" t="s">
        <v>121</v>
      </c>
      <c r="CM20" s="861">
        <v>9.5</v>
      </c>
      <c r="CN20" s="860">
        <v>18</v>
      </c>
      <c r="CO20" s="862">
        <v>6</v>
      </c>
      <c r="CP20" s="861">
        <f t="shared" si="12"/>
        <v>3.5</v>
      </c>
    </row>
    <row r="21" spans="1:94" ht="15.75" customHeight="1">
      <c r="A21" s="41"/>
      <c r="B21" s="41"/>
      <c r="C21" s="41" t="s">
        <v>1639</v>
      </c>
      <c r="D21" s="1496">
        <v>14</v>
      </c>
      <c r="E21" s="105">
        <v>1</v>
      </c>
      <c r="F21" s="1431">
        <f>D21-6</f>
        <v>8</v>
      </c>
      <c r="G21" s="107">
        <v>6</v>
      </c>
      <c r="I21" s="41"/>
      <c r="J21" s="107"/>
      <c r="K21" s="41" t="s">
        <v>1638</v>
      </c>
      <c r="L21" s="1496">
        <v>8</v>
      </c>
      <c r="M21" s="105">
        <v>1</v>
      </c>
      <c r="N21" s="1431">
        <f>L21-6</f>
        <v>2</v>
      </c>
      <c r="O21" s="107">
        <v>6</v>
      </c>
      <c r="S21" s="4716"/>
      <c r="T21" s="4723"/>
      <c r="U21" s="4723"/>
      <c r="V21" s="4743"/>
      <c r="W21" s="4243"/>
      <c r="Y21" s="42"/>
      <c r="Z21" s="42"/>
      <c r="AA21" s="42" t="s">
        <v>1639</v>
      </c>
      <c r="AB21" s="769">
        <v>8.67</v>
      </c>
      <c r="AC21" s="70">
        <v>3</v>
      </c>
      <c r="AD21" s="912">
        <f t="shared" si="4"/>
        <v>2.67</v>
      </c>
      <c r="AE21" s="2482">
        <v>6</v>
      </c>
      <c r="AG21" s="42"/>
      <c r="AH21" s="42"/>
      <c r="AI21" s="42" t="s">
        <v>1639</v>
      </c>
      <c r="AJ21" s="769">
        <v>9.5</v>
      </c>
      <c r="AK21" s="70">
        <v>2</v>
      </c>
      <c r="AL21" s="144">
        <f t="shared" si="1"/>
        <v>3.5</v>
      </c>
      <c r="AN21" s="107"/>
      <c r="AO21" s="107"/>
      <c r="AP21" s="47" t="s">
        <v>1641</v>
      </c>
      <c r="AQ21" s="144">
        <v>6</v>
      </c>
      <c r="AR21" s="107">
        <v>1</v>
      </c>
      <c r="AS21" s="144">
        <f t="shared" si="5"/>
        <v>0</v>
      </c>
      <c r="AT21" s="1"/>
      <c r="AU21" s="1424"/>
      <c r="AV21" s="1424"/>
      <c r="AW21" s="1428" t="s">
        <v>844</v>
      </c>
      <c r="AX21" s="1429">
        <v>5.8888888888888893</v>
      </c>
      <c r="AY21" s="1430">
        <v>18</v>
      </c>
      <c r="AZ21" s="875">
        <f>+(AY18*AZ18+AY19*AZ19+AY20*AZ20)/AY21</f>
        <v>2.3888888888888884</v>
      </c>
      <c r="BB21" s="849" t="s">
        <v>25</v>
      </c>
      <c r="BC21" s="849" t="s">
        <v>4</v>
      </c>
      <c r="BD21" s="850" t="s">
        <v>120</v>
      </c>
      <c r="BE21" s="851">
        <v>9.75</v>
      </c>
      <c r="BF21" s="852">
        <v>8</v>
      </c>
      <c r="BG21" s="853">
        <f t="shared" si="7"/>
        <v>3.75</v>
      </c>
      <c r="BI21" s="688"/>
      <c r="BJ21" s="688"/>
      <c r="BK21" s="688"/>
      <c r="BL21" s="457" t="s">
        <v>124</v>
      </c>
      <c r="BM21" s="459">
        <v>8.7333333333333325</v>
      </c>
      <c r="BN21" s="458">
        <v>15</v>
      </c>
      <c r="BO21" s="765">
        <v>2.1201976547572383</v>
      </c>
      <c r="BP21" s="459">
        <f t="shared" si="11"/>
        <v>2.7333333333333325</v>
      </c>
      <c r="BR21" s="855"/>
      <c r="BS21" s="855"/>
      <c r="BT21" s="856" t="s">
        <v>122</v>
      </c>
      <c r="BU21" s="857">
        <v>6.5</v>
      </c>
      <c r="BV21" s="857">
        <f>BU21-CF20</f>
        <v>0.5</v>
      </c>
      <c r="BW21" s="858">
        <v>4</v>
      </c>
      <c r="BX21" s="857">
        <v>6.5</v>
      </c>
      <c r="BY21" s="857">
        <f>BX21-CF21</f>
        <v>0.5</v>
      </c>
      <c r="CA21" s="70"/>
      <c r="CB21" s="70"/>
      <c r="CC21" s="42" t="s">
        <v>122</v>
      </c>
      <c r="CD21" s="70">
        <v>3</v>
      </c>
      <c r="CE21" s="769">
        <v>9</v>
      </c>
      <c r="CF21" s="70">
        <v>6</v>
      </c>
      <c r="CG21" s="769">
        <f t="shared" si="3"/>
        <v>3</v>
      </c>
      <c r="CH21" s="42"/>
      <c r="CI21" s="42"/>
      <c r="CJ21" s="859"/>
      <c r="CK21" s="860"/>
      <c r="CL21" s="859" t="s">
        <v>122</v>
      </c>
      <c r="CM21" s="861">
        <v>8.8000000000000007</v>
      </c>
      <c r="CN21" s="860">
        <v>5</v>
      </c>
      <c r="CO21" s="862">
        <v>6</v>
      </c>
      <c r="CP21" s="861">
        <f t="shared" si="12"/>
        <v>2.8000000000000007</v>
      </c>
    </row>
    <row r="22" spans="1:94">
      <c r="A22" s="41"/>
      <c r="B22" s="41"/>
      <c r="C22" s="41" t="s">
        <v>1640</v>
      </c>
      <c r="D22" s="1496">
        <v>8</v>
      </c>
      <c r="E22" s="105">
        <v>2</v>
      </c>
      <c r="F22" s="1431">
        <f>D22-6</f>
        <v>2</v>
      </c>
      <c r="G22" s="107">
        <v>6</v>
      </c>
      <c r="I22" s="41"/>
      <c r="J22" s="107"/>
      <c r="K22" s="41"/>
      <c r="L22" s="1496"/>
      <c r="M22" s="105"/>
      <c r="N22" s="1431"/>
      <c r="O22" s="107"/>
      <c r="R22" s="44" t="s">
        <v>21</v>
      </c>
      <c r="S22" s="44" t="s">
        <v>1640</v>
      </c>
      <c r="T22" s="4243">
        <v>8.5</v>
      </c>
      <c r="U22" s="4243">
        <v>2</v>
      </c>
      <c r="V22" s="4743">
        <f>T22-W22</f>
        <v>2.5</v>
      </c>
      <c r="W22" s="4243">
        <v>6</v>
      </c>
      <c r="Y22" s="42"/>
      <c r="Z22" s="42"/>
      <c r="AA22" s="42" t="s">
        <v>1640</v>
      </c>
      <c r="AB22" s="769">
        <v>9.75</v>
      </c>
      <c r="AC22" s="70">
        <v>4</v>
      </c>
      <c r="AD22" s="912">
        <f t="shared" si="4"/>
        <v>3.75</v>
      </c>
      <c r="AE22" s="2482">
        <v>6</v>
      </c>
      <c r="AG22" s="42"/>
      <c r="AH22" s="42"/>
      <c r="AI22" s="42" t="s">
        <v>1640</v>
      </c>
      <c r="AJ22" s="769">
        <v>5.33</v>
      </c>
      <c r="AK22" s="70">
        <v>6</v>
      </c>
      <c r="AL22" s="144">
        <f t="shared" si="1"/>
        <v>-0.66999999999999993</v>
      </c>
      <c r="AN22" s="107"/>
      <c r="AO22" s="107"/>
      <c r="AP22" s="968" t="s">
        <v>546</v>
      </c>
      <c r="AQ22" s="969">
        <v>6.69</v>
      </c>
      <c r="AR22" s="145">
        <v>13</v>
      </c>
      <c r="AS22" s="875">
        <f>+(AR17*AS17+AR18*AS18+AR19*AS19+AR20*AS20+AR21*AS21)/AR22</f>
        <v>2.3099999999999996</v>
      </c>
      <c r="AT22" s="1"/>
      <c r="AU22" s="1424"/>
      <c r="AV22" s="1424"/>
      <c r="AW22" s="1428" t="s">
        <v>106</v>
      </c>
      <c r="AX22" s="1429">
        <v>6.7027027027027035</v>
      </c>
      <c r="AY22" s="1430">
        <v>74</v>
      </c>
      <c r="AZ22" s="875">
        <f>+(AY11*AZ11+AY17*AZ17+AY21*AZ21)/AY22</f>
        <v>1.432432432432432</v>
      </c>
      <c r="BB22" s="849"/>
      <c r="BC22" s="849"/>
      <c r="BD22" s="850" t="s">
        <v>121</v>
      </c>
      <c r="BE22" s="851">
        <v>9.5</v>
      </c>
      <c r="BF22" s="852">
        <v>22</v>
      </c>
      <c r="BG22" s="853">
        <f t="shared" si="7"/>
        <v>3.5</v>
      </c>
      <c r="BI22" s="688"/>
      <c r="BJ22" s="688"/>
      <c r="BK22" s="688"/>
      <c r="BL22" s="457" t="s">
        <v>417</v>
      </c>
      <c r="BM22" s="459">
        <v>7.7692307692307692</v>
      </c>
      <c r="BN22" s="458">
        <v>13</v>
      </c>
      <c r="BO22" s="870">
        <v>0.92680869599629834</v>
      </c>
      <c r="BP22" s="459">
        <f t="shared" si="11"/>
        <v>1.7692307692307692</v>
      </c>
      <c r="BR22" s="855"/>
      <c r="BS22" s="855"/>
      <c r="BT22" s="856" t="s">
        <v>123</v>
      </c>
      <c r="BU22" s="857">
        <v>8.571428571428573</v>
      </c>
      <c r="BV22" s="857">
        <f>BU22-CF21</f>
        <v>2.571428571428573</v>
      </c>
      <c r="BW22" s="858">
        <v>14</v>
      </c>
      <c r="BX22" s="857">
        <v>8.7857142857142847</v>
      </c>
      <c r="BY22" s="857">
        <f>BX22-CF22</f>
        <v>2.7857142857142847</v>
      </c>
      <c r="CA22" s="70"/>
      <c r="CB22" s="70"/>
      <c r="CC22" s="42" t="s">
        <v>123</v>
      </c>
      <c r="CD22" s="70">
        <v>7</v>
      </c>
      <c r="CE22" s="769">
        <v>8.8571428571428577</v>
      </c>
      <c r="CF22" s="70">
        <v>6</v>
      </c>
      <c r="CG22" s="769">
        <f t="shared" si="3"/>
        <v>2.8571428571428577</v>
      </c>
      <c r="CH22" s="42"/>
      <c r="CI22" s="42"/>
      <c r="CJ22" s="859"/>
      <c r="CK22" s="860"/>
      <c r="CL22" s="859" t="s">
        <v>123</v>
      </c>
      <c r="CM22" s="861">
        <v>10.1</v>
      </c>
      <c r="CN22" s="860">
        <v>10</v>
      </c>
      <c r="CO22" s="862">
        <v>6</v>
      </c>
      <c r="CP22" s="861">
        <f t="shared" si="12"/>
        <v>4.0999999999999996</v>
      </c>
    </row>
    <row r="23" spans="1:94">
      <c r="A23" s="41"/>
      <c r="B23" s="41"/>
      <c r="C23" s="461" t="s">
        <v>546</v>
      </c>
      <c r="D23" s="1511">
        <v>9.5</v>
      </c>
      <c r="E23" s="5501">
        <v>4</v>
      </c>
      <c r="F23" s="1989">
        <f>D23-6</f>
        <v>3.5</v>
      </c>
      <c r="G23" s="107">
        <v>6</v>
      </c>
      <c r="I23" s="41"/>
      <c r="J23" s="107"/>
      <c r="K23" s="41" t="s">
        <v>1640</v>
      </c>
      <c r="L23" s="1496">
        <v>8.5</v>
      </c>
      <c r="M23" s="105">
        <v>2</v>
      </c>
      <c r="N23" s="1431">
        <f>L23-6</f>
        <v>2.5</v>
      </c>
      <c r="O23" s="107">
        <v>6</v>
      </c>
      <c r="S23" s="44" t="s">
        <v>1637</v>
      </c>
      <c r="T23" s="4243">
        <v>9</v>
      </c>
      <c r="U23" s="4243">
        <v>2</v>
      </c>
      <c r="V23" s="4743">
        <f>T23-W23</f>
        <v>3</v>
      </c>
      <c r="W23" s="4243">
        <v>6</v>
      </c>
      <c r="Y23" s="42"/>
      <c r="Z23" s="42"/>
      <c r="AA23" s="42" t="s">
        <v>1641</v>
      </c>
      <c r="AB23" s="769">
        <v>7.6</v>
      </c>
      <c r="AC23" s="70">
        <v>5</v>
      </c>
      <c r="AD23" s="912">
        <f t="shared" si="4"/>
        <v>1.5999999999999996</v>
      </c>
      <c r="AE23" s="2482">
        <v>6</v>
      </c>
      <c r="AG23" s="42"/>
      <c r="AH23" s="42"/>
      <c r="AI23" s="42" t="s">
        <v>1637</v>
      </c>
      <c r="AJ23" s="769">
        <v>10.5</v>
      </c>
      <c r="AK23" s="70">
        <v>2</v>
      </c>
      <c r="AL23" s="144">
        <f t="shared" si="1"/>
        <v>4.5</v>
      </c>
      <c r="AN23" s="1676"/>
      <c r="AO23" s="1676"/>
      <c r="AP23" s="1673" t="s">
        <v>106</v>
      </c>
      <c r="AQ23" s="1674">
        <v>6.99</v>
      </c>
      <c r="AR23" s="1675">
        <v>108</v>
      </c>
      <c r="AS23" s="1677">
        <f>+(AR10*AS10+AR16*AS16+AR22*AS22)/AR23</f>
        <v>1.2594444444444446</v>
      </c>
      <c r="AT23" s="1"/>
      <c r="AU23" s="1432" t="s">
        <v>25</v>
      </c>
      <c r="AV23" s="1432" t="s">
        <v>4</v>
      </c>
      <c r="AW23" s="1433" t="s">
        <v>120</v>
      </c>
      <c r="AX23" s="1434">
        <v>8.2857142857142865</v>
      </c>
      <c r="AY23" s="1435">
        <v>7</v>
      </c>
      <c r="AZ23" s="1436">
        <f t="shared" si="6"/>
        <v>2.2857142857142865</v>
      </c>
      <c r="BB23" s="849"/>
      <c r="BC23" s="849"/>
      <c r="BD23" s="850" t="s">
        <v>122</v>
      </c>
      <c r="BE23" s="851">
        <v>7.9000000000000012</v>
      </c>
      <c r="BF23" s="852">
        <v>10</v>
      </c>
      <c r="BG23" s="853">
        <f t="shared" si="7"/>
        <v>1.9000000000000012</v>
      </c>
      <c r="BI23" s="688"/>
      <c r="BJ23" s="688"/>
      <c r="BK23" s="688"/>
      <c r="BL23" s="784" t="s">
        <v>544</v>
      </c>
      <c r="BM23" s="462">
        <v>8.359375</v>
      </c>
      <c r="BN23" s="463">
        <v>64</v>
      </c>
      <c r="BO23" s="785">
        <v>2.049910470363995</v>
      </c>
      <c r="BP23" s="863">
        <f>+(BN17*BP17+BN18*BP18+BN19*BP19+BN20*BP20+BN21*BP21+BN22*BP22)/BN23</f>
        <v>2.359375</v>
      </c>
      <c r="BR23" s="855"/>
      <c r="BS23" s="855"/>
      <c r="BT23" s="856" t="s">
        <v>124</v>
      </c>
      <c r="BU23" s="857">
        <v>9.5</v>
      </c>
      <c r="BV23" s="857">
        <f>BU23-CF22</f>
        <v>3.5</v>
      </c>
      <c r="BW23" s="858">
        <v>6</v>
      </c>
      <c r="BX23" s="857">
        <v>11</v>
      </c>
      <c r="BY23" s="857">
        <f>BX23-CF23</f>
        <v>5</v>
      </c>
      <c r="CA23" s="70"/>
      <c r="CB23" s="70"/>
      <c r="CC23" s="42" t="s">
        <v>124</v>
      </c>
      <c r="CD23" s="70">
        <v>8</v>
      </c>
      <c r="CE23" s="769">
        <v>13.75</v>
      </c>
      <c r="CF23" s="70">
        <v>6</v>
      </c>
      <c r="CG23" s="769">
        <f t="shared" si="3"/>
        <v>7.75</v>
      </c>
      <c r="CH23" s="42"/>
      <c r="CI23" s="42"/>
      <c r="CJ23" s="859"/>
      <c r="CK23" s="860"/>
      <c r="CL23" s="859" t="s">
        <v>124</v>
      </c>
      <c r="CM23" s="861">
        <v>10.235294117647058</v>
      </c>
      <c r="CN23" s="860">
        <v>17</v>
      </c>
      <c r="CO23" s="862">
        <v>6</v>
      </c>
      <c r="CP23" s="861">
        <f t="shared" si="12"/>
        <v>4.235294117647058</v>
      </c>
    </row>
    <row r="24" spans="1:94">
      <c r="A24" s="5527"/>
      <c r="B24" s="5527"/>
      <c r="C24" s="5488" t="s">
        <v>106</v>
      </c>
      <c r="D24" s="5528">
        <v>6.91</v>
      </c>
      <c r="E24" s="5489">
        <v>66</v>
      </c>
      <c r="F24" s="5490">
        <f>+(E12*F12+E19*F19+E23*F23)/E24</f>
        <v>0.91060606060606064</v>
      </c>
      <c r="G24" s="5529">
        <v>6</v>
      </c>
      <c r="I24" s="41"/>
      <c r="J24" s="107"/>
      <c r="K24" s="41" t="s">
        <v>1637</v>
      </c>
      <c r="L24" s="1496">
        <v>9</v>
      </c>
      <c r="M24" s="105">
        <v>2</v>
      </c>
      <c r="N24" s="1431">
        <f>L24-6</f>
        <v>3</v>
      </c>
      <c r="O24" s="107">
        <v>6</v>
      </c>
      <c r="S24" s="44" t="s">
        <v>2538</v>
      </c>
      <c r="T24" s="4243">
        <v>12</v>
      </c>
      <c r="U24" s="4243">
        <v>1</v>
      </c>
      <c r="V24" s="4743">
        <f>T24-W24</f>
        <v>6</v>
      </c>
      <c r="W24" s="4243">
        <v>6</v>
      </c>
      <c r="Y24" s="42"/>
      <c r="Z24" s="42"/>
      <c r="AA24" s="42" t="s">
        <v>2538</v>
      </c>
      <c r="AB24" s="769">
        <v>9.33</v>
      </c>
      <c r="AC24" s="70">
        <v>6</v>
      </c>
      <c r="AD24" s="912">
        <f t="shared" si="4"/>
        <v>3.33</v>
      </c>
      <c r="AE24" s="2482">
        <v>6</v>
      </c>
      <c r="AG24" s="42"/>
      <c r="AH24" s="42"/>
      <c r="AI24" s="42" t="s">
        <v>1641</v>
      </c>
      <c r="AJ24" s="769">
        <v>10</v>
      </c>
      <c r="AK24" s="70">
        <v>4</v>
      </c>
      <c r="AL24" s="144">
        <f t="shared" si="1"/>
        <v>4</v>
      </c>
      <c r="AN24" s="107" t="s">
        <v>25</v>
      </c>
      <c r="AO24" s="107" t="s">
        <v>4</v>
      </c>
      <c r="AP24" s="47" t="s">
        <v>120</v>
      </c>
      <c r="AQ24" s="144">
        <v>8.33</v>
      </c>
      <c r="AR24" s="107">
        <v>3</v>
      </c>
      <c r="AS24" s="144">
        <f t="shared" si="5"/>
        <v>2.33</v>
      </c>
      <c r="AT24" s="1"/>
      <c r="AU24" s="1424"/>
      <c r="AV24" s="1424"/>
      <c r="AW24" s="1425" t="s">
        <v>121</v>
      </c>
      <c r="AX24" s="1426">
        <v>9.571428571428573</v>
      </c>
      <c r="AY24" s="1427">
        <v>14</v>
      </c>
      <c r="AZ24" s="144">
        <f t="shared" si="6"/>
        <v>3.571428571428573</v>
      </c>
      <c r="BB24" s="849"/>
      <c r="BC24" s="849"/>
      <c r="BD24" s="850" t="s">
        <v>123</v>
      </c>
      <c r="BE24" s="851">
        <v>7.333333333333333</v>
      </c>
      <c r="BF24" s="852">
        <v>12</v>
      </c>
      <c r="BG24" s="853">
        <f t="shared" si="7"/>
        <v>1.333333333333333</v>
      </c>
      <c r="BI24" s="688"/>
      <c r="BJ24" s="688"/>
      <c r="BK24" s="688" t="s">
        <v>16</v>
      </c>
      <c r="BL24" s="457" t="s">
        <v>125</v>
      </c>
      <c r="BM24" s="459">
        <v>9.3333333333333339</v>
      </c>
      <c r="BN24" s="458">
        <v>3</v>
      </c>
      <c r="BO24" s="765">
        <v>2.5166114784235831</v>
      </c>
      <c r="BP24" s="459">
        <f t="shared" si="11"/>
        <v>3.3333333333333339</v>
      </c>
      <c r="BR24" s="855"/>
      <c r="BS24" s="855"/>
      <c r="BT24" s="856" t="s">
        <v>417</v>
      </c>
      <c r="BU24" s="857">
        <v>8.1428571428571423</v>
      </c>
      <c r="BV24" s="857">
        <f>BU24-CF23</f>
        <v>2.1428571428571423</v>
      </c>
      <c r="BW24" s="858">
        <v>7</v>
      </c>
      <c r="BX24" s="857">
        <v>8.2857142857142865</v>
      </c>
      <c r="BY24" s="857">
        <f>BX24-CF24</f>
        <v>2.2857142857142865</v>
      </c>
      <c r="CA24" s="70"/>
      <c r="CB24" s="70"/>
      <c r="CC24" s="42" t="s">
        <v>417</v>
      </c>
      <c r="CD24" s="70">
        <v>14</v>
      </c>
      <c r="CE24" s="769">
        <v>7.1428571428571423</v>
      </c>
      <c r="CF24" s="70">
        <v>6</v>
      </c>
      <c r="CG24" s="769">
        <f t="shared" si="3"/>
        <v>1.1428571428571423</v>
      </c>
      <c r="CH24" s="867">
        <f>AVERAGE(CG19:CG24)</f>
        <v>3.9027777777777781</v>
      </c>
      <c r="CI24" s="42"/>
      <c r="CJ24" s="859"/>
      <c r="CK24" s="860"/>
      <c r="CL24" s="859" t="s">
        <v>1345</v>
      </c>
      <c r="CM24" s="861">
        <v>8.25</v>
      </c>
      <c r="CN24" s="860">
        <v>4</v>
      </c>
      <c r="CO24" s="862">
        <v>6</v>
      </c>
      <c r="CP24" s="861">
        <f t="shared" si="12"/>
        <v>2.25</v>
      </c>
    </row>
    <row r="25" spans="1:94">
      <c r="A25" s="41" t="s">
        <v>25</v>
      </c>
      <c r="B25" s="41" t="s">
        <v>4</v>
      </c>
      <c r="C25" s="41" t="s">
        <v>120</v>
      </c>
      <c r="D25" s="1496">
        <v>9.14</v>
      </c>
      <c r="E25" s="105">
        <v>7</v>
      </c>
      <c r="F25" s="1431">
        <f t="shared" ref="F25:F31" si="13">D25-6</f>
        <v>3.1400000000000006</v>
      </c>
      <c r="G25" s="107">
        <v>6</v>
      </c>
      <c r="I25" s="41"/>
      <c r="J25" s="107"/>
      <c r="K25" s="41" t="s">
        <v>2538</v>
      </c>
      <c r="L25" s="1496">
        <v>12</v>
      </c>
      <c r="M25" s="105">
        <v>1</v>
      </c>
      <c r="N25" s="1431">
        <f>L25-6</f>
        <v>6</v>
      </c>
      <c r="O25" s="107">
        <v>6</v>
      </c>
      <c r="S25" s="4716" t="s">
        <v>546</v>
      </c>
      <c r="T25" s="4723">
        <v>9.4</v>
      </c>
      <c r="U25" s="4723">
        <v>5</v>
      </c>
      <c r="V25" s="4772">
        <f>+(U22*V22+U23*V23+U24*V24)/U25</f>
        <v>3.4</v>
      </c>
      <c r="W25" s="4243"/>
      <c r="Y25" s="42"/>
      <c r="Z25" s="42"/>
      <c r="AA25" s="484" t="s">
        <v>546</v>
      </c>
      <c r="AB25" s="782">
        <v>8.52</v>
      </c>
      <c r="AC25" s="2479">
        <v>21</v>
      </c>
      <c r="AD25" s="875">
        <f>+(AC19*AD19+AC20*AD20+AC21*AD21+AC22*AD22+AC23*AD23+AC24*AD24)/AC25</f>
        <v>4.9561904761904758</v>
      </c>
      <c r="AE25" s="2482"/>
      <c r="AG25" s="42"/>
      <c r="AH25" s="42"/>
      <c r="AI25" s="484" t="s">
        <v>546</v>
      </c>
      <c r="AJ25" s="782">
        <v>7.17</v>
      </c>
      <c r="AK25" s="454">
        <v>23</v>
      </c>
      <c r="AL25" s="875">
        <f>+(AK19*AL19+AK20*AL20+AK21*AL21+AK22*AL22+AK23*AL23+AK24*AL24)/AK25</f>
        <v>1.1747826086956521</v>
      </c>
      <c r="AN25" s="107"/>
      <c r="AO25" s="107"/>
      <c r="AP25" s="47" t="s">
        <v>121</v>
      </c>
      <c r="AQ25" s="144">
        <v>8.85</v>
      </c>
      <c r="AR25" s="107">
        <v>20</v>
      </c>
      <c r="AS25" s="144">
        <f t="shared" si="5"/>
        <v>2.8499999999999996</v>
      </c>
      <c r="AT25" s="1"/>
      <c r="AU25" s="1424"/>
      <c r="AV25" s="1424"/>
      <c r="AW25" s="1425" t="s">
        <v>122</v>
      </c>
      <c r="AX25" s="1426">
        <v>7</v>
      </c>
      <c r="AY25" s="1427">
        <v>4</v>
      </c>
      <c r="AZ25" s="144">
        <f t="shared" si="6"/>
        <v>1</v>
      </c>
      <c r="BB25" s="849"/>
      <c r="BC25" s="849"/>
      <c r="BD25" s="850" t="s">
        <v>124</v>
      </c>
      <c r="BE25" s="851">
        <v>8.7000000000000011</v>
      </c>
      <c r="BF25" s="852">
        <v>10</v>
      </c>
      <c r="BG25" s="853">
        <f t="shared" si="7"/>
        <v>2.7000000000000011</v>
      </c>
      <c r="BI25" s="688"/>
      <c r="BJ25" s="688"/>
      <c r="BK25" s="688"/>
      <c r="BL25" s="457" t="s">
        <v>126</v>
      </c>
      <c r="BM25" s="459">
        <v>7.9024390243902456</v>
      </c>
      <c r="BN25" s="458">
        <v>41</v>
      </c>
      <c r="BO25" s="870">
        <v>0.9435273723846197</v>
      </c>
      <c r="BP25" s="459">
        <f t="shared" si="11"/>
        <v>1.9024390243902456</v>
      </c>
      <c r="BR25" s="855"/>
      <c r="BS25" s="855"/>
      <c r="BT25" s="864" t="s">
        <v>544</v>
      </c>
      <c r="BU25" s="863">
        <v>8.8979591836734713</v>
      </c>
      <c r="BV25" s="863">
        <f>+(BW20*BV20+BW21*BV21+BW22*BV22+BW23*BV23+BW24*BV24)/BW25</f>
        <v>2.8979591836734699</v>
      </c>
      <c r="BW25" s="865">
        <v>49</v>
      </c>
      <c r="BX25" s="863">
        <v>9.816326530612244</v>
      </c>
      <c r="BY25" s="863">
        <f>+(BW20*BY20+BW21*BY21+BW22*BY22+BW23*BY23+BW24*BY24)/BW25</f>
        <v>3.8163265306122449</v>
      </c>
      <c r="CA25" s="70"/>
      <c r="CB25" s="70"/>
      <c r="CC25" s="484" t="s">
        <v>15</v>
      </c>
      <c r="CD25" s="454">
        <v>49</v>
      </c>
      <c r="CE25" s="782">
        <v>9.8367346938775526</v>
      </c>
      <c r="CF25" s="454"/>
      <c r="CG25" s="782">
        <f>+(CD19*CG19+CD20*CG20+CD21*CG21+CD22*CG22+CD23*CG23+CD24*CG24)/CD25</f>
        <v>3.8367346938775508</v>
      </c>
      <c r="CH25" s="42"/>
      <c r="CI25" s="42"/>
      <c r="CJ25" s="859"/>
      <c r="CK25" s="860"/>
      <c r="CL25" s="860" t="s">
        <v>15</v>
      </c>
      <c r="CM25" s="861">
        <v>9.5862068965517224</v>
      </c>
      <c r="CN25" s="860">
        <v>58</v>
      </c>
      <c r="CO25" s="862"/>
      <c r="CP25" s="869">
        <f>AVERAGE(CP19:CP24)</f>
        <v>3.1892156862745096</v>
      </c>
    </row>
    <row r="26" spans="1:94">
      <c r="A26" s="41"/>
      <c r="B26" s="41"/>
      <c r="C26" s="41" t="s">
        <v>121</v>
      </c>
      <c r="D26" s="1496">
        <v>7.92</v>
      </c>
      <c r="E26" s="105">
        <v>13</v>
      </c>
      <c r="F26" s="1431">
        <f t="shared" si="13"/>
        <v>1.92</v>
      </c>
      <c r="G26" s="107">
        <v>6</v>
      </c>
      <c r="I26" s="41"/>
      <c r="J26" s="107"/>
      <c r="K26" s="461" t="s">
        <v>546</v>
      </c>
      <c r="L26" s="1511">
        <v>9.17</v>
      </c>
      <c r="M26" s="4686">
        <v>6</v>
      </c>
      <c r="N26" s="1989">
        <f>+(M21*N21+M23*N23+M24*N24+M25*N25)/M26</f>
        <v>3.1666666666666665</v>
      </c>
      <c r="O26" s="107"/>
      <c r="Q26" s="4773"/>
      <c r="R26" s="4773"/>
      <c r="S26" s="4774" t="s">
        <v>106</v>
      </c>
      <c r="T26" s="4775">
        <v>7.33</v>
      </c>
      <c r="U26" s="4775">
        <v>51</v>
      </c>
      <c r="V26" s="4776">
        <f>+(U11*V11+U18*V18+U25*V25)/U26</f>
        <v>1.2545098039215685</v>
      </c>
      <c r="W26" s="4777"/>
      <c r="Y26" s="2498"/>
      <c r="Z26" s="2498"/>
      <c r="AA26" s="2499" t="s">
        <v>106</v>
      </c>
      <c r="AB26" s="2500">
        <v>7.71</v>
      </c>
      <c r="AC26" s="2501">
        <v>110</v>
      </c>
      <c r="AD26" s="1677">
        <f>+(AC12*AD12+AC18*AD18+AC25*AD25)/AC26</f>
        <v>1.675090909090909</v>
      </c>
      <c r="AE26" s="2482"/>
      <c r="AG26" s="2004"/>
      <c r="AH26" s="2004"/>
      <c r="AI26" s="2005" t="s">
        <v>106</v>
      </c>
      <c r="AJ26" s="2006">
        <v>7.14</v>
      </c>
      <c r="AK26" s="2007">
        <v>108</v>
      </c>
      <c r="AL26" s="1677">
        <f>+(AK12*AL12+AK18*AL18+AK25*AL25)/AK26</f>
        <v>1.1393518518518517</v>
      </c>
      <c r="AN26" s="107"/>
      <c r="AO26" s="107"/>
      <c r="AP26" s="47" t="s">
        <v>122</v>
      </c>
      <c r="AQ26" s="144">
        <v>9</v>
      </c>
      <c r="AR26" s="107">
        <v>7</v>
      </c>
      <c r="AS26" s="144">
        <f t="shared" si="5"/>
        <v>3</v>
      </c>
      <c r="AT26" s="1"/>
      <c r="AU26" s="1424"/>
      <c r="AV26" s="1424"/>
      <c r="AW26" s="1425" t="s">
        <v>123</v>
      </c>
      <c r="AX26" s="1426">
        <v>8</v>
      </c>
      <c r="AY26" s="1427">
        <v>13</v>
      </c>
      <c r="AZ26" s="144">
        <f t="shared" si="6"/>
        <v>2</v>
      </c>
      <c r="BB26" s="849"/>
      <c r="BC26" s="849"/>
      <c r="BD26" s="850" t="s">
        <v>417</v>
      </c>
      <c r="BE26" s="851">
        <v>8.1999999999999993</v>
      </c>
      <c r="BF26" s="852">
        <v>10</v>
      </c>
      <c r="BG26" s="853">
        <f t="shared" si="7"/>
        <v>2.1999999999999993</v>
      </c>
      <c r="BI26" s="688"/>
      <c r="BJ26" s="688"/>
      <c r="BK26" s="688"/>
      <c r="BL26" s="457" t="s">
        <v>127</v>
      </c>
      <c r="BM26" s="459">
        <v>6.6</v>
      </c>
      <c r="BN26" s="458">
        <v>5</v>
      </c>
      <c r="BO26" s="870">
        <v>0.54772255750516619</v>
      </c>
      <c r="BP26" s="459">
        <f t="shared" si="11"/>
        <v>0.59999999999999964</v>
      </c>
      <c r="BR26" s="855"/>
      <c r="BS26" s="855" t="s">
        <v>16</v>
      </c>
      <c r="CA26" s="70"/>
      <c r="CB26" s="70" t="s">
        <v>16</v>
      </c>
      <c r="CC26" s="42" t="s">
        <v>1379</v>
      </c>
      <c r="CD26" s="70">
        <v>1</v>
      </c>
      <c r="CE26" s="769">
        <v>51</v>
      </c>
      <c r="CF26" s="70">
        <v>6</v>
      </c>
      <c r="CG26" s="769">
        <f t="shared" si="3"/>
        <v>45</v>
      </c>
      <c r="CH26" s="42"/>
      <c r="CI26" s="42"/>
      <c r="CJ26" s="859"/>
      <c r="CK26" s="860" t="s">
        <v>16</v>
      </c>
      <c r="CL26" s="859" t="s">
        <v>1380</v>
      </c>
      <c r="CM26" s="861">
        <v>19</v>
      </c>
      <c r="CN26" s="860">
        <v>3</v>
      </c>
      <c r="CO26" s="862">
        <v>6</v>
      </c>
      <c r="CP26" s="861">
        <f>CM26-6</f>
        <v>13</v>
      </c>
    </row>
    <row r="27" spans="1:94">
      <c r="A27" s="41"/>
      <c r="B27" s="41"/>
      <c r="C27" s="41" t="s">
        <v>122</v>
      </c>
      <c r="D27" s="1496">
        <v>6.56</v>
      </c>
      <c r="E27" s="105">
        <v>9</v>
      </c>
      <c r="F27" s="1431">
        <f t="shared" si="13"/>
        <v>0.55999999999999961</v>
      </c>
      <c r="G27" s="107">
        <v>6</v>
      </c>
      <c r="I27" s="2856"/>
      <c r="J27" s="1676"/>
      <c r="K27" s="1652" t="s">
        <v>106</v>
      </c>
      <c r="L27" s="4784">
        <v>7.15</v>
      </c>
      <c r="M27" s="4688">
        <v>68</v>
      </c>
      <c r="N27" s="1990">
        <f>+(M12*N12+M19*N19+M26*N26)/M27</f>
        <v>1.1458823529411768</v>
      </c>
      <c r="O27" s="4639"/>
      <c r="Q27" s="44" t="s">
        <v>25</v>
      </c>
      <c r="R27" s="44" t="s">
        <v>4</v>
      </c>
      <c r="S27" s="44" t="s">
        <v>120</v>
      </c>
      <c r="T27" s="4243">
        <v>9.4499999999999993</v>
      </c>
      <c r="U27" s="4243">
        <v>11</v>
      </c>
      <c r="V27" s="4778">
        <f>T27-W27</f>
        <v>3.4499999999999993</v>
      </c>
      <c r="W27" s="4779">
        <v>6</v>
      </c>
      <c r="Y27" s="42" t="s">
        <v>25</v>
      </c>
      <c r="Z27" s="42" t="s">
        <v>4</v>
      </c>
      <c r="AA27" s="42" t="s">
        <v>120</v>
      </c>
      <c r="AB27" s="769">
        <v>9.57</v>
      </c>
      <c r="AC27" s="70">
        <v>14</v>
      </c>
      <c r="AD27" s="912">
        <f t="shared" si="4"/>
        <v>3.5700000000000003</v>
      </c>
      <c r="AE27" s="2482">
        <v>6</v>
      </c>
      <c r="AG27" s="42" t="s">
        <v>25</v>
      </c>
      <c r="AH27" s="42" t="s">
        <v>4</v>
      </c>
      <c r="AI27" s="42" t="s">
        <v>120</v>
      </c>
      <c r="AJ27" s="769">
        <v>9</v>
      </c>
      <c r="AK27" s="70">
        <v>12</v>
      </c>
      <c r="AL27" s="144">
        <f t="shared" si="1"/>
        <v>3</v>
      </c>
      <c r="AN27" s="107"/>
      <c r="AO27" s="107"/>
      <c r="AP27" s="47" t="s">
        <v>123</v>
      </c>
      <c r="AQ27" s="144">
        <v>8.5</v>
      </c>
      <c r="AR27" s="107">
        <v>16</v>
      </c>
      <c r="AS27" s="144">
        <f t="shared" si="5"/>
        <v>2.5</v>
      </c>
      <c r="AT27" s="1"/>
      <c r="AU27" s="1424"/>
      <c r="AV27" s="1424"/>
      <c r="AW27" s="1425" t="s">
        <v>124</v>
      </c>
      <c r="AX27" s="1426">
        <v>8.875</v>
      </c>
      <c r="AY27" s="1427">
        <v>8</v>
      </c>
      <c r="AZ27" s="144">
        <f t="shared" si="6"/>
        <v>2.875</v>
      </c>
      <c r="BB27" s="849"/>
      <c r="BC27" s="849"/>
      <c r="BD27" s="872" t="s">
        <v>544</v>
      </c>
      <c r="BE27" s="873">
        <v>8.6527777777777786</v>
      </c>
      <c r="BF27" s="874">
        <v>72</v>
      </c>
      <c r="BG27" s="875">
        <f t="shared" si="7"/>
        <v>2.6527777777777786</v>
      </c>
      <c r="BI27" s="688"/>
      <c r="BJ27" s="688"/>
      <c r="BK27" s="688"/>
      <c r="BL27" s="457" t="s">
        <v>128</v>
      </c>
      <c r="BM27" s="459">
        <v>7.8750000000000018</v>
      </c>
      <c r="BN27" s="458">
        <v>16</v>
      </c>
      <c r="BO27" s="765">
        <v>1.0878112581387152</v>
      </c>
      <c r="BP27" s="459">
        <f t="shared" si="11"/>
        <v>1.8750000000000018</v>
      </c>
      <c r="BR27" s="855"/>
      <c r="BT27" s="856" t="s">
        <v>107</v>
      </c>
      <c r="BU27" s="857">
        <v>3</v>
      </c>
      <c r="BV27" s="857">
        <f>BU27-CF26</f>
        <v>-3</v>
      </c>
      <c r="BW27" s="858">
        <v>1</v>
      </c>
      <c r="BX27" s="857">
        <v>3</v>
      </c>
      <c r="BY27" s="857">
        <f>BX27-CF27</f>
        <v>-3</v>
      </c>
      <c r="CA27" s="70"/>
      <c r="CB27" s="70"/>
      <c r="CC27" s="42" t="s">
        <v>107</v>
      </c>
      <c r="CD27" s="70">
        <v>15</v>
      </c>
      <c r="CE27" s="769">
        <f>3.13333333333333+3</f>
        <v>6.1333333333333302</v>
      </c>
      <c r="CF27" s="70">
        <v>6</v>
      </c>
      <c r="CG27" s="769">
        <f t="shared" si="3"/>
        <v>0.1333333333333302</v>
      </c>
      <c r="CH27" s="42"/>
      <c r="CI27" s="42"/>
      <c r="CJ27" s="859"/>
      <c r="CK27" s="860"/>
      <c r="CL27" s="859" t="s">
        <v>107</v>
      </c>
      <c r="CM27" s="861">
        <v>18.5</v>
      </c>
      <c r="CN27" s="860">
        <v>2</v>
      </c>
      <c r="CO27" s="862">
        <v>6</v>
      </c>
      <c r="CP27" s="861">
        <f>CM27-3</f>
        <v>15.5</v>
      </c>
    </row>
    <row r="28" spans="1:94">
      <c r="A28" s="41"/>
      <c r="B28" s="41"/>
      <c r="C28" s="41" t="s">
        <v>123</v>
      </c>
      <c r="D28" s="1496">
        <v>7.33</v>
      </c>
      <c r="E28" s="105">
        <v>6</v>
      </c>
      <c r="F28" s="1431">
        <f t="shared" si="13"/>
        <v>1.33</v>
      </c>
      <c r="G28" s="107">
        <v>6</v>
      </c>
      <c r="I28" s="41" t="s">
        <v>25</v>
      </c>
      <c r="J28" s="107" t="s">
        <v>4</v>
      </c>
      <c r="K28" s="41" t="s">
        <v>120</v>
      </c>
      <c r="L28" s="1496">
        <v>9.6199999999999992</v>
      </c>
      <c r="M28" s="105">
        <v>13</v>
      </c>
      <c r="N28" s="1431">
        <f t="shared" ref="N28:N34" si="14">L28-6</f>
        <v>3.6199999999999992</v>
      </c>
      <c r="O28" s="4640">
        <v>6</v>
      </c>
      <c r="S28" s="44" t="s">
        <v>121</v>
      </c>
      <c r="T28" s="4243">
        <v>9.1</v>
      </c>
      <c r="U28" s="4243">
        <v>10</v>
      </c>
      <c r="V28" s="4778">
        <f t="shared" ref="V28:V45" si="15">T28-W28</f>
        <v>3.0999999999999996</v>
      </c>
      <c r="W28" s="4243">
        <v>6</v>
      </c>
      <c r="Y28" s="42"/>
      <c r="Z28" s="42"/>
      <c r="AA28" s="42" t="s">
        <v>121</v>
      </c>
      <c r="AB28" s="769">
        <v>8.6</v>
      </c>
      <c r="AC28" s="70">
        <v>10</v>
      </c>
      <c r="AD28" s="912">
        <f t="shared" si="4"/>
        <v>2.5999999999999996</v>
      </c>
      <c r="AE28" s="2482">
        <v>6</v>
      </c>
      <c r="AG28" s="42"/>
      <c r="AH28" s="42"/>
      <c r="AI28" s="42" t="s">
        <v>121</v>
      </c>
      <c r="AJ28" s="769">
        <v>8.52</v>
      </c>
      <c r="AK28" s="70">
        <v>21</v>
      </c>
      <c r="AL28" s="144">
        <f t="shared" si="1"/>
        <v>2.5199999999999996</v>
      </c>
      <c r="AN28" s="107"/>
      <c r="AO28" s="107"/>
      <c r="AP28" s="47" t="s">
        <v>124</v>
      </c>
      <c r="AQ28" s="144">
        <v>10.199999999999999</v>
      </c>
      <c r="AR28" s="107">
        <v>5</v>
      </c>
      <c r="AS28" s="144">
        <f t="shared" si="5"/>
        <v>4.1999999999999993</v>
      </c>
      <c r="AT28" s="1"/>
      <c r="AU28" s="1424"/>
      <c r="AV28" s="1424"/>
      <c r="AW28" s="1425" t="s">
        <v>417</v>
      </c>
      <c r="AX28" s="1426">
        <v>7.666666666666667</v>
      </c>
      <c r="AY28" s="1427">
        <v>6</v>
      </c>
      <c r="AZ28" s="144">
        <f t="shared" si="6"/>
        <v>1.666666666666667</v>
      </c>
      <c r="BB28" s="849"/>
      <c r="BC28" s="849" t="s">
        <v>16</v>
      </c>
      <c r="BD28" s="850" t="s">
        <v>107</v>
      </c>
      <c r="BE28" s="851">
        <v>3.3333333333333335</v>
      </c>
      <c r="BF28" s="852">
        <v>15</v>
      </c>
      <c r="BG28" s="853">
        <f>BE28-3</f>
        <v>0.33333333333333348</v>
      </c>
      <c r="BI28" s="688"/>
      <c r="BJ28" s="688"/>
      <c r="BK28" s="688"/>
      <c r="BL28" s="784" t="s">
        <v>545</v>
      </c>
      <c r="BM28" s="462">
        <v>7.8615384615384594</v>
      </c>
      <c r="BN28" s="463">
        <v>65</v>
      </c>
      <c r="BO28" s="785">
        <v>1.1302229187880797</v>
      </c>
      <c r="BP28" s="863">
        <f>+(BN24*BP24+BN25*BP25+BN26*BP26+BN27*BP27)/BN28</f>
        <v>1.8615384615384631</v>
      </c>
      <c r="BR28" s="855"/>
      <c r="BS28" s="855"/>
      <c r="BT28" s="856" t="s">
        <v>125</v>
      </c>
      <c r="BU28" s="857">
        <v>11.125</v>
      </c>
      <c r="BV28" s="857">
        <f>BU28-CF27</f>
        <v>5.125</v>
      </c>
      <c r="BW28" s="858">
        <v>8</v>
      </c>
      <c r="BX28" s="857">
        <v>13.5</v>
      </c>
      <c r="BY28" s="857">
        <f>BX28-CF28</f>
        <v>7.5</v>
      </c>
      <c r="CA28" s="70"/>
      <c r="CB28" s="70"/>
      <c r="CC28" s="42" t="s">
        <v>125</v>
      </c>
      <c r="CD28" s="70">
        <v>9</v>
      </c>
      <c r="CE28" s="769">
        <v>7.8888888888888893</v>
      </c>
      <c r="CF28" s="70">
        <v>6</v>
      </c>
      <c r="CG28" s="769">
        <f t="shared" si="3"/>
        <v>1.8888888888888893</v>
      </c>
      <c r="CH28" s="42"/>
      <c r="CI28" s="42"/>
      <c r="CJ28" s="859"/>
      <c r="CK28" s="860"/>
      <c r="CL28" s="859" t="s">
        <v>125</v>
      </c>
      <c r="CM28" s="861">
        <v>6.2941176470588243</v>
      </c>
      <c r="CN28" s="860">
        <v>3</v>
      </c>
      <c r="CO28" s="862">
        <v>6</v>
      </c>
      <c r="CP28" s="861">
        <f>CM28-6</f>
        <v>0.29411764705882426</v>
      </c>
    </row>
    <row r="29" spans="1:94">
      <c r="A29" s="41"/>
      <c r="B29" s="41"/>
      <c r="C29" s="41" t="s">
        <v>124</v>
      </c>
      <c r="D29" s="1496">
        <v>9.5</v>
      </c>
      <c r="E29" s="105">
        <v>8</v>
      </c>
      <c r="F29" s="1431">
        <f t="shared" si="13"/>
        <v>3.5</v>
      </c>
      <c r="G29" s="107">
        <v>6</v>
      </c>
      <c r="I29" s="41"/>
      <c r="J29" s="107"/>
      <c r="K29" s="41" t="s">
        <v>121</v>
      </c>
      <c r="L29" s="1496">
        <v>8.94</v>
      </c>
      <c r="M29" s="105">
        <v>17</v>
      </c>
      <c r="N29" s="1431">
        <f t="shared" si="14"/>
        <v>2.9399999999999995</v>
      </c>
      <c r="O29" s="107">
        <v>6</v>
      </c>
      <c r="S29" s="44" t="s">
        <v>122</v>
      </c>
      <c r="T29" s="4243">
        <v>6.75</v>
      </c>
      <c r="U29" s="4243">
        <v>4</v>
      </c>
      <c r="V29" s="4778">
        <f t="shared" si="15"/>
        <v>0.75</v>
      </c>
      <c r="W29" s="4243">
        <v>6</v>
      </c>
      <c r="Y29" s="42"/>
      <c r="Z29" s="42"/>
      <c r="AA29" s="42" t="s">
        <v>122</v>
      </c>
      <c r="AB29" s="769">
        <v>6.56</v>
      </c>
      <c r="AC29" s="70">
        <v>16</v>
      </c>
      <c r="AD29" s="912">
        <f t="shared" si="4"/>
        <v>0.55999999999999961</v>
      </c>
      <c r="AE29" s="2482">
        <v>6</v>
      </c>
      <c r="AG29" s="42"/>
      <c r="AH29" s="42"/>
      <c r="AI29" s="42" t="s">
        <v>122</v>
      </c>
      <c r="AJ29" s="769">
        <v>6.5</v>
      </c>
      <c r="AK29" s="70">
        <v>14</v>
      </c>
      <c r="AL29" s="144">
        <f t="shared" si="1"/>
        <v>0.5</v>
      </c>
      <c r="AN29" s="107"/>
      <c r="AO29" s="107"/>
      <c r="AP29" s="47" t="s">
        <v>417</v>
      </c>
      <c r="AQ29" s="144">
        <v>9</v>
      </c>
      <c r="AR29" s="107">
        <v>6</v>
      </c>
      <c r="AS29" s="144">
        <f t="shared" si="5"/>
        <v>3</v>
      </c>
      <c r="AT29" s="1"/>
      <c r="AU29" s="1424"/>
      <c r="AV29" s="1424"/>
      <c r="AW29" s="1425" t="s">
        <v>795</v>
      </c>
      <c r="AX29" s="1426">
        <v>8</v>
      </c>
      <c r="AY29" s="1427">
        <v>7</v>
      </c>
      <c r="AZ29" s="144">
        <f t="shared" si="6"/>
        <v>2</v>
      </c>
      <c r="BB29" s="849"/>
      <c r="BC29" s="849"/>
      <c r="BD29" s="850" t="s">
        <v>125</v>
      </c>
      <c r="BE29" s="851">
        <v>8.9333333333333336</v>
      </c>
      <c r="BF29" s="852">
        <v>15</v>
      </c>
      <c r="BG29" s="853">
        <f t="shared" si="7"/>
        <v>2.9333333333333336</v>
      </c>
      <c r="BI29" s="688"/>
      <c r="BJ29" s="688"/>
      <c r="BK29" s="688" t="s">
        <v>41</v>
      </c>
      <c r="BL29" s="457" t="s">
        <v>129</v>
      </c>
      <c r="BM29" s="459">
        <v>7.3181818181818201</v>
      </c>
      <c r="BN29" s="458">
        <v>22</v>
      </c>
      <c r="BO29" s="765">
        <v>2.1018441706627349</v>
      </c>
      <c r="BP29" s="459">
        <f t="shared" si="11"/>
        <v>1.3181818181818201</v>
      </c>
      <c r="BR29" s="855"/>
      <c r="BS29" s="855"/>
      <c r="BT29" s="856" t="s">
        <v>126</v>
      </c>
      <c r="BU29" s="857">
        <v>7.8636363636363642</v>
      </c>
      <c r="BV29" s="857">
        <f>BU29-CF28</f>
        <v>1.8636363636363642</v>
      </c>
      <c r="BW29" s="858">
        <v>22</v>
      </c>
      <c r="BX29" s="857">
        <v>8.1818181818181817</v>
      </c>
      <c r="BY29" s="857">
        <f>BX29-CF29</f>
        <v>2.1818181818181817</v>
      </c>
      <c r="CA29" s="70"/>
      <c r="CB29" s="70"/>
      <c r="CC29" s="42" t="s">
        <v>126</v>
      </c>
      <c r="CD29" s="70">
        <v>52</v>
      </c>
      <c r="CE29" s="769">
        <v>9.4999999999999964</v>
      </c>
      <c r="CF29" s="70">
        <v>6</v>
      </c>
      <c r="CG29" s="769">
        <f t="shared" si="3"/>
        <v>3.4999999999999964</v>
      </c>
      <c r="CH29" s="42"/>
      <c r="CI29" s="42"/>
      <c r="CJ29" s="859"/>
      <c r="CK29" s="860"/>
      <c r="CL29" s="859" t="s">
        <v>126</v>
      </c>
      <c r="CM29" s="861">
        <v>14</v>
      </c>
      <c r="CN29" s="860">
        <v>26</v>
      </c>
      <c r="CO29" s="862">
        <v>6</v>
      </c>
      <c r="CP29" s="861">
        <f>CM29-6</f>
        <v>8</v>
      </c>
    </row>
    <row r="30" spans="1:94">
      <c r="A30" s="41"/>
      <c r="B30" s="41"/>
      <c r="C30" s="41" t="s">
        <v>417</v>
      </c>
      <c r="D30" s="1496">
        <v>8</v>
      </c>
      <c r="E30" s="105">
        <v>4</v>
      </c>
      <c r="F30" s="1431">
        <f t="shared" si="13"/>
        <v>2</v>
      </c>
      <c r="G30" s="107">
        <v>6</v>
      </c>
      <c r="I30" s="41"/>
      <c r="J30" s="107"/>
      <c r="K30" s="41" t="s">
        <v>122</v>
      </c>
      <c r="L30" s="1496">
        <v>6.67</v>
      </c>
      <c r="M30" s="105">
        <v>9</v>
      </c>
      <c r="N30" s="1431">
        <f t="shared" si="14"/>
        <v>0.66999999999999993</v>
      </c>
      <c r="O30" s="107">
        <v>6</v>
      </c>
      <c r="S30" s="44" t="s">
        <v>123</v>
      </c>
      <c r="T30" s="4243">
        <v>8</v>
      </c>
      <c r="U30" s="4243">
        <v>1</v>
      </c>
      <c r="V30" s="4778">
        <f t="shared" si="15"/>
        <v>2</v>
      </c>
      <c r="W30" s="4243">
        <v>6</v>
      </c>
      <c r="Y30" s="42"/>
      <c r="Z30" s="42"/>
      <c r="AA30" s="42" t="s">
        <v>123</v>
      </c>
      <c r="AB30" s="769">
        <v>7.73</v>
      </c>
      <c r="AC30" s="70">
        <v>11</v>
      </c>
      <c r="AD30" s="912">
        <f t="shared" si="4"/>
        <v>1.7300000000000004</v>
      </c>
      <c r="AE30" s="2482">
        <v>6</v>
      </c>
      <c r="AG30" s="42"/>
      <c r="AH30" s="42"/>
      <c r="AI30" s="42" t="s">
        <v>123</v>
      </c>
      <c r="AJ30" s="769">
        <v>7.91</v>
      </c>
      <c r="AK30" s="70">
        <v>11</v>
      </c>
      <c r="AL30" s="144">
        <f t="shared" si="1"/>
        <v>1.9100000000000001</v>
      </c>
      <c r="AN30" s="107"/>
      <c r="AO30" s="107"/>
      <c r="AP30" s="47" t="s">
        <v>795</v>
      </c>
      <c r="AQ30" s="144">
        <v>9.17</v>
      </c>
      <c r="AR30" s="107">
        <v>6</v>
      </c>
      <c r="AS30" s="144">
        <f t="shared" si="5"/>
        <v>3.17</v>
      </c>
      <c r="AT30" s="1"/>
      <c r="AU30" s="1424"/>
      <c r="AV30" s="1424"/>
      <c r="AW30" s="1428" t="s">
        <v>544</v>
      </c>
      <c r="AX30" s="1429">
        <v>8.4237288135593218</v>
      </c>
      <c r="AY30" s="1430">
        <v>59</v>
      </c>
      <c r="AZ30" s="875">
        <f>+(AY23*AZ23+AY24*AZ24+AY25*AZ25+AY26*AZ26+AY27*AZ27+AY28*AZ28+AY29*AZ29)/AY30</f>
        <v>2.4237288135593227</v>
      </c>
      <c r="BB30" s="849"/>
      <c r="BC30" s="849"/>
      <c r="BD30" s="850" t="s">
        <v>126</v>
      </c>
      <c r="BE30" s="851">
        <v>7.8409090909090944</v>
      </c>
      <c r="BF30" s="852">
        <v>44</v>
      </c>
      <c r="BG30" s="853">
        <f t="shared" si="7"/>
        <v>1.8409090909090944</v>
      </c>
      <c r="BI30" s="688"/>
      <c r="BJ30" s="688"/>
      <c r="BK30" s="688"/>
      <c r="BL30" s="457" t="s">
        <v>130</v>
      </c>
      <c r="BM30" s="459">
        <v>8.3333333333333339</v>
      </c>
      <c r="BN30" s="458">
        <v>18</v>
      </c>
      <c r="BO30" s="765">
        <v>2.1420166418862494</v>
      </c>
      <c r="BP30" s="459">
        <f t="shared" si="11"/>
        <v>2.3333333333333339</v>
      </c>
      <c r="BR30" s="855"/>
      <c r="BS30" s="855"/>
      <c r="BT30" s="856" t="s">
        <v>127</v>
      </c>
      <c r="BU30" s="857">
        <v>6.615384615384615</v>
      </c>
      <c r="BV30" s="857">
        <f>BU30-CF29</f>
        <v>0.61538461538461497</v>
      </c>
      <c r="BW30" s="858">
        <v>26</v>
      </c>
      <c r="BX30" s="857">
        <v>6.615384615384615</v>
      </c>
      <c r="BY30" s="857">
        <f>BX30-CF30</f>
        <v>0.61538461538461497</v>
      </c>
      <c r="CA30" s="70"/>
      <c r="CB30" s="70"/>
      <c r="CC30" s="42" t="s">
        <v>127</v>
      </c>
      <c r="CD30" s="70">
        <v>12</v>
      </c>
      <c r="CE30" s="769">
        <v>7.333333333333333</v>
      </c>
      <c r="CF30" s="70">
        <v>6</v>
      </c>
      <c r="CG30" s="769">
        <f t="shared" si="3"/>
        <v>1.333333333333333</v>
      </c>
      <c r="CH30" s="42"/>
      <c r="CI30" s="42"/>
      <c r="CJ30" s="859"/>
      <c r="CK30" s="860"/>
      <c r="CL30" s="859" t="s">
        <v>127</v>
      </c>
      <c r="CM30" s="861">
        <v>6.375</v>
      </c>
      <c r="CN30" s="860">
        <v>24</v>
      </c>
      <c r="CO30" s="862">
        <v>6</v>
      </c>
      <c r="CP30" s="861">
        <f>CM30-6</f>
        <v>0.375</v>
      </c>
    </row>
    <row r="31" spans="1:94">
      <c r="A31" s="41"/>
      <c r="B31" s="41"/>
      <c r="C31" s="41" t="s">
        <v>795</v>
      </c>
      <c r="D31" s="1496">
        <v>8.33</v>
      </c>
      <c r="E31" s="105">
        <v>6</v>
      </c>
      <c r="F31" s="1431">
        <f t="shared" si="13"/>
        <v>2.33</v>
      </c>
      <c r="G31" s="107">
        <v>6</v>
      </c>
      <c r="I31" s="41"/>
      <c r="J31" s="107"/>
      <c r="K31" s="41" t="s">
        <v>123</v>
      </c>
      <c r="L31" s="1496">
        <v>7.33</v>
      </c>
      <c r="M31" s="105">
        <v>3</v>
      </c>
      <c r="N31" s="1431">
        <f t="shared" si="14"/>
        <v>1.33</v>
      </c>
      <c r="O31" s="107">
        <v>6</v>
      </c>
      <c r="S31" s="44" t="s">
        <v>124</v>
      </c>
      <c r="T31" s="4243">
        <v>9.33</v>
      </c>
      <c r="U31" s="4243">
        <v>3</v>
      </c>
      <c r="V31" s="4778">
        <f t="shared" si="15"/>
        <v>3.33</v>
      </c>
      <c r="W31" s="4243">
        <v>6</v>
      </c>
      <c r="Y31" s="42"/>
      <c r="Z31" s="42"/>
      <c r="AA31" s="42" t="s">
        <v>124</v>
      </c>
      <c r="AB31" s="769">
        <v>6.33</v>
      </c>
      <c r="AC31" s="70">
        <v>6</v>
      </c>
      <c r="AD31" s="912">
        <f t="shared" si="4"/>
        <v>0.33000000000000007</v>
      </c>
      <c r="AE31" s="2482">
        <v>6</v>
      </c>
      <c r="AG31" s="42"/>
      <c r="AH31" s="42"/>
      <c r="AI31" s="42" t="s">
        <v>124</v>
      </c>
      <c r="AJ31" s="769">
        <v>10.25</v>
      </c>
      <c r="AK31" s="70">
        <v>4</v>
      </c>
      <c r="AL31" s="144">
        <f t="shared" si="1"/>
        <v>4.25</v>
      </c>
      <c r="AN31" s="107"/>
      <c r="AO31" s="107"/>
      <c r="AP31" s="968" t="s">
        <v>544</v>
      </c>
      <c r="AQ31" s="969">
        <v>8.9</v>
      </c>
      <c r="AR31" s="145">
        <v>63</v>
      </c>
      <c r="AS31" s="875">
        <f>+(AR24*AS24+AR25*AS25+AR26*AS26+AR27*AS27+AR28*AS28+AR29*AS29+AR30*AS30)/AR31</f>
        <v>2.9049206349206349</v>
      </c>
      <c r="AT31" s="1"/>
      <c r="AU31" s="1424"/>
      <c r="AV31" s="1424" t="s">
        <v>16</v>
      </c>
      <c r="AW31" s="1425" t="s">
        <v>125</v>
      </c>
      <c r="AX31" s="1426">
        <v>11.5</v>
      </c>
      <c r="AY31" s="1427">
        <v>2</v>
      </c>
      <c r="AZ31" s="144">
        <f t="shared" si="6"/>
        <v>5.5</v>
      </c>
      <c r="BB31" s="849"/>
      <c r="BC31" s="849"/>
      <c r="BD31" s="850" t="s">
        <v>127</v>
      </c>
      <c r="BE31" s="851">
        <v>6.2608695652173916</v>
      </c>
      <c r="BF31" s="852">
        <v>23</v>
      </c>
      <c r="BG31" s="853">
        <f t="shared" si="7"/>
        <v>0.26086956521739157</v>
      </c>
      <c r="BI31" s="688"/>
      <c r="BJ31" s="688"/>
      <c r="BK31" s="688"/>
      <c r="BL31" s="457" t="s">
        <v>131</v>
      </c>
      <c r="BM31" s="459">
        <v>8.6666666666666661</v>
      </c>
      <c r="BN31" s="458">
        <v>12</v>
      </c>
      <c r="BO31" s="765">
        <v>1.9694638556693229</v>
      </c>
      <c r="BP31" s="459">
        <f t="shared" si="11"/>
        <v>2.6666666666666661</v>
      </c>
      <c r="BR31" s="855"/>
      <c r="BS31" s="855"/>
      <c r="BT31" s="856" t="s">
        <v>128</v>
      </c>
      <c r="BU31" s="857">
        <v>7</v>
      </c>
      <c r="BV31" s="857">
        <f>BU31-CF30</f>
        <v>1</v>
      </c>
      <c r="BW31" s="858">
        <v>6</v>
      </c>
      <c r="BX31" s="857">
        <v>7</v>
      </c>
      <c r="BY31" s="857">
        <f>BX31-CF31</f>
        <v>1</v>
      </c>
      <c r="CA31" s="70"/>
      <c r="CB31" s="70"/>
      <c r="CC31" s="42" t="s">
        <v>128</v>
      </c>
      <c r="CD31" s="70">
        <v>9</v>
      </c>
      <c r="CE31" s="769">
        <v>7.666666666666667</v>
      </c>
      <c r="CF31" s="70">
        <v>6</v>
      </c>
      <c r="CG31" s="769">
        <f t="shared" si="3"/>
        <v>1.666666666666667</v>
      </c>
      <c r="CH31" s="867">
        <f>AVERAGE(CG26:CG31)</f>
        <v>8.9203703703703709</v>
      </c>
      <c r="CI31" s="42"/>
      <c r="CJ31" s="859"/>
      <c r="CK31" s="860"/>
      <c r="CL31" s="859" t="s">
        <v>128</v>
      </c>
      <c r="CM31" s="861">
        <v>7</v>
      </c>
      <c r="CN31" s="860">
        <v>13</v>
      </c>
      <c r="CO31" s="862">
        <v>6</v>
      </c>
      <c r="CP31" s="861">
        <f>CM31-6</f>
        <v>1</v>
      </c>
    </row>
    <row r="32" spans="1:94">
      <c r="A32" s="41"/>
      <c r="B32" s="41"/>
      <c r="C32" s="461" t="s">
        <v>544</v>
      </c>
      <c r="D32" s="1511">
        <v>8.08</v>
      </c>
      <c r="E32" s="5501">
        <v>53</v>
      </c>
      <c r="F32" s="1989">
        <f>+(E25*F25+E26*F26+E27*F27+E28*F28+E29*F29+E30*F30+E31*F31)/E32</f>
        <v>2.0743396226415096</v>
      </c>
      <c r="G32" s="107">
        <v>6</v>
      </c>
      <c r="I32" s="41"/>
      <c r="J32" s="107"/>
      <c r="K32" s="41" t="s">
        <v>124</v>
      </c>
      <c r="L32" s="1496">
        <v>9.67</v>
      </c>
      <c r="M32" s="105">
        <v>6</v>
      </c>
      <c r="N32" s="1431">
        <f t="shared" si="14"/>
        <v>3.67</v>
      </c>
      <c r="O32" s="107">
        <v>6</v>
      </c>
      <c r="S32" s="44" t="s">
        <v>417</v>
      </c>
      <c r="T32" s="4243">
        <v>7.5</v>
      </c>
      <c r="U32" s="4243">
        <v>6</v>
      </c>
      <c r="V32" s="4778">
        <f t="shared" si="15"/>
        <v>1.5</v>
      </c>
      <c r="W32" s="4243">
        <v>6</v>
      </c>
      <c r="Y32" s="42"/>
      <c r="Z32" s="42"/>
      <c r="AA32" s="42" t="s">
        <v>417</v>
      </c>
      <c r="AB32" s="769">
        <v>9.44</v>
      </c>
      <c r="AC32" s="70">
        <v>9</v>
      </c>
      <c r="AD32" s="912">
        <f t="shared" si="4"/>
        <v>3.4399999999999995</v>
      </c>
      <c r="AE32" s="2482">
        <v>6</v>
      </c>
      <c r="AG32" s="42"/>
      <c r="AH32" s="42"/>
      <c r="AI32" s="42" t="s">
        <v>417</v>
      </c>
      <c r="AJ32" s="769">
        <v>8</v>
      </c>
      <c r="AK32" s="70">
        <v>10</v>
      </c>
      <c r="AL32" s="144">
        <f t="shared" si="1"/>
        <v>2</v>
      </c>
      <c r="AN32" s="107"/>
      <c r="AO32" s="107" t="s">
        <v>16</v>
      </c>
      <c r="AP32" s="47" t="s">
        <v>107</v>
      </c>
      <c r="AQ32" s="144">
        <v>3</v>
      </c>
      <c r="AR32" s="107">
        <v>10</v>
      </c>
      <c r="AS32" s="144">
        <f t="shared" si="5"/>
        <v>-3</v>
      </c>
      <c r="AT32" s="1"/>
      <c r="AU32" s="1424"/>
      <c r="AV32" s="1424"/>
      <c r="AW32" s="1425" t="s">
        <v>126</v>
      </c>
      <c r="AX32" s="1426">
        <v>8.0833333333333321</v>
      </c>
      <c r="AY32" s="1427">
        <v>12</v>
      </c>
      <c r="AZ32" s="144">
        <f t="shared" si="6"/>
        <v>2.0833333333333321</v>
      </c>
      <c r="BB32" s="849"/>
      <c r="BC32" s="849"/>
      <c r="BD32" s="850" t="s">
        <v>128</v>
      </c>
      <c r="BE32" s="851">
        <v>6.0588235294117645</v>
      </c>
      <c r="BF32" s="852">
        <v>17</v>
      </c>
      <c r="BG32" s="853">
        <f t="shared" si="7"/>
        <v>5.8823529411764497E-2</v>
      </c>
      <c r="BI32" s="688"/>
      <c r="BJ32" s="688"/>
      <c r="BK32" s="688"/>
      <c r="BL32" s="784" t="s">
        <v>547</v>
      </c>
      <c r="BM32" s="462">
        <v>7.9807692307692326</v>
      </c>
      <c r="BN32" s="463">
        <v>52</v>
      </c>
      <c r="BO32" s="785">
        <v>2.128152882384017</v>
      </c>
      <c r="BP32" s="863">
        <f>+(BN29*BP29+BN30*BP30+BN31*BP31)/BN32</f>
        <v>1.9807692307692319</v>
      </c>
      <c r="BS32" s="855"/>
      <c r="BT32" s="864" t="s">
        <v>545</v>
      </c>
      <c r="BU32" s="863">
        <v>7.6031746031746037</v>
      </c>
      <c r="BV32" s="863">
        <f>+(BW27*BV27+BW28*BV28+BW29*BV29+BW30*BV30+BW31*BV31)/BW32</f>
        <v>1.6031746031746033</v>
      </c>
      <c r="BW32" s="865">
        <v>63</v>
      </c>
      <c r="BX32" s="863">
        <v>8.0158730158730176</v>
      </c>
      <c r="BY32" s="863">
        <f>+(BW27*BY27+BW28*BY28+29*BY29+BW30*BY30+BW31*BY31)/BW32</f>
        <v>2.258297258297258</v>
      </c>
      <c r="CA32" s="70"/>
      <c r="CB32" s="70"/>
      <c r="CC32" s="484" t="s">
        <v>15</v>
      </c>
      <c r="CD32" s="454">
        <v>98</v>
      </c>
      <c r="CE32" s="782">
        <v>8.8265306122448948</v>
      </c>
      <c r="CF32" s="454"/>
      <c r="CG32" s="782">
        <f>+(CD26*CG26+CD27*CG27+CD28*CG28+CD29*CG29+CD30*CG30+CD31*CG31)/CD32</f>
        <v>2.8265306122448957</v>
      </c>
      <c r="CH32" s="42"/>
      <c r="CI32" s="42"/>
      <c r="CJ32" s="859"/>
      <c r="CK32" s="860"/>
      <c r="CL32" s="860" t="s">
        <v>15</v>
      </c>
      <c r="CM32" s="861">
        <v>9.5176470588235329</v>
      </c>
      <c r="CN32" s="860">
        <v>85</v>
      </c>
      <c r="CO32" s="862"/>
      <c r="CP32" s="869">
        <f>AVERAGE(CP26:CP31)</f>
        <v>6.361519607843138</v>
      </c>
    </row>
    <row r="33" spans="1:94">
      <c r="A33" s="41"/>
      <c r="B33" s="41" t="s">
        <v>16</v>
      </c>
      <c r="C33" s="41" t="s">
        <v>107</v>
      </c>
      <c r="D33" s="1496">
        <v>3.11</v>
      </c>
      <c r="E33" s="105">
        <v>9</v>
      </c>
      <c r="F33" s="144">
        <f>D33-G33</f>
        <v>0.10999999999999988</v>
      </c>
      <c r="G33" s="107">
        <v>3</v>
      </c>
      <c r="I33" s="41"/>
      <c r="J33" s="107"/>
      <c r="K33" s="41" t="s">
        <v>417</v>
      </c>
      <c r="L33" s="1496">
        <v>7.75</v>
      </c>
      <c r="M33" s="105">
        <v>8</v>
      </c>
      <c r="N33" s="1431">
        <f t="shared" si="14"/>
        <v>1.75</v>
      </c>
      <c r="O33" s="107">
        <v>6</v>
      </c>
      <c r="S33" s="44" t="s">
        <v>795</v>
      </c>
      <c r="T33" s="4243">
        <v>9.89</v>
      </c>
      <c r="U33" s="4243">
        <v>9</v>
      </c>
      <c r="V33" s="4778">
        <f t="shared" si="15"/>
        <v>3.8900000000000006</v>
      </c>
      <c r="W33" s="4243">
        <v>6</v>
      </c>
      <c r="Y33" s="42"/>
      <c r="Z33" s="42"/>
      <c r="AA33" s="42" t="s">
        <v>795</v>
      </c>
      <c r="AB33" s="769">
        <v>8.3000000000000007</v>
      </c>
      <c r="AC33" s="70">
        <v>27</v>
      </c>
      <c r="AD33" s="912">
        <f t="shared" si="4"/>
        <v>2.3000000000000007</v>
      </c>
      <c r="AE33" s="2482">
        <v>6</v>
      </c>
      <c r="AG33" s="42"/>
      <c r="AH33" s="42"/>
      <c r="AI33" s="42" t="s">
        <v>795</v>
      </c>
      <c r="AJ33" s="769">
        <v>8.6</v>
      </c>
      <c r="AK33" s="70">
        <v>10</v>
      </c>
      <c r="AL33" s="144">
        <f t="shared" si="1"/>
        <v>2.5999999999999996</v>
      </c>
      <c r="AN33" s="107"/>
      <c r="AO33" s="107"/>
      <c r="AP33" s="47" t="s">
        <v>125</v>
      </c>
      <c r="AQ33" s="144">
        <v>6</v>
      </c>
      <c r="AR33" s="107">
        <v>8</v>
      </c>
      <c r="AS33" s="144">
        <f t="shared" si="5"/>
        <v>0</v>
      </c>
      <c r="AT33" s="1"/>
      <c r="AU33" s="1424"/>
      <c r="AV33" s="1424"/>
      <c r="AW33" s="1425" t="s">
        <v>127</v>
      </c>
      <c r="AX33" s="1426">
        <v>8.25</v>
      </c>
      <c r="AY33" s="1427">
        <v>4</v>
      </c>
      <c r="AZ33" s="144">
        <f t="shared" si="6"/>
        <v>2.25</v>
      </c>
      <c r="BB33" s="849"/>
      <c r="BC33" s="849"/>
      <c r="BD33" s="872" t="s">
        <v>545</v>
      </c>
      <c r="BE33" s="873">
        <v>6.8070175438596472</v>
      </c>
      <c r="BF33" s="874">
        <v>114</v>
      </c>
      <c r="BG33" s="875">
        <f>+(BF28*BG28+BF29*BG29+BF30*BG30+BF31*BG31+BF32*BG32)/BF33</f>
        <v>1.2017543859649138</v>
      </c>
      <c r="BI33" s="688"/>
      <c r="BJ33" s="688"/>
      <c r="BK33" s="688"/>
      <c r="BL33" s="878" t="s">
        <v>110</v>
      </c>
      <c r="BM33" s="879">
        <v>8.0718232044198892</v>
      </c>
      <c r="BN33" s="880">
        <v>181</v>
      </c>
      <c r="BO33" s="881">
        <v>1.8044178783421485</v>
      </c>
      <c r="BP33" s="882">
        <f>+(BN23*BP23+BN28*BP28+BN32*BP32)/BN33</f>
        <v>2.0718232044198905</v>
      </c>
      <c r="BR33" s="855"/>
      <c r="BS33" s="855" t="s">
        <v>41</v>
      </c>
      <c r="BT33" s="856" t="s">
        <v>129</v>
      </c>
      <c r="BU33" s="857">
        <v>8.0666666666666682</v>
      </c>
      <c r="BV33" s="857">
        <f>BU33-CF32</f>
        <v>8.0666666666666682</v>
      </c>
      <c r="BW33" s="858">
        <v>15</v>
      </c>
      <c r="BX33" s="857">
        <v>8.8000000000000007</v>
      </c>
      <c r="BY33" s="857">
        <f>BX33-CF33</f>
        <v>2.8000000000000007</v>
      </c>
      <c r="CA33" s="70"/>
      <c r="CB33" s="70" t="s">
        <v>41</v>
      </c>
      <c r="CC33" s="42" t="s">
        <v>129</v>
      </c>
      <c r="CD33" s="70">
        <v>16</v>
      </c>
      <c r="CE33" s="769">
        <v>6.875</v>
      </c>
      <c r="CF33" s="70">
        <v>6</v>
      </c>
      <c r="CG33" s="769">
        <f t="shared" si="3"/>
        <v>0.875</v>
      </c>
      <c r="CH33" s="42"/>
      <c r="CI33" s="42"/>
      <c r="CJ33" s="859"/>
      <c r="CK33" s="860" t="s">
        <v>41</v>
      </c>
      <c r="CL33" s="859" t="s">
        <v>443</v>
      </c>
      <c r="CM33" s="861">
        <v>9</v>
      </c>
      <c r="CN33" s="860">
        <v>2</v>
      </c>
      <c r="CO33" s="862">
        <v>6</v>
      </c>
      <c r="CP33" s="861">
        <f>CM33-6</f>
        <v>3</v>
      </c>
    </row>
    <row r="34" spans="1:94">
      <c r="A34" s="41"/>
      <c r="B34" s="41"/>
      <c r="C34" s="41" t="s">
        <v>125</v>
      </c>
      <c r="D34" s="1496">
        <v>6.8</v>
      </c>
      <c r="E34" s="105">
        <v>5</v>
      </c>
      <c r="F34" s="1431">
        <f t="shared" ref="F34:F38" si="16">D34-6</f>
        <v>0.79999999999999982</v>
      </c>
      <c r="G34" s="107">
        <v>6</v>
      </c>
      <c r="I34" s="41"/>
      <c r="J34" s="107"/>
      <c r="K34" s="41" t="s">
        <v>795</v>
      </c>
      <c r="L34" s="1496">
        <v>9.91</v>
      </c>
      <c r="M34" s="105">
        <v>11</v>
      </c>
      <c r="N34" s="1431">
        <f t="shared" si="14"/>
        <v>3.91</v>
      </c>
      <c r="O34" s="107">
        <v>6</v>
      </c>
      <c r="S34" s="4716" t="s">
        <v>544</v>
      </c>
      <c r="T34" s="4723">
        <v>8.91</v>
      </c>
      <c r="U34" s="4723">
        <v>44</v>
      </c>
      <c r="V34" s="4771">
        <f>+(U27*V27+U28*V28+U29*V29+U30*V30+U31*V31+U32*V32+U33*V33)/U34</f>
        <v>2.9079545454545452</v>
      </c>
      <c r="W34" s="4243"/>
      <c r="Y34" s="42"/>
      <c r="Z34" s="42"/>
      <c r="AA34" s="484" t="s">
        <v>544</v>
      </c>
      <c r="AB34" s="782">
        <v>8.14</v>
      </c>
      <c r="AC34" s="2479">
        <v>93</v>
      </c>
      <c r="AD34" s="875">
        <f>+(AC27*AD27+AC28*AD28+AC29*AD29+AC30*AD30+AC31*AD31+AC32*AD32+AC33*AD33)/AC34</f>
        <v>2.1398924731182798</v>
      </c>
      <c r="AE34" s="2482"/>
      <c r="AG34" s="42"/>
      <c r="AH34" s="42"/>
      <c r="AI34" s="484" t="s">
        <v>544</v>
      </c>
      <c r="AJ34" s="782">
        <v>8.1999999999999993</v>
      </c>
      <c r="AK34" s="454">
        <v>82</v>
      </c>
      <c r="AL34" s="875">
        <f>+(AK27*AL27+AK28*AL28+AK29*AL29+AK30*AL30+AK31*AL31+AK32*AL32+AK33*AL33)/AK34</f>
        <v>2.1942682926829269</v>
      </c>
      <c r="AN34" s="107"/>
      <c r="AO34" s="107"/>
      <c r="AP34" s="47" t="s">
        <v>126</v>
      </c>
      <c r="AQ34" s="144">
        <v>7.34</v>
      </c>
      <c r="AR34" s="107">
        <v>41</v>
      </c>
      <c r="AS34" s="144">
        <f t="shared" si="5"/>
        <v>1.3399999999999999</v>
      </c>
      <c r="AT34" s="1"/>
      <c r="AU34" s="1424"/>
      <c r="AV34" s="1424"/>
      <c r="AW34" s="1425" t="s">
        <v>128</v>
      </c>
      <c r="AX34" s="1426">
        <v>6.666666666666667</v>
      </c>
      <c r="AY34" s="1427">
        <v>9</v>
      </c>
      <c r="AZ34" s="144">
        <f t="shared" si="6"/>
        <v>0.66666666666666696</v>
      </c>
      <c r="BB34" s="849"/>
      <c r="BC34" s="849" t="s">
        <v>41</v>
      </c>
      <c r="BD34" s="850" t="s">
        <v>443</v>
      </c>
      <c r="BE34" s="851">
        <v>7.5</v>
      </c>
      <c r="BF34" s="852">
        <v>12</v>
      </c>
      <c r="BG34" s="853">
        <f t="shared" si="7"/>
        <v>1.5</v>
      </c>
      <c r="BI34" s="688"/>
      <c r="BJ34" s="688" t="s">
        <v>48</v>
      </c>
      <c r="BK34" s="688" t="s">
        <v>16</v>
      </c>
      <c r="BL34" s="457" t="s">
        <v>132</v>
      </c>
      <c r="BM34" s="459">
        <v>7.75</v>
      </c>
      <c r="BN34" s="458">
        <v>16</v>
      </c>
      <c r="BO34" s="765">
        <v>2.2360679774997894</v>
      </c>
      <c r="BP34" s="459">
        <f>BM34-6</f>
        <v>1.75</v>
      </c>
      <c r="BR34" s="855"/>
      <c r="BS34" s="855"/>
      <c r="BT34" s="856" t="s">
        <v>130</v>
      </c>
      <c r="BU34" s="857">
        <v>8.3913043478260896</v>
      </c>
      <c r="BV34" s="857">
        <f>BU34-CF33</f>
        <v>2.3913043478260896</v>
      </c>
      <c r="BW34" s="858">
        <v>23</v>
      </c>
      <c r="BX34" s="857">
        <v>8.3913043478260896</v>
      </c>
      <c r="BY34" s="857">
        <f>BX34-CF34</f>
        <v>2.3913043478260896</v>
      </c>
      <c r="CA34" s="70"/>
      <c r="CB34" s="70"/>
      <c r="CC34" s="42" t="s">
        <v>130</v>
      </c>
      <c r="CD34" s="70">
        <v>18</v>
      </c>
      <c r="CE34" s="769">
        <v>7.6111111111111116</v>
      </c>
      <c r="CF34" s="70">
        <v>6</v>
      </c>
      <c r="CG34" s="769">
        <f t="shared" si="3"/>
        <v>1.6111111111111116</v>
      </c>
      <c r="CH34" s="42"/>
      <c r="CI34" s="42"/>
      <c r="CJ34" s="859"/>
      <c r="CK34" s="860"/>
      <c r="CL34" s="859" t="s">
        <v>129</v>
      </c>
      <c r="CM34" s="861">
        <v>10.333333333333332</v>
      </c>
      <c r="CN34" s="860">
        <v>27</v>
      </c>
      <c r="CO34" s="862">
        <v>6</v>
      </c>
      <c r="CP34" s="861">
        <f>CM34-6</f>
        <v>4.3333333333333321</v>
      </c>
    </row>
    <row r="35" spans="1:94">
      <c r="A35" s="41"/>
      <c r="B35" s="41"/>
      <c r="C35" s="41" t="s">
        <v>126</v>
      </c>
      <c r="D35" s="1496">
        <v>6</v>
      </c>
      <c r="E35" s="105">
        <v>1</v>
      </c>
      <c r="F35" s="1431">
        <f t="shared" si="16"/>
        <v>0</v>
      </c>
      <c r="G35" s="107">
        <v>6</v>
      </c>
      <c r="I35" s="41"/>
      <c r="J35" s="107"/>
      <c r="K35" s="461" t="s">
        <v>544</v>
      </c>
      <c r="L35" s="1511">
        <v>8.7799999999999994</v>
      </c>
      <c r="M35" s="4686">
        <v>67</v>
      </c>
      <c r="N35" s="1989">
        <f>+(M28*N28+M29*N29+M30*N30+M31*N31+M32*N32+M33*N33+M34*N34)/M35</f>
        <v>2.7774626865671639</v>
      </c>
      <c r="O35" s="107"/>
      <c r="R35" s="44" t="s">
        <v>16</v>
      </c>
      <c r="S35" s="44" t="s">
        <v>125</v>
      </c>
      <c r="T35" s="4243">
        <v>6</v>
      </c>
      <c r="U35" s="4243">
        <v>16</v>
      </c>
      <c r="V35" s="4778">
        <f t="shared" si="15"/>
        <v>0</v>
      </c>
      <c r="W35" s="4243">
        <v>6</v>
      </c>
      <c r="Y35" s="42"/>
      <c r="Z35" s="42" t="s">
        <v>16</v>
      </c>
      <c r="AA35" s="42" t="s">
        <v>107</v>
      </c>
      <c r="AB35" s="769">
        <v>3</v>
      </c>
      <c r="AC35" s="70">
        <v>10</v>
      </c>
      <c r="AD35" s="912">
        <f t="shared" si="4"/>
        <v>0</v>
      </c>
      <c r="AE35" s="2482">
        <v>3</v>
      </c>
      <c r="AG35" s="42"/>
      <c r="AH35" s="42" t="s">
        <v>16</v>
      </c>
      <c r="AI35" s="42" t="s">
        <v>107</v>
      </c>
      <c r="AJ35" s="769">
        <v>4</v>
      </c>
      <c r="AK35" s="70">
        <v>4</v>
      </c>
      <c r="AL35" s="144">
        <f t="shared" si="1"/>
        <v>-2</v>
      </c>
      <c r="AN35" s="107"/>
      <c r="AO35" s="107"/>
      <c r="AP35" s="47" t="s">
        <v>127</v>
      </c>
      <c r="AQ35" s="144">
        <v>6.19</v>
      </c>
      <c r="AR35" s="107">
        <v>16</v>
      </c>
      <c r="AS35" s="144">
        <f t="shared" si="5"/>
        <v>0.19000000000000039</v>
      </c>
      <c r="AT35" s="1"/>
      <c r="AU35" s="1424"/>
      <c r="AV35" s="1424"/>
      <c r="AW35" s="1428" t="s">
        <v>545</v>
      </c>
      <c r="AX35" s="1429">
        <v>7.8888888888888902</v>
      </c>
      <c r="AY35" s="1430">
        <v>27</v>
      </c>
      <c r="AZ35" s="875">
        <f>+(AY31*AZ31+AY32*AZ32+AY33*AZ33+AY34*AZ34)/AY35</f>
        <v>1.8888888888888884</v>
      </c>
      <c r="BB35" s="849"/>
      <c r="BC35" s="849"/>
      <c r="BD35" s="850" t="s">
        <v>129</v>
      </c>
      <c r="BE35" s="851">
        <v>7.0000000000000009</v>
      </c>
      <c r="BF35" s="852">
        <v>13</v>
      </c>
      <c r="BG35" s="853">
        <f t="shared" si="7"/>
        <v>1.0000000000000009</v>
      </c>
      <c r="BI35" s="688"/>
      <c r="BJ35" s="688"/>
      <c r="BK35" s="688"/>
      <c r="BL35" s="457" t="s">
        <v>133</v>
      </c>
      <c r="BM35" s="459">
        <v>6</v>
      </c>
      <c r="BN35" s="458">
        <v>6</v>
      </c>
      <c r="BO35" s="765">
        <v>0</v>
      </c>
      <c r="BP35" s="459">
        <f t="shared" ref="BP35:BP55" si="17">BM35-6</f>
        <v>0</v>
      </c>
      <c r="BR35" s="855"/>
      <c r="BS35" s="855"/>
      <c r="BT35" s="856" t="s">
        <v>131</v>
      </c>
      <c r="BU35" s="857">
        <v>11.428571428571429</v>
      </c>
      <c r="BV35" s="857">
        <f>BU35-CF34</f>
        <v>5.4285714285714288</v>
      </c>
      <c r="BW35" s="858">
        <v>7</v>
      </c>
      <c r="BX35" s="857">
        <v>11.428571428571429</v>
      </c>
      <c r="BY35" s="857">
        <f>BX35-CF35</f>
        <v>5.4285714285714288</v>
      </c>
      <c r="CA35" s="70"/>
      <c r="CB35" s="70"/>
      <c r="CC35" s="42" t="s">
        <v>131</v>
      </c>
      <c r="CD35" s="70">
        <v>13</v>
      </c>
      <c r="CE35" s="769">
        <v>9.615384615384615</v>
      </c>
      <c r="CF35" s="70">
        <v>6</v>
      </c>
      <c r="CG35" s="769">
        <f t="shared" si="3"/>
        <v>3.615384615384615</v>
      </c>
      <c r="CH35" s="867">
        <f>AVERAGE(CG33:CG35)</f>
        <v>2.033831908831909</v>
      </c>
      <c r="CI35" s="42"/>
      <c r="CJ35" s="859"/>
      <c r="CK35" s="860"/>
      <c r="CL35" s="859" t="s">
        <v>130</v>
      </c>
      <c r="CM35" s="861">
        <v>11.384615384615387</v>
      </c>
      <c r="CN35" s="860">
        <v>13</v>
      </c>
      <c r="CO35" s="862">
        <v>6</v>
      </c>
      <c r="CP35" s="861">
        <f>CM35-6</f>
        <v>5.3846153846153868</v>
      </c>
    </row>
    <row r="36" spans="1:94">
      <c r="A36" s="41"/>
      <c r="B36" s="41"/>
      <c r="C36" s="41" t="s">
        <v>127</v>
      </c>
      <c r="D36" s="1496">
        <v>6</v>
      </c>
      <c r="E36" s="105">
        <v>13</v>
      </c>
      <c r="F36" s="1431">
        <f t="shared" si="16"/>
        <v>0</v>
      </c>
      <c r="G36" s="107">
        <v>6</v>
      </c>
      <c r="I36" s="41"/>
      <c r="J36" s="107" t="s">
        <v>16</v>
      </c>
      <c r="K36" s="41" t="s">
        <v>125</v>
      </c>
      <c r="L36" s="1496">
        <v>6.19</v>
      </c>
      <c r="M36" s="105">
        <v>21</v>
      </c>
      <c r="N36" s="1431">
        <f t="shared" ref="N36:N41" si="18">L36-6</f>
        <v>0.19000000000000039</v>
      </c>
      <c r="O36" s="107">
        <v>6</v>
      </c>
      <c r="S36" s="44" t="s">
        <v>126</v>
      </c>
      <c r="T36" s="4243">
        <v>8.11</v>
      </c>
      <c r="U36" s="4243">
        <v>19</v>
      </c>
      <c r="V36" s="4778">
        <f t="shared" si="15"/>
        <v>2.1099999999999994</v>
      </c>
      <c r="W36" s="4243">
        <v>6</v>
      </c>
      <c r="Y36" s="42"/>
      <c r="Z36" s="42"/>
      <c r="AA36" s="42" t="s">
        <v>125</v>
      </c>
      <c r="AB36" s="769">
        <v>10</v>
      </c>
      <c r="AC36" s="70">
        <v>3</v>
      </c>
      <c r="AD36" s="912">
        <f t="shared" si="4"/>
        <v>4</v>
      </c>
      <c r="AE36" s="2482">
        <v>6</v>
      </c>
      <c r="AG36" s="42"/>
      <c r="AH36" s="42"/>
      <c r="AI36" s="42" t="s">
        <v>125</v>
      </c>
      <c r="AJ36" s="769">
        <v>6.46</v>
      </c>
      <c r="AK36" s="70">
        <v>26</v>
      </c>
      <c r="AL36" s="144">
        <f t="shared" si="1"/>
        <v>0.45999999999999996</v>
      </c>
      <c r="AN36" s="107"/>
      <c r="AO36" s="107"/>
      <c r="AP36" s="47" t="s">
        <v>128</v>
      </c>
      <c r="AQ36" s="144">
        <v>6.44</v>
      </c>
      <c r="AR36" s="107">
        <v>9</v>
      </c>
      <c r="AS36" s="144">
        <f t="shared" si="5"/>
        <v>0.44000000000000039</v>
      </c>
      <c r="AT36" s="1"/>
      <c r="AU36" s="1424"/>
      <c r="AV36" s="1424" t="s">
        <v>41</v>
      </c>
      <c r="AW36" s="1425" t="s">
        <v>443</v>
      </c>
      <c r="AX36" s="1426">
        <v>8.3333333333333321</v>
      </c>
      <c r="AY36" s="1427">
        <v>6</v>
      </c>
      <c r="AZ36" s="144">
        <f t="shared" si="6"/>
        <v>2.3333333333333321</v>
      </c>
      <c r="BB36" s="849"/>
      <c r="BC36" s="849"/>
      <c r="BD36" s="850" t="s">
        <v>130</v>
      </c>
      <c r="BE36" s="851">
        <v>7.1052631578947381</v>
      </c>
      <c r="BF36" s="852">
        <v>19</v>
      </c>
      <c r="BG36" s="853">
        <f t="shared" si="7"/>
        <v>1.1052631578947381</v>
      </c>
      <c r="BI36" s="688"/>
      <c r="BJ36" s="688"/>
      <c r="BK36" s="688"/>
      <c r="BL36" s="457" t="s">
        <v>134</v>
      </c>
      <c r="BM36" s="459">
        <v>3</v>
      </c>
      <c r="BN36" s="458">
        <v>1</v>
      </c>
      <c r="BO36" s="689"/>
      <c r="BP36" s="459">
        <f>BM36-3</f>
        <v>0</v>
      </c>
      <c r="BR36" s="855"/>
      <c r="BS36" s="855"/>
      <c r="BT36" s="864" t="s">
        <v>547</v>
      </c>
      <c r="BU36" s="863">
        <v>8.7555555555555529</v>
      </c>
      <c r="BV36" s="863">
        <f>+(BW33*BV33+BW34*BV34+BW35*BV35)/BW36</f>
        <v>4.7555555555555573</v>
      </c>
      <c r="BW36" s="865">
        <v>45</v>
      </c>
      <c r="BX36" s="863">
        <v>8.9999999999999982</v>
      </c>
      <c r="BY36" s="863">
        <f>+(BW33*BY33+BW34*BY34+BW35*BY35)/BW36</f>
        <v>3.0000000000000013</v>
      </c>
      <c r="CA36" s="70"/>
      <c r="CB36" s="70"/>
      <c r="CC36" s="484" t="s">
        <v>15</v>
      </c>
      <c r="CD36" s="454">
        <v>47</v>
      </c>
      <c r="CE36" s="782">
        <v>7.9148936170212769</v>
      </c>
      <c r="CF36" s="454"/>
      <c r="CG36" s="782">
        <f>+(CD33*CG33+CD34*CG34+CD35*CG35)/CD36</f>
        <v>1.9148936170212767</v>
      </c>
      <c r="CH36" s="42"/>
      <c r="CI36" s="42"/>
      <c r="CJ36" s="859"/>
      <c r="CK36" s="860"/>
      <c r="CL36" s="859" t="s">
        <v>131</v>
      </c>
      <c r="CM36" s="861">
        <v>9.4</v>
      </c>
      <c r="CN36" s="860">
        <v>10</v>
      </c>
      <c r="CO36" s="862">
        <v>6</v>
      </c>
      <c r="CP36" s="861">
        <f>CM36-6</f>
        <v>3.4000000000000004</v>
      </c>
    </row>
    <row r="37" spans="1:94">
      <c r="A37" s="41"/>
      <c r="B37" s="41"/>
      <c r="C37" s="41" t="s">
        <v>2278</v>
      </c>
      <c r="D37" s="1496">
        <v>8</v>
      </c>
      <c r="E37" s="105">
        <v>1</v>
      </c>
      <c r="F37" s="1431">
        <f t="shared" si="16"/>
        <v>2</v>
      </c>
      <c r="G37" s="107">
        <v>6</v>
      </c>
      <c r="I37" s="41"/>
      <c r="J37" s="107"/>
      <c r="K37" s="41" t="s">
        <v>126</v>
      </c>
      <c r="L37" s="1496">
        <v>8.11</v>
      </c>
      <c r="M37" s="105">
        <v>19</v>
      </c>
      <c r="N37" s="1431">
        <f t="shared" si="18"/>
        <v>2.1099999999999994</v>
      </c>
      <c r="O37" s="107">
        <v>6</v>
      </c>
      <c r="S37" s="44" t="s">
        <v>127</v>
      </c>
      <c r="T37" s="4243">
        <v>7.5</v>
      </c>
      <c r="U37" s="4243">
        <v>2</v>
      </c>
      <c r="V37" s="4778">
        <f t="shared" si="15"/>
        <v>1.5</v>
      </c>
      <c r="W37" s="4243">
        <v>6</v>
      </c>
      <c r="Y37" s="42"/>
      <c r="Z37" s="42"/>
      <c r="AA37" s="42" t="s">
        <v>126</v>
      </c>
      <c r="AB37" s="769">
        <v>7.14</v>
      </c>
      <c r="AC37" s="70">
        <v>14</v>
      </c>
      <c r="AD37" s="912">
        <f t="shared" si="4"/>
        <v>1.1399999999999997</v>
      </c>
      <c r="AE37" s="2482">
        <v>6</v>
      </c>
      <c r="AG37" s="42"/>
      <c r="AH37" s="42"/>
      <c r="AI37" s="42" t="s">
        <v>126</v>
      </c>
      <c r="AJ37" s="769">
        <v>8.5</v>
      </c>
      <c r="AK37" s="70">
        <v>14</v>
      </c>
      <c r="AL37" s="144">
        <f t="shared" si="1"/>
        <v>2.5</v>
      </c>
      <c r="AN37" s="107"/>
      <c r="AO37" s="107"/>
      <c r="AP37" s="968" t="s">
        <v>545</v>
      </c>
      <c r="AQ37" s="969">
        <v>6.38</v>
      </c>
      <c r="AR37" s="145">
        <v>84</v>
      </c>
      <c r="AS37" s="875">
        <f>+(AR32*AS32+AR33*AS33+AR34*AS34+AR35*AS35+AR36*AS36)/AR37</f>
        <v>0.38023809523809532</v>
      </c>
      <c r="AT37" s="1"/>
      <c r="AU37" s="1424"/>
      <c r="AV37" s="1424"/>
      <c r="AW37" s="1425" t="s">
        <v>129</v>
      </c>
      <c r="AX37" s="1426">
        <v>6.75</v>
      </c>
      <c r="AY37" s="1427">
        <v>20</v>
      </c>
      <c r="AZ37" s="144">
        <f t="shared" si="6"/>
        <v>0.75</v>
      </c>
      <c r="BB37" s="849"/>
      <c r="BC37" s="849"/>
      <c r="BD37" s="850" t="s">
        <v>131</v>
      </c>
      <c r="BE37" s="851">
        <v>9.0000000000000018</v>
      </c>
      <c r="BF37" s="852">
        <v>19</v>
      </c>
      <c r="BG37" s="853">
        <f t="shared" si="7"/>
        <v>3.0000000000000018</v>
      </c>
      <c r="BI37" s="688"/>
      <c r="BJ37" s="688"/>
      <c r="BK37" s="688"/>
      <c r="BL37" s="457" t="s">
        <v>135</v>
      </c>
      <c r="BM37" s="459">
        <v>7.8181818181818192</v>
      </c>
      <c r="BN37" s="458">
        <v>11</v>
      </c>
      <c r="BO37" s="765">
        <v>1.8877596148970777</v>
      </c>
      <c r="BP37" s="459">
        <f t="shared" si="17"/>
        <v>1.8181818181818192</v>
      </c>
      <c r="BR37" s="855"/>
      <c r="BS37" s="855"/>
      <c r="CA37" s="70"/>
      <c r="CB37" s="70"/>
      <c r="CC37" s="484"/>
      <c r="CD37" s="454"/>
      <c r="CE37" s="782"/>
      <c r="CF37" s="454"/>
      <c r="CG37" s="782"/>
      <c r="CH37" s="42"/>
      <c r="CI37" s="42"/>
      <c r="CJ37" s="859"/>
      <c r="CK37" s="860"/>
      <c r="CL37" s="860" t="s">
        <v>15</v>
      </c>
      <c r="CM37" s="861">
        <v>10.365384615384613</v>
      </c>
      <c r="CN37" s="860">
        <v>52</v>
      </c>
      <c r="CO37" s="862"/>
      <c r="CP37" s="869">
        <f>AVERAGE(CP33:CP36)</f>
        <v>4.0294871794871803</v>
      </c>
    </row>
    <row r="38" spans="1:94">
      <c r="A38" s="41"/>
      <c r="B38" s="41"/>
      <c r="C38" s="41" t="s">
        <v>2939</v>
      </c>
      <c r="D38" s="1496">
        <v>7</v>
      </c>
      <c r="E38" s="105">
        <v>1</v>
      </c>
      <c r="F38" s="1431">
        <f t="shared" si="16"/>
        <v>1</v>
      </c>
      <c r="G38" s="107">
        <v>6</v>
      </c>
      <c r="I38" s="41"/>
      <c r="J38" s="107"/>
      <c r="K38" s="41" t="s">
        <v>127</v>
      </c>
      <c r="L38" s="1496">
        <v>7.5</v>
      </c>
      <c r="M38" s="105">
        <v>2</v>
      </c>
      <c r="N38" s="1431">
        <f t="shared" si="18"/>
        <v>1.5</v>
      </c>
      <c r="O38" s="107">
        <v>6</v>
      </c>
      <c r="S38" s="44" t="s">
        <v>128</v>
      </c>
      <c r="T38" s="4243">
        <v>6</v>
      </c>
      <c r="U38" s="4243">
        <v>2</v>
      </c>
      <c r="V38" s="4778">
        <f t="shared" si="15"/>
        <v>0</v>
      </c>
      <c r="W38" s="4243">
        <v>6</v>
      </c>
      <c r="Y38" s="42"/>
      <c r="Z38" s="42"/>
      <c r="AA38" s="42" t="s">
        <v>127</v>
      </c>
      <c r="AB38" s="769">
        <v>6.19</v>
      </c>
      <c r="AC38" s="70">
        <v>16</v>
      </c>
      <c r="AD38" s="912">
        <f t="shared" si="4"/>
        <v>0.19000000000000039</v>
      </c>
      <c r="AE38" s="2482">
        <v>6</v>
      </c>
      <c r="AG38" s="42"/>
      <c r="AH38" s="42"/>
      <c r="AI38" s="42" t="s">
        <v>127</v>
      </c>
      <c r="AJ38" s="769">
        <v>6.4</v>
      </c>
      <c r="AK38" s="70">
        <v>5</v>
      </c>
      <c r="AL38" s="144">
        <f t="shared" si="1"/>
        <v>0.40000000000000036</v>
      </c>
      <c r="AN38" s="107"/>
      <c r="AO38" s="107" t="s">
        <v>41</v>
      </c>
      <c r="AP38" s="47" t="s">
        <v>443</v>
      </c>
      <c r="AQ38" s="144">
        <v>7.46</v>
      </c>
      <c r="AR38" s="107">
        <v>13</v>
      </c>
      <c r="AS38" s="144">
        <f t="shared" si="5"/>
        <v>1.46</v>
      </c>
      <c r="AT38" s="1"/>
      <c r="AU38" s="1424"/>
      <c r="AV38" s="1424"/>
      <c r="AW38" s="1425" t="s">
        <v>130</v>
      </c>
      <c r="AX38" s="1426">
        <v>7.0714285714285703</v>
      </c>
      <c r="AY38" s="1427">
        <v>14</v>
      </c>
      <c r="AZ38" s="144">
        <f t="shared" si="6"/>
        <v>1.0714285714285703</v>
      </c>
      <c r="BB38" s="849"/>
      <c r="BC38" s="849"/>
      <c r="BD38" s="872" t="s">
        <v>547</v>
      </c>
      <c r="BE38" s="873">
        <v>7.7301587301587302</v>
      </c>
      <c r="BF38" s="874">
        <v>63</v>
      </c>
      <c r="BG38" s="875">
        <f t="shared" si="7"/>
        <v>1.7301587301587302</v>
      </c>
      <c r="BH38" s="52"/>
      <c r="BI38" s="688"/>
      <c r="BJ38" s="688"/>
      <c r="BK38" s="688"/>
      <c r="BL38" s="457" t="s">
        <v>136</v>
      </c>
      <c r="BM38" s="459">
        <v>6.125</v>
      </c>
      <c r="BN38" s="458">
        <v>8</v>
      </c>
      <c r="BO38" s="870">
        <v>0.35355339059327379</v>
      </c>
      <c r="BP38" s="459">
        <f t="shared" si="17"/>
        <v>0.125</v>
      </c>
      <c r="BR38" s="883"/>
      <c r="BS38" s="883"/>
      <c r="BT38" s="884"/>
      <c r="BU38" s="882"/>
      <c r="BV38" s="882"/>
      <c r="BW38" s="885"/>
      <c r="BX38" s="882"/>
      <c r="BY38" s="882"/>
      <c r="CA38" s="886"/>
      <c r="CB38" s="886"/>
      <c r="CC38" s="887"/>
      <c r="CD38" s="888"/>
      <c r="CE38" s="889"/>
      <c r="CF38" s="888"/>
      <c r="CG38" s="889"/>
      <c r="CH38" s="42"/>
      <c r="CI38" s="42"/>
      <c r="CJ38" s="890"/>
      <c r="CK38" s="891"/>
      <c r="CL38" s="892" t="s">
        <v>110</v>
      </c>
      <c r="CM38" s="893">
        <v>9.7641025641025614</v>
      </c>
      <c r="CN38" s="894">
        <v>195</v>
      </c>
      <c r="CO38" s="895"/>
      <c r="CP38" s="893">
        <f>AVERAGE(CP25,CP32,CP37)</f>
        <v>4.5267408245349428</v>
      </c>
    </row>
    <row r="39" spans="1:94">
      <c r="A39" s="41"/>
      <c r="B39" s="41"/>
      <c r="C39" s="461" t="s">
        <v>545</v>
      </c>
      <c r="D39" s="1511">
        <v>5.37</v>
      </c>
      <c r="E39" s="5501">
        <v>30</v>
      </c>
      <c r="F39" s="1989">
        <f>+(E33*F33+E34*F34+E35*F35+E36*F36+E37*F37+E38*F38)/E39</f>
        <v>0.26633333333333326</v>
      </c>
      <c r="G39" s="107"/>
      <c r="I39" s="41"/>
      <c r="J39" s="107"/>
      <c r="K39" s="41" t="s">
        <v>128</v>
      </c>
      <c r="L39" s="1496">
        <v>6</v>
      </c>
      <c r="M39" s="105">
        <v>2</v>
      </c>
      <c r="N39" s="1431">
        <f t="shared" si="18"/>
        <v>0</v>
      </c>
      <c r="O39" s="107">
        <v>6</v>
      </c>
      <c r="S39" s="44" t="s">
        <v>2278</v>
      </c>
      <c r="T39" s="4243">
        <v>7</v>
      </c>
      <c r="U39" s="4243">
        <v>2</v>
      </c>
      <c r="V39" s="4778">
        <f t="shared" si="15"/>
        <v>1</v>
      </c>
      <c r="W39" s="4243">
        <v>6</v>
      </c>
      <c r="Y39" s="42"/>
      <c r="Z39" s="42"/>
      <c r="AA39" s="42" t="s">
        <v>128</v>
      </c>
      <c r="AB39" s="769">
        <v>6.33</v>
      </c>
      <c r="AC39" s="70">
        <v>3</v>
      </c>
      <c r="AD39" s="912">
        <f t="shared" si="4"/>
        <v>0.33000000000000007</v>
      </c>
      <c r="AE39" s="2482">
        <v>6</v>
      </c>
      <c r="AG39" s="42"/>
      <c r="AH39" s="42"/>
      <c r="AI39" s="42" t="s">
        <v>128</v>
      </c>
      <c r="AJ39" s="769">
        <v>6</v>
      </c>
      <c r="AK39" s="70">
        <v>7</v>
      </c>
      <c r="AL39" s="144">
        <f t="shared" si="1"/>
        <v>0</v>
      </c>
      <c r="AN39" s="107"/>
      <c r="AO39" s="107"/>
      <c r="AP39" s="47" t="s">
        <v>129</v>
      </c>
      <c r="AQ39" s="144">
        <v>7.3</v>
      </c>
      <c r="AR39" s="107">
        <v>20</v>
      </c>
      <c r="AS39" s="144">
        <f t="shared" si="5"/>
        <v>1.2999999999999998</v>
      </c>
      <c r="AT39" s="1"/>
      <c r="AU39" s="1424"/>
      <c r="AV39" s="1424"/>
      <c r="AW39" s="1425" t="s">
        <v>131</v>
      </c>
      <c r="AX39" s="1426">
        <v>8.5555555555555554</v>
      </c>
      <c r="AY39" s="1427">
        <v>18</v>
      </c>
      <c r="AZ39" s="144">
        <f t="shared" si="6"/>
        <v>2.5555555555555554</v>
      </c>
      <c r="BB39" s="849"/>
      <c r="BC39" s="849"/>
      <c r="BD39" s="896" t="s">
        <v>110</v>
      </c>
      <c r="BE39" s="897">
        <v>7.5742971887550237</v>
      </c>
      <c r="BF39" s="898">
        <v>249</v>
      </c>
      <c r="BG39" s="899">
        <f>+(BF27*BG27+BF33*BG33+BF38*BG38)/BF39</f>
        <v>1.7550200803212861</v>
      </c>
      <c r="BH39" s="52"/>
      <c r="BI39" s="688"/>
      <c r="BJ39" s="688"/>
      <c r="BK39" s="688"/>
      <c r="BL39" s="457" t="s">
        <v>137</v>
      </c>
      <c r="BM39" s="459">
        <v>7.5714285714285712</v>
      </c>
      <c r="BN39" s="458">
        <v>7</v>
      </c>
      <c r="BO39" s="870">
        <v>0.7867957924694432</v>
      </c>
      <c r="BP39" s="459">
        <f t="shared" si="17"/>
        <v>1.5714285714285712</v>
      </c>
      <c r="BR39" s="855" t="s">
        <v>48</v>
      </c>
      <c r="BS39" s="855" t="s">
        <v>16</v>
      </c>
      <c r="CA39" s="70" t="s">
        <v>48</v>
      </c>
      <c r="CB39" s="70" t="s">
        <v>16</v>
      </c>
      <c r="CC39" s="42" t="s">
        <v>1346</v>
      </c>
      <c r="CD39" s="70">
        <v>1</v>
      </c>
      <c r="CE39" s="769">
        <f>1+5</f>
        <v>6</v>
      </c>
      <c r="CF39" s="70">
        <v>6</v>
      </c>
      <c r="CG39" s="769">
        <f t="shared" si="3"/>
        <v>0</v>
      </c>
      <c r="CH39" s="42"/>
      <c r="CI39" s="42"/>
      <c r="CJ39" s="859" t="s">
        <v>48</v>
      </c>
      <c r="CK39" s="860" t="s">
        <v>16</v>
      </c>
      <c r="CL39" s="859" t="s">
        <v>132</v>
      </c>
      <c r="CM39" s="861">
        <v>14.916666666666664</v>
      </c>
      <c r="CN39" s="860">
        <v>12</v>
      </c>
      <c r="CO39" s="862">
        <v>6</v>
      </c>
      <c r="CP39" s="861">
        <f>CM39-6</f>
        <v>8.9166666666666643</v>
      </c>
    </row>
    <row r="40" spans="1:94">
      <c r="A40" s="41"/>
      <c r="B40" s="41" t="s">
        <v>41</v>
      </c>
      <c r="C40" s="41" t="s">
        <v>443</v>
      </c>
      <c r="D40" s="1496">
        <v>7</v>
      </c>
      <c r="E40" s="105">
        <v>10</v>
      </c>
      <c r="F40" s="1431">
        <f>D40-6</f>
        <v>1</v>
      </c>
      <c r="G40" s="107">
        <v>6</v>
      </c>
      <c r="I40" s="41"/>
      <c r="J40" s="107"/>
      <c r="K40" s="41" t="s">
        <v>2278</v>
      </c>
      <c r="L40" s="1496">
        <v>7.33</v>
      </c>
      <c r="M40" s="105">
        <v>3</v>
      </c>
      <c r="N40" s="1431">
        <f t="shared" si="18"/>
        <v>1.33</v>
      </c>
      <c r="O40" s="107">
        <v>6</v>
      </c>
      <c r="S40" s="44" t="s">
        <v>2939</v>
      </c>
      <c r="T40" s="4243">
        <v>6</v>
      </c>
      <c r="U40" s="4243">
        <v>8</v>
      </c>
      <c r="V40" s="4778">
        <f t="shared" si="15"/>
        <v>0</v>
      </c>
      <c r="W40" s="4243">
        <v>6</v>
      </c>
      <c r="Y40" s="42"/>
      <c r="Z40" s="42"/>
      <c r="AA40" s="484" t="s">
        <v>545</v>
      </c>
      <c r="AB40" s="782">
        <v>6.04</v>
      </c>
      <c r="AC40" s="2479">
        <v>46</v>
      </c>
      <c r="AD40" s="875">
        <f>+(AC35*AD35+AC36*AD36+AC37*AD37+AC38*AD38+AC39*AD39)/AC40</f>
        <v>0.69543478260869573</v>
      </c>
      <c r="AE40" s="2482"/>
      <c r="AG40" s="42"/>
      <c r="AH40" s="42"/>
      <c r="AI40" s="484" t="s">
        <v>545</v>
      </c>
      <c r="AJ40" s="782">
        <v>6.73</v>
      </c>
      <c r="AK40" s="454">
        <v>56</v>
      </c>
      <c r="AL40" s="875">
        <f>+(AK35*AL35+AK36*AL36+AK37*AL37+AK38*AL38+AK39*AL39)/AK40</f>
        <v>0.73142857142857143</v>
      </c>
      <c r="AN40" s="107"/>
      <c r="AO40" s="107"/>
      <c r="AP40" s="47" t="s">
        <v>130</v>
      </c>
      <c r="AQ40" s="144">
        <v>6.81</v>
      </c>
      <c r="AR40" s="107">
        <v>16</v>
      </c>
      <c r="AS40" s="144">
        <f t="shared" si="5"/>
        <v>0.80999999999999961</v>
      </c>
      <c r="AT40" s="1"/>
      <c r="AU40" s="1424"/>
      <c r="AV40" s="1424"/>
      <c r="AW40" s="1428" t="s">
        <v>547</v>
      </c>
      <c r="AX40" s="1429">
        <v>7.5517241379310338</v>
      </c>
      <c r="AY40" s="1430">
        <v>58</v>
      </c>
      <c r="AZ40" s="875">
        <f>+(AY36*AZ36+AY37*AZ37+AY38*AZ38+AY39*AZ39)/AY40</f>
        <v>1.551724137931034</v>
      </c>
      <c r="BB40" s="849" t="s">
        <v>48</v>
      </c>
      <c r="BC40" s="849" t="s">
        <v>16</v>
      </c>
      <c r="BD40" s="850" t="s">
        <v>132</v>
      </c>
      <c r="BE40" s="851">
        <v>8</v>
      </c>
      <c r="BF40" s="852">
        <v>5</v>
      </c>
      <c r="BG40" s="853">
        <f t="shared" si="7"/>
        <v>2</v>
      </c>
      <c r="BI40" s="688"/>
      <c r="BJ40" s="688"/>
      <c r="BK40" s="688"/>
      <c r="BL40" s="457" t="s">
        <v>111</v>
      </c>
      <c r="BM40" s="459">
        <v>3.9090909090909087</v>
      </c>
      <c r="BN40" s="458">
        <v>11</v>
      </c>
      <c r="BO40" s="765">
        <v>1.3751033019046572</v>
      </c>
      <c r="BP40" s="459">
        <f>BM40-6</f>
        <v>-2.0909090909090913</v>
      </c>
      <c r="BR40" s="855"/>
      <c r="BS40" s="855"/>
      <c r="BT40" s="856" t="s">
        <v>132</v>
      </c>
      <c r="BU40" s="857">
        <v>8.4285714285714288</v>
      </c>
      <c r="BV40" s="857">
        <f t="shared" ref="BV40:BV47" si="19">BU40-CF40</f>
        <v>2.4285714285714288</v>
      </c>
      <c r="BW40" s="858">
        <v>14</v>
      </c>
      <c r="BX40" s="857">
        <v>9.5</v>
      </c>
      <c r="BY40" s="857">
        <f t="shared" ref="BY40:BY46" si="20">BX40-CF40</f>
        <v>3.5</v>
      </c>
      <c r="CA40" s="70"/>
      <c r="CB40" s="70"/>
      <c r="CC40" s="42" t="s">
        <v>132</v>
      </c>
      <c r="CD40" s="70">
        <v>9</v>
      </c>
      <c r="CE40" s="769">
        <v>11.777777777777779</v>
      </c>
      <c r="CF40" s="70">
        <v>6</v>
      </c>
      <c r="CG40" s="769">
        <f t="shared" si="3"/>
        <v>5.7777777777777786</v>
      </c>
      <c r="CH40" s="42"/>
      <c r="CI40" s="42"/>
      <c r="CJ40" s="859"/>
      <c r="CK40" s="860"/>
      <c r="CL40" s="859" t="s">
        <v>133</v>
      </c>
      <c r="CM40" s="861">
        <v>6.3076923076923075</v>
      </c>
      <c r="CN40" s="860">
        <v>13</v>
      </c>
      <c r="CO40" s="862">
        <v>6</v>
      </c>
      <c r="CP40" s="861">
        <f>CM40-6</f>
        <v>0.30769230769230749</v>
      </c>
    </row>
    <row r="41" spans="1:94">
      <c r="A41" s="41"/>
      <c r="B41" s="41"/>
      <c r="C41" s="41" t="s">
        <v>129</v>
      </c>
      <c r="D41" s="1496">
        <v>6.38</v>
      </c>
      <c r="E41" s="105">
        <v>8</v>
      </c>
      <c r="F41" s="1431">
        <f>D41-6</f>
        <v>0.37999999999999989</v>
      </c>
      <c r="G41" s="107">
        <v>6</v>
      </c>
      <c r="I41" s="41"/>
      <c r="J41" s="107"/>
      <c r="K41" s="41" t="s">
        <v>2939</v>
      </c>
      <c r="L41" s="1496">
        <v>6.11</v>
      </c>
      <c r="M41" s="105">
        <v>9</v>
      </c>
      <c r="N41" s="1431">
        <f t="shared" si="18"/>
        <v>0.11000000000000032</v>
      </c>
      <c r="O41" s="107">
        <v>6</v>
      </c>
      <c r="S41" s="4716" t="s">
        <v>545</v>
      </c>
      <c r="T41" s="4723">
        <v>6.92</v>
      </c>
      <c r="U41" s="4723">
        <v>49</v>
      </c>
      <c r="V41" s="4771">
        <f>+(U35*V35+U36*V36+U37*V37+U38*V38+U39*V39+U40*V40)/U41</f>
        <v>0.92020408163265288</v>
      </c>
      <c r="W41" s="4243"/>
      <c r="Y41" s="42"/>
      <c r="Z41" s="42" t="s">
        <v>41</v>
      </c>
      <c r="AA41" s="42" t="s">
        <v>443</v>
      </c>
      <c r="AB41" s="769">
        <v>7.71</v>
      </c>
      <c r="AC41" s="70">
        <v>14</v>
      </c>
      <c r="AD41" s="912">
        <f t="shared" si="4"/>
        <v>1.71</v>
      </c>
      <c r="AE41" s="2482">
        <v>6</v>
      </c>
      <c r="AG41" s="42"/>
      <c r="AH41" s="42" t="s">
        <v>41</v>
      </c>
      <c r="AI41" s="42" t="s">
        <v>443</v>
      </c>
      <c r="AJ41" s="769">
        <v>7.5</v>
      </c>
      <c r="AK41" s="70">
        <v>10</v>
      </c>
      <c r="AL41" s="144">
        <f t="shared" si="1"/>
        <v>1.5</v>
      </c>
      <c r="AN41" s="107"/>
      <c r="AO41" s="107"/>
      <c r="AP41" s="47" t="s">
        <v>131</v>
      </c>
      <c r="AQ41" s="144">
        <v>9.4600000000000009</v>
      </c>
      <c r="AR41" s="107">
        <v>24</v>
      </c>
      <c r="AS41" s="144">
        <f t="shared" si="5"/>
        <v>3.4600000000000009</v>
      </c>
      <c r="AT41" s="1"/>
      <c r="AU41" s="1424"/>
      <c r="AV41" s="1424"/>
      <c r="AW41" s="1428" t="s">
        <v>110</v>
      </c>
      <c r="AX41" s="1429">
        <v>7.9722222222222276</v>
      </c>
      <c r="AY41" s="1430">
        <v>144</v>
      </c>
      <c r="AZ41" s="1437">
        <f>+(AY30*AZ30+AY36*AZ36+AY40*AZ40)/AY41</f>
        <v>1.7152777777777777</v>
      </c>
      <c r="BB41" s="849"/>
      <c r="BC41" s="849"/>
      <c r="BD41" s="850" t="s">
        <v>133</v>
      </c>
      <c r="BE41" s="851">
        <v>6.625</v>
      </c>
      <c r="BF41" s="852">
        <v>8</v>
      </c>
      <c r="BG41" s="853">
        <f t="shared" si="7"/>
        <v>0.625</v>
      </c>
      <c r="BI41" s="688"/>
      <c r="BJ41" s="688"/>
      <c r="BK41" s="688"/>
      <c r="BL41" s="457" t="s">
        <v>591</v>
      </c>
      <c r="BM41" s="459">
        <v>3</v>
      </c>
      <c r="BN41" s="458">
        <v>8</v>
      </c>
      <c r="BO41" s="765">
        <v>0</v>
      </c>
      <c r="BP41" s="459">
        <f t="shared" si="17"/>
        <v>-3</v>
      </c>
      <c r="BR41" s="855"/>
      <c r="BS41" s="855"/>
      <c r="BT41" s="856" t="s">
        <v>133</v>
      </c>
      <c r="BU41" s="857">
        <v>6</v>
      </c>
      <c r="BV41" s="857">
        <f t="shared" si="19"/>
        <v>0</v>
      </c>
      <c r="BW41" s="858">
        <v>9</v>
      </c>
      <c r="BX41" s="857">
        <v>6</v>
      </c>
      <c r="BY41" s="857">
        <f t="shared" si="20"/>
        <v>0</v>
      </c>
      <c r="CA41" s="70"/>
      <c r="CB41" s="70"/>
      <c r="CC41" s="42" t="s">
        <v>133</v>
      </c>
      <c r="CD41" s="70">
        <v>10</v>
      </c>
      <c r="CE41" s="769">
        <v>10.6</v>
      </c>
      <c r="CF41" s="70">
        <v>6</v>
      </c>
      <c r="CG41" s="769">
        <f t="shared" si="3"/>
        <v>4.5999999999999996</v>
      </c>
      <c r="CH41" s="42"/>
      <c r="CI41" s="42"/>
      <c r="CJ41" s="859"/>
      <c r="CK41" s="860"/>
      <c r="CL41" s="859" t="s">
        <v>134</v>
      </c>
      <c r="CM41" s="861">
        <v>3.2</v>
      </c>
      <c r="CN41" s="860">
        <v>20</v>
      </c>
      <c r="CO41" s="862">
        <v>3</v>
      </c>
      <c r="CP41" s="861">
        <f>CM41-3</f>
        <v>0.20000000000000018</v>
      </c>
    </row>
    <row r="42" spans="1:94">
      <c r="A42" s="41"/>
      <c r="B42" s="41"/>
      <c r="C42" s="41" t="s">
        <v>130</v>
      </c>
      <c r="D42" s="1496">
        <v>6.5</v>
      </c>
      <c r="E42" s="105">
        <v>6</v>
      </c>
      <c r="F42" s="1431">
        <f>D42-6</f>
        <v>0.5</v>
      </c>
      <c r="G42" s="107">
        <v>6</v>
      </c>
      <c r="I42" s="41"/>
      <c r="J42" s="107" t="s">
        <v>41</v>
      </c>
      <c r="K42" s="461" t="s">
        <v>15</v>
      </c>
      <c r="L42" s="1511">
        <v>6.93</v>
      </c>
      <c r="M42" s="4686">
        <v>56</v>
      </c>
      <c r="N42" s="1989">
        <f>+(M36*N36+M37*N37+M38*N38+M39*N39+M40*N40+M41*N41)/M42</f>
        <v>0.92964285714285722</v>
      </c>
      <c r="O42" s="107"/>
      <c r="R42" s="44" t="s">
        <v>41</v>
      </c>
      <c r="S42" s="44" t="s">
        <v>443</v>
      </c>
      <c r="T42" s="4243">
        <v>7.71</v>
      </c>
      <c r="U42" s="4243">
        <v>7</v>
      </c>
      <c r="V42" s="4778">
        <f t="shared" si="15"/>
        <v>1.71</v>
      </c>
      <c r="W42" s="4243">
        <v>6</v>
      </c>
      <c r="Y42" s="42"/>
      <c r="Z42" s="42"/>
      <c r="AA42" s="42" t="s">
        <v>129</v>
      </c>
      <c r="AB42" s="769">
        <v>7</v>
      </c>
      <c r="AC42" s="70">
        <v>13</v>
      </c>
      <c r="AD42" s="912">
        <f t="shared" si="4"/>
        <v>1</v>
      </c>
      <c r="AE42" s="2482">
        <v>6</v>
      </c>
      <c r="AG42" s="42"/>
      <c r="AH42" s="42"/>
      <c r="AI42" s="42" t="s">
        <v>129</v>
      </c>
      <c r="AJ42" s="769">
        <v>6.71</v>
      </c>
      <c r="AK42" s="70">
        <v>14</v>
      </c>
      <c r="AL42" s="144">
        <f t="shared" si="1"/>
        <v>0.71</v>
      </c>
      <c r="AN42" s="107"/>
      <c r="AO42" s="107"/>
      <c r="AP42" s="968" t="s">
        <v>547</v>
      </c>
      <c r="AQ42" s="969">
        <v>7.93</v>
      </c>
      <c r="AR42" s="145">
        <v>73</v>
      </c>
      <c r="AS42" s="875">
        <f>+(AR38*AS38+AR39*AS39+AR40*AS40+AR41*AS41)/AR42</f>
        <v>1.931232876712329</v>
      </c>
      <c r="AT42" s="1"/>
      <c r="AU42" s="1432" t="s">
        <v>48</v>
      </c>
      <c r="AV42" s="1432" t="s">
        <v>16</v>
      </c>
      <c r="AW42" s="1433" t="s">
        <v>132</v>
      </c>
      <c r="AX42" s="1434">
        <v>7.375</v>
      </c>
      <c r="AY42" s="1435">
        <v>8</v>
      </c>
      <c r="AZ42" s="1436">
        <f t="shared" si="6"/>
        <v>1.375</v>
      </c>
      <c r="BB42" s="849"/>
      <c r="BC42" s="849"/>
      <c r="BD42" s="850" t="s">
        <v>135</v>
      </c>
      <c r="BE42" s="851">
        <v>7.1666666666666661</v>
      </c>
      <c r="BF42" s="852">
        <v>12</v>
      </c>
      <c r="BG42" s="853">
        <f t="shared" si="7"/>
        <v>1.1666666666666661</v>
      </c>
      <c r="BI42" s="688"/>
      <c r="BJ42" s="688"/>
      <c r="BK42" s="688"/>
      <c r="BL42" s="784" t="s">
        <v>545</v>
      </c>
      <c r="BM42" s="462">
        <v>6.1470588235294095</v>
      </c>
      <c r="BN42" s="463">
        <v>68</v>
      </c>
      <c r="BO42" s="785">
        <v>2.3325388504857663</v>
      </c>
      <c r="BP42" s="863">
        <f>+(BN34*BP34+BN35*BP35+BN36*BP36+BN37*BP37+BN38*BP38+BN39*BP39+BN40*BP40+BN41*BP41)/BN42</f>
        <v>0.1911764705882355</v>
      </c>
      <c r="BR42" s="855"/>
      <c r="BS42" s="855"/>
      <c r="BT42" s="856" t="s">
        <v>134</v>
      </c>
      <c r="BU42" s="857">
        <v>3</v>
      </c>
      <c r="BV42" s="857">
        <f t="shared" si="19"/>
        <v>-3</v>
      </c>
      <c r="BW42" s="858">
        <v>1</v>
      </c>
      <c r="BX42" s="857">
        <v>3</v>
      </c>
      <c r="BY42" s="857">
        <f t="shared" si="20"/>
        <v>-3</v>
      </c>
      <c r="CA42" s="70"/>
      <c r="CB42" s="70"/>
      <c r="CC42" s="42" t="s">
        <v>134</v>
      </c>
      <c r="CD42" s="70">
        <v>13</v>
      </c>
      <c r="CE42" s="769">
        <v>3.6153846153846154</v>
      </c>
      <c r="CF42" s="70">
        <v>6</v>
      </c>
      <c r="CG42" s="769">
        <f t="shared" si="3"/>
        <v>-2.3846153846153846</v>
      </c>
      <c r="CH42" s="42"/>
      <c r="CI42" s="42"/>
      <c r="CJ42" s="859"/>
      <c r="CK42" s="860"/>
      <c r="CL42" s="859" t="s">
        <v>135</v>
      </c>
      <c r="CM42" s="861">
        <v>6.5</v>
      </c>
      <c r="CN42" s="860">
        <v>18</v>
      </c>
      <c r="CO42" s="862">
        <v>6</v>
      </c>
      <c r="CP42" s="861">
        <f>CM42-6</f>
        <v>0.5</v>
      </c>
    </row>
    <row r="43" spans="1:94">
      <c r="A43" s="41"/>
      <c r="B43" s="41"/>
      <c r="C43" s="41" t="s">
        <v>131</v>
      </c>
      <c r="D43" s="1496">
        <v>7</v>
      </c>
      <c r="E43" s="105">
        <v>2</v>
      </c>
      <c r="F43" s="1431">
        <f>D43-6</f>
        <v>1</v>
      </c>
      <c r="G43" s="107">
        <v>6</v>
      </c>
      <c r="I43" s="41"/>
      <c r="J43" s="107"/>
      <c r="K43" s="41" t="s">
        <v>443</v>
      </c>
      <c r="L43" s="1496">
        <v>7.31</v>
      </c>
      <c r="M43" s="105">
        <v>16</v>
      </c>
      <c r="N43" s="1431">
        <f>L43-6</f>
        <v>1.3099999999999996</v>
      </c>
      <c r="O43" s="107">
        <v>6</v>
      </c>
      <c r="S43" s="44" t="s">
        <v>129</v>
      </c>
      <c r="T43" s="4243">
        <v>6.57</v>
      </c>
      <c r="U43" s="4243">
        <v>14</v>
      </c>
      <c r="V43" s="4778">
        <f t="shared" si="15"/>
        <v>0.57000000000000028</v>
      </c>
      <c r="W43" s="4243">
        <v>6</v>
      </c>
      <c r="Y43" s="42"/>
      <c r="Z43" s="42"/>
      <c r="AA43" s="42" t="s">
        <v>130</v>
      </c>
      <c r="AB43" s="769">
        <v>7.39</v>
      </c>
      <c r="AC43" s="70">
        <v>18</v>
      </c>
      <c r="AD43" s="912">
        <f t="shared" si="4"/>
        <v>1.3899999999999997</v>
      </c>
      <c r="AE43" s="2482">
        <v>6</v>
      </c>
      <c r="AG43" s="42"/>
      <c r="AH43" s="42"/>
      <c r="AI43" s="42" t="s">
        <v>130</v>
      </c>
      <c r="AJ43" s="769">
        <v>7.1</v>
      </c>
      <c r="AK43" s="70">
        <v>10</v>
      </c>
      <c r="AL43" s="144">
        <f t="shared" si="1"/>
        <v>1.0999999999999996</v>
      </c>
      <c r="AN43" s="1676"/>
      <c r="AO43" s="1676"/>
      <c r="AP43" s="1673" t="s">
        <v>110</v>
      </c>
      <c r="AQ43" s="1674">
        <v>7.62</v>
      </c>
      <c r="AR43" s="1675">
        <v>220</v>
      </c>
      <c r="AS43" s="1677">
        <f>+(AR31*AS31+AR37*AS37+AR42*AS42)/AR43</f>
        <v>1.6178636363636365</v>
      </c>
      <c r="AT43" s="1"/>
      <c r="AU43" s="1424"/>
      <c r="AV43" s="1424"/>
      <c r="AW43" s="1425" t="s">
        <v>133</v>
      </c>
      <c r="AX43" s="1426">
        <v>6.3</v>
      </c>
      <c r="AY43" s="1427">
        <v>10</v>
      </c>
      <c r="AZ43" s="144">
        <f t="shared" si="6"/>
        <v>0.29999999999999982</v>
      </c>
      <c r="BB43" s="849"/>
      <c r="BC43" s="849"/>
      <c r="BD43" s="850" t="s">
        <v>136</v>
      </c>
      <c r="BE43" s="851">
        <v>10</v>
      </c>
      <c r="BF43" s="852">
        <v>1</v>
      </c>
      <c r="BG43" s="853">
        <f t="shared" si="7"/>
        <v>4</v>
      </c>
      <c r="BI43" s="688"/>
      <c r="BJ43" s="688"/>
      <c r="BK43" s="688" t="s">
        <v>41</v>
      </c>
      <c r="BL43" s="457" t="s">
        <v>138</v>
      </c>
      <c r="BM43" s="459">
        <v>7</v>
      </c>
      <c r="BN43" s="458">
        <v>3</v>
      </c>
      <c r="BO43" s="765">
        <v>2.6457513110645907</v>
      </c>
      <c r="BP43" s="459">
        <f t="shared" si="17"/>
        <v>1</v>
      </c>
      <c r="BR43" s="855"/>
      <c r="BS43" s="855"/>
      <c r="BT43" s="856" t="s">
        <v>135</v>
      </c>
      <c r="BU43" s="857">
        <v>6.3</v>
      </c>
      <c r="BV43" s="857">
        <f t="shared" si="19"/>
        <v>0.29999999999999982</v>
      </c>
      <c r="BW43" s="858">
        <v>10</v>
      </c>
      <c r="BX43" s="857">
        <v>6.3</v>
      </c>
      <c r="BY43" s="857">
        <f t="shared" si="20"/>
        <v>0.29999999999999982</v>
      </c>
      <c r="CA43" s="70"/>
      <c r="CB43" s="70"/>
      <c r="CC43" s="42" t="s">
        <v>135</v>
      </c>
      <c r="CD43" s="70">
        <v>8</v>
      </c>
      <c r="CE43" s="769">
        <v>9</v>
      </c>
      <c r="CF43" s="70">
        <v>6</v>
      </c>
      <c r="CG43" s="769">
        <f t="shared" si="3"/>
        <v>3</v>
      </c>
      <c r="CH43" s="42"/>
      <c r="CI43" s="42"/>
      <c r="CJ43" s="859"/>
      <c r="CK43" s="860"/>
      <c r="CL43" s="859" t="s">
        <v>136</v>
      </c>
      <c r="CM43" s="861">
        <v>6</v>
      </c>
      <c r="CN43" s="860">
        <v>14</v>
      </c>
      <c r="CO43" s="862">
        <v>6</v>
      </c>
      <c r="CP43" s="861">
        <f>CM43-6</f>
        <v>0</v>
      </c>
    </row>
    <row r="44" spans="1:94">
      <c r="A44" s="41"/>
      <c r="B44" s="41"/>
      <c r="C44" s="461" t="s">
        <v>547</v>
      </c>
      <c r="D44" s="1511">
        <v>6.69</v>
      </c>
      <c r="E44" s="5501">
        <v>26</v>
      </c>
      <c r="F44" s="1989">
        <f>+(E40*F40+E41*F41+E42*F42+E43*F43)/E44</f>
        <v>0.69384615384615378</v>
      </c>
      <c r="G44" s="107">
        <v>6</v>
      </c>
      <c r="I44" s="41"/>
      <c r="J44" s="107"/>
      <c r="K44" s="41" t="s">
        <v>129</v>
      </c>
      <c r="L44" s="1496">
        <v>6.6</v>
      </c>
      <c r="M44" s="105">
        <v>15</v>
      </c>
      <c r="N44" s="1431">
        <f>L44-6</f>
        <v>0.59999999999999964</v>
      </c>
      <c r="O44" s="107">
        <v>6</v>
      </c>
      <c r="S44" s="44" t="s">
        <v>130</v>
      </c>
      <c r="T44" s="4243">
        <v>6.89</v>
      </c>
      <c r="U44" s="4243">
        <v>9</v>
      </c>
      <c r="V44" s="4778">
        <f t="shared" si="15"/>
        <v>0.88999999999999968</v>
      </c>
      <c r="W44" s="4243">
        <v>6</v>
      </c>
      <c r="Y44" s="42"/>
      <c r="Z44" s="42"/>
      <c r="AA44" s="42" t="s">
        <v>131</v>
      </c>
      <c r="AB44" s="769">
        <v>9</v>
      </c>
      <c r="AC44" s="70">
        <v>14</v>
      </c>
      <c r="AD44" s="912">
        <f t="shared" si="4"/>
        <v>3</v>
      </c>
      <c r="AE44" s="2482">
        <v>6</v>
      </c>
      <c r="AG44" s="42"/>
      <c r="AH44" s="42"/>
      <c r="AI44" s="42" t="s">
        <v>131</v>
      </c>
      <c r="AJ44" s="769">
        <v>8.57</v>
      </c>
      <c r="AK44" s="70">
        <v>14</v>
      </c>
      <c r="AL44" s="144">
        <f t="shared" si="1"/>
        <v>2.5700000000000003</v>
      </c>
      <c r="AN44" s="107" t="s">
        <v>48</v>
      </c>
      <c r="AO44" s="107" t="s">
        <v>16</v>
      </c>
      <c r="AP44" s="47" t="s">
        <v>132</v>
      </c>
      <c r="AQ44" s="144">
        <v>7.06</v>
      </c>
      <c r="AR44" s="107">
        <v>16</v>
      </c>
      <c r="AS44" s="144">
        <f t="shared" si="5"/>
        <v>1.0599999999999996</v>
      </c>
      <c r="AT44" s="1"/>
      <c r="AU44" s="1424"/>
      <c r="AV44" s="1424"/>
      <c r="AW44" s="1425" t="s">
        <v>135</v>
      </c>
      <c r="AX44" s="1426">
        <v>6.375</v>
      </c>
      <c r="AY44" s="1427">
        <v>8</v>
      </c>
      <c r="AZ44" s="144">
        <f t="shared" si="6"/>
        <v>0.375</v>
      </c>
      <c r="BB44" s="849"/>
      <c r="BC44" s="849"/>
      <c r="BD44" s="850" t="s">
        <v>137</v>
      </c>
      <c r="BE44" s="851">
        <v>6.5</v>
      </c>
      <c r="BF44" s="852">
        <v>4</v>
      </c>
      <c r="BG44" s="853">
        <f t="shared" si="7"/>
        <v>0.5</v>
      </c>
      <c r="BI44" s="688"/>
      <c r="BJ44" s="688"/>
      <c r="BK44" s="688"/>
      <c r="BL44" s="457" t="s">
        <v>139</v>
      </c>
      <c r="BM44" s="459">
        <v>6.8947368421052646</v>
      </c>
      <c r="BN44" s="458">
        <v>19</v>
      </c>
      <c r="BO44" s="870">
        <v>0.87526103040466141</v>
      </c>
      <c r="BP44" s="459">
        <f>BM44-7</f>
        <v>-0.10526315789473539</v>
      </c>
      <c r="BR44" s="855"/>
      <c r="BS44" s="855"/>
      <c r="BT44" s="856" t="s">
        <v>136</v>
      </c>
      <c r="BU44" s="857">
        <v>6.75</v>
      </c>
      <c r="BV44" s="857">
        <f t="shared" si="19"/>
        <v>0.75</v>
      </c>
      <c r="BW44" s="858">
        <v>8</v>
      </c>
      <c r="BX44" s="857">
        <v>8.125</v>
      </c>
      <c r="BY44" s="857">
        <f t="shared" si="20"/>
        <v>2.125</v>
      </c>
      <c r="CA44" s="70"/>
      <c r="CB44" s="70"/>
      <c r="CC44" s="42" t="s">
        <v>136</v>
      </c>
      <c r="CD44" s="70">
        <v>11</v>
      </c>
      <c r="CE44" s="769">
        <v>7.0909090909090899</v>
      </c>
      <c r="CF44" s="70">
        <v>6</v>
      </c>
      <c r="CG44" s="769">
        <f t="shared" si="3"/>
        <v>1.0909090909090899</v>
      </c>
      <c r="CH44" s="867">
        <f>AVERAGE(CG39:CG46)</f>
        <v>2.2105840105840104</v>
      </c>
      <c r="CI44" s="42"/>
      <c r="CJ44" s="859"/>
      <c r="CK44" s="860"/>
      <c r="CL44" s="859" t="s">
        <v>137</v>
      </c>
      <c r="CM44" s="861">
        <v>7.7272727272727275</v>
      </c>
      <c r="CN44" s="860">
        <v>11</v>
      </c>
      <c r="CO44" s="862">
        <v>6</v>
      </c>
      <c r="CP44" s="861">
        <f>CM44-6</f>
        <v>1.7272727272727275</v>
      </c>
    </row>
    <row r="45" spans="1:94">
      <c r="A45" s="5527"/>
      <c r="B45" s="5527"/>
      <c r="C45" s="5488" t="s">
        <v>110</v>
      </c>
      <c r="D45" s="5528">
        <v>7</v>
      </c>
      <c r="E45" s="5489">
        <v>109</v>
      </c>
      <c r="F45" s="5490">
        <f>+(E32*F32+E39*F39+E44*F44)/E45</f>
        <v>1.2474311926605504</v>
      </c>
      <c r="G45" s="5529"/>
      <c r="I45" s="41"/>
      <c r="J45" s="107"/>
      <c r="K45" s="41" t="s">
        <v>130</v>
      </c>
      <c r="L45" s="1496">
        <v>6.91</v>
      </c>
      <c r="M45" s="105">
        <v>11</v>
      </c>
      <c r="N45" s="1431">
        <f>L45-6</f>
        <v>0.91000000000000014</v>
      </c>
      <c r="O45" s="107">
        <v>6</v>
      </c>
      <c r="S45" s="44" t="s">
        <v>131</v>
      </c>
      <c r="T45" s="4243">
        <v>7.86</v>
      </c>
      <c r="U45" s="4243">
        <v>7</v>
      </c>
      <c r="V45" s="4778">
        <f t="shared" si="15"/>
        <v>1.8600000000000003</v>
      </c>
      <c r="W45" s="4243">
        <v>6</v>
      </c>
      <c r="Y45" s="42"/>
      <c r="Z45" s="42"/>
      <c r="AA45" s="484" t="s">
        <v>547</v>
      </c>
      <c r="AB45" s="782">
        <v>7.76</v>
      </c>
      <c r="AC45" s="2479">
        <v>59</v>
      </c>
      <c r="AD45" s="875">
        <f>+(AC41*AD41+AC42*AD42+AC43*AD43+AC44*AD44)/AC45</f>
        <v>1.7620338983050847</v>
      </c>
      <c r="AE45" s="2482"/>
      <c r="AG45" s="42"/>
      <c r="AH45" s="42"/>
      <c r="AI45" s="484" t="s">
        <v>547</v>
      </c>
      <c r="AJ45" s="782">
        <v>7.5</v>
      </c>
      <c r="AK45" s="454">
        <v>48</v>
      </c>
      <c r="AL45" s="875">
        <f>+(AK41*AL41+AK42*AL42+AK43*AL43+AK44*AL44)/AK45</f>
        <v>1.4983333333333333</v>
      </c>
      <c r="AN45" s="107"/>
      <c r="AO45" s="107"/>
      <c r="AP45" s="47" t="s">
        <v>135</v>
      </c>
      <c r="AQ45" s="144">
        <v>7.14</v>
      </c>
      <c r="AR45" s="107">
        <v>7</v>
      </c>
      <c r="AS45" s="144">
        <f t="shared" si="5"/>
        <v>1.1399999999999997</v>
      </c>
      <c r="AT45" s="1"/>
      <c r="AU45" s="1424"/>
      <c r="AV45" s="1424"/>
      <c r="AW45" s="1425" t="s">
        <v>136</v>
      </c>
      <c r="AX45" s="1426">
        <v>6</v>
      </c>
      <c r="AY45" s="1427">
        <v>6</v>
      </c>
      <c r="AZ45" s="144">
        <f t="shared" si="6"/>
        <v>0</v>
      </c>
      <c r="BB45" s="849"/>
      <c r="BC45" s="849"/>
      <c r="BD45" s="850" t="s">
        <v>111</v>
      </c>
      <c r="BE45" s="851">
        <v>3.666666666666667</v>
      </c>
      <c r="BF45" s="852">
        <v>15</v>
      </c>
      <c r="BG45" s="853">
        <f t="shared" si="7"/>
        <v>-2.333333333333333</v>
      </c>
      <c r="BI45" s="688"/>
      <c r="BJ45" s="688"/>
      <c r="BK45" s="688"/>
      <c r="BL45" s="457" t="s">
        <v>140</v>
      </c>
      <c r="BM45" s="459">
        <v>5.4444444444444446</v>
      </c>
      <c r="BN45" s="458">
        <v>9</v>
      </c>
      <c r="BO45" s="870">
        <v>0.5270462766947297</v>
      </c>
      <c r="BP45" s="459">
        <f>BM45-5</f>
        <v>0.44444444444444464</v>
      </c>
      <c r="BR45" s="855"/>
      <c r="BS45" s="855"/>
      <c r="BT45" s="856" t="s">
        <v>137</v>
      </c>
      <c r="BU45" s="857">
        <v>7</v>
      </c>
      <c r="BV45" s="857">
        <f t="shared" si="19"/>
        <v>1</v>
      </c>
      <c r="BW45" s="858">
        <v>7</v>
      </c>
      <c r="BX45" s="857">
        <v>7</v>
      </c>
      <c r="BY45" s="857">
        <f t="shared" si="20"/>
        <v>1</v>
      </c>
      <c r="CA45" s="70"/>
      <c r="CB45" s="70"/>
      <c r="CC45" s="42" t="s">
        <v>137</v>
      </c>
      <c r="CD45" s="70">
        <v>9</v>
      </c>
      <c r="CE45" s="769">
        <v>9.2222222222222214</v>
      </c>
      <c r="CF45" s="70">
        <v>6</v>
      </c>
      <c r="CG45" s="769">
        <f t="shared" si="3"/>
        <v>3.2222222222222214</v>
      </c>
      <c r="CH45" s="42"/>
      <c r="CI45" s="42"/>
      <c r="CJ45" s="859"/>
      <c r="CK45" s="860"/>
      <c r="CL45" s="859" t="s">
        <v>111</v>
      </c>
      <c r="CM45" s="861">
        <v>6.1428571428571441</v>
      </c>
      <c r="CN45" s="860">
        <v>28</v>
      </c>
      <c r="CO45" s="862">
        <v>6</v>
      </c>
      <c r="CP45" s="861">
        <f>CM45-6</f>
        <v>0.14285714285714413</v>
      </c>
    </row>
    <row r="46" spans="1:94">
      <c r="A46" s="41" t="s">
        <v>48</v>
      </c>
      <c r="B46" s="41" t="s">
        <v>16</v>
      </c>
      <c r="C46" s="41" t="s">
        <v>132</v>
      </c>
      <c r="D46" s="1496">
        <v>7</v>
      </c>
      <c r="E46" s="105">
        <v>3</v>
      </c>
      <c r="F46" s="1431">
        <f t="shared" ref="F46:F51" si="21">D46-6</f>
        <v>1</v>
      </c>
      <c r="G46" s="107">
        <v>6</v>
      </c>
      <c r="I46" s="41"/>
      <c r="J46" s="107"/>
      <c r="K46" s="41" t="s">
        <v>131</v>
      </c>
      <c r="L46" s="1496">
        <v>7.67</v>
      </c>
      <c r="M46" s="105">
        <v>9</v>
      </c>
      <c r="N46" s="1431">
        <f>L46-6</f>
        <v>1.67</v>
      </c>
      <c r="O46" s="107">
        <v>6</v>
      </c>
      <c r="S46" s="4716" t="s">
        <v>547</v>
      </c>
      <c r="T46" s="4723">
        <v>7.11</v>
      </c>
      <c r="U46" s="4723">
        <v>37</v>
      </c>
      <c r="V46" s="4771">
        <f>+(U42*V42+U43*V43+U44*V44+U45*V45)/U46</f>
        <v>1.1075675675675676</v>
      </c>
      <c r="W46" s="4243"/>
      <c r="Y46" s="2498"/>
      <c r="Z46" s="2498"/>
      <c r="AA46" s="2499" t="s">
        <v>110</v>
      </c>
      <c r="AB46" s="2500">
        <v>7.54</v>
      </c>
      <c r="AC46" s="2501">
        <v>198</v>
      </c>
      <c r="AD46" s="1677">
        <f>+(AC34*AD34+AC40*AD40+AC45*AD45)/AC46</f>
        <v>1.691717171717172</v>
      </c>
      <c r="AE46" s="2482"/>
      <c r="AG46" s="2004"/>
      <c r="AH46" s="2004"/>
      <c r="AI46" s="2005" t="s">
        <v>110</v>
      </c>
      <c r="AJ46" s="2006">
        <v>7.58</v>
      </c>
      <c r="AK46" s="2007">
        <v>186</v>
      </c>
      <c r="AL46" s="1677">
        <f>+(AK34*AL34+AK40*AL40+AK45*AL45)/AK46</f>
        <v>1.574247311827957</v>
      </c>
      <c r="AN46" s="107"/>
      <c r="AO46" s="107"/>
      <c r="AP46" s="47" t="s">
        <v>136</v>
      </c>
      <c r="AQ46" s="144">
        <v>6</v>
      </c>
      <c r="AR46" s="107">
        <v>3</v>
      </c>
      <c r="AS46" s="144">
        <f t="shared" si="5"/>
        <v>0</v>
      </c>
      <c r="AT46" s="1"/>
      <c r="AU46" s="1424"/>
      <c r="AV46" s="1424"/>
      <c r="AW46" s="1425" t="s">
        <v>137</v>
      </c>
      <c r="AX46" s="1426">
        <v>7.833333333333333</v>
      </c>
      <c r="AY46" s="1427">
        <v>6</v>
      </c>
      <c r="AZ46" s="144">
        <f t="shared" si="6"/>
        <v>1.833333333333333</v>
      </c>
      <c r="BB46" s="849"/>
      <c r="BC46" s="849"/>
      <c r="BD46" s="850" t="s">
        <v>509</v>
      </c>
      <c r="BE46" s="851">
        <v>6</v>
      </c>
      <c r="BF46" s="852">
        <v>8</v>
      </c>
      <c r="BG46" s="853">
        <f t="shared" si="7"/>
        <v>0</v>
      </c>
      <c r="BI46" s="688"/>
      <c r="BJ46" s="688"/>
      <c r="BK46" s="688"/>
      <c r="BL46" s="457" t="s">
        <v>141</v>
      </c>
      <c r="BM46" s="459">
        <v>6.5</v>
      </c>
      <c r="BN46" s="458">
        <v>10</v>
      </c>
      <c r="BO46" s="870">
        <v>0.70710678118654735</v>
      </c>
      <c r="BP46" s="459">
        <f t="shared" si="17"/>
        <v>0.5</v>
      </c>
      <c r="BR46" s="855"/>
      <c r="BS46" s="855"/>
      <c r="BT46" s="856" t="s">
        <v>111</v>
      </c>
      <c r="BU46" s="857">
        <v>3.1000000000000005</v>
      </c>
      <c r="BV46" s="857">
        <f t="shared" si="19"/>
        <v>-2.8999999999999995</v>
      </c>
      <c r="BW46" s="858">
        <v>10</v>
      </c>
      <c r="BX46" s="857">
        <v>3.1000000000000005</v>
      </c>
      <c r="BY46" s="857">
        <f t="shared" si="20"/>
        <v>-2.8999999999999995</v>
      </c>
      <c r="CA46" s="70"/>
      <c r="CB46" s="70"/>
      <c r="CC46" s="42" t="s">
        <v>111</v>
      </c>
      <c r="CD46" s="70">
        <v>37</v>
      </c>
      <c r="CE46" s="769">
        <f>5.37837837837838+3</f>
        <v>8.378378378378379</v>
      </c>
      <c r="CF46" s="70">
        <v>6</v>
      </c>
      <c r="CG46" s="769">
        <f t="shared" si="3"/>
        <v>2.378378378378379</v>
      </c>
      <c r="CH46" s="42"/>
      <c r="CI46" s="42"/>
      <c r="CJ46" s="859"/>
      <c r="CK46" s="860"/>
      <c r="CL46" s="860" t="s">
        <v>15</v>
      </c>
      <c r="CM46" s="861">
        <v>6.75</v>
      </c>
      <c r="CN46" s="860">
        <v>116</v>
      </c>
      <c r="CO46" s="862"/>
      <c r="CP46" s="869">
        <f>AVERAGE(CP39:CP45)</f>
        <v>1.68492697778412</v>
      </c>
    </row>
    <row r="47" spans="1:94">
      <c r="A47" s="41"/>
      <c r="B47" s="41"/>
      <c r="C47" s="41" t="s">
        <v>128</v>
      </c>
      <c r="D47" s="1496">
        <v>6</v>
      </c>
      <c r="E47" s="105">
        <v>1</v>
      </c>
      <c r="F47" s="1431">
        <f t="shared" si="21"/>
        <v>0</v>
      </c>
      <c r="G47" s="107">
        <v>6</v>
      </c>
      <c r="I47" s="41"/>
      <c r="J47" s="107"/>
      <c r="K47" s="461" t="s">
        <v>547</v>
      </c>
      <c r="L47" s="1511">
        <v>7.08</v>
      </c>
      <c r="M47" s="4686">
        <v>51</v>
      </c>
      <c r="N47" s="1989">
        <f>+(M43*N43+M44*N44+M45*N45+M46*N46)/M47</f>
        <v>1.0784313725490193</v>
      </c>
      <c r="O47" s="107"/>
      <c r="Q47" s="4773"/>
      <c r="R47" s="4773"/>
      <c r="S47" s="4774" t="s">
        <v>110</v>
      </c>
      <c r="T47" s="4775">
        <v>7.65</v>
      </c>
      <c r="U47" s="4775">
        <v>130</v>
      </c>
      <c r="V47" s="4776">
        <f>+(U34*V34+U41*V41+U46*V46)/U47</f>
        <v>1.6463076923076922</v>
      </c>
      <c r="W47" s="4777"/>
      <c r="Y47" s="42" t="s">
        <v>48</v>
      </c>
      <c r="Z47" s="42" t="s">
        <v>16</v>
      </c>
      <c r="AA47" s="42" t="s">
        <v>132</v>
      </c>
      <c r="AB47" s="769">
        <v>7.27</v>
      </c>
      <c r="AC47" s="70">
        <v>15</v>
      </c>
      <c r="AD47" s="912">
        <f t="shared" si="4"/>
        <v>1.2699999999999996</v>
      </c>
      <c r="AE47" s="2482">
        <v>6</v>
      </c>
      <c r="AG47" s="42" t="s">
        <v>48</v>
      </c>
      <c r="AH47" s="42" t="s">
        <v>16</v>
      </c>
      <c r="AI47" s="42" t="s">
        <v>132</v>
      </c>
      <c r="AJ47" s="769">
        <v>6.2</v>
      </c>
      <c r="AK47" s="70">
        <v>5</v>
      </c>
      <c r="AL47" s="144">
        <f t="shared" si="1"/>
        <v>0.20000000000000018</v>
      </c>
      <c r="AN47" s="107"/>
      <c r="AO47" s="107"/>
      <c r="AP47" s="47" t="s">
        <v>137</v>
      </c>
      <c r="AQ47" s="144">
        <v>6</v>
      </c>
      <c r="AR47" s="107">
        <v>6</v>
      </c>
      <c r="AS47" s="144">
        <f t="shared" si="5"/>
        <v>0</v>
      </c>
      <c r="AT47" s="1"/>
      <c r="AU47" s="1424"/>
      <c r="AV47" s="1424"/>
      <c r="AW47" s="1425" t="s">
        <v>111</v>
      </c>
      <c r="AX47" s="1426">
        <v>3.791666666666667</v>
      </c>
      <c r="AY47" s="1427">
        <v>24</v>
      </c>
      <c r="AZ47" s="144">
        <f t="shared" si="6"/>
        <v>-2.208333333333333</v>
      </c>
      <c r="BB47" s="849"/>
      <c r="BC47" s="849"/>
      <c r="BD47" s="850" t="s">
        <v>591</v>
      </c>
      <c r="BE47" s="851">
        <v>5.4545454545454541</v>
      </c>
      <c r="BF47" s="852">
        <v>11</v>
      </c>
      <c r="BG47" s="853">
        <f>BE47-3</f>
        <v>2.4545454545454541</v>
      </c>
      <c r="BI47" s="688"/>
      <c r="BJ47" s="688"/>
      <c r="BK47" s="688"/>
      <c r="BL47" s="457" t="s">
        <v>142</v>
      </c>
      <c r="BM47" s="459">
        <v>6.9285714285714288</v>
      </c>
      <c r="BN47" s="458">
        <v>14</v>
      </c>
      <c r="BO47" s="870">
        <v>0.99724896315087452</v>
      </c>
      <c r="BP47" s="459">
        <f>BM47-6</f>
        <v>0.92857142857142883</v>
      </c>
      <c r="BR47" s="855"/>
      <c r="BS47" s="855"/>
      <c r="BT47" s="856" t="s">
        <v>591</v>
      </c>
      <c r="BU47" s="857">
        <v>3</v>
      </c>
      <c r="BV47" s="857">
        <f t="shared" si="19"/>
        <v>3</v>
      </c>
      <c r="BW47" s="858">
        <v>4</v>
      </c>
      <c r="BX47" s="857">
        <v>3</v>
      </c>
      <c r="BY47" s="857">
        <f>BX47-6</f>
        <v>-3</v>
      </c>
      <c r="CA47" s="70"/>
      <c r="CB47" s="70"/>
      <c r="CC47" s="484" t="s">
        <v>15</v>
      </c>
      <c r="CD47" s="454">
        <v>98</v>
      </c>
      <c r="CE47" s="782">
        <v>8.2448979591836729</v>
      </c>
      <c r="CF47" s="454"/>
      <c r="CG47" s="782">
        <f>+(CD39*CG39+CD40*CG40+CD41*CG41+CD42*CG42+CD43*CG43+CD44*CG44+CD45*CG45+CD46*CG46)/CD47</f>
        <v>2.2448979591836733</v>
      </c>
      <c r="CH47" s="42"/>
      <c r="CI47" s="42"/>
      <c r="CJ47" s="859"/>
      <c r="CK47" s="860"/>
      <c r="CL47" s="860"/>
      <c r="CM47" s="861"/>
      <c r="CN47" s="860"/>
      <c r="CO47" s="862"/>
      <c r="CP47" s="869"/>
    </row>
    <row r="48" spans="1:94">
      <c r="A48" s="41"/>
      <c r="B48" s="41"/>
      <c r="C48" s="41" t="s">
        <v>111</v>
      </c>
      <c r="D48" s="1496">
        <v>3.48</v>
      </c>
      <c r="E48" s="105">
        <v>21</v>
      </c>
      <c r="F48" s="1431">
        <f t="shared" si="21"/>
        <v>-2.52</v>
      </c>
      <c r="G48" s="107">
        <v>6</v>
      </c>
      <c r="I48" s="2856"/>
      <c r="J48" s="1676"/>
      <c r="K48" s="1652" t="s">
        <v>110</v>
      </c>
      <c r="L48" s="4784">
        <v>7.68</v>
      </c>
      <c r="M48" s="4688">
        <v>174</v>
      </c>
      <c r="N48" s="1990">
        <f>+(M35*N35+M42*N42+M47*N47)/M48</f>
        <v>1.6847701149425287</v>
      </c>
      <c r="O48" s="4639"/>
      <c r="Q48" s="44" t="s">
        <v>48</v>
      </c>
      <c r="R48" s="44" t="s">
        <v>16</v>
      </c>
      <c r="S48" s="44" t="s">
        <v>132</v>
      </c>
      <c r="T48" s="4243">
        <v>6.13</v>
      </c>
      <c r="U48" s="4243">
        <v>8</v>
      </c>
      <c r="V48" s="4780">
        <f>T48-W48</f>
        <v>0.12999999999999989</v>
      </c>
      <c r="W48" s="4243">
        <v>6</v>
      </c>
      <c r="Y48" s="42"/>
      <c r="Z48" s="42"/>
      <c r="AA48" s="42" t="s">
        <v>135</v>
      </c>
      <c r="AB48" s="769">
        <v>6.88</v>
      </c>
      <c r="AC48" s="70">
        <v>8</v>
      </c>
      <c r="AD48" s="912">
        <f t="shared" si="4"/>
        <v>0.87999999999999989</v>
      </c>
      <c r="AE48" s="2482">
        <v>6</v>
      </c>
      <c r="AG48" s="42"/>
      <c r="AH48" s="42"/>
      <c r="AI48" s="42" t="s">
        <v>135</v>
      </c>
      <c r="AJ48" s="769">
        <v>6.38</v>
      </c>
      <c r="AK48" s="70">
        <v>8</v>
      </c>
      <c r="AL48" s="144">
        <f t="shared" si="1"/>
        <v>0.37999999999999989</v>
      </c>
      <c r="AN48" s="107"/>
      <c r="AO48" s="107"/>
      <c r="AP48" s="47" t="s">
        <v>111</v>
      </c>
      <c r="AQ48" s="144">
        <v>3.08</v>
      </c>
      <c r="AR48" s="107">
        <v>13</v>
      </c>
      <c r="AS48" s="144">
        <f t="shared" si="5"/>
        <v>-2.92</v>
      </c>
      <c r="AT48" s="1"/>
      <c r="AU48" s="1424"/>
      <c r="AV48" s="1424"/>
      <c r="AW48" s="1425" t="s">
        <v>509</v>
      </c>
      <c r="AX48" s="1426">
        <v>6</v>
      </c>
      <c r="AY48" s="1427">
        <v>1</v>
      </c>
      <c r="AZ48" s="144">
        <f t="shared" si="6"/>
        <v>0</v>
      </c>
      <c r="BB48" s="849"/>
      <c r="BC48" s="849"/>
      <c r="BD48" s="872" t="s">
        <v>545</v>
      </c>
      <c r="BE48" s="873">
        <v>5.9062499999999982</v>
      </c>
      <c r="BF48" s="874">
        <v>64</v>
      </c>
      <c r="BG48" s="875">
        <f>+(BF40*BG40+BF41*BG41+BF42*BG42+BF43*BG43+BF44*BG44+BF45*BG45+BF46*BG46+BF47*BG47)/BF48</f>
        <v>0.42187499999999994</v>
      </c>
      <c r="BI48" s="688"/>
      <c r="BJ48" s="688"/>
      <c r="BK48" s="688"/>
      <c r="BL48" s="457" t="s">
        <v>112</v>
      </c>
      <c r="BM48" s="459">
        <v>3.6666666666666665</v>
      </c>
      <c r="BN48" s="458">
        <v>6</v>
      </c>
      <c r="BO48" s="870">
        <v>0.5163977794943222</v>
      </c>
      <c r="BP48" s="459">
        <f>BM48-3</f>
        <v>0.66666666666666652</v>
      </c>
      <c r="BT48" s="864" t="s">
        <v>545</v>
      </c>
      <c r="BU48" s="863">
        <v>6.0952380952380931</v>
      </c>
      <c r="BV48" s="863">
        <f>+(BW40*BV40+BW41*BV41+BW42*BV42+BW43*BV43+BW44*BV44+BW45*BV45+BW46*BV46+BW47*BV47)/BW48</f>
        <v>0.47619047619047633</v>
      </c>
      <c r="BW48" s="865">
        <v>63</v>
      </c>
      <c r="BX48" s="863">
        <v>6.5079365079365088</v>
      </c>
      <c r="BY48" s="863">
        <f>+(BW40*BY40+BW41*BY41+BW42*BY42+BW43*BY43+BW44*BY44+BW45*BY45+BW46*BY46+BW47*BY47)/BW48</f>
        <v>0.50793650793650802</v>
      </c>
      <c r="CA48" s="70"/>
      <c r="CB48" s="70"/>
      <c r="CC48" s="484"/>
      <c r="CD48" s="454"/>
      <c r="CE48" s="782"/>
      <c r="CF48" s="454"/>
      <c r="CG48" s="782"/>
      <c r="CH48" s="42"/>
      <c r="CI48" s="42"/>
      <c r="CJ48" s="859"/>
      <c r="CK48" s="860"/>
      <c r="CL48" s="860"/>
      <c r="CM48" s="861"/>
      <c r="CN48" s="860"/>
      <c r="CO48" s="862"/>
      <c r="CP48" s="869"/>
    </row>
    <row r="49" spans="1:94">
      <c r="A49" s="41"/>
      <c r="B49" s="41"/>
      <c r="C49" s="41" t="s">
        <v>509</v>
      </c>
      <c r="D49" s="1496">
        <v>7.3</v>
      </c>
      <c r="E49" s="105">
        <v>10</v>
      </c>
      <c r="F49" s="1431">
        <f t="shared" si="21"/>
        <v>1.2999999999999998</v>
      </c>
      <c r="G49" s="107">
        <v>6</v>
      </c>
      <c r="I49" s="41" t="s">
        <v>48</v>
      </c>
      <c r="J49" s="107" t="s">
        <v>16</v>
      </c>
      <c r="K49" s="41" t="s">
        <v>132</v>
      </c>
      <c r="L49" s="1496">
        <v>6.11</v>
      </c>
      <c r="M49" s="105">
        <v>9</v>
      </c>
      <c r="N49" s="1431">
        <v>0.12999999999999989</v>
      </c>
      <c r="O49" s="107">
        <v>6</v>
      </c>
      <c r="S49" s="44" t="s">
        <v>135</v>
      </c>
      <c r="T49" s="4243">
        <v>6.17</v>
      </c>
      <c r="U49" s="4243">
        <v>12</v>
      </c>
      <c r="V49" s="4780">
        <f t="shared" ref="V49:V69" si="22">T49-W49</f>
        <v>0.16999999999999993</v>
      </c>
      <c r="W49" s="4243">
        <v>6</v>
      </c>
      <c r="Y49" s="42"/>
      <c r="Z49" s="42"/>
      <c r="AA49" s="42" t="s">
        <v>136</v>
      </c>
      <c r="AB49" s="769">
        <v>6.6</v>
      </c>
      <c r="AC49" s="70">
        <v>5</v>
      </c>
      <c r="AD49" s="912">
        <f t="shared" si="4"/>
        <v>0.59999999999999964</v>
      </c>
      <c r="AE49" s="2482">
        <v>6</v>
      </c>
      <c r="AG49" s="42"/>
      <c r="AH49" s="42"/>
      <c r="AI49" s="42" t="s">
        <v>136</v>
      </c>
      <c r="AJ49" s="769">
        <v>6</v>
      </c>
      <c r="AK49" s="70">
        <v>10</v>
      </c>
      <c r="AL49" s="144">
        <f t="shared" si="1"/>
        <v>0</v>
      </c>
      <c r="AN49" s="107"/>
      <c r="AO49" s="107"/>
      <c r="AP49" s="47" t="s">
        <v>509</v>
      </c>
      <c r="AQ49" s="144">
        <v>6.5</v>
      </c>
      <c r="AR49" s="107">
        <v>12</v>
      </c>
      <c r="AS49" s="144">
        <f t="shared" si="5"/>
        <v>0.5</v>
      </c>
      <c r="AT49" s="1"/>
      <c r="AU49" s="1424"/>
      <c r="AV49" s="1424"/>
      <c r="AW49" s="1425" t="s">
        <v>591</v>
      </c>
      <c r="AX49" s="1426">
        <v>6</v>
      </c>
      <c r="AY49" s="1427">
        <v>8</v>
      </c>
      <c r="AZ49" s="144">
        <f t="shared" si="6"/>
        <v>0</v>
      </c>
      <c r="BB49" s="849"/>
      <c r="BC49" s="849" t="s">
        <v>41</v>
      </c>
      <c r="BD49" s="850" t="s">
        <v>138</v>
      </c>
      <c r="BE49" s="851">
        <v>4.5</v>
      </c>
      <c r="BF49" s="852">
        <v>2</v>
      </c>
      <c r="BG49" s="853">
        <f t="shared" si="7"/>
        <v>-1.5</v>
      </c>
      <c r="BI49" s="688"/>
      <c r="BJ49" s="688"/>
      <c r="BK49" s="688"/>
      <c r="BL49" s="784" t="s">
        <v>547</v>
      </c>
      <c r="BM49" s="462">
        <v>6.3114754098360653</v>
      </c>
      <c r="BN49" s="463">
        <v>61</v>
      </c>
      <c r="BO49" s="785">
        <v>1.3606491539770931</v>
      </c>
      <c r="BP49" s="863">
        <f>+(BN43*BP43+BN44*BP44+BN45*BP45+BN46*BP46+BN47*BP47+BN48*BP48)/BN49</f>
        <v>0.44262295081967268</v>
      </c>
      <c r="BR49" s="855"/>
      <c r="BS49" s="855" t="s">
        <v>41</v>
      </c>
      <c r="BT49" s="856" t="s">
        <v>138</v>
      </c>
      <c r="BU49" s="857">
        <v>6</v>
      </c>
      <c r="BV49" s="857">
        <f t="shared" ref="BV49:BV54" si="23">BU49-CF49</f>
        <v>6</v>
      </c>
      <c r="BW49" s="858">
        <v>1</v>
      </c>
      <c r="BX49" s="857">
        <v>6</v>
      </c>
      <c r="BY49" s="857">
        <f>BX49-6</f>
        <v>0</v>
      </c>
      <c r="CA49" s="70"/>
      <c r="CB49" s="70"/>
      <c r="CC49" s="484"/>
      <c r="CD49" s="454"/>
      <c r="CE49" s="782"/>
      <c r="CF49" s="454"/>
      <c r="CG49" s="782"/>
      <c r="CH49" s="42"/>
      <c r="CI49" s="42"/>
      <c r="CJ49" s="859"/>
      <c r="CK49" s="860" t="s">
        <v>41</v>
      </c>
      <c r="CL49" s="859" t="s">
        <v>138</v>
      </c>
      <c r="CM49" s="861">
        <v>18.2</v>
      </c>
      <c r="CN49" s="860">
        <v>10</v>
      </c>
      <c r="CO49" s="862">
        <v>6</v>
      </c>
      <c r="CP49" s="861">
        <f>CM49-6</f>
        <v>12.2</v>
      </c>
    </row>
    <row r="50" spans="1:94">
      <c r="A50" s="41"/>
      <c r="B50" s="41"/>
      <c r="C50" s="41" t="s">
        <v>591</v>
      </c>
      <c r="D50" s="1496">
        <v>6</v>
      </c>
      <c r="E50" s="105">
        <v>4</v>
      </c>
      <c r="F50" s="1431">
        <f t="shared" si="21"/>
        <v>0</v>
      </c>
      <c r="G50" s="107">
        <v>6</v>
      </c>
      <c r="I50" s="41"/>
      <c r="J50" s="107"/>
      <c r="K50" s="41" t="s">
        <v>135</v>
      </c>
      <c r="L50" s="1496">
        <v>6.17</v>
      </c>
      <c r="M50" s="105">
        <v>12</v>
      </c>
      <c r="N50" s="1431">
        <v>0.16999999999999993</v>
      </c>
      <c r="O50" s="107">
        <v>6</v>
      </c>
      <c r="S50" s="44" t="s">
        <v>136</v>
      </c>
      <c r="T50" s="4243">
        <v>6.5</v>
      </c>
      <c r="U50" s="4243">
        <v>12</v>
      </c>
      <c r="V50" s="4780">
        <f t="shared" si="22"/>
        <v>0.5</v>
      </c>
      <c r="W50" s="4243">
        <v>6</v>
      </c>
      <c r="Y50" s="42"/>
      <c r="Z50" s="42"/>
      <c r="AA50" s="42" t="s">
        <v>137</v>
      </c>
      <c r="AB50" s="769">
        <v>6.67</v>
      </c>
      <c r="AC50" s="70">
        <v>6</v>
      </c>
      <c r="AD50" s="912">
        <f t="shared" si="4"/>
        <v>0.66999999999999993</v>
      </c>
      <c r="AE50" s="2482">
        <v>6</v>
      </c>
      <c r="AG50" s="42"/>
      <c r="AH50" s="42"/>
      <c r="AI50" s="42" t="s">
        <v>137</v>
      </c>
      <c r="AJ50" s="769">
        <v>6</v>
      </c>
      <c r="AK50" s="70">
        <v>8</v>
      </c>
      <c r="AL50" s="144">
        <f t="shared" si="1"/>
        <v>0</v>
      </c>
      <c r="AN50" s="107"/>
      <c r="AO50" s="107"/>
      <c r="AP50" s="47" t="s">
        <v>591</v>
      </c>
      <c r="AQ50" s="144">
        <v>5.8</v>
      </c>
      <c r="AR50" s="107">
        <v>10</v>
      </c>
      <c r="AS50" s="144">
        <f t="shared" si="5"/>
        <v>-0.20000000000000018</v>
      </c>
      <c r="AT50" s="1"/>
      <c r="AU50" s="1424"/>
      <c r="AV50" s="1424"/>
      <c r="AW50" s="1428" t="s">
        <v>545</v>
      </c>
      <c r="AX50" s="1429">
        <v>5.6478873239436629</v>
      </c>
      <c r="AY50" s="1430">
        <v>71</v>
      </c>
      <c r="AZ50" s="875">
        <f>+(AY42*AZ42+AY43*AZ43+AY44*AZ44+AY45*AZ45+AY46*AZ46+AY47*AZ47+AY48*AZ48+AY49*AZ49)/AY50</f>
        <v>-0.35211267605633795</v>
      </c>
      <c r="BB50" s="849"/>
      <c r="BC50" s="849"/>
      <c r="BD50" s="850" t="s">
        <v>139</v>
      </c>
      <c r="BE50" s="851">
        <v>6.75</v>
      </c>
      <c r="BF50" s="852">
        <v>4</v>
      </c>
      <c r="BG50" s="853">
        <f>BE50-7</f>
        <v>-0.25</v>
      </c>
      <c r="BI50" s="688"/>
      <c r="BJ50" s="688"/>
      <c r="BK50" s="688" t="s">
        <v>104</v>
      </c>
      <c r="BL50" s="457" t="s">
        <v>143</v>
      </c>
      <c r="BM50" s="459">
        <v>6</v>
      </c>
      <c r="BN50" s="458">
        <v>15</v>
      </c>
      <c r="BO50" s="765">
        <v>0</v>
      </c>
      <c r="BP50" s="459">
        <f t="shared" si="17"/>
        <v>0</v>
      </c>
      <c r="BR50" s="855"/>
      <c r="BS50" s="855"/>
      <c r="BT50" s="856" t="s">
        <v>139</v>
      </c>
      <c r="BU50" s="857">
        <v>6.4</v>
      </c>
      <c r="BV50" s="857">
        <f t="shared" si="23"/>
        <v>-0.59999999999999964</v>
      </c>
      <c r="BW50" s="858">
        <v>10</v>
      </c>
      <c r="BX50" s="857">
        <v>6.4</v>
      </c>
      <c r="BY50" s="857">
        <f>BX50-CF50</f>
        <v>-0.59999999999999964</v>
      </c>
      <c r="CA50" s="70"/>
      <c r="CB50" s="70" t="s">
        <v>41</v>
      </c>
      <c r="CC50" s="42" t="s">
        <v>139</v>
      </c>
      <c r="CD50" s="70">
        <v>21</v>
      </c>
      <c r="CE50" s="769">
        <v>7.4761904761904772</v>
      </c>
      <c r="CF50" s="70">
        <v>7</v>
      </c>
      <c r="CG50" s="769">
        <f t="shared" si="3"/>
        <v>0.47619047619047716</v>
      </c>
      <c r="CH50" s="42"/>
      <c r="CI50" s="42"/>
      <c r="CJ50" s="859"/>
      <c r="CK50" s="860"/>
      <c r="CL50" s="859" t="s">
        <v>139</v>
      </c>
      <c r="CM50" s="861">
        <v>6.166666666666667</v>
      </c>
      <c r="CN50" s="860">
        <v>12</v>
      </c>
      <c r="CO50" s="862">
        <v>7</v>
      </c>
      <c r="CP50" s="861">
        <f>CM50-7</f>
        <v>-0.83333333333333304</v>
      </c>
    </row>
    <row r="51" spans="1:94">
      <c r="A51" s="41"/>
      <c r="B51" s="41"/>
      <c r="C51" s="41" t="s">
        <v>2283</v>
      </c>
      <c r="D51" s="1496">
        <v>6</v>
      </c>
      <c r="E51" s="105">
        <v>4</v>
      </c>
      <c r="F51" s="1431">
        <f t="shared" si="21"/>
        <v>0</v>
      </c>
      <c r="G51" s="107">
        <v>6</v>
      </c>
      <c r="I51" s="41"/>
      <c r="J51" s="107"/>
      <c r="K51" s="41" t="s">
        <v>136</v>
      </c>
      <c r="L51" s="1496">
        <v>6.5</v>
      </c>
      <c r="M51" s="105">
        <v>12</v>
      </c>
      <c r="N51" s="1431">
        <v>0.5</v>
      </c>
      <c r="O51" s="107">
        <v>6</v>
      </c>
      <c r="S51" s="44" t="s">
        <v>137</v>
      </c>
      <c r="T51" s="4243">
        <v>7.33</v>
      </c>
      <c r="U51" s="4243">
        <v>9</v>
      </c>
      <c r="V51" s="4780">
        <f t="shared" si="22"/>
        <v>1.33</v>
      </c>
      <c r="W51" s="4243">
        <v>6</v>
      </c>
      <c r="Y51" s="42"/>
      <c r="Z51" s="42"/>
      <c r="AA51" s="42" t="s">
        <v>128</v>
      </c>
      <c r="AB51" s="769">
        <v>6</v>
      </c>
      <c r="AC51" s="70">
        <v>10</v>
      </c>
      <c r="AD51" s="912">
        <f t="shared" si="4"/>
        <v>0</v>
      </c>
      <c r="AE51" s="2482">
        <v>6</v>
      </c>
      <c r="AG51" s="42"/>
      <c r="AH51" s="42"/>
      <c r="AI51" s="42" t="s">
        <v>111</v>
      </c>
      <c r="AJ51" s="769">
        <v>5.46</v>
      </c>
      <c r="AK51" s="70">
        <v>24</v>
      </c>
      <c r="AL51" s="144">
        <f t="shared" si="1"/>
        <v>-0.54</v>
      </c>
      <c r="AN51" s="107"/>
      <c r="AO51" s="107"/>
      <c r="AP51" s="47" t="s">
        <v>1936</v>
      </c>
      <c r="AQ51" s="144">
        <v>6.6</v>
      </c>
      <c r="AR51" s="107">
        <v>10</v>
      </c>
      <c r="AS51" s="144">
        <f t="shared" si="5"/>
        <v>0.59999999999999964</v>
      </c>
      <c r="AT51" s="1"/>
      <c r="AU51" s="1424"/>
      <c r="AV51" s="1424" t="s">
        <v>41</v>
      </c>
      <c r="AW51" s="1425" t="s">
        <v>138</v>
      </c>
      <c r="AX51" s="1426">
        <v>4.4285714285714288</v>
      </c>
      <c r="AY51" s="1427">
        <v>7</v>
      </c>
      <c r="AZ51" s="144">
        <f t="shared" si="6"/>
        <v>-1.5714285714285712</v>
      </c>
      <c r="BB51" s="849"/>
      <c r="BC51" s="849"/>
      <c r="BD51" s="850" t="s">
        <v>140</v>
      </c>
      <c r="BE51" s="851">
        <v>5.666666666666667</v>
      </c>
      <c r="BF51" s="852">
        <v>3</v>
      </c>
      <c r="BG51" s="853">
        <f>BE51-5</f>
        <v>0.66666666666666696</v>
      </c>
      <c r="BI51" s="688"/>
      <c r="BJ51" s="688"/>
      <c r="BK51" s="688"/>
      <c r="BL51" s="457" t="s">
        <v>418</v>
      </c>
      <c r="BM51" s="459">
        <v>6.7777777777777777</v>
      </c>
      <c r="BN51" s="458">
        <v>9</v>
      </c>
      <c r="BO51" s="870">
        <v>0.83333333333333326</v>
      </c>
      <c r="BP51" s="459">
        <f t="shared" si="17"/>
        <v>0.77777777777777768</v>
      </c>
      <c r="BR51" s="855"/>
      <c r="BS51" s="855"/>
      <c r="BT51" s="856" t="s">
        <v>140</v>
      </c>
      <c r="BU51" s="857">
        <v>6</v>
      </c>
      <c r="BV51" s="857">
        <f t="shared" si="23"/>
        <v>1</v>
      </c>
      <c r="BW51" s="858">
        <v>5</v>
      </c>
      <c r="BX51" s="857">
        <v>7.2</v>
      </c>
      <c r="BY51" s="857">
        <f>BX51-CF51</f>
        <v>2.2000000000000002</v>
      </c>
      <c r="CA51" s="70"/>
      <c r="CB51" s="70"/>
      <c r="CC51" s="42" t="s">
        <v>140</v>
      </c>
      <c r="CD51" s="70">
        <v>4</v>
      </c>
      <c r="CE51" s="769">
        <v>5.5</v>
      </c>
      <c r="CF51" s="70">
        <v>5</v>
      </c>
      <c r="CG51" s="769">
        <f t="shared" si="3"/>
        <v>0.5</v>
      </c>
      <c r="CH51" s="42"/>
      <c r="CI51" s="42"/>
      <c r="CJ51" s="859"/>
      <c r="CK51" s="860"/>
      <c r="CL51" s="859" t="s">
        <v>140</v>
      </c>
      <c r="CM51" s="861">
        <v>6.2727272727272725</v>
      </c>
      <c r="CN51" s="860">
        <v>11</v>
      </c>
      <c r="CO51" s="862">
        <v>5</v>
      </c>
      <c r="CP51" s="861">
        <f>CM51-5</f>
        <v>1.2727272727272725</v>
      </c>
    </row>
    <row r="52" spans="1:94">
      <c r="A52" s="41"/>
      <c r="B52" s="41"/>
      <c r="C52" s="461" t="s">
        <v>545</v>
      </c>
      <c r="D52" s="1511">
        <v>5.14</v>
      </c>
      <c r="E52" s="5501">
        <v>43</v>
      </c>
      <c r="F52" s="1989">
        <f>+(E46*F46+E47*F47+E48*F48+E49*F49+E50*F50+E51*F51)/E52</f>
        <v>-0.85860465116279072</v>
      </c>
      <c r="G52" s="107">
        <v>6</v>
      </c>
      <c r="I52" s="41"/>
      <c r="J52" s="107"/>
      <c r="K52" s="41" t="s">
        <v>137</v>
      </c>
      <c r="L52" s="1496">
        <v>7.33</v>
      </c>
      <c r="M52" s="105">
        <v>9</v>
      </c>
      <c r="N52" s="1431">
        <v>1.33</v>
      </c>
      <c r="O52" s="107">
        <v>6</v>
      </c>
      <c r="S52" s="44" t="s">
        <v>111</v>
      </c>
      <c r="T52" s="4243">
        <v>3</v>
      </c>
      <c r="U52" s="4243">
        <v>2</v>
      </c>
      <c r="V52" s="4780">
        <f t="shared" si="22"/>
        <v>-3</v>
      </c>
      <c r="W52" s="4243">
        <v>6</v>
      </c>
      <c r="Y52" s="42"/>
      <c r="Z52" s="42"/>
      <c r="AA52" s="42" t="s">
        <v>111</v>
      </c>
      <c r="AB52" s="769">
        <v>4.8499999999999996</v>
      </c>
      <c r="AC52" s="70">
        <v>13</v>
      </c>
      <c r="AD52" s="912">
        <f t="shared" si="4"/>
        <v>-1.1500000000000004</v>
      </c>
      <c r="AE52" s="2482">
        <v>6</v>
      </c>
      <c r="AG52" s="42"/>
      <c r="AH52" s="42"/>
      <c r="AI52" s="42" t="s">
        <v>591</v>
      </c>
      <c r="AJ52" s="769">
        <v>6.09</v>
      </c>
      <c r="AK52" s="70">
        <v>11</v>
      </c>
      <c r="AL52" s="144">
        <f t="shared" si="1"/>
        <v>8.9999999999999858E-2</v>
      </c>
      <c r="AN52" s="107"/>
      <c r="AO52" s="107"/>
      <c r="AP52" s="968" t="s">
        <v>545</v>
      </c>
      <c r="AQ52" s="969">
        <v>5.96</v>
      </c>
      <c r="AR52" s="145">
        <v>77</v>
      </c>
      <c r="AS52" s="875">
        <f>+(AR44*AS44+AR45*AS45+AR46*AS46+AR47*AS47+AR48*AS48+AR49*AS49+AR50*AS50+AR51*AS51)/AR52</f>
        <v>-3.922077922077942E-2</v>
      </c>
      <c r="AT52" s="1"/>
      <c r="AU52" s="1424"/>
      <c r="AV52" s="1424"/>
      <c r="AW52" s="1425" t="s">
        <v>139</v>
      </c>
      <c r="AX52" s="1426">
        <v>6.5</v>
      </c>
      <c r="AY52" s="1427">
        <v>10</v>
      </c>
      <c r="AZ52" s="144">
        <f t="shared" si="6"/>
        <v>0.5</v>
      </c>
      <c r="BB52" s="849"/>
      <c r="BC52" s="849"/>
      <c r="BD52" s="850" t="s">
        <v>444</v>
      </c>
      <c r="BE52" s="851">
        <v>7.2</v>
      </c>
      <c r="BF52" s="852">
        <v>5</v>
      </c>
      <c r="BG52" s="853">
        <f t="shared" si="7"/>
        <v>1.2000000000000002</v>
      </c>
      <c r="BI52" s="688"/>
      <c r="BJ52" s="688"/>
      <c r="BK52" s="688"/>
      <c r="BL52" s="457" t="s">
        <v>419</v>
      </c>
      <c r="BM52" s="459">
        <v>6.1851851851851851</v>
      </c>
      <c r="BN52" s="458">
        <v>27</v>
      </c>
      <c r="BO52" s="870">
        <v>0.48334070138798968</v>
      </c>
      <c r="BP52" s="459">
        <f t="shared" si="17"/>
        <v>0.18518518518518512</v>
      </c>
      <c r="BR52" s="855"/>
      <c r="BS52" s="855"/>
      <c r="BT52" s="856" t="s">
        <v>444</v>
      </c>
      <c r="BU52" s="857">
        <v>6</v>
      </c>
      <c r="BV52" s="857">
        <f t="shared" si="23"/>
        <v>0</v>
      </c>
      <c r="BW52" s="858">
        <v>1</v>
      </c>
      <c r="BX52" s="857">
        <v>6</v>
      </c>
      <c r="BY52" s="857">
        <f>BX52-6</f>
        <v>0</v>
      </c>
      <c r="CA52" s="70"/>
      <c r="CB52" s="70"/>
      <c r="CC52" s="42" t="s">
        <v>141</v>
      </c>
      <c r="CD52" s="70">
        <v>19</v>
      </c>
      <c r="CE52" s="769">
        <v>7.1578947368421053</v>
      </c>
      <c r="CF52" s="70">
        <v>6</v>
      </c>
      <c r="CG52" s="769">
        <f t="shared" si="3"/>
        <v>1.1578947368421053</v>
      </c>
      <c r="CH52" s="867">
        <f>AVERAGE(CG50:CG54)</f>
        <v>0.39110275689223073</v>
      </c>
      <c r="CI52" s="42"/>
      <c r="CJ52" s="859"/>
      <c r="CK52" s="860"/>
      <c r="CL52" s="859" t="s">
        <v>444</v>
      </c>
      <c r="CM52" s="861">
        <v>8</v>
      </c>
      <c r="CN52" s="860">
        <v>2</v>
      </c>
      <c r="CO52" s="862">
        <v>6</v>
      </c>
      <c r="CP52" s="861">
        <f>CM52-6</f>
        <v>2</v>
      </c>
    </row>
    <row r="53" spans="1:94">
      <c r="A53" s="41"/>
      <c r="B53" s="41" t="s">
        <v>41</v>
      </c>
      <c r="C53" s="41" t="s">
        <v>139</v>
      </c>
      <c r="D53" s="1496">
        <v>6.27</v>
      </c>
      <c r="E53" s="105">
        <v>11</v>
      </c>
      <c r="F53" s="1431">
        <f t="shared" ref="F53:F64" si="24">D53-6</f>
        <v>0.26999999999999957</v>
      </c>
      <c r="G53" s="107">
        <v>6</v>
      </c>
      <c r="I53" s="41"/>
      <c r="J53" s="107"/>
      <c r="K53" s="41" t="s">
        <v>111</v>
      </c>
      <c r="L53" s="1496">
        <v>3.14</v>
      </c>
      <c r="M53" s="105">
        <v>14</v>
      </c>
      <c r="N53" s="1431">
        <v>-3</v>
      </c>
      <c r="O53" s="107">
        <v>6</v>
      </c>
      <c r="S53" s="44" t="s">
        <v>509</v>
      </c>
      <c r="T53" s="4243">
        <v>6</v>
      </c>
      <c r="U53" s="4243">
        <v>1</v>
      </c>
      <c r="V53" s="4780">
        <f t="shared" si="22"/>
        <v>0</v>
      </c>
      <c r="W53" s="4243">
        <v>6</v>
      </c>
      <c r="Y53" s="42"/>
      <c r="Z53" s="42"/>
      <c r="AA53" s="42" t="s">
        <v>509</v>
      </c>
      <c r="AB53" s="769">
        <v>6.57</v>
      </c>
      <c r="AC53" s="70">
        <v>14</v>
      </c>
      <c r="AD53" s="912">
        <f t="shared" si="4"/>
        <v>0.57000000000000028</v>
      </c>
      <c r="AE53" s="2482">
        <v>6</v>
      </c>
      <c r="AG53" s="42"/>
      <c r="AH53" s="42"/>
      <c r="AI53" s="42" t="s">
        <v>1936</v>
      </c>
      <c r="AJ53" s="769">
        <v>6</v>
      </c>
      <c r="AK53" s="70">
        <v>5</v>
      </c>
      <c r="AL53" s="144">
        <f t="shared" si="1"/>
        <v>0</v>
      </c>
      <c r="AN53" s="107"/>
      <c r="AO53" s="107" t="s">
        <v>41</v>
      </c>
      <c r="AP53" s="47" t="s">
        <v>138</v>
      </c>
      <c r="AQ53" s="144">
        <v>5.1100000000000003</v>
      </c>
      <c r="AR53" s="107">
        <v>9</v>
      </c>
      <c r="AS53" s="144">
        <f t="shared" si="5"/>
        <v>-0.88999999999999968</v>
      </c>
      <c r="AT53" s="1"/>
      <c r="AU53" s="1424"/>
      <c r="AV53" s="1424"/>
      <c r="AW53" s="1425" t="s">
        <v>140</v>
      </c>
      <c r="AX53" s="1426">
        <v>5.375</v>
      </c>
      <c r="AY53" s="1427">
        <v>8</v>
      </c>
      <c r="AZ53" s="144">
        <f t="shared" si="6"/>
        <v>-0.625</v>
      </c>
      <c r="BB53" s="849"/>
      <c r="BC53" s="849"/>
      <c r="BD53" s="850" t="s">
        <v>141</v>
      </c>
      <c r="BE53" s="851">
        <v>7.2666666666666675</v>
      </c>
      <c r="BF53" s="852">
        <v>15</v>
      </c>
      <c r="BG53" s="853">
        <f t="shared" si="7"/>
        <v>1.2666666666666675</v>
      </c>
      <c r="BI53" s="688"/>
      <c r="BJ53" s="688"/>
      <c r="BK53" s="688"/>
      <c r="BL53" s="784" t="s">
        <v>844</v>
      </c>
      <c r="BM53" s="462">
        <v>6.2352941176470589</v>
      </c>
      <c r="BN53" s="463">
        <v>51</v>
      </c>
      <c r="BO53" s="877">
        <v>0.55093503406908673</v>
      </c>
      <c r="BP53" s="863">
        <f>+(BN50*BP50+BN51*BP51+BN52*BP52)/BN53</f>
        <v>0.23529411764705876</v>
      </c>
      <c r="BR53" s="855"/>
      <c r="BS53" s="855"/>
      <c r="BT53" s="856" t="s">
        <v>141</v>
      </c>
      <c r="BU53" s="857">
        <v>8.2000000000000011</v>
      </c>
      <c r="BV53" s="857">
        <f t="shared" si="23"/>
        <v>1.2000000000000011</v>
      </c>
      <c r="BW53" s="858">
        <v>10</v>
      </c>
      <c r="BX53" s="857">
        <v>8.2000000000000011</v>
      </c>
      <c r="BY53" s="857">
        <f>BX53-CF52</f>
        <v>2.2000000000000011</v>
      </c>
      <c r="CA53" s="70"/>
      <c r="CB53" s="70"/>
      <c r="CC53" s="42" t="s">
        <v>142</v>
      </c>
      <c r="CD53" s="70">
        <v>14</v>
      </c>
      <c r="CE53" s="769">
        <v>6.0714285714285712</v>
      </c>
      <c r="CF53" s="70">
        <v>7</v>
      </c>
      <c r="CG53" s="769">
        <f t="shared" si="3"/>
        <v>-0.92857142857142883</v>
      </c>
      <c r="CH53" s="42"/>
      <c r="CI53" s="42"/>
      <c r="CJ53" s="859"/>
      <c r="CK53" s="860"/>
      <c r="CL53" s="859" t="s">
        <v>141</v>
      </c>
      <c r="CM53" s="861">
        <v>9</v>
      </c>
      <c r="CN53" s="860">
        <v>9</v>
      </c>
      <c r="CO53" s="862">
        <v>6</v>
      </c>
      <c r="CP53" s="861">
        <f>CM53-6</f>
        <v>3</v>
      </c>
    </row>
    <row r="54" spans="1:94">
      <c r="A54" s="41"/>
      <c r="B54" s="41"/>
      <c r="C54" s="41" t="s">
        <v>2922</v>
      </c>
      <c r="D54" s="1496">
        <v>5.33</v>
      </c>
      <c r="E54" s="105">
        <v>3</v>
      </c>
      <c r="F54" s="1431">
        <f t="shared" si="24"/>
        <v>-0.66999999999999993</v>
      </c>
      <c r="G54" s="107">
        <v>6</v>
      </c>
      <c r="I54" s="41"/>
      <c r="J54" s="107"/>
      <c r="K54" s="41" t="s">
        <v>509</v>
      </c>
      <c r="L54" s="1496">
        <v>6.5</v>
      </c>
      <c r="M54" s="105">
        <v>2</v>
      </c>
      <c r="N54" s="1431">
        <v>0</v>
      </c>
      <c r="O54" s="107">
        <v>6</v>
      </c>
      <c r="S54" s="44" t="s">
        <v>591</v>
      </c>
      <c r="T54" s="4243">
        <v>6</v>
      </c>
      <c r="U54" s="4243">
        <v>4</v>
      </c>
      <c r="V54" s="4780">
        <f t="shared" si="22"/>
        <v>0</v>
      </c>
      <c r="W54" s="4243">
        <v>6</v>
      </c>
      <c r="Y54" s="42"/>
      <c r="Z54" s="42"/>
      <c r="AA54" s="42" t="s">
        <v>591</v>
      </c>
      <c r="AB54" s="769">
        <v>6</v>
      </c>
      <c r="AC54" s="70">
        <v>9</v>
      </c>
      <c r="AD54" s="912">
        <f t="shared" si="4"/>
        <v>0</v>
      </c>
      <c r="AE54" s="2482">
        <v>6</v>
      </c>
      <c r="AG54" s="42"/>
      <c r="AH54" s="42"/>
      <c r="AI54" s="484" t="s">
        <v>545</v>
      </c>
      <c r="AJ54" s="782">
        <v>5.89</v>
      </c>
      <c r="AK54" s="454">
        <v>71</v>
      </c>
      <c r="AL54" s="875">
        <f>+(AK47*AL47+AK48*AL48+AK49*AL49+AK50*AL50+AK51*AL51+AK52*AL52+AK53*AL53)/AK54</f>
        <v>-0.11169014084507047</v>
      </c>
      <c r="AN54" s="107"/>
      <c r="AO54" s="107"/>
      <c r="AP54" s="47" t="s">
        <v>139</v>
      </c>
      <c r="AQ54" s="144">
        <v>6.6</v>
      </c>
      <c r="AR54" s="107">
        <v>10</v>
      </c>
      <c r="AS54" s="144">
        <f t="shared" si="5"/>
        <v>0.59999999999999964</v>
      </c>
      <c r="AT54" s="1"/>
      <c r="AU54" s="1424"/>
      <c r="AV54" s="1424"/>
      <c r="AW54" s="1425" t="s">
        <v>141</v>
      </c>
      <c r="AX54" s="1426">
        <v>7.916666666666667</v>
      </c>
      <c r="AY54" s="1427">
        <v>12</v>
      </c>
      <c r="AZ54" s="144">
        <f t="shared" si="6"/>
        <v>1.916666666666667</v>
      </c>
      <c r="BB54" s="849"/>
      <c r="BC54" s="849"/>
      <c r="BD54" s="850" t="s">
        <v>142</v>
      </c>
      <c r="BE54" s="851">
        <v>6.7272727272727275</v>
      </c>
      <c r="BF54" s="852">
        <v>22</v>
      </c>
      <c r="BG54" s="853">
        <f t="shared" si="7"/>
        <v>0.72727272727272751</v>
      </c>
      <c r="BI54" s="688"/>
      <c r="BJ54" s="688"/>
      <c r="BK54" s="688"/>
      <c r="BL54" s="878" t="s">
        <v>442</v>
      </c>
      <c r="BM54" s="879">
        <v>6.2277777777777779</v>
      </c>
      <c r="BN54" s="880">
        <v>180</v>
      </c>
      <c r="BO54" s="881">
        <v>1.6573201615678153</v>
      </c>
      <c r="BP54" s="882">
        <f>+(BN42*BP42+BN49*BP49+BN53*BP53)/BN54</f>
        <v>0.28888888888888914</v>
      </c>
      <c r="BR54" s="855"/>
      <c r="BS54" s="855"/>
      <c r="BT54" s="856" t="s">
        <v>142</v>
      </c>
      <c r="BU54" s="857">
        <v>7.166666666666667</v>
      </c>
      <c r="BV54" s="857">
        <f t="shared" si="23"/>
        <v>1.166666666666667</v>
      </c>
      <c r="BW54" s="858">
        <v>6</v>
      </c>
      <c r="BX54" s="857">
        <v>9.5</v>
      </c>
      <c r="BY54" s="857">
        <f>BX54-CF53</f>
        <v>2.5</v>
      </c>
      <c r="CA54" s="70"/>
      <c r="CB54" s="70"/>
      <c r="CC54" s="42" t="s">
        <v>112</v>
      </c>
      <c r="CD54" s="70">
        <v>4</v>
      </c>
      <c r="CE54" s="769">
        <f>3.75+3</f>
        <v>6.75</v>
      </c>
      <c r="CF54" s="70">
        <v>6</v>
      </c>
      <c r="CG54" s="769">
        <f t="shared" si="3"/>
        <v>0.75</v>
      </c>
      <c r="CH54" s="42"/>
      <c r="CI54" s="42"/>
      <c r="CJ54" s="859"/>
      <c r="CK54" s="860"/>
      <c r="CL54" s="859" t="s">
        <v>142</v>
      </c>
      <c r="CM54" s="861">
        <v>6.5714285714285721</v>
      </c>
      <c r="CN54" s="860">
        <v>14</v>
      </c>
      <c r="CO54" s="862">
        <v>7</v>
      </c>
      <c r="CP54" s="861">
        <f>CM54-7</f>
        <v>-0.42857142857142794</v>
      </c>
    </row>
    <row r="55" spans="1:94">
      <c r="A55" s="41"/>
      <c r="B55" s="41"/>
      <c r="C55" s="41" t="s">
        <v>141</v>
      </c>
      <c r="D55" s="1496">
        <v>7</v>
      </c>
      <c r="E55" s="105">
        <v>2</v>
      </c>
      <c r="F55" s="1431">
        <f t="shared" si="24"/>
        <v>1</v>
      </c>
      <c r="G55" s="107">
        <v>6</v>
      </c>
      <c r="I55" s="41"/>
      <c r="J55" s="107"/>
      <c r="K55" s="41" t="s">
        <v>591</v>
      </c>
      <c r="L55" s="1496">
        <v>6</v>
      </c>
      <c r="M55" s="105">
        <v>5</v>
      </c>
      <c r="N55" s="1431">
        <v>0</v>
      </c>
      <c r="O55" s="107">
        <v>6</v>
      </c>
      <c r="S55" s="44" t="s">
        <v>1936</v>
      </c>
      <c r="T55" s="4243">
        <v>6</v>
      </c>
      <c r="U55" s="4243">
        <v>3</v>
      </c>
      <c r="V55" s="4780">
        <f t="shared" si="22"/>
        <v>0</v>
      </c>
      <c r="W55" s="4243">
        <v>6</v>
      </c>
      <c r="Y55" s="42"/>
      <c r="Z55" s="42"/>
      <c r="AA55" s="42" t="s">
        <v>1936</v>
      </c>
      <c r="AB55" s="769">
        <v>6.24</v>
      </c>
      <c r="AC55" s="70">
        <v>17</v>
      </c>
      <c r="AD55" s="912">
        <f t="shared" si="4"/>
        <v>0.24000000000000021</v>
      </c>
      <c r="AE55" s="2482">
        <v>6</v>
      </c>
      <c r="AG55" s="42"/>
      <c r="AH55" s="42" t="s">
        <v>41</v>
      </c>
      <c r="AI55" s="42" t="s">
        <v>138</v>
      </c>
      <c r="AJ55" s="769">
        <v>6.33</v>
      </c>
      <c r="AK55" s="70">
        <v>9</v>
      </c>
      <c r="AL55" s="144">
        <f t="shared" si="1"/>
        <v>0.33000000000000007</v>
      </c>
      <c r="AN55" s="107"/>
      <c r="AO55" s="107"/>
      <c r="AP55" s="47" t="s">
        <v>444</v>
      </c>
      <c r="AQ55" s="144">
        <v>6</v>
      </c>
      <c r="AR55" s="107">
        <v>1</v>
      </c>
      <c r="AS55" s="144">
        <f t="shared" si="5"/>
        <v>0</v>
      </c>
      <c r="AT55" s="1"/>
      <c r="AU55" s="1424"/>
      <c r="AV55" s="1424"/>
      <c r="AW55" s="1425" t="s">
        <v>142</v>
      </c>
      <c r="AX55" s="1426">
        <v>7.3</v>
      </c>
      <c r="AY55" s="1427">
        <v>20</v>
      </c>
      <c r="AZ55" s="144">
        <f t="shared" si="6"/>
        <v>1.2999999999999998</v>
      </c>
      <c r="BB55" s="849"/>
      <c r="BC55" s="849"/>
      <c r="BD55" s="872" t="s">
        <v>547</v>
      </c>
      <c r="BE55" s="873">
        <v>6.784313725490196</v>
      </c>
      <c r="BF55" s="874">
        <v>51</v>
      </c>
      <c r="BG55" s="875">
        <f>+(BF49*BG49+BF50*BG50+BF51*BG51+BF52*BG52+BF53*BG53+BF54*BG54)/BF55</f>
        <v>0.76470588235294157</v>
      </c>
      <c r="BI55" s="688"/>
      <c r="BJ55" s="688" t="s">
        <v>59</v>
      </c>
      <c r="BK55" s="688" t="s">
        <v>16</v>
      </c>
      <c r="BL55" s="457" t="s">
        <v>670</v>
      </c>
      <c r="BM55" s="459">
        <v>6.3000000000000007</v>
      </c>
      <c r="BN55" s="458">
        <v>10</v>
      </c>
      <c r="BO55" s="870">
        <v>0.48304589153964789</v>
      </c>
      <c r="BP55" s="459">
        <f t="shared" si="17"/>
        <v>0.30000000000000071</v>
      </c>
      <c r="BR55" s="855"/>
      <c r="BS55" s="855"/>
      <c r="BT55" s="864" t="s">
        <v>547</v>
      </c>
      <c r="BU55" s="863">
        <v>7</v>
      </c>
      <c r="BV55" s="863">
        <f>+(BW49*BV49+BW50*BV50+BW51*BV51+BW52*BV52+BW53*BV53+BW54*BV54)/BW55</f>
        <v>0.72727272727272774</v>
      </c>
      <c r="BW55" s="865">
        <v>33</v>
      </c>
      <c r="BX55" s="863">
        <v>7.6060606060606064</v>
      </c>
      <c r="BY55" s="863">
        <f>+(BW49*BY49+BW50*BY50+BW51*BY51+BW52*BY52+BW53*BY53+BW54*BY54)/BW55</f>
        <v>1.2727272727272732</v>
      </c>
      <c r="CA55" s="70"/>
      <c r="CB55" s="70"/>
      <c r="CC55" s="484" t="s">
        <v>15</v>
      </c>
      <c r="CD55" s="454">
        <v>62</v>
      </c>
      <c r="CE55" s="782">
        <v>6.887096774193548</v>
      </c>
      <c r="CF55" s="454"/>
      <c r="CG55" s="782">
        <f>+(CD50*CG50+CD51*CG51+CD52*CG52+CD53*CG53+CD54*CG54)/CD55</f>
        <v>0.38709677419354865</v>
      </c>
      <c r="CH55" s="867">
        <f>AVERAGE(CG57:CG58)</f>
        <v>0.29864253393665141</v>
      </c>
      <c r="CI55" s="42"/>
      <c r="CJ55" s="859"/>
      <c r="CK55" s="860"/>
      <c r="CL55" s="860" t="s">
        <v>15</v>
      </c>
      <c r="CM55" s="861">
        <v>8.8620689655172384</v>
      </c>
      <c r="CN55" s="860">
        <v>58</v>
      </c>
      <c r="CO55" s="862"/>
      <c r="CP55" s="869">
        <f>AVERAGE(CP49:CP54)</f>
        <v>2.8684704184704191</v>
      </c>
    </row>
    <row r="56" spans="1:94">
      <c r="A56" s="41"/>
      <c r="B56" s="41"/>
      <c r="C56" s="41" t="s">
        <v>142</v>
      </c>
      <c r="D56" s="1496">
        <v>6.67</v>
      </c>
      <c r="E56" s="105">
        <v>6</v>
      </c>
      <c r="F56" s="1431">
        <f t="shared" si="24"/>
        <v>0.66999999999999993</v>
      </c>
      <c r="G56" s="107">
        <v>6</v>
      </c>
      <c r="I56" s="41"/>
      <c r="J56" s="107"/>
      <c r="K56" s="41" t="s">
        <v>1936</v>
      </c>
      <c r="L56" s="1496">
        <v>6</v>
      </c>
      <c r="M56" s="105">
        <v>3</v>
      </c>
      <c r="N56" s="1431">
        <f>L56-6</f>
        <v>0</v>
      </c>
      <c r="O56" s="107">
        <v>6</v>
      </c>
      <c r="S56" s="44" t="s">
        <v>2278</v>
      </c>
      <c r="T56" s="4243">
        <v>7</v>
      </c>
      <c r="U56" s="4243">
        <v>2</v>
      </c>
      <c r="V56" s="4780">
        <f t="shared" si="22"/>
        <v>1</v>
      </c>
      <c r="W56" s="4243">
        <v>6</v>
      </c>
      <c r="Y56" s="42"/>
      <c r="Z56" s="42"/>
      <c r="AA56" s="42" t="s">
        <v>2278</v>
      </c>
      <c r="AB56" s="769">
        <v>6</v>
      </c>
      <c r="AC56" s="70">
        <v>1</v>
      </c>
      <c r="AD56" s="912">
        <f t="shared" si="4"/>
        <v>0</v>
      </c>
      <c r="AE56" s="2482">
        <v>6</v>
      </c>
      <c r="AG56" s="42"/>
      <c r="AH56" s="42"/>
      <c r="AI56" s="42" t="s">
        <v>139</v>
      </c>
      <c r="AJ56" s="769">
        <v>6.23</v>
      </c>
      <c r="AK56" s="70">
        <v>13</v>
      </c>
      <c r="AL56" s="144">
        <f t="shared" si="1"/>
        <v>0.23000000000000043</v>
      </c>
      <c r="AN56" s="107"/>
      <c r="AO56" s="107"/>
      <c r="AP56" s="47" t="s">
        <v>141</v>
      </c>
      <c r="AQ56" s="144">
        <v>6.92</v>
      </c>
      <c r="AR56" s="107">
        <v>12</v>
      </c>
      <c r="AS56" s="144">
        <f t="shared" si="5"/>
        <v>0.91999999999999993</v>
      </c>
      <c r="AT56" s="1"/>
      <c r="AU56" s="1424"/>
      <c r="AV56" s="1424"/>
      <c r="AW56" s="1425" t="s">
        <v>827</v>
      </c>
      <c r="AX56" s="1426">
        <v>4</v>
      </c>
      <c r="AY56" s="1427">
        <v>5</v>
      </c>
      <c r="AZ56" s="144">
        <f t="shared" si="6"/>
        <v>-2</v>
      </c>
      <c r="BB56" s="849"/>
      <c r="BC56" s="849" t="s">
        <v>104</v>
      </c>
      <c r="BD56" s="850" t="s">
        <v>143</v>
      </c>
      <c r="BE56" s="851">
        <v>6</v>
      </c>
      <c r="BF56" s="852">
        <v>19</v>
      </c>
      <c r="BG56" s="853">
        <f t="shared" si="7"/>
        <v>0</v>
      </c>
      <c r="BI56" s="688"/>
      <c r="BJ56" s="688"/>
      <c r="BK56" s="688"/>
      <c r="BL56" s="784" t="s">
        <v>545</v>
      </c>
      <c r="BM56" s="462">
        <v>6.3000000000000007</v>
      </c>
      <c r="BN56" s="463">
        <v>10</v>
      </c>
      <c r="BO56" s="877">
        <v>0.48304589153964789</v>
      </c>
      <c r="BP56" s="863">
        <f>+(BN55*BP55)/BN56</f>
        <v>0.30000000000000071</v>
      </c>
      <c r="BR56" s="855"/>
      <c r="CA56" s="70"/>
      <c r="CB56" s="70"/>
      <c r="CC56" s="42"/>
      <c r="CD56" s="42"/>
      <c r="CE56" s="42"/>
      <c r="CF56" s="42"/>
      <c r="CG56" s="42"/>
      <c r="CH56" s="42"/>
      <c r="CI56" s="42"/>
      <c r="CJ56" s="859"/>
      <c r="CK56" s="860" t="s">
        <v>104</v>
      </c>
      <c r="CL56" s="859" t="s">
        <v>143</v>
      </c>
      <c r="CM56" s="861">
        <v>6.375</v>
      </c>
      <c r="CN56" s="860">
        <v>16</v>
      </c>
      <c r="CO56" s="862">
        <v>6</v>
      </c>
      <c r="CP56" s="861">
        <f>CM56-6</f>
        <v>0.375</v>
      </c>
    </row>
    <row r="57" spans="1:94">
      <c r="A57" s="41"/>
      <c r="B57" s="41"/>
      <c r="C57" s="41" t="s">
        <v>1937</v>
      </c>
      <c r="D57" s="1496">
        <v>7.67</v>
      </c>
      <c r="E57" s="105">
        <v>3</v>
      </c>
      <c r="F57" s="1431">
        <f t="shared" si="24"/>
        <v>1.67</v>
      </c>
      <c r="G57" s="107">
        <v>6</v>
      </c>
      <c r="I57" s="41"/>
      <c r="J57" s="107"/>
      <c r="K57" s="41" t="s">
        <v>2278</v>
      </c>
      <c r="L57" s="1496">
        <v>7</v>
      </c>
      <c r="M57" s="105">
        <v>2</v>
      </c>
      <c r="N57" s="1431">
        <f>L57-6</f>
        <v>1</v>
      </c>
      <c r="O57" s="107">
        <v>6</v>
      </c>
      <c r="S57" s="44" t="s">
        <v>2283</v>
      </c>
      <c r="T57" s="4243">
        <v>6</v>
      </c>
      <c r="U57" s="4243">
        <v>7</v>
      </c>
      <c r="V57" s="4780">
        <f t="shared" si="22"/>
        <v>0</v>
      </c>
      <c r="W57" s="4243">
        <v>6</v>
      </c>
      <c r="Y57" s="42"/>
      <c r="Z57" s="42"/>
      <c r="AA57" s="484" t="s">
        <v>545</v>
      </c>
      <c r="AB57" s="782">
        <v>6.31</v>
      </c>
      <c r="AC57" s="2479">
        <v>98</v>
      </c>
      <c r="AD57" s="875">
        <f>+(AC47*AD47+AC48*AD48+AC49*AD49+AC50*AD50+AC51*AD51+AC52*AD52+AC53*AD53+AC54*AD54+AC55*AD55+AC56*AD56)/AC57</f>
        <v>0.30836734693877543</v>
      </c>
      <c r="AE57" s="2482"/>
      <c r="AG57" s="42"/>
      <c r="AH57" s="42"/>
      <c r="AI57" s="42" t="s">
        <v>140</v>
      </c>
      <c r="AJ57" s="769">
        <v>5.69</v>
      </c>
      <c r="AK57" s="70">
        <v>13</v>
      </c>
      <c r="AL57" s="144">
        <f t="shared" si="1"/>
        <v>-0.30999999999999961</v>
      </c>
      <c r="AN57" s="107"/>
      <c r="AO57" s="107"/>
      <c r="AP57" s="47" t="s">
        <v>142</v>
      </c>
      <c r="AQ57" s="144">
        <v>6.53</v>
      </c>
      <c r="AR57" s="107">
        <v>17</v>
      </c>
      <c r="AS57" s="144">
        <f t="shared" si="5"/>
        <v>0.53000000000000025</v>
      </c>
      <c r="AT57" s="1"/>
      <c r="AU57" s="1424"/>
      <c r="AV57" s="1424"/>
      <c r="AW57" s="1428" t="s">
        <v>547</v>
      </c>
      <c r="AX57" s="1429">
        <v>6.4516129032258061</v>
      </c>
      <c r="AY57" s="1430">
        <v>62</v>
      </c>
      <c r="AZ57" s="875">
        <f>+(AY51*AZ51+AY52*AZ52+AY53*AZ53+AY54*AZ54+AY55*AZ55+AY56*AZ56)/AY57</f>
        <v>0.45161290322580644</v>
      </c>
      <c r="BB57" s="849"/>
      <c r="BC57" s="849"/>
      <c r="BD57" s="850" t="s">
        <v>418</v>
      </c>
      <c r="BE57" s="851">
        <v>7</v>
      </c>
      <c r="BF57" s="852">
        <v>1</v>
      </c>
      <c r="BG57" s="853">
        <f t="shared" si="7"/>
        <v>1</v>
      </c>
      <c r="BI57" s="688"/>
      <c r="BJ57" s="688"/>
      <c r="BK57" s="688"/>
      <c r="BL57" s="878" t="s">
        <v>260</v>
      </c>
      <c r="BM57" s="879">
        <v>6.3000000000000007</v>
      </c>
      <c r="BN57" s="880">
        <v>10</v>
      </c>
      <c r="BO57" s="900">
        <v>0.48304589153964789</v>
      </c>
      <c r="BP57" s="882">
        <f>+(BN56*BP56)/BN57</f>
        <v>0.30000000000000071</v>
      </c>
      <c r="BR57" s="855"/>
      <c r="BS57" s="855" t="s">
        <v>104</v>
      </c>
      <c r="BT57" s="856" t="s">
        <v>143</v>
      </c>
      <c r="BU57" s="857">
        <v>6</v>
      </c>
      <c r="BV57" s="857">
        <f>BU57-CF57</f>
        <v>0</v>
      </c>
      <c r="BW57" s="858">
        <v>12</v>
      </c>
      <c r="BX57" s="857">
        <v>6</v>
      </c>
      <c r="BY57" s="857">
        <f>BX57-CF57</f>
        <v>0</v>
      </c>
      <c r="CA57" s="70"/>
      <c r="CB57" s="70" t="s">
        <v>104</v>
      </c>
      <c r="CC57" s="42" t="s">
        <v>143</v>
      </c>
      <c r="CD57" s="70">
        <v>17</v>
      </c>
      <c r="CE57" s="769">
        <v>6.0588235294117645</v>
      </c>
      <c r="CF57" s="70">
        <v>6</v>
      </c>
      <c r="CG57" s="769">
        <f t="shared" si="3"/>
        <v>5.8823529411764497E-2</v>
      </c>
      <c r="CH57" s="42"/>
      <c r="CI57" s="42"/>
      <c r="CJ57" s="859"/>
      <c r="CK57" s="860"/>
      <c r="CL57" s="860" t="s">
        <v>15</v>
      </c>
      <c r="CM57" s="861">
        <v>6.375</v>
      </c>
      <c r="CN57" s="860">
        <v>16</v>
      </c>
      <c r="CO57" s="862"/>
      <c r="CP57" s="869">
        <f>CM57-6</f>
        <v>0.375</v>
      </c>
    </row>
    <row r="58" spans="1:94" ht="15" thickBot="1">
      <c r="A58" s="41"/>
      <c r="B58" s="41"/>
      <c r="C58" s="41" t="s">
        <v>827</v>
      </c>
      <c r="D58" s="1496">
        <v>6</v>
      </c>
      <c r="E58" s="105">
        <v>4</v>
      </c>
      <c r="F58" s="1431">
        <f t="shared" si="24"/>
        <v>0</v>
      </c>
      <c r="G58" s="107">
        <v>6</v>
      </c>
      <c r="I58" s="41"/>
      <c r="J58" s="107"/>
      <c r="K58" s="41" t="s">
        <v>2283</v>
      </c>
      <c r="L58" s="1496">
        <v>6</v>
      </c>
      <c r="M58" s="105">
        <v>8</v>
      </c>
      <c r="N58" s="1431">
        <f>L58-6</f>
        <v>0</v>
      </c>
      <c r="O58" s="107">
        <v>6</v>
      </c>
      <c r="S58" s="4716" t="s">
        <v>545</v>
      </c>
      <c r="T58" s="4723">
        <v>6.28</v>
      </c>
      <c r="U58" s="4723">
        <v>60</v>
      </c>
      <c r="V58" s="4771">
        <f>+(U48*V48+U49*V49+U50*V50+U51*V51+U52*V52+U53*V53+U54*V54+U55*V55+U56*V56+U57*V57)/U58</f>
        <v>0.28416666666666662</v>
      </c>
      <c r="W58" s="4243"/>
      <c r="Y58" s="42"/>
      <c r="Z58" s="42" t="s">
        <v>41</v>
      </c>
      <c r="AA58" s="42" t="s">
        <v>139</v>
      </c>
      <c r="AB58" s="769">
        <v>6.67</v>
      </c>
      <c r="AC58" s="70">
        <v>15</v>
      </c>
      <c r="AD58" s="912">
        <f t="shared" si="4"/>
        <v>-0.33000000000000007</v>
      </c>
      <c r="AE58" s="2482">
        <v>7</v>
      </c>
      <c r="AG58" s="42"/>
      <c r="AH58" s="42"/>
      <c r="AI58" s="42" t="s">
        <v>444</v>
      </c>
      <c r="AJ58" s="769">
        <v>6</v>
      </c>
      <c r="AK58" s="70">
        <v>4</v>
      </c>
      <c r="AL58" s="144">
        <f t="shared" si="1"/>
        <v>0</v>
      </c>
      <c r="AN58" s="107"/>
      <c r="AO58" s="107"/>
      <c r="AP58" s="47" t="s">
        <v>1937</v>
      </c>
      <c r="AQ58" s="144">
        <v>6</v>
      </c>
      <c r="AR58" s="107">
        <v>3</v>
      </c>
      <c r="AS58" s="144">
        <f t="shared" si="5"/>
        <v>0</v>
      </c>
      <c r="AT58" s="1"/>
      <c r="AU58" s="1424"/>
      <c r="AV58" s="1424" t="s">
        <v>104</v>
      </c>
      <c r="AW58" s="1425" t="s">
        <v>143</v>
      </c>
      <c r="AX58" s="1426">
        <v>6.0526315789473681</v>
      </c>
      <c r="AY58" s="1427">
        <v>19</v>
      </c>
      <c r="AZ58" s="144">
        <f t="shared" si="6"/>
        <v>5.2631578947368141E-2</v>
      </c>
      <c r="BB58" s="849"/>
      <c r="BC58" s="849"/>
      <c r="BD58" s="850" t="s">
        <v>419</v>
      </c>
      <c r="BE58" s="851">
        <v>6</v>
      </c>
      <c r="BF58" s="852">
        <v>3</v>
      </c>
      <c r="BG58" s="853">
        <f t="shared" si="7"/>
        <v>0</v>
      </c>
      <c r="BI58" s="712"/>
      <c r="BJ58" s="712"/>
      <c r="BK58" s="712"/>
      <c r="BL58" s="794" t="s">
        <v>113</v>
      </c>
      <c r="BM58" s="468">
        <v>6.9778270509977807</v>
      </c>
      <c r="BN58" s="467">
        <v>451</v>
      </c>
      <c r="BO58" s="795">
        <v>2.0098525487706675</v>
      </c>
      <c r="BP58" s="901">
        <f>+(BN16*BP16+BN33*BP33+BN54*BP54+BN57*BP57)/BN58</f>
        <v>1.266075388026608</v>
      </c>
      <c r="BR58" s="855"/>
      <c r="BS58" s="855"/>
      <c r="BT58" s="856" t="s">
        <v>419</v>
      </c>
      <c r="BU58" s="857">
        <v>6</v>
      </c>
      <c r="BV58" s="857">
        <f>BU58-CF58</f>
        <v>0</v>
      </c>
      <c r="BW58" s="858">
        <v>2</v>
      </c>
      <c r="BX58" s="857">
        <v>6</v>
      </c>
      <c r="BY58" s="857">
        <f>BX58-CF58</f>
        <v>0</v>
      </c>
      <c r="CA58" s="70"/>
      <c r="CB58" s="70"/>
      <c r="CC58" s="42" t="s">
        <v>418</v>
      </c>
      <c r="CD58" s="70">
        <v>13</v>
      </c>
      <c r="CE58" s="769">
        <v>6.5384615384615383</v>
      </c>
      <c r="CF58" s="70">
        <v>6</v>
      </c>
      <c r="CG58" s="769">
        <f t="shared" si="3"/>
        <v>0.53846153846153832</v>
      </c>
      <c r="CH58" s="42"/>
      <c r="CI58" s="42"/>
      <c r="CJ58" s="859"/>
      <c r="CK58" s="860"/>
      <c r="CL58" s="902" t="s">
        <v>442</v>
      </c>
      <c r="CM58" s="903">
        <v>7.3631578947368457</v>
      </c>
      <c r="CN58" s="904">
        <v>190</v>
      </c>
      <c r="CO58" s="862"/>
      <c r="CP58" s="903">
        <f>AVERAGE(CP46,CP55,CP57)</f>
        <v>1.6427991320848463</v>
      </c>
    </row>
    <row r="59" spans="1:94" ht="15" thickBot="1">
      <c r="A59" s="41"/>
      <c r="B59" s="41"/>
      <c r="C59" s="41" t="s">
        <v>2539</v>
      </c>
      <c r="D59" s="1496">
        <v>6.25</v>
      </c>
      <c r="E59" s="105">
        <v>4</v>
      </c>
      <c r="F59" s="1431">
        <f t="shared" si="24"/>
        <v>0.25</v>
      </c>
      <c r="G59" s="107">
        <v>6</v>
      </c>
      <c r="I59" s="41"/>
      <c r="J59" s="107"/>
      <c r="K59" s="461" t="s">
        <v>545</v>
      </c>
      <c r="L59" s="1511">
        <v>5.79</v>
      </c>
      <c r="M59" s="4686">
        <v>76</v>
      </c>
      <c r="N59" s="1989">
        <f>+(M49*N49+M50*N50+M51*N51+M52*N52+M53*N53+M54*N54+M55*N55+M56*N56+M57*N57+M58*N58)/M59</f>
        <v>-0.24763157894736842</v>
      </c>
      <c r="O59" s="107"/>
      <c r="R59" s="44" t="s">
        <v>41</v>
      </c>
      <c r="S59" s="44" t="s">
        <v>139</v>
      </c>
      <c r="T59" s="4243">
        <v>6.38</v>
      </c>
      <c r="U59" s="4243">
        <v>8</v>
      </c>
      <c r="V59" s="4780">
        <f t="shared" si="22"/>
        <v>-0.62000000000000011</v>
      </c>
      <c r="W59" s="4243">
        <v>7</v>
      </c>
      <c r="Y59" s="42"/>
      <c r="Z59" s="42"/>
      <c r="AA59" s="42" t="s">
        <v>140</v>
      </c>
      <c r="AB59" s="769">
        <v>5.2</v>
      </c>
      <c r="AC59" s="70">
        <v>5</v>
      </c>
      <c r="AD59" s="912">
        <f t="shared" si="4"/>
        <v>0.20000000000000018</v>
      </c>
      <c r="AE59" s="2482">
        <v>5</v>
      </c>
      <c r="AG59" s="42"/>
      <c r="AH59" s="42"/>
      <c r="AI59" s="42" t="s">
        <v>141</v>
      </c>
      <c r="AJ59" s="769">
        <v>6.67</v>
      </c>
      <c r="AK59" s="70">
        <v>9</v>
      </c>
      <c r="AL59" s="144">
        <f t="shared" si="1"/>
        <v>0.66999999999999993</v>
      </c>
      <c r="AN59" s="107"/>
      <c r="AO59" s="107"/>
      <c r="AP59" s="47" t="s">
        <v>827</v>
      </c>
      <c r="AQ59" s="144">
        <v>4</v>
      </c>
      <c r="AR59" s="107">
        <v>2</v>
      </c>
      <c r="AS59" s="144">
        <f t="shared" si="5"/>
        <v>-2</v>
      </c>
      <c r="AT59" s="1"/>
      <c r="AU59" s="1424"/>
      <c r="AV59" s="1424"/>
      <c r="AW59" s="1425" t="s">
        <v>418</v>
      </c>
      <c r="AX59" s="1426">
        <v>6</v>
      </c>
      <c r="AY59" s="1427">
        <v>15</v>
      </c>
      <c r="AZ59" s="144">
        <f t="shared" si="6"/>
        <v>0</v>
      </c>
      <c r="BB59" s="849"/>
      <c r="BC59" s="849"/>
      <c r="BD59" s="872" t="s">
        <v>844</v>
      </c>
      <c r="BE59" s="873">
        <v>6.0434782608695645</v>
      </c>
      <c r="BF59" s="874">
        <v>23</v>
      </c>
      <c r="BG59" s="875">
        <f t="shared" si="7"/>
        <v>4.3478260869564522E-2</v>
      </c>
      <c r="BI59" s="688"/>
      <c r="BJ59" s="688"/>
      <c r="BK59" s="688"/>
      <c r="BL59" s="457"/>
      <c r="BM59" s="797"/>
      <c r="BN59" s="798"/>
      <c r="BO59" s="905"/>
      <c r="BP59" s="797"/>
      <c r="BR59" s="906"/>
      <c r="BS59" s="906"/>
      <c r="BT59" s="907" t="s">
        <v>844</v>
      </c>
      <c r="BU59" s="908">
        <v>6</v>
      </c>
      <c r="BV59" s="908">
        <f>+(BW57*BV57+BW58*BV58)/BW59</f>
        <v>0</v>
      </c>
      <c r="BW59" s="909">
        <v>14</v>
      </c>
      <c r="BX59" s="908">
        <v>6</v>
      </c>
      <c r="BY59" s="908">
        <f>+(BW57*BY57+BW58*BY58)/BW59</f>
        <v>0</v>
      </c>
      <c r="CA59" s="542"/>
      <c r="CB59" s="542"/>
      <c r="CC59" s="544" t="s">
        <v>15</v>
      </c>
      <c r="CD59" s="491">
        <v>30</v>
      </c>
      <c r="CE59" s="804">
        <v>6.2666666666666675</v>
      </c>
      <c r="CF59" s="491"/>
      <c r="CG59" s="804">
        <f>+(CD57*CG57+CD58*CG58)/CD59</f>
        <v>0.2666666666666665</v>
      </c>
      <c r="CH59" s="867">
        <f>AVERAGE(CG9,CG25)</f>
        <v>6.7570770243581295</v>
      </c>
      <c r="CI59" s="42"/>
      <c r="CJ59" s="859"/>
      <c r="CK59" s="891"/>
      <c r="CL59" s="892" t="s">
        <v>113</v>
      </c>
      <c r="CM59" s="893">
        <v>8.6808988764044948</v>
      </c>
      <c r="CN59" s="894">
        <v>445</v>
      </c>
      <c r="CO59" s="895"/>
      <c r="CP59" s="910">
        <f>AVERAGE(CP18,CP38,CP58)</f>
        <v>2.7813914865145883</v>
      </c>
    </row>
    <row r="60" spans="1:94">
      <c r="A60" s="41"/>
      <c r="B60" s="41"/>
      <c r="C60" s="41" t="s">
        <v>3865</v>
      </c>
      <c r="D60" s="1496">
        <v>6</v>
      </c>
      <c r="E60" s="105">
        <v>1</v>
      </c>
      <c r="F60" s="1431">
        <f t="shared" si="24"/>
        <v>0</v>
      </c>
      <c r="G60" s="107">
        <v>6</v>
      </c>
      <c r="I60" s="41"/>
      <c r="J60" s="107" t="s">
        <v>41</v>
      </c>
      <c r="K60" s="41" t="s">
        <v>139</v>
      </c>
      <c r="L60" s="1496">
        <v>6.27</v>
      </c>
      <c r="M60" s="105">
        <v>11</v>
      </c>
      <c r="N60" s="1431">
        <f t="shared" ref="N60:N66" si="25">L60-6</f>
        <v>0.26999999999999957</v>
      </c>
      <c r="O60" s="107">
        <v>7</v>
      </c>
      <c r="S60" s="44" t="s">
        <v>2922</v>
      </c>
      <c r="T60" s="4243">
        <v>6</v>
      </c>
      <c r="U60" s="4243">
        <v>3</v>
      </c>
      <c r="V60" s="4780">
        <f t="shared" si="22"/>
        <v>1</v>
      </c>
      <c r="W60" s="4243">
        <v>5</v>
      </c>
      <c r="Y60" s="42"/>
      <c r="Z60" s="42"/>
      <c r="AA60" s="42" t="s">
        <v>141</v>
      </c>
      <c r="AB60" s="769">
        <v>6.78</v>
      </c>
      <c r="AC60" s="70">
        <v>18</v>
      </c>
      <c r="AD60" s="912">
        <f t="shared" si="4"/>
        <v>0.78000000000000025</v>
      </c>
      <c r="AE60" s="2482">
        <v>6</v>
      </c>
      <c r="AG60" s="42"/>
      <c r="AH60" s="42"/>
      <c r="AI60" s="42" t="s">
        <v>142</v>
      </c>
      <c r="AJ60" s="769">
        <v>6.41</v>
      </c>
      <c r="AK60" s="70">
        <v>17</v>
      </c>
      <c r="AL60" s="144">
        <f t="shared" si="1"/>
        <v>0.41000000000000014</v>
      </c>
      <c r="AN60" s="107"/>
      <c r="AO60" s="107"/>
      <c r="AP60" s="968" t="s">
        <v>547</v>
      </c>
      <c r="AQ60" s="969">
        <v>6.26</v>
      </c>
      <c r="AR60" s="145">
        <v>54</v>
      </c>
      <c r="AS60" s="875">
        <f>+(AR53*AS53+AR54*AS54+AR55*AS55+AR56*AS56+AR57*AS57+AR58*AS58+AR59*AS59)/AR60</f>
        <v>0.26000000000000006</v>
      </c>
      <c r="AT60" s="1"/>
      <c r="AU60" s="1424"/>
      <c r="AV60" s="1424"/>
      <c r="AW60" s="1425" t="s">
        <v>419</v>
      </c>
      <c r="AX60" s="1426">
        <v>6.1764705882352944</v>
      </c>
      <c r="AY60" s="1427">
        <v>17</v>
      </c>
      <c r="AZ60" s="144">
        <f t="shared" si="6"/>
        <v>0.17647058823529438</v>
      </c>
      <c r="BB60" s="849"/>
      <c r="BC60" s="849"/>
      <c r="BD60" s="896" t="s">
        <v>442</v>
      </c>
      <c r="BE60" s="897">
        <v>6.2536231884057987</v>
      </c>
      <c r="BF60" s="898">
        <v>138</v>
      </c>
      <c r="BG60" s="899">
        <f>+(BF48*BG48+BF55*BG55+BF59*BG59)/BF60</f>
        <v>0.48550724637681159</v>
      </c>
      <c r="BI60" s="688"/>
      <c r="BJ60" s="688"/>
      <c r="BK60" s="688"/>
      <c r="BL60" s="457"/>
      <c r="BM60" s="797"/>
      <c r="BN60" s="798"/>
      <c r="BO60" s="905"/>
      <c r="BP60" s="797"/>
      <c r="CA60" s="70"/>
      <c r="CB60" s="70"/>
      <c r="CC60" s="484"/>
      <c r="CD60" s="454"/>
      <c r="CE60" s="782"/>
      <c r="CF60" s="484"/>
      <c r="CG60" s="484"/>
      <c r="CH60" s="867">
        <f>AVERAGE(CG15,CG32,CG47)</f>
        <v>2.4597069597069585</v>
      </c>
      <c r="CI60" s="42"/>
      <c r="CJ60" s="42"/>
      <c r="CK60" s="859" t="s">
        <v>1374</v>
      </c>
      <c r="CL60" s="859"/>
      <c r="CM60" s="859"/>
      <c r="CN60" s="860"/>
      <c r="CO60" s="860"/>
      <c r="CP60" s="859"/>
    </row>
    <row r="61" spans="1:94">
      <c r="A61" s="41"/>
      <c r="B61" s="41"/>
      <c r="C61" s="41" t="s">
        <v>3921</v>
      </c>
      <c r="D61" s="1496">
        <v>7.5</v>
      </c>
      <c r="E61" s="105">
        <v>2</v>
      </c>
      <c r="F61" s="1431">
        <f t="shared" si="24"/>
        <v>1.5</v>
      </c>
      <c r="G61" s="107">
        <v>6</v>
      </c>
      <c r="I61" s="41"/>
      <c r="J61" s="107"/>
      <c r="K61" s="41" t="s">
        <v>2922</v>
      </c>
      <c r="L61" s="1496">
        <v>6</v>
      </c>
      <c r="M61" s="105">
        <v>4</v>
      </c>
      <c r="N61" s="1431">
        <f t="shared" si="25"/>
        <v>0</v>
      </c>
      <c r="O61" s="107">
        <v>5</v>
      </c>
      <c r="S61" s="44" t="s">
        <v>141</v>
      </c>
      <c r="T61" s="4243">
        <v>7.5</v>
      </c>
      <c r="U61" s="4243">
        <v>10</v>
      </c>
      <c r="V61" s="4780">
        <f t="shared" si="22"/>
        <v>1.5</v>
      </c>
      <c r="W61" s="4243">
        <v>6</v>
      </c>
      <c r="Y61" s="42"/>
      <c r="Z61" s="42"/>
      <c r="AA61" s="42" t="s">
        <v>142</v>
      </c>
      <c r="AB61" s="769">
        <v>7.31</v>
      </c>
      <c r="AC61" s="70">
        <v>13</v>
      </c>
      <c r="AD61" s="912">
        <f t="shared" si="4"/>
        <v>1.3099999999999996</v>
      </c>
      <c r="AE61" s="2482">
        <v>6</v>
      </c>
      <c r="AG61" s="42"/>
      <c r="AH61" s="42"/>
      <c r="AI61" s="42" t="s">
        <v>1937</v>
      </c>
      <c r="AJ61" s="769">
        <v>6</v>
      </c>
      <c r="AK61" s="70">
        <v>6</v>
      </c>
      <c r="AL61" s="144">
        <f t="shared" si="1"/>
        <v>0</v>
      </c>
      <c r="AN61" s="107"/>
      <c r="AO61" s="107" t="s">
        <v>104</v>
      </c>
      <c r="AP61" s="47" t="s">
        <v>143</v>
      </c>
      <c r="AQ61" s="144">
        <v>6</v>
      </c>
      <c r="AR61" s="107">
        <v>24</v>
      </c>
      <c r="AS61" s="144">
        <f t="shared" si="5"/>
        <v>0</v>
      </c>
      <c r="AT61" s="1"/>
      <c r="AU61" s="1424"/>
      <c r="AV61" s="1424"/>
      <c r="AW61" s="1428" t="s">
        <v>844</v>
      </c>
      <c r="AX61" s="1429">
        <v>6.0784313725490184</v>
      </c>
      <c r="AY61" s="1430">
        <v>51</v>
      </c>
      <c r="AZ61" s="875">
        <f>+(AY58*AZ58+AY59*AZ59+AY60*AZ60)/AY61</f>
        <v>7.8431372549019593E-2</v>
      </c>
      <c r="BB61" s="849" t="s">
        <v>59</v>
      </c>
      <c r="BC61" s="849" t="s">
        <v>16</v>
      </c>
      <c r="BD61" s="850" t="s">
        <v>670</v>
      </c>
      <c r="BE61" s="851">
        <v>6.3333333333333339</v>
      </c>
      <c r="BF61" s="852">
        <v>6</v>
      </c>
      <c r="BG61" s="853">
        <f t="shared" si="7"/>
        <v>0.33333333333333393</v>
      </c>
      <c r="BI61" s="688"/>
      <c r="BJ61" s="688"/>
      <c r="BK61" s="688"/>
      <c r="BL61" s="457"/>
      <c r="BM61" s="797"/>
      <c r="BN61" s="798"/>
      <c r="BO61" s="905"/>
      <c r="BP61" s="797"/>
      <c r="BR61" s="855"/>
      <c r="BS61" s="855"/>
      <c r="BT61" s="856"/>
      <c r="BU61" s="857"/>
      <c r="BV61" s="857"/>
      <c r="BW61" s="858"/>
      <c r="BX61" s="858"/>
      <c r="BY61" s="857"/>
      <c r="CA61" s="70"/>
      <c r="CB61" s="70"/>
      <c r="CC61" s="484"/>
      <c r="CD61" s="454"/>
      <c r="CE61" s="782"/>
      <c r="CF61" s="484"/>
      <c r="CG61" s="484"/>
      <c r="CH61" s="867">
        <f>AVERAGE(CG36,CG55)</f>
        <v>1.1509951956074127</v>
      </c>
      <c r="CI61" s="42"/>
      <c r="CJ61" s="42"/>
      <c r="CK61" s="812"/>
      <c r="CL61" s="811"/>
      <c r="CM61" s="811"/>
      <c r="CN61" s="812"/>
      <c r="CO61" s="812"/>
      <c r="CP61" s="811"/>
    </row>
    <row r="62" spans="1:94" s="1" customFormat="1" ht="28.2" thickBot="1">
      <c r="A62" s="47"/>
      <c r="B62" s="47"/>
      <c r="C62" s="968" t="s">
        <v>547</v>
      </c>
      <c r="D62" s="1989">
        <v>6.44</v>
      </c>
      <c r="E62" s="145">
        <v>36</v>
      </c>
      <c r="F62" s="1989">
        <f>+(+E53*F53+E54*F54+E55*F55+E56*F56+E57*F57+E58*F58+E59*F59)/E62</f>
        <v>0.36083333333333317</v>
      </c>
      <c r="G62" s="107">
        <v>6</v>
      </c>
      <c r="I62" s="47"/>
      <c r="J62" s="107"/>
      <c r="K62" s="47" t="s">
        <v>141</v>
      </c>
      <c r="L62" s="1431">
        <v>7.42</v>
      </c>
      <c r="M62" s="107">
        <v>12</v>
      </c>
      <c r="N62" s="1431">
        <f t="shared" si="25"/>
        <v>1.42</v>
      </c>
      <c r="O62" s="107">
        <v>6</v>
      </c>
      <c r="Q62" s="44"/>
      <c r="R62" s="44"/>
      <c r="S62" s="44" t="s">
        <v>142</v>
      </c>
      <c r="T62" s="4243">
        <v>6.91</v>
      </c>
      <c r="U62" s="4243">
        <v>11</v>
      </c>
      <c r="V62" s="4780">
        <f t="shared" si="22"/>
        <v>0.91000000000000014</v>
      </c>
      <c r="W62" s="4243">
        <v>6</v>
      </c>
      <c r="Y62" s="58"/>
      <c r="Z62" s="58"/>
      <c r="AA62" s="58" t="s">
        <v>1937</v>
      </c>
      <c r="AB62" s="912">
        <v>6</v>
      </c>
      <c r="AC62" s="2482">
        <v>7</v>
      </c>
      <c r="AD62" s="912">
        <f t="shared" si="4"/>
        <v>0</v>
      </c>
      <c r="AE62" s="2482">
        <v>6</v>
      </c>
      <c r="AG62" s="58"/>
      <c r="AH62" s="58"/>
      <c r="AI62" s="58" t="s">
        <v>827</v>
      </c>
      <c r="AJ62" s="912">
        <v>6</v>
      </c>
      <c r="AK62" s="2482">
        <v>6</v>
      </c>
      <c r="AL62" s="144">
        <f t="shared" si="1"/>
        <v>0</v>
      </c>
      <c r="AN62" s="107"/>
      <c r="AO62" s="107"/>
      <c r="AP62" s="47" t="s">
        <v>419</v>
      </c>
      <c r="AQ62" s="144">
        <v>6</v>
      </c>
      <c r="AR62" s="107">
        <v>3</v>
      </c>
      <c r="AS62" s="144">
        <f t="shared" si="5"/>
        <v>0</v>
      </c>
      <c r="AU62" s="1424"/>
      <c r="AV62" s="1424"/>
      <c r="AW62" s="1438" t="s">
        <v>442</v>
      </c>
      <c r="AX62" s="1439">
        <v>6.0380434782608665</v>
      </c>
      <c r="AY62" s="1440">
        <v>184</v>
      </c>
      <c r="AZ62" s="1437">
        <f>+(AY50*AZ50+AY57*AZ57+AY61*AZ61)/AY62</f>
        <v>3.8043478260869602E-2</v>
      </c>
      <c r="BB62" s="849"/>
      <c r="BC62" s="849"/>
      <c r="BD62" s="872" t="s">
        <v>545</v>
      </c>
      <c r="BE62" s="873">
        <v>6.3333333333333339</v>
      </c>
      <c r="BF62" s="874">
        <v>6</v>
      </c>
      <c r="BG62" s="875">
        <f t="shared" si="7"/>
        <v>0.33333333333333393</v>
      </c>
      <c r="BI62" s="1096" t="s">
        <v>1009</v>
      </c>
      <c r="BJ62" s="5530"/>
      <c r="BK62" s="5530"/>
      <c r="BL62" s="938" t="s">
        <v>1</v>
      </c>
      <c r="BM62" s="938" t="s">
        <v>1155</v>
      </c>
      <c r="BN62" s="938" t="s">
        <v>1366</v>
      </c>
      <c r="BO62" s="938" t="s">
        <v>1367</v>
      </c>
      <c r="BP62" s="1411" t="s">
        <v>1302</v>
      </c>
      <c r="BR62" s="5531"/>
      <c r="BS62" s="5531"/>
      <c r="BT62" s="754" t="s">
        <v>1</v>
      </c>
      <c r="BU62" s="754" t="s">
        <v>1368</v>
      </c>
      <c r="BV62" s="754" t="s">
        <v>1302</v>
      </c>
      <c r="BW62" s="845" t="s">
        <v>1366</v>
      </c>
      <c r="BX62" s="754" t="s">
        <v>1369</v>
      </c>
      <c r="BY62" s="754" t="s">
        <v>1302</v>
      </c>
      <c r="CA62" s="2482"/>
      <c r="CB62" s="2482"/>
      <c r="CC62" s="756" t="s">
        <v>1</v>
      </c>
      <c r="CD62" s="756" t="s">
        <v>1366</v>
      </c>
      <c r="CE62" s="54" t="s">
        <v>1370</v>
      </c>
      <c r="CF62" s="54" t="s">
        <v>1371</v>
      </c>
      <c r="CG62" s="54" t="s">
        <v>1302</v>
      </c>
      <c r="CH62" s="5532">
        <f>AVERAGE(CG17,CG59)</f>
        <v>1.1333333333333333</v>
      </c>
      <c r="CI62" s="58"/>
      <c r="CJ62" s="58"/>
      <c r="CK62" s="58"/>
      <c r="CL62" s="58"/>
      <c r="CM62" s="58"/>
      <c r="CN62" s="58"/>
      <c r="CO62" s="58"/>
      <c r="CP62" s="58"/>
    </row>
    <row r="63" spans="1:94">
      <c r="A63" s="41"/>
      <c r="B63" s="41" t="s">
        <v>21</v>
      </c>
      <c r="C63" s="41" t="s">
        <v>143</v>
      </c>
      <c r="D63" s="1496">
        <v>6.24</v>
      </c>
      <c r="E63" s="105">
        <v>21</v>
      </c>
      <c r="F63" s="1431">
        <f t="shared" si="24"/>
        <v>0.24000000000000021</v>
      </c>
      <c r="G63" s="107">
        <v>6</v>
      </c>
      <c r="I63" s="41"/>
      <c r="J63" s="107"/>
      <c r="K63" s="41" t="s">
        <v>142</v>
      </c>
      <c r="L63" s="1496">
        <v>6.87</v>
      </c>
      <c r="M63" s="105">
        <v>15</v>
      </c>
      <c r="N63" s="1431">
        <f t="shared" si="25"/>
        <v>0.87000000000000011</v>
      </c>
      <c r="O63" s="107">
        <v>6</v>
      </c>
      <c r="S63" s="44" t="s">
        <v>1937</v>
      </c>
      <c r="T63" s="4243">
        <v>6.33</v>
      </c>
      <c r="U63" s="4243">
        <v>6</v>
      </c>
      <c r="V63" s="4780">
        <f t="shared" si="22"/>
        <v>0.33000000000000007</v>
      </c>
      <c r="W63" s="4243">
        <v>6</v>
      </c>
      <c r="Y63" s="42"/>
      <c r="Z63" s="42"/>
      <c r="AA63" s="42" t="s">
        <v>827</v>
      </c>
      <c r="AB63" s="769">
        <v>6</v>
      </c>
      <c r="AC63" s="70">
        <v>1</v>
      </c>
      <c r="AD63" s="912">
        <f t="shared" si="4"/>
        <v>0</v>
      </c>
      <c r="AE63" s="2482">
        <v>6</v>
      </c>
      <c r="AG63" s="42"/>
      <c r="AH63" s="42"/>
      <c r="AI63" s="42" t="s">
        <v>2539</v>
      </c>
      <c r="AJ63" s="769">
        <v>7</v>
      </c>
      <c r="AK63" s="70">
        <v>1</v>
      </c>
      <c r="AL63" s="144">
        <f t="shared" si="1"/>
        <v>1</v>
      </c>
      <c r="AN63" s="107"/>
      <c r="AO63" s="107"/>
      <c r="AP63" s="968" t="s">
        <v>546</v>
      </c>
      <c r="AQ63" s="969">
        <v>6</v>
      </c>
      <c r="AR63" s="145">
        <v>27</v>
      </c>
      <c r="AS63" s="875">
        <f>+(AR61*AS61+AR62*AS62)/AR63</f>
        <v>0</v>
      </c>
      <c r="AT63" s="1"/>
      <c r="AU63" s="1432" t="s">
        <v>59</v>
      </c>
      <c r="AV63" s="1432" t="s">
        <v>16</v>
      </c>
      <c r="AW63" s="1433" t="s">
        <v>670</v>
      </c>
      <c r="AX63" s="1434">
        <v>6</v>
      </c>
      <c r="AY63" s="1435">
        <v>9</v>
      </c>
      <c r="AZ63" s="1436">
        <f t="shared" si="6"/>
        <v>0</v>
      </c>
      <c r="BB63" s="849"/>
      <c r="BC63" s="849" t="s">
        <v>828</v>
      </c>
      <c r="BD63" s="850" t="s">
        <v>829</v>
      </c>
      <c r="BE63" s="851">
        <v>6</v>
      </c>
      <c r="BF63" s="852">
        <v>8</v>
      </c>
      <c r="BG63" s="853">
        <f t="shared" si="7"/>
        <v>0</v>
      </c>
      <c r="BI63" s="688" t="s">
        <v>709</v>
      </c>
      <c r="BJ63" s="688"/>
      <c r="BK63" s="41"/>
      <c r="BL63" s="688" t="s">
        <v>4</v>
      </c>
      <c r="BM63" s="459">
        <v>8.2528735632183903</v>
      </c>
      <c r="BN63" s="458">
        <v>87</v>
      </c>
      <c r="BO63" s="765">
        <v>2.1470281830268481</v>
      </c>
      <c r="BP63" s="912">
        <f>+(BN9*BP9+BN23*BP23)/BN63</f>
        <v>2.3448275862068968</v>
      </c>
      <c r="BR63" s="855"/>
      <c r="BS63" s="855"/>
      <c r="BT63" s="913" t="s">
        <v>4</v>
      </c>
      <c r="BU63" s="914">
        <v>8.2613636363636349</v>
      </c>
      <c r="BV63" s="912">
        <f>+(BW9*BV9+BW25*BV25)/BW63</f>
        <v>2.3977272727272729</v>
      </c>
      <c r="BW63" s="915">
        <v>88</v>
      </c>
      <c r="BX63" s="914">
        <v>9.318181818181813</v>
      </c>
      <c r="BY63" s="912">
        <f>+(BW9*BY9+BW25*BY25)/BW63</f>
        <v>3.454545454545455</v>
      </c>
      <c r="CA63" s="70"/>
      <c r="CB63" s="70"/>
      <c r="CC63" s="70" t="s">
        <v>4</v>
      </c>
      <c r="CD63" s="70">
        <v>80</v>
      </c>
      <c r="CE63" s="769">
        <v>11.987499999999999</v>
      </c>
      <c r="CF63" s="42"/>
      <c r="CG63" s="769">
        <f>+(CD9*CG9+CD25*CG25)/CD63</f>
        <v>6.1</v>
      </c>
      <c r="CH63" s="42"/>
      <c r="CI63" s="42"/>
      <c r="CJ63" s="42"/>
      <c r="CK63" s="42"/>
      <c r="CL63" s="42"/>
      <c r="CM63" s="42"/>
      <c r="CN63" s="42"/>
      <c r="CO63" s="42"/>
      <c r="CP63" s="42"/>
    </row>
    <row r="64" spans="1:94">
      <c r="A64" s="41"/>
      <c r="B64" s="41"/>
      <c r="C64" s="41" t="s">
        <v>418</v>
      </c>
      <c r="D64" s="1496">
        <v>6.4</v>
      </c>
      <c r="E64" s="105">
        <v>5</v>
      </c>
      <c r="F64" s="1431">
        <f t="shared" si="24"/>
        <v>0.40000000000000036</v>
      </c>
      <c r="G64" s="107">
        <v>6</v>
      </c>
      <c r="I64" s="41"/>
      <c r="J64" s="107"/>
      <c r="K64" s="41" t="s">
        <v>1937</v>
      </c>
      <c r="L64" s="1496">
        <v>6.29</v>
      </c>
      <c r="M64" s="105">
        <v>7</v>
      </c>
      <c r="N64" s="1431">
        <f t="shared" si="25"/>
        <v>0.29000000000000004</v>
      </c>
      <c r="O64" s="107">
        <v>6</v>
      </c>
      <c r="S64" s="44" t="s">
        <v>827</v>
      </c>
      <c r="T64" s="4243">
        <v>6.2</v>
      </c>
      <c r="U64" s="4243">
        <v>5</v>
      </c>
      <c r="V64" s="4780">
        <f t="shared" si="22"/>
        <v>0.20000000000000018</v>
      </c>
      <c r="W64" s="4243">
        <v>6</v>
      </c>
      <c r="Y64" s="42"/>
      <c r="Z64" s="42"/>
      <c r="AA64" s="42" t="s">
        <v>2539</v>
      </c>
      <c r="AB64" s="769">
        <v>4.83</v>
      </c>
      <c r="AC64" s="70">
        <v>6</v>
      </c>
      <c r="AD64" s="912">
        <f t="shared" si="4"/>
        <v>-1.17</v>
      </c>
      <c r="AE64" s="2482">
        <v>6</v>
      </c>
      <c r="AG64" s="42"/>
      <c r="AH64" s="42"/>
      <c r="AI64" s="484" t="s">
        <v>547</v>
      </c>
      <c r="AJ64" s="782">
        <v>6.21</v>
      </c>
      <c r="AK64" s="454">
        <v>78</v>
      </c>
      <c r="AL64" s="875">
        <f>+(+AK55*AL55+AK56*AL56+AK57*AL57+AK58*AL58+AK59*AL59+AK60*AL60+AK61*AL61+AK62*AL62+AK63*AL63)/AK64</f>
        <v>0.20423076923076941</v>
      </c>
      <c r="AN64" s="1676"/>
      <c r="AO64" s="1676"/>
      <c r="AP64" s="1673" t="s">
        <v>442</v>
      </c>
      <c r="AQ64" s="1674">
        <v>6.07</v>
      </c>
      <c r="AR64" s="1675">
        <v>158</v>
      </c>
      <c r="AS64" s="1677">
        <f>+(AR52*AS52+AR60*AS60+AR63*AS63)/AR64</f>
        <v>6.9746835443037891E-2</v>
      </c>
      <c r="AT64" s="1"/>
      <c r="AU64" s="1424"/>
      <c r="AV64" s="1424"/>
      <c r="AW64" s="1428" t="s">
        <v>545</v>
      </c>
      <c r="AX64" s="1429">
        <v>6</v>
      </c>
      <c r="AY64" s="1430">
        <v>9</v>
      </c>
      <c r="AZ64" s="969">
        <f t="shared" si="6"/>
        <v>0</v>
      </c>
      <c r="BB64" s="849"/>
      <c r="BC64" s="849"/>
      <c r="BD64" s="872" t="s">
        <v>849</v>
      </c>
      <c r="BE64" s="873">
        <v>6</v>
      </c>
      <c r="BF64" s="874">
        <v>8</v>
      </c>
      <c r="BG64" s="875">
        <f t="shared" si="7"/>
        <v>0</v>
      </c>
      <c r="BI64" s="688"/>
      <c r="BJ64" s="688"/>
      <c r="BK64" s="41"/>
      <c r="BL64" s="688" t="s">
        <v>16</v>
      </c>
      <c r="BM64" s="459">
        <v>6.8527607361963181</v>
      </c>
      <c r="BN64" s="458">
        <v>163</v>
      </c>
      <c r="BO64" s="765">
        <v>1.86664394441976</v>
      </c>
      <c r="BP64" s="912">
        <f>+(BN13*BP13+BN28*BP28+BN42*BP42+BN56*BP56)/BN64</f>
        <v>0.87116564417177988</v>
      </c>
      <c r="BR64" s="855"/>
      <c r="BT64" s="913" t="s">
        <v>16</v>
      </c>
      <c r="BU64" s="914">
        <v>6.8098591549295771</v>
      </c>
      <c r="BV64" s="912">
        <f>+(BW15*BV15+BW32*BV32+BW48*BV48)/BW64</f>
        <v>0.95774647887323938</v>
      </c>
      <c r="BW64" s="915">
        <v>142</v>
      </c>
      <c r="BX64" s="914">
        <v>7.3732394366197145</v>
      </c>
      <c r="BY64" s="912">
        <f>+(BW15*BY15+BW32*BY32+BW48*BY48)/BW64</f>
        <v>1.4596670934699103</v>
      </c>
      <c r="CA64" s="70"/>
      <c r="CB64" s="70"/>
      <c r="CC64" s="70" t="s">
        <v>16</v>
      </c>
      <c r="CD64" s="70">
        <v>222</v>
      </c>
      <c r="CE64" s="769">
        <v>8.5090090090090076</v>
      </c>
      <c r="CF64" s="42"/>
      <c r="CG64" s="769">
        <f>+(CD15*CG15+CD32*CG32+CD47*CG47)/CD64</f>
        <v>2.509009009009008</v>
      </c>
      <c r="CH64" s="867">
        <f>AVERAGE(CG63:CG66)</f>
        <v>2.6729794014197679</v>
      </c>
      <c r="CI64" s="42"/>
      <c r="CJ64" s="42"/>
      <c r="CK64" s="42"/>
      <c r="CL64" s="42"/>
      <c r="CM64" s="42"/>
      <c r="CN64" s="42"/>
      <c r="CO64" s="42"/>
      <c r="CP64" s="42"/>
    </row>
    <row r="65" spans="1:94" ht="15" customHeight="1">
      <c r="A65" s="41"/>
      <c r="B65" s="41"/>
      <c r="C65" s="461" t="s">
        <v>546</v>
      </c>
      <c r="D65" s="1511">
        <v>6.27</v>
      </c>
      <c r="E65" s="5501">
        <v>26</v>
      </c>
      <c r="F65" s="1989">
        <f>+(E63*F63+E64*F64)/E65</f>
        <v>0.27076923076923098</v>
      </c>
      <c r="G65" s="107">
        <v>6</v>
      </c>
      <c r="I65" s="41"/>
      <c r="J65" s="107"/>
      <c r="K65" s="41" t="s">
        <v>827</v>
      </c>
      <c r="L65" s="1496">
        <v>6.2</v>
      </c>
      <c r="M65" s="105">
        <v>5</v>
      </c>
      <c r="N65" s="1431">
        <f t="shared" si="25"/>
        <v>0.20000000000000018</v>
      </c>
      <c r="O65" s="107">
        <v>6</v>
      </c>
      <c r="S65" s="44" t="s">
        <v>2539</v>
      </c>
      <c r="T65" s="4243">
        <v>8.75</v>
      </c>
      <c r="U65" s="4243">
        <v>4</v>
      </c>
      <c r="V65" s="4780">
        <f t="shared" si="22"/>
        <v>2.75</v>
      </c>
      <c r="W65" s="4243">
        <v>6</v>
      </c>
      <c r="Y65" s="42"/>
      <c r="Z65" s="42"/>
      <c r="AA65" s="484" t="s">
        <v>547</v>
      </c>
      <c r="AB65" s="782">
        <v>6.46</v>
      </c>
      <c r="AC65" s="2479">
        <v>65</v>
      </c>
      <c r="AD65" s="875">
        <f>+(AC58*AD58+AC59*AD59+AC60*AD60+AC61*AD61+AC62*AD62+AC63*AD63+AC64*AD64)/AC65</f>
        <v>0.3092307692307692</v>
      </c>
      <c r="AE65" s="2482"/>
      <c r="AG65" s="42"/>
      <c r="AH65" s="42" t="s">
        <v>21</v>
      </c>
      <c r="AI65" s="42" t="s">
        <v>143</v>
      </c>
      <c r="AJ65" s="769">
        <v>6.07</v>
      </c>
      <c r="AK65" s="70">
        <v>14</v>
      </c>
      <c r="AL65" s="144">
        <f t="shared" si="1"/>
        <v>7.0000000000000284E-2</v>
      </c>
      <c r="AN65" s="107" t="s">
        <v>59</v>
      </c>
      <c r="AO65" s="107" t="s">
        <v>16</v>
      </c>
      <c r="AP65" s="47" t="s">
        <v>670</v>
      </c>
      <c r="AQ65" s="144">
        <v>6</v>
      </c>
      <c r="AR65" s="107">
        <v>7</v>
      </c>
      <c r="AS65" s="144">
        <f t="shared" si="5"/>
        <v>0</v>
      </c>
      <c r="AT65" s="1"/>
      <c r="AU65" s="1424"/>
      <c r="AV65" s="1424" t="s">
        <v>828</v>
      </c>
      <c r="AW65" s="1425" t="s">
        <v>829</v>
      </c>
      <c r="AX65" s="1426">
        <v>6.2727272727272725</v>
      </c>
      <c r="AY65" s="1427">
        <v>11</v>
      </c>
      <c r="AZ65" s="144">
        <f t="shared" si="6"/>
        <v>0.27272727272727249</v>
      </c>
      <c r="BB65" s="849"/>
      <c r="BC65" s="849" t="s">
        <v>64</v>
      </c>
      <c r="BD65" s="850" t="s">
        <v>671</v>
      </c>
      <c r="BE65" s="851">
        <v>7</v>
      </c>
      <c r="BF65" s="852">
        <v>1</v>
      </c>
      <c r="BG65" s="853">
        <f t="shared" si="7"/>
        <v>1</v>
      </c>
      <c r="BI65" s="688"/>
      <c r="BJ65" s="688"/>
      <c r="BK65" s="41"/>
      <c r="BL65" s="688" t="s">
        <v>41</v>
      </c>
      <c r="BM65" s="459">
        <v>7.0796460176991109</v>
      </c>
      <c r="BN65" s="458">
        <v>113</v>
      </c>
      <c r="BO65" s="765">
        <v>1.9371444047892552</v>
      </c>
      <c r="BP65" s="912">
        <f>+(BN32*BP32+BN49*BP49)/BN65</f>
        <v>1.1504424778761069</v>
      </c>
      <c r="BR65" s="855"/>
      <c r="BT65" s="913" t="s">
        <v>41</v>
      </c>
      <c r="BU65" s="914">
        <v>8.0128205128205092</v>
      </c>
      <c r="BV65" s="912">
        <f>+(BW25*BV25+BW55*BV55)/BW65</f>
        <v>2.1282051282051291</v>
      </c>
      <c r="BW65" s="915">
        <v>78</v>
      </c>
      <c r="BX65" s="914">
        <v>8.4102564102564088</v>
      </c>
      <c r="BY65" s="912">
        <f>+(BW36*BY36+BW55*BY55)/BW65</f>
        <v>2.2692307692307701</v>
      </c>
      <c r="CA65" s="70"/>
      <c r="CB65" s="70"/>
      <c r="CC65" s="70" t="s">
        <v>41</v>
      </c>
      <c r="CD65" s="70">
        <v>109</v>
      </c>
      <c r="CE65" s="769">
        <v>7.330275229357798</v>
      </c>
      <c r="CF65" s="42"/>
      <c r="CG65" s="769">
        <f>+(CD36*CG36+CD55*CG55)/CD65</f>
        <v>1.0458715596330277</v>
      </c>
      <c r="CH65" s="42"/>
      <c r="CI65" s="42"/>
      <c r="CJ65" s="42"/>
      <c r="CK65" s="42"/>
      <c r="CL65" s="42"/>
      <c r="CM65" s="42"/>
      <c r="CN65" s="42"/>
      <c r="CO65" s="42"/>
      <c r="CP65" s="42"/>
    </row>
    <row r="66" spans="1:94">
      <c r="A66" s="5527"/>
      <c r="B66" s="5527"/>
      <c r="C66" s="5488" t="s">
        <v>442</v>
      </c>
      <c r="D66" s="5528">
        <v>5.87</v>
      </c>
      <c r="E66" s="5489">
        <v>105</v>
      </c>
      <c r="F66" s="1990">
        <f>+(E52*F52+E62*F62+E65*F65)/E66</f>
        <v>-0.16085714285714287</v>
      </c>
      <c r="G66" s="5529"/>
      <c r="I66" s="41"/>
      <c r="J66" s="107"/>
      <c r="K66" s="41" t="s">
        <v>2539</v>
      </c>
      <c r="L66" s="1496">
        <v>7.57</v>
      </c>
      <c r="M66" s="105">
        <v>7</v>
      </c>
      <c r="N66" s="1431">
        <f t="shared" si="25"/>
        <v>1.5700000000000003</v>
      </c>
      <c r="O66" s="107">
        <v>6</v>
      </c>
      <c r="S66" s="4716" t="s">
        <v>547</v>
      </c>
      <c r="T66" s="4723">
        <v>6.89</v>
      </c>
      <c r="U66" s="4723">
        <v>47</v>
      </c>
      <c r="V66" s="4771">
        <f>+(U59*V59+U60*V60+U61*V61+U62*V62+U63*V63+U64*V64+U65*V65)/U66</f>
        <v>0.78787234042553189</v>
      </c>
      <c r="W66" s="4243"/>
      <c r="Y66" s="42"/>
      <c r="Z66" s="42" t="s">
        <v>21</v>
      </c>
      <c r="AA66" s="42" t="s">
        <v>143</v>
      </c>
      <c r="AB66" s="769">
        <v>6.04</v>
      </c>
      <c r="AC66" s="70">
        <v>27</v>
      </c>
      <c r="AD66" s="912">
        <f t="shared" si="4"/>
        <v>4.0000000000000036E-2</v>
      </c>
      <c r="AE66" s="2482">
        <v>6</v>
      </c>
      <c r="AG66" s="42"/>
      <c r="AH66" s="42"/>
      <c r="AI66" s="42" t="s">
        <v>418</v>
      </c>
      <c r="AJ66" s="769">
        <v>6</v>
      </c>
      <c r="AK66" s="70">
        <v>15</v>
      </c>
      <c r="AL66" s="144">
        <f t="shared" si="1"/>
        <v>0</v>
      </c>
      <c r="AN66" s="107"/>
      <c r="AO66" s="107"/>
      <c r="AP66" s="968" t="s">
        <v>545</v>
      </c>
      <c r="AQ66" s="969">
        <v>6</v>
      </c>
      <c r="AR66" s="145">
        <v>7</v>
      </c>
      <c r="AS66" s="969">
        <f t="shared" si="5"/>
        <v>0</v>
      </c>
      <c r="AT66" s="1"/>
      <c r="AU66" s="1424"/>
      <c r="AV66" s="1424"/>
      <c r="AW66" s="1428" t="s">
        <v>849</v>
      </c>
      <c r="AX66" s="1429">
        <v>6.2727272727272725</v>
      </c>
      <c r="AY66" s="1430">
        <v>11</v>
      </c>
      <c r="AZ66" s="144">
        <f t="shared" si="6"/>
        <v>0.27272727272727249</v>
      </c>
      <c r="BB66" s="849"/>
      <c r="BC66" s="849"/>
      <c r="BD66" s="872" t="s">
        <v>549</v>
      </c>
      <c r="BE66" s="873">
        <v>7</v>
      </c>
      <c r="BF66" s="874">
        <v>1</v>
      </c>
      <c r="BG66" s="875">
        <f t="shared" si="7"/>
        <v>1</v>
      </c>
      <c r="BI66" s="688"/>
      <c r="BJ66" s="688"/>
      <c r="BK66" s="41"/>
      <c r="BL66" s="688" t="s">
        <v>104</v>
      </c>
      <c r="BM66" s="459">
        <v>5.8181818181818192</v>
      </c>
      <c r="BN66" s="458">
        <v>88</v>
      </c>
      <c r="BO66" s="765">
        <v>1.4105143314429143</v>
      </c>
      <c r="BP66" s="912">
        <f>+(BN15*BP15+BN53*BP53)/BN66</f>
        <v>1.0795454545454544</v>
      </c>
      <c r="BR66" s="855"/>
      <c r="BT66" s="913" t="s">
        <v>104</v>
      </c>
      <c r="BU66" s="914">
        <v>4.8611111111111107</v>
      </c>
      <c r="BV66" s="912">
        <f>+(BW17*BV17+BW59*BV59)/BW66</f>
        <v>-1.1388888888888886</v>
      </c>
      <c r="BW66" s="915">
        <v>36</v>
      </c>
      <c r="BX66" s="914">
        <v>6.6388888888888902</v>
      </c>
      <c r="BY66" s="912">
        <f>+(BW17*BY17+BW59*BY59)/BW66</f>
        <v>0.63888888888888806</v>
      </c>
      <c r="CA66" s="70"/>
      <c r="CB66" s="70"/>
      <c r="CC66" s="70" t="s">
        <v>104</v>
      </c>
      <c r="CD66" s="70">
        <v>54</v>
      </c>
      <c r="CE66" s="769">
        <v>7.0370370370370372</v>
      </c>
      <c r="CF66" s="42"/>
      <c r="CG66" s="769">
        <f>+(CD17*CG17+CD59*CG59)/CD66</f>
        <v>1.037037037037037</v>
      </c>
      <c r="CH66" s="42"/>
      <c r="CI66" s="42"/>
      <c r="CJ66" s="42"/>
      <c r="CK66" s="42"/>
      <c r="CL66" s="42"/>
      <c r="CM66" s="42"/>
      <c r="CN66" s="42"/>
      <c r="CO66" s="42"/>
      <c r="CP66" s="42"/>
    </row>
    <row r="67" spans="1:94" ht="15" thickBot="1">
      <c r="A67" s="41" t="s">
        <v>59</v>
      </c>
      <c r="B67" s="41" t="s">
        <v>16</v>
      </c>
      <c r="C67" s="41" t="s">
        <v>670</v>
      </c>
      <c r="D67" s="1496">
        <v>6.29</v>
      </c>
      <c r="E67" s="105">
        <v>7</v>
      </c>
      <c r="F67" s="1431">
        <f t="shared" ref="F67:F72" si="26">D67-6</f>
        <v>0.29000000000000004</v>
      </c>
      <c r="G67" s="107">
        <v>6</v>
      </c>
      <c r="I67" s="41"/>
      <c r="J67" s="107"/>
      <c r="K67" s="41"/>
      <c r="L67" s="1496"/>
      <c r="M67" s="105"/>
      <c r="N67" s="1431"/>
      <c r="O67" s="107"/>
      <c r="R67" s="44" t="s">
        <v>21</v>
      </c>
      <c r="S67" s="44" t="s">
        <v>143</v>
      </c>
      <c r="T67" s="4243">
        <v>6.33</v>
      </c>
      <c r="U67" s="4243">
        <v>3</v>
      </c>
      <c r="V67" s="4780">
        <f t="shared" si="22"/>
        <v>0.33000000000000007</v>
      </c>
      <c r="W67" s="4243">
        <v>6</v>
      </c>
      <c r="Y67" s="42"/>
      <c r="Z67" s="42"/>
      <c r="AA67" s="42" t="s">
        <v>418</v>
      </c>
      <c r="AB67" s="769">
        <v>6</v>
      </c>
      <c r="AC67" s="70">
        <v>2</v>
      </c>
      <c r="AD67" s="912">
        <f t="shared" si="4"/>
        <v>0</v>
      </c>
      <c r="AE67" s="2482">
        <v>6</v>
      </c>
      <c r="AG67" s="42"/>
      <c r="AH67" s="42"/>
      <c r="AI67" s="42" t="s">
        <v>419</v>
      </c>
      <c r="AJ67" s="769">
        <v>6.56</v>
      </c>
      <c r="AK67" s="70">
        <v>9</v>
      </c>
      <c r="AL67" s="144">
        <f t="shared" si="1"/>
        <v>0.55999999999999961</v>
      </c>
      <c r="AN67" s="107"/>
      <c r="AO67" s="107" t="s">
        <v>828</v>
      </c>
      <c r="AP67" s="47" t="s">
        <v>829</v>
      </c>
      <c r="AQ67" s="144">
        <v>6.83</v>
      </c>
      <c r="AR67" s="107">
        <v>18</v>
      </c>
      <c r="AS67" s="144">
        <f t="shared" si="5"/>
        <v>0.83000000000000007</v>
      </c>
      <c r="AT67" s="1"/>
      <c r="AU67" s="1424"/>
      <c r="AV67" s="1424" t="s">
        <v>64</v>
      </c>
      <c r="AW67" s="1425" t="s">
        <v>671</v>
      </c>
      <c r="AX67" s="1426">
        <v>6.3333333333333339</v>
      </c>
      <c r="AY67" s="1427">
        <v>6</v>
      </c>
      <c r="AZ67" s="144">
        <f t="shared" si="6"/>
        <v>0.33333333333333393</v>
      </c>
      <c r="BB67" s="849"/>
      <c r="BC67" s="849"/>
      <c r="BD67" s="896" t="s">
        <v>260</v>
      </c>
      <c r="BE67" s="897">
        <v>6.2</v>
      </c>
      <c r="BF67" s="898">
        <v>15</v>
      </c>
      <c r="BG67" s="899">
        <f t="shared" si="7"/>
        <v>0.20000000000000018</v>
      </c>
      <c r="BI67" s="713"/>
      <c r="BJ67" s="713"/>
      <c r="BK67" s="713"/>
      <c r="BL67" s="794" t="s">
        <v>113</v>
      </c>
      <c r="BM67" s="468">
        <v>6.9778270509977807</v>
      </c>
      <c r="BN67" s="467">
        <v>451</v>
      </c>
      <c r="BO67" s="795">
        <v>2.0098525487706675</v>
      </c>
      <c r="BP67" s="916">
        <f>+(BN63*BP63+BN64*BP64+BN65*BP65+BN66*BP66)/BN67</f>
        <v>1.266075388026608</v>
      </c>
      <c r="BR67" s="855"/>
      <c r="BT67" s="917" t="s">
        <v>75</v>
      </c>
      <c r="BU67" s="918">
        <v>7.2499999999999982</v>
      </c>
      <c r="BV67" s="919">
        <f>+(BW63*BV63+BW64*BV64+BW65*BV65+BW66*BV66)/BW67</f>
        <v>1.3720930232558139</v>
      </c>
      <c r="BW67" s="920">
        <v>344</v>
      </c>
      <c r="BX67" s="918">
        <v>8.0290697674418627</v>
      </c>
      <c r="BY67" s="919">
        <f>+(BW63*BY63+BW64*BY64+BW65*BY65+BW66*BY66)/BW67</f>
        <v>2.0676532769556029</v>
      </c>
      <c r="CA67" s="70"/>
      <c r="CB67" s="70"/>
      <c r="CC67" s="491" t="s">
        <v>75</v>
      </c>
      <c r="CD67" s="491">
        <v>465</v>
      </c>
      <c r="CE67" s="804">
        <v>8.660215053763439</v>
      </c>
      <c r="CF67" s="544"/>
      <c r="CG67" s="804">
        <f>+(CD63*CG63+CD64*CG64+CD65*CG65+CD66*CG66)/CD67</f>
        <v>2.6129032258064511</v>
      </c>
      <c r="CH67" s="42"/>
      <c r="CI67" s="42"/>
      <c r="CJ67" s="42"/>
      <c r="CK67" s="42"/>
      <c r="CL67" s="42"/>
      <c r="CM67" s="42"/>
      <c r="CN67" s="42"/>
      <c r="CO67" s="42"/>
      <c r="CP67" s="42"/>
    </row>
    <row r="68" spans="1:94" ht="15" thickBot="1">
      <c r="A68" s="41"/>
      <c r="B68" s="41"/>
      <c r="C68" s="461" t="s">
        <v>545</v>
      </c>
      <c r="D68" s="1511">
        <v>6.29</v>
      </c>
      <c r="E68" s="5501">
        <v>7</v>
      </c>
      <c r="F68" s="1989">
        <f t="shared" si="26"/>
        <v>0.29000000000000004</v>
      </c>
      <c r="G68" s="107">
        <v>6</v>
      </c>
      <c r="I68" s="41"/>
      <c r="J68" s="107"/>
      <c r="K68" s="41"/>
      <c r="L68" s="1496"/>
      <c r="M68" s="105"/>
      <c r="N68" s="1431"/>
      <c r="O68" s="107"/>
      <c r="S68" s="44" t="s">
        <v>418</v>
      </c>
      <c r="T68" s="4243">
        <v>6</v>
      </c>
      <c r="U68" s="4243">
        <v>3</v>
      </c>
      <c r="V68" s="4780">
        <f t="shared" si="22"/>
        <v>0</v>
      </c>
      <c r="W68" s="4243">
        <v>6</v>
      </c>
      <c r="Y68" s="42"/>
      <c r="Z68" s="42"/>
      <c r="AA68" s="484" t="s">
        <v>546</v>
      </c>
      <c r="AB68" s="782">
        <v>6.03</v>
      </c>
      <c r="AC68" s="2479">
        <v>29</v>
      </c>
      <c r="AD68" s="875">
        <f>+(AC66*AD66+AC67*AD67)/AC68</f>
        <v>3.7241379310344859E-2</v>
      </c>
      <c r="AE68" s="2482"/>
      <c r="AG68" s="42"/>
      <c r="AH68" s="42"/>
      <c r="AI68" s="484" t="s">
        <v>546</v>
      </c>
      <c r="AJ68" s="782">
        <v>6.16</v>
      </c>
      <c r="AK68" s="454">
        <v>38</v>
      </c>
      <c r="AL68" s="875">
        <f>+(AK65*AL65+AK66*AL66+AK67*AL67)/AK68</f>
        <v>0.15842105263157896</v>
      </c>
      <c r="AN68" s="107"/>
      <c r="AO68" s="107"/>
      <c r="AP68" s="968" t="s">
        <v>548</v>
      </c>
      <c r="AQ68" s="969">
        <v>6.83</v>
      </c>
      <c r="AR68" s="145">
        <v>18</v>
      </c>
      <c r="AS68" s="969">
        <f t="shared" si="5"/>
        <v>0.83000000000000007</v>
      </c>
      <c r="AT68" s="1"/>
      <c r="AU68" s="1424"/>
      <c r="AV68" s="1424"/>
      <c r="AW68" s="1428" t="s">
        <v>549</v>
      </c>
      <c r="AX68" s="1429">
        <v>6.3333333333333339</v>
      </c>
      <c r="AY68" s="1430">
        <v>6</v>
      </c>
      <c r="AZ68" s="969">
        <f t="shared" si="6"/>
        <v>0.33333333333333393</v>
      </c>
      <c r="BB68" s="921"/>
      <c r="BC68" s="921"/>
      <c r="BD68" s="922" t="s">
        <v>113</v>
      </c>
      <c r="BE68" s="923">
        <v>6.9348268839103895</v>
      </c>
      <c r="BF68" s="924">
        <v>491</v>
      </c>
      <c r="BG68" s="925">
        <f>+(BF20*BG20+BF39*BG39+BF60*BG60+BF67*BG67)/BF68</f>
        <v>1.2749490835030555</v>
      </c>
      <c r="BR68" s="855"/>
      <c r="CA68" s="70"/>
      <c r="CB68" s="70"/>
      <c r="CC68" s="70"/>
      <c r="CD68" s="42"/>
      <c r="CE68" s="42"/>
      <c r="CF68" s="42"/>
      <c r="CG68" s="42"/>
      <c r="CH68" s="867">
        <f>AVERAGE(CG9,CG15,CG17)</f>
        <v>4.6617038875103383</v>
      </c>
      <c r="CI68" s="42"/>
      <c r="CJ68" s="42"/>
      <c r="CK68" s="42"/>
      <c r="CL68" s="42"/>
      <c r="CM68" s="42"/>
      <c r="CN68" s="42"/>
      <c r="CO68" s="42"/>
      <c r="CP68" s="42"/>
    </row>
    <row r="69" spans="1:94">
      <c r="A69" s="41"/>
      <c r="B69" s="41" t="s">
        <v>61</v>
      </c>
      <c r="C69" s="41" t="s">
        <v>829</v>
      </c>
      <c r="D69" s="1496">
        <v>6.5</v>
      </c>
      <c r="E69" s="105">
        <v>12</v>
      </c>
      <c r="F69" s="1431">
        <f t="shared" si="26"/>
        <v>0.5</v>
      </c>
      <c r="G69" s="107">
        <v>6</v>
      </c>
      <c r="I69" s="41"/>
      <c r="J69" s="107"/>
      <c r="K69" s="461" t="s">
        <v>547</v>
      </c>
      <c r="L69" s="1511">
        <v>6.77</v>
      </c>
      <c r="M69" s="4686">
        <v>61</v>
      </c>
      <c r="N69" s="1989">
        <f>+(+M60*N60+M61*N61+M62*N62+M63*N63+M64*N64+M65*N65+M66*N66)/M69</f>
        <v>0.77180327868852461</v>
      </c>
      <c r="O69" s="107"/>
      <c r="S69" s="44" t="s">
        <v>419</v>
      </c>
      <c r="T69" s="4243">
        <v>6</v>
      </c>
      <c r="U69" s="4243">
        <v>6</v>
      </c>
      <c r="V69" s="4780">
        <f t="shared" si="22"/>
        <v>0</v>
      </c>
      <c r="W69" s="4243">
        <v>6</v>
      </c>
      <c r="Y69" s="2498"/>
      <c r="Z69" s="2498"/>
      <c r="AA69" s="2499" t="s">
        <v>442</v>
      </c>
      <c r="AB69" s="2500">
        <v>6.32</v>
      </c>
      <c r="AC69" s="2501">
        <v>192</v>
      </c>
      <c r="AD69" s="1677">
        <f>+(AC57*AD57+AC65*AD65+AC68*AD68)/AC69</f>
        <v>0.26770833333333327</v>
      </c>
      <c r="AE69" s="2482"/>
      <c r="AG69" s="2004"/>
      <c r="AH69" s="2004"/>
      <c r="AI69" s="2005" t="s">
        <v>442</v>
      </c>
      <c r="AJ69" s="2006">
        <v>6.07</v>
      </c>
      <c r="AK69" s="2007">
        <v>187</v>
      </c>
      <c r="AL69" s="1677">
        <f>+(AK54*AL54+AK64*AL64+AK68*AL68)/AK69</f>
        <v>7.4973262032085611E-2</v>
      </c>
      <c r="AN69" s="107"/>
      <c r="AO69" s="107" t="s">
        <v>64</v>
      </c>
      <c r="AP69" s="47" t="s">
        <v>671</v>
      </c>
      <c r="AQ69" s="144">
        <v>7</v>
      </c>
      <c r="AR69" s="107">
        <v>9</v>
      </c>
      <c r="AS69" s="144">
        <f t="shared" si="5"/>
        <v>1</v>
      </c>
      <c r="AT69" s="1"/>
      <c r="AU69" s="1424"/>
      <c r="AV69" s="1424"/>
      <c r="AW69" s="1428" t="s">
        <v>260</v>
      </c>
      <c r="AX69" s="1429">
        <v>6.1923076923076925</v>
      </c>
      <c r="AY69" s="1430">
        <v>26</v>
      </c>
      <c r="AZ69" s="1437">
        <f>+(AY64*AZ64+AY66*AZ66+AY68*AZ68)/AY69</f>
        <v>0.19230769230769235</v>
      </c>
      <c r="BR69" s="855"/>
      <c r="CA69" s="70"/>
      <c r="CB69" s="70"/>
      <c r="CC69" s="70"/>
      <c r="CD69" s="42"/>
      <c r="CE69" s="42"/>
      <c r="CF69" s="42"/>
      <c r="CG69" s="42"/>
      <c r="CH69" s="867">
        <f>AVERAGE(CG25,CG32,CG36)</f>
        <v>2.8593863077145745</v>
      </c>
      <c r="CI69" s="42"/>
      <c r="CJ69" s="42"/>
      <c r="CK69" s="42"/>
      <c r="CL69" s="42"/>
      <c r="CM69" s="42"/>
      <c r="CN69" s="42"/>
      <c r="CO69" s="42"/>
      <c r="CP69" s="42"/>
    </row>
    <row r="70" spans="1:94" s="1" customFormat="1" ht="28.2" thickBot="1">
      <c r="A70" s="47"/>
      <c r="B70" s="47"/>
      <c r="C70" s="968" t="s">
        <v>548</v>
      </c>
      <c r="D70" s="1989">
        <v>6.5</v>
      </c>
      <c r="E70" s="145">
        <v>12</v>
      </c>
      <c r="F70" s="1989">
        <f t="shared" si="26"/>
        <v>0.5</v>
      </c>
      <c r="G70" s="107">
        <v>6</v>
      </c>
      <c r="I70" s="47"/>
      <c r="J70" s="107" t="s">
        <v>21</v>
      </c>
      <c r="K70" s="47" t="s">
        <v>143</v>
      </c>
      <c r="L70" s="1431">
        <v>6.15</v>
      </c>
      <c r="M70" s="107">
        <v>20</v>
      </c>
      <c r="N70" s="1431">
        <f>L70-6</f>
        <v>0.15000000000000036</v>
      </c>
      <c r="O70" s="107">
        <v>6</v>
      </c>
      <c r="Q70" s="44"/>
      <c r="R70" s="44"/>
      <c r="S70" s="4716" t="s">
        <v>546</v>
      </c>
      <c r="T70" s="4723">
        <v>6.08</v>
      </c>
      <c r="U70" s="4723">
        <v>12</v>
      </c>
      <c r="V70" s="4771">
        <f>+(U67*V67+U68*V68+U69*V69)/U70</f>
        <v>8.2500000000000018E-2</v>
      </c>
      <c r="W70" s="4723"/>
      <c r="Y70" s="58" t="s">
        <v>59</v>
      </c>
      <c r="Z70" s="58" t="s">
        <v>16</v>
      </c>
      <c r="AA70" s="58" t="s">
        <v>670</v>
      </c>
      <c r="AB70" s="912">
        <v>6.67</v>
      </c>
      <c r="AC70" s="2482">
        <v>9</v>
      </c>
      <c r="AD70" s="912">
        <f t="shared" si="4"/>
        <v>0.66999999999999993</v>
      </c>
      <c r="AE70" s="2482">
        <v>6</v>
      </c>
      <c r="AG70" s="58" t="s">
        <v>59</v>
      </c>
      <c r="AH70" s="58" t="s">
        <v>16</v>
      </c>
      <c r="AI70" s="58" t="s">
        <v>670</v>
      </c>
      <c r="AJ70" s="912">
        <v>6.75</v>
      </c>
      <c r="AK70" s="2482">
        <v>12</v>
      </c>
      <c r="AL70" s="144">
        <f t="shared" si="1"/>
        <v>0.75</v>
      </c>
      <c r="AN70" s="107"/>
      <c r="AO70" s="107"/>
      <c r="AP70" s="968" t="s">
        <v>549</v>
      </c>
      <c r="AQ70" s="969">
        <v>7</v>
      </c>
      <c r="AR70" s="145">
        <v>9</v>
      </c>
      <c r="AS70" s="969">
        <f t="shared" si="5"/>
        <v>1</v>
      </c>
      <c r="AU70" s="1441"/>
      <c r="AV70" s="1441"/>
      <c r="AW70" s="1442" t="s">
        <v>113</v>
      </c>
      <c r="AX70" s="1443">
        <v>6.8130841121495243</v>
      </c>
      <c r="AY70" s="1444">
        <v>428</v>
      </c>
      <c r="AZ70" s="925">
        <f>+(AY22*AZ22+AY41*AZ41+AY62*AZ62+AY69*AZ69)/AY70</f>
        <v>0.85280373831775702</v>
      </c>
      <c r="BR70" s="5531"/>
      <c r="BT70" s="754" t="s">
        <v>0</v>
      </c>
      <c r="BU70" s="754" t="s">
        <v>1368</v>
      </c>
      <c r="BV70" s="754" t="s">
        <v>1302</v>
      </c>
      <c r="BW70" s="845" t="s">
        <v>1366</v>
      </c>
      <c r="BX70" s="754" t="s">
        <v>1369</v>
      </c>
      <c r="BY70" s="754" t="s">
        <v>1302</v>
      </c>
      <c r="CA70" s="2482"/>
      <c r="CB70" s="2482"/>
      <c r="CC70" s="756" t="s">
        <v>0</v>
      </c>
      <c r="CD70" s="756" t="s">
        <v>1366</v>
      </c>
      <c r="CE70" s="54" t="s">
        <v>1370</v>
      </c>
      <c r="CF70" s="54" t="s">
        <v>1371</v>
      </c>
      <c r="CG70" s="54" t="s">
        <v>1302</v>
      </c>
      <c r="CH70" s="5532">
        <f>AVERAGE(CG47,CG55,CG59)</f>
        <v>0.96622046668129613</v>
      </c>
      <c r="CI70" s="58"/>
      <c r="CJ70" s="58"/>
      <c r="CK70" s="58"/>
      <c r="CL70" s="58"/>
      <c r="CM70" s="58"/>
      <c r="CN70" s="58"/>
      <c r="CO70" s="58"/>
      <c r="CP70" s="58"/>
    </row>
    <row r="71" spans="1:94">
      <c r="A71" s="41"/>
      <c r="B71" s="41" t="s">
        <v>64</v>
      </c>
      <c r="C71" s="41" t="s">
        <v>671</v>
      </c>
      <c r="D71" s="1496">
        <v>6.6</v>
      </c>
      <c r="E71" s="105">
        <v>5</v>
      </c>
      <c r="F71" s="1431">
        <f t="shared" si="26"/>
        <v>0.59999999999999964</v>
      </c>
      <c r="G71" s="107">
        <v>6</v>
      </c>
      <c r="I71" s="41"/>
      <c r="J71" s="107"/>
      <c r="K71" s="41" t="s">
        <v>418</v>
      </c>
      <c r="L71" s="1496">
        <v>6</v>
      </c>
      <c r="M71" s="105">
        <v>7</v>
      </c>
      <c r="N71" s="1431">
        <f>L71-6</f>
        <v>0</v>
      </c>
      <c r="O71" s="107">
        <v>6</v>
      </c>
      <c r="Q71" s="4773"/>
      <c r="R71" s="4773"/>
      <c r="S71" s="4774" t="s">
        <v>442</v>
      </c>
      <c r="T71" s="4775">
        <v>6.5</v>
      </c>
      <c r="U71" s="4775">
        <v>119</v>
      </c>
      <c r="V71" s="4776">
        <f>+(U58*V58+U66*V66+U70*V70)/U71</f>
        <v>0.46277310924369747</v>
      </c>
      <c r="W71" s="4775"/>
      <c r="Y71" s="42"/>
      <c r="Z71" s="42"/>
      <c r="AA71" s="484" t="s">
        <v>545</v>
      </c>
      <c r="AB71" s="782">
        <v>6.67</v>
      </c>
      <c r="AC71" s="2479">
        <v>9</v>
      </c>
      <c r="AD71" s="912">
        <f>AB71-AE71</f>
        <v>0.66999999999999993</v>
      </c>
      <c r="AE71" s="2482">
        <v>6</v>
      </c>
      <c r="AG71" s="42"/>
      <c r="AH71" s="42"/>
      <c r="AI71" s="484" t="s">
        <v>545</v>
      </c>
      <c r="AJ71" s="782">
        <v>6.75</v>
      </c>
      <c r="AK71" s="454">
        <v>12</v>
      </c>
      <c r="AL71" s="144">
        <f>AJ71-6</f>
        <v>0.75</v>
      </c>
      <c r="AN71" s="107"/>
      <c r="AO71" s="107"/>
      <c r="AP71" s="1673" t="s">
        <v>260</v>
      </c>
      <c r="AQ71" s="1674">
        <v>6.71</v>
      </c>
      <c r="AR71" s="1675">
        <v>34</v>
      </c>
      <c r="AS71" s="1437">
        <f>+(AR66*AS66+AR68*AS68+AR70*AS70)/AR71</f>
        <v>0.70411764705882351</v>
      </c>
      <c r="AT71" s="1"/>
      <c r="AU71" s="1445"/>
      <c r="AV71" s="1445"/>
      <c r="AW71" s="1446"/>
      <c r="AX71" s="1447"/>
      <c r="AY71" s="1448"/>
      <c r="AZ71" s="144"/>
      <c r="BR71" s="855"/>
      <c r="BT71" s="926" t="s">
        <v>106</v>
      </c>
      <c r="BU71" s="927">
        <v>6.3116883116883109</v>
      </c>
      <c r="BV71" s="927">
        <f>+(BW9*BV9+BW15*BV15+BW17*BV17)/BW71</f>
        <v>0.42857142857142866</v>
      </c>
      <c r="BW71" s="928">
        <v>77</v>
      </c>
      <c r="BX71" s="927">
        <v>8.1298701298701221</v>
      </c>
      <c r="BY71" s="927">
        <f>+(BW9*BY9+BW15*BY15+BW17*BY17)/BW71</f>
        <v>2.2467532467532472</v>
      </c>
      <c r="CA71" s="70"/>
      <c r="CB71" s="70"/>
      <c r="CC71" s="70" t="s">
        <v>3</v>
      </c>
      <c r="CD71" s="70">
        <v>81</v>
      </c>
      <c r="CE71" s="769">
        <v>10.925925925925927</v>
      </c>
      <c r="CF71" s="484"/>
      <c r="CG71" s="769">
        <f>+(CD9*CG9+CD15*CG15+CD17*CG17)/CD71</f>
        <v>5.0370370370370363</v>
      </c>
      <c r="CH71" s="42"/>
      <c r="CI71" s="42"/>
      <c r="CJ71" s="42"/>
      <c r="CK71" s="42"/>
      <c r="CL71" s="42"/>
      <c r="CM71" s="42"/>
      <c r="CN71" s="42"/>
      <c r="CO71" s="42"/>
      <c r="CP71" s="42"/>
    </row>
    <row r="72" spans="1:94" ht="15" thickBot="1">
      <c r="A72" s="41"/>
      <c r="B72" s="41"/>
      <c r="C72" s="2457" t="s">
        <v>549</v>
      </c>
      <c r="D72" s="5526">
        <v>6.6</v>
      </c>
      <c r="E72" s="5503">
        <v>5</v>
      </c>
      <c r="F72" s="1989">
        <f t="shared" si="26"/>
        <v>0.59999999999999964</v>
      </c>
      <c r="G72" s="107">
        <v>6</v>
      </c>
      <c r="I72" s="41"/>
      <c r="J72" s="107"/>
      <c r="K72" s="41" t="s">
        <v>419</v>
      </c>
      <c r="L72" s="1496">
        <v>6</v>
      </c>
      <c r="M72" s="105">
        <v>6</v>
      </c>
      <c r="N72" s="1431">
        <f>L72-6</f>
        <v>0</v>
      </c>
      <c r="O72" s="107">
        <v>6</v>
      </c>
      <c r="Q72" s="44" t="s">
        <v>59</v>
      </c>
      <c r="R72" s="44" t="s">
        <v>16</v>
      </c>
      <c r="S72" s="44" t="s">
        <v>670</v>
      </c>
      <c r="T72" s="4243">
        <v>6.91</v>
      </c>
      <c r="U72" s="4243">
        <v>11</v>
      </c>
      <c r="V72" s="4780">
        <f>T72-W72</f>
        <v>0.91000000000000014</v>
      </c>
      <c r="W72" s="4243">
        <v>6</v>
      </c>
      <c r="Y72" s="42"/>
      <c r="Z72" s="42"/>
      <c r="AA72" s="484"/>
      <c r="AB72" s="782"/>
      <c r="AC72" s="2479"/>
      <c r="AD72" s="912"/>
      <c r="AE72" s="2482"/>
      <c r="AG72" s="42"/>
      <c r="AH72" s="42" t="s">
        <v>61</v>
      </c>
      <c r="AI72" s="42" t="s">
        <v>829</v>
      </c>
      <c r="AJ72" s="769">
        <v>7</v>
      </c>
      <c r="AK72" s="70">
        <v>7</v>
      </c>
      <c r="AL72" s="144">
        <f>AJ72-6</f>
        <v>1</v>
      </c>
      <c r="AN72" s="1099"/>
      <c r="AO72" s="1099"/>
      <c r="AP72" s="941" t="s">
        <v>113</v>
      </c>
      <c r="AQ72" s="992">
        <v>6.96</v>
      </c>
      <c r="AR72" s="456">
        <v>520</v>
      </c>
      <c r="AS72" s="925">
        <v>0.9862884615384615</v>
      </c>
      <c r="AT72" s="1"/>
      <c r="AU72" s="1445"/>
      <c r="AV72" s="1445"/>
      <c r="AW72" s="1446"/>
      <c r="AX72" s="1447"/>
      <c r="AY72" s="1448"/>
      <c r="AZ72" s="144"/>
      <c r="BT72" s="856" t="s">
        <v>110</v>
      </c>
      <c r="BU72" s="857">
        <v>8.3375796178343879</v>
      </c>
      <c r="BV72" s="857">
        <f>+(BW25*BV25+BW32*BV32+BW36*BV36)/BW72</f>
        <v>2.9108280254777079</v>
      </c>
      <c r="BW72" s="858">
        <v>157</v>
      </c>
      <c r="BX72" s="857">
        <v>8.8598726114649704</v>
      </c>
      <c r="BY72" s="857">
        <f>+(BW25*BY25+BW32*BY32+BW36*BY36)/BW72</f>
        <v>2.9571511291256516</v>
      </c>
      <c r="CA72" s="70"/>
      <c r="CB72" s="70"/>
      <c r="CC72" s="70" t="s">
        <v>25</v>
      </c>
      <c r="CD72" s="70">
        <v>194</v>
      </c>
      <c r="CE72" s="769">
        <v>8.86082474226804</v>
      </c>
      <c r="CF72" s="484"/>
      <c r="CG72" s="769">
        <f>+(CD25*CG25+CD32*CG32+CD36*CG36)/CD72</f>
        <v>2.86082474226804</v>
      </c>
      <c r="CH72" s="867">
        <f>AVERAGE(CG71:CG73)</f>
        <v>3.0747258562595867</v>
      </c>
      <c r="CI72" s="42"/>
      <c r="CJ72" s="42"/>
      <c r="CK72" s="42"/>
      <c r="CL72" s="42"/>
      <c r="CM72" s="42"/>
      <c r="CN72" s="42"/>
      <c r="CO72" s="42"/>
      <c r="CP72" s="42"/>
    </row>
    <row r="73" spans="1:94" ht="15" thickBot="1">
      <c r="A73" s="5527"/>
      <c r="B73" s="5527"/>
      <c r="C73" s="5488" t="s">
        <v>260</v>
      </c>
      <c r="D73" s="5528">
        <v>6.46</v>
      </c>
      <c r="E73" s="5489">
        <v>24</v>
      </c>
      <c r="F73" s="5490">
        <f>+(E68*F68+E70*F70+E72*F72)/E73</f>
        <v>0.45958333333333329</v>
      </c>
      <c r="G73" s="5529">
        <v>6</v>
      </c>
      <c r="I73" s="41"/>
      <c r="J73" s="107"/>
      <c r="K73" s="461" t="s">
        <v>546</v>
      </c>
      <c r="L73" s="1511">
        <v>6.09</v>
      </c>
      <c r="M73" s="4686">
        <v>33</v>
      </c>
      <c r="N73" s="1989">
        <f>+(M70*N70+M71*N71+M72*N72)/M73</f>
        <v>9.090909090909112E-2</v>
      </c>
      <c r="O73" s="107"/>
      <c r="S73" s="4716" t="s">
        <v>545</v>
      </c>
      <c r="T73" s="4723">
        <v>6.91</v>
      </c>
      <c r="U73" s="4723">
        <v>11</v>
      </c>
      <c r="V73" s="4771">
        <f>+(U72*V72)/U73</f>
        <v>0.91000000000000014</v>
      </c>
      <c r="W73" s="4243"/>
      <c r="Y73" s="42"/>
      <c r="Z73" s="42"/>
      <c r="AA73" s="484"/>
      <c r="AB73" s="782"/>
      <c r="AC73" s="2479"/>
      <c r="AD73" s="912"/>
      <c r="AE73" s="2482"/>
      <c r="AG73" s="42"/>
      <c r="AH73" s="42"/>
      <c r="AI73" s="484" t="s">
        <v>548</v>
      </c>
      <c r="AJ73" s="782">
        <v>7</v>
      </c>
      <c r="AK73" s="454">
        <v>7</v>
      </c>
      <c r="AL73" s="144">
        <f>AJ73-6</f>
        <v>1</v>
      </c>
      <c r="AN73" s="47"/>
      <c r="AO73" s="47"/>
      <c r="AP73" s="968"/>
      <c r="AQ73" s="969"/>
      <c r="AR73" s="145"/>
      <c r="AS73" s="144"/>
      <c r="AT73" s="1"/>
      <c r="AU73" s="1445"/>
      <c r="AV73" s="1445"/>
      <c r="AW73" s="1421" t="s">
        <v>1</v>
      </c>
      <c r="AX73" s="1421" t="s">
        <v>1872</v>
      </c>
      <c r="AY73" s="1421" t="s">
        <v>1366</v>
      </c>
      <c r="AZ73" s="843" t="s">
        <v>1302</v>
      </c>
      <c r="BT73" s="856" t="s">
        <v>442</v>
      </c>
      <c r="BU73" s="857">
        <v>6.3545454545454554</v>
      </c>
      <c r="BV73" s="857">
        <f>+(BW48*BV48+BW55*BV55+BW59*BV59)/BW73</f>
        <v>0.49090909090909113</v>
      </c>
      <c r="BW73" s="858">
        <v>110</v>
      </c>
      <c r="BX73" s="857">
        <v>6.7727272727272725</v>
      </c>
      <c r="BY73" s="857">
        <f>+(BW48*BY48+BW55*BY55+BW59*BY59)/BW73</f>
        <v>0.67272727272727295</v>
      </c>
      <c r="CA73" s="70"/>
      <c r="CB73" s="70"/>
      <c r="CC73" s="70" t="s">
        <v>48</v>
      </c>
      <c r="CD73" s="70">
        <v>190</v>
      </c>
      <c r="CE73" s="769">
        <v>7.4894736842105267</v>
      </c>
      <c r="CF73" s="484"/>
      <c r="CG73" s="769">
        <f>+(CD47*CG47+CD55*CG55+CD59*CG59)/CD73</f>
        <v>1.3263157894736841</v>
      </c>
      <c r="CH73" s="42"/>
      <c r="CI73" s="42"/>
      <c r="CJ73" s="42"/>
      <c r="CK73" s="42"/>
      <c r="CL73" s="42"/>
      <c r="CM73" s="42"/>
      <c r="CN73" s="42"/>
      <c r="CO73" s="42"/>
      <c r="CP73" s="42"/>
    </row>
    <row r="74" spans="1:94" ht="15" thickBot="1">
      <c r="A74" s="469"/>
      <c r="B74" s="469"/>
      <c r="C74" s="465" t="s">
        <v>113</v>
      </c>
      <c r="D74" s="1542">
        <v>6.55</v>
      </c>
      <c r="E74" s="466">
        <v>304</v>
      </c>
      <c r="F74" s="1568">
        <f>+(E24*F24+E45*F45+E66*F66+E73*F73)/E74</f>
        <v>0.62569078947368428</v>
      </c>
      <c r="I74" s="2856"/>
      <c r="J74" s="1676"/>
      <c r="K74" s="1652" t="s">
        <v>442</v>
      </c>
      <c r="L74" s="4784">
        <v>6.2</v>
      </c>
      <c r="M74" s="4688">
        <v>170</v>
      </c>
      <c r="N74" s="1990">
        <f>+(M59*N59+M69*N69+M73*N73)/M74</f>
        <v>0.1838823529411765</v>
      </c>
      <c r="O74" s="4641"/>
      <c r="R74" s="44" t="s">
        <v>61</v>
      </c>
      <c r="S74" s="44" t="s">
        <v>829</v>
      </c>
      <c r="T74" s="4243">
        <v>7.13</v>
      </c>
      <c r="U74" s="4243">
        <v>15</v>
      </c>
      <c r="V74" s="4780">
        <f>T74-W74</f>
        <v>1.1299999999999999</v>
      </c>
      <c r="W74" s="4243">
        <v>6</v>
      </c>
      <c r="Y74" s="42"/>
      <c r="Z74" s="42" t="s">
        <v>64</v>
      </c>
      <c r="AA74" s="42" t="s">
        <v>671</v>
      </c>
      <c r="AB74" s="769">
        <v>7.67</v>
      </c>
      <c r="AC74" s="70">
        <v>6</v>
      </c>
      <c r="AD74" s="912">
        <f>AB74-AE74</f>
        <v>1.67</v>
      </c>
      <c r="AE74" s="2482">
        <v>6</v>
      </c>
      <c r="AG74" s="42"/>
      <c r="AH74" s="42" t="s">
        <v>64</v>
      </c>
      <c r="AI74" s="42" t="s">
        <v>671</v>
      </c>
      <c r="AJ74" s="769">
        <v>6.86</v>
      </c>
      <c r="AK74" s="70">
        <v>7</v>
      </c>
      <c r="AL74" s="144">
        <f>AJ74-6</f>
        <v>0.86000000000000032</v>
      </c>
      <c r="AN74" s="47"/>
      <c r="AO74" s="47"/>
      <c r="AP74" s="968"/>
      <c r="AQ74" s="969"/>
      <c r="AR74" s="145"/>
      <c r="AS74" s="144"/>
      <c r="AT74" s="1"/>
      <c r="AU74" s="1445"/>
      <c r="AW74" s="1424" t="s">
        <v>4</v>
      </c>
      <c r="AX74" s="1449">
        <v>7.9677419354838692</v>
      </c>
      <c r="AY74" s="1450">
        <v>93</v>
      </c>
      <c r="AZ74" s="912">
        <f>+(AY11*AZ11+AY30*AZ30)/AY74</f>
        <v>2.064516129032258</v>
      </c>
      <c r="CA74" s="70"/>
      <c r="CB74" s="70"/>
      <c r="CC74" s="491" t="s">
        <v>75</v>
      </c>
      <c r="CD74" s="491">
        <v>465</v>
      </c>
      <c r="CE74" s="804">
        <v>8.6602150537634408</v>
      </c>
      <c r="CF74" s="544"/>
      <c r="CG74" s="833">
        <f>+(CD71*CG71+CD72*CG72+CD73*CG73)/CD74</f>
        <v>2.6129032258064511</v>
      </c>
      <c r="CH74" s="42"/>
      <c r="CI74" s="42"/>
      <c r="CJ74" s="42"/>
      <c r="CK74" s="42"/>
      <c r="CL74" s="42"/>
      <c r="CM74" s="42"/>
      <c r="CN74" s="42"/>
      <c r="CO74" s="42"/>
      <c r="CP74" s="42"/>
    </row>
    <row r="75" spans="1:94" ht="15" thickBot="1">
      <c r="A75" s="41"/>
      <c r="B75" s="41"/>
      <c r="C75" s="41"/>
      <c r="D75" s="1496"/>
      <c r="E75" s="105"/>
      <c r="I75" s="47" t="s">
        <v>59</v>
      </c>
      <c r="J75" s="107" t="s">
        <v>16</v>
      </c>
      <c r="K75" s="47" t="s">
        <v>670</v>
      </c>
      <c r="L75" s="1431">
        <v>6.92</v>
      </c>
      <c r="M75" s="107">
        <v>13</v>
      </c>
      <c r="N75" s="1431">
        <f t="shared" ref="N75:N80" si="27">L75-6</f>
        <v>0.91999999999999993</v>
      </c>
      <c r="O75" s="107">
        <v>6</v>
      </c>
      <c r="S75" s="4716" t="s">
        <v>548</v>
      </c>
      <c r="T75" s="4723">
        <v>7.13</v>
      </c>
      <c r="U75" s="4723">
        <v>15</v>
      </c>
      <c r="V75" s="4771">
        <f>+(U74*V74)/U75</f>
        <v>1.1299999999999999</v>
      </c>
      <c r="W75" s="4243"/>
      <c r="Y75" s="42"/>
      <c r="Z75" s="42"/>
      <c r="AA75" s="2493" t="s">
        <v>549</v>
      </c>
      <c r="AB75" s="2494">
        <v>7.67</v>
      </c>
      <c r="AC75" s="2488">
        <v>6</v>
      </c>
      <c r="AD75" s="912">
        <f>AB75-AE75</f>
        <v>1.67</v>
      </c>
      <c r="AE75" s="2482">
        <v>6</v>
      </c>
      <c r="AG75" s="42"/>
      <c r="AH75" s="42"/>
      <c r="AI75" s="484" t="s">
        <v>549</v>
      </c>
      <c r="AJ75" s="782">
        <v>6.86</v>
      </c>
      <c r="AK75" s="454">
        <v>7</v>
      </c>
      <c r="AL75" s="144">
        <f>AJ75-6</f>
        <v>0.86000000000000032</v>
      </c>
      <c r="AN75" s="47"/>
      <c r="AO75" s="47"/>
      <c r="AP75" s="456" t="s">
        <v>1</v>
      </c>
      <c r="AQ75" s="456" t="s">
        <v>1943</v>
      </c>
      <c r="AR75" s="456" t="s">
        <v>1366</v>
      </c>
      <c r="AS75" s="843" t="s">
        <v>1302</v>
      </c>
      <c r="AT75" s="1"/>
      <c r="AU75" s="1445"/>
      <c r="AW75" s="1424" t="s">
        <v>16</v>
      </c>
      <c r="AX75" s="1449">
        <v>6.3100775193798411</v>
      </c>
      <c r="AY75" s="1450">
        <v>129</v>
      </c>
      <c r="AZ75" s="912">
        <f>+(AY17*AZ17+AY35*AZ35+AY50*AZ50+AY64*AZ64)/AY75</f>
        <v>0.3100775193798449</v>
      </c>
      <c r="BT75" s="917" t="s">
        <v>75</v>
      </c>
      <c r="BU75" s="918">
        <v>7.2499999999999982</v>
      </c>
      <c r="BV75" s="919">
        <f>+(BW71*BV71+BW72*BV72+BW73*BV73+BW74*BV74)/BW75</f>
        <v>1.5813953488372099</v>
      </c>
      <c r="BW75" s="920">
        <v>344</v>
      </c>
      <c r="BX75" s="918">
        <v>8.0290697674418627</v>
      </c>
      <c r="BY75" s="919">
        <f>+(BW71*BY71+BW72*BY72+BW73*BY73)/BW75</f>
        <v>2.0676532769556029</v>
      </c>
      <c r="CA75" s="70"/>
      <c r="CB75" s="70"/>
      <c r="CC75" s="929" t="s">
        <v>1335</v>
      </c>
      <c r="CD75" s="42"/>
      <c r="CE75" s="42"/>
      <c r="CF75" s="42"/>
      <c r="CG75" s="42"/>
      <c r="CH75" s="42"/>
      <c r="CI75" s="42"/>
      <c r="CJ75" s="42"/>
      <c r="CK75" s="42"/>
      <c r="CL75" s="42"/>
      <c r="CM75" s="42"/>
      <c r="CN75" s="42"/>
      <c r="CO75" s="42"/>
      <c r="CP75" s="42"/>
    </row>
    <row r="76" spans="1:94">
      <c r="A76" s="41"/>
      <c r="B76" s="41"/>
      <c r="C76" s="41"/>
      <c r="D76" s="1496"/>
      <c r="E76" s="105"/>
      <c r="I76" s="41"/>
      <c r="J76" s="107"/>
      <c r="K76" s="461" t="s">
        <v>545</v>
      </c>
      <c r="L76" s="1511">
        <v>6.92</v>
      </c>
      <c r="M76" s="4686">
        <v>13</v>
      </c>
      <c r="N76" s="1431">
        <f t="shared" si="27"/>
        <v>0.91999999999999993</v>
      </c>
      <c r="O76" s="107"/>
      <c r="R76" s="44" t="s">
        <v>64</v>
      </c>
      <c r="S76" s="44" t="s">
        <v>671</v>
      </c>
      <c r="T76" s="4243">
        <v>9</v>
      </c>
      <c r="U76" s="4243">
        <v>8</v>
      </c>
      <c r="V76" s="4780">
        <f>T76-W76</f>
        <v>3</v>
      </c>
      <c r="W76" s="4243">
        <v>6</v>
      </c>
      <c r="Y76" s="2498"/>
      <c r="Z76" s="2498"/>
      <c r="AA76" s="2499" t="s">
        <v>260</v>
      </c>
      <c r="AB76" s="2500">
        <v>7.07</v>
      </c>
      <c r="AC76" s="2501">
        <v>15</v>
      </c>
      <c r="AD76" s="1437">
        <f>+(AC71*AD71+AC73*AD73+AC75*AD75)/AC76</f>
        <v>1.0699999999999998</v>
      </c>
      <c r="AE76" s="2482"/>
      <c r="AG76" s="2004"/>
      <c r="AH76" s="2004"/>
      <c r="AI76" s="2005" t="s">
        <v>260</v>
      </c>
      <c r="AJ76" s="2006">
        <v>6.85</v>
      </c>
      <c r="AK76" s="2007">
        <v>26</v>
      </c>
      <c r="AL76" s="1437">
        <f>+(AK71*AL71+AK73*AL73+AK75*AL75)/AK76</f>
        <v>0.846923076923077</v>
      </c>
      <c r="AN76" s="47"/>
      <c r="AO76" s="47"/>
      <c r="AP76" s="107" t="s">
        <v>4</v>
      </c>
      <c r="AQ76" s="144">
        <v>8.14</v>
      </c>
      <c r="AR76" s="107">
        <v>114</v>
      </c>
      <c r="AS76" s="912">
        <f>+(AR10*AS10+AR31*AS31)/AR76</f>
        <v>2.2102631578947367</v>
      </c>
      <c r="AT76" s="1"/>
      <c r="AU76" s="1445"/>
      <c r="AW76" s="1424" t="s">
        <v>41</v>
      </c>
      <c r="AX76" s="1449">
        <v>6.9833333333333343</v>
      </c>
      <c r="AY76" s="1450">
        <v>120</v>
      </c>
      <c r="AZ76" s="912">
        <f>+(AY40*AZ40+AY57*AZ57)/AY76</f>
        <v>0.98333333333333306</v>
      </c>
      <c r="CA76" s="70"/>
      <c r="CB76" s="70"/>
      <c r="CC76" s="42"/>
      <c r="CD76" s="42"/>
      <c r="CE76" s="42"/>
      <c r="CF76" s="42"/>
      <c r="CG76" s="42"/>
      <c r="CH76" s="42"/>
      <c r="CI76" s="42"/>
      <c r="CJ76" s="42"/>
      <c r="CK76" s="42"/>
      <c r="CL76" s="42"/>
      <c r="CM76" s="42"/>
      <c r="CN76" s="42"/>
      <c r="CO76" s="42"/>
      <c r="CP76" s="42"/>
    </row>
    <row r="77" spans="1:94" ht="28.5" customHeight="1" thickBot="1">
      <c r="A77" s="41"/>
      <c r="B77" s="2457"/>
      <c r="C77" s="2457" t="s">
        <v>15</v>
      </c>
      <c r="D77" s="5526"/>
      <c r="E77" s="5503"/>
      <c r="I77" s="41"/>
      <c r="J77" s="107" t="s">
        <v>61</v>
      </c>
      <c r="K77" s="41" t="s">
        <v>829</v>
      </c>
      <c r="L77" s="1496">
        <v>7.13</v>
      </c>
      <c r="M77" s="105">
        <v>15</v>
      </c>
      <c r="N77" s="1431">
        <f t="shared" si="27"/>
        <v>1.1299999999999999</v>
      </c>
      <c r="O77" s="107">
        <v>6</v>
      </c>
      <c r="S77" s="4716" t="s">
        <v>549</v>
      </c>
      <c r="T77" s="4723">
        <v>9</v>
      </c>
      <c r="U77" s="4723">
        <v>8</v>
      </c>
      <c r="V77" s="4771">
        <f>+(U76*V76)/U77</f>
        <v>3</v>
      </c>
      <c r="W77" s="4243"/>
      <c r="Y77" s="544"/>
      <c r="Z77" s="544"/>
      <c r="AA77" s="756" t="s">
        <v>113</v>
      </c>
      <c r="AB77" s="901">
        <v>7.11</v>
      </c>
      <c r="AC77" s="756">
        <v>515</v>
      </c>
      <c r="AD77" s="2027">
        <f>+(AC26*AD26+AC46*AD46+AC69*AD69+AC76*AD76)/AC77</f>
        <v>1.1391650485436893</v>
      </c>
      <c r="AE77" s="2482"/>
      <c r="AG77" s="543"/>
      <c r="AH77" s="543"/>
      <c r="AI77" s="2020" t="s">
        <v>113</v>
      </c>
      <c r="AJ77" s="901">
        <v>6.89</v>
      </c>
      <c r="AK77" s="756">
        <v>507</v>
      </c>
      <c r="AL77" s="2027">
        <f>+(AK26*AL26+AK46*AL46+AK69*AL69+AK76*AL76)/AK77</f>
        <v>0.89132149901380664</v>
      </c>
      <c r="AN77" s="47"/>
      <c r="AO77" s="47"/>
      <c r="AP77" s="107" t="s">
        <v>16</v>
      </c>
      <c r="AQ77" s="144">
        <v>6.31</v>
      </c>
      <c r="AR77" s="107">
        <v>212</v>
      </c>
      <c r="AS77" s="912">
        <f>+(AR16*AS16+AR37*AS37+AR52*AS52+AR66*AS66)/AR77</f>
        <v>0.31108490566037739</v>
      </c>
      <c r="AT77" s="1"/>
      <c r="AU77" s="1445"/>
      <c r="AW77" s="1424" t="s">
        <v>104</v>
      </c>
      <c r="AX77" s="1449">
        <v>6.0289855072463769</v>
      </c>
      <c r="AY77" s="1450">
        <v>69</v>
      </c>
      <c r="AZ77" s="912">
        <f>+(AY21*AZ21+AY61*AZ61)/AY77</f>
        <v>0.68115942028985499</v>
      </c>
      <c r="CA77" s="5687" t="s">
        <v>1376</v>
      </c>
      <c r="CB77" s="5687"/>
      <c r="CC77" s="5687"/>
      <c r="CD77" s="5687"/>
      <c r="CE77" s="5687"/>
      <c r="CF77" s="5687"/>
      <c r="CG77" s="5687"/>
      <c r="CH77" s="42"/>
      <c r="CI77" s="42"/>
      <c r="CJ77" s="42"/>
      <c r="CK77" s="42"/>
      <c r="CL77" s="42"/>
      <c r="CM77" s="42"/>
      <c r="CN77" s="42"/>
      <c r="CO77" s="42"/>
      <c r="CP77" s="42"/>
    </row>
    <row r="78" spans="1:94">
      <c r="A78" s="41"/>
      <c r="B78" s="2457" t="s">
        <v>4</v>
      </c>
      <c r="C78" s="2457" t="s">
        <v>15</v>
      </c>
      <c r="D78" s="5526">
        <v>7.53</v>
      </c>
      <c r="E78" s="5503">
        <v>91</v>
      </c>
      <c r="I78" s="41"/>
      <c r="J78" s="107"/>
      <c r="K78" s="461" t="s">
        <v>548</v>
      </c>
      <c r="L78" s="1511">
        <v>7.13</v>
      </c>
      <c r="M78" s="4686">
        <v>15</v>
      </c>
      <c r="N78" s="1431">
        <f t="shared" si="27"/>
        <v>1.1299999999999999</v>
      </c>
      <c r="O78" s="107"/>
      <c r="S78" s="4716" t="s">
        <v>260</v>
      </c>
      <c r="T78" s="4723">
        <v>7.5</v>
      </c>
      <c r="U78" s="4723">
        <v>34</v>
      </c>
      <c r="V78" s="4772">
        <f>+(U73*V73+U75*V75+U77*V77)/U78</f>
        <v>1.4988235294117647</v>
      </c>
      <c r="W78" s="4243"/>
      <c r="AN78" s="47"/>
      <c r="AO78" s="47"/>
      <c r="AP78" s="107" t="s">
        <v>41</v>
      </c>
      <c r="AQ78" s="144">
        <v>7.22</v>
      </c>
      <c r="AR78" s="107">
        <v>127</v>
      </c>
      <c r="AS78" s="912">
        <f>+(AR42*AS42+AR60*AS60)/AR78</f>
        <v>1.2206299212598426</v>
      </c>
      <c r="AT78" s="1"/>
      <c r="AU78" s="1445"/>
      <c r="AW78" s="1424" t="s">
        <v>828</v>
      </c>
      <c r="AX78" s="1449">
        <v>6.2727272727272725</v>
      </c>
      <c r="AY78" s="1450">
        <v>11</v>
      </c>
      <c r="AZ78" s="144">
        <f>AX78-6</f>
        <v>0.27272727272727249</v>
      </c>
      <c r="CA78" s="70"/>
      <c r="CB78" s="70"/>
      <c r="CC78" s="42"/>
      <c r="CD78" s="42"/>
      <c r="CE78" s="42"/>
      <c r="CF78" s="42"/>
      <c r="CG78" s="42"/>
      <c r="CH78" s="42"/>
      <c r="CI78" s="42"/>
      <c r="CJ78" s="42"/>
      <c r="CK78" s="42"/>
      <c r="CL78" s="42"/>
      <c r="CM78" s="42"/>
      <c r="CN78" s="42"/>
      <c r="CO78" s="42"/>
      <c r="CP78" s="42"/>
    </row>
    <row r="79" spans="1:94" ht="26.25" customHeight="1" thickBot="1">
      <c r="A79" s="41"/>
      <c r="B79" s="2457" t="s">
        <v>16</v>
      </c>
      <c r="C79" s="2457" t="s">
        <v>15</v>
      </c>
      <c r="D79" s="5526">
        <v>5.64</v>
      </c>
      <c r="E79" s="5503">
        <v>104</v>
      </c>
      <c r="I79" s="41"/>
      <c r="J79" s="107" t="s">
        <v>64</v>
      </c>
      <c r="K79" s="41" t="s">
        <v>671</v>
      </c>
      <c r="L79" s="1496">
        <v>8.27</v>
      </c>
      <c r="M79" s="105">
        <v>11</v>
      </c>
      <c r="N79" s="1431">
        <f t="shared" si="27"/>
        <v>2.2699999999999996</v>
      </c>
      <c r="O79" s="107">
        <v>6</v>
      </c>
      <c r="Q79" s="4781"/>
      <c r="R79" s="4781"/>
      <c r="S79" s="4739" t="s">
        <v>113</v>
      </c>
      <c r="T79" s="4718">
        <v>7.18</v>
      </c>
      <c r="U79" s="4718">
        <v>334</v>
      </c>
      <c r="V79" s="4782">
        <f>+(U26*V26+U47*V47+U71*V71+U78*V78)/U79</f>
        <v>1.1497904191616766</v>
      </c>
      <c r="W79" s="4738"/>
      <c r="AN79" s="47"/>
      <c r="AO79" s="47"/>
      <c r="AP79" s="107" t="s">
        <v>21</v>
      </c>
      <c r="AQ79" s="144">
        <v>6.23</v>
      </c>
      <c r="AR79" s="107">
        <v>40</v>
      </c>
      <c r="AS79" s="912">
        <f>+(AR22*AS22+AR63*AS63)/AR79</f>
        <v>0.75074999999999981</v>
      </c>
      <c r="AT79" s="1"/>
      <c r="AU79" s="1445"/>
      <c r="AW79" s="1424" t="s">
        <v>64</v>
      </c>
      <c r="AX79" s="1449">
        <v>6.3333333333333339</v>
      </c>
      <c r="AY79" s="1450">
        <v>6</v>
      </c>
      <c r="AZ79" s="969">
        <f>AX79-6</f>
        <v>0.33333333333333393</v>
      </c>
      <c r="CA79" s="5687" t="s">
        <v>1377</v>
      </c>
      <c r="CB79" s="5687"/>
      <c r="CC79" s="5687"/>
      <c r="CD79" s="5687"/>
      <c r="CE79" s="5687"/>
      <c r="CF79" s="5687"/>
      <c r="CG79" s="5687"/>
      <c r="CH79" s="42"/>
      <c r="CI79" s="42"/>
      <c r="CJ79" s="42"/>
      <c r="CK79" s="42"/>
      <c r="CL79" s="42"/>
      <c r="CM79" s="42"/>
      <c r="CN79" s="42"/>
      <c r="CO79" s="42"/>
      <c r="CP79" s="42"/>
    </row>
    <row r="80" spans="1:94" ht="15" thickBot="1">
      <c r="A80" s="41"/>
      <c r="B80" s="2457" t="s">
        <v>41</v>
      </c>
      <c r="C80" s="2457" t="s">
        <v>15</v>
      </c>
      <c r="D80" s="5526">
        <v>6.55</v>
      </c>
      <c r="E80" s="5503">
        <v>62</v>
      </c>
      <c r="I80" s="41"/>
      <c r="J80" s="107"/>
      <c r="K80" s="461" t="s">
        <v>549</v>
      </c>
      <c r="L80" s="1511">
        <v>8.27</v>
      </c>
      <c r="M80" s="4686">
        <v>11</v>
      </c>
      <c r="N80" s="1431">
        <f t="shared" si="27"/>
        <v>2.2699999999999996</v>
      </c>
      <c r="O80" s="107"/>
      <c r="S80" s="4716"/>
      <c r="T80" s="4723"/>
      <c r="U80" s="4723"/>
      <c r="V80" s="4783"/>
      <c r="W80" s="4243"/>
      <c r="AN80" s="47"/>
      <c r="AO80" s="47"/>
      <c r="AP80" s="107" t="s">
        <v>61</v>
      </c>
      <c r="AQ80" s="144">
        <v>6.83</v>
      </c>
      <c r="AR80" s="107">
        <v>18</v>
      </c>
      <c r="AS80" s="144">
        <f>AQ80-6</f>
        <v>0.83000000000000007</v>
      </c>
      <c r="AT80" s="1"/>
      <c r="AU80" s="1445"/>
      <c r="AV80" s="1445"/>
      <c r="AW80" s="1421" t="s">
        <v>113</v>
      </c>
      <c r="AX80" s="1451">
        <v>6.8130841121495243</v>
      </c>
      <c r="AY80" s="1452">
        <v>428</v>
      </c>
      <c r="AZ80" s="925">
        <v>0.85280373831775702</v>
      </c>
      <c r="CH80" s="42"/>
      <c r="CI80" s="42"/>
      <c r="CJ80" s="42"/>
      <c r="CK80" s="42"/>
      <c r="CL80" s="42"/>
      <c r="CM80" s="42"/>
      <c r="CN80" s="42"/>
      <c r="CO80" s="42"/>
      <c r="CP80" s="42"/>
    </row>
    <row r="81" spans="1:87">
      <c r="A81" s="41"/>
      <c r="B81" s="2457" t="s">
        <v>21</v>
      </c>
      <c r="C81" s="2457" t="s">
        <v>15</v>
      </c>
      <c r="D81" s="5526">
        <v>6.7</v>
      </c>
      <c r="E81" s="5503">
        <v>30</v>
      </c>
      <c r="I81" s="2856"/>
      <c r="J81" s="1676"/>
      <c r="K81" s="1652" t="s">
        <v>260</v>
      </c>
      <c r="L81" s="4784">
        <v>7.38</v>
      </c>
      <c r="M81" s="4688">
        <v>39</v>
      </c>
      <c r="N81" s="4787">
        <f>+(M76*N76+M78*N78+M80*N80)/M81</f>
        <v>1.3815384615384614</v>
      </c>
      <c r="O81" s="107"/>
      <c r="S81" s="4716"/>
      <c r="T81" s="4723"/>
      <c r="U81" s="4723"/>
      <c r="V81" s="4723"/>
      <c r="W81" s="4723"/>
      <c r="AN81" s="47"/>
      <c r="AO81" s="47"/>
      <c r="AP81" s="107" t="s">
        <v>64</v>
      </c>
      <c r="AQ81" s="144">
        <v>7</v>
      </c>
      <c r="AR81" s="107">
        <v>9</v>
      </c>
      <c r="AS81" s="969">
        <f>AQ81-6</f>
        <v>1</v>
      </c>
      <c r="AT81" s="1"/>
      <c r="CH81" s="42"/>
      <c r="CI81" s="42"/>
    </row>
    <row r="82" spans="1:87" ht="15" thickBot="1">
      <c r="A82" s="41"/>
      <c r="B82" s="2457" t="s">
        <v>61</v>
      </c>
      <c r="C82" s="2457" t="s">
        <v>15</v>
      </c>
      <c r="D82" s="5526">
        <v>6.5</v>
      </c>
      <c r="E82" s="5503">
        <v>12</v>
      </c>
      <c r="L82" s="4785"/>
      <c r="N82" s="4785"/>
      <c r="S82" s="4716"/>
      <c r="T82" s="4723"/>
      <c r="U82" s="4723"/>
      <c r="V82" s="4723"/>
      <c r="W82" s="4723"/>
      <c r="AN82" s="47"/>
      <c r="AO82" s="47"/>
      <c r="AP82" s="456" t="s">
        <v>113</v>
      </c>
      <c r="AQ82" s="992">
        <v>6.96</v>
      </c>
      <c r="AR82" s="456">
        <v>520</v>
      </c>
      <c r="AS82" s="925">
        <v>0.9862884615384615</v>
      </c>
      <c r="AT82" s="1"/>
    </row>
    <row r="83" spans="1:87" ht="15" thickBot="1">
      <c r="A83" s="41"/>
      <c r="B83" s="2457" t="s">
        <v>64</v>
      </c>
      <c r="C83" s="2457" t="s">
        <v>15</v>
      </c>
      <c r="D83" s="5526">
        <v>6.6</v>
      </c>
      <c r="E83" s="5503">
        <v>5</v>
      </c>
      <c r="I83" s="469"/>
      <c r="J83" s="1099"/>
      <c r="K83" s="941" t="s">
        <v>113</v>
      </c>
      <c r="L83" s="1988">
        <v>7.02</v>
      </c>
      <c r="M83" s="456">
        <v>451</v>
      </c>
      <c r="N83" s="4788">
        <f>+(M27*N27+M48*N48+M74*N74+M81*N81)/M83</f>
        <v>1.0115521064301551</v>
      </c>
      <c r="O83" s="1099"/>
      <c r="S83" s="4716"/>
      <c r="T83" s="4723"/>
      <c r="U83" s="4723"/>
      <c r="V83" s="4736"/>
      <c r="W83" s="4736"/>
    </row>
    <row r="84" spans="1:87" ht="15" thickBot="1">
      <c r="A84" s="469"/>
      <c r="B84" s="465" t="s">
        <v>75</v>
      </c>
      <c r="C84" s="465" t="s">
        <v>15</v>
      </c>
      <c r="D84" s="1542">
        <v>6.55</v>
      </c>
      <c r="E84" s="466">
        <v>304</v>
      </c>
      <c r="J84" s="4689"/>
      <c r="S84" s="4739" t="s">
        <v>1</v>
      </c>
      <c r="T84" s="4718" t="s">
        <v>2936</v>
      </c>
      <c r="U84" s="4718" t="s">
        <v>1366</v>
      </c>
      <c r="V84" s="4243"/>
      <c r="W84" s="4243"/>
    </row>
    <row r="85" spans="1:87">
      <c r="J85" s="4689"/>
      <c r="S85" s="44" t="s">
        <v>4</v>
      </c>
      <c r="T85" s="4243">
        <v>8.36</v>
      </c>
      <c r="U85" s="4243">
        <v>73</v>
      </c>
      <c r="V85" s="4243"/>
      <c r="W85" s="4243"/>
    </row>
    <row r="86" spans="1:87">
      <c r="S86" s="44" t="s">
        <v>16</v>
      </c>
      <c r="T86" s="4243">
        <v>6.58</v>
      </c>
      <c r="U86" s="4243">
        <v>137</v>
      </c>
      <c r="V86" s="4243"/>
      <c r="W86" s="4243"/>
    </row>
    <row r="87" spans="1:87">
      <c r="S87" s="44" t="s">
        <v>41</v>
      </c>
      <c r="T87" s="4243">
        <v>6.99</v>
      </c>
      <c r="U87" s="4243">
        <v>84</v>
      </c>
      <c r="V87" s="4243"/>
      <c r="W87" s="4243"/>
    </row>
    <row r="88" spans="1:87">
      <c r="S88" s="44" t="s">
        <v>21</v>
      </c>
      <c r="T88" s="4243">
        <v>7.06</v>
      </c>
      <c r="U88" s="4243">
        <v>17</v>
      </c>
      <c r="V88" s="4243"/>
      <c r="W88" s="4243"/>
    </row>
    <row r="89" spans="1:87">
      <c r="S89" s="44" t="s">
        <v>61</v>
      </c>
      <c r="T89" s="4243">
        <v>7.13</v>
      </c>
      <c r="U89" s="4243">
        <v>15</v>
      </c>
      <c r="V89" s="4243"/>
      <c r="W89" s="4243"/>
    </row>
    <row r="90" spans="1:87">
      <c r="S90" s="44" t="s">
        <v>64</v>
      </c>
      <c r="T90" s="4243">
        <v>9</v>
      </c>
      <c r="U90" s="4243">
        <v>8</v>
      </c>
      <c r="V90" s="4736"/>
      <c r="W90" s="4736"/>
    </row>
    <row r="91" spans="1:87" ht="15" thickBot="1">
      <c r="S91" s="4739" t="s">
        <v>15</v>
      </c>
      <c r="T91" s="4718">
        <v>7.18</v>
      </c>
      <c r="U91" s="4718">
        <v>334</v>
      </c>
    </row>
  </sheetData>
  <mergeCells count="14">
    <mergeCell ref="CM4:CP4"/>
    <mergeCell ref="CA77:CG77"/>
    <mergeCell ref="CA79:CG79"/>
    <mergeCell ref="BE4:BG4"/>
    <mergeCell ref="BM4:BP4"/>
    <mergeCell ref="BU4:BY4"/>
    <mergeCell ref="CD4:CG4"/>
    <mergeCell ref="I2:O2"/>
    <mergeCell ref="Y2:AA2"/>
    <mergeCell ref="AG2:AL2"/>
    <mergeCell ref="CA2:CG2"/>
    <mergeCell ref="AQ4:AS4"/>
    <mergeCell ref="AX4:AZ4"/>
    <mergeCell ref="BB2:BG2"/>
  </mergeCells>
  <pageMargins left="0.7" right="0.7" top="0.75" bottom="0.75" header="0.3" footer="0.3"/>
  <pageSetup paperSize="9" orientation="portrait" r:id="rId1"/>
  <ignoredErrors>
    <ignoredError sqref="AS52:AS60 AS7:AS10 AS31:AS37 AL12:AL18 AL25 AL34:AL40 AL54:AL64 AD12:AD19 AD34:AD40 AD57:AD65 V11:V75 N12:N19 N59 N35 F12 F19 F24:F32 F34:F39 F52 F62"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499984740745262"/>
  </sheetPr>
  <dimension ref="A1:M65"/>
  <sheetViews>
    <sheetView showGridLines="0" zoomScaleNormal="100" workbookViewId="0">
      <pane xSplit="2" ySplit="3" topLeftCell="I4" activePane="bottomRight" state="frozen"/>
      <selection activeCell="L34" sqref="L34:M35"/>
      <selection pane="topRight" activeCell="L34" sqref="L34:M35"/>
      <selection pane="bottomLeft" activeCell="L34" sqref="L34:M35"/>
      <selection pane="bottomRight" activeCell="L60" sqref="L60:M61"/>
    </sheetView>
  </sheetViews>
  <sheetFormatPr baseColWidth="10" defaultColWidth="11.44140625" defaultRowHeight="13.8"/>
  <cols>
    <col min="1" max="1" width="2.77734375" style="31" customWidth="1"/>
    <col min="2" max="2" width="56.5546875" style="31" customWidth="1"/>
    <col min="3" max="16384" width="11.44140625" style="31"/>
  </cols>
  <sheetData>
    <row r="1" spans="1:13" ht="15.6">
      <c r="B1" s="447" t="s">
        <v>2744</v>
      </c>
      <c r="C1" s="449"/>
    </row>
    <row r="2" spans="1:13">
      <c r="A2" s="1013"/>
      <c r="B2" s="448"/>
      <c r="C2" s="449"/>
    </row>
    <row r="3" spans="1:13" ht="15" thickBot="1">
      <c r="A3" s="1013"/>
      <c r="B3" s="2560" t="s">
        <v>2728</v>
      </c>
      <c r="C3" s="2556">
        <v>2010</v>
      </c>
      <c r="D3" s="3712">
        <v>2011</v>
      </c>
      <c r="E3" s="3712">
        <v>2012</v>
      </c>
      <c r="F3" s="3712">
        <v>2013</v>
      </c>
      <c r="G3" s="3712">
        <v>2014</v>
      </c>
      <c r="H3" s="3712">
        <v>2015</v>
      </c>
      <c r="I3" s="3712">
        <v>2016</v>
      </c>
      <c r="J3" s="3712">
        <v>2017</v>
      </c>
      <c r="K3" s="3712">
        <v>2018</v>
      </c>
      <c r="L3" s="2556">
        <v>2019</v>
      </c>
      <c r="M3" s="2556">
        <v>2020</v>
      </c>
    </row>
    <row r="4" spans="1:13" ht="15" customHeight="1">
      <c r="A4" s="1013"/>
      <c r="B4" s="3824" t="s">
        <v>115</v>
      </c>
      <c r="C4" s="3825">
        <v>5</v>
      </c>
      <c r="D4" s="3789">
        <v>7.6</v>
      </c>
      <c r="E4" s="3826">
        <v>7</v>
      </c>
      <c r="F4" s="3827">
        <v>5.2727272727272716</v>
      </c>
      <c r="G4" s="3789">
        <v>3.1999999999999993</v>
      </c>
      <c r="H4" s="3789">
        <v>3.3333333333333339</v>
      </c>
      <c r="I4" s="3789">
        <v>5.57</v>
      </c>
      <c r="J4" s="3789">
        <v>0</v>
      </c>
      <c r="K4" s="3778"/>
      <c r="L4" s="3778"/>
      <c r="M4" s="3778"/>
    </row>
    <row r="5" spans="1:13" ht="15" customHeight="1">
      <c r="A5" s="1013"/>
      <c r="B5" s="3814" t="s">
        <v>116</v>
      </c>
      <c r="C5" s="3828">
        <v>5</v>
      </c>
      <c r="D5" s="3792">
        <v>9</v>
      </c>
      <c r="E5" s="3829">
        <v>4</v>
      </c>
      <c r="F5" s="3811">
        <v>12.5</v>
      </c>
      <c r="G5" s="3792"/>
      <c r="H5" s="3792">
        <v>9</v>
      </c>
      <c r="I5" s="3792"/>
      <c r="J5" s="3792">
        <v>10</v>
      </c>
      <c r="K5" s="3779"/>
      <c r="L5" s="3779">
        <v>4.5</v>
      </c>
      <c r="M5" s="3779">
        <v>1.5</v>
      </c>
    </row>
    <row r="6" spans="1:13" ht="15" customHeight="1">
      <c r="A6" s="1013"/>
      <c r="B6" s="3815" t="s">
        <v>669</v>
      </c>
      <c r="C6" s="3828"/>
      <c r="D6" s="3792"/>
      <c r="E6" s="3829"/>
      <c r="F6" s="3811"/>
      <c r="G6" s="3792"/>
      <c r="H6" s="3792"/>
      <c r="I6" s="3792"/>
      <c r="J6" s="3792">
        <v>-3</v>
      </c>
      <c r="K6" s="3779">
        <v>-1</v>
      </c>
      <c r="L6" s="3779">
        <v>1</v>
      </c>
      <c r="M6" s="3779">
        <v>2</v>
      </c>
    </row>
    <row r="7" spans="1:13" ht="15" customHeight="1">
      <c r="A7" s="1013"/>
      <c r="B7" s="3815" t="s">
        <v>668</v>
      </c>
      <c r="C7" s="3828"/>
      <c r="D7" s="3792"/>
      <c r="E7" s="3829"/>
      <c r="F7" s="3811"/>
      <c r="G7" s="3792"/>
      <c r="H7" s="3792"/>
      <c r="I7" s="3792"/>
      <c r="J7" s="3792">
        <v>3</v>
      </c>
      <c r="K7" s="3779">
        <v>2</v>
      </c>
      <c r="L7" s="3779"/>
      <c r="M7" s="3779"/>
    </row>
    <row r="8" spans="1:13" ht="15" customHeight="1">
      <c r="A8" s="1013"/>
      <c r="B8" s="3815" t="s">
        <v>2537</v>
      </c>
      <c r="C8" s="3828"/>
      <c r="D8" s="3792"/>
      <c r="E8" s="3829"/>
      <c r="F8" s="3811"/>
      <c r="G8" s="3792"/>
      <c r="H8" s="3792"/>
      <c r="I8" s="3792"/>
      <c r="J8" s="3792">
        <v>0.40000000000000036</v>
      </c>
      <c r="K8" s="3779">
        <v>-0.5</v>
      </c>
      <c r="L8" s="3779">
        <v>1</v>
      </c>
      <c r="M8" s="3779">
        <v>2</v>
      </c>
    </row>
    <row r="9" spans="1:13" ht="15" customHeight="1">
      <c r="A9" s="1013"/>
      <c r="B9" s="3830" t="s">
        <v>544</v>
      </c>
      <c r="C9" s="3831">
        <v>5</v>
      </c>
      <c r="D9" s="2933">
        <v>7.7272727272727275</v>
      </c>
      <c r="E9" s="3832">
        <v>6.5</v>
      </c>
      <c r="F9" s="3832">
        <v>6.3846153846153832</v>
      </c>
      <c r="G9" s="2933">
        <v>3.1999999999999993</v>
      </c>
      <c r="H9" s="2933">
        <v>4.75</v>
      </c>
      <c r="I9" s="2933"/>
      <c r="J9" s="2933">
        <v>1.5000000000000002</v>
      </c>
      <c r="K9" s="3634">
        <v>0</v>
      </c>
      <c r="L9" s="3634">
        <v>2</v>
      </c>
      <c r="M9" s="3634">
        <v>1.75</v>
      </c>
    </row>
    <row r="10" spans="1:13" ht="15" customHeight="1">
      <c r="A10" s="1013"/>
      <c r="B10" s="3833" t="s">
        <v>128</v>
      </c>
      <c r="C10" s="3828">
        <v>-3</v>
      </c>
      <c r="D10" s="3792"/>
      <c r="E10" s="3829"/>
      <c r="F10" s="3792"/>
      <c r="G10" s="3792"/>
      <c r="H10" s="3792">
        <v>2</v>
      </c>
      <c r="I10" s="3792"/>
      <c r="J10" s="3792">
        <v>0</v>
      </c>
      <c r="K10" s="3779"/>
      <c r="L10" s="3779"/>
      <c r="M10" s="3779"/>
    </row>
    <row r="11" spans="1:13" ht="15" customHeight="1">
      <c r="A11" s="1013"/>
      <c r="B11" s="3834" t="s">
        <v>118</v>
      </c>
      <c r="C11" s="3828">
        <v>0</v>
      </c>
      <c r="D11" s="3792">
        <v>0</v>
      </c>
      <c r="E11" s="3829">
        <v>1.5</v>
      </c>
      <c r="F11" s="3811">
        <v>0.74999999999999822</v>
      </c>
      <c r="G11" s="3792">
        <v>0.85714285714285765</v>
      </c>
      <c r="H11" s="3792">
        <v>2</v>
      </c>
      <c r="I11" s="3792">
        <v>3.8000000000000007</v>
      </c>
      <c r="J11" s="3792">
        <v>6</v>
      </c>
      <c r="K11" s="3779">
        <v>4.67</v>
      </c>
      <c r="L11" s="3779">
        <v>1.67</v>
      </c>
      <c r="M11" s="3779"/>
    </row>
    <row r="12" spans="1:13" ht="15" customHeight="1">
      <c r="A12" s="1013"/>
      <c r="B12" s="3834" t="s">
        <v>119</v>
      </c>
      <c r="C12" s="3792"/>
      <c r="D12" s="3792">
        <v>-0.19999999999999929</v>
      </c>
      <c r="E12" s="3829">
        <v>0</v>
      </c>
      <c r="F12" s="3792"/>
      <c r="G12" s="3792">
        <v>0.19999999999999929</v>
      </c>
      <c r="H12" s="3792">
        <v>2.75</v>
      </c>
      <c r="I12" s="3792">
        <v>1.33</v>
      </c>
      <c r="J12" s="3792">
        <v>2.5</v>
      </c>
      <c r="K12" s="3779">
        <v>4.67</v>
      </c>
      <c r="L12" s="3779">
        <v>0.25</v>
      </c>
      <c r="M12" s="3779">
        <v>-0.5</v>
      </c>
    </row>
    <row r="13" spans="1:13" ht="15" customHeight="1">
      <c r="A13" s="1013"/>
      <c r="B13" s="3830" t="s">
        <v>545</v>
      </c>
      <c r="C13" s="3831">
        <v>-1.5</v>
      </c>
      <c r="D13" s="2933">
        <v>-0.16666666666666607</v>
      </c>
      <c r="E13" s="3832">
        <v>1</v>
      </c>
      <c r="F13" s="3832">
        <v>0.74999999999999822</v>
      </c>
      <c r="G13" s="2933">
        <v>0.58333333333333337</v>
      </c>
      <c r="H13" s="2933">
        <v>2.4285714285714284</v>
      </c>
      <c r="I13" s="2933">
        <v>2.5</v>
      </c>
      <c r="J13" s="2933">
        <v>2.75</v>
      </c>
      <c r="K13" s="3634">
        <v>4.67</v>
      </c>
      <c r="L13" s="3634">
        <v>0.85857142857142854</v>
      </c>
      <c r="M13" s="3634">
        <v>-0.5</v>
      </c>
    </row>
    <row r="14" spans="1:13" ht="15" customHeight="1">
      <c r="A14" s="1013"/>
      <c r="B14" s="3834" t="s">
        <v>105</v>
      </c>
      <c r="C14" s="3828">
        <v>2.4000000000000004</v>
      </c>
      <c r="D14" s="3792">
        <v>1.5714285714285712</v>
      </c>
      <c r="E14" s="3829">
        <v>0</v>
      </c>
      <c r="F14" s="3811">
        <v>2.3333333333333339</v>
      </c>
      <c r="G14" s="3792">
        <v>3.8888888888888893</v>
      </c>
      <c r="H14" s="3792">
        <v>4</v>
      </c>
      <c r="I14" s="3792"/>
      <c r="J14" s="3792"/>
      <c r="K14" s="3779"/>
      <c r="L14" s="3779"/>
      <c r="M14" s="3779"/>
    </row>
    <row r="15" spans="1:13" ht="15" customHeight="1">
      <c r="A15" s="1013"/>
      <c r="B15" s="3834" t="s">
        <v>1638</v>
      </c>
      <c r="C15" s="3828"/>
      <c r="D15" s="3792"/>
      <c r="E15" s="3829"/>
      <c r="F15" s="3811"/>
      <c r="G15" s="3792"/>
      <c r="H15" s="3792">
        <v>0</v>
      </c>
      <c r="I15" s="3792"/>
      <c r="J15" s="3792"/>
      <c r="K15" s="3779">
        <v>-1</v>
      </c>
      <c r="L15" s="3779">
        <v>0</v>
      </c>
      <c r="M15" s="3779"/>
    </row>
    <row r="16" spans="1:13" ht="15" customHeight="1">
      <c r="A16" s="1013"/>
      <c r="B16" s="3834" t="s">
        <v>1639</v>
      </c>
      <c r="C16" s="3828"/>
      <c r="D16" s="3792"/>
      <c r="E16" s="3829"/>
      <c r="F16" s="3811"/>
      <c r="G16" s="3792"/>
      <c r="H16" s="3792">
        <v>0</v>
      </c>
      <c r="I16" s="3792"/>
      <c r="J16" s="3792">
        <v>-2</v>
      </c>
      <c r="K16" s="3779"/>
      <c r="L16" s="3779">
        <v>1</v>
      </c>
      <c r="M16" s="3779">
        <v>3</v>
      </c>
    </row>
    <row r="17" spans="1:13" ht="15" customHeight="1">
      <c r="A17" s="1013"/>
      <c r="B17" s="3834" t="s">
        <v>1640</v>
      </c>
      <c r="C17" s="3828"/>
      <c r="D17" s="3792"/>
      <c r="E17" s="3829"/>
      <c r="F17" s="3811"/>
      <c r="G17" s="3792"/>
      <c r="H17" s="3792">
        <v>0</v>
      </c>
      <c r="I17" s="3792">
        <v>0</v>
      </c>
      <c r="J17" s="3792">
        <v>8</v>
      </c>
      <c r="K17" s="3779">
        <v>1.1999999999999993</v>
      </c>
      <c r="L17" s="3779">
        <v>1.8000000000000007</v>
      </c>
      <c r="M17" s="3779">
        <v>4.33</v>
      </c>
    </row>
    <row r="18" spans="1:13" ht="15" customHeight="1">
      <c r="A18" s="1013"/>
      <c r="B18" s="3834" t="s">
        <v>1641</v>
      </c>
      <c r="C18" s="3828"/>
      <c r="D18" s="3792"/>
      <c r="E18" s="3829"/>
      <c r="F18" s="3811"/>
      <c r="G18" s="3792"/>
      <c r="H18" s="3792"/>
      <c r="I18" s="3792">
        <v>0.5</v>
      </c>
      <c r="J18" s="3792">
        <v>1.33</v>
      </c>
      <c r="K18" s="3779">
        <v>0</v>
      </c>
      <c r="L18" s="3779">
        <v>1.33</v>
      </c>
      <c r="M18" s="3779"/>
    </row>
    <row r="19" spans="1:13" ht="15" customHeight="1">
      <c r="A19" s="1013"/>
      <c r="B19" s="2464" t="s">
        <v>2538</v>
      </c>
      <c r="C19" s="3828"/>
      <c r="D19" s="3792"/>
      <c r="E19" s="3829"/>
      <c r="F19" s="3811"/>
      <c r="G19" s="3792"/>
      <c r="H19" s="3792"/>
      <c r="I19" s="3792"/>
      <c r="J19" s="3792"/>
      <c r="K19" s="3779"/>
      <c r="L19" s="3779"/>
      <c r="M19" s="3779">
        <v>1</v>
      </c>
    </row>
    <row r="20" spans="1:13" ht="15" customHeight="1">
      <c r="A20" s="1013"/>
      <c r="B20" s="3830" t="s">
        <v>546</v>
      </c>
      <c r="C20" s="3831">
        <v>2.4000000000000004</v>
      </c>
      <c r="D20" s="2933">
        <v>1.5714285714285712</v>
      </c>
      <c r="E20" s="3832">
        <v>0</v>
      </c>
      <c r="F20" s="3832">
        <v>2.3333333333333339</v>
      </c>
      <c r="G20" s="2933">
        <v>3.8888888888888893</v>
      </c>
      <c r="H20" s="2933">
        <v>0</v>
      </c>
      <c r="I20" s="2933">
        <v>0.14285714285714285</v>
      </c>
      <c r="J20" s="2933">
        <v>1.998</v>
      </c>
      <c r="K20" s="3634">
        <v>0.55555555555555514</v>
      </c>
      <c r="L20" s="3634">
        <v>1.2718181818181822</v>
      </c>
      <c r="M20" s="3634">
        <v>3.3980000000000006</v>
      </c>
    </row>
    <row r="21" spans="1:13" ht="15" customHeight="1">
      <c r="A21" s="1013"/>
      <c r="B21" s="3835" t="s">
        <v>106</v>
      </c>
      <c r="C21" s="3836">
        <v>1.9666666666666668</v>
      </c>
      <c r="D21" s="2939">
        <v>3.9583333333333335</v>
      </c>
      <c r="E21" s="3837">
        <v>3.2142857142857144</v>
      </c>
      <c r="F21" s="3837">
        <v>3.6666666666666656</v>
      </c>
      <c r="G21" s="2939">
        <v>2.2307692307692308</v>
      </c>
      <c r="H21" s="2939">
        <v>2.25</v>
      </c>
      <c r="I21" s="2939">
        <v>2.6787999999999998</v>
      </c>
      <c r="J21" s="2939">
        <v>1.8942105263157896</v>
      </c>
      <c r="K21" s="3636">
        <v>1.7378947368421052</v>
      </c>
      <c r="L21" s="3636">
        <v>1.36</v>
      </c>
      <c r="M21" s="3636">
        <v>2.0900000000000003</v>
      </c>
    </row>
    <row r="22" spans="1:13" ht="15" customHeight="1">
      <c r="A22" s="1013"/>
      <c r="B22" s="3838" t="s">
        <v>120</v>
      </c>
      <c r="C22" s="3839">
        <v>2</v>
      </c>
      <c r="D22" s="3809">
        <v>2</v>
      </c>
      <c r="E22" s="3840">
        <v>12.5</v>
      </c>
      <c r="F22" s="3808">
        <v>3.3333333333333339</v>
      </c>
      <c r="G22" s="3809">
        <v>8.7142857142857117</v>
      </c>
      <c r="H22" s="3809">
        <v>8</v>
      </c>
      <c r="I22" s="3809">
        <v>5</v>
      </c>
      <c r="J22" s="3809"/>
      <c r="K22" s="3780">
        <v>1.25</v>
      </c>
      <c r="L22" s="3780">
        <v>3.8000000000000007</v>
      </c>
      <c r="M22" s="3780">
        <v>7</v>
      </c>
    </row>
    <row r="23" spans="1:13" ht="15" customHeight="1">
      <c r="A23" s="1013"/>
      <c r="B23" s="3834" t="s">
        <v>121</v>
      </c>
      <c r="C23" s="3828">
        <v>4</v>
      </c>
      <c r="D23" s="3792">
        <v>5.5</v>
      </c>
      <c r="E23" s="3829">
        <v>4.3333333333333321</v>
      </c>
      <c r="F23" s="3811">
        <v>4.9999999999999964</v>
      </c>
      <c r="G23" s="3792">
        <v>5.1999999999999993</v>
      </c>
      <c r="H23" s="3792">
        <v>6</v>
      </c>
      <c r="I23" s="3792">
        <v>3.67</v>
      </c>
      <c r="J23" s="3792">
        <v>6.6700000000000017</v>
      </c>
      <c r="K23" s="3779">
        <v>3.8900000000000006</v>
      </c>
      <c r="L23" s="3779">
        <v>5.2899999999999991</v>
      </c>
      <c r="M23" s="3779">
        <v>8.6700000000000017</v>
      </c>
    </row>
    <row r="24" spans="1:13" ht="15" customHeight="1">
      <c r="A24" s="1013"/>
      <c r="B24" s="3834" t="s">
        <v>122</v>
      </c>
      <c r="C24" s="3828">
        <v>5.25</v>
      </c>
      <c r="D24" s="3792">
        <v>7.6428571428571388</v>
      </c>
      <c r="E24" s="3829">
        <v>5.3333333333333357</v>
      </c>
      <c r="F24" s="3811">
        <v>2.2857142857142847</v>
      </c>
      <c r="G24" s="3792">
        <v>5.3125</v>
      </c>
      <c r="H24" s="3792">
        <v>6</v>
      </c>
      <c r="I24" s="3792">
        <v>3.5</v>
      </c>
      <c r="J24" s="3792">
        <v>4.3999999999999986</v>
      </c>
      <c r="K24" s="3779">
        <v>6.129999999999999</v>
      </c>
      <c r="L24" s="3779">
        <v>6.5599999999999987</v>
      </c>
      <c r="M24" s="3779">
        <v>8</v>
      </c>
    </row>
    <row r="25" spans="1:13" ht="15" customHeight="1">
      <c r="A25" s="1013"/>
      <c r="B25" s="3834" t="s">
        <v>123</v>
      </c>
      <c r="C25" s="3828">
        <v>4.875</v>
      </c>
      <c r="D25" s="3792">
        <v>-1.6666666666666661</v>
      </c>
      <c r="E25" s="3829">
        <v>10.833333333333332</v>
      </c>
      <c r="F25" s="3811">
        <v>8.1666666666666679</v>
      </c>
      <c r="G25" s="3792">
        <v>3.1999999999999993</v>
      </c>
      <c r="H25" s="3792">
        <v>6</v>
      </c>
      <c r="I25" s="3792">
        <v>5.4400000000000013</v>
      </c>
      <c r="J25" s="3792">
        <v>2.25</v>
      </c>
      <c r="K25" s="3779">
        <v>5.3999999999999986</v>
      </c>
      <c r="L25" s="3779">
        <v>5.25</v>
      </c>
      <c r="M25" s="3779">
        <v>4.8000000000000007</v>
      </c>
    </row>
    <row r="26" spans="1:13" ht="15" customHeight="1">
      <c r="A26" s="1013"/>
      <c r="B26" s="3834" t="s">
        <v>124</v>
      </c>
      <c r="C26" s="3828">
        <v>2.3333333333333339</v>
      </c>
      <c r="D26" s="3792"/>
      <c r="E26" s="3829">
        <v>0</v>
      </c>
      <c r="F26" s="3811">
        <v>-3</v>
      </c>
      <c r="G26" s="3792">
        <v>2.25</v>
      </c>
      <c r="H26" s="3792">
        <v>4.3333333333333321</v>
      </c>
      <c r="I26" s="3792">
        <v>3</v>
      </c>
      <c r="J26" s="3792">
        <v>4.1700000000000017</v>
      </c>
      <c r="K26" s="3779">
        <v>9.3299999999999983</v>
      </c>
      <c r="L26" s="3779">
        <v>5.5</v>
      </c>
      <c r="M26" s="3779">
        <v>11</v>
      </c>
    </row>
    <row r="27" spans="1:13" ht="15" customHeight="1">
      <c r="A27" s="1013"/>
      <c r="B27" s="3834" t="s">
        <v>417</v>
      </c>
      <c r="C27" s="3828"/>
      <c r="D27" s="3792"/>
      <c r="E27" s="3829"/>
      <c r="F27" s="3811"/>
      <c r="G27" s="3792"/>
      <c r="H27" s="3792"/>
      <c r="I27" s="3792">
        <v>1</v>
      </c>
      <c r="J27" s="3792">
        <v>3.1999999999999993</v>
      </c>
      <c r="K27" s="3779">
        <v>3</v>
      </c>
      <c r="L27" s="3779">
        <v>3.33</v>
      </c>
      <c r="M27" s="3779">
        <v>0</v>
      </c>
    </row>
    <row r="28" spans="1:13" ht="15" customHeight="1">
      <c r="A28" s="1013"/>
      <c r="B28" s="3834" t="s">
        <v>795</v>
      </c>
      <c r="C28" s="3828"/>
      <c r="D28" s="3792"/>
      <c r="E28" s="3829"/>
      <c r="F28" s="3811"/>
      <c r="G28" s="3792"/>
      <c r="H28" s="3792"/>
      <c r="I28" s="3792"/>
      <c r="J28" s="3792"/>
      <c r="K28" s="3779">
        <v>3.5</v>
      </c>
      <c r="L28" s="3779">
        <v>0</v>
      </c>
      <c r="M28" s="3779">
        <v>11</v>
      </c>
    </row>
    <row r="29" spans="1:13" ht="15" customHeight="1">
      <c r="A29" s="1013"/>
      <c r="B29" s="3830" t="s">
        <v>544</v>
      </c>
      <c r="C29" s="3831">
        <v>4.9854797979797985</v>
      </c>
      <c r="D29" s="2933">
        <v>5.2608695652173889</v>
      </c>
      <c r="E29" s="3832">
        <v>6.7272727272727275</v>
      </c>
      <c r="F29" s="3832">
        <v>4.4583333333333321</v>
      </c>
      <c r="G29" s="2933">
        <v>5.3243243243243228</v>
      </c>
      <c r="H29" s="2933">
        <v>5.4782608695652177</v>
      </c>
      <c r="I29" s="2933">
        <v>3.9719444444444445</v>
      </c>
      <c r="J29" s="2933">
        <v>4.3344444444444443</v>
      </c>
      <c r="K29" s="3634">
        <v>5.0263414634146342</v>
      </c>
      <c r="L29" s="3634">
        <v>4.9461111111111116</v>
      </c>
      <c r="M29" s="3634">
        <v>6.3340000000000005</v>
      </c>
    </row>
    <row r="30" spans="1:13" ht="15" customHeight="1">
      <c r="A30" s="1013"/>
      <c r="B30" s="3834" t="s">
        <v>107</v>
      </c>
      <c r="C30" s="3828">
        <v>0.93333333333333357</v>
      </c>
      <c r="D30" s="3792">
        <v>2.5833333333333339</v>
      </c>
      <c r="E30" s="3829">
        <v>7.6923076923078426E-2</v>
      </c>
      <c r="F30" s="3811">
        <v>0.77777777777777857</v>
      </c>
      <c r="G30" s="3792">
        <v>2.5555555555555554</v>
      </c>
      <c r="H30" s="3792">
        <v>2.5555555555555554</v>
      </c>
      <c r="I30" s="3792">
        <v>3.58</v>
      </c>
      <c r="J30" s="3792">
        <v>2.83</v>
      </c>
      <c r="K30" s="3779">
        <v>2</v>
      </c>
      <c r="L30" s="3779">
        <v>2.6899999999999995</v>
      </c>
      <c r="M30" s="3779"/>
    </row>
    <row r="31" spans="1:13" ht="15" customHeight="1">
      <c r="A31" s="1013"/>
      <c r="B31" s="3834" t="s">
        <v>125</v>
      </c>
      <c r="C31" s="3828">
        <v>1.125</v>
      </c>
      <c r="D31" s="3792">
        <v>1.1999999999999993</v>
      </c>
      <c r="E31" s="3829">
        <v>9</v>
      </c>
      <c r="F31" s="3811">
        <v>0.7272727272727284</v>
      </c>
      <c r="G31" s="3792">
        <v>1</v>
      </c>
      <c r="H31" s="3792">
        <v>3.33</v>
      </c>
      <c r="I31" s="3792">
        <v>1.6199999999999992</v>
      </c>
      <c r="J31" s="3792">
        <v>4.8000000000000007</v>
      </c>
      <c r="K31" s="3779">
        <v>-0.11999999999999922</v>
      </c>
      <c r="L31" s="3779">
        <v>1</v>
      </c>
      <c r="M31" s="3779">
        <v>0</v>
      </c>
    </row>
    <row r="32" spans="1:13" ht="15" customHeight="1">
      <c r="A32" s="1013"/>
      <c r="B32" s="3834" t="s">
        <v>126</v>
      </c>
      <c r="C32" s="3828">
        <v>4.3333333333333357</v>
      </c>
      <c r="D32" s="3792">
        <v>0.17647058823529349</v>
      </c>
      <c r="E32" s="3829">
        <v>-0.64705882352941302</v>
      </c>
      <c r="F32" s="3811">
        <v>-0.96428571428571175</v>
      </c>
      <c r="G32" s="3792">
        <v>-1.0399999999999991</v>
      </c>
      <c r="H32" s="3792">
        <v>3.4117647058823533</v>
      </c>
      <c r="I32" s="3792">
        <v>4.2200000000000006</v>
      </c>
      <c r="J32" s="3792">
        <v>1.9299999999999997</v>
      </c>
      <c r="K32" s="3779">
        <v>1.3599999999999994</v>
      </c>
      <c r="L32" s="3779">
        <v>1.3499999999999996</v>
      </c>
      <c r="M32" s="3779">
        <v>0.86999999999999922</v>
      </c>
    </row>
    <row r="33" spans="1:13" ht="15" customHeight="1">
      <c r="A33" s="1013"/>
      <c r="B33" s="3834" t="s">
        <v>127</v>
      </c>
      <c r="C33" s="3828">
        <v>-0.45454545454545503</v>
      </c>
      <c r="D33" s="3792">
        <v>-0.91666666666666607</v>
      </c>
      <c r="E33" s="3829">
        <v>-7.1428571428571175E-2</v>
      </c>
      <c r="F33" s="3811">
        <v>0.42857142857142883</v>
      </c>
      <c r="G33" s="3792">
        <v>0.90909090909090828</v>
      </c>
      <c r="H33" s="3792">
        <v>2.5</v>
      </c>
      <c r="I33" s="3792">
        <v>0.19999999999999929</v>
      </c>
      <c r="J33" s="3792">
        <v>0.85999999999999943</v>
      </c>
      <c r="K33" s="3779">
        <v>1.9399999999999995</v>
      </c>
      <c r="L33" s="3779">
        <v>2.2899999999999991</v>
      </c>
      <c r="M33" s="3779">
        <v>6.5</v>
      </c>
    </row>
    <row r="34" spans="1:13" ht="15" customHeight="1">
      <c r="A34" s="1013"/>
      <c r="B34" s="3834" t="s">
        <v>128</v>
      </c>
      <c r="C34" s="3828">
        <v>0</v>
      </c>
      <c r="D34" s="3792">
        <v>-1</v>
      </c>
      <c r="E34" s="3829">
        <v>1</v>
      </c>
      <c r="F34" s="3811">
        <v>2.3333333333333339</v>
      </c>
      <c r="G34" s="3792">
        <v>2.3333333333333339</v>
      </c>
      <c r="H34" s="3792">
        <v>3</v>
      </c>
      <c r="I34" s="3792">
        <v>2.75</v>
      </c>
      <c r="J34" s="3792">
        <v>4.6700000000000017</v>
      </c>
      <c r="K34" s="3779">
        <v>0.33000000000000007</v>
      </c>
      <c r="L34" s="3779">
        <v>2.5</v>
      </c>
      <c r="M34" s="3779">
        <v>2</v>
      </c>
    </row>
    <row r="35" spans="1:13" ht="15" customHeight="1">
      <c r="A35" s="1013"/>
      <c r="B35" s="3830" t="s">
        <v>545</v>
      </c>
      <c r="C35" s="3831">
        <v>1.1874242424242429</v>
      </c>
      <c r="D35" s="2933">
        <v>0.61666666666666659</v>
      </c>
      <c r="E35" s="3832">
        <v>0.53061224489795922</v>
      </c>
      <c r="F35" s="3832">
        <v>-3.4482758620688031E-2</v>
      </c>
      <c r="G35" s="2933">
        <v>0.71428571428571352</v>
      </c>
      <c r="H35" s="2933">
        <v>3.1250000000000009</v>
      </c>
      <c r="I35" s="2933">
        <v>2.6131343283582087</v>
      </c>
      <c r="J35" s="2933">
        <v>2.9331111111111112</v>
      </c>
      <c r="K35" s="3634">
        <v>0.99926470588235294</v>
      </c>
      <c r="L35" s="3634">
        <v>1.9303571428571427</v>
      </c>
      <c r="M35" s="3634">
        <v>1.5854166666666663</v>
      </c>
    </row>
    <row r="36" spans="1:13" ht="15" customHeight="1">
      <c r="A36" s="1013"/>
      <c r="B36" s="3834" t="s">
        <v>129</v>
      </c>
      <c r="C36" s="3828">
        <v>1.2631578947368443</v>
      </c>
      <c r="D36" s="3792">
        <v>3.5882352941176432</v>
      </c>
      <c r="E36" s="3829">
        <v>2.8666666666666689</v>
      </c>
      <c r="F36" s="3811">
        <v>2.7692307692307683</v>
      </c>
      <c r="G36" s="3792">
        <v>1.7727272727272734</v>
      </c>
      <c r="H36" s="3792">
        <v>1.71</v>
      </c>
      <c r="I36" s="3792">
        <v>2.5</v>
      </c>
      <c r="J36" s="3792">
        <v>4.07</v>
      </c>
      <c r="K36" s="3779">
        <v>2.5500000000000007</v>
      </c>
      <c r="L36" s="3779">
        <v>3.67</v>
      </c>
      <c r="M36" s="3779">
        <v>0.83000000000000007</v>
      </c>
    </row>
    <row r="37" spans="1:13" ht="15" customHeight="1">
      <c r="A37" s="1013"/>
      <c r="B37" s="3834" t="s">
        <v>130</v>
      </c>
      <c r="C37" s="3828">
        <v>10</v>
      </c>
      <c r="D37" s="3792">
        <v>4.5</v>
      </c>
      <c r="E37" s="3829">
        <v>3.3333333333333339</v>
      </c>
      <c r="F37" s="3811">
        <v>4.4444444444444429</v>
      </c>
      <c r="G37" s="3792">
        <v>1</v>
      </c>
      <c r="H37" s="3792">
        <v>4.6428571428571423</v>
      </c>
      <c r="I37" s="3792">
        <v>1.33</v>
      </c>
      <c r="J37" s="3792">
        <v>4</v>
      </c>
      <c r="K37" s="3779">
        <v>1.75</v>
      </c>
      <c r="L37" s="3779">
        <v>1.5999999999999996</v>
      </c>
      <c r="M37" s="3779">
        <v>-1</v>
      </c>
    </row>
    <row r="38" spans="1:13" ht="15" customHeight="1">
      <c r="A38" s="1013"/>
      <c r="B38" s="3834" t="s">
        <v>333</v>
      </c>
      <c r="C38" s="3828">
        <v>4</v>
      </c>
      <c r="D38" s="3792">
        <v>13.333333333333332</v>
      </c>
      <c r="E38" s="3829">
        <v>6.375</v>
      </c>
      <c r="F38" s="3811">
        <v>5</v>
      </c>
      <c r="G38" s="3792">
        <v>3.125</v>
      </c>
      <c r="H38" s="3792">
        <v>1.9166666666666679</v>
      </c>
      <c r="I38" s="3792">
        <v>2.5700000000000003</v>
      </c>
      <c r="J38" s="3792">
        <v>4</v>
      </c>
      <c r="K38" s="3779">
        <v>2.3000000000000007</v>
      </c>
      <c r="L38" s="3779">
        <v>3.5999999999999996</v>
      </c>
      <c r="M38" s="3779">
        <v>5.5</v>
      </c>
    </row>
    <row r="39" spans="1:13" ht="15" customHeight="1">
      <c r="A39" s="1013"/>
      <c r="B39" s="3841" t="s">
        <v>547</v>
      </c>
      <c r="C39" s="3831">
        <v>5.0877192982456148</v>
      </c>
      <c r="D39" s="2933">
        <v>6.6333333333333311</v>
      </c>
      <c r="E39" s="3832">
        <v>3.8750000000000013</v>
      </c>
      <c r="F39" s="3832">
        <v>3.9696969696969688</v>
      </c>
      <c r="G39" s="2933">
        <v>1.8947368421052637</v>
      </c>
      <c r="H39" s="2933">
        <v>2.8</v>
      </c>
      <c r="I39" s="2933">
        <v>2.0893939393939394</v>
      </c>
      <c r="J39" s="2933">
        <v>4.0296969696969702</v>
      </c>
      <c r="K39" s="3634">
        <v>2.3157894736842111</v>
      </c>
      <c r="L39" s="3634">
        <v>3.0821621621621618</v>
      </c>
      <c r="M39" s="3634">
        <v>2.3618181818181818</v>
      </c>
    </row>
    <row r="40" spans="1:13" ht="15" customHeight="1">
      <c r="A40" s="1013"/>
      <c r="B40" s="3842" t="s">
        <v>110</v>
      </c>
      <c r="C40" s="3836">
        <v>3.753541112883219</v>
      </c>
      <c r="D40" s="2939">
        <v>3.159292035398229</v>
      </c>
      <c r="E40" s="3837">
        <v>2.8932038834951461</v>
      </c>
      <c r="F40" s="3837">
        <v>2.0521739130434788</v>
      </c>
      <c r="G40" s="2939">
        <v>2.1315789473684159</v>
      </c>
      <c r="H40" s="2939">
        <v>3.5242718446601948</v>
      </c>
      <c r="I40" s="2939">
        <v>2.845735294117647</v>
      </c>
      <c r="J40" s="2939">
        <v>3.6930701754385966</v>
      </c>
      <c r="K40" s="3636">
        <v>2.4627891156462587</v>
      </c>
      <c r="L40" s="3636">
        <v>3.1023255813953483</v>
      </c>
      <c r="M40" s="3636">
        <v>3.1807999999999996</v>
      </c>
    </row>
    <row r="41" spans="1:13" ht="15" customHeight="1">
      <c r="A41" s="1013"/>
      <c r="B41" s="3838" t="s">
        <v>144</v>
      </c>
      <c r="C41" s="3839">
        <v>1.2564102564102555</v>
      </c>
      <c r="D41" s="3809">
        <v>1.1600000000000001</v>
      </c>
      <c r="E41" s="3840">
        <v>0.8125</v>
      </c>
      <c r="F41" s="3808">
        <v>1.1363636363636349</v>
      </c>
      <c r="G41" s="3809">
        <v>1.1111111111111125</v>
      </c>
      <c r="H41" s="3809"/>
      <c r="I41" s="3809">
        <v>0.14000000000000057</v>
      </c>
      <c r="J41" s="3809">
        <v>3.9600000000000009</v>
      </c>
      <c r="K41" s="3780">
        <v>4.33</v>
      </c>
      <c r="L41" s="3780">
        <v>1.17</v>
      </c>
      <c r="M41" s="3780">
        <v>2.1999999999999993</v>
      </c>
    </row>
    <row r="42" spans="1:13" ht="15" customHeight="1">
      <c r="A42" s="1013"/>
      <c r="B42" s="3834" t="s">
        <v>128</v>
      </c>
      <c r="C42" s="3792"/>
      <c r="D42" s="3792">
        <v>0</v>
      </c>
      <c r="E42" s="3829">
        <v>-2</v>
      </c>
      <c r="F42" s="3811">
        <v>1.75</v>
      </c>
      <c r="G42" s="3792">
        <v>0</v>
      </c>
      <c r="H42" s="3792">
        <v>0.77</v>
      </c>
      <c r="I42" s="3792"/>
      <c r="J42" s="3792"/>
      <c r="K42" s="3779">
        <v>1.75</v>
      </c>
      <c r="L42" s="3779">
        <v>4</v>
      </c>
      <c r="M42" s="3779">
        <v>8</v>
      </c>
    </row>
    <row r="43" spans="1:13" ht="15" customHeight="1">
      <c r="A43" s="1013"/>
      <c r="B43" s="3834" t="s">
        <v>111</v>
      </c>
      <c r="C43" s="3828">
        <v>-1.375</v>
      </c>
      <c r="D43" s="3792">
        <v>-1.1428571428571423</v>
      </c>
      <c r="E43" s="3829">
        <v>0.16666666666666607</v>
      </c>
      <c r="F43" s="3811">
        <v>-1</v>
      </c>
      <c r="G43" s="3792">
        <v>-0.16666666666666607</v>
      </c>
      <c r="H43" s="3792">
        <v>2.5555555555555554</v>
      </c>
      <c r="I43" s="3792">
        <v>2.75</v>
      </c>
      <c r="J43" s="3792">
        <v>2.25</v>
      </c>
      <c r="K43" s="3779">
        <v>3.75</v>
      </c>
      <c r="L43" s="3779">
        <v>-0.28999999999999915</v>
      </c>
      <c r="M43" s="3779">
        <v>-0.42999999999999972</v>
      </c>
    </row>
    <row r="44" spans="1:13" ht="15" customHeight="1">
      <c r="A44" s="1013"/>
      <c r="B44" s="3830" t="s">
        <v>545</v>
      </c>
      <c r="C44" s="3831">
        <v>-5.929487179487225E-2</v>
      </c>
      <c r="D44" s="2933">
        <v>0.63636363636363658</v>
      </c>
      <c r="E44" s="3832">
        <v>0.41666666666666652</v>
      </c>
      <c r="F44" s="3832">
        <v>0.93333333333333224</v>
      </c>
      <c r="G44" s="2933">
        <v>0.7307692307692264</v>
      </c>
      <c r="H44" s="2933">
        <v>1.2903225806451617</v>
      </c>
      <c r="I44" s="2933">
        <v>0.72000000000000042</v>
      </c>
      <c r="J44" s="2933">
        <v>3.52</v>
      </c>
      <c r="K44" s="3634">
        <v>3.8438461538461537</v>
      </c>
      <c r="L44" s="3634">
        <v>0.7352941176470591</v>
      </c>
      <c r="M44" s="3634">
        <v>0.95919999999999983</v>
      </c>
    </row>
    <row r="45" spans="1:13" ht="15" customHeight="1">
      <c r="A45" s="1013"/>
      <c r="B45" s="3834" t="s">
        <v>145</v>
      </c>
      <c r="C45" s="3828">
        <v>2.6363636363636367</v>
      </c>
      <c r="D45" s="3792">
        <v>1.25</v>
      </c>
      <c r="E45" s="3829">
        <v>6.5</v>
      </c>
      <c r="F45" s="3811">
        <v>2.4000000000000004</v>
      </c>
      <c r="G45" s="3792">
        <v>3.5</v>
      </c>
      <c r="H45" s="3792">
        <v>1</v>
      </c>
      <c r="I45" s="3792">
        <v>2</v>
      </c>
      <c r="J45" s="3792">
        <v>1.25</v>
      </c>
      <c r="K45" s="3779">
        <v>2.8000000000000007</v>
      </c>
      <c r="L45" s="3779">
        <v>0.66999999999999993</v>
      </c>
      <c r="M45" s="3779">
        <v>0.5</v>
      </c>
    </row>
    <row r="46" spans="1:13" ht="15" customHeight="1">
      <c r="A46" s="1013"/>
      <c r="B46" s="3834" t="s">
        <v>333</v>
      </c>
      <c r="C46" s="3828">
        <v>3.4000000000000004</v>
      </c>
      <c r="D46" s="3792">
        <v>11</v>
      </c>
      <c r="E46" s="3829">
        <v>8.2666666666666622</v>
      </c>
      <c r="F46" s="3811">
        <v>4.7142857142857135</v>
      </c>
      <c r="G46" s="3792">
        <v>2.1428571428571423</v>
      </c>
      <c r="H46" s="3792">
        <v>0.92</v>
      </c>
      <c r="I46" s="3792">
        <v>0.82000000000000028</v>
      </c>
      <c r="J46" s="3792">
        <v>3.5600000000000005</v>
      </c>
      <c r="K46" s="3779">
        <v>2.1300000000000008</v>
      </c>
      <c r="L46" s="3779">
        <v>1.1300000000000008</v>
      </c>
      <c r="M46" s="3779">
        <v>2.67</v>
      </c>
    </row>
    <row r="47" spans="1:13" ht="15" customHeight="1">
      <c r="A47" s="1013"/>
      <c r="B47" s="3834" t="s">
        <v>1948</v>
      </c>
      <c r="C47" s="3828"/>
      <c r="D47" s="3792"/>
      <c r="E47" s="3829"/>
      <c r="F47" s="3811"/>
      <c r="G47" s="3792"/>
      <c r="H47" s="3792"/>
      <c r="I47" s="3792">
        <v>0</v>
      </c>
      <c r="J47" s="3792">
        <v>0.75</v>
      </c>
      <c r="K47" s="3779">
        <v>1.25</v>
      </c>
      <c r="L47" s="3779">
        <v>0.66999999999999993</v>
      </c>
      <c r="M47" s="3779">
        <v>-0.25</v>
      </c>
    </row>
    <row r="48" spans="1:13" ht="15" customHeight="1">
      <c r="A48" s="1013"/>
      <c r="B48" s="3830" t="s">
        <v>547</v>
      </c>
      <c r="C48" s="3831">
        <v>3.0181818181818185</v>
      </c>
      <c r="D48" s="2933">
        <v>8.8333333333333339</v>
      </c>
      <c r="E48" s="3832">
        <v>8.0588235294117609</v>
      </c>
      <c r="F48" s="3832">
        <v>3.7499999999999996</v>
      </c>
      <c r="G48" s="2933">
        <v>2.7692307692307692</v>
      </c>
      <c r="H48" s="2933">
        <v>0.92307692307692413</v>
      </c>
      <c r="I48" s="2933">
        <v>1.0637500000000002</v>
      </c>
      <c r="J48" s="2933">
        <v>2.355294117647059</v>
      </c>
      <c r="K48" s="3634">
        <v>2.3718518518518525</v>
      </c>
      <c r="L48" s="3634">
        <v>0.88647058823529445</v>
      </c>
      <c r="M48" s="3634">
        <v>1.4723529411764706</v>
      </c>
    </row>
    <row r="49" spans="1:13" ht="15" customHeight="1">
      <c r="A49" s="1013"/>
      <c r="B49" s="3834" t="s">
        <v>146</v>
      </c>
      <c r="C49" s="3828">
        <v>4</v>
      </c>
      <c r="D49" s="3792">
        <v>5</v>
      </c>
      <c r="E49" s="3829">
        <v>7.5</v>
      </c>
      <c r="F49" s="3811">
        <v>6.5</v>
      </c>
      <c r="G49" s="3792">
        <v>4.1666666666666679</v>
      </c>
      <c r="H49" s="3792">
        <v>1.3333333333333339</v>
      </c>
      <c r="I49" s="3792">
        <v>3.1999999999999993</v>
      </c>
      <c r="J49" s="3792">
        <v>2</v>
      </c>
      <c r="K49" s="3779">
        <v>0.25</v>
      </c>
      <c r="L49" s="3779">
        <v>0</v>
      </c>
      <c r="M49" s="3779">
        <v>3.75</v>
      </c>
    </row>
    <row r="50" spans="1:13" ht="15" customHeight="1">
      <c r="A50" s="1013"/>
      <c r="B50" s="3830" t="s">
        <v>546</v>
      </c>
      <c r="C50" s="3831">
        <v>4</v>
      </c>
      <c r="D50" s="2933">
        <v>5</v>
      </c>
      <c r="E50" s="3832">
        <v>7.5</v>
      </c>
      <c r="F50" s="3832">
        <v>6.5</v>
      </c>
      <c r="G50" s="2933">
        <v>4.1666666666666679</v>
      </c>
      <c r="H50" s="2933">
        <v>1.3333333333333339</v>
      </c>
      <c r="I50" s="2933">
        <v>3.1999999999999993</v>
      </c>
      <c r="J50" s="2933">
        <v>2</v>
      </c>
      <c r="K50" s="3634">
        <v>0.25</v>
      </c>
      <c r="L50" s="3634">
        <v>0</v>
      </c>
      <c r="M50" s="3634">
        <v>3.75</v>
      </c>
    </row>
    <row r="51" spans="1:13" ht="15" customHeight="1">
      <c r="A51" s="1013"/>
      <c r="B51" s="3842" t="s">
        <v>442</v>
      </c>
      <c r="C51" s="3836">
        <v>2.3196289821289819</v>
      </c>
      <c r="D51" s="2939">
        <v>3.6111111111111112</v>
      </c>
      <c r="E51" s="3837">
        <v>4.0851063829787222</v>
      </c>
      <c r="F51" s="3837">
        <v>1.9545454545454535</v>
      </c>
      <c r="G51" s="2939">
        <v>1.7777777777777752</v>
      </c>
      <c r="H51" s="2939">
        <v>1.2000000000000006</v>
      </c>
      <c r="I51" s="2939">
        <v>1.0517948717948717</v>
      </c>
      <c r="J51" s="2939">
        <v>2.9658181818181819</v>
      </c>
      <c r="K51" s="3636">
        <v>2.894385964912281</v>
      </c>
      <c r="L51" s="3636">
        <v>0.74203703703703727</v>
      </c>
      <c r="M51" s="3636">
        <v>1.3915217391304346</v>
      </c>
    </row>
    <row r="52" spans="1:13" ht="15" customHeight="1">
      <c r="A52" s="1013"/>
      <c r="B52" s="3838" t="s">
        <v>670</v>
      </c>
      <c r="C52" s="3809"/>
      <c r="D52" s="3809"/>
      <c r="E52" s="3809"/>
      <c r="F52" s="3759"/>
      <c r="G52" s="3809">
        <v>0</v>
      </c>
      <c r="H52" s="3809">
        <v>0</v>
      </c>
      <c r="I52" s="3809">
        <v>0.19999999999999929</v>
      </c>
      <c r="J52" s="3809">
        <v>1</v>
      </c>
      <c r="K52" s="3780">
        <v>0.71000000000000085</v>
      </c>
      <c r="L52" s="3780">
        <v>-0.59999999999999964</v>
      </c>
      <c r="M52" s="3780">
        <v>0</v>
      </c>
    </row>
    <row r="53" spans="1:13" ht="15" customHeight="1">
      <c r="A53" s="1013"/>
      <c r="B53" s="3830" t="s">
        <v>545</v>
      </c>
      <c r="C53" s="3792"/>
      <c r="D53" s="2933"/>
      <c r="E53" s="2933"/>
      <c r="F53" s="2933"/>
      <c r="G53" s="2933">
        <v>0</v>
      </c>
      <c r="H53" s="2933">
        <v>0</v>
      </c>
      <c r="I53" s="2933">
        <v>0.19999999999999929</v>
      </c>
      <c r="J53" s="2933">
        <v>1</v>
      </c>
      <c r="K53" s="3634">
        <v>0.71000000000000085</v>
      </c>
      <c r="L53" s="3634">
        <v>-0.59999999999999964</v>
      </c>
      <c r="M53" s="3634">
        <v>0</v>
      </c>
    </row>
    <row r="54" spans="1:13" ht="15" customHeight="1">
      <c r="A54" s="1013"/>
      <c r="B54" s="3834" t="s">
        <v>671</v>
      </c>
      <c r="C54" s="3792"/>
      <c r="D54" s="2933"/>
      <c r="E54" s="2933"/>
      <c r="F54" s="2933"/>
      <c r="G54" s="2933"/>
      <c r="H54" s="2935">
        <v>1</v>
      </c>
      <c r="I54" s="2935"/>
      <c r="J54" s="2935">
        <v>1.5</v>
      </c>
      <c r="K54" s="3635">
        <v>1.75</v>
      </c>
      <c r="L54" s="3635">
        <v>3</v>
      </c>
      <c r="M54" s="3635">
        <v>2</v>
      </c>
    </row>
    <row r="55" spans="1:13" ht="15" customHeight="1">
      <c r="A55" s="1013"/>
      <c r="B55" s="3834" t="s">
        <v>333</v>
      </c>
      <c r="C55" s="3792"/>
      <c r="D55" s="2933"/>
      <c r="E55" s="2933"/>
      <c r="F55" s="2933"/>
      <c r="G55" s="2933"/>
      <c r="H55" s="2935">
        <v>6</v>
      </c>
      <c r="I55" s="2933"/>
      <c r="J55" s="2933"/>
      <c r="K55" s="3634"/>
      <c r="L55" s="3634"/>
      <c r="M55" s="3634"/>
    </row>
    <row r="56" spans="1:13" ht="15" customHeight="1">
      <c r="A56" s="1013"/>
      <c r="B56" s="3830" t="s">
        <v>549</v>
      </c>
      <c r="C56" s="3792"/>
      <c r="D56" s="2933"/>
      <c r="E56" s="2933"/>
      <c r="F56" s="2933"/>
      <c r="G56" s="2933"/>
      <c r="H56" s="2933">
        <v>3.5</v>
      </c>
      <c r="I56" s="2933"/>
      <c r="J56" s="2933">
        <v>1.5</v>
      </c>
      <c r="K56" s="3634">
        <v>1.75</v>
      </c>
      <c r="L56" s="3634">
        <v>3</v>
      </c>
      <c r="M56" s="3634">
        <v>2</v>
      </c>
    </row>
    <row r="57" spans="1:13" ht="15" customHeight="1">
      <c r="A57" s="1013"/>
      <c r="B57" s="3835" t="s">
        <v>260</v>
      </c>
      <c r="C57" s="3843"/>
      <c r="D57" s="2939"/>
      <c r="E57" s="2939"/>
      <c r="F57" s="2939"/>
      <c r="G57" s="2939">
        <v>0</v>
      </c>
      <c r="H57" s="2939">
        <v>2.3333333333333335</v>
      </c>
      <c r="I57" s="2939">
        <v>0.19999999999999929</v>
      </c>
      <c r="J57" s="2939">
        <v>1.0900000000000001</v>
      </c>
      <c r="K57" s="3636">
        <v>1.0881818181818188</v>
      </c>
      <c r="L57" s="3636">
        <v>1.3636363636363638</v>
      </c>
      <c r="M57" s="3636">
        <v>1.3333333333333333</v>
      </c>
    </row>
    <row r="58" spans="1:13" ht="15" customHeight="1">
      <c r="B58" s="99"/>
      <c r="C58" s="99"/>
      <c r="D58" s="99"/>
      <c r="E58" s="99"/>
      <c r="F58" s="99"/>
      <c r="G58" s="99"/>
      <c r="H58" s="99"/>
      <c r="I58" s="99"/>
    </row>
    <row r="59" spans="1:13" ht="15" customHeight="1">
      <c r="A59" s="1013"/>
      <c r="B59" s="3844" t="s">
        <v>842</v>
      </c>
      <c r="C59" s="3821">
        <v>2.6799455872262894</v>
      </c>
      <c r="D59" s="2466">
        <v>3.3874345549738214</v>
      </c>
      <c r="E59" s="3845">
        <v>3.2621951219512195</v>
      </c>
      <c r="F59" s="3846">
        <v>2.2857142857142856</v>
      </c>
      <c r="G59" s="2466">
        <v>2.0533333333333292</v>
      </c>
      <c r="H59" s="2466">
        <v>2.7093023255813962</v>
      </c>
      <c r="I59" s="2466">
        <v>2.42</v>
      </c>
      <c r="J59" s="2466">
        <v>3.18</v>
      </c>
      <c r="K59" s="3847">
        <v>2.4444444444444446</v>
      </c>
      <c r="L59" s="3847">
        <v>2.2000000000000002</v>
      </c>
      <c r="M59" s="3847">
        <v>2.2481415929203541</v>
      </c>
    </row>
    <row r="60" spans="1:13">
      <c r="A60" s="1013"/>
      <c r="L60" s="5657" t="s">
        <v>3861</v>
      </c>
      <c r="M60" s="5657"/>
    </row>
    <row r="61" spans="1:13">
      <c r="A61" s="1013"/>
      <c r="L61" s="5636"/>
      <c r="M61" s="5636"/>
    </row>
    <row r="62" spans="1:13">
      <c r="A62" s="1013"/>
    </row>
    <row r="63" spans="1:13">
      <c r="A63" s="1013"/>
    </row>
    <row r="64" spans="1:13">
      <c r="A64" s="1013"/>
    </row>
    <row r="65" spans="1:1">
      <c r="A65" s="1013"/>
    </row>
  </sheetData>
  <sheetProtection algorithmName="SHA-512" hashValue="bpNGqCkKiAfm4+7bnsK7WYOhS9YeADKfAEq5vTQyzBfGG+QK0xtFbDiwWhKaAuwxoyCuMdZDmjMpcvM71CNRGw==" saltValue="sXGXMesSa/6DOQRpynUWqQ==" spinCount="100000" sheet="1" objects="1" scenarios="1"/>
  <mergeCells count="1">
    <mergeCell ref="L60:M6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Y3574"/>
  <sheetViews>
    <sheetView showGridLines="0" zoomScale="70" zoomScaleNormal="70" zoomScaleSheetLayoutView="40" workbookViewId="0">
      <selection activeCell="C6" sqref="C6"/>
    </sheetView>
  </sheetViews>
  <sheetFormatPr baseColWidth="10" defaultColWidth="11.44140625" defaultRowHeight="15.6"/>
  <cols>
    <col min="1" max="1" width="18.44140625" style="341" customWidth="1"/>
    <col min="2" max="2" width="22.77734375" style="341" customWidth="1"/>
    <col min="3" max="3" width="38.77734375" style="1035" customWidth="1"/>
    <col min="4" max="4" width="46.21875" style="341" customWidth="1"/>
    <col min="5" max="5" width="18.77734375" style="341" hidden="1" customWidth="1"/>
    <col min="6" max="10" width="9.77734375" style="342" customWidth="1"/>
    <col min="11" max="11" width="7.5546875" style="1117" hidden="1" customWidth="1"/>
    <col min="12" max="12" width="9.5546875" style="341" customWidth="1"/>
    <col min="13" max="20" width="9.77734375" style="341" customWidth="1"/>
    <col min="21" max="21" width="14.109375" style="10" customWidth="1"/>
    <col min="22" max="16384" width="11.44140625" style="10"/>
  </cols>
  <sheetData>
    <row r="1" spans="1:21" ht="20.100000000000001" customHeight="1">
      <c r="K1" s="342"/>
      <c r="L1" s="342"/>
      <c r="M1" s="342"/>
      <c r="N1" s="342"/>
      <c r="O1" s="342"/>
      <c r="P1" s="342"/>
      <c r="Q1" s="342"/>
      <c r="R1" s="342"/>
      <c r="S1" s="342"/>
    </row>
    <row r="2" spans="1:21" ht="24.6">
      <c r="C2" s="2903"/>
      <c r="D2" s="5592" t="s">
        <v>1282</v>
      </c>
      <c r="E2" s="5592"/>
      <c r="F2" s="5592"/>
      <c r="G2" s="5592"/>
      <c r="H2" s="5592"/>
      <c r="I2" s="5592"/>
      <c r="J2" s="5592"/>
      <c r="K2" s="2903"/>
      <c r="L2" s="2903"/>
      <c r="M2" s="2903"/>
      <c r="N2" s="2903"/>
      <c r="O2" s="2903"/>
      <c r="P2" s="2903"/>
      <c r="Q2" s="2903"/>
      <c r="R2" s="2903"/>
      <c r="S2" s="2903"/>
      <c r="T2" s="2903"/>
    </row>
    <row r="3" spans="1:21" ht="20.100000000000001" customHeight="1">
      <c r="B3" s="421"/>
      <c r="C3" s="2062"/>
      <c r="D3" s="421"/>
      <c r="E3" s="421"/>
      <c r="F3" s="421"/>
      <c r="G3" s="421"/>
      <c r="H3" s="421"/>
      <c r="I3" s="421"/>
      <c r="J3" s="421"/>
      <c r="K3" s="421"/>
      <c r="L3" s="421"/>
      <c r="M3" s="421"/>
      <c r="N3" s="421"/>
      <c r="O3" s="421"/>
      <c r="P3" s="421"/>
      <c r="Q3" s="421"/>
      <c r="R3" s="421"/>
      <c r="S3" s="421"/>
      <c r="T3" s="421"/>
    </row>
    <row r="4" spans="1:21" ht="25.05" customHeight="1">
      <c r="A4" s="5598" t="s">
        <v>1246</v>
      </c>
      <c r="B4" s="5599"/>
      <c r="C4" s="5599"/>
      <c r="D4" s="5600"/>
      <c r="E4" s="2277" t="s">
        <v>1479</v>
      </c>
      <c r="F4" s="5583" t="s">
        <v>1170</v>
      </c>
      <c r="G4" s="5584"/>
      <c r="H4" s="5584"/>
      <c r="I4" s="5584"/>
      <c r="J4" s="5584"/>
      <c r="K4" s="5584"/>
      <c r="L4" s="5584"/>
      <c r="M4" s="5584"/>
      <c r="N4" s="5584"/>
      <c r="O4" s="5584"/>
      <c r="P4" s="5584"/>
      <c r="Q4" s="5585"/>
      <c r="R4" s="5569" t="s">
        <v>1171</v>
      </c>
      <c r="S4" s="5570"/>
      <c r="T4" s="5571"/>
    </row>
    <row r="5" spans="1:21" ht="31.8" thickBot="1">
      <c r="A5" s="2287" t="s">
        <v>1172</v>
      </c>
      <c r="B5" s="2287" t="s">
        <v>1478</v>
      </c>
      <c r="C5" s="2287" t="s">
        <v>1173</v>
      </c>
      <c r="D5" s="2287" t="s">
        <v>1174</v>
      </c>
      <c r="E5" s="2287" t="s">
        <v>1174</v>
      </c>
      <c r="F5" s="2870">
        <v>2010</v>
      </c>
      <c r="G5" s="2870">
        <v>2011</v>
      </c>
      <c r="H5" s="2870">
        <v>2012</v>
      </c>
      <c r="I5" s="2871">
        <v>2013</v>
      </c>
      <c r="J5" s="2871">
        <v>2014</v>
      </c>
      <c r="K5" s="2871">
        <v>2015</v>
      </c>
      <c r="L5" s="2871">
        <v>2015</v>
      </c>
      <c r="M5" s="2871">
        <v>2016</v>
      </c>
      <c r="N5" s="2871">
        <v>2017</v>
      </c>
      <c r="O5" s="2871">
        <v>2018</v>
      </c>
      <c r="P5" s="2871">
        <v>2019</v>
      </c>
      <c r="Q5" s="2871">
        <v>2020</v>
      </c>
      <c r="R5" s="2288">
        <v>2013</v>
      </c>
      <c r="S5" s="2285">
        <v>2017</v>
      </c>
      <c r="T5" s="2286">
        <v>2024</v>
      </c>
    </row>
    <row r="6" spans="1:21" ht="60" customHeight="1">
      <c r="A6" s="5601" t="s">
        <v>1645</v>
      </c>
      <c r="B6" s="2474" t="s">
        <v>1650</v>
      </c>
      <c r="C6" s="2398" t="s">
        <v>1490</v>
      </c>
      <c r="D6" s="2399"/>
      <c r="E6" s="2278" t="s">
        <v>1247</v>
      </c>
      <c r="F6" s="2279">
        <v>0.13700000000000001</v>
      </c>
      <c r="G6" s="2279">
        <v>0.12234848484848485</v>
      </c>
      <c r="H6" s="2279">
        <v>0.14153297682709448</v>
      </c>
      <c r="I6" s="2280">
        <v>0.15752514708673374</v>
      </c>
      <c r="J6" s="2280">
        <v>0.1452562326869806</v>
      </c>
      <c r="K6" s="2281">
        <v>0.16</v>
      </c>
      <c r="L6" s="2066">
        <v>0.13881188118811882</v>
      </c>
      <c r="M6" s="2066">
        <v>0.15794499618029029</v>
      </c>
      <c r="N6" s="2066">
        <v>0.14981273408239701</v>
      </c>
      <c r="O6" s="2876">
        <v>0.16965678627145087</v>
      </c>
      <c r="P6" s="4844">
        <v>0.16753422016579911</v>
      </c>
      <c r="Q6" s="4832">
        <f>+'D.1.'!V104</f>
        <v>0.15835876568328247</v>
      </c>
      <c r="R6" s="2282">
        <v>0.16</v>
      </c>
      <c r="S6" s="2283">
        <v>0.2</v>
      </c>
      <c r="T6" s="2284">
        <v>0.4</v>
      </c>
      <c r="U6" s="5434"/>
    </row>
    <row r="7" spans="1:21" ht="80.25" customHeight="1">
      <c r="A7" s="5579"/>
      <c r="B7" s="2475" t="s">
        <v>1652</v>
      </c>
      <c r="C7" s="2396" t="s">
        <v>1248</v>
      </c>
      <c r="D7" s="2397"/>
      <c r="E7" s="1043" t="s">
        <v>1249</v>
      </c>
      <c r="F7" s="422">
        <v>0.41099999999999998</v>
      </c>
      <c r="G7" s="422">
        <v>0.41303269375410073</v>
      </c>
      <c r="H7" s="422">
        <v>0.41422026925953626</v>
      </c>
      <c r="I7" s="422">
        <v>0.42727580164171303</v>
      </c>
      <c r="J7" s="422">
        <v>0.42655201908792151</v>
      </c>
      <c r="K7" s="1118">
        <v>0.42</v>
      </c>
      <c r="L7" s="1254">
        <v>0.45</v>
      </c>
      <c r="M7" s="1875">
        <v>0.45353666554417021</v>
      </c>
      <c r="N7" s="2067">
        <v>0.46158823343749011</v>
      </c>
      <c r="O7" s="2873">
        <v>0.49111951415148392</v>
      </c>
      <c r="P7" s="4840">
        <v>0.52046105899487882</v>
      </c>
      <c r="Q7" s="2861">
        <f>+'D.2.'!M106</f>
        <v>0.45562157717548135</v>
      </c>
      <c r="R7" s="2225">
        <v>0.42</v>
      </c>
      <c r="S7" s="2226">
        <v>0.5</v>
      </c>
      <c r="T7" s="434">
        <v>0.6</v>
      </c>
      <c r="U7" s="5463"/>
    </row>
    <row r="8" spans="1:21" ht="78.75" customHeight="1">
      <c r="A8" s="2394" t="s">
        <v>1646</v>
      </c>
      <c r="B8" s="2476" t="s">
        <v>1651</v>
      </c>
      <c r="C8" s="2396" t="s">
        <v>1250</v>
      </c>
      <c r="D8" s="2397"/>
      <c r="E8" s="1043" t="s">
        <v>1251</v>
      </c>
      <c r="F8" s="353">
        <v>3.6275236918006364</v>
      </c>
      <c r="G8" s="353">
        <v>3.6483812949640946</v>
      </c>
      <c r="H8" s="353">
        <v>3.5697475395806606</v>
      </c>
      <c r="I8" s="354">
        <v>3.751781027371603</v>
      </c>
      <c r="J8" s="354">
        <v>3.8583843571006149</v>
      </c>
      <c r="K8" s="1119">
        <v>3</v>
      </c>
      <c r="L8" s="1253">
        <v>3.9487079852341136</v>
      </c>
      <c r="M8" s="1873">
        <v>3.8599999999999994</v>
      </c>
      <c r="N8" s="2068">
        <v>4.1099999999999994</v>
      </c>
      <c r="O8" s="2872">
        <v>3.93</v>
      </c>
      <c r="P8" s="4841">
        <v>3.9700000000000006</v>
      </c>
      <c r="Q8" s="2862">
        <f>+'D.3.'!M101</f>
        <v>3.0600000000000005</v>
      </c>
      <c r="R8" s="2227">
        <v>3</v>
      </c>
      <c r="S8" s="2228">
        <v>3</v>
      </c>
      <c r="T8" s="427">
        <v>1.5</v>
      </c>
      <c r="U8" s="5463"/>
    </row>
    <row r="9" spans="1:21" ht="58.5" customHeight="1">
      <c r="A9" s="5578" t="s">
        <v>1647</v>
      </c>
      <c r="B9" s="2477" t="s">
        <v>1653</v>
      </c>
      <c r="C9" s="2400" t="s">
        <v>1432</v>
      </c>
      <c r="D9" s="2401"/>
      <c r="E9" s="1043" t="s">
        <v>1252</v>
      </c>
      <c r="F9" s="372">
        <v>0.38007380073800739</v>
      </c>
      <c r="G9" s="372">
        <v>0.4788135593220339</v>
      </c>
      <c r="H9" s="372">
        <v>0.47783251231527096</v>
      </c>
      <c r="I9" s="422">
        <v>0.50340136054421769</v>
      </c>
      <c r="J9" s="422">
        <v>0.61643835616438358</v>
      </c>
      <c r="K9" s="1118">
        <v>0.4</v>
      </c>
      <c r="L9" s="1254">
        <v>0.51282051282051277</v>
      </c>
      <c r="M9" s="1875">
        <v>0.5</v>
      </c>
      <c r="N9" s="2067">
        <v>0.76271186440677963</v>
      </c>
      <c r="O9" s="2873">
        <v>0.70629370629370625</v>
      </c>
      <c r="P9" s="4840">
        <v>0.72043010752688175</v>
      </c>
      <c r="Q9" s="2863">
        <f>+'D.4.'!M33</f>
        <v>0.40476190476190477</v>
      </c>
      <c r="R9" s="2225">
        <v>0.4</v>
      </c>
      <c r="S9" s="2229">
        <v>0.55000000000000004</v>
      </c>
      <c r="T9" s="423">
        <v>0.6</v>
      </c>
      <c r="U9" s="5463"/>
    </row>
    <row r="10" spans="1:21" ht="55.05" customHeight="1">
      <c r="A10" s="5579"/>
      <c r="B10" s="2475" t="s">
        <v>1654</v>
      </c>
      <c r="C10" s="2400" t="s">
        <v>1433</v>
      </c>
      <c r="D10" s="2401"/>
      <c r="E10" s="1043" t="s">
        <v>1253</v>
      </c>
      <c r="F10" s="372">
        <v>0.32006920415224915</v>
      </c>
      <c r="G10" s="372">
        <v>0.33620689655172414</v>
      </c>
      <c r="H10" s="372">
        <v>0.33745583038869259</v>
      </c>
      <c r="I10" s="422">
        <v>0.33203125</v>
      </c>
      <c r="J10" s="422">
        <v>0.37235543018335682</v>
      </c>
      <c r="K10" s="1118">
        <v>0.35</v>
      </c>
      <c r="L10" s="1254">
        <v>0.34703947368421051</v>
      </c>
      <c r="M10" s="1875">
        <v>0.42040816326530611</v>
      </c>
      <c r="N10" s="2067">
        <v>0.36283185840707965</v>
      </c>
      <c r="O10" s="2873">
        <v>0.39586410635155095</v>
      </c>
      <c r="P10" s="4840">
        <v>0.316</v>
      </c>
      <c r="Q10" s="2863">
        <f>+'D.5.'!M91</f>
        <v>0.11856474258970359</v>
      </c>
      <c r="R10" s="2225">
        <v>0.35</v>
      </c>
      <c r="S10" s="2229">
        <v>0.38</v>
      </c>
      <c r="T10" s="423">
        <v>0.6</v>
      </c>
      <c r="U10" s="5463"/>
    </row>
    <row r="11" spans="1:21" ht="55.05" customHeight="1">
      <c r="A11" s="5580"/>
      <c r="B11" s="2478" t="s">
        <v>1655</v>
      </c>
      <c r="C11" s="2400" t="s">
        <v>1434</v>
      </c>
      <c r="D11" s="2401"/>
      <c r="E11" s="1043" t="s">
        <v>1254</v>
      </c>
      <c r="F11" s="372">
        <v>0.38857142857142857</v>
      </c>
      <c r="G11" s="372">
        <v>0.28990228013029318</v>
      </c>
      <c r="H11" s="372">
        <v>0.34389140271493213</v>
      </c>
      <c r="I11" s="422">
        <v>0.29655172413793102</v>
      </c>
      <c r="J11" s="422">
        <v>0.36688311688311687</v>
      </c>
      <c r="K11" s="1118">
        <v>0.4</v>
      </c>
      <c r="L11" s="1254">
        <v>0.30967741935483872</v>
      </c>
      <c r="M11" s="1875">
        <v>0.32881355932203388</v>
      </c>
      <c r="N11" s="2067">
        <v>0.33214285714285713</v>
      </c>
      <c r="O11" s="2873">
        <v>0.31871345029239767</v>
      </c>
      <c r="P11" s="4840">
        <v>0.34620000000000001</v>
      </c>
      <c r="Q11" s="2863">
        <f>+'D.6.'!M65</f>
        <v>0.10801393728222997</v>
      </c>
      <c r="R11" s="2225">
        <v>0.4</v>
      </c>
      <c r="S11" s="2229">
        <v>0.41599999999999998</v>
      </c>
      <c r="T11" s="423">
        <v>0.6</v>
      </c>
      <c r="U11" s="5463"/>
    </row>
    <row r="12" spans="1:21" ht="76.5" customHeight="1">
      <c r="A12" s="5578" t="s">
        <v>1648</v>
      </c>
      <c r="B12" s="2477" t="s">
        <v>1657</v>
      </c>
      <c r="C12" s="2400" t="s">
        <v>1491</v>
      </c>
      <c r="D12" s="2402"/>
      <c r="E12" s="1043" t="s">
        <v>1255</v>
      </c>
      <c r="F12" s="353">
        <v>1.6250988142292486</v>
      </c>
      <c r="G12" s="353">
        <v>0.72682926829268346</v>
      </c>
      <c r="H12" s="353">
        <v>0.65806451612903338</v>
      </c>
      <c r="I12" s="354">
        <v>0.38043478260869606</v>
      </c>
      <c r="J12" s="354">
        <v>0.70707070707070707</v>
      </c>
      <c r="K12" s="1119">
        <v>1</v>
      </c>
      <c r="L12" s="1253">
        <v>0.84745762711864436</v>
      </c>
      <c r="M12" s="1873">
        <v>0.47464646464646459</v>
      </c>
      <c r="N12" s="2068">
        <v>0.87</v>
      </c>
      <c r="O12" s="2872">
        <v>0.59542056074766347</v>
      </c>
      <c r="P12" s="4841">
        <v>0.15</v>
      </c>
      <c r="Q12" s="5564">
        <f>+'D.7.'!M33</f>
        <v>0.25617021276595747</v>
      </c>
      <c r="R12" s="2227">
        <v>1</v>
      </c>
      <c r="S12" s="2228">
        <v>0.5</v>
      </c>
      <c r="T12" s="427">
        <v>0.5</v>
      </c>
      <c r="U12" s="5463"/>
    </row>
    <row r="13" spans="1:21" ht="62.25" customHeight="1">
      <c r="A13" s="5579"/>
      <c r="B13" s="2475" t="s">
        <v>1656</v>
      </c>
      <c r="C13" s="2400" t="s">
        <v>1492</v>
      </c>
      <c r="D13" s="2402"/>
      <c r="E13" s="1043" t="s">
        <v>1256</v>
      </c>
      <c r="F13" s="353">
        <v>2.7813914865145883</v>
      </c>
      <c r="G13" s="353">
        <v>2.6129032258064511</v>
      </c>
      <c r="H13" s="353">
        <v>2.0676532769556029</v>
      </c>
      <c r="I13" s="354">
        <v>1.266075388026608</v>
      </c>
      <c r="J13" s="354">
        <v>1.2749490835030555</v>
      </c>
      <c r="K13" s="1119">
        <v>2</v>
      </c>
      <c r="L13" s="1253">
        <v>1.0210280373831775</v>
      </c>
      <c r="M13" s="1873">
        <v>0.9862884615384615</v>
      </c>
      <c r="N13" s="2068">
        <v>0.89132149901380664</v>
      </c>
      <c r="O13" s="2872">
        <v>1.1682912621359223</v>
      </c>
      <c r="P13" s="4841">
        <v>1</v>
      </c>
      <c r="Q13" s="5564">
        <f>+'D.8.'!M91</f>
        <v>0.62569078947368428</v>
      </c>
      <c r="R13" s="2227">
        <v>2</v>
      </c>
      <c r="S13" s="2228">
        <v>0.7</v>
      </c>
      <c r="T13" s="427">
        <v>0.5</v>
      </c>
      <c r="U13" s="5463"/>
    </row>
    <row r="14" spans="1:21" ht="69" customHeight="1">
      <c r="A14" s="5580"/>
      <c r="B14" s="2475" t="s">
        <v>1658</v>
      </c>
      <c r="C14" s="2400" t="s">
        <v>1493</v>
      </c>
      <c r="D14" s="2402"/>
      <c r="E14" s="1043" t="s">
        <v>1257</v>
      </c>
      <c r="F14" s="353">
        <v>2.6799455872262894</v>
      </c>
      <c r="G14" s="353">
        <v>3.3874345549738214</v>
      </c>
      <c r="H14" s="353">
        <v>3.2621951219512195</v>
      </c>
      <c r="I14" s="354">
        <v>2.2857142857142856</v>
      </c>
      <c r="J14" s="354">
        <v>2.0533333333333292</v>
      </c>
      <c r="K14" s="1119">
        <v>2</v>
      </c>
      <c r="L14" s="1253">
        <v>2.7093023255813962</v>
      </c>
      <c r="M14" s="1873">
        <v>2.42</v>
      </c>
      <c r="N14" s="2068">
        <v>3.18</v>
      </c>
      <c r="O14" s="2872">
        <v>2.4444444444444446</v>
      </c>
      <c r="P14" s="4841">
        <v>2.2000000000000002</v>
      </c>
      <c r="Q14" s="2862">
        <f>+'D.9.'!M59</f>
        <v>2.2481415929203541</v>
      </c>
      <c r="R14" s="2227">
        <v>2</v>
      </c>
      <c r="S14" s="2228">
        <v>1.5</v>
      </c>
      <c r="T14" s="427">
        <v>1</v>
      </c>
      <c r="U14" s="5463"/>
    </row>
    <row r="15" spans="1:21" ht="40.5" customHeight="1">
      <c r="A15" s="5575" t="s">
        <v>1649</v>
      </c>
      <c r="B15" s="455" t="s">
        <v>1659</v>
      </c>
      <c r="C15" s="1041" t="s">
        <v>1258</v>
      </c>
      <c r="D15" s="1030" t="s">
        <v>1259</v>
      </c>
      <c r="E15" s="1043"/>
      <c r="F15" s="372">
        <v>0.78259999999999996</v>
      </c>
      <c r="G15" s="372">
        <v>0.75800000000000001</v>
      </c>
      <c r="H15" s="372">
        <v>0.73699999999999999</v>
      </c>
      <c r="I15" s="423">
        <v>0.73699999999999999</v>
      </c>
      <c r="J15" s="423">
        <v>0.73699999999999999</v>
      </c>
      <c r="K15" s="1118">
        <v>0.82</v>
      </c>
      <c r="L15" s="1254">
        <v>0.78610000000000002</v>
      </c>
      <c r="M15" s="1254">
        <v>0.74199999999999999</v>
      </c>
      <c r="N15" s="2067">
        <v>0.73499999999999999</v>
      </c>
      <c r="O15" s="2873">
        <v>0.71587819467101677</v>
      </c>
      <c r="P15" s="4840">
        <v>0.71699999999999997</v>
      </c>
      <c r="Q15" s="2863">
        <f>+'D.10.'!F29</f>
        <v>0.7</v>
      </c>
      <c r="R15" s="2225">
        <v>0.82</v>
      </c>
      <c r="S15" s="2229">
        <v>0.82</v>
      </c>
      <c r="T15" s="423">
        <v>0.9</v>
      </c>
      <c r="U15" s="5464"/>
    </row>
    <row r="16" spans="1:21" ht="40.5" customHeight="1">
      <c r="A16" s="5577"/>
      <c r="B16" s="346" t="s">
        <v>1660</v>
      </c>
      <c r="C16" s="1036" t="s">
        <v>1258</v>
      </c>
      <c r="D16" s="1030" t="s">
        <v>1260</v>
      </c>
      <c r="E16" s="1043"/>
      <c r="F16" s="372">
        <v>0.88500000000000001</v>
      </c>
      <c r="G16" s="424">
        <v>0.86119999999999997</v>
      </c>
      <c r="H16" s="372">
        <v>0.85871453387376995</v>
      </c>
      <c r="I16" s="423">
        <v>0.82722126507506766</v>
      </c>
      <c r="J16" s="423">
        <v>0.83914331282752297</v>
      </c>
      <c r="K16" s="1118">
        <v>0.89</v>
      </c>
      <c r="L16" s="1254">
        <v>0.80300000000000005</v>
      </c>
      <c r="M16" s="1875">
        <v>0.8</v>
      </c>
      <c r="N16" s="2067">
        <v>0.78600000000000003</v>
      </c>
      <c r="O16" s="2873">
        <v>0.78470211793387168</v>
      </c>
      <c r="P16" s="4840">
        <v>0.78400000000000003</v>
      </c>
      <c r="Q16" s="2863">
        <f>+'D.11.'!F17</f>
        <v>0.78004122711288959</v>
      </c>
      <c r="R16" s="2225">
        <v>0.89</v>
      </c>
      <c r="S16" s="2229">
        <v>0.9</v>
      </c>
      <c r="T16" s="423">
        <v>0.9</v>
      </c>
      <c r="U16" s="5464"/>
    </row>
    <row r="17" spans="1:21" ht="60" customHeight="1">
      <c r="A17" s="5581" t="s">
        <v>3933</v>
      </c>
      <c r="B17" s="343" t="s">
        <v>1661</v>
      </c>
      <c r="C17" s="1036" t="s">
        <v>1261</v>
      </c>
      <c r="D17" s="438"/>
      <c r="E17" s="1043" t="s">
        <v>1262</v>
      </c>
      <c r="F17" s="372">
        <v>0.77</v>
      </c>
      <c r="G17" s="372">
        <v>0.80327868852459017</v>
      </c>
      <c r="H17" s="372">
        <v>0.81818181818181823</v>
      </c>
      <c r="I17" s="422">
        <v>0.78787878787878785</v>
      </c>
      <c r="J17" s="422">
        <v>0.76923076923076927</v>
      </c>
      <c r="K17" s="1118">
        <v>0.8</v>
      </c>
      <c r="L17" s="1254">
        <v>0.68571428571428572</v>
      </c>
      <c r="M17" s="1875">
        <v>0.45714285714285713</v>
      </c>
      <c r="N17" s="2067">
        <v>0.36</v>
      </c>
      <c r="O17" s="2873">
        <v>0.50666666666666671</v>
      </c>
      <c r="P17" s="4840">
        <v>0.53333333333333333</v>
      </c>
      <c r="Q17" s="2863">
        <f>+'D.12.'!G32</f>
        <v>0.53333333333333333</v>
      </c>
      <c r="R17" s="2230">
        <v>0.8</v>
      </c>
      <c r="S17" s="2226">
        <v>0.84699999999999998</v>
      </c>
      <c r="T17" s="349">
        <v>1</v>
      </c>
      <c r="U17" s="2028"/>
    </row>
    <row r="18" spans="1:21" ht="45" customHeight="1">
      <c r="A18" s="5576"/>
      <c r="B18" s="343" t="s">
        <v>1662</v>
      </c>
      <c r="C18" s="1036" t="s">
        <v>1263</v>
      </c>
      <c r="D18" s="438"/>
      <c r="E18" s="1043" t="s">
        <v>1264</v>
      </c>
      <c r="F18" s="372">
        <v>0.78100000000000003</v>
      </c>
      <c r="G18" s="372">
        <v>0.78666666666666663</v>
      </c>
      <c r="H18" s="372">
        <v>0.71264367816091956</v>
      </c>
      <c r="I18" s="422">
        <v>0.78888888888888886</v>
      </c>
      <c r="J18" s="422">
        <v>0.80219780219780223</v>
      </c>
      <c r="K18" s="1118">
        <v>0.85</v>
      </c>
      <c r="L18" s="1254">
        <v>0.74489795918367352</v>
      </c>
      <c r="M18" s="1875">
        <v>0.74747474747474751</v>
      </c>
      <c r="N18" s="2067">
        <v>0.68518518518518523</v>
      </c>
      <c r="O18" s="2873">
        <v>0.67272727272727273</v>
      </c>
      <c r="P18" s="4840">
        <v>0.73</v>
      </c>
      <c r="Q18" s="4256">
        <f>+'D.13.'!J31</f>
        <v>0.7168141592920354</v>
      </c>
      <c r="R18" s="2225">
        <v>0.85</v>
      </c>
      <c r="S18" s="2229">
        <v>0.91200000000000003</v>
      </c>
      <c r="T18" s="349">
        <v>1</v>
      </c>
      <c r="U18" s="2028"/>
    </row>
    <row r="19" spans="1:21" ht="59.25" customHeight="1">
      <c r="A19" s="5575" t="s">
        <v>1718</v>
      </c>
      <c r="B19" s="346" t="s">
        <v>1719</v>
      </c>
      <c r="C19" s="1115" t="s">
        <v>1265</v>
      </c>
      <c r="D19" s="439"/>
      <c r="E19" s="1043" t="s">
        <v>1266</v>
      </c>
      <c r="F19" s="372">
        <v>0.61111111111111116</v>
      </c>
      <c r="G19" s="372">
        <v>0.61333333333333329</v>
      </c>
      <c r="H19" s="372">
        <v>0.72368421052631582</v>
      </c>
      <c r="I19" s="422">
        <v>0.76315789473684215</v>
      </c>
      <c r="J19" s="422">
        <v>0.85526315789473684</v>
      </c>
      <c r="K19" s="1118">
        <v>0.7</v>
      </c>
      <c r="L19" s="1254">
        <v>0.82894736842105265</v>
      </c>
      <c r="M19" s="1875">
        <v>0.88311688311688308</v>
      </c>
      <c r="N19" s="2067">
        <v>0.60759493670886078</v>
      </c>
      <c r="O19" s="2873">
        <v>0.37804878048780488</v>
      </c>
      <c r="P19" s="4840">
        <v>0.35365853658536583</v>
      </c>
      <c r="Q19" s="2863">
        <f>+'D.14.'!BQ104</f>
        <v>0.32926829268292684</v>
      </c>
      <c r="R19" s="2225">
        <v>0.7</v>
      </c>
      <c r="S19" s="2229">
        <v>0.87</v>
      </c>
      <c r="T19" s="349">
        <v>1</v>
      </c>
      <c r="U19" s="2028"/>
    </row>
    <row r="20" spans="1:21" ht="56.25" customHeight="1">
      <c r="A20" s="5577"/>
      <c r="B20" s="346" t="s">
        <v>1720</v>
      </c>
      <c r="C20" s="1036" t="s">
        <v>1267</v>
      </c>
      <c r="D20" s="438"/>
      <c r="E20" s="1043" t="s">
        <v>1268</v>
      </c>
      <c r="F20" s="372">
        <v>0.57534246575342463</v>
      </c>
      <c r="G20" s="372">
        <v>0.70666666666666667</v>
      </c>
      <c r="H20" s="372">
        <v>0.67777777777777781</v>
      </c>
      <c r="I20" s="422">
        <v>0.65555555555555556</v>
      </c>
      <c r="J20" s="422">
        <v>0.72527472527472525</v>
      </c>
      <c r="K20" s="1118">
        <v>0.6</v>
      </c>
      <c r="L20" s="1254">
        <v>0.76530612244897955</v>
      </c>
      <c r="M20" s="1875">
        <v>0.86868686868686873</v>
      </c>
      <c r="N20" s="2067">
        <v>0.76851851851851849</v>
      </c>
      <c r="O20" s="2873">
        <v>0.73636363636363633</v>
      </c>
      <c r="P20" s="4840">
        <v>0.7589285714285714</v>
      </c>
      <c r="Q20" s="2863">
        <f>+'D.15.'!BP144</f>
        <v>0.5535714285714286</v>
      </c>
      <c r="R20" s="2225">
        <v>0.6</v>
      </c>
      <c r="S20" s="2229">
        <v>0.8</v>
      </c>
      <c r="T20" s="349">
        <v>1</v>
      </c>
      <c r="U20" s="2028"/>
    </row>
    <row r="21" spans="1:21" ht="56.25" customHeight="1">
      <c r="A21" s="5581" t="s">
        <v>1721</v>
      </c>
      <c r="B21" s="1184" t="s">
        <v>1722</v>
      </c>
      <c r="C21" s="1185" t="s">
        <v>1269</v>
      </c>
      <c r="D21" s="1219"/>
      <c r="E21" s="1043"/>
      <c r="F21" s="372">
        <v>0.83499999999999996</v>
      </c>
      <c r="G21" s="372">
        <v>0.84139879901095016</v>
      </c>
      <c r="H21" s="422">
        <v>0.85473321858864026</v>
      </c>
      <c r="I21" s="422">
        <v>0.86848223181667217</v>
      </c>
      <c r="J21" s="422">
        <v>0.87089430894308939</v>
      </c>
      <c r="K21" s="1220"/>
      <c r="L21" s="1258">
        <v>0.87444231994901211</v>
      </c>
      <c r="M21" s="1876">
        <v>0.87828011381599747</v>
      </c>
      <c r="N21" s="2070">
        <v>0.86751302083333337</v>
      </c>
      <c r="O21" s="2874">
        <v>0.87564766839378239</v>
      </c>
      <c r="P21" s="4842">
        <v>0.88969377675337502</v>
      </c>
      <c r="Q21" s="4833">
        <f>+'D.16. y 17'!AG32</f>
        <v>0.89357429718875503</v>
      </c>
      <c r="R21" s="2231">
        <v>0.85</v>
      </c>
      <c r="S21" s="2229">
        <v>0.9</v>
      </c>
      <c r="T21" s="349">
        <v>0.93</v>
      </c>
      <c r="U21" s="5465"/>
    </row>
    <row r="22" spans="1:21" ht="56.25" customHeight="1">
      <c r="A22" s="5582"/>
      <c r="B22" s="1186" t="s">
        <v>1723</v>
      </c>
      <c r="C22" s="1180" t="s">
        <v>1437</v>
      </c>
      <c r="D22" s="1219"/>
      <c r="E22" s="1043"/>
      <c r="F22" s="372">
        <v>0.496</v>
      </c>
      <c r="G22" s="372">
        <v>0.51819145178382198</v>
      </c>
      <c r="H22" s="422">
        <v>0.53769363166953532</v>
      </c>
      <c r="I22" s="422">
        <v>0.55861839920292267</v>
      </c>
      <c r="J22" s="422">
        <v>0.56195121951219518</v>
      </c>
      <c r="K22" s="1220"/>
      <c r="L22" s="1258">
        <v>0.56309751434034416</v>
      </c>
      <c r="M22" s="1876">
        <v>0.5722415428390768</v>
      </c>
      <c r="N22" s="2070">
        <v>0.56803385416666663</v>
      </c>
      <c r="O22" s="2874">
        <v>0.57707253886010368</v>
      </c>
      <c r="P22" s="4842">
        <v>0.60256832400395122</v>
      </c>
      <c r="Q22" s="4833">
        <f>+'D.16. y 17'!AH32</f>
        <v>0.60742971887550201</v>
      </c>
      <c r="R22" s="2231">
        <v>0.52</v>
      </c>
      <c r="S22" s="2229">
        <v>0.57999999999999996</v>
      </c>
      <c r="T22" s="349">
        <v>0.7</v>
      </c>
      <c r="U22" s="5465"/>
    </row>
    <row r="23" spans="1:21" ht="43.2">
      <c r="A23" s="5575" t="s">
        <v>1724</v>
      </c>
      <c r="B23" s="425" t="s">
        <v>1725</v>
      </c>
      <c r="C23" s="1041" t="s">
        <v>1435</v>
      </c>
      <c r="D23" s="393" t="s">
        <v>1270</v>
      </c>
      <c r="E23" s="1044"/>
      <c r="F23" s="426">
        <v>51922</v>
      </c>
      <c r="G23" s="426">
        <v>52888</v>
      </c>
      <c r="H23" s="426">
        <v>54364</v>
      </c>
      <c r="I23" s="426">
        <v>55967</v>
      </c>
      <c r="J23" s="426">
        <v>56606</v>
      </c>
      <c r="K23" s="1120">
        <v>54000</v>
      </c>
      <c r="L23" s="1259">
        <v>57092</v>
      </c>
      <c r="M23" s="1877">
        <v>57742</v>
      </c>
      <c r="N23" s="2071">
        <v>57827</v>
      </c>
      <c r="O23" s="2875">
        <v>58623</v>
      </c>
      <c r="P23" s="4843">
        <v>59705</v>
      </c>
      <c r="Q23" s="4834">
        <f>+'D.18 y 19'!AH32</f>
        <v>59709</v>
      </c>
      <c r="R23" s="2232">
        <v>54000</v>
      </c>
      <c r="S23" s="2233">
        <v>60000</v>
      </c>
      <c r="T23" s="369">
        <v>66500</v>
      </c>
      <c r="U23" s="2028"/>
    </row>
    <row r="24" spans="1:21" ht="48">
      <c r="A24" s="5577"/>
      <c r="B24" s="1028" t="s">
        <v>1726</v>
      </c>
      <c r="C24" s="1041" t="s">
        <v>1271</v>
      </c>
      <c r="D24" s="440"/>
      <c r="E24" s="1043" t="s">
        <v>1272</v>
      </c>
      <c r="F24" s="1886">
        <v>6.4000000000000001E-2</v>
      </c>
      <c r="G24" s="1886">
        <v>6.3908637119951595E-2</v>
      </c>
      <c r="H24" s="1886">
        <v>6.3203590611434032E-2</v>
      </c>
      <c r="I24" s="1886">
        <v>6.3E-2</v>
      </c>
      <c r="J24" s="1886">
        <v>6.5505423453344175E-2</v>
      </c>
      <c r="K24" s="1887">
        <v>7.0000000000000007E-2</v>
      </c>
      <c r="L24" s="1255">
        <v>6.5122959433896163E-2</v>
      </c>
      <c r="M24" s="1878">
        <v>6.6537355824183436E-2</v>
      </c>
      <c r="N24" s="2069">
        <v>6.6370380618050395E-2</v>
      </c>
      <c r="O24" s="2877">
        <v>6.5980928986916404E-2</v>
      </c>
      <c r="P24" s="4845">
        <v>6.5220668285738206E-2</v>
      </c>
      <c r="Q24" s="2864">
        <f>+'D.18 y 19'!AI32</f>
        <v>6.1481518699023595E-2</v>
      </c>
      <c r="R24" s="2225">
        <v>7.0000000000000007E-2</v>
      </c>
      <c r="S24" s="2229">
        <v>0.08</v>
      </c>
      <c r="T24" s="349">
        <v>0.2</v>
      </c>
      <c r="U24" s="2028"/>
    </row>
    <row r="25" spans="1:21" ht="114" customHeight="1">
      <c r="A25" s="2403" t="s">
        <v>1728</v>
      </c>
      <c r="B25" s="2395" t="s">
        <v>1729</v>
      </c>
      <c r="C25" s="2396" t="s">
        <v>1436</v>
      </c>
      <c r="D25" s="2404"/>
      <c r="E25" s="1043" t="s">
        <v>1273</v>
      </c>
      <c r="F25" s="427" t="s">
        <v>266</v>
      </c>
      <c r="G25" s="428">
        <v>0.1514174163978951</v>
      </c>
      <c r="H25" s="428">
        <v>0.19812646370023418</v>
      </c>
      <c r="I25" s="428">
        <v>0.308236403646652</v>
      </c>
      <c r="J25" s="428">
        <v>0.24493047508690613</v>
      </c>
      <c r="K25" s="1121">
        <v>0.1</v>
      </c>
      <c r="L25" s="1182">
        <v>0.33764329512130098</v>
      </c>
      <c r="M25" s="1874">
        <v>0.30200580295193641</v>
      </c>
      <c r="N25" s="2069">
        <v>0.1325287356321839</v>
      </c>
      <c r="O25" s="2878">
        <v>0.21487424111014744</v>
      </c>
      <c r="P25" s="4846">
        <v>0.1935039596005968</v>
      </c>
      <c r="Q25" s="4835">
        <f>+'D.20.'!F57</f>
        <v>0.2278174936921783</v>
      </c>
      <c r="R25" s="2234">
        <v>0.1</v>
      </c>
      <c r="S25" s="2235">
        <v>0.37</v>
      </c>
      <c r="T25" s="423">
        <v>0.4</v>
      </c>
      <c r="U25" s="5466"/>
    </row>
    <row r="26" spans="1:21" ht="18">
      <c r="A26" s="10"/>
      <c r="B26" s="10"/>
      <c r="C26" s="10"/>
      <c r="D26" s="10"/>
      <c r="E26" s="10"/>
      <c r="F26" s="10"/>
      <c r="G26" s="10"/>
      <c r="H26" s="10"/>
      <c r="I26" s="10"/>
      <c r="J26" s="10"/>
      <c r="K26" s="10"/>
      <c r="L26" s="10"/>
      <c r="M26" s="10"/>
      <c r="N26" s="10"/>
      <c r="O26" s="10"/>
      <c r="P26" s="10"/>
      <c r="Q26" s="10"/>
      <c r="R26" s="10"/>
      <c r="S26" s="10"/>
      <c r="T26" s="10"/>
      <c r="U26" s="2028"/>
    </row>
    <row r="27" spans="1:21" ht="18">
      <c r="E27" s="56"/>
      <c r="F27" s="341"/>
      <c r="G27" s="341"/>
      <c r="H27" s="341"/>
      <c r="I27" s="341"/>
      <c r="J27" s="341"/>
      <c r="K27" s="341"/>
      <c r="U27" s="2028"/>
    </row>
    <row r="28" spans="1:21" ht="25.05" customHeight="1">
      <c r="A28" s="5566" t="s">
        <v>1274</v>
      </c>
      <c r="B28" s="5567"/>
      <c r="C28" s="5567"/>
      <c r="D28" s="5568"/>
      <c r="E28" s="1029" t="s">
        <v>1479</v>
      </c>
      <c r="F28" s="5586" t="s">
        <v>1170</v>
      </c>
      <c r="G28" s="5587"/>
      <c r="H28" s="5587"/>
      <c r="I28" s="5587"/>
      <c r="J28" s="5587"/>
      <c r="K28" s="5587"/>
      <c r="L28" s="5587"/>
      <c r="M28" s="5587"/>
      <c r="N28" s="5587"/>
      <c r="O28" s="5587"/>
      <c r="P28" s="5587"/>
      <c r="Q28" s="5588"/>
      <c r="R28" s="5572" t="s">
        <v>1171</v>
      </c>
      <c r="S28" s="5573"/>
      <c r="T28" s="5574"/>
      <c r="U28" s="2028"/>
    </row>
    <row r="29" spans="1:21" customFormat="1" ht="31.8" thickBot="1">
      <c r="A29" s="2287" t="s">
        <v>1172</v>
      </c>
      <c r="B29" s="2287" t="s">
        <v>1478</v>
      </c>
      <c r="C29" s="2287" t="s">
        <v>1173</v>
      </c>
      <c r="D29" s="2287" t="s">
        <v>1174</v>
      </c>
      <c r="E29" s="2287" t="s">
        <v>1174</v>
      </c>
      <c r="F29" s="2870">
        <v>2010</v>
      </c>
      <c r="G29" s="2870">
        <v>2011</v>
      </c>
      <c r="H29" s="2870">
        <v>2012</v>
      </c>
      <c r="I29" s="2871">
        <v>2013</v>
      </c>
      <c r="J29" s="2871">
        <v>2014</v>
      </c>
      <c r="K29" s="2871">
        <v>2015</v>
      </c>
      <c r="L29" s="2871">
        <v>2015</v>
      </c>
      <c r="M29" s="2871">
        <v>2016</v>
      </c>
      <c r="N29" s="2871">
        <v>2017</v>
      </c>
      <c r="O29" s="2871">
        <v>2018</v>
      </c>
      <c r="P29" s="2871">
        <v>2019</v>
      </c>
      <c r="Q29" s="2871">
        <v>2020</v>
      </c>
      <c r="R29" s="2288">
        <v>2013</v>
      </c>
      <c r="S29" s="2285">
        <v>2017</v>
      </c>
      <c r="T29" s="2286">
        <v>2024</v>
      </c>
      <c r="U29" s="2028"/>
    </row>
    <row r="30" spans="1:21" ht="55.5" customHeight="1">
      <c r="A30" s="5575" t="s">
        <v>1730</v>
      </c>
      <c r="B30" s="392" t="s">
        <v>1736</v>
      </c>
      <c r="C30" s="1036" t="s">
        <v>1477</v>
      </c>
      <c r="D30" s="346"/>
      <c r="E30" s="374" t="s">
        <v>1275</v>
      </c>
      <c r="F30" s="349">
        <v>0.35184466019417476</v>
      </c>
      <c r="G30" s="349">
        <v>0.34845596645062904</v>
      </c>
      <c r="H30" s="423">
        <v>0.35336087119789711</v>
      </c>
      <c r="I30" s="423">
        <v>0.3922365988909427</v>
      </c>
      <c r="J30" s="423">
        <v>0.39289597680318955</v>
      </c>
      <c r="K30" s="1118">
        <v>0.38</v>
      </c>
      <c r="L30" s="1181">
        <v>0.40466642362376959</v>
      </c>
      <c r="M30" s="1875">
        <v>0.42825768667642755</v>
      </c>
      <c r="N30" s="2067">
        <v>0.42229484386347133</v>
      </c>
      <c r="O30" s="2873">
        <v>0.40886167146974062</v>
      </c>
      <c r="P30" s="4840">
        <v>0.4214363835216916</v>
      </c>
      <c r="Q30" s="2861">
        <f>+'I.21.'!AS83</f>
        <v>0.42967884828349945</v>
      </c>
      <c r="R30" s="2225">
        <v>0.38</v>
      </c>
      <c r="S30" s="2229">
        <v>0.41</v>
      </c>
      <c r="T30" s="423">
        <v>0.46</v>
      </c>
      <c r="U30" s="5465"/>
    </row>
    <row r="31" spans="1:21" ht="61.2" customHeight="1">
      <c r="A31" s="5576"/>
      <c r="B31" s="392" t="s">
        <v>1737</v>
      </c>
      <c r="C31" s="1036" t="s">
        <v>1417</v>
      </c>
      <c r="D31" s="346"/>
      <c r="E31" s="374"/>
      <c r="F31" s="349">
        <v>0.66083150984682715</v>
      </c>
      <c r="G31" s="349">
        <v>0.62304021813224264</v>
      </c>
      <c r="H31" s="423">
        <v>0.60243277848911647</v>
      </c>
      <c r="I31" s="423">
        <v>0.63079667063020217</v>
      </c>
      <c r="J31" s="423">
        <v>0.62731481481481477</v>
      </c>
      <c r="K31" s="1118"/>
      <c r="L31" s="1181">
        <v>0.6281833616298812</v>
      </c>
      <c r="M31" s="1875">
        <v>0.64640883977900554</v>
      </c>
      <c r="N31" s="2067">
        <v>0.67</v>
      </c>
      <c r="O31" s="2873">
        <v>0.6369248035914703</v>
      </c>
      <c r="P31" s="4840">
        <v>0.63169398907103824</v>
      </c>
      <c r="Q31" s="2861">
        <f>+'I.22.'!Q83</f>
        <v>0.64132231404958673</v>
      </c>
      <c r="R31" s="2221"/>
      <c r="S31" s="2229">
        <v>0.65</v>
      </c>
      <c r="T31" s="423">
        <v>0.7</v>
      </c>
      <c r="U31" s="5465"/>
    </row>
    <row r="32" spans="1:21" ht="65.400000000000006" customHeight="1">
      <c r="A32" s="5577"/>
      <c r="B32" s="392" t="s">
        <v>1738</v>
      </c>
      <c r="C32" s="1222" t="s">
        <v>1424</v>
      </c>
      <c r="D32" s="346"/>
      <c r="E32" s="374"/>
      <c r="F32" s="349">
        <v>0.51</v>
      </c>
      <c r="G32" s="349">
        <v>0.49590834697217678</v>
      </c>
      <c r="H32" s="423">
        <v>0.47031250000000002</v>
      </c>
      <c r="I32" s="423">
        <v>0.44353741496598642</v>
      </c>
      <c r="J32" s="423">
        <v>0.4434087882822903</v>
      </c>
      <c r="K32" s="1118"/>
      <c r="L32" s="1254">
        <v>0.46825396825396826</v>
      </c>
      <c r="M32" s="1875">
        <v>0.45703611457036114</v>
      </c>
      <c r="N32" s="2067">
        <v>0.48531289910600256</v>
      </c>
      <c r="O32" s="2873">
        <v>0.49342105263157893</v>
      </c>
      <c r="P32" s="4840">
        <v>0.49161290322580647</v>
      </c>
      <c r="Q32" s="2861">
        <f>+'I.23.'!CA84</f>
        <v>0.48469387755102039</v>
      </c>
      <c r="R32" s="2221"/>
      <c r="S32" s="2229">
        <v>0.48</v>
      </c>
      <c r="T32" s="423">
        <v>0.52</v>
      </c>
      <c r="U32" s="5465"/>
    </row>
    <row r="33" spans="1:22" ht="48">
      <c r="A33" s="355" t="s">
        <v>1731</v>
      </c>
      <c r="B33" s="346" t="s">
        <v>1740</v>
      </c>
      <c r="C33" s="1036" t="s">
        <v>1276</v>
      </c>
      <c r="D33" s="346"/>
      <c r="E33" s="374" t="s">
        <v>1277</v>
      </c>
      <c r="F33" s="355">
        <v>1.9</v>
      </c>
      <c r="G33" s="355">
        <v>3.9</v>
      </c>
      <c r="H33" s="431">
        <v>4.3672791821439141</v>
      </c>
      <c r="I33" s="432">
        <v>2.1</v>
      </c>
      <c r="J33" s="432">
        <v>2.1716292134831461</v>
      </c>
      <c r="K33" s="1119">
        <v>2.2999999999999998</v>
      </c>
      <c r="L33" s="432">
        <v>2.69</v>
      </c>
      <c r="M33" s="1873">
        <v>3.541143950669785</v>
      </c>
      <c r="N33" s="2068">
        <v>3.9443327974276525</v>
      </c>
      <c r="O33" s="2872">
        <v>5.4109125117591725</v>
      </c>
      <c r="P33" s="4841">
        <v>6.5836330935251794</v>
      </c>
      <c r="Q33" s="4237">
        <f>+'I.24.'!H5</f>
        <v>6.6157795652918026</v>
      </c>
      <c r="R33" s="2227">
        <v>2.2999999999999998</v>
      </c>
      <c r="S33" s="2228">
        <v>2.8</v>
      </c>
      <c r="T33" s="427">
        <v>3.1</v>
      </c>
      <c r="U33" s="5465"/>
      <c r="V33" s="1829"/>
    </row>
    <row r="34" spans="1:22" ht="80.25" customHeight="1">
      <c r="A34" s="355" t="s">
        <v>1735</v>
      </c>
      <c r="B34" s="346" t="s">
        <v>1739</v>
      </c>
      <c r="C34" s="1036" t="s">
        <v>1418</v>
      </c>
      <c r="D34" s="346"/>
      <c r="E34" s="374" t="s">
        <v>1278</v>
      </c>
      <c r="F34" s="433">
        <v>4.5515541250479193E-2</v>
      </c>
      <c r="G34" s="433">
        <v>3.3728468433111856E-2</v>
      </c>
      <c r="H34" s="433">
        <v>3.2901193281015262E-2</v>
      </c>
      <c r="I34" s="434">
        <v>1.3883060691626665E-2</v>
      </c>
      <c r="J34" s="434">
        <v>3.1470644190112716E-2</v>
      </c>
      <c r="K34" s="1118">
        <v>0.06</v>
      </c>
      <c r="L34" s="1255">
        <v>4.0827540962266193E-2</v>
      </c>
      <c r="M34" s="1878">
        <v>3.2000000000000001E-2</v>
      </c>
      <c r="N34" s="2069">
        <v>1.3957390546569538E-2</v>
      </c>
      <c r="O34" s="2877">
        <v>1.1734772553631473E-2</v>
      </c>
      <c r="P34" s="4845">
        <v>1.3663274072001434E-2</v>
      </c>
      <c r="Q34" s="2864">
        <f>+I.25!F43</f>
        <v>7.4897482271440441E-3</v>
      </c>
      <c r="R34" s="2225">
        <v>0.06</v>
      </c>
      <c r="S34" s="2229">
        <v>0.06</v>
      </c>
      <c r="T34" s="423">
        <v>0.1</v>
      </c>
      <c r="U34" s="5465"/>
    </row>
    <row r="35" spans="1:22" ht="57.6">
      <c r="A35" s="5575" t="s">
        <v>1745</v>
      </c>
      <c r="B35" s="346" t="s">
        <v>1741</v>
      </c>
      <c r="C35" s="1036" t="s">
        <v>1440</v>
      </c>
      <c r="D35" s="346"/>
      <c r="E35" s="374"/>
      <c r="F35" s="1114">
        <v>1.5549514563106797</v>
      </c>
      <c r="G35" s="1114">
        <v>1.5549514563106797</v>
      </c>
      <c r="H35" s="1114">
        <v>1.5549514563106797</v>
      </c>
      <c r="I35" s="1114">
        <v>1.5549514563106797</v>
      </c>
      <c r="J35" s="1114">
        <v>1.5549514563106797</v>
      </c>
      <c r="K35" s="1118"/>
      <c r="L35" s="1114">
        <v>1.7</v>
      </c>
      <c r="M35" s="1879">
        <v>1.5051244509516837</v>
      </c>
      <c r="N35" s="2072">
        <v>1.565359477124183</v>
      </c>
      <c r="O35" s="2879">
        <v>1.6811959654178674</v>
      </c>
      <c r="P35" s="4847">
        <v>1.5092963908129784</v>
      </c>
      <c r="Q35" s="4257">
        <f>+'I.26.'!AS83</f>
        <v>1.1653746770025839</v>
      </c>
      <c r="R35" s="2221"/>
      <c r="S35" s="2236">
        <v>1.8</v>
      </c>
      <c r="T35" s="1879">
        <v>2</v>
      </c>
      <c r="U35" s="5465"/>
    </row>
    <row r="36" spans="1:22" ht="57.6">
      <c r="A36" s="5576"/>
      <c r="B36" s="346" t="s">
        <v>1742</v>
      </c>
      <c r="C36" s="1036" t="s">
        <v>1441</v>
      </c>
      <c r="D36" s="346"/>
      <c r="E36" s="374"/>
      <c r="F36" s="2055">
        <v>0.33126213592233011</v>
      </c>
      <c r="G36" s="2055">
        <v>0.31681280975981702</v>
      </c>
      <c r="H36" s="2055">
        <v>0.40818625610214043</v>
      </c>
      <c r="I36" s="2055">
        <v>0.40184842883548982</v>
      </c>
      <c r="J36" s="2055">
        <v>0.41500543675244655</v>
      </c>
      <c r="K36" s="2056"/>
      <c r="L36" s="2055">
        <v>0.4</v>
      </c>
      <c r="M36" s="2057">
        <v>0.36456808199121521</v>
      </c>
      <c r="N36" s="2073">
        <v>0.41793754538852579</v>
      </c>
      <c r="O36" s="2874">
        <v>0.44236311239193082</v>
      </c>
      <c r="P36" s="4842">
        <v>0.45971563981042651</v>
      </c>
      <c r="Q36" s="4836">
        <f>+'I.27.'!AS83</f>
        <v>0.43189368770764119</v>
      </c>
      <c r="R36" s="2222"/>
      <c r="S36" s="2237">
        <v>0.5</v>
      </c>
      <c r="T36" s="2057">
        <v>1</v>
      </c>
      <c r="U36" s="5465"/>
    </row>
    <row r="37" spans="1:22" ht="57.6">
      <c r="A37" s="5577"/>
      <c r="B37" s="346" t="s">
        <v>1743</v>
      </c>
      <c r="C37" s="1036" t="s">
        <v>1442</v>
      </c>
      <c r="D37" s="346"/>
      <c r="E37" s="374"/>
      <c r="F37" s="349">
        <v>0.21303696303696304</v>
      </c>
      <c r="G37" s="349">
        <v>0.20057929036929761</v>
      </c>
      <c r="H37" s="349">
        <v>0.22689463955637709</v>
      </c>
      <c r="I37" s="423">
        <v>0.25011504832029452</v>
      </c>
      <c r="J37" s="423">
        <v>0.26419012459621599</v>
      </c>
      <c r="K37" s="1118"/>
      <c r="L37" s="1254">
        <v>0.24190763918860594</v>
      </c>
      <c r="M37" s="1875">
        <v>0.24221789883268482</v>
      </c>
      <c r="N37" s="2067">
        <v>0.26699141730456971</v>
      </c>
      <c r="O37" s="2873">
        <v>0.26312406256695953</v>
      </c>
      <c r="P37" s="4840">
        <v>0.30458937198067632</v>
      </c>
      <c r="Q37" s="5565">
        <f>+'I.28.'!AS83</f>
        <v>0.37060500475134622</v>
      </c>
      <c r="R37" s="2221"/>
      <c r="S37" s="2229">
        <v>0.28000000000000003</v>
      </c>
      <c r="T37" s="423">
        <v>0.35</v>
      </c>
      <c r="U37" s="5465"/>
    </row>
    <row r="38" spans="1:22" ht="90">
      <c r="A38" s="355" t="s">
        <v>1744</v>
      </c>
      <c r="B38" s="346" t="s">
        <v>1747</v>
      </c>
      <c r="C38" s="1036" t="s">
        <v>1494</v>
      </c>
      <c r="D38" s="346"/>
      <c r="E38" s="374"/>
      <c r="F38" s="433"/>
      <c r="G38" s="433"/>
      <c r="H38" s="433">
        <v>3.919174023216776E-2</v>
      </c>
      <c r="I38" s="434">
        <v>4.218210808189804E-2</v>
      </c>
      <c r="J38" s="434">
        <v>3.6985605384519227E-2</v>
      </c>
      <c r="K38" s="1118"/>
      <c r="L38" s="1255">
        <v>4.0750214699574849E-2</v>
      </c>
      <c r="M38" s="1878">
        <v>4.1361021968411738E-2</v>
      </c>
      <c r="N38" s="2069">
        <v>3.9389648606213967E-2</v>
      </c>
      <c r="O38" s="2877">
        <v>4.6102150566865729E-2</v>
      </c>
      <c r="P38" s="4848">
        <v>3.400452761870798E-2</v>
      </c>
      <c r="Q38" s="4837">
        <f>+'I.29.'!AO87</f>
        <v>1.9725337504375995E-2</v>
      </c>
      <c r="R38" s="2221"/>
      <c r="S38" s="2226">
        <v>4.4999999999999998E-2</v>
      </c>
      <c r="T38" s="434">
        <v>0.05</v>
      </c>
      <c r="U38" s="5465"/>
    </row>
    <row r="39" spans="1:22" ht="45">
      <c r="A39" s="355" t="s">
        <v>1746</v>
      </c>
      <c r="B39" s="346" t="s">
        <v>1750</v>
      </c>
      <c r="C39" s="1036" t="s">
        <v>1496</v>
      </c>
      <c r="D39" s="393"/>
      <c r="E39" s="374"/>
      <c r="F39" s="1128">
        <v>0.26353790613718414</v>
      </c>
      <c r="G39" s="1128">
        <v>0.25174825174825177</v>
      </c>
      <c r="H39" s="1128">
        <v>0.27972027972027974</v>
      </c>
      <c r="I39" s="1128">
        <v>0.28723404255319152</v>
      </c>
      <c r="J39" s="1128">
        <v>0.30324909747292417</v>
      </c>
      <c r="K39" s="1118"/>
      <c r="L39" s="1256">
        <v>0.31182795698924731</v>
      </c>
      <c r="M39" s="1876">
        <v>0.29602888086642598</v>
      </c>
      <c r="N39" s="2070">
        <v>0.30303030303030304</v>
      </c>
      <c r="O39" s="2874">
        <v>0.31203007518796994</v>
      </c>
      <c r="P39" s="4842">
        <v>0.31679389312977096</v>
      </c>
      <c r="Q39" s="4833">
        <f>+'I.30.'!BO37</f>
        <v>0.32046332046332049</v>
      </c>
      <c r="R39" s="2223"/>
      <c r="S39" s="2238">
        <v>0.33</v>
      </c>
      <c r="T39" s="1129">
        <v>0.4</v>
      </c>
      <c r="U39" s="2028"/>
    </row>
    <row r="40" spans="1:22" ht="18">
      <c r="B40" s="63"/>
      <c r="C40" s="1037"/>
      <c r="D40" s="435"/>
      <c r="E40" s="166"/>
      <c r="F40" s="436"/>
      <c r="G40" s="436"/>
      <c r="H40" s="436"/>
      <c r="I40" s="436"/>
      <c r="J40" s="436"/>
      <c r="K40" s="436"/>
      <c r="L40" s="436"/>
      <c r="M40" s="436"/>
      <c r="N40" s="436"/>
      <c r="O40" s="436"/>
      <c r="P40" s="436"/>
      <c r="Q40" s="436"/>
      <c r="R40" s="436"/>
      <c r="S40" s="436"/>
      <c r="T40" s="436"/>
      <c r="U40" s="2028"/>
    </row>
    <row r="41" spans="1:22" ht="18">
      <c r="E41" s="56"/>
      <c r="F41" s="341"/>
      <c r="G41" s="341"/>
      <c r="H41" s="341"/>
      <c r="I41" s="341"/>
      <c r="J41" s="341"/>
      <c r="K41" s="341"/>
      <c r="U41" s="2028"/>
    </row>
    <row r="42" spans="1:22" ht="25.05" customHeight="1">
      <c r="A42" s="5566" t="s">
        <v>1794</v>
      </c>
      <c r="B42" s="5567"/>
      <c r="C42" s="5567"/>
      <c r="D42" s="5568"/>
      <c r="E42" s="1029" t="s">
        <v>1479</v>
      </c>
      <c r="F42" s="5586" t="s">
        <v>1170</v>
      </c>
      <c r="G42" s="5587"/>
      <c r="H42" s="5587"/>
      <c r="I42" s="5587"/>
      <c r="J42" s="5587"/>
      <c r="K42" s="5587"/>
      <c r="L42" s="5587"/>
      <c r="M42" s="5587"/>
      <c r="N42" s="5587"/>
      <c r="O42" s="5587"/>
      <c r="P42" s="5587"/>
      <c r="Q42" s="5588"/>
      <c r="R42" s="5572" t="s">
        <v>1171</v>
      </c>
      <c r="S42" s="5573"/>
      <c r="T42" s="5574"/>
      <c r="U42" s="2028"/>
    </row>
    <row r="43" spans="1:22" customFormat="1" ht="31.8" thickBot="1">
      <c r="A43" s="2287" t="s">
        <v>1172</v>
      </c>
      <c r="B43" s="2287" t="s">
        <v>1478</v>
      </c>
      <c r="C43" s="2287" t="s">
        <v>1173</v>
      </c>
      <c r="D43" s="2287" t="s">
        <v>1174</v>
      </c>
      <c r="E43" s="2287" t="s">
        <v>1174</v>
      </c>
      <c r="F43" s="2870">
        <v>2010</v>
      </c>
      <c r="G43" s="2870">
        <v>2011</v>
      </c>
      <c r="H43" s="2870">
        <v>2012</v>
      </c>
      <c r="I43" s="2871">
        <v>2013</v>
      </c>
      <c r="J43" s="2871">
        <v>2014</v>
      </c>
      <c r="K43" s="2871">
        <v>2015</v>
      </c>
      <c r="L43" s="2871">
        <v>2015</v>
      </c>
      <c r="M43" s="2871">
        <v>2016</v>
      </c>
      <c r="N43" s="2871">
        <v>2017</v>
      </c>
      <c r="O43" s="2871">
        <v>2018</v>
      </c>
      <c r="P43" s="2871">
        <v>2019</v>
      </c>
      <c r="Q43" s="2871">
        <v>2020</v>
      </c>
      <c r="R43" s="2288">
        <v>2013</v>
      </c>
      <c r="S43" s="2285">
        <v>2017</v>
      </c>
      <c r="T43" s="2286">
        <v>2024</v>
      </c>
      <c r="U43" s="2028"/>
    </row>
    <row r="44" spans="1:22" ht="75" hidden="1">
      <c r="A44" s="355" t="s">
        <v>1748</v>
      </c>
      <c r="B44" s="361" t="s">
        <v>1751</v>
      </c>
      <c r="C44" s="1036" t="s">
        <v>1279</v>
      </c>
      <c r="D44" s="439"/>
      <c r="E44" s="1043" t="s">
        <v>1280</v>
      </c>
      <c r="F44" s="370" t="s">
        <v>266</v>
      </c>
      <c r="G44" s="429">
        <v>0.30952380952380953</v>
      </c>
      <c r="H44" s="429">
        <v>0.21</v>
      </c>
      <c r="I44" s="430">
        <v>0.20714285714285713</v>
      </c>
      <c r="J44" s="430">
        <v>0.33</v>
      </c>
      <c r="K44" s="1122">
        <v>0.5</v>
      </c>
      <c r="L44" s="1183">
        <v>0.3</v>
      </c>
      <c r="M44" s="1832"/>
      <c r="N44" s="1871"/>
      <c r="O44" s="2064"/>
      <c r="P44" s="2865"/>
      <c r="Q44" s="4838"/>
      <c r="R44" s="2239">
        <v>0.5</v>
      </c>
      <c r="S44" s="2240">
        <v>0.35</v>
      </c>
      <c r="T44" s="437">
        <v>0.5</v>
      </c>
      <c r="U44" s="5445" t="s">
        <v>3868</v>
      </c>
      <c r="V44" s="1829"/>
    </row>
    <row r="45" spans="1:22" ht="41.25" customHeight="1">
      <c r="A45" s="355" t="s">
        <v>1749</v>
      </c>
      <c r="B45" s="346" t="s">
        <v>1752</v>
      </c>
      <c r="C45" s="1036" t="s">
        <v>1419</v>
      </c>
      <c r="D45" s="393" t="s">
        <v>1446</v>
      </c>
      <c r="E45" s="1043" t="s">
        <v>1281</v>
      </c>
      <c r="F45" s="426">
        <v>225</v>
      </c>
      <c r="G45" s="426">
        <v>248</v>
      </c>
      <c r="H45" s="426">
        <v>240</v>
      </c>
      <c r="I45" s="426">
        <v>293</v>
      </c>
      <c r="J45" s="426">
        <v>287</v>
      </c>
      <c r="K45" s="1119">
        <v>250</v>
      </c>
      <c r="L45" s="1257">
        <v>301</v>
      </c>
      <c r="M45" s="1880">
        <v>262</v>
      </c>
      <c r="N45" s="2065">
        <v>290</v>
      </c>
      <c r="O45" s="2880">
        <v>338</v>
      </c>
      <c r="P45" s="4849">
        <v>284</v>
      </c>
      <c r="Q45" s="2866">
        <f>+'C.32.'!M30</f>
        <v>284</v>
      </c>
      <c r="R45" s="2227">
        <v>250</v>
      </c>
      <c r="S45" s="2241">
        <v>350</v>
      </c>
      <c r="T45" s="1888">
        <v>500</v>
      </c>
      <c r="U45" s="5467"/>
    </row>
    <row r="46" spans="1:22" ht="30">
      <c r="A46" s="355" t="s">
        <v>1795</v>
      </c>
      <c r="B46" s="346" t="s">
        <v>1802</v>
      </c>
      <c r="C46" s="1036" t="s">
        <v>1420</v>
      </c>
      <c r="D46" s="441"/>
      <c r="E46" s="1043"/>
      <c r="F46" s="353"/>
      <c r="G46" s="350"/>
      <c r="H46" s="362">
        <v>0.15669642857142851</v>
      </c>
      <c r="I46" s="363">
        <v>3.0876109610189495E-3</v>
      </c>
      <c r="J46" s="363">
        <v>8.8495575221239076E-3</v>
      </c>
      <c r="K46" s="1887"/>
      <c r="L46" s="2274">
        <v>4.9580472921433305E-3</v>
      </c>
      <c r="M46" s="2275">
        <v>5.6925996204932883E-3</v>
      </c>
      <c r="N46" s="2276">
        <v>3.7735849056603765E-3</v>
      </c>
      <c r="O46" s="2881">
        <v>1.0150375939849576E-2</v>
      </c>
      <c r="P46" s="4848">
        <v>-0.26088574618533678</v>
      </c>
      <c r="Q46" s="4837">
        <f>+'C.33.'!D13</f>
        <v>-5.2870090634441036E-2</v>
      </c>
      <c r="R46" s="2224"/>
      <c r="S46" s="2242">
        <v>0.01</v>
      </c>
      <c r="T46" s="1131">
        <v>0.02</v>
      </c>
      <c r="U46" s="5463"/>
    </row>
    <row r="47" spans="1:22" ht="20.399999999999999">
      <c r="B47" s="421"/>
      <c r="C47" s="421"/>
      <c r="D47" s="421"/>
      <c r="E47" s="421"/>
      <c r="F47" s="421"/>
      <c r="G47" s="421"/>
      <c r="H47" s="421"/>
      <c r="I47" s="421"/>
      <c r="J47" s="421"/>
      <c r="K47" s="421"/>
      <c r="L47" s="421"/>
      <c r="M47" s="421"/>
      <c r="N47" s="421"/>
      <c r="O47" s="421"/>
      <c r="P47" s="421"/>
      <c r="Q47" s="421"/>
      <c r="R47" s="421"/>
      <c r="S47" s="421"/>
      <c r="T47" s="421"/>
      <c r="U47" s="2028"/>
    </row>
    <row r="48" spans="1:22" ht="18">
      <c r="F48" s="341"/>
      <c r="G48" s="341"/>
      <c r="H48" s="341"/>
      <c r="I48" s="341"/>
      <c r="J48" s="341"/>
      <c r="K48" s="341"/>
      <c r="U48" s="2028"/>
    </row>
    <row r="49" spans="1:25" ht="25.05" customHeight="1">
      <c r="A49" s="5566" t="s">
        <v>1790</v>
      </c>
      <c r="B49" s="5567"/>
      <c r="C49" s="5567"/>
      <c r="D49" s="5568"/>
      <c r="E49" s="1029" t="s">
        <v>1479</v>
      </c>
      <c r="F49" s="5586" t="s">
        <v>1170</v>
      </c>
      <c r="G49" s="5587"/>
      <c r="H49" s="5587"/>
      <c r="I49" s="5587"/>
      <c r="J49" s="5587"/>
      <c r="K49" s="5587"/>
      <c r="L49" s="5587"/>
      <c r="M49" s="5587"/>
      <c r="N49" s="5587"/>
      <c r="O49" s="5587"/>
      <c r="P49" s="5587"/>
      <c r="Q49" s="5588"/>
      <c r="R49" s="5572" t="s">
        <v>1171</v>
      </c>
      <c r="S49" s="5573"/>
      <c r="T49" s="5574"/>
      <c r="U49" s="2028"/>
    </row>
    <row r="50" spans="1:25" customFormat="1" ht="31.8" thickBot="1">
      <c r="A50" s="2287" t="s">
        <v>1172</v>
      </c>
      <c r="B50" s="2287" t="s">
        <v>1478</v>
      </c>
      <c r="C50" s="2287" t="s">
        <v>1173</v>
      </c>
      <c r="D50" s="2287" t="s">
        <v>1174</v>
      </c>
      <c r="E50" s="2287" t="s">
        <v>1174</v>
      </c>
      <c r="F50" s="2870">
        <v>2010</v>
      </c>
      <c r="G50" s="2870">
        <v>2011</v>
      </c>
      <c r="H50" s="2870">
        <v>2012</v>
      </c>
      <c r="I50" s="2871">
        <v>2013</v>
      </c>
      <c r="J50" s="2871">
        <v>2014</v>
      </c>
      <c r="K50" s="2871">
        <v>2015</v>
      </c>
      <c r="L50" s="2871">
        <v>2015</v>
      </c>
      <c r="M50" s="2871">
        <v>2016</v>
      </c>
      <c r="N50" s="2871">
        <v>2017</v>
      </c>
      <c r="O50" s="2871">
        <v>2018</v>
      </c>
      <c r="P50" s="2871">
        <v>2019</v>
      </c>
      <c r="Q50" s="2871">
        <v>2020</v>
      </c>
      <c r="R50" s="2288">
        <v>2013</v>
      </c>
      <c r="S50" s="2285">
        <v>2017</v>
      </c>
      <c r="T50" s="2286">
        <v>2024</v>
      </c>
      <c r="U50" s="2028"/>
    </row>
    <row r="51" spans="1:25" ht="75" hidden="1">
      <c r="B51" s="344" t="s">
        <v>1175</v>
      </c>
      <c r="C51" s="1038" t="s">
        <v>1176</v>
      </c>
      <c r="D51" s="442"/>
      <c r="E51" s="1045" t="s">
        <v>1177</v>
      </c>
      <c r="F51" s="2050" t="s">
        <v>266</v>
      </c>
      <c r="G51" s="2050" t="s">
        <v>266</v>
      </c>
      <c r="H51" s="2050" t="s">
        <v>266</v>
      </c>
      <c r="I51" s="2051" t="s">
        <v>266</v>
      </c>
      <c r="J51" s="2052"/>
      <c r="K51" s="2053">
        <v>0.3</v>
      </c>
      <c r="L51" s="1872"/>
      <c r="M51" s="1872"/>
      <c r="N51" s="1872"/>
      <c r="O51" s="1872"/>
      <c r="P51" s="1872"/>
      <c r="Q51" s="1872"/>
      <c r="R51" s="2243"/>
      <c r="S51" s="2243"/>
      <c r="T51" s="345">
        <v>1</v>
      </c>
      <c r="U51" s="2028"/>
      <c r="V51"/>
      <c r="X51" s="5436"/>
      <c r="Y51" s="5436"/>
    </row>
    <row r="52" spans="1:25" ht="45.75" customHeight="1">
      <c r="A52" s="5594" t="s">
        <v>1796</v>
      </c>
      <c r="B52" s="346" t="s">
        <v>1803</v>
      </c>
      <c r="C52" s="1036" t="s">
        <v>1178</v>
      </c>
      <c r="D52" s="438"/>
      <c r="E52" s="1043" t="s">
        <v>1179</v>
      </c>
      <c r="F52" s="2054">
        <v>-8.9737048015541804E-2</v>
      </c>
      <c r="G52" s="2054">
        <v>1.8097664104599884E-2</v>
      </c>
      <c r="H52" s="2054">
        <v>9.6817407578872972E-2</v>
      </c>
      <c r="I52" s="2054">
        <v>2.7702117437070857E-2</v>
      </c>
      <c r="J52" s="2054">
        <v>1.8808607166875595E-2</v>
      </c>
      <c r="K52" s="2054">
        <v>0.10215379956425058</v>
      </c>
      <c r="L52" s="2054">
        <v>0.10199999999999999</v>
      </c>
      <c r="M52" s="2054">
        <v>-1.9E-2</v>
      </c>
      <c r="N52" s="2069">
        <v>-6.8000000000000005E-2</v>
      </c>
      <c r="O52" s="2877">
        <v>2.2828407348137559E-2</v>
      </c>
      <c r="P52" s="4845">
        <v>1.0023996698293194E-2</v>
      </c>
      <c r="Q52" s="2864">
        <f>+'A.34.'!G20</f>
        <v>5.5135136399432644E-3</v>
      </c>
      <c r="R52" s="2225">
        <v>0.03</v>
      </c>
      <c r="S52" s="2229">
        <v>0.03</v>
      </c>
      <c r="T52" s="349">
        <v>0.04</v>
      </c>
      <c r="U52" s="5465"/>
      <c r="V52"/>
      <c r="X52" s="5436"/>
      <c r="Y52" s="5436"/>
    </row>
    <row r="53" spans="1:25" ht="45.75" customHeight="1">
      <c r="A53" s="5582"/>
      <c r="B53" s="346" t="s">
        <v>1804</v>
      </c>
      <c r="C53" s="1036" t="s">
        <v>1180</v>
      </c>
      <c r="D53" s="438"/>
      <c r="E53" s="1043" t="s">
        <v>1181</v>
      </c>
      <c r="F53" s="356">
        <v>7.5861911602785326E-2</v>
      </c>
      <c r="G53" s="347">
        <v>5.6252575174334907E-2</v>
      </c>
      <c r="H53" s="347">
        <v>9.5070184089154228E-2</v>
      </c>
      <c r="I53" s="348">
        <v>3.9169734690045845E-2</v>
      </c>
      <c r="J53" s="348">
        <v>4.6145653843722476E-2</v>
      </c>
      <c r="K53" s="1118">
        <v>0.1</v>
      </c>
      <c r="L53" s="1254">
        <v>5.1431446233375831E-2</v>
      </c>
      <c r="M53" s="1875">
        <v>4.4123820981219211E-2</v>
      </c>
      <c r="N53" s="2069">
        <v>3.4064175838582518E-2</v>
      </c>
      <c r="O53" s="2877">
        <v>2.6656320671037462E-2</v>
      </c>
      <c r="P53" s="4845">
        <v>2.0142732594260186E-2</v>
      </c>
      <c r="Q53" s="2864">
        <f>+'A.35.'!L8</f>
        <v>1.4980689090445838E-2</v>
      </c>
      <c r="R53" s="2225">
        <v>0.1</v>
      </c>
      <c r="S53" s="2229">
        <v>0.1</v>
      </c>
      <c r="T53" s="423">
        <v>0.15</v>
      </c>
      <c r="U53" s="5465"/>
      <c r="V53"/>
      <c r="X53" s="5436"/>
      <c r="Y53" s="5436"/>
    </row>
    <row r="54" spans="1:25" ht="53.25" customHeight="1">
      <c r="A54" s="5575" t="s">
        <v>1797</v>
      </c>
      <c r="B54" s="346" t="s">
        <v>1805</v>
      </c>
      <c r="C54" s="1036" t="s">
        <v>1182</v>
      </c>
      <c r="D54" s="393" t="s">
        <v>2664</v>
      </c>
      <c r="E54" s="1043" t="s">
        <v>1183</v>
      </c>
      <c r="F54" s="368" t="s">
        <v>1184</v>
      </c>
      <c r="G54" s="351" t="s">
        <v>1185</v>
      </c>
      <c r="H54" s="351" t="s">
        <v>1185</v>
      </c>
      <c r="I54" s="352" t="s">
        <v>1186</v>
      </c>
      <c r="J54" s="352" t="s">
        <v>1187</v>
      </c>
      <c r="K54" s="1123" t="s">
        <v>1188</v>
      </c>
      <c r="L54" s="1260" t="s">
        <v>2713</v>
      </c>
      <c r="M54" s="1881" t="s">
        <v>2714</v>
      </c>
      <c r="N54" s="2077" t="s">
        <v>2715</v>
      </c>
      <c r="O54" s="3938" t="s">
        <v>2781</v>
      </c>
      <c r="P54" s="4850" t="s">
        <v>1186</v>
      </c>
      <c r="Q54" s="5432" t="s">
        <v>3851</v>
      </c>
      <c r="R54" s="2244" t="s">
        <v>1188</v>
      </c>
      <c r="S54" s="2244" t="s">
        <v>1188</v>
      </c>
      <c r="T54" s="1889" t="s">
        <v>1189</v>
      </c>
      <c r="U54" s="5467"/>
      <c r="V54"/>
      <c r="X54" s="5436"/>
      <c r="Y54" s="5436"/>
    </row>
    <row r="55" spans="1:25" ht="57.6">
      <c r="A55" s="5577"/>
      <c r="B55" s="346" t="s">
        <v>1806</v>
      </c>
      <c r="C55" s="1036" t="s">
        <v>1190</v>
      </c>
      <c r="D55" s="1040"/>
      <c r="E55" s="1043" t="s">
        <v>1191</v>
      </c>
      <c r="F55" s="1019">
        <v>0.82164291072768192</v>
      </c>
      <c r="G55" s="353">
        <v>0.82164291072768192</v>
      </c>
      <c r="H55" s="354">
        <v>0.81961731376555824</v>
      </c>
      <c r="I55" s="354">
        <v>0.81926811053024651</v>
      </c>
      <c r="J55" s="354">
        <v>0.81277372262773717</v>
      </c>
      <c r="K55" s="1119">
        <v>0.9</v>
      </c>
      <c r="L55" s="1253">
        <v>0.81604552964934829</v>
      </c>
      <c r="M55" s="1873">
        <v>0.8058428597350753</v>
      </c>
      <c r="N55" s="2068">
        <v>0.80615046677649638</v>
      </c>
      <c r="O55" s="2872">
        <v>0.80589949016751639</v>
      </c>
      <c r="P55" s="4841">
        <v>0.7379850480598078</v>
      </c>
      <c r="Q55" s="2862">
        <f>+'A.37.'!M21</f>
        <v>0.77876895628902765</v>
      </c>
      <c r="R55" s="2228">
        <v>0.9</v>
      </c>
      <c r="S55" s="2228">
        <v>0.9</v>
      </c>
      <c r="T55" s="427">
        <v>1.5</v>
      </c>
      <c r="U55" s="2028"/>
      <c r="V55"/>
      <c r="X55" s="5436"/>
      <c r="Y55" s="5436"/>
    </row>
    <row r="56" spans="1:25" ht="65.25" customHeight="1">
      <c r="A56" s="5594" t="s">
        <v>1798</v>
      </c>
      <c r="B56" s="346" t="s">
        <v>1807</v>
      </c>
      <c r="C56" s="1036" t="s">
        <v>1192</v>
      </c>
      <c r="D56" s="438"/>
      <c r="E56" s="1043" t="s">
        <v>1193</v>
      </c>
      <c r="F56" s="356">
        <v>0.15843033424702199</v>
      </c>
      <c r="G56" s="347">
        <v>0.12510299866566413</v>
      </c>
      <c r="H56" s="347">
        <v>4.5715443236822341E-2</v>
      </c>
      <c r="I56" s="348">
        <v>0.15242109181624777</v>
      </c>
      <c r="J56" s="348">
        <v>8.5820714942343029E-2</v>
      </c>
      <c r="K56" s="1118">
        <v>0.1</v>
      </c>
      <c r="L56" s="1255">
        <v>0.10030650502895806</v>
      </c>
      <c r="M56" s="1878">
        <v>9.6000000000000002E-2</v>
      </c>
      <c r="N56" s="2069">
        <v>5.904304023129036E-2</v>
      </c>
      <c r="O56" s="2877">
        <v>6.2012911702644058E-2</v>
      </c>
      <c r="P56" s="4845">
        <v>0.11096106782425225</v>
      </c>
      <c r="Q56" s="5496">
        <f>+'A.38.'!F43</f>
        <v>7.698138622004122E-2</v>
      </c>
      <c r="R56" s="2229">
        <v>0.1</v>
      </c>
      <c r="S56" s="2229">
        <v>0.08</v>
      </c>
      <c r="T56" s="423">
        <v>0.05</v>
      </c>
      <c r="U56" s="5465"/>
      <c r="V56"/>
      <c r="X56" s="5436"/>
      <c r="Y56" s="5436"/>
    </row>
    <row r="57" spans="1:25" ht="60.75" customHeight="1">
      <c r="A57" s="5582"/>
      <c r="B57" s="346" t="s">
        <v>1808</v>
      </c>
      <c r="C57" s="1036" t="s">
        <v>1194</v>
      </c>
      <c r="D57" s="438"/>
      <c r="E57" s="1043" t="s">
        <v>1195</v>
      </c>
      <c r="F57" s="356">
        <v>5.7379000235996153E-2</v>
      </c>
      <c r="G57" s="347">
        <v>6.6680872634037838E-2</v>
      </c>
      <c r="H57" s="347">
        <v>6.8905772228962547E-2</v>
      </c>
      <c r="I57" s="348">
        <v>0.11209202449465978</v>
      </c>
      <c r="J57" s="348">
        <v>0.10640451614318684</v>
      </c>
      <c r="K57" s="1118">
        <v>7.0000000000000007E-2</v>
      </c>
      <c r="L57" s="1255">
        <v>0.12324832761795072</v>
      </c>
      <c r="M57" s="1878">
        <v>0.122</v>
      </c>
      <c r="N57" s="2069">
        <v>0.14411560011689206</v>
      </c>
      <c r="O57" s="2877">
        <v>8.6819191305660737E-2</v>
      </c>
      <c r="P57" s="4845">
        <v>8.0632231024745676E-2</v>
      </c>
      <c r="Q57" s="5497">
        <f>+'A.39.'!G43</f>
        <v>0.12551524882309242</v>
      </c>
      <c r="R57" s="2229">
        <v>0.12</v>
      </c>
      <c r="S57" s="2229">
        <v>0.13</v>
      </c>
      <c r="T57" s="423">
        <v>0.15</v>
      </c>
      <c r="U57" s="5465"/>
      <c r="V57"/>
      <c r="X57" s="5436"/>
      <c r="Y57" s="5436"/>
    </row>
    <row r="58" spans="1:25" ht="47.25" customHeight="1">
      <c r="A58" s="5575" t="s">
        <v>1799</v>
      </c>
      <c r="B58" s="346" t="s">
        <v>1809</v>
      </c>
      <c r="C58" s="1041" t="s">
        <v>1196</v>
      </c>
      <c r="D58" s="440"/>
      <c r="E58" s="1043" t="s">
        <v>1197</v>
      </c>
      <c r="F58" s="1019">
        <v>13.168286755771568</v>
      </c>
      <c r="G58" s="353">
        <v>11.693290734824281</v>
      </c>
      <c r="H58" s="353">
        <v>9.9668068156671836</v>
      </c>
      <c r="I58" s="354">
        <v>9.2884156050955422</v>
      </c>
      <c r="J58" s="354">
        <v>9.2945660672400319</v>
      </c>
      <c r="K58" s="1119">
        <v>10</v>
      </c>
      <c r="L58" s="1253">
        <v>8.8084284136915709</v>
      </c>
      <c r="M58" s="1873">
        <v>10.659734513274337</v>
      </c>
      <c r="N58" s="2068">
        <v>10.73076070082058</v>
      </c>
      <c r="O58" s="2872">
        <v>10.70483239007401</v>
      </c>
      <c r="P58" s="4841">
        <v>9.7085771947527757</v>
      </c>
      <c r="Q58" s="2862">
        <f>+'A.40.-42.'!AV29</f>
        <v>9.679626749611197</v>
      </c>
      <c r="R58" s="2228">
        <v>8</v>
      </c>
      <c r="S58" s="2228">
        <v>7</v>
      </c>
      <c r="T58" s="427">
        <v>5</v>
      </c>
      <c r="U58" s="5433"/>
      <c r="V58"/>
      <c r="X58" s="5436"/>
      <c r="Y58" s="5436"/>
    </row>
    <row r="59" spans="1:25" ht="54" customHeight="1">
      <c r="A59" s="5576"/>
      <c r="B59" s="346" t="s">
        <v>1810</v>
      </c>
      <c r="C59" s="1041" t="s">
        <v>1198</v>
      </c>
      <c r="D59" s="440"/>
      <c r="E59" s="1043" t="s">
        <v>1199</v>
      </c>
      <c r="F59" s="1019">
        <v>1.6409472880061116</v>
      </c>
      <c r="G59" s="353">
        <v>1.0245844064621867</v>
      </c>
      <c r="H59" s="353">
        <v>1.0557549653027041</v>
      </c>
      <c r="I59" s="354">
        <v>0.65402843601895733</v>
      </c>
      <c r="J59" s="354">
        <v>0.62882959198079913</v>
      </c>
      <c r="K59" s="1119">
        <v>1</v>
      </c>
      <c r="L59" s="1253">
        <v>0.87242394504416099</v>
      </c>
      <c r="M59" s="1873">
        <v>0.7773499037283389</v>
      </c>
      <c r="N59" s="2074">
        <v>0.70588235294117652</v>
      </c>
      <c r="O59" s="2882">
        <v>0.72976092333058529</v>
      </c>
      <c r="P59" s="4841">
        <v>0.65106783919597988</v>
      </c>
      <c r="Q59" s="4237">
        <f>+'A.40.-42.'!AV30</f>
        <v>0.66896551724137931</v>
      </c>
      <c r="R59" s="2228">
        <v>1</v>
      </c>
      <c r="S59" s="2228">
        <v>1</v>
      </c>
      <c r="T59" s="427">
        <v>1</v>
      </c>
      <c r="U59" s="5433"/>
      <c r="V59"/>
      <c r="X59" s="5436"/>
      <c r="Y59" s="5436"/>
    </row>
    <row r="60" spans="1:25" ht="50.25" customHeight="1">
      <c r="A60" s="5576"/>
      <c r="B60" s="346" t="s">
        <v>1811</v>
      </c>
      <c r="C60" s="1036" t="s">
        <v>1200</v>
      </c>
      <c r="D60" s="438"/>
      <c r="E60" s="1043" t="s">
        <v>1201</v>
      </c>
      <c r="F60" s="1020">
        <v>3.0465253239104828</v>
      </c>
      <c r="G60" s="353">
        <v>2.039785768936496</v>
      </c>
      <c r="H60" s="357">
        <v>1.6759028642590286</v>
      </c>
      <c r="I60" s="358">
        <v>0.93325305350077414</v>
      </c>
      <c r="J60" s="358">
        <v>0.9263015551048005</v>
      </c>
      <c r="K60" s="1124">
        <v>2</v>
      </c>
      <c r="L60" s="1253">
        <v>1.4413866102143424</v>
      </c>
      <c r="M60" s="1873">
        <v>1.22876254180602</v>
      </c>
      <c r="N60" s="2068">
        <v>1.147689075630252</v>
      </c>
      <c r="O60" s="2872">
        <v>0.86162535299654852</v>
      </c>
      <c r="P60" s="4841">
        <v>1.117120699940346</v>
      </c>
      <c r="Q60" s="4237">
        <f>+'A.40.-42.'!AV31</f>
        <v>1.0474677630349467</v>
      </c>
      <c r="R60" s="2245">
        <v>1</v>
      </c>
      <c r="S60" s="2245">
        <v>1</v>
      </c>
      <c r="T60" s="1890">
        <v>1</v>
      </c>
      <c r="U60" s="5433"/>
      <c r="V60"/>
      <c r="X60" s="5436"/>
      <c r="Y60" s="5436"/>
    </row>
    <row r="61" spans="1:25" ht="30.75" customHeight="1">
      <c r="A61" s="5577"/>
      <c r="B61" s="425" t="s">
        <v>1812</v>
      </c>
      <c r="C61" s="1041" t="s">
        <v>1202</v>
      </c>
      <c r="D61" s="393" t="s">
        <v>1203</v>
      </c>
      <c r="E61" s="1043" t="s">
        <v>1203</v>
      </c>
      <c r="F61" s="1021" t="s">
        <v>1204</v>
      </c>
      <c r="G61" s="359" t="s">
        <v>495</v>
      </c>
      <c r="H61" s="359" t="s">
        <v>1205</v>
      </c>
      <c r="I61" s="360" t="s">
        <v>1206</v>
      </c>
      <c r="J61" s="360" t="s">
        <v>1207</v>
      </c>
      <c r="K61" s="1119" t="s">
        <v>1208</v>
      </c>
      <c r="L61" s="360" t="s">
        <v>1207</v>
      </c>
      <c r="M61" s="1882" t="s">
        <v>1821</v>
      </c>
      <c r="N61" s="2075" t="s">
        <v>1821</v>
      </c>
      <c r="O61" s="2877" t="s">
        <v>1821</v>
      </c>
      <c r="P61" s="4841" t="s">
        <v>1821</v>
      </c>
      <c r="Q61" s="2862" t="s">
        <v>1821</v>
      </c>
      <c r="R61" s="2228" t="s">
        <v>1208</v>
      </c>
      <c r="S61" s="2228" t="s">
        <v>1791</v>
      </c>
      <c r="T61" s="427" t="s">
        <v>1209</v>
      </c>
      <c r="V61"/>
      <c r="X61" s="5436"/>
      <c r="Y61" s="5436"/>
    </row>
    <row r="62" spans="1:25" ht="56.25" customHeight="1">
      <c r="A62" s="5575" t="s">
        <v>1800</v>
      </c>
      <c r="B62" s="361" t="s">
        <v>1813</v>
      </c>
      <c r="C62" s="1042" t="s">
        <v>1210</v>
      </c>
      <c r="D62" s="443"/>
      <c r="E62" s="1043" t="s">
        <v>1211</v>
      </c>
      <c r="F62" s="368" t="s">
        <v>266</v>
      </c>
      <c r="G62" s="362">
        <v>0.23600261976645739</v>
      </c>
      <c r="H62" s="362">
        <v>0.33510497358125907</v>
      </c>
      <c r="I62" s="363">
        <v>0.58133341449681175</v>
      </c>
      <c r="J62" s="363">
        <v>0.3513525698827773</v>
      </c>
      <c r="K62" s="1118">
        <v>0.2</v>
      </c>
      <c r="L62" s="1255">
        <v>0.59611250447868147</v>
      </c>
      <c r="M62" s="1878">
        <v>0.3126681846408611</v>
      </c>
      <c r="N62" s="2069">
        <v>0.76157414246462019</v>
      </c>
      <c r="O62" s="2877">
        <v>0.43623524605710451</v>
      </c>
      <c r="P62" s="4845">
        <v>0.34642790309346616</v>
      </c>
      <c r="Q62" s="2864">
        <f>+'A.44.'!F10</f>
        <v>0.14277294828348314</v>
      </c>
      <c r="R62" s="2229">
        <v>0.37</v>
      </c>
      <c r="S62" s="2229">
        <v>0.65</v>
      </c>
      <c r="T62" s="423">
        <v>0.7</v>
      </c>
      <c r="U62" s="2389"/>
      <c r="V62"/>
      <c r="X62" s="5436"/>
      <c r="Y62" s="5436"/>
    </row>
    <row r="63" spans="1:25" ht="51" customHeight="1">
      <c r="A63" s="5576"/>
      <c r="B63" s="5597" t="s">
        <v>1814</v>
      </c>
      <c r="C63" s="1036" t="s">
        <v>1212</v>
      </c>
      <c r="D63" s="393" t="s">
        <v>1213</v>
      </c>
      <c r="E63" s="1043" t="s">
        <v>1213</v>
      </c>
      <c r="F63" s="1022">
        <v>83</v>
      </c>
      <c r="G63" s="364">
        <v>179</v>
      </c>
      <c r="H63" s="365">
        <v>151</v>
      </c>
      <c r="I63" s="366">
        <v>155</v>
      </c>
      <c r="J63" s="366">
        <v>115</v>
      </c>
      <c r="K63" s="1119">
        <v>120</v>
      </c>
      <c r="L63" s="1261">
        <v>129</v>
      </c>
      <c r="M63" s="1880">
        <v>155</v>
      </c>
      <c r="N63" s="2065">
        <v>188</v>
      </c>
      <c r="O63" s="2880">
        <v>213</v>
      </c>
      <c r="P63" s="4849">
        <v>143</v>
      </c>
      <c r="Q63" s="2866">
        <v>35</v>
      </c>
      <c r="R63" s="2228">
        <v>170</v>
      </c>
      <c r="S63" s="2228">
        <v>170</v>
      </c>
      <c r="T63" s="427">
        <v>200</v>
      </c>
      <c r="V63"/>
      <c r="X63" s="5436"/>
      <c r="Y63" s="5436"/>
    </row>
    <row r="64" spans="1:25" ht="35.1" customHeight="1">
      <c r="A64" s="5577"/>
      <c r="B64" s="5596"/>
      <c r="C64" s="1036" t="s">
        <v>1214</v>
      </c>
      <c r="D64" s="393" t="s">
        <v>1476</v>
      </c>
      <c r="E64" s="1043" t="s">
        <v>1215</v>
      </c>
      <c r="F64" s="1023">
        <v>165033</v>
      </c>
      <c r="G64" s="368">
        <v>205482</v>
      </c>
      <c r="H64" s="367">
        <v>256086</v>
      </c>
      <c r="I64" s="369">
        <v>308184</v>
      </c>
      <c r="J64" s="369">
        <v>384931</v>
      </c>
      <c r="K64" s="1125">
        <v>200000</v>
      </c>
      <c r="L64" s="1261">
        <v>440904</v>
      </c>
      <c r="M64" s="1880">
        <v>225035</v>
      </c>
      <c r="N64" s="2065">
        <v>307894</v>
      </c>
      <c r="O64" s="2880">
        <v>356779</v>
      </c>
      <c r="P64" s="4849">
        <v>246054</v>
      </c>
      <c r="Q64" s="2866">
        <v>101989</v>
      </c>
      <c r="R64" s="2246">
        <v>400000</v>
      </c>
      <c r="S64" s="2246">
        <v>500000</v>
      </c>
      <c r="T64" s="369">
        <v>600000</v>
      </c>
      <c r="X64" s="5436"/>
      <c r="Y64" s="5436"/>
    </row>
    <row r="65" spans="1:25" ht="25.05" customHeight="1">
      <c r="A65" s="5602" t="s">
        <v>1801</v>
      </c>
      <c r="B65" s="5593" t="s">
        <v>1792</v>
      </c>
      <c r="C65" s="1036" t="s">
        <v>1216</v>
      </c>
      <c r="D65" s="393" t="s">
        <v>1470</v>
      </c>
      <c r="E65" s="1043" t="s">
        <v>1470</v>
      </c>
      <c r="F65" s="1024">
        <v>5</v>
      </c>
      <c r="G65" s="370">
        <v>5</v>
      </c>
      <c r="H65" s="370">
        <v>2</v>
      </c>
      <c r="I65" s="371">
        <v>2</v>
      </c>
      <c r="J65" s="371">
        <v>4</v>
      </c>
      <c r="K65" s="1119">
        <v>3</v>
      </c>
      <c r="L65" s="1257">
        <v>3</v>
      </c>
      <c r="M65" s="1883">
        <v>4</v>
      </c>
      <c r="N65" s="2076">
        <v>4</v>
      </c>
      <c r="O65" s="2883">
        <v>5</v>
      </c>
      <c r="P65" s="4851">
        <v>6</v>
      </c>
      <c r="Q65" s="4839">
        <v>6</v>
      </c>
      <c r="R65" s="2228">
        <v>2</v>
      </c>
      <c r="S65" s="2228">
        <v>2</v>
      </c>
      <c r="T65" s="427">
        <v>1</v>
      </c>
      <c r="U65" s="5435"/>
      <c r="X65" s="5436"/>
      <c r="Y65" s="5436"/>
    </row>
    <row r="66" spans="1:25" ht="25.05" customHeight="1">
      <c r="A66" s="5603"/>
      <c r="B66" s="5593"/>
      <c r="C66" s="1036" t="s">
        <v>1217</v>
      </c>
      <c r="D66" s="393" t="s">
        <v>1470</v>
      </c>
      <c r="E66" s="1043" t="s">
        <v>1218</v>
      </c>
      <c r="F66" s="1024">
        <v>22</v>
      </c>
      <c r="G66" s="359">
        <v>25</v>
      </c>
      <c r="H66" s="359">
        <v>21</v>
      </c>
      <c r="I66" s="360">
        <v>33</v>
      </c>
      <c r="J66" s="360">
        <v>35</v>
      </c>
      <c r="K66" s="1126">
        <v>15</v>
      </c>
      <c r="L66" s="1262">
        <v>36</v>
      </c>
      <c r="M66" s="1884">
        <v>30</v>
      </c>
      <c r="N66" s="2078">
        <v>32</v>
      </c>
      <c r="O66" s="2883">
        <v>29</v>
      </c>
      <c r="P66" s="4851">
        <v>28</v>
      </c>
      <c r="Q66" s="4839">
        <v>27</v>
      </c>
      <c r="R66" s="2247">
        <v>20</v>
      </c>
      <c r="S66" s="2247">
        <v>20</v>
      </c>
      <c r="T66" s="1891">
        <v>10</v>
      </c>
    </row>
    <row r="67" spans="1:25" ht="25.05" customHeight="1">
      <c r="A67" s="5604"/>
      <c r="B67" s="5593"/>
      <c r="C67" s="1036" t="s">
        <v>1219</v>
      </c>
      <c r="D67" s="393" t="s">
        <v>1470</v>
      </c>
      <c r="E67" s="1043" t="s">
        <v>1218</v>
      </c>
      <c r="F67" s="1024">
        <v>4</v>
      </c>
      <c r="G67" s="370">
        <v>4</v>
      </c>
      <c r="H67" s="370">
        <v>8</v>
      </c>
      <c r="I67" s="371">
        <v>8</v>
      </c>
      <c r="J67" s="371">
        <v>12</v>
      </c>
      <c r="K67" s="1119">
        <v>3</v>
      </c>
      <c r="L67" s="1257">
        <v>12</v>
      </c>
      <c r="M67" s="1883">
        <v>12</v>
      </c>
      <c r="N67" s="2076">
        <v>7</v>
      </c>
      <c r="O67" s="2884">
        <v>7</v>
      </c>
      <c r="P67" s="4852">
        <v>12</v>
      </c>
      <c r="Q67" s="2867">
        <v>11</v>
      </c>
      <c r="R67" s="2228">
        <v>3</v>
      </c>
      <c r="S67" s="2228">
        <v>3</v>
      </c>
      <c r="T67" s="427">
        <v>2</v>
      </c>
    </row>
    <row r="68" spans="1:25" ht="47.25" hidden="1" customHeight="1">
      <c r="A68" s="4631"/>
      <c r="B68" s="5595" t="s">
        <v>1793</v>
      </c>
      <c r="C68" s="1036" t="s">
        <v>1220</v>
      </c>
      <c r="D68" s="1030"/>
      <c r="E68" s="1043" t="s">
        <v>1221</v>
      </c>
      <c r="F68" s="356">
        <v>-1.8633540372670843E-2</v>
      </c>
      <c r="G68" s="347">
        <v>0.518987341772152</v>
      </c>
      <c r="H68" s="347">
        <v>8.3333333333333259E-2</v>
      </c>
      <c r="I68" s="348">
        <v>-0.2038461538461539</v>
      </c>
      <c r="J68" s="348">
        <v>-0.2560386473429952</v>
      </c>
      <c r="K68" s="1119">
        <v>0</v>
      </c>
      <c r="L68" s="1263">
        <v>-0.27922077922077926</v>
      </c>
      <c r="M68" s="1885"/>
      <c r="N68" s="2079"/>
      <c r="O68" s="2885"/>
      <c r="P68" s="2868"/>
      <c r="Q68" s="2868"/>
      <c r="R68" s="2228">
        <v>0</v>
      </c>
      <c r="S68" s="2228">
        <v>0</v>
      </c>
      <c r="T68" s="427">
        <v>0</v>
      </c>
      <c r="U68" s="1831" t="s">
        <v>2236</v>
      </c>
      <c r="V68" s="1829"/>
    </row>
    <row r="69" spans="1:25" ht="45" hidden="1" customHeight="1">
      <c r="A69" s="4632"/>
      <c r="B69" s="5596"/>
      <c r="C69" s="1036" t="s">
        <v>1222</v>
      </c>
      <c r="D69" s="1030"/>
      <c r="E69" s="1043" t="s">
        <v>1223</v>
      </c>
      <c r="F69" s="1025">
        <v>0.32</v>
      </c>
      <c r="G69" s="347">
        <v>0.34499999999999997</v>
      </c>
      <c r="H69" s="347">
        <v>-0.38998262541998396</v>
      </c>
      <c r="I69" s="348">
        <v>1.03594596620349</v>
      </c>
      <c r="J69" s="348">
        <v>0.36572638539379354</v>
      </c>
      <c r="K69" s="1118">
        <v>0.35</v>
      </c>
      <c r="L69" s="1255">
        <v>-0.30551019378894517</v>
      </c>
      <c r="M69" s="1878">
        <v>-0.16799616363643188</v>
      </c>
      <c r="N69" s="2069">
        <v>-0.19180013814919206</v>
      </c>
      <c r="O69" s="2877">
        <v>0.65640501407695395</v>
      </c>
      <c r="P69" s="2869"/>
      <c r="Q69" s="2869"/>
      <c r="R69" s="2229">
        <v>0.4</v>
      </c>
      <c r="S69" s="2229">
        <v>0.4</v>
      </c>
      <c r="T69" s="423">
        <v>0.5</v>
      </c>
    </row>
    <row r="70" spans="1:25" ht="15.75" customHeight="1">
      <c r="C70" s="1039"/>
      <c r="D70" s="10"/>
      <c r="E70" s="10"/>
      <c r="F70" s="10"/>
      <c r="G70" s="10"/>
      <c r="H70" s="10"/>
      <c r="I70" s="10"/>
      <c r="J70" s="10"/>
      <c r="K70" s="1127"/>
      <c r="L70" s="10"/>
      <c r="M70" s="10"/>
      <c r="N70" s="10"/>
      <c r="O70" s="10"/>
      <c r="P70" s="10"/>
      <c r="Q70" s="10"/>
      <c r="R70" s="5590" t="s">
        <v>2879</v>
      </c>
      <c r="S70" s="10"/>
      <c r="T70" s="10"/>
    </row>
    <row r="71" spans="1:25">
      <c r="C71" s="1039"/>
      <c r="D71" s="10"/>
      <c r="E71" s="10"/>
      <c r="F71" s="10"/>
      <c r="G71" s="10"/>
      <c r="H71" s="10"/>
      <c r="I71" s="10"/>
      <c r="J71" s="10"/>
      <c r="K71" s="1127"/>
      <c r="L71" s="10"/>
      <c r="M71" s="10"/>
      <c r="N71" s="10"/>
      <c r="O71" s="10"/>
      <c r="P71" s="10"/>
      <c r="Q71" s="10"/>
      <c r="R71" s="5591"/>
      <c r="S71" s="10"/>
      <c r="T71" s="10"/>
    </row>
    <row r="72" spans="1:25">
      <c r="C72" s="1039"/>
      <c r="D72" s="10"/>
      <c r="E72" s="10"/>
      <c r="F72" s="10"/>
      <c r="G72" s="10"/>
      <c r="H72" s="10"/>
      <c r="I72" s="10"/>
      <c r="J72" s="10"/>
      <c r="K72" s="1127"/>
      <c r="L72" s="10"/>
      <c r="M72" s="10"/>
      <c r="N72" s="10"/>
      <c r="O72" s="10"/>
      <c r="P72" s="10"/>
      <c r="Q72" s="10"/>
      <c r="R72" s="5591"/>
      <c r="S72" s="10"/>
      <c r="T72" s="10"/>
    </row>
    <row r="73" spans="1:25">
      <c r="E73" s="10"/>
      <c r="F73" s="10"/>
      <c r="G73" s="10"/>
      <c r="H73" s="10"/>
      <c r="I73" s="22"/>
      <c r="J73" s="10"/>
      <c r="K73" s="1127"/>
      <c r="L73" s="10"/>
      <c r="M73" s="10"/>
      <c r="N73" s="10"/>
      <c r="O73" s="10"/>
      <c r="P73" s="10"/>
      <c r="Q73" s="10"/>
      <c r="R73" s="10"/>
      <c r="S73" s="10"/>
    </row>
    <row r="74" spans="1:25">
      <c r="E74" s="10"/>
      <c r="F74" s="10"/>
      <c r="G74" s="10"/>
      <c r="H74" s="10"/>
      <c r="I74" s="22"/>
      <c r="J74" s="10"/>
      <c r="K74" s="1127"/>
      <c r="L74" s="10"/>
      <c r="M74" s="10"/>
      <c r="N74" s="10"/>
      <c r="O74" s="10"/>
      <c r="P74" s="10"/>
      <c r="Q74" s="10"/>
      <c r="R74" s="10"/>
      <c r="S74" s="10"/>
    </row>
    <row r="75" spans="1:25">
      <c r="E75" s="10"/>
      <c r="F75" s="10"/>
      <c r="G75" s="10"/>
      <c r="H75" s="10"/>
      <c r="I75" s="22"/>
      <c r="J75" s="10"/>
      <c r="K75" s="1127"/>
      <c r="L75" s="10"/>
      <c r="M75" s="10"/>
      <c r="N75" s="10"/>
      <c r="O75" s="10"/>
      <c r="P75" s="10"/>
      <c r="Q75" s="10"/>
      <c r="R75" s="10"/>
      <c r="S75" s="10"/>
    </row>
    <row r="76" spans="1:25">
      <c r="E76" s="10"/>
      <c r="F76" s="10"/>
      <c r="G76" s="10"/>
      <c r="H76" s="10"/>
      <c r="J76" s="10"/>
      <c r="K76" s="1127"/>
      <c r="L76" s="10"/>
      <c r="M76" s="10"/>
      <c r="N76" s="10"/>
      <c r="O76" s="10"/>
      <c r="P76" s="10"/>
      <c r="Q76" s="10"/>
      <c r="R76" s="10"/>
      <c r="S76" s="10"/>
    </row>
    <row r="77" spans="1:25">
      <c r="E77" s="10"/>
      <c r="J77" s="10"/>
      <c r="K77" s="1127"/>
      <c r="L77" s="10"/>
      <c r="M77" s="10"/>
      <c r="N77" s="10"/>
      <c r="O77" s="10"/>
      <c r="P77" s="10"/>
      <c r="Q77" s="10"/>
      <c r="R77" s="10"/>
      <c r="S77" s="10"/>
    </row>
    <row r="78" spans="1:25">
      <c r="D78" s="10"/>
      <c r="E78" s="10"/>
      <c r="F78" s="5589"/>
      <c r="J78" s="10"/>
      <c r="K78" s="1127"/>
      <c r="L78" s="10"/>
      <c r="M78" s="10"/>
      <c r="N78" s="10"/>
      <c r="O78" s="10"/>
      <c r="P78" s="10"/>
      <c r="Q78" s="10"/>
      <c r="R78" s="10"/>
      <c r="S78" s="10"/>
    </row>
    <row r="79" spans="1:25">
      <c r="C79" s="57"/>
      <c r="D79" s="10"/>
      <c r="E79" s="10"/>
      <c r="F79" s="5589"/>
      <c r="J79" s="10"/>
      <c r="K79" s="1127"/>
      <c r="L79" s="10"/>
      <c r="M79" s="10"/>
      <c r="N79" s="10"/>
      <c r="O79" s="10"/>
      <c r="P79" s="10"/>
      <c r="Q79" s="10"/>
      <c r="R79" s="10"/>
      <c r="S79" s="10"/>
    </row>
    <row r="80" spans="1:25">
      <c r="J80" s="10"/>
      <c r="K80" s="1127"/>
      <c r="L80" s="10"/>
      <c r="M80" s="10"/>
      <c r="N80" s="10"/>
      <c r="O80" s="10"/>
      <c r="P80" s="10"/>
      <c r="Q80" s="10"/>
      <c r="R80" s="10"/>
      <c r="S80" s="10"/>
    </row>
    <row r="81" spans="10:19">
      <c r="J81" s="10"/>
      <c r="K81" s="1127"/>
      <c r="L81" s="10"/>
      <c r="M81" s="10"/>
      <c r="N81" s="10"/>
      <c r="O81" s="10"/>
      <c r="P81" s="10"/>
      <c r="Q81" s="10"/>
      <c r="R81" s="10"/>
      <c r="S81" s="10"/>
    </row>
    <row r="82" spans="10:19">
      <c r="J82" s="10"/>
      <c r="K82" s="1127"/>
      <c r="L82" s="10"/>
      <c r="M82" s="10"/>
      <c r="N82" s="10"/>
      <c r="O82" s="10"/>
      <c r="P82" s="10"/>
      <c r="Q82" s="10"/>
      <c r="R82" s="10"/>
      <c r="S82" s="10"/>
    </row>
    <row r="83" spans="10:19">
      <c r="J83" s="10"/>
      <c r="K83" s="1127"/>
      <c r="L83" s="10"/>
      <c r="M83" s="10"/>
      <c r="N83" s="10"/>
      <c r="O83" s="10"/>
      <c r="P83" s="10"/>
      <c r="Q83" s="10"/>
      <c r="R83" s="10"/>
      <c r="S83" s="10"/>
    </row>
    <row r="84" spans="10:19">
      <c r="J84" s="10"/>
      <c r="K84" s="1127"/>
      <c r="L84" s="10"/>
      <c r="M84" s="10"/>
      <c r="N84" s="10"/>
      <c r="O84" s="10"/>
      <c r="P84" s="10"/>
      <c r="Q84" s="10"/>
      <c r="R84" s="10"/>
      <c r="S84" s="10"/>
    </row>
    <row r="85" spans="10:19">
      <c r="J85" s="10"/>
      <c r="K85" s="1127"/>
      <c r="L85" s="10"/>
      <c r="M85" s="10"/>
      <c r="N85" s="10"/>
      <c r="O85" s="10"/>
      <c r="P85" s="10"/>
      <c r="Q85" s="10"/>
      <c r="R85" s="10"/>
      <c r="S85" s="10"/>
    </row>
    <row r="86" spans="10:19">
      <c r="J86" s="10"/>
      <c r="K86" s="1127"/>
      <c r="L86" s="10"/>
      <c r="M86" s="10"/>
      <c r="N86" s="10"/>
      <c r="O86" s="10"/>
      <c r="P86" s="10"/>
      <c r="Q86" s="10"/>
      <c r="R86" s="10"/>
      <c r="S86" s="10"/>
    </row>
    <row r="87" spans="10:19">
      <c r="J87" s="10"/>
      <c r="K87" s="1127"/>
      <c r="L87" s="10"/>
      <c r="M87" s="10"/>
      <c r="N87" s="10"/>
      <c r="O87" s="10"/>
      <c r="P87" s="10"/>
      <c r="Q87" s="10"/>
      <c r="R87" s="10"/>
      <c r="S87" s="10"/>
    </row>
    <row r="88" spans="10:19">
      <c r="J88" s="10"/>
      <c r="K88" s="1127"/>
      <c r="L88" s="10"/>
      <c r="M88" s="10"/>
      <c r="N88" s="10"/>
      <c r="O88" s="10"/>
      <c r="P88" s="10"/>
      <c r="Q88" s="10"/>
      <c r="R88" s="10"/>
      <c r="S88" s="10"/>
    </row>
    <row r="89" spans="10:19">
      <c r="J89" s="10"/>
      <c r="K89" s="1127"/>
      <c r="L89" s="10"/>
      <c r="M89" s="10"/>
      <c r="N89" s="10"/>
      <c r="O89" s="10"/>
      <c r="P89" s="10"/>
      <c r="Q89" s="10"/>
      <c r="R89" s="10"/>
      <c r="S89" s="10"/>
    </row>
    <row r="90" spans="10:19">
      <c r="J90" s="10"/>
      <c r="K90" s="1127"/>
      <c r="L90" s="10"/>
      <c r="M90" s="10"/>
      <c r="N90" s="10"/>
      <c r="O90" s="10"/>
      <c r="P90" s="10"/>
      <c r="Q90" s="10"/>
      <c r="R90" s="10"/>
      <c r="S90" s="10"/>
    </row>
    <row r="91" spans="10:19">
      <c r="J91" s="10"/>
      <c r="K91" s="1127"/>
      <c r="L91" s="10"/>
      <c r="M91" s="10"/>
      <c r="N91" s="10"/>
      <c r="O91" s="10"/>
      <c r="P91" s="10"/>
      <c r="Q91" s="10"/>
      <c r="R91" s="10"/>
      <c r="S91" s="10"/>
    </row>
    <row r="92" spans="10:19">
      <c r="J92" s="10"/>
      <c r="K92" s="1127"/>
      <c r="L92" s="10"/>
      <c r="M92" s="10"/>
      <c r="N92" s="10"/>
      <c r="O92" s="10"/>
      <c r="P92" s="10"/>
      <c r="Q92" s="10"/>
      <c r="R92" s="10"/>
      <c r="S92" s="10"/>
    </row>
    <row r="93" spans="10:19">
      <c r="J93" s="10"/>
      <c r="K93" s="1127"/>
      <c r="L93" s="10"/>
      <c r="M93" s="10"/>
      <c r="N93" s="10"/>
      <c r="O93" s="10"/>
      <c r="P93" s="10"/>
      <c r="Q93" s="10"/>
      <c r="R93" s="10"/>
      <c r="S93" s="10"/>
    </row>
    <row r="94" spans="10:19">
      <c r="J94" s="10"/>
      <c r="K94" s="1127"/>
      <c r="L94" s="10"/>
      <c r="M94" s="10"/>
      <c r="N94" s="10"/>
      <c r="O94" s="10"/>
      <c r="P94" s="10"/>
      <c r="Q94" s="10"/>
      <c r="R94" s="10"/>
      <c r="S94" s="10"/>
    </row>
    <row r="95" spans="10:19">
      <c r="J95" s="10"/>
      <c r="K95" s="1127"/>
      <c r="L95" s="10"/>
      <c r="M95" s="10"/>
      <c r="N95" s="10"/>
      <c r="O95" s="10"/>
      <c r="P95" s="10"/>
      <c r="Q95" s="10"/>
      <c r="R95" s="10"/>
      <c r="S95" s="10"/>
    </row>
    <row r="96" spans="10:19">
      <c r="J96" s="10"/>
      <c r="K96" s="1127"/>
      <c r="L96" s="10"/>
      <c r="M96" s="10"/>
      <c r="N96" s="10"/>
      <c r="O96" s="10"/>
      <c r="P96" s="10"/>
      <c r="Q96" s="10"/>
      <c r="R96" s="10"/>
      <c r="S96" s="10"/>
    </row>
    <row r="97" spans="10:19">
      <c r="J97" s="10"/>
      <c r="K97" s="1127"/>
      <c r="L97" s="10"/>
      <c r="M97" s="10"/>
      <c r="N97" s="10"/>
      <c r="O97" s="10"/>
      <c r="P97" s="10"/>
      <c r="Q97" s="10"/>
      <c r="R97" s="10"/>
      <c r="S97" s="10"/>
    </row>
    <row r="98" spans="10:19">
      <c r="J98" s="10"/>
      <c r="K98" s="1127"/>
      <c r="L98" s="10"/>
      <c r="M98" s="10"/>
      <c r="N98" s="10"/>
      <c r="O98" s="10"/>
      <c r="P98" s="10"/>
      <c r="Q98" s="10"/>
      <c r="R98" s="10"/>
      <c r="S98" s="10"/>
    </row>
    <row r="99" spans="10:19">
      <c r="J99" s="10"/>
      <c r="K99" s="1127"/>
      <c r="L99" s="10"/>
      <c r="M99" s="10"/>
      <c r="N99" s="10"/>
      <c r="O99" s="10"/>
      <c r="P99" s="10"/>
      <c r="Q99" s="10"/>
      <c r="R99" s="10"/>
      <c r="S99" s="10"/>
    </row>
    <row r="100" spans="10:19">
      <c r="J100" s="10"/>
      <c r="K100" s="1127"/>
      <c r="L100" s="10"/>
      <c r="M100" s="10"/>
      <c r="N100" s="10"/>
      <c r="O100" s="10"/>
      <c r="P100" s="10"/>
      <c r="Q100" s="10"/>
      <c r="R100" s="10"/>
      <c r="S100" s="10"/>
    </row>
    <row r="101" spans="10:19">
      <c r="J101" s="10"/>
      <c r="K101" s="1127"/>
      <c r="L101" s="10"/>
      <c r="M101" s="10"/>
      <c r="N101" s="10"/>
      <c r="O101" s="10"/>
      <c r="P101" s="10"/>
      <c r="Q101" s="10"/>
      <c r="R101" s="10"/>
      <c r="S101" s="10"/>
    </row>
    <row r="102" spans="10:19">
      <c r="J102" s="10"/>
      <c r="K102" s="1127"/>
      <c r="L102" s="10"/>
      <c r="M102" s="10"/>
      <c r="N102" s="10"/>
      <c r="O102" s="10"/>
      <c r="P102" s="10"/>
      <c r="Q102" s="10"/>
      <c r="R102" s="10"/>
      <c r="S102" s="10"/>
    </row>
    <row r="103" spans="10:19">
      <c r="J103" s="10"/>
      <c r="K103" s="1127"/>
      <c r="L103" s="10"/>
      <c r="M103" s="10"/>
      <c r="N103" s="10"/>
      <c r="O103" s="10"/>
      <c r="P103" s="10"/>
      <c r="Q103" s="10"/>
      <c r="R103" s="10"/>
      <c r="S103" s="10"/>
    </row>
    <row r="104" spans="10:19">
      <c r="J104" s="10"/>
      <c r="K104" s="1127"/>
      <c r="L104" s="10"/>
      <c r="M104" s="10"/>
      <c r="N104" s="10"/>
      <c r="O104" s="10"/>
      <c r="P104" s="10"/>
      <c r="Q104" s="10"/>
      <c r="R104" s="10"/>
      <c r="S104" s="10"/>
    </row>
    <row r="105" spans="10:19">
      <c r="J105" s="10"/>
      <c r="K105" s="1127"/>
      <c r="L105" s="10"/>
      <c r="M105" s="10"/>
      <c r="N105" s="10"/>
      <c r="O105" s="10"/>
      <c r="P105" s="10"/>
      <c r="Q105" s="10"/>
      <c r="R105" s="10"/>
      <c r="S105" s="10"/>
    </row>
    <row r="106" spans="10:19">
      <c r="J106" s="10"/>
      <c r="K106" s="1127"/>
      <c r="L106" s="10"/>
      <c r="M106" s="10"/>
      <c r="N106" s="10"/>
      <c r="O106" s="10"/>
      <c r="P106" s="10"/>
      <c r="Q106" s="10"/>
      <c r="R106" s="10"/>
      <c r="S106" s="10"/>
    </row>
    <row r="107" spans="10:19">
      <c r="J107" s="10"/>
      <c r="K107" s="1127"/>
      <c r="L107" s="10"/>
      <c r="M107" s="10"/>
      <c r="N107" s="10"/>
      <c r="O107" s="10"/>
      <c r="P107" s="10"/>
      <c r="Q107" s="10"/>
      <c r="R107" s="10"/>
      <c r="S107" s="10"/>
    </row>
    <row r="108" spans="10:19">
      <c r="J108" s="10"/>
      <c r="K108" s="1127"/>
      <c r="L108" s="10"/>
      <c r="M108" s="10"/>
      <c r="N108" s="10"/>
      <c r="O108" s="10"/>
      <c r="P108" s="10"/>
      <c r="Q108" s="10"/>
      <c r="R108" s="10"/>
      <c r="S108" s="10"/>
    </row>
    <row r="109" spans="10:19">
      <c r="J109" s="10"/>
      <c r="K109" s="1127"/>
      <c r="L109" s="10"/>
      <c r="M109" s="10"/>
      <c r="N109" s="10"/>
      <c r="O109" s="10"/>
      <c r="P109" s="10"/>
      <c r="Q109" s="10"/>
      <c r="R109" s="10"/>
      <c r="S109" s="10"/>
    </row>
    <row r="110" spans="10:19">
      <c r="J110" s="10"/>
      <c r="K110" s="1127"/>
      <c r="L110" s="10"/>
      <c r="M110" s="10"/>
      <c r="N110" s="10"/>
      <c r="O110" s="10"/>
      <c r="P110" s="10"/>
      <c r="Q110" s="10"/>
      <c r="R110" s="10"/>
      <c r="S110" s="10"/>
    </row>
    <row r="111" spans="10:19">
      <c r="J111" s="10"/>
      <c r="K111" s="1127"/>
      <c r="L111" s="10"/>
      <c r="M111" s="10"/>
      <c r="N111" s="10"/>
      <c r="O111" s="10"/>
      <c r="P111" s="10"/>
      <c r="Q111" s="10"/>
      <c r="R111" s="10"/>
      <c r="S111" s="10"/>
    </row>
    <row r="112" spans="10:19">
      <c r="J112" s="10"/>
      <c r="K112" s="1127"/>
      <c r="L112" s="10"/>
      <c r="M112" s="10"/>
      <c r="N112" s="10"/>
      <c r="O112" s="10"/>
      <c r="P112" s="10"/>
      <c r="Q112" s="10"/>
      <c r="R112" s="10"/>
      <c r="S112" s="10"/>
    </row>
    <row r="113" spans="10:19">
      <c r="J113" s="10"/>
      <c r="K113" s="1127"/>
      <c r="L113" s="10"/>
      <c r="M113" s="10"/>
      <c r="N113" s="10"/>
      <c r="O113" s="10"/>
      <c r="P113" s="10"/>
      <c r="Q113" s="10"/>
      <c r="R113" s="10"/>
      <c r="S113" s="10"/>
    </row>
    <row r="114" spans="10:19">
      <c r="J114" s="10"/>
      <c r="K114" s="1127"/>
      <c r="L114" s="10"/>
      <c r="M114" s="10"/>
      <c r="N114" s="10"/>
      <c r="O114" s="10"/>
      <c r="P114" s="10"/>
      <c r="Q114" s="10"/>
      <c r="R114" s="10"/>
      <c r="S114" s="10"/>
    </row>
    <row r="115" spans="10:19">
      <c r="J115" s="10"/>
      <c r="K115" s="1127"/>
      <c r="L115" s="10"/>
      <c r="M115" s="10"/>
      <c r="N115" s="10"/>
      <c r="O115" s="10"/>
      <c r="P115" s="10"/>
      <c r="Q115" s="10"/>
      <c r="R115" s="10"/>
      <c r="S115" s="10"/>
    </row>
    <row r="116" spans="10:19">
      <c r="J116" s="10"/>
      <c r="K116" s="1127"/>
      <c r="L116" s="10"/>
      <c r="M116" s="10"/>
      <c r="N116" s="10"/>
      <c r="O116" s="10"/>
      <c r="P116" s="10"/>
      <c r="Q116" s="10"/>
      <c r="R116" s="10"/>
      <c r="S116" s="10"/>
    </row>
    <row r="117" spans="10:19">
      <c r="J117" s="10"/>
      <c r="K117" s="1127"/>
      <c r="L117" s="10"/>
      <c r="M117" s="10"/>
      <c r="N117" s="10"/>
      <c r="O117" s="10"/>
      <c r="P117" s="10"/>
      <c r="Q117" s="10"/>
      <c r="R117" s="10"/>
      <c r="S117" s="10"/>
    </row>
    <row r="118" spans="10:19">
      <c r="J118" s="10"/>
      <c r="K118" s="1127"/>
      <c r="L118" s="10"/>
      <c r="M118" s="10"/>
      <c r="N118" s="10"/>
      <c r="O118" s="10"/>
      <c r="P118" s="10"/>
      <c r="Q118" s="10"/>
      <c r="R118" s="10"/>
      <c r="S118" s="10"/>
    </row>
    <row r="119" spans="10:19">
      <c r="J119" s="10"/>
      <c r="K119" s="1127"/>
      <c r="L119" s="10"/>
      <c r="M119" s="10"/>
      <c r="N119" s="10"/>
      <c r="O119" s="10"/>
      <c r="P119" s="10"/>
      <c r="Q119" s="10"/>
      <c r="R119" s="10"/>
      <c r="S119" s="10"/>
    </row>
    <row r="120" spans="10:19">
      <c r="J120" s="10"/>
      <c r="K120" s="1127"/>
      <c r="L120" s="10"/>
      <c r="M120" s="10"/>
      <c r="N120" s="10"/>
      <c r="O120" s="10"/>
      <c r="P120" s="10"/>
      <c r="Q120" s="10"/>
      <c r="R120" s="10"/>
      <c r="S120" s="10"/>
    </row>
    <row r="121" spans="10:19">
      <c r="J121" s="10"/>
      <c r="K121" s="1127"/>
      <c r="L121" s="10"/>
      <c r="M121" s="10"/>
      <c r="N121" s="10"/>
      <c r="O121" s="10"/>
      <c r="P121" s="10"/>
      <c r="Q121" s="10"/>
      <c r="R121" s="10"/>
      <c r="S121" s="10"/>
    </row>
    <row r="122" spans="10:19">
      <c r="J122" s="10"/>
      <c r="K122" s="1127"/>
      <c r="L122" s="10"/>
      <c r="M122" s="10"/>
      <c r="N122" s="10"/>
      <c r="O122" s="10"/>
      <c r="P122" s="10"/>
      <c r="Q122" s="10"/>
      <c r="R122" s="10"/>
      <c r="S122" s="10"/>
    </row>
    <row r="123" spans="10:19">
      <c r="J123" s="10"/>
      <c r="K123" s="1127"/>
      <c r="L123" s="10"/>
      <c r="M123" s="10"/>
      <c r="N123" s="10"/>
      <c r="O123" s="10"/>
      <c r="P123" s="10"/>
      <c r="Q123" s="10"/>
      <c r="R123" s="10"/>
      <c r="S123" s="10"/>
    </row>
    <row r="124" spans="10:19">
      <c r="J124" s="10"/>
      <c r="K124" s="1127"/>
      <c r="L124" s="10"/>
      <c r="M124" s="10"/>
      <c r="N124" s="10"/>
      <c r="O124" s="10"/>
      <c r="P124" s="10"/>
      <c r="Q124" s="10"/>
      <c r="R124" s="10"/>
      <c r="S124" s="10"/>
    </row>
    <row r="125" spans="10:19">
      <c r="J125" s="10"/>
      <c r="K125" s="1127"/>
      <c r="L125" s="10"/>
      <c r="M125" s="10"/>
      <c r="N125" s="10"/>
      <c r="O125" s="10"/>
      <c r="P125" s="10"/>
      <c r="Q125" s="10"/>
      <c r="R125" s="10"/>
      <c r="S125" s="10"/>
    </row>
    <row r="126" spans="10:19">
      <c r="J126" s="10"/>
      <c r="K126" s="1127"/>
      <c r="L126" s="10"/>
      <c r="M126" s="10"/>
      <c r="N126" s="10"/>
      <c r="O126" s="10"/>
      <c r="P126" s="10"/>
      <c r="Q126" s="10"/>
      <c r="R126" s="10"/>
      <c r="S126" s="10"/>
    </row>
    <row r="127" spans="10:19">
      <c r="J127" s="10"/>
      <c r="K127" s="1127"/>
      <c r="L127" s="10"/>
      <c r="M127" s="10"/>
      <c r="N127" s="10"/>
      <c r="O127" s="10"/>
      <c r="P127" s="10"/>
      <c r="Q127" s="10"/>
      <c r="R127" s="10"/>
      <c r="S127" s="10"/>
    </row>
    <row r="128" spans="10:19">
      <c r="J128" s="10"/>
      <c r="K128" s="1127"/>
      <c r="L128" s="10"/>
      <c r="M128" s="10"/>
      <c r="N128" s="10"/>
      <c r="O128" s="10"/>
      <c r="P128" s="10"/>
      <c r="Q128" s="10"/>
      <c r="R128" s="10"/>
      <c r="S128" s="10"/>
    </row>
    <row r="129" spans="10:19">
      <c r="J129" s="10"/>
      <c r="K129" s="1127"/>
      <c r="L129" s="10"/>
      <c r="M129" s="10"/>
      <c r="N129" s="10"/>
      <c r="O129" s="10"/>
      <c r="P129" s="10"/>
      <c r="Q129" s="10"/>
      <c r="R129" s="10"/>
      <c r="S129" s="10"/>
    </row>
    <row r="130" spans="10:19">
      <c r="J130" s="10"/>
      <c r="K130" s="1127"/>
      <c r="L130" s="10"/>
      <c r="M130" s="10"/>
      <c r="N130" s="10"/>
      <c r="O130" s="10"/>
      <c r="P130" s="10"/>
      <c r="Q130" s="10"/>
      <c r="R130" s="10"/>
      <c r="S130" s="10"/>
    </row>
    <row r="131" spans="10:19">
      <c r="J131" s="10"/>
      <c r="K131" s="1127"/>
      <c r="L131" s="10"/>
      <c r="M131" s="10"/>
      <c r="N131" s="10"/>
      <c r="O131" s="10"/>
      <c r="P131" s="10"/>
      <c r="Q131" s="10"/>
      <c r="R131" s="10"/>
      <c r="S131" s="10"/>
    </row>
    <row r="132" spans="10:19">
      <c r="J132" s="10"/>
      <c r="K132" s="1127"/>
      <c r="L132" s="10"/>
      <c r="M132" s="10"/>
      <c r="N132" s="10"/>
      <c r="O132" s="10"/>
      <c r="P132" s="10"/>
      <c r="Q132" s="10"/>
      <c r="R132" s="10"/>
      <c r="S132" s="10"/>
    </row>
    <row r="133" spans="10:19">
      <c r="J133" s="10"/>
      <c r="K133" s="1127"/>
      <c r="L133" s="10"/>
      <c r="M133" s="10"/>
      <c r="N133" s="10"/>
      <c r="O133" s="10"/>
      <c r="P133" s="10"/>
      <c r="Q133" s="10"/>
      <c r="R133" s="10"/>
      <c r="S133" s="10"/>
    </row>
    <row r="134" spans="10:19">
      <c r="J134" s="10"/>
      <c r="K134" s="1127"/>
      <c r="L134" s="10"/>
      <c r="M134" s="10"/>
      <c r="N134" s="10"/>
      <c r="O134" s="10"/>
      <c r="P134" s="10"/>
      <c r="Q134" s="10"/>
      <c r="R134" s="10"/>
      <c r="S134" s="10"/>
    </row>
    <row r="135" spans="10:19">
      <c r="J135" s="10"/>
      <c r="K135" s="1127"/>
      <c r="L135" s="10"/>
      <c r="M135" s="10"/>
      <c r="N135" s="10"/>
      <c r="O135" s="10"/>
      <c r="P135" s="10"/>
      <c r="Q135" s="10"/>
      <c r="R135" s="10"/>
      <c r="S135" s="10"/>
    </row>
    <row r="136" spans="10:19">
      <c r="J136" s="10"/>
      <c r="K136" s="1127"/>
      <c r="L136" s="10"/>
      <c r="M136" s="10"/>
      <c r="N136" s="10"/>
      <c r="O136" s="10"/>
      <c r="P136" s="10"/>
      <c r="Q136" s="10"/>
      <c r="R136" s="10"/>
      <c r="S136" s="10"/>
    </row>
    <row r="137" spans="10:19">
      <c r="J137" s="10"/>
      <c r="K137" s="1127"/>
      <c r="L137" s="10"/>
      <c r="M137" s="10"/>
      <c r="N137" s="10"/>
      <c r="O137" s="10"/>
      <c r="P137" s="10"/>
      <c r="Q137" s="10"/>
      <c r="R137" s="10"/>
      <c r="S137" s="10"/>
    </row>
    <row r="138" spans="10:19">
      <c r="J138" s="10"/>
      <c r="K138" s="1127"/>
      <c r="L138" s="10"/>
      <c r="M138" s="10"/>
      <c r="N138" s="10"/>
      <c r="O138" s="10"/>
      <c r="P138" s="10"/>
      <c r="Q138" s="10"/>
      <c r="R138" s="10"/>
      <c r="S138" s="10"/>
    </row>
    <row r="139" spans="10:19">
      <c r="J139" s="10"/>
      <c r="K139" s="1127"/>
      <c r="L139" s="10"/>
      <c r="M139" s="10"/>
      <c r="N139" s="10"/>
      <c r="O139" s="10"/>
      <c r="P139" s="10"/>
      <c r="Q139" s="10"/>
      <c r="R139" s="10"/>
      <c r="S139" s="10"/>
    </row>
    <row r="140" spans="10:19">
      <c r="J140" s="10"/>
      <c r="K140" s="1127"/>
      <c r="L140" s="10"/>
      <c r="M140" s="10"/>
      <c r="N140" s="10"/>
      <c r="O140" s="10"/>
      <c r="P140" s="10"/>
      <c r="Q140" s="10"/>
      <c r="R140" s="10"/>
      <c r="S140" s="10"/>
    </row>
    <row r="141" spans="10:19">
      <c r="J141" s="10"/>
      <c r="K141" s="1127"/>
      <c r="L141" s="10"/>
      <c r="M141" s="10"/>
      <c r="N141" s="10"/>
      <c r="O141" s="10"/>
      <c r="P141" s="10"/>
      <c r="Q141" s="10"/>
      <c r="R141" s="10"/>
      <c r="S141" s="10"/>
    </row>
    <row r="142" spans="10:19">
      <c r="J142" s="10"/>
      <c r="K142" s="1127"/>
      <c r="L142" s="10"/>
      <c r="M142" s="10"/>
      <c r="N142" s="10"/>
      <c r="O142" s="10"/>
      <c r="P142" s="10"/>
      <c r="Q142" s="10"/>
      <c r="R142" s="10"/>
      <c r="S142" s="10"/>
    </row>
    <row r="143" spans="10:19">
      <c r="J143" s="10"/>
      <c r="K143" s="1127"/>
      <c r="L143" s="10"/>
      <c r="M143" s="10"/>
      <c r="N143" s="10"/>
      <c r="O143" s="10"/>
      <c r="P143" s="10"/>
      <c r="Q143" s="10"/>
      <c r="R143" s="10"/>
      <c r="S143" s="10"/>
    </row>
    <row r="144" spans="10:19">
      <c r="J144" s="10"/>
      <c r="K144" s="1127"/>
      <c r="L144" s="10"/>
      <c r="M144" s="10"/>
      <c r="N144" s="10"/>
      <c r="O144" s="10"/>
      <c r="P144" s="10"/>
      <c r="Q144" s="10"/>
      <c r="R144" s="10"/>
      <c r="S144" s="10"/>
    </row>
    <row r="145" spans="10:19">
      <c r="J145" s="10"/>
      <c r="K145" s="1127"/>
      <c r="L145" s="10"/>
      <c r="M145" s="10"/>
      <c r="N145" s="10"/>
      <c r="O145" s="10"/>
      <c r="P145" s="10"/>
      <c r="Q145" s="10"/>
      <c r="R145" s="10"/>
      <c r="S145" s="10"/>
    </row>
    <row r="146" spans="10:19">
      <c r="J146" s="10"/>
      <c r="K146" s="1127"/>
      <c r="L146" s="10"/>
      <c r="M146" s="10"/>
      <c r="N146" s="10"/>
      <c r="O146" s="10"/>
      <c r="P146" s="10"/>
      <c r="Q146" s="10"/>
      <c r="R146" s="10"/>
      <c r="S146" s="10"/>
    </row>
    <row r="147" spans="10:19">
      <c r="J147" s="10"/>
      <c r="K147" s="1127"/>
      <c r="L147" s="10"/>
      <c r="M147" s="10"/>
      <c r="N147" s="10"/>
      <c r="O147" s="10"/>
      <c r="P147" s="10"/>
      <c r="Q147" s="10"/>
      <c r="R147" s="10"/>
      <c r="S147" s="10"/>
    </row>
    <row r="148" spans="10:19">
      <c r="J148" s="10"/>
      <c r="K148" s="1127"/>
      <c r="L148" s="10"/>
      <c r="M148" s="10"/>
      <c r="N148" s="10"/>
      <c r="O148" s="10"/>
      <c r="P148" s="10"/>
      <c r="Q148" s="10"/>
      <c r="R148" s="10"/>
      <c r="S148" s="10"/>
    </row>
    <row r="149" spans="10:19">
      <c r="J149" s="10"/>
      <c r="K149" s="1127"/>
      <c r="L149" s="10"/>
      <c r="M149" s="10"/>
      <c r="N149" s="10"/>
      <c r="O149" s="10"/>
      <c r="P149" s="10"/>
      <c r="Q149" s="10"/>
      <c r="R149" s="10"/>
      <c r="S149" s="10"/>
    </row>
    <row r="150" spans="10:19">
      <c r="J150" s="10"/>
      <c r="K150" s="1127"/>
      <c r="L150" s="10"/>
      <c r="M150" s="10"/>
      <c r="N150" s="10"/>
      <c r="O150" s="10"/>
      <c r="P150" s="10"/>
      <c r="Q150" s="10"/>
      <c r="R150" s="10"/>
      <c r="S150" s="10"/>
    </row>
    <row r="151" spans="10:19">
      <c r="J151" s="10"/>
      <c r="K151" s="1127"/>
      <c r="L151" s="10"/>
      <c r="M151" s="10"/>
      <c r="N151" s="10"/>
      <c r="O151" s="10"/>
      <c r="P151" s="10"/>
      <c r="Q151" s="10"/>
      <c r="R151" s="10"/>
      <c r="S151" s="10"/>
    </row>
    <row r="152" spans="10:19">
      <c r="J152" s="10"/>
      <c r="K152" s="1127"/>
      <c r="L152" s="10"/>
      <c r="M152" s="10"/>
      <c r="N152" s="10"/>
      <c r="O152" s="10"/>
      <c r="P152" s="10"/>
      <c r="Q152" s="10"/>
      <c r="R152" s="10"/>
      <c r="S152" s="10"/>
    </row>
    <row r="153" spans="10:19">
      <c r="J153" s="10"/>
      <c r="K153" s="1127"/>
      <c r="L153" s="10"/>
      <c r="M153" s="10"/>
      <c r="N153" s="10"/>
      <c r="O153" s="10"/>
      <c r="P153" s="10"/>
      <c r="Q153" s="10"/>
      <c r="R153" s="10"/>
      <c r="S153" s="10"/>
    </row>
    <row r="154" spans="10:19">
      <c r="J154" s="10"/>
      <c r="K154" s="1127"/>
      <c r="L154" s="10"/>
      <c r="M154" s="10"/>
      <c r="N154" s="10"/>
      <c r="O154" s="10"/>
      <c r="P154" s="10"/>
      <c r="Q154" s="10"/>
      <c r="R154" s="10"/>
      <c r="S154" s="10"/>
    </row>
    <row r="155" spans="10:19">
      <c r="J155" s="10"/>
      <c r="K155" s="1127"/>
      <c r="L155" s="10"/>
      <c r="M155" s="10"/>
      <c r="N155" s="10"/>
      <c r="O155" s="10"/>
      <c r="P155" s="10"/>
      <c r="Q155" s="10"/>
      <c r="R155" s="10"/>
      <c r="S155" s="10"/>
    </row>
    <row r="156" spans="10:19">
      <c r="J156" s="10"/>
      <c r="K156" s="1127"/>
      <c r="L156" s="10"/>
      <c r="M156" s="10"/>
      <c r="N156" s="10"/>
      <c r="O156" s="10"/>
      <c r="P156" s="10"/>
      <c r="Q156" s="10"/>
      <c r="R156" s="10"/>
      <c r="S156" s="10"/>
    </row>
    <row r="157" spans="10:19">
      <c r="J157" s="10"/>
      <c r="K157" s="1127"/>
      <c r="L157" s="10"/>
      <c r="M157" s="10"/>
      <c r="N157" s="10"/>
      <c r="O157" s="10"/>
      <c r="P157" s="10"/>
      <c r="Q157" s="10"/>
      <c r="R157" s="10"/>
      <c r="S157" s="10"/>
    </row>
    <row r="158" spans="10:19">
      <c r="J158" s="10"/>
      <c r="K158" s="1127"/>
      <c r="L158" s="10"/>
      <c r="M158" s="10"/>
      <c r="N158" s="10"/>
      <c r="O158" s="10"/>
      <c r="P158" s="10"/>
      <c r="Q158" s="10"/>
      <c r="R158" s="10"/>
      <c r="S158" s="10"/>
    </row>
    <row r="159" spans="10:19">
      <c r="J159" s="10"/>
      <c r="K159" s="1127"/>
      <c r="L159" s="10"/>
      <c r="M159" s="10"/>
      <c r="N159" s="10"/>
      <c r="O159" s="10"/>
      <c r="P159" s="10"/>
      <c r="Q159" s="10"/>
      <c r="R159" s="10"/>
      <c r="S159" s="10"/>
    </row>
    <row r="160" spans="10:19">
      <c r="J160" s="10"/>
      <c r="K160" s="1127"/>
      <c r="L160" s="10"/>
      <c r="M160" s="10"/>
      <c r="N160" s="10"/>
      <c r="O160" s="10"/>
      <c r="P160" s="10"/>
      <c r="Q160" s="10"/>
      <c r="R160" s="10"/>
      <c r="S160" s="10"/>
    </row>
    <row r="161" spans="10:19">
      <c r="J161" s="10"/>
      <c r="K161" s="1127"/>
      <c r="L161" s="10"/>
      <c r="M161" s="10"/>
      <c r="N161" s="10"/>
      <c r="O161" s="10"/>
      <c r="P161" s="10"/>
      <c r="Q161" s="10"/>
      <c r="R161" s="10"/>
      <c r="S161" s="10"/>
    </row>
    <row r="162" spans="10:19">
      <c r="J162" s="10"/>
      <c r="K162" s="1127"/>
      <c r="L162" s="10"/>
      <c r="M162" s="10"/>
      <c r="N162" s="10"/>
      <c r="O162" s="10"/>
      <c r="P162" s="10"/>
      <c r="Q162" s="10"/>
      <c r="R162" s="10"/>
      <c r="S162" s="10"/>
    </row>
    <row r="163" spans="10:19">
      <c r="J163" s="10"/>
      <c r="K163" s="1127"/>
      <c r="L163" s="10"/>
      <c r="M163" s="10"/>
      <c r="N163" s="10"/>
      <c r="O163" s="10"/>
      <c r="P163" s="10"/>
      <c r="Q163" s="10"/>
      <c r="R163" s="10"/>
      <c r="S163" s="10"/>
    </row>
    <row r="164" spans="10:19">
      <c r="J164" s="10"/>
      <c r="K164" s="1127"/>
      <c r="L164" s="10"/>
      <c r="M164" s="10"/>
      <c r="N164" s="10"/>
      <c r="O164" s="10"/>
      <c r="P164" s="10"/>
      <c r="Q164" s="10"/>
      <c r="R164" s="10"/>
      <c r="S164" s="10"/>
    </row>
    <row r="165" spans="10:19">
      <c r="J165" s="10"/>
      <c r="K165" s="1127"/>
      <c r="L165" s="10"/>
      <c r="M165" s="10"/>
      <c r="N165" s="10"/>
      <c r="O165" s="10"/>
      <c r="P165" s="10"/>
      <c r="Q165" s="10"/>
      <c r="R165" s="10"/>
      <c r="S165" s="10"/>
    </row>
    <row r="166" spans="10:19">
      <c r="J166" s="10"/>
      <c r="K166" s="1127"/>
      <c r="L166" s="10"/>
      <c r="M166" s="10"/>
      <c r="N166" s="10"/>
      <c r="O166" s="10"/>
      <c r="P166" s="10"/>
      <c r="Q166" s="10"/>
      <c r="R166" s="10"/>
      <c r="S166" s="10"/>
    </row>
    <row r="167" spans="10:19">
      <c r="J167" s="10"/>
      <c r="K167" s="1127"/>
      <c r="L167" s="10"/>
      <c r="M167" s="10"/>
      <c r="N167" s="10"/>
      <c r="O167" s="10"/>
      <c r="P167" s="10"/>
      <c r="Q167" s="10"/>
      <c r="R167" s="10"/>
      <c r="S167" s="10"/>
    </row>
    <row r="168" spans="10:19">
      <c r="J168" s="10"/>
      <c r="K168" s="1127"/>
      <c r="L168" s="10"/>
      <c r="M168" s="10"/>
      <c r="N168" s="10"/>
      <c r="O168" s="10"/>
      <c r="P168" s="10"/>
      <c r="Q168" s="10"/>
      <c r="R168" s="10"/>
      <c r="S168" s="10"/>
    </row>
    <row r="169" spans="10:19">
      <c r="J169" s="10"/>
      <c r="K169" s="1127"/>
      <c r="L169" s="10"/>
      <c r="M169" s="10"/>
      <c r="N169" s="10"/>
      <c r="O169" s="10"/>
      <c r="P169" s="10"/>
      <c r="Q169" s="10"/>
      <c r="R169" s="10"/>
      <c r="S169" s="10"/>
    </row>
    <row r="170" spans="10:19">
      <c r="J170" s="10"/>
      <c r="K170" s="1127"/>
      <c r="L170" s="10"/>
      <c r="M170" s="10"/>
      <c r="N170" s="10"/>
      <c r="O170" s="10"/>
      <c r="P170" s="10"/>
      <c r="Q170" s="10"/>
      <c r="R170" s="10"/>
      <c r="S170" s="10"/>
    </row>
    <row r="171" spans="10:19">
      <c r="J171" s="10"/>
      <c r="K171" s="1127"/>
      <c r="L171" s="10"/>
      <c r="M171" s="10"/>
      <c r="N171" s="10"/>
      <c r="O171" s="10"/>
      <c r="P171" s="10"/>
      <c r="Q171" s="10"/>
      <c r="R171" s="10"/>
      <c r="S171" s="10"/>
    </row>
    <row r="172" spans="10:19">
      <c r="J172" s="10"/>
      <c r="K172" s="1127"/>
      <c r="L172" s="10"/>
      <c r="M172" s="10"/>
      <c r="N172" s="10"/>
      <c r="O172" s="10"/>
      <c r="P172" s="10"/>
      <c r="Q172" s="10"/>
      <c r="R172" s="10"/>
      <c r="S172" s="10"/>
    </row>
    <row r="173" spans="10:19">
      <c r="J173" s="10"/>
      <c r="K173" s="1127"/>
      <c r="L173" s="10"/>
      <c r="M173" s="10"/>
      <c r="N173" s="10"/>
      <c r="O173" s="10"/>
      <c r="P173" s="10"/>
      <c r="Q173" s="10"/>
      <c r="R173" s="10"/>
      <c r="S173" s="10"/>
    </row>
    <row r="174" spans="10:19">
      <c r="J174" s="10"/>
      <c r="K174" s="1127"/>
      <c r="L174" s="10"/>
      <c r="M174" s="10"/>
      <c r="N174" s="10"/>
      <c r="O174" s="10"/>
      <c r="P174" s="10"/>
      <c r="Q174" s="10"/>
      <c r="R174" s="10"/>
      <c r="S174" s="10"/>
    </row>
    <row r="175" spans="10:19">
      <c r="J175" s="10"/>
      <c r="K175" s="1127"/>
      <c r="L175" s="10"/>
      <c r="M175" s="10"/>
      <c r="N175" s="10"/>
      <c r="O175" s="10"/>
      <c r="P175" s="10"/>
      <c r="Q175" s="10"/>
      <c r="R175" s="10"/>
      <c r="S175" s="10"/>
    </row>
    <row r="176" spans="10:19">
      <c r="J176" s="10"/>
      <c r="K176" s="1127"/>
      <c r="L176" s="10"/>
      <c r="M176" s="10"/>
      <c r="N176" s="10"/>
      <c r="O176" s="10"/>
      <c r="P176" s="10"/>
      <c r="Q176" s="10"/>
      <c r="R176" s="10"/>
      <c r="S176" s="10"/>
    </row>
    <row r="177" spans="10:19">
      <c r="J177" s="10"/>
      <c r="K177" s="1127"/>
      <c r="L177" s="10"/>
      <c r="M177" s="10"/>
      <c r="N177" s="10"/>
      <c r="O177" s="10"/>
      <c r="P177" s="10"/>
      <c r="Q177" s="10"/>
      <c r="R177" s="10"/>
      <c r="S177" s="10"/>
    </row>
    <row r="178" spans="10:19">
      <c r="J178" s="10"/>
      <c r="K178" s="1127"/>
      <c r="L178" s="10"/>
      <c r="M178" s="10"/>
      <c r="N178" s="10"/>
      <c r="O178" s="10"/>
      <c r="P178" s="10"/>
      <c r="Q178" s="10"/>
      <c r="R178" s="10"/>
      <c r="S178" s="10"/>
    </row>
    <row r="179" spans="10:19">
      <c r="J179" s="10"/>
      <c r="K179" s="1127"/>
      <c r="L179" s="10"/>
      <c r="M179" s="10"/>
      <c r="N179" s="10"/>
      <c r="O179" s="10"/>
      <c r="P179" s="10"/>
      <c r="Q179" s="10"/>
      <c r="R179" s="10"/>
      <c r="S179" s="10"/>
    </row>
    <row r="180" spans="10:19">
      <c r="J180" s="10"/>
      <c r="K180" s="1127"/>
      <c r="L180" s="10"/>
      <c r="M180" s="10"/>
      <c r="N180" s="10"/>
      <c r="O180" s="10"/>
      <c r="P180" s="10"/>
      <c r="Q180" s="10"/>
      <c r="R180" s="10"/>
      <c r="S180" s="10"/>
    </row>
    <row r="181" spans="10:19">
      <c r="J181" s="10"/>
      <c r="K181" s="1127"/>
      <c r="L181" s="10"/>
      <c r="M181" s="10"/>
      <c r="N181" s="10"/>
      <c r="O181" s="10"/>
      <c r="P181" s="10"/>
      <c r="Q181" s="10"/>
      <c r="R181" s="10"/>
      <c r="S181" s="10"/>
    </row>
    <row r="182" spans="10:19">
      <c r="J182" s="10"/>
      <c r="K182" s="1127"/>
      <c r="L182" s="10"/>
      <c r="M182" s="10"/>
      <c r="N182" s="10"/>
      <c r="O182" s="10"/>
      <c r="P182" s="10"/>
      <c r="Q182" s="10"/>
      <c r="R182" s="10"/>
      <c r="S182" s="10"/>
    </row>
    <row r="183" spans="10:19">
      <c r="J183" s="10"/>
      <c r="K183" s="1127"/>
      <c r="L183" s="10"/>
      <c r="M183" s="10"/>
      <c r="N183" s="10"/>
      <c r="O183" s="10"/>
      <c r="P183" s="10"/>
      <c r="Q183" s="10"/>
      <c r="R183" s="10"/>
      <c r="S183" s="10"/>
    </row>
    <row r="184" spans="10:19">
      <c r="J184" s="10"/>
      <c r="K184" s="1127"/>
      <c r="L184" s="10"/>
      <c r="M184" s="10"/>
      <c r="N184" s="10"/>
      <c r="O184" s="10"/>
      <c r="P184" s="10"/>
      <c r="Q184" s="10"/>
      <c r="R184" s="10"/>
      <c r="S184" s="10"/>
    </row>
    <row r="185" spans="10:19">
      <c r="J185" s="10"/>
      <c r="K185" s="1127"/>
      <c r="L185" s="10"/>
      <c r="M185" s="10"/>
      <c r="N185" s="10"/>
      <c r="O185" s="10"/>
      <c r="P185" s="10"/>
      <c r="Q185" s="10"/>
      <c r="R185" s="10"/>
      <c r="S185" s="10"/>
    </row>
    <row r="186" spans="10:19">
      <c r="J186" s="10"/>
      <c r="K186" s="1127"/>
      <c r="L186" s="10"/>
      <c r="M186" s="10"/>
      <c r="N186" s="10"/>
      <c r="O186" s="10"/>
      <c r="P186" s="10"/>
      <c r="Q186" s="10"/>
      <c r="R186" s="10"/>
      <c r="S186" s="10"/>
    </row>
    <row r="187" spans="10:19">
      <c r="J187" s="10"/>
      <c r="K187" s="1127"/>
      <c r="L187" s="10"/>
      <c r="M187" s="10"/>
      <c r="N187" s="10"/>
      <c r="O187" s="10"/>
      <c r="P187" s="10"/>
      <c r="Q187" s="10"/>
      <c r="R187" s="10"/>
      <c r="S187" s="10"/>
    </row>
    <row r="188" spans="10:19">
      <c r="J188" s="10"/>
      <c r="K188" s="1127"/>
      <c r="L188" s="10"/>
      <c r="M188" s="10"/>
      <c r="N188" s="10"/>
      <c r="O188" s="10"/>
      <c r="P188" s="10"/>
      <c r="Q188" s="10"/>
      <c r="R188" s="10"/>
      <c r="S188" s="10"/>
    </row>
    <row r="189" spans="10:19">
      <c r="J189" s="10"/>
      <c r="K189" s="1127"/>
      <c r="L189" s="10"/>
      <c r="M189" s="10"/>
      <c r="N189" s="10"/>
      <c r="O189" s="10"/>
      <c r="P189" s="10"/>
      <c r="Q189" s="10"/>
      <c r="R189" s="10"/>
      <c r="S189" s="10"/>
    </row>
    <row r="190" spans="10:19">
      <c r="J190" s="10"/>
      <c r="K190" s="1127"/>
      <c r="L190" s="10"/>
      <c r="M190" s="10"/>
      <c r="N190" s="10"/>
      <c r="O190" s="10"/>
      <c r="P190" s="10"/>
      <c r="Q190" s="10"/>
      <c r="R190" s="10"/>
      <c r="S190" s="10"/>
    </row>
    <row r="191" spans="10:19">
      <c r="J191" s="10"/>
      <c r="K191" s="1127"/>
      <c r="L191" s="10"/>
      <c r="M191" s="10"/>
      <c r="N191" s="10"/>
      <c r="O191" s="10"/>
      <c r="P191" s="10"/>
      <c r="Q191" s="10"/>
      <c r="R191" s="10"/>
      <c r="S191" s="10"/>
    </row>
    <row r="192" spans="10:19">
      <c r="J192" s="10"/>
      <c r="K192" s="1127"/>
      <c r="L192" s="10"/>
      <c r="M192" s="10"/>
      <c r="N192" s="10"/>
      <c r="O192" s="10"/>
      <c r="P192" s="10"/>
      <c r="Q192" s="10"/>
      <c r="R192" s="10"/>
      <c r="S192" s="10"/>
    </row>
    <row r="193" spans="10:19">
      <c r="J193" s="10"/>
      <c r="K193" s="1127"/>
      <c r="L193" s="10"/>
      <c r="M193" s="10"/>
      <c r="N193" s="10"/>
      <c r="O193" s="10"/>
      <c r="P193" s="10"/>
      <c r="Q193" s="10"/>
      <c r="R193" s="10"/>
      <c r="S193" s="10"/>
    </row>
    <row r="194" spans="10:19">
      <c r="J194" s="10"/>
      <c r="K194" s="1127"/>
      <c r="L194" s="10"/>
      <c r="M194" s="10"/>
      <c r="N194" s="10"/>
      <c r="O194" s="10"/>
      <c r="P194" s="10"/>
      <c r="Q194" s="10"/>
      <c r="R194" s="10"/>
      <c r="S194" s="10"/>
    </row>
    <row r="195" spans="10:19">
      <c r="J195" s="10"/>
      <c r="K195" s="1127"/>
      <c r="L195" s="10"/>
      <c r="M195" s="10"/>
      <c r="N195" s="10"/>
      <c r="O195" s="10"/>
      <c r="P195" s="10"/>
      <c r="Q195" s="10"/>
      <c r="R195" s="10"/>
      <c r="S195" s="10"/>
    </row>
    <row r="196" spans="10:19">
      <c r="J196" s="10"/>
      <c r="K196" s="1127"/>
      <c r="L196" s="10"/>
      <c r="M196" s="10"/>
      <c r="N196" s="10"/>
      <c r="O196" s="10"/>
      <c r="P196" s="10"/>
      <c r="Q196" s="10"/>
      <c r="R196" s="10"/>
      <c r="S196" s="10"/>
    </row>
    <row r="197" spans="10:19">
      <c r="J197" s="10"/>
      <c r="K197" s="1127"/>
      <c r="L197" s="10"/>
      <c r="M197" s="10"/>
      <c r="N197" s="10"/>
      <c r="O197" s="10"/>
      <c r="P197" s="10"/>
      <c r="Q197" s="10"/>
      <c r="R197" s="10"/>
      <c r="S197" s="10"/>
    </row>
    <row r="198" spans="10:19">
      <c r="J198" s="10"/>
      <c r="K198" s="1127"/>
      <c r="L198" s="10"/>
      <c r="M198" s="10"/>
      <c r="N198" s="10"/>
      <c r="O198" s="10"/>
      <c r="P198" s="10"/>
      <c r="Q198" s="10"/>
      <c r="R198" s="10"/>
      <c r="S198" s="10"/>
    </row>
    <row r="199" spans="10:19">
      <c r="J199" s="10"/>
      <c r="K199" s="1127"/>
      <c r="L199" s="10"/>
      <c r="M199" s="10"/>
      <c r="N199" s="10"/>
      <c r="O199" s="10"/>
      <c r="P199" s="10"/>
      <c r="Q199" s="10"/>
      <c r="R199" s="10"/>
      <c r="S199" s="10"/>
    </row>
    <row r="200" spans="10:19">
      <c r="J200" s="10"/>
      <c r="K200" s="1127"/>
      <c r="L200" s="10"/>
      <c r="M200" s="10"/>
      <c r="N200" s="10"/>
      <c r="O200" s="10"/>
      <c r="P200" s="10"/>
      <c r="Q200" s="10"/>
      <c r="R200" s="10"/>
      <c r="S200" s="10"/>
    </row>
    <row r="201" spans="10:19">
      <c r="J201" s="10"/>
      <c r="K201" s="1127"/>
      <c r="L201" s="10"/>
      <c r="M201" s="10"/>
      <c r="N201" s="10"/>
      <c r="O201" s="10"/>
      <c r="P201" s="10"/>
      <c r="Q201" s="10"/>
      <c r="R201" s="10"/>
      <c r="S201" s="10"/>
    </row>
    <row r="202" spans="10:19">
      <c r="J202" s="10"/>
      <c r="K202" s="1127"/>
      <c r="L202" s="10"/>
      <c r="M202" s="10"/>
      <c r="N202" s="10"/>
      <c r="O202" s="10"/>
      <c r="P202" s="10"/>
      <c r="Q202" s="10"/>
      <c r="R202" s="10"/>
      <c r="S202" s="10"/>
    </row>
    <row r="203" spans="10:19">
      <c r="J203" s="10"/>
      <c r="K203" s="1127"/>
      <c r="L203" s="10"/>
      <c r="M203" s="10"/>
      <c r="N203" s="10"/>
      <c r="O203" s="10"/>
      <c r="P203" s="10"/>
      <c r="Q203" s="10"/>
      <c r="R203" s="10"/>
      <c r="S203" s="10"/>
    </row>
    <row r="204" spans="10:19">
      <c r="J204" s="10"/>
      <c r="K204" s="1127"/>
      <c r="L204" s="10"/>
      <c r="M204" s="10"/>
      <c r="N204" s="10"/>
      <c r="O204" s="10"/>
      <c r="P204" s="10"/>
      <c r="Q204" s="10"/>
      <c r="R204" s="10"/>
      <c r="S204" s="10"/>
    </row>
    <row r="205" spans="10:19">
      <c r="J205" s="10"/>
      <c r="K205" s="1127"/>
      <c r="L205" s="10"/>
      <c r="M205" s="10"/>
      <c r="N205" s="10"/>
      <c r="O205" s="10"/>
      <c r="P205" s="10"/>
      <c r="Q205" s="10"/>
      <c r="R205" s="10"/>
      <c r="S205" s="10"/>
    </row>
    <row r="206" spans="10:19">
      <c r="J206" s="10"/>
      <c r="K206" s="1127"/>
      <c r="L206" s="10"/>
      <c r="M206" s="10"/>
      <c r="N206" s="10"/>
      <c r="O206" s="10"/>
      <c r="P206" s="10"/>
      <c r="Q206" s="10"/>
      <c r="R206" s="10"/>
      <c r="S206" s="10"/>
    </row>
    <row r="207" spans="10:19">
      <c r="J207" s="10"/>
      <c r="K207" s="1127"/>
      <c r="L207" s="10"/>
      <c r="M207" s="10"/>
      <c r="N207" s="10"/>
      <c r="O207" s="10"/>
      <c r="P207" s="10"/>
      <c r="Q207" s="10"/>
      <c r="R207" s="10"/>
      <c r="S207" s="10"/>
    </row>
    <row r="208" spans="10:19">
      <c r="J208" s="10"/>
      <c r="K208" s="1127"/>
      <c r="L208" s="10"/>
      <c r="M208" s="10"/>
      <c r="N208" s="10"/>
      <c r="O208" s="10"/>
      <c r="P208" s="10"/>
      <c r="Q208" s="10"/>
      <c r="R208" s="10"/>
      <c r="S208" s="10"/>
    </row>
    <row r="209" spans="10:19">
      <c r="J209" s="10"/>
      <c r="K209" s="1127"/>
      <c r="L209" s="10"/>
      <c r="M209" s="10"/>
      <c r="N209" s="10"/>
      <c r="O209" s="10"/>
      <c r="P209" s="10"/>
      <c r="Q209" s="10"/>
      <c r="R209" s="10"/>
      <c r="S209" s="10"/>
    </row>
    <row r="210" spans="10:19">
      <c r="J210" s="10"/>
      <c r="K210" s="1127"/>
      <c r="L210" s="10"/>
      <c r="M210" s="10"/>
      <c r="N210" s="10"/>
      <c r="O210" s="10"/>
      <c r="P210" s="10"/>
      <c r="Q210" s="10"/>
      <c r="R210" s="10"/>
      <c r="S210" s="10"/>
    </row>
    <row r="211" spans="10:19">
      <c r="J211" s="10"/>
      <c r="K211" s="1127"/>
      <c r="L211" s="10"/>
      <c r="M211" s="10"/>
      <c r="N211" s="10"/>
      <c r="O211" s="10"/>
      <c r="P211" s="10"/>
      <c r="Q211" s="10"/>
      <c r="R211" s="10"/>
      <c r="S211" s="10"/>
    </row>
    <row r="212" spans="10:19">
      <c r="J212" s="10"/>
      <c r="K212" s="1127"/>
      <c r="L212" s="10"/>
      <c r="M212" s="10"/>
      <c r="N212" s="10"/>
      <c r="O212" s="10"/>
      <c r="P212" s="10"/>
      <c r="Q212" s="10"/>
      <c r="R212" s="10"/>
      <c r="S212" s="10"/>
    </row>
    <row r="213" spans="10:19">
      <c r="J213" s="10"/>
      <c r="K213" s="1127"/>
      <c r="L213" s="10"/>
      <c r="M213" s="10"/>
      <c r="N213" s="10"/>
      <c r="O213" s="10"/>
      <c r="P213" s="10"/>
      <c r="Q213" s="10"/>
      <c r="R213" s="10"/>
      <c r="S213" s="10"/>
    </row>
    <row r="214" spans="10:19">
      <c r="J214" s="10"/>
      <c r="K214" s="1127"/>
      <c r="L214" s="10"/>
      <c r="M214" s="10"/>
      <c r="N214" s="10"/>
      <c r="O214" s="10"/>
      <c r="P214" s="10"/>
      <c r="Q214" s="10"/>
      <c r="R214" s="10"/>
      <c r="S214" s="10"/>
    </row>
    <row r="215" spans="10:19">
      <c r="J215" s="10"/>
      <c r="K215" s="1127"/>
      <c r="L215" s="10"/>
      <c r="M215" s="10"/>
      <c r="N215" s="10"/>
      <c r="O215" s="10"/>
      <c r="P215" s="10"/>
      <c r="Q215" s="10"/>
      <c r="R215" s="10"/>
      <c r="S215" s="10"/>
    </row>
    <row r="216" spans="10:19">
      <c r="J216" s="10"/>
      <c r="K216" s="1127"/>
      <c r="L216" s="10"/>
      <c r="M216" s="10"/>
      <c r="N216" s="10"/>
      <c r="O216" s="10"/>
      <c r="P216" s="10"/>
      <c r="Q216" s="10"/>
      <c r="R216" s="10"/>
      <c r="S216" s="10"/>
    </row>
    <row r="217" spans="10:19">
      <c r="J217" s="10"/>
      <c r="K217" s="1127"/>
      <c r="L217" s="10"/>
      <c r="M217" s="10"/>
      <c r="N217" s="10"/>
      <c r="O217" s="10"/>
      <c r="P217" s="10"/>
      <c r="Q217" s="10"/>
      <c r="R217" s="10"/>
      <c r="S217" s="10"/>
    </row>
    <row r="218" spans="10:19">
      <c r="J218" s="10"/>
      <c r="K218" s="1127"/>
      <c r="L218" s="10"/>
      <c r="M218" s="10"/>
      <c r="N218" s="10"/>
      <c r="O218" s="10"/>
      <c r="P218" s="10"/>
      <c r="Q218" s="10"/>
      <c r="R218" s="10"/>
      <c r="S218" s="10"/>
    </row>
    <row r="219" spans="10:19">
      <c r="J219" s="10"/>
      <c r="K219" s="1127"/>
      <c r="L219" s="10"/>
      <c r="M219" s="10"/>
      <c r="N219" s="10"/>
      <c r="O219" s="10"/>
      <c r="P219" s="10"/>
      <c r="Q219" s="10"/>
      <c r="R219" s="10"/>
      <c r="S219" s="10"/>
    </row>
    <row r="220" spans="10:19">
      <c r="J220" s="10"/>
      <c r="K220" s="1127"/>
      <c r="L220" s="10"/>
      <c r="M220" s="10"/>
      <c r="N220" s="10"/>
      <c r="O220" s="10"/>
      <c r="P220" s="10"/>
      <c r="Q220" s="10"/>
      <c r="R220" s="10"/>
      <c r="S220" s="10"/>
    </row>
    <row r="221" spans="10:19">
      <c r="J221" s="10"/>
      <c r="K221" s="1127"/>
      <c r="L221" s="10"/>
      <c r="M221" s="10"/>
      <c r="N221" s="10"/>
      <c r="O221" s="10"/>
      <c r="P221" s="10"/>
      <c r="Q221" s="10"/>
      <c r="R221" s="10"/>
      <c r="S221" s="10"/>
    </row>
    <row r="222" spans="10:19">
      <c r="J222" s="10"/>
      <c r="K222" s="1127"/>
      <c r="L222" s="10"/>
      <c r="M222" s="10"/>
      <c r="N222" s="10"/>
      <c r="O222" s="10"/>
      <c r="P222" s="10"/>
      <c r="Q222" s="10"/>
      <c r="R222" s="10"/>
      <c r="S222" s="10"/>
    </row>
    <row r="223" spans="10:19">
      <c r="J223" s="10"/>
      <c r="K223" s="1127"/>
      <c r="L223" s="10"/>
      <c r="M223" s="10"/>
      <c r="N223" s="10"/>
      <c r="O223" s="10"/>
      <c r="P223" s="10"/>
      <c r="Q223" s="10"/>
      <c r="R223" s="10"/>
      <c r="S223" s="10"/>
    </row>
    <row r="224" spans="10:19">
      <c r="J224" s="10"/>
      <c r="K224" s="1127"/>
      <c r="L224" s="10"/>
      <c r="M224" s="10"/>
      <c r="N224" s="10"/>
      <c r="O224" s="10"/>
      <c r="P224" s="10"/>
      <c r="Q224" s="10"/>
      <c r="R224" s="10"/>
      <c r="S224" s="10"/>
    </row>
    <row r="225" spans="10:19">
      <c r="J225" s="10"/>
      <c r="K225" s="1127"/>
      <c r="L225" s="10"/>
      <c r="M225" s="10"/>
      <c r="N225" s="10"/>
      <c r="O225" s="10"/>
      <c r="P225" s="10"/>
      <c r="Q225" s="10"/>
      <c r="R225" s="10"/>
      <c r="S225" s="10"/>
    </row>
    <row r="226" spans="10:19">
      <c r="J226" s="10"/>
      <c r="K226" s="1127"/>
      <c r="L226" s="10"/>
      <c r="M226" s="10"/>
      <c r="N226" s="10"/>
      <c r="O226" s="10"/>
      <c r="P226" s="10"/>
      <c r="Q226" s="10"/>
      <c r="R226" s="10"/>
      <c r="S226" s="10"/>
    </row>
    <row r="227" spans="10:19">
      <c r="J227" s="10"/>
      <c r="K227" s="1127"/>
      <c r="L227" s="10"/>
      <c r="M227" s="10"/>
      <c r="N227" s="10"/>
      <c r="O227" s="10"/>
      <c r="P227" s="10"/>
      <c r="Q227" s="10"/>
      <c r="R227" s="10"/>
      <c r="S227" s="10"/>
    </row>
    <row r="228" spans="10:19">
      <c r="J228" s="10"/>
      <c r="K228" s="1127"/>
      <c r="L228" s="10"/>
      <c r="M228" s="10"/>
      <c r="N228" s="10"/>
      <c r="O228" s="10"/>
      <c r="P228" s="10"/>
      <c r="Q228" s="10"/>
      <c r="R228" s="10"/>
      <c r="S228" s="10"/>
    </row>
    <row r="229" spans="10:19">
      <c r="J229" s="10"/>
      <c r="K229" s="1127"/>
      <c r="L229" s="10"/>
      <c r="M229" s="10"/>
      <c r="N229" s="10"/>
      <c r="O229" s="10"/>
      <c r="P229" s="10"/>
      <c r="Q229" s="10"/>
      <c r="R229" s="10"/>
      <c r="S229" s="10"/>
    </row>
    <row r="230" spans="10:19">
      <c r="J230" s="10"/>
      <c r="K230" s="1127"/>
      <c r="L230" s="10"/>
      <c r="M230" s="10"/>
      <c r="N230" s="10"/>
      <c r="O230" s="10"/>
      <c r="P230" s="10"/>
      <c r="Q230" s="10"/>
      <c r="R230" s="10"/>
      <c r="S230" s="10"/>
    </row>
    <row r="231" spans="10:19">
      <c r="J231" s="10"/>
      <c r="K231" s="1127"/>
      <c r="L231" s="10"/>
      <c r="M231" s="10"/>
      <c r="N231" s="10"/>
      <c r="O231" s="10"/>
      <c r="P231" s="10"/>
      <c r="Q231" s="10"/>
      <c r="R231" s="10"/>
      <c r="S231" s="10"/>
    </row>
    <row r="232" spans="10:19">
      <c r="J232" s="10"/>
      <c r="K232" s="1127"/>
      <c r="L232" s="10"/>
      <c r="M232" s="10"/>
      <c r="N232" s="10"/>
      <c r="O232" s="10"/>
      <c r="P232" s="10"/>
      <c r="Q232" s="10"/>
      <c r="R232" s="10"/>
      <c r="S232" s="10"/>
    </row>
    <row r="233" spans="10:19">
      <c r="J233" s="10"/>
      <c r="K233" s="1127"/>
      <c r="L233" s="10"/>
      <c r="M233" s="10"/>
      <c r="N233" s="10"/>
      <c r="O233" s="10"/>
      <c r="P233" s="10"/>
      <c r="Q233" s="10"/>
      <c r="R233" s="10"/>
      <c r="S233" s="10"/>
    </row>
    <row r="234" spans="10:19">
      <c r="J234" s="10"/>
      <c r="K234" s="1127"/>
      <c r="L234" s="10"/>
      <c r="M234" s="10"/>
      <c r="N234" s="10"/>
      <c r="O234" s="10"/>
      <c r="P234" s="10"/>
      <c r="Q234" s="10"/>
      <c r="R234" s="10"/>
      <c r="S234" s="10"/>
    </row>
    <row r="235" spans="10:19">
      <c r="J235" s="10"/>
      <c r="K235" s="1127"/>
      <c r="L235" s="10"/>
      <c r="M235" s="10"/>
      <c r="N235" s="10"/>
      <c r="O235" s="10"/>
      <c r="P235" s="10"/>
      <c r="Q235" s="10"/>
      <c r="R235" s="10"/>
      <c r="S235" s="10"/>
    </row>
    <row r="236" spans="10:19">
      <c r="J236" s="10"/>
      <c r="K236" s="1127"/>
      <c r="L236" s="10"/>
      <c r="M236" s="10"/>
      <c r="N236" s="10"/>
      <c r="O236" s="10"/>
      <c r="P236" s="10"/>
      <c r="Q236" s="10"/>
      <c r="R236" s="10"/>
      <c r="S236" s="10"/>
    </row>
    <row r="237" spans="10:19">
      <c r="J237" s="10"/>
      <c r="K237" s="1127"/>
      <c r="L237" s="10"/>
      <c r="M237" s="10"/>
      <c r="N237" s="10"/>
      <c r="O237" s="10"/>
      <c r="P237" s="10"/>
      <c r="Q237" s="10"/>
      <c r="R237" s="10"/>
      <c r="S237" s="10"/>
    </row>
    <row r="238" spans="10:19">
      <c r="J238" s="10"/>
      <c r="K238" s="1127"/>
      <c r="L238" s="10"/>
      <c r="M238" s="10"/>
      <c r="N238" s="10"/>
      <c r="O238" s="10"/>
      <c r="P238" s="10"/>
      <c r="Q238" s="10"/>
      <c r="R238" s="10"/>
      <c r="S238" s="10"/>
    </row>
    <row r="239" spans="10:19">
      <c r="J239" s="10"/>
      <c r="K239" s="1127"/>
      <c r="L239" s="10"/>
      <c r="M239" s="10"/>
      <c r="N239" s="10"/>
      <c r="O239" s="10"/>
      <c r="P239" s="10"/>
      <c r="Q239" s="10"/>
      <c r="R239" s="10"/>
      <c r="S239" s="10"/>
    </row>
    <row r="240" spans="10:19">
      <c r="J240" s="10"/>
      <c r="K240" s="1127"/>
      <c r="L240" s="10"/>
      <c r="M240" s="10"/>
      <c r="N240" s="10"/>
      <c r="O240" s="10"/>
      <c r="P240" s="10"/>
      <c r="Q240" s="10"/>
      <c r="R240" s="10"/>
      <c r="S240" s="10"/>
    </row>
    <row r="241" spans="10:19">
      <c r="J241" s="10"/>
      <c r="K241" s="1127"/>
      <c r="L241" s="10"/>
      <c r="M241" s="10"/>
      <c r="N241" s="10"/>
      <c r="O241" s="10"/>
      <c r="P241" s="10"/>
      <c r="Q241" s="10"/>
      <c r="R241" s="10"/>
      <c r="S241" s="10"/>
    </row>
    <row r="242" spans="10:19">
      <c r="J242" s="10"/>
      <c r="K242" s="1127"/>
      <c r="L242" s="10"/>
      <c r="M242" s="10"/>
      <c r="N242" s="10"/>
      <c r="O242" s="10"/>
      <c r="P242" s="10"/>
      <c r="Q242" s="10"/>
      <c r="R242" s="10"/>
      <c r="S242" s="10"/>
    </row>
    <row r="243" spans="10:19">
      <c r="J243" s="10"/>
      <c r="K243" s="1127"/>
      <c r="L243" s="10"/>
      <c r="M243" s="10"/>
      <c r="N243" s="10"/>
      <c r="O243" s="10"/>
      <c r="P243" s="10"/>
      <c r="Q243" s="10"/>
      <c r="R243" s="10"/>
      <c r="S243" s="10"/>
    </row>
    <row r="244" spans="10:19">
      <c r="J244" s="10"/>
      <c r="K244" s="1127"/>
      <c r="L244" s="10"/>
      <c r="M244" s="10"/>
      <c r="N244" s="10"/>
      <c r="O244" s="10"/>
      <c r="P244" s="10"/>
      <c r="Q244" s="10"/>
      <c r="R244" s="10"/>
      <c r="S244" s="10"/>
    </row>
    <row r="245" spans="10:19">
      <c r="J245" s="10"/>
      <c r="K245" s="1127"/>
      <c r="L245" s="10"/>
      <c r="M245" s="10"/>
      <c r="N245" s="10"/>
      <c r="O245" s="10"/>
      <c r="P245" s="10"/>
      <c r="Q245" s="10"/>
      <c r="R245" s="10"/>
      <c r="S245" s="10"/>
    </row>
    <row r="246" spans="10:19">
      <c r="J246" s="10"/>
      <c r="K246" s="1127"/>
      <c r="L246" s="10"/>
      <c r="M246" s="10"/>
      <c r="N246" s="10"/>
      <c r="O246" s="10"/>
      <c r="P246" s="10"/>
      <c r="Q246" s="10"/>
      <c r="R246" s="10"/>
      <c r="S246" s="10"/>
    </row>
    <row r="247" spans="10:19">
      <c r="J247" s="10"/>
      <c r="K247" s="1127"/>
      <c r="L247" s="10"/>
      <c r="M247" s="10"/>
      <c r="N247" s="10"/>
      <c r="O247" s="10"/>
      <c r="P247" s="10"/>
      <c r="Q247" s="10"/>
      <c r="R247" s="10"/>
      <c r="S247" s="10"/>
    </row>
    <row r="248" spans="10:19">
      <c r="J248" s="10"/>
      <c r="K248" s="1127"/>
      <c r="L248" s="10"/>
      <c r="M248" s="10"/>
      <c r="N248" s="10"/>
      <c r="O248" s="10"/>
      <c r="P248" s="10"/>
      <c r="Q248" s="10"/>
      <c r="R248" s="10"/>
      <c r="S248" s="10"/>
    </row>
    <row r="249" spans="10:19">
      <c r="J249" s="10"/>
      <c r="K249" s="1127"/>
      <c r="L249" s="10"/>
      <c r="M249" s="10"/>
      <c r="N249" s="10"/>
      <c r="O249" s="10"/>
      <c r="P249" s="10"/>
      <c r="Q249" s="10"/>
      <c r="R249" s="10"/>
      <c r="S249" s="10"/>
    </row>
    <row r="250" spans="10:19">
      <c r="J250" s="10"/>
      <c r="K250" s="1127"/>
      <c r="L250" s="10"/>
      <c r="M250" s="10"/>
      <c r="N250" s="10"/>
      <c r="O250" s="10"/>
      <c r="P250" s="10"/>
      <c r="Q250" s="10"/>
      <c r="R250" s="10"/>
      <c r="S250" s="10"/>
    </row>
    <row r="251" spans="10:19">
      <c r="J251" s="10"/>
      <c r="K251" s="1127"/>
      <c r="L251" s="10"/>
      <c r="M251" s="10"/>
      <c r="N251" s="10"/>
      <c r="O251" s="10"/>
      <c r="P251" s="10"/>
      <c r="Q251" s="10"/>
      <c r="R251" s="10"/>
      <c r="S251" s="10"/>
    </row>
    <row r="252" spans="10:19">
      <c r="J252" s="10"/>
      <c r="K252" s="1127"/>
      <c r="L252" s="10"/>
      <c r="M252" s="10"/>
      <c r="N252" s="10"/>
      <c r="O252" s="10"/>
      <c r="P252" s="10"/>
      <c r="Q252" s="10"/>
      <c r="R252" s="10"/>
      <c r="S252" s="10"/>
    </row>
    <row r="253" spans="10:19">
      <c r="J253" s="10"/>
      <c r="K253" s="1127"/>
      <c r="L253" s="10"/>
      <c r="M253" s="10"/>
      <c r="N253" s="10"/>
      <c r="O253" s="10"/>
      <c r="P253" s="10"/>
      <c r="Q253" s="10"/>
      <c r="R253" s="10"/>
      <c r="S253" s="10"/>
    </row>
    <row r="254" spans="10:19">
      <c r="J254" s="10"/>
      <c r="K254" s="1127"/>
      <c r="L254" s="10"/>
      <c r="M254" s="10"/>
      <c r="N254" s="10"/>
      <c r="O254" s="10"/>
      <c r="P254" s="10"/>
      <c r="Q254" s="10"/>
      <c r="R254" s="10"/>
      <c r="S254" s="10"/>
    </row>
    <row r="255" spans="10:19">
      <c r="J255" s="10"/>
      <c r="K255" s="1127"/>
      <c r="L255" s="10"/>
      <c r="M255" s="10"/>
      <c r="N255" s="10"/>
      <c r="O255" s="10"/>
      <c r="P255" s="10"/>
      <c r="Q255" s="10"/>
      <c r="R255" s="10"/>
      <c r="S255" s="10"/>
    </row>
    <row r="256" spans="10:19">
      <c r="J256" s="10"/>
      <c r="K256" s="1127"/>
      <c r="L256" s="10"/>
      <c r="M256" s="10"/>
      <c r="N256" s="10"/>
      <c r="O256" s="10"/>
      <c r="P256" s="10"/>
      <c r="Q256" s="10"/>
      <c r="R256" s="10"/>
      <c r="S256" s="10"/>
    </row>
    <row r="257" spans="10:19">
      <c r="J257" s="10"/>
      <c r="K257" s="1127"/>
      <c r="L257" s="10"/>
      <c r="M257" s="10"/>
      <c r="N257" s="10"/>
      <c r="O257" s="10"/>
      <c r="P257" s="10"/>
      <c r="Q257" s="10"/>
      <c r="R257" s="10"/>
      <c r="S257" s="10"/>
    </row>
    <row r="258" spans="10:19">
      <c r="J258" s="10"/>
      <c r="K258" s="1127"/>
      <c r="L258" s="10"/>
      <c r="M258" s="10"/>
      <c r="N258" s="10"/>
      <c r="O258" s="10"/>
      <c r="P258" s="10"/>
      <c r="Q258" s="10"/>
      <c r="R258" s="10"/>
      <c r="S258" s="10"/>
    </row>
    <row r="259" spans="10:19">
      <c r="J259" s="10"/>
      <c r="K259" s="1127"/>
      <c r="L259" s="10"/>
      <c r="M259" s="10"/>
      <c r="N259" s="10"/>
      <c r="O259" s="10"/>
      <c r="P259" s="10"/>
      <c r="Q259" s="10"/>
      <c r="R259" s="10"/>
      <c r="S259" s="10"/>
    </row>
    <row r="260" spans="10:19">
      <c r="J260" s="10"/>
      <c r="K260" s="1127"/>
      <c r="L260" s="10"/>
      <c r="M260" s="10"/>
      <c r="N260" s="10"/>
      <c r="O260" s="10"/>
      <c r="P260" s="10"/>
      <c r="Q260" s="10"/>
      <c r="R260" s="10"/>
      <c r="S260" s="10"/>
    </row>
    <row r="261" spans="10:19">
      <c r="J261" s="10"/>
      <c r="K261" s="1127"/>
      <c r="L261" s="10"/>
      <c r="M261" s="10"/>
      <c r="N261" s="10"/>
      <c r="O261" s="10"/>
      <c r="P261" s="10"/>
      <c r="Q261" s="10"/>
      <c r="R261" s="10"/>
      <c r="S261" s="10"/>
    </row>
    <row r="262" spans="10:19">
      <c r="J262" s="10"/>
      <c r="K262" s="1127"/>
      <c r="L262" s="10"/>
      <c r="M262" s="10"/>
      <c r="N262" s="10"/>
      <c r="O262" s="10"/>
      <c r="P262" s="10"/>
      <c r="Q262" s="10"/>
      <c r="R262" s="10"/>
      <c r="S262" s="10"/>
    </row>
    <row r="263" spans="10:19">
      <c r="J263" s="10"/>
      <c r="K263" s="1127"/>
      <c r="L263" s="10"/>
      <c r="M263" s="10"/>
      <c r="N263" s="10"/>
      <c r="O263" s="10"/>
      <c r="P263" s="10"/>
      <c r="Q263" s="10"/>
      <c r="R263" s="10"/>
      <c r="S263" s="10"/>
    </row>
    <row r="264" spans="10:19">
      <c r="J264" s="10"/>
      <c r="K264" s="1127"/>
      <c r="L264" s="10"/>
      <c r="M264" s="10"/>
      <c r="N264" s="10"/>
      <c r="O264" s="10"/>
      <c r="P264" s="10"/>
      <c r="Q264" s="10"/>
      <c r="R264" s="10"/>
      <c r="S264" s="10"/>
    </row>
    <row r="265" spans="10:19">
      <c r="J265" s="10"/>
      <c r="K265" s="1127"/>
      <c r="L265" s="10"/>
      <c r="M265" s="10"/>
      <c r="N265" s="10"/>
      <c r="O265" s="10"/>
      <c r="P265" s="10"/>
      <c r="Q265" s="10"/>
      <c r="R265" s="10"/>
      <c r="S265" s="10"/>
    </row>
    <row r="266" spans="10:19">
      <c r="J266" s="10"/>
      <c r="K266" s="1127"/>
      <c r="L266" s="10"/>
      <c r="M266" s="10"/>
      <c r="N266" s="10"/>
      <c r="O266" s="10"/>
      <c r="P266" s="10"/>
      <c r="Q266" s="10"/>
      <c r="R266" s="10"/>
      <c r="S266" s="10"/>
    </row>
    <row r="267" spans="10:19">
      <c r="J267" s="10"/>
      <c r="K267" s="1127"/>
      <c r="L267" s="10"/>
      <c r="M267" s="10"/>
      <c r="N267" s="10"/>
      <c r="O267" s="10"/>
      <c r="P267" s="10"/>
      <c r="Q267" s="10"/>
      <c r="R267" s="10"/>
      <c r="S267" s="10"/>
    </row>
    <row r="268" spans="10:19">
      <c r="J268" s="10"/>
      <c r="K268" s="1127"/>
      <c r="L268" s="10"/>
      <c r="M268" s="10"/>
      <c r="N268" s="10"/>
      <c r="O268" s="10"/>
      <c r="P268" s="10"/>
      <c r="Q268" s="10"/>
      <c r="R268" s="10"/>
      <c r="S268" s="10"/>
    </row>
    <row r="269" spans="10:19">
      <c r="J269" s="10"/>
      <c r="K269" s="1127"/>
      <c r="L269" s="10"/>
      <c r="M269" s="10"/>
      <c r="N269" s="10"/>
      <c r="O269" s="10"/>
      <c r="P269" s="10"/>
      <c r="Q269" s="10"/>
      <c r="R269" s="10"/>
      <c r="S269" s="10"/>
    </row>
    <row r="270" spans="10:19">
      <c r="J270" s="10"/>
      <c r="K270" s="1127"/>
      <c r="L270" s="10"/>
      <c r="M270" s="10"/>
      <c r="N270" s="10"/>
      <c r="O270" s="10"/>
      <c r="P270" s="10"/>
      <c r="Q270" s="10"/>
      <c r="R270" s="10"/>
      <c r="S270" s="10"/>
    </row>
    <row r="271" spans="10:19">
      <c r="J271" s="10"/>
      <c r="K271" s="1127"/>
      <c r="L271" s="10"/>
      <c r="M271" s="10"/>
      <c r="N271" s="10"/>
      <c r="O271" s="10"/>
      <c r="P271" s="10"/>
      <c r="Q271" s="10"/>
      <c r="R271" s="10"/>
      <c r="S271" s="10"/>
    </row>
    <row r="272" spans="10:19">
      <c r="J272" s="10"/>
      <c r="K272" s="1127"/>
      <c r="L272" s="10"/>
      <c r="M272" s="10"/>
      <c r="N272" s="10"/>
      <c r="O272" s="10"/>
      <c r="P272" s="10"/>
      <c r="Q272" s="10"/>
      <c r="R272" s="10"/>
      <c r="S272" s="10"/>
    </row>
    <row r="273" spans="10:19">
      <c r="J273" s="10"/>
      <c r="K273" s="1127"/>
      <c r="L273" s="10"/>
      <c r="M273" s="10"/>
      <c r="N273" s="10"/>
      <c r="O273" s="10"/>
      <c r="P273" s="10"/>
      <c r="Q273" s="10"/>
      <c r="R273" s="10"/>
      <c r="S273" s="10"/>
    </row>
    <row r="274" spans="10:19">
      <c r="J274" s="10"/>
      <c r="K274" s="1127"/>
      <c r="L274" s="10"/>
      <c r="M274" s="10"/>
      <c r="N274" s="10"/>
      <c r="O274" s="10"/>
      <c r="P274" s="10"/>
      <c r="Q274" s="10"/>
      <c r="R274" s="10"/>
      <c r="S274" s="10"/>
    </row>
    <row r="275" spans="10:19">
      <c r="J275" s="10"/>
      <c r="K275" s="1127"/>
      <c r="L275" s="10"/>
      <c r="M275" s="10"/>
      <c r="N275" s="10"/>
      <c r="O275" s="10"/>
      <c r="P275" s="10"/>
      <c r="Q275" s="10"/>
      <c r="R275" s="10"/>
      <c r="S275" s="10"/>
    </row>
    <row r="276" spans="10:19">
      <c r="J276" s="10"/>
      <c r="K276" s="1127"/>
      <c r="L276" s="10"/>
      <c r="M276" s="10"/>
      <c r="N276" s="10"/>
      <c r="O276" s="10"/>
      <c r="P276" s="10"/>
      <c r="Q276" s="10"/>
      <c r="R276" s="10"/>
      <c r="S276" s="10"/>
    </row>
    <row r="277" spans="10:19">
      <c r="J277" s="10"/>
      <c r="K277" s="1127"/>
      <c r="L277" s="10"/>
      <c r="M277" s="10"/>
      <c r="N277" s="10"/>
      <c r="O277" s="10"/>
      <c r="P277" s="10"/>
      <c r="Q277" s="10"/>
      <c r="R277" s="10"/>
      <c r="S277" s="10"/>
    </row>
    <row r="278" spans="10:19">
      <c r="J278" s="10"/>
      <c r="K278" s="1127"/>
      <c r="L278" s="10"/>
      <c r="M278" s="10"/>
      <c r="N278" s="10"/>
      <c r="O278" s="10"/>
      <c r="P278" s="10"/>
      <c r="Q278" s="10"/>
      <c r="R278" s="10"/>
      <c r="S278" s="10"/>
    </row>
    <row r="279" spans="10:19">
      <c r="J279" s="10"/>
      <c r="K279" s="1127"/>
      <c r="L279" s="10"/>
      <c r="M279" s="10"/>
      <c r="N279" s="10"/>
      <c r="O279" s="10"/>
      <c r="P279" s="10"/>
      <c r="Q279" s="10"/>
      <c r="R279" s="10"/>
      <c r="S279" s="10"/>
    </row>
    <row r="280" spans="10:19">
      <c r="J280" s="10"/>
      <c r="K280" s="1127"/>
      <c r="L280" s="10"/>
      <c r="M280" s="10"/>
      <c r="N280" s="10"/>
      <c r="O280" s="10"/>
      <c r="P280" s="10"/>
      <c r="Q280" s="10"/>
      <c r="R280" s="10"/>
      <c r="S280" s="10"/>
    </row>
    <row r="281" spans="10:19">
      <c r="J281" s="10"/>
      <c r="K281" s="1127"/>
      <c r="L281" s="10"/>
      <c r="M281" s="10"/>
      <c r="N281" s="10"/>
      <c r="O281" s="10"/>
      <c r="P281" s="10"/>
      <c r="Q281" s="10"/>
      <c r="R281" s="10"/>
      <c r="S281" s="10"/>
    </row>
    <row r="282" spans="10:19">
      <c r="J282" s="10"/>
      <c r="K282" s="1127"/>
      <c r="L282" s="10"/>
      <c r="M282" s="10"/>
      <c r="N282" s="10"/>
      <c r="O282" s="10"/>
      <c r="P282" s="10"/>
      <c r="Q282" s="10"/>
      <c r="R282" s="10"/>
      <c r="S282" s="10"/>
    </row>
    <row r="283" spans="10:19">
      <c r="J283" s="10"/>
      <c r="K283" s="1127"/>
      <c r="L283" s="10"/>
      <c r="M283" s="10"/>
      <c r="N283" s="10"/>
      <c r="O283" s="10"/>
      <c r="P283" s="10"/>
      <c r="Q283" s="10"/>
      <c r="R283" s="10"/>
      <c r="S283" s="10"/>
    </row>
    <row r="284" spans="10:19">
      <c r="J284" s="10"/>
      <c r="K284" s="1127"/>
      <c r="L284" s="10"/>
      <c r="M284" s="10"/>
      <c r="N284" s="10"/>
      <c r="O284" s="10"/>
      <c r="P284" s="10"/>
      <c r="Q284" s="10"/>
      <c r="R284" s="10"/>
      <c r="S284" s="10"/>
    </row>
    <row r="285" spans="10:19">
      <c r="J285" s="10"/>
      <c r="K285" s="1127"/>
      <c r="L285" s="10"/>
      <c r="M285" s="10"/>
      <c r="N285" s="10"/>
      <c r="O285" s="10"/>
      <c r="P285" s="10"/>
      <c r="Q285" s="10"/>
      <c r="R285" s="10"/>
      <c r="S285" s="10"/>
    </row>
    <row r="286" spans="10:19">
      <c r="J286" s="10"/>
      <c r="K286" s="1127"/>
      <c r="L286" s="10"/>
      <c r="M286" s="10"/>
      <c r="N286" s="10"/>
      <c r="O286" s="10"/>
      <c r="P286" s="10"/>
      <c r="Q286" s="10"/>
      <c r="R286" s="10"/>
      <c r="S286" s="10"/>
    </row>
    <row r="287" spans="10:19">
      <c r="J287" s="10"/>
      <c r="K287" s="1127"/>
      <c r="L287" s="10"/>
      <c r="M287" s="10"/>
      <c r="N287" s="10"/>
      <c r="O287" s="10"/>
      <c r="P287" s="10"/>
      <c r="Q287" s="10"/>
      <c r="R287" s="10"/>
      <c r="S287" s="10"/>
    </row>
    <row r="288" spans="10:19">
      <c r="J288" s="10"/>
      <c r="K288" s="1127"/>
      <c r="L288" s="10"/>
      <c r="M288" s="10"/>
      <c r="N288" s="10"/>
      <c r="O288" s="10"/>
      <c r="P288" s="10"/>
      <c r="Q288" s="10"/>
      <c r="R288" s="10"/>
      <c r="S288" s="10"/>
    </row>
    <row r="289" spans="10:19">
      <c r="J289" s="10"/>
      <c r="K289" s="1127"/>
      <c r="L289" s="10"/>
      <c r="M289" s="10"/>
      <c r="N289" s="10"/>
      <c r="O289" s="10"/>
      <c r="P289" s="10"/>
      <c r="Q289" s="10"/>
      <c r="R289" s="10"/>
      <c r="S289" s="10"/>
    </row>
    <row r="290" spans="10:19">
      <c r="J290" s="10"/>
      <c r="K290" s="1127"/>
      <c r="L290" s="10"/>
      <c r="M290" s="10"/>
      <c r="N290" s="10"/>
      <c r="O290" s="10"/>
      <c r="P290" s="10"/>
      <c r="Q290" s="10"/>
      <c r="R290" s="10"/>
      <c r="S290" s="10"/>
    </row>
    <row r="291" spans="10:19">
      <c r="J291" s="10"/>
      <c r="K291" s="1127"/>
      <c r="L291" s="10"/>
      <c r="M291" s="10"/>
      <c r="N291" s="10"/>
      <c r="O291" s="10"/>
      <c r="P291" s="10"/>
      <c r="Q291" s="10"/>
      <c r="R291" s="10"/>
      <c r="S291" s="10"/>
    </row>
    <row r="292" spans="10:19">
      <c r="J292" s="10"/>
      <c r="K292" s="1127"/>
      <c r="L292" s="10"/>
      <c r="M292" s="10"/>
      <c r="N292" s="10"/>
      <c r="O292" s="10"/>
      <c r="P292" s="10"/>
      <c r="Q292" s="10"/>
      <c r="R292" s="10"/>
      <c r="S292" s="10"/>
    </row>
    <row r="293" spans="10:19">
      <c r="J293" s="10"/>
      <c r="K293" s="1127"/>
      <c r="L293" s="10"/>
      <c r="M293" s="10"/>
      <c r="N293" s="10"/>
      <c r="O293" s="10"/>
      <c r="P293" s="10"/>
      <c r="Q293" s="10"/>
      <c r="R293" s="10"/>
      <c r="S293" s="10"/>
    </row>
    <row r="294" spans="10:19">
      <c r="J294" s="10"/>
      <c r="K294" s="1127"/>
      <c r="L294" s="10"/>
      <c r="M294" s="10"/>
      <c r="N294" s="10"/>
      <c r="O294" s="10"/>
      <c r="P294" s="10"/>
      <c r="Q294" s="10"/>
      <c r="R294" s="10"/>
      <c r="S294" s="10"/>
    </row>
    <row r="295" spans="10:19">
      <c r="J295" s="10"/>
      <c r="K295" s="1127"/>
      <c r="L295" s="10"/>
      <c r="M295" s="10"/>
      <c r="N295" s="10"/>
      <c r="O295" s="10"/>
      <c r="P295" s="10"/>
      <c r="Q295" s="10"/>
      <c r="R295" s="10"/>
      <c r="S295" s="10"/>
    </row>
    <row r="296" spans="10:19">
      <c r="J296" s="10"/>
      <c r="K296" s="1127"/>
      <c r="L296" s="10"/>
      <c r="M296" s="10"/>
      <c r="N296" s="10"/>
      <c r="O296" s="10"/>
      <c r="P296" s="10"/>
      <c r="Q296" s="10"/>
      <c r="R296" s="10"/>
      <c r="S296" s="10"/>
    </row>
    <row r="297" spans="10:19">
      <c r="J297" s="10"/>
      <c r="K297" s="1127"/>
      <c r="L297" s="10"/>
      <c r="M297" s="10"/>
      <c r="N297" s="10"/>
      <c r="O297" s="10"/>
      <c r="P297" s="10"/>
      <c r="Q297" s="10"/>
      <c r="R297" s="10"/>
      <c r="S297" s="10"/>
    </row>
    <row r="298" spans="10:19">
      <c r="J298" s="10"/>
      <c r="K298" s="1127"/>
      <c r="L298" s="10"/>
      <c r="M298" s="10"/>
      <c r="N298" s="10"/>
      <c r="O298" s="10"/>
      <c r="P298" s="10"/>
      <c r="Q298" s="10"/>
      <c r="R298" s="10"/>
      <c r="S298" s="10"/>
    </row>
    <row r="299" spans="10:19">
      <c r="J299" s="10"/>
      <c r="K299" s="1127"/>
      <c r="L299" s="10"/>
      <c r="M299" s="10"/>
      <c r="N299" s="10"/>
      <c r="O299" s="10"/>
      <c r="P299" s="10"/>
      <c r="Q299" s="10"/>
      <c r="R299" s="10"/>
      <c r="S299" s="10"/>
    </row>
    <row r="300" spans="10:19">
      <c r="J300" s="10"/>
      <c r="K300" s="1127"/>
      <c r="L300" s="10"/>
      <c r="M300" s="10"/>
      <c r="N300" s="10"/>
      <c r="O300" s="10"/>
      <c r="P300" s="10"/>
      <c r="Q300" s="10"/>
      <c r="R300" s="10"/>
      <c r="S300" s="10"/>
    </row>
    <row r="301" spans="10:19">
      <c r="J301" s="10"/>
      <c r="K301" s="1127"/>
      <c r="L301" s="10"/>
      <c r="M301" s="10"/>
      <c r="N301" s="10"/>
      <c r="O301" s="10"/>
      <c r="P301" s="10"/>
      <c r="Q301" s="10"/>
      <c r="R301" s="10"/>
      <c r="S301" s="10"/>
    </row>
    <row r="302" spans="10:19">
      <c r="J302" s="10"/>
      <c r="K302" s="1127"/>
      <c r="L302" s="10"/>
      <c r="M302" s="10"/>
      <c r="N302" s="10"/>
      <c r="O302" s="10"/>
      <c r="P302" s="10"/>
      <c r="Q302" s="10"/>
      <c r="R302" s="10"/>
      <c r="S302" s="10"/>
    </row>
    <row r="303" spans="10:19">
      <c r="J303" s="10"/>
      <c r="K303" s="1127"/>
      <c r="L303" s="10"/>
      <c r="M303" s="10"/>
      <c r="N303" s="10"/>
      <c r="O303" s="10"/>
      <c r="P303" s="10"/>
      <c r="Q303" s="10"/>
      <c r="R303" s="10"/>
      <c r="S303" s="10"/>
    </row>
    <row r="304" spans="10:19">
      <c r="J304" s="10"/>
      <c r="K304" s="1127"/>
      <c r="L304" s="10"/>
      <c r="M304" s="10"/>
      <c r="N304" s="10"/>
      <c r="O304" s="10"/>
      <c r="P304" s="10"/>
      <c r="Q304" s="10"/>
      <c r="R304" s="10"/>
      <c r="S304" s="10"/>
    </row>
    <row r="305" spans="10:19">
      <c r="J305" s="10"/>
      <c r="K305" s="1127"/>
      <c r="L305" s="10"/>
      <c r="M305" s="10"/>
      <c r="N305" s="10"/>
      <c r="O305" s="10"/>
      <c r="P305" s="10"/>
      <c r="Q305" s="10"/>
      <c r="R305" s="10"/>
      <c r="S305" s="10"/>
    </row>
    <row r="306" spans="10:19">
      <c r="J306" s="10"/>
      <c r="K306" s="1127"/>
      <c r="L306" s="10"/>
      <c r="M306" s="10"/>
      <c r="N306" s="10"/>
      <c r="O306" s="10"/>
      <c r="P306" s="10"/>
      <c r="Q306" s="10"/>
      <c r="R306" s="10"/>
      <c r="S306" s="10"/>
    </row>
    <row r="307" spans="10:19">
      <c r="J307" s="10"/>
      <c r="K307" s="1127"/>
      <c r="L307" s="10"/>
      <c r="M307" s="10"/>
      <c r="N307" s="10"/>
      <c r="O307" s="10"/>
      <c r="P307" s="10"/>
      <c r="Q307" s="10"/>
      <c r="R307" s="10"/>
      <c r="S307" s="10"/>
    </row>
    <row r="308" spans="10:19">
      <c r="J308" s="10"/>
      <c r="K308" s="1127"/>
      <c r="L308" s="10"/>
      <c r="M308" s="10"/>
      <c r="N308" s="10"/>
      <c r="O308" s="10"/>
      <c r="P308" s="10"/>
      <c r="Q308" s="10"/>
      <c r="R308" s="10"/>
      <c r="S308" s="10"/>
    </row>
    <row r="309" spans="10:19">
      <c r="J309" s="10"/>
      <c r="K309" s="1127"/>
      <c r="L309" s="10"/>
      <c r="M309" s="10"/>
      <c r="N309" s="10"/>
      <c r="O309" s="10"/>
      <c r="P309" s="10"/>
      <c r="Q309" s="10"/>
      <c r="R309" s="10"/>
      <c r="S309" s="10"/>
    </row>
    <row r="310" spans="10:19">
      <c r="J310" s="10"/>
      <c r="K310" s="1127"/>
      <c r="L310" s="10"/>
      <c r="M310" s="10"/>
      <c r="N310" s="10"/>
      <c r="O310" s="10"/>
      <c r="P310" s="10"/>
      <c r="Q310" s="10"/>
      <c r="R310" s="10"/>
      <c r="S310" s="10"/>
    </row>
    <row r="311" spans="10:19">
      <c r="J311" s="10"/>
      <c r="K311" s="1127"/>
      <c r="L311" s="10"/>
      <c r="M311" s="10"/>
      <c r="N311" s="10"/>
      <c r="O311" s="10"/>
      <c r="P311" s="10"/>
      <c r="Q311" s="10"/>
      <c r="R311" s="10"/>
      <c r="S311" s="10"/>
    </row>
    <row r="312" spans="10:19">
      <c r="J312" s="10"/>
      <c r="K312" s="1127"/>
      <c r="L312" s="10"/>
      <c r="M312" s="10"/>
      <c r="N312" s="10"/>
      <c r="O312" s="10"/>
      <c r="P312" s="10"/>
      <c r="Q312" s="10"/>
      <c r="R312" s="10"/>
      <c r="S312" s="10"/>
    </row>
    <row r="313" spans="10:19">
      <c r="J313" s="10"/>
      <c r="K313" s="1127"/>
      <c r="L313" s="10"/>
      <c r="M313" s="10"/>
      <c r="N313" s="10"/>
      <c r="O313" s="10"/>
      <c r="P313" s="10"/>
      <c r="Q313" s="10"/>
      <c r="R313" s="10"/>
      <c r="S313" s="10"/>
    </row>
    <row r="314" spans="10:19">
      <c r="J314" s="10"/>
      <c r="K314" s="1127"/>
      <c r="L314" s="10"/>
      <c r="M314" s="10"/>
      <c r="N314" s="10"/>
      <c r="O314" s="10"/>
      <c r="P314" s="10"/>
      <c r="Q314" s="10"/>
      <c r="R314" s="10"/>
      <c r="S314" s="10"/>
    </row>
    <row r="315" spans="10:19">
      <c r="J315" s="10"/>
      <c r="K315" s="1127"/>
      <c r="L315" s="10"/>
      <c r="M315" s="10"/>
      <c r="N315" s="10"/>
      <c r="O315" s="10"/>
      <c r="P315" s="10"/>
      <c r="Q315" s="10"/>
      <c r="R315" s="10"/>
      <c r="S315" s="10"/>
    </row>
    <row r="316" spans="10:19">
      <c r="J316" s="10"/>
      <c r="K316" s="1127"/>
      <c r="L316" s="10"/>
      <c r="M316" s="10"/>
      <c r="N316" s="10"/>
      <c r="O316" s="10"/>
      <c r="P316" s="10"/>
      <c r="Q316" s="10"/>
      <c r="R316" s="10"/>
      <c r="S316" s="10"/>
    </row>
    <row r="317" spans="10:19">
      <c r="J317" s="10"/>
      <c r="K317" s="1127"/>
      <c r="L317" s="10"/>
      <c r="M317" s="10"/>
      <c r="N317" s="10"/>
      <c r="O317" s="10"/>
      <c r="P317" s="10"/>
      <c r="Q317" s="10"/>
      <c r="R317" s="10"/>
      <c r="S317" s="10"/>
    </row>
    <row r="318" spans="10:19">
      <c r="J318" s="10"/>
      <c r="K318" s="1127"/>
      <c r="L318" s="10"/>
      <c r="M318" s="10"/>
      <c r="N318" s="10"/>
      <c r="O318" s="10"/>
      <c r="P318" s="10"/>
      <c r="Q318" s="10"/>
      <c r="R318" s="10"/>
      <c r="S318" s="10"/>
    </row>
    <row r="319" spans="10:19">
      <c r="J319" s="10"/>
      <c r="K319" s="1127"/>
      <c r="L319" s="10"/>
      <c r="M319" s="10"/>
      <c r="N319" s="10"/>
      <c r="O319" s="10"/>
      <c r="P319" s="10"/>
      <c r="Q319" s="10"/>
      <c r="R319" s="10"/>
      <c r="S319" s="10"/>
    </row>
    <row r="320" spans="10:19">
      <c r="J320" s="10"/>
      <c r="K320" s="1127"/>
      <c r="L320" s="10"/>
      <c r="M320" s="10"/>
      <c r="N320" s="10"/>
      <c r="O320" s="10"/>
      <c r="P320" s="10"/>
      <c r="Q320" s="10"/>
      <c r="R320" s="10"/>
      <c r="S320" s="10"/>
    </row>
    <row r="321" spans="10:19">
      <c r="J321" s="10"/>
      <c r="K321" s="1127"/>
      <c r="L321" s="10"/>
      <c r="M321" s="10"/>
      <c r="N321" s="10"/>
      <c r="O321" s="10"/>
      <c r="P321" s="10"/>
      <c r="Q321" s="10"/>
      <c r="R321" s="10"/>
      <c r="S321" s="10"/>
    </row>
    <row r="322" spans="10:19">
      <c r="J322" s="10"/>
      <c r="K322" s="1127"/>
      <c r="L322" s="10"/>
      <c r="M322" s="10"/>
      <c r="N322" s="10"/>
      <c r="O322" s="10"/>
      <c r="P322" s="10"/>
      <c r="Q322" s="10"/>
      <c r="R322" s="10"/>
      <c r="S322" s="10"/>
    </row>
    <row r="323" spans="10:19">
      <c r="J323" s="10"/>
      <c r="K323" s="1127"/>
      <c r="L323" s="10"/>
      <c r="M323" s="10"/>
      <c r="N323" s="10"/>
      <c r="O323" s="10"/>
      <c r="P323" s="10"/>
      <c r="Q323" s="10"/>
      <c r="R323" s="10"/>
      <c r="S323" s="10"/>
    </row>
    <row r="324" spans="10:19">
      <c r="J324" s="10"/>
      <c r="K324" s="1127"/>
      <c r="L324" s="10"/>
      <c r="M324" s="10"/>
      <c r="N324" s="10"/>
      <c r="O324" s="10"/>
      <c r="P324" s="10"/>
      <c r="Q324" s="10"/>
      <c r="R324" s="10"/>
      <c r="S324" s="10"/>
    </row>
    <row r="325" spans="10:19">
      <c r="J325" s="10"/>
      <c r="K325" s="1127"/>
      <c r="L325" s="10"/>
      <c r="M325" s="10"/>
      <c r="N325" s="10"/>
      <c r="O325" s="10"/>
      <c r="P325" s="10"/>
      <c r="Q325" s="10"/>
      <c r="R325" s="10"/>
      <c r="S325" s="10"/>
    </row>
    <row r="326" spans="10:19">
      <c r="J326" s="10"/>
      <c r="K326" s="1127"/>
      <c r="L326" s="10"/>
      <c r="M326" s="10"/>
      <c r="N326" s="10"/>
      <c r="O326" s="10"/>
      <c r="P326" s="10"/>
      <c r="Q326" s="10"/>
      <c r="R326" s="10"/>
      <c r="S326" s="10"/>
    </row>
    <row r="327" spans="10:19">
      <c r="J327" s="10"/>
      <c r="K327" s="1127"/>
      <c r="L327" s="10"/>
      <c r="M327" s="10"/>
      <c r="N327" s="10"/>
      <c r="O327" s="10"/>
      <c r="P327" s="10"/>
      <c r="Q327" s="10"/>
      <c r="R327" s="10"/>
      <c r="S327" s="10"/>
    </row>
    <row r="328" spans="10:19">
      <c r="J328" s="10"/>
      <c r="K328" s="1127"/>
      <c r="L328" s="10"/>
      <c r="M328" s="10"/>
      <c r="N328" s="10"/>
      <c r="O328" s="10"/>
      <c r="P328" s="10"/>
      <c r="Q328" s="10"/>
      <c r="R328" s="10"/>
      <c r="S328" s="10"/>
    </row>
    <row r="329" spans="10:19">
      <c r="J329" s="10"/>
      <c r="K329" s="1127"/>
      <c r="L329" s="10"/>
      <c r="M329" s="10"/>
      <c r="N329" s="10"/>
      <c r="O329" s="10"/>
      <c r="P329" s="10"/>
      <c r="Q329" s="10"/>
      <c r="R329" s="10"/>
      <c r="S329" s="10"/>
    </row>
    <row r="330" spans="10:19">
      <c r="J330" s="10"/>
      <c r="K330" s="1127"/>
      <c r="L330" s="10"/>
      <c r="M330" s="10"/>
      <c r="N330" s="10"/>
      <c r="O330" s="10"/>
      <c r="P330" s="10"/>
      <c r="Q330" s="10"/>
      <c r="R330" s="10"/>
      <c r="S330" s="10"/>
    </row>
    <row r="331" spans="10:19">
      <c r="J331" s="10"/>
      <c r="K331" s="1127"/>
      <c r="L331" s="10"/>
      <c r="M331" s="10"/>
      <c r="N331" s="10"/>
      <c r="O331" s="10"/>
      <c r="P331" s="10"/>
      <c r="Q331" s="10"/>
      <c r="R331" s="10"/>
      <c r="S331" s="10"/>
    </row>
    <row r="332" spans="10:19">
      <c r="J332" s="10"/>
      <c r="K332" s="1127"/>
      <c r="L332" s="10"/>
      <c r="M332" s="10"/>
      <c r="N332" s="10"/>
      <c r="O332" s="10"/>
      <c r="P332" s="10"/>
      <c r="Q332" s="10"/>
      <c r="R332" s="10"/>
      <c r="S332" s="10"/>
    </row>
    <row r="333" spans="10:19">
      <c r="J333" s="10"/>
      <c r="K333" s="1127"/>
      <c r="L333" s="10"/>
      <c r="M333" s="10"/>
      <c r="N333" s="10"/>
      <c r="O333" s="10"/>
      <c r="P333" s="10"/>
      <c r="Q333" s="10"/>
      <c r="R333" s="10"/>
      <c r="S333" s="10"/>
    </row>
    <row r="334" spans="10:19">
      <c r="J334" s="10"/>
      <c r="K334" s="1127"/>
      <c r="L334" s="10"/>
      <c r="M334" s="10"/>
      <c r="N334" s="10"/>
      <c r="O334" s="10"/>
      <c r="P334" s="10"/>
      <c r="Q334" s="10"/>
      <c r="R334" s="10"/>
      <c r="S334" s="10"/>
    </row>
    <row r="335" spans="10:19">
      <c r="J335" s="10"/>
      <c r="K335" s="1127"/>
      <c r="L335" s="10"/>
      <c r="M335" s="10"/>
      <c r="N335" s="10"/>
      <c r="O335" s="10"/>
      <c r="P335" s="10"/>
      <c r="Q335" s="10"/>
      <c r="R335" s="10"/>
      <c r="S335" s="10"/>
    </row>
    <row r="336" spans="10:19">
      <c r="J336" s="10"/>
      <c r="K336" s="1127"/>
      <c r="L336" s="10"/>
      <c r="M336" s="10"/>
      <c r="N336" s="10"/>
      <c r="O336" s="10"/>
      <c r="P336" s="10"/>
      <c r="Q336" s="10"/>
      <c r="R336" s="10"/>
      <c r="S336" s="10"/>
    </row>
    <row r="337" spans="10:19">
      <c r="J337" s="10"/>
      <c r="K337" s="1127"/>
      <c r="L337" s="10"/>
      <c r="M337" s="10"/>
      <c r="N337" s="10"/>
      <c r="O337" s="10"/>
      <c r="P337" s="10"/>
      <c r="Q337" s="10"/>
      <c r="R337" s="10"/>
      <c r="S337" s="10"/>
    </row>
    <row r="338" spans="10:19">
      <c r="J338" s="10"/>
      <c r="K338" s="1127"/>
      <c r="L338" s="10"/>
      <c r="M338" s="10"/>
      <c r="N338" s="10"/>
      <c r="O338" s="10"/>
      <c r="P338" s="10"/>
      <c r="Q338" s="10"/>
      <c r="R338" s="10"/>
      <c r="S338" s="10"/>
    </row>
    <row r="339" spans="10:19">
      <c r="J339" s="10"/>
      <c r="K339" s="1127"/>
      <c r="L339" s="10"/>
      <c r="M339" s="10"/>
      <c r="N339" s="10"/>
      <c r="O339" s="10"/>
      <c r="P339" s="10"/>
      <c r="Q339" s="10"/>
      <c r="R339" s="10"/>
      <c r="S339" s="10"/>
    </row>
    <row r="340" spans="10:19">
      <c r="J340" s="10"/>
      <c r="K340" s="1127"/>
      <c r="L340" s="10"/>
      <c r="M340" s="10"/>
      <c r="N340" s="10"/>
      <c r="O340" s="10"/>
      <c r="P340" s="10"/>
      <c r="Q340" s="10"/>
      <c r="R340" s="10"/>
      <c r="S340" s="10"/>
    </row>
    <row r="341" spans="10:19">
      <c r="J341" s="10"/>
      <c r="K341" s="1127"/>
      <c r="L341" s="10"/>
      <c r="M341" s="10"/>
      <c r="N341" s="10"/>
      <c r="O341" s="10"/>
      <c r="P341" s="10"/>
      <c r="Q341" s="10"/>
      <c r="R341" s="10"/>
      <c r="S341" s="10"/>
    </row>
    <row r="342" spans="10:19">
      <c r="J342" s="10"/>
      <c r="K342" s="1127"/>
      <c r="L342" s="10"/>
      <c r="M342" s="10"/>
      <c r="N342" s="10"/>
      <c r="O342" s="10"/>
      <c r="P342" s="10"/>
      <c r="Q342" s="10"/>
      <c r="R342" s="10"/>
      <c r="S342" s="10"/>
    </row>
    <row r="343" spans="10:19">
      <c r="J343" s="10"/>
      <c r="K343" s="1127"/>
      <c r="L343" s="10"/>
      <c r="M343" s="10"/>
      <c r="N343" s="10"/>
      <c r="O343" s="10"/>
      <c r="P343" s="10"/>
      <c r="Q343" s="10"/>
      <c r="R343" s="10"/>
      <c r="S343" s="10"/>
    </row>
    <row r="344" spans="10:19">
      <c r="J344" s="10"/>
      <c r="K344" s="1127"/>
      <c r="L344" s="10"/>
      <c r="M344" s="10"/>
      <c r="N344" s="10"/>
      <c r="O344" s="10"/>
      <c r="P344" s="10"/>
      <c r="Q344" s="10"/>
      <c r="R344" s="10"/>
      <c r="S344" s="10"/>
    </row>
    <row r="345" spans="10:19">
      <c r="J345" s="10"/>
      <c r="K345" s="1127"/>
      <c r="L345" s="10"/>
      <c r="M345" s="10"/>
      <c r="N345" s="10"/>
      <c r="O345" s="10"/>
      <c r="P345" s="10"/>
      <c r="Q345" s="10"/>
      <c r="R345" s="10"/>
      <c r="S345" s="10"/>
    </row>
    <row r="346" spans="10:19">
      <c r="J346" s="10"/>
      <c r="K346" s="1127"/>
      <c r="L346" s="10"/>
      <c r="M346" s="10"/>
      <c r="N346" s="10"/>
      <c r="O346" s="10"/>
      <c r="P346" s="10"/>
      <c r="Q346" s="10"/>
      <c r="R346" s="10"/>
      <c r="S346" s="10"/>
    </row>
    <row r="347" spans="10:19">
      <c r="J347" s="10"/>
      <c r="K347" s="1127"/>
      <c r="L347" s="10"/>
      <c r="M347" s="10"/>
      <c r="N347" s="10"/>
      <c r="O347" s="10"/>
      <c r="P347" s="10"/>
      <c r="Q347" s="10"/>
      <c r="R347" s="10"/>
      <c r="S347" s="10"/>
    </row>
    <row r="348" spans="10:19">
      <c r="J348" s="10"/>
      <c r="K348" s="1127"/>
      <c r="L348" s="10"/>
      <c r="M348" s="10"/>
      <c r="N348" s="10"/>
      <c r="O348" s="10"/>
      <c r="P348" s="10"/>
      <c r="Q348" s="10"/>
      <c r="R348" s="10"/>
      <c r="S348" s="10"/>
    </row>
    <row r="349" spans="10:19">
      <c r="J349" s="10"/>
      <c r="K349" s="1127"/>
      <c r="L349" s="10"/>
      <c r="M349" s="10"/>
      <c r="N349" s="10"/>
      <c r="O349" s="10"/>
      <c r="P349" s="10"/>
      <c r="Q349" s="10"/>
      <c r="R349" s="10"/>
      <c r="S349" s="10"/>
    </row>
    <row r="350" spans="10:19">
      <c r="J350" s="10"/>
      <c r="K350" s="1127"/>
      <c r="L350" s="10"/>
      <c r="M350" s="10"/>
      <c r="N350" s="10"/>
      <c r="O350" s="10"/>
      <c r="P350" s="10"/>
      <c r="Q350" s="10"/>
      <c r="R350" s="10"/>
      <c r="S350" s="10"/>
    </row>
    <row r="351" spans="10:19">
      <c r="J351" s="10"/>
      <c r="K351" s="1127"/>
      <c r="L351" s="10"/>
      <c r="M351" s="10"/>
      <c r="N351" s="10"/>
      <c r="O351" s="10"/>
      <c r="P351" s="10"/>
      <c r="Q351" s="10"/>
      <c r="R351" s="10"/>
      <c r="S351" s="10"/>
    </row>
    <row r="352" spans="10:19">
      <c r="J352" s="10"/>
      <c r="K352" s="1127"/>
      <c r="L352" s="10"/>
      <c r="M352" s="10"/>
      <c r="N352" s="10"/>
      <c r="O352" s="10"/>
      <c r="P352" s="10"/>
      <c r="Q352" s="10"/>
      <c r="R352" s="10"/>
      <c r="S352" s="10"/>
    </row>
    <row r="353" spans="10:19">
      <c r="J353" s="10"/>
      <c r="K353" s="1127"/>
      <c r="L353" s="10"/>
      <c r="M353" s="10"/>
      <c r="N353" s="10"/>
      <c r="O353" s="10"/>
      <c r="P353" s="10"/>
      <c r="Q353" s="10"/>
      <c r="R353" s="10"/>
      <c r="S353" s="10"/>
    </row>
    <row r="354" spans="10:19">
      <c r="J354" s="10"/>
      <c r="K354" s="1127"/>
      <c r="L354" s="10"/>
      <c r="M354" s="10"/>
      <c r="N354" s="10"/>
      <c r="O354" s="10"/>
      <c r="P354" s="10"/>
      <c r="Q354" s="10"/>
      <c r="R354" s="10"/>
      <c r="S354" s="10"/>
    </row>
    <row r="355" spans="10:19">
      <c r="J355" s="10"/>
      <c r="K355" s="1127"/>
      <c r="L355" s="10"/>
      <c r="M355" s="10"/>
      <c r="N355" s="10"/>
      <c r="O355" s="10"/>
      <c r="P355" s="10"/>
      <c r="Q355" s="10"/>
      <c r="R355" s="10"/>
      <c r="S355" s="10"/>
    </row>
    <row r="356" spans="10:19">
      <c r="J356" s="10"/>
      <c r="K356" s="1127"/>
      <c r="L356" s="10"/>
      <c r="M356" s="10"/>
      <c r="N356" s="10"/>
      <c r="O356" s="10"/>
      <c r="P356" s="10"/>
      <c r="Q356" s="10"/>
      <c r="R356" s="10"/>
      <c r="S356" s="10"/>
    </row>
    <row r="357" spans="10:19">
      <c r="J357" s="10"/>
      <c r="K357" s="1127"/>
      <c r="L357" s="10"/>
      <c r="M357" s="10"/>
      <c r="N357" s="10"/>
      <c r="O357" s="10"/>
      <c r="P357" s="10"/>
      <c r="Q357" s="10"/>
      <c r="R357" s="10"/>
      <c r="S357" s="10"/>
    </row>
    <row r="358" spans="10:19">
      <c r="J358" s="10"/>
      <c r="K358" s="1127"/>
      <c r="L358" s="10"/>
      <c r="M358" s="10"/>
      <c r="N358" s="10"/>
      <c r="O358" s="10"/>
      <c r="P358" s="10"/>
      <c r="Q358" s="10"/>
      <c r="R358" s="10"/>
      <c r="S358" s="10"/>
    </row>
    <row r="359" spans="10:19">
      <c r="J359" s="10"/>
      <c r="K359" s="1127"/>
      <c r="L359" s="10"/>
      <c r="M359" s="10"/>
      <c r="N359" s="10"/>
      <c r="O359" s="10"/>
      <c r="P359" s="10"/>
      <c r="Q359" s="10"/>
      <c r="R359" s="10"/>
      <c r="S359" s="10"/>
    </row>
    <row r="360" spans="10:19">
      <c r="J360" s="10"/>
      <c r="K360" s="1127"/>
      <c r="L360" s="10"/>
      <c r="M360" s="10"/>
      <c r="N360" s="10"/>
      <c r="O360" s="10"/>
      <c r="P360" s="10"/>
      <c r="Q360" s="10"/>
      <c r="R360" s="10"/>
      <c r="S360" s="10"/>
    </row>
    <row r="361" spans="10:19">
      <c r="J361" s="10"/>
      <c r="K361" s="1127"/>
      <c r="L361" s="10"/>
      <c r="M361" s="10"/>
      <c r="N361" s="10"/>
      <c r="O361" s="10"/>
      <c r="P361" s="10"/>
      <c r="Q361" s="10"/>
      <c r="R361" s="10"/>
      <c r="S361" s="10"/>
    </row>
    <row r="362" spans="10:19">
      <c r="J362" s="10"/>
      <c r="K362" s="1127"/>
      <c r="L362" s="10"/>
      <c r="M362" s="10"/>
      <c r="N362" s="10"/>
      <c r="O362" s="10"/>
      <c r="P362" s="10"/>
      <c r="Q362" s="10"/>
      <c r="R362" s="10"/>
      <c r="S362" s="10"/>
    </row>
    <row r="363" spans="10:19">
      <c r="J363" s="10"/>
      <c r="K363" s="1127"/>
      <c r="L363" s="10"/>
      <c r="M363" s="10"/>
      <c r="N363" s="10"/>
      <c r="O363" s="10"/>
      <c r="P363" s="10"/>
      <c r="Q363" s="10"/>
      <c r="R363" s="10"/>
      <c r="S363" s="10"/>
    </row>
    <row r="364" spans="10:19">
      <c r="J364" s="10"/>
      <c r="K364" s="1127"/>
      <c r="L364" s="10"/>
      <c r="M364" s="10"/>
      <c r="N364" s="10"/>
      <c r="O364" s="10"/>
      <c r="P364" s="10"/>
      <c r="Q364" s="10"/>
      <c r="R364" s="10"/>
      <c r="S364" s="10"/>
    </row>
    <row r="365" spans="10:19">
      <c r="J365" s="10"/>
      <c r="K365" s="1127"/>
      <c r="L365" s="10"/>
      <c r="M365" s="10"/>
      <c r="N365" s="10"/>
      <c r="O365" s="10"/>
      <c r="P365" s="10"/>
      <c r="Q365" s="10"/>
      <c r="R365" s="10"/>
      <c r="S365" s="10"/>
    </row>
    <row r="366" spans="10:19">
      <c r="J366" s="10"/>
      <c r="K366" s="1127"/>
      <c r="L366" s="10"/>
      <c r="M366" s="10"/>
      <c r="N366" s="10"/>
      <c r="O366" s="10"/>
      <c r="P366" s="10"/>
      <c r="Q366" s="10"/>
      <c r="R366" s="10"/>
      <c r="S366" s="10"/>
    </row>
    <row r="367" spans="10:19">
      <c r="J367" s="10"/>
      <c r="K367" s="1127"/>
      <c r="L367" s="10"/>
      <c r="M367" s="10"/>
      <c r="N367" s="10"/>
      <c r="O367" s="10"/>
      <c r="P367" s="10"/>
      <c r="Q367" s="10"/>
      <c r="R367" s="10"/>
      <c r="S367" s="10"/>
    </row>
    <row r="368" spans="10:19">
      <c r="J368" s="10"/>
      <c r="K368" s="1127"/>
      <c r="L368" s="10"/>
      <c r="M368" s="10"/>
      <c r="N368" s="10"/>
      <c r="O368" s="10"/>
      <c r="P368" s="10"/>
      <c r="Q368" s="10"/>
      <c r="R368" s="10"/>
      <c r="S368" s="10"/>
    </row>
    <row r="369" spans="10:19">
      <c r="J369" s="10"/>
      <c r="K369" s="1127"/>
      <c r="L369" s="10"/>
      <c r="M369" s="10"/>
      <c r="N369" s="10"/>
      <c r="O369" s="10"/>
      <c r="P369" s="10"/>
      <c r="Q369" s="10"/>
      <c r="R369" s="10"/>
      <c r="S369" s="10"/>
    </row>
    <row r="370" spans="10:19">
      <c r="J370" s="10"/>
      <c r="K370" s="1127"/>
      <c r="L370" s="10"/>
      <c r="M370" s="10"/>
      <c r="N370" s="10"/>
      <c r="O370" s="10"/>
      <c r="P370" s="10"/>
      <c r="Q370" s="10"/>
      <c r="R370" s="10"/>
      <c r="S370" s="10"/>
    </row>
    <row r="371" spans="10:19">
      <c r="J371" s="10"/>
      <c r="K371" s="1127"/>
      <c r="L371" s="10"/>
      <c r="M371" s="10"/>
      <c r="N371" s="10"/>
      <c r="O371" s="10"/>
      <c r="P371" s="10"/>
      <c r="Q371" s="10"/>
      <c r="R371" s="10"/>
      <c r="S371" s="10"/>
    </row>
    <row r="372" spans="10:19">
      <c r="J372" s="10"/>
      <c r="K372" s="1127"/>
      <c r="L372" s="10"/>
      <c r="M372" s="10"/>
      <c r="N372" s="10"/>
      <c r="O372" s="10"/>
      <c r="P372" s="10"/>
      <c r="Q372" s="10"/>
      <c r="R372" s="10"/>
      <c r="S372" s="10"/>
    </row>
    <row r="373" spans="10:19">
      <c r="J373" s="10"/>
      <c r="K373" s="1127"/>
      <c r="L373" s="10"/>
      <c r="M373" s="10"/>
      <c r="N373" s="10"/>
      <c r="O373" s="10"/>
      <c r="P373" s="10"/>
      <c r="Q373" s="10"/>
      <c r="R373" s="10"/>
      <c r="S373" s="10"/>
    </row>
    <row r="374" spans="10:19">
      <c r="J374" s="10"/>
      <c r="K374" s="1127"/>
      <c r="L374" s="10"/>
      <c r="M374" s="10"/>
      <c r="N374" s="10"/>
      <c r="O374" s="10"/>
      <c r="P374" s="10"/>
      <c r="Q374" s="10"/>
      <c r="R374" s="10"/>
      <c r="S374" s="10"/>
    </row>
    <row r="375" spans="10:19">
      <c r="J375" s="10"/>
      <c r="K375" s="1127"/>
      <c r="L375" s="10"/>
      <c r="M375" s="10"/>
      <c r="N375" s="10"/>
      <c r="O375" s="10"/>
      <c r="P375" s="10"/>
      <c r="Q375" s="10"/>
      <c r="R375" s="10"/>
      <c r="S375" s="10"/>
    </row>
    <row r="376" spans="10:19">
      <c r="J376" s="10"/>
      <c r="K376" s="1127"/>
      <c r="L376" s="10"/>
      <c r="M376" s="10"/>
      <c r="N376" s="10"/>
      <c r="O376" s="10"/>
      <c r="P376" s="10"/>
      <c r="Q376" s="10"/>
      <c r="R376" s="10"/>
      <c r="S376" s="10"/>
    </row>
    <row r="377" spans="10:19">
      <c r="J377" s="10"/>
      <c r="K377" s="1127"/>
      <c r="L377" s="10"/>
      <c r="M377" s="10"/>
      <c r="N377" s="10"/>
      <c r="O377" s="10"/>
      <c r="P377" s="10"/>
      <c r="Q377" s="10"/>
      <c r="R377" s="10"/>
      <c r="S377" s="10"/>
    </row>
    <row r="378" spans="10:19">
      <c r="J378" s="10"/>
      <c r="K378" s="1127"/>
      <c r="L378" s="10"/>
      <c r="M378" s="10"/>
      <c r="N378" s="10"/>
      <c r="O378" s="10"/>
      <c r="P378" s="10"/>
      <c r="Q378" s="10"/>
      <c r="R378" s="10"/>
      <c r="S378" s="10"/>
    </row>
    <row r="379" spans="10:19">
      <c r="J379" s="10"/>
      <c r="K379" s="1127"/>
      <c r="L379" s="10"/>
      <c r="M379" s="10"/>
      <c r="N379" s="10"/>
      <c r="O379" s="10"/>
      <c r="P379" s="10"/>
      <c r="Q379" s="10"/>
      <c r="R379" s="10"/>
      <c r="S379" s="10"/>
    </row>
    <row r="380" spans="10:19">
      <c r="J380" s="10"/>
      <c r="K380" s="1127"/>
      <c r="L380" s="10"/>
      <c r="M380" s="10"/>
      <c r="N380" s="10"/>
      <c r="O380" s="10"/>
      <c r="P380" s="10"/>
      <c r="Q380" s="10"/>
      <c r="R380" s="10"/>
      <c r="S380" s="10"/>
    </row>
    <row r="381" spans="10:19">
      <c r="J381" s="10"/>
      <c r="K381" s="1127"/>
      <c r="L381" s="10"/>
      <c r="M381" s="10"/>
      <c r="N381" s="10"/>
      <c r="O381" s="10"/>
      <c r="P381" s="10"/>
      <c r="Q381" s="10"/>
      <c r="R381" s="10"/>
      <c r="S381" s="10"/>
    </row>
    <row r="382" spans="10:19">
      <c r="J382" s="10"/>
      <c r="K382" s="1127"/>
      <c r="L382" s="10"/>
      <c r="M382" s="10"/>
      <c r="N382" s="10"/>
      <c r="O382" s="10"/>
      <c r="P382" s="10"/>
      <c r="Q382" s="10"/>
      <c r="R382" s="10"/>
      <c r="S382" s="10"/>
    </row>
    <row r="383" spans="10:19">
      <c r="J383" s="10"/>
      <c r="K383" s="1127"/>
      <c r="L383" s="10"/>
      <c r="M383" s="10"/>
      <c r="N383" s="10"/>
      <c r="O383" s="10"/>
      <c r="P383" s="10"/>
      <c r="Q383" s="10"/>
      <c r="R383" s="10"/>
      <c r="S383" s="10"/>
    </row>
    <row r="384" spans="10:19">
      <c r="J384" s="10"/>
      <c r="K384" s="1127"/>
      <c r="L384" s="10"/>
      <c r="M384" s="10"/>
      <c r="N384" s="10"/>
      <c r="O384" s="10"/>
      <c r="P384" s="10"/>
      <c r="Q384" s="10"/>
      <c r="R384" s="10"/>
      <c r="S384" s="10"/>
    </row>
    <row r="385" spans="10:19">
      <c r="J385" s="10"/>
      <c r="K385" s="1127"/>
      <c r="L385" s="10"/>
      <c r="M385" s="10"/>
      <c r="N385" s="10"/>
      <c r="O385" s="10"/>
      <c r="P385" s="10"/>
      <c r="Q385" s="10"/>
      <c r="R385" s="10"/>
      <c r="S385" s="10"/>
    </row>
    <row r="386" spans="10:19">
      <c r="J386" s="10"/>
      <c r="K386" s="1127"/>
      <c r="L386" s="10"/>
      <c r="M386" s="10"/>
      <c r="N386" s="10"/>
      <c r="O386" s="10"/>
      <c r="P386" s="10"/>
      <c r="Q386" s="10"/>
      <c r="R386" s="10"/>
      <c r="S386" s="10"/>
    </row>
    <row r="387" spans="10:19">
      <c r="J387" s="10"/>
      <c r="K387" s="1127"/>
      <c r="L387" s="10"/>
      <c r="M387" s="10"/>
      <c r="N387" s="10"/>
      <c r="O387" s="10"/>
      <c r="P387" s="10"/>
      <c r="Q387" s="10"/>
      <c r="R387" s="10"/>
      <c r="S387" s="10"/>
    </row>
    <row r="388" spans="10:19">
      <c r="J388" s="10"/>
      <c r="K388" s="1127"/>
      <c r="L388" s="10"/>
      <c r="M388" s="10"/>
      <c r="N388" s="10"/>
      <c r="O388" s="10"/>
      <c r="P388" s="10"/>
      <c r="Q388" s="10"/>
      <c r="R388" s="10"/>
      <c r="S388" s="10"/>
    </row>
    <row r="389" spans="10:19">
      <c r="J389" s="10"/>
      <c r="K389" s="1127"/>
      <c r="L389" s="10"/>
      <c r="M389" s="10"/>
      <c r="N389" s="10"/>
      <c r="O389" s="10"/>
      <c r="P389" s="10"/>
      <c r="Q389" s="10"/>
      <c r="R389" s="10"/>
      <c r="S389" s="10"/>
    </row>
    <row r="390" spans="10:19">
      <c r="J390" s="10"/>
      <c r="K390" s="1127"/>
      <c r="L390" s="10"/>
      <c r="M390" s="10"/>
      <c r="N390" s="10"/>
      <c r="O390" s="10"/>
      <c r="P390" s="10"/>
      <c r="Q390" s="10"/>
      <c r="R390" s="10"/>
      <c r="S390" s="10"/>
    </row>
    <row r="391" spans="10:19">
      <c r="J391" s="10"/>
      <c r="K391" s="1127"/>
      <c r="L391" s="10"/>
      <c r="M391" s="10"/>
      <c r="N391" s="10"/>
      <c r="O391" s="10"/>
      <c r="P391" s="10"/>
      <c r="Q391" s="10"/>
      <c r="R391" s="10"/>
      <c r="S391" s="10"/>
    </row>
    <row r="392" spans="10:19">
      <c r="J392" s="10"/>
      <c r="K392" s="1127"/>
      <c r="L392" s="10"/>
      <c r="M392" s="10"/>
      <c r="N392" s="10"/>
      <c r="O392" s="10"/>
      <c r="P392" s="10"/>
      <c r="Q392" s="10"/>
      <c r="R392" s="10"/>
      <c r="S392" s="10"/>
    </row>
    <row r="393" spans="10:19">
      <c r="J393" s="10"/>
      <c r="K393" s="1127"/>
      <c r="L393" s="10"/>
      <c r="M393" s="10"/>
      <c r="N393" s="10"/>
      <c r="O393" s="10"/>
      <c r="P393" s="10"/>
      <c r="Q393" s="10"/>
      <c r="R393" s="10"/>
      <c r="S393" s="10"/>
    </row>
    <row r="394" spans="10:19">
      <c r="J394" s="10"/>
      <c r="K394" s="1127"/>
      <c r="L394" s="10"/>
      <c r="M394" s="10"/>
      <c r="N394" s="10"/>
      <c r="O394" s="10"/>
      <c r="P394" s="10"/>
      <c r="Q394" s="10"/>
      <c r="R394" s="10"/>
      <c r="S394" s="10"/>
    </row>
    <row r="395" spans="10:19">
      <c r="J395" s="10"/>
      <c r="K395" s="1127"/>
      <c r="L395" s="10"/>
      <c r="M395" s="10"/>
      <c r="N395" s="10"/>
      <c r="O395" s="10"/>
      <c r="P395" s="10"/>
      <c r="Q395" s="10"/>
      <c r="R395" s="10"/>
      <c r="S395" s="10"/>
    </row>
    <row r="396" spans="10:19">
      <c r="J396" s="10"/>
      <c r="K396" s="1127"/>
      <c r="L396" s="10"/>
      <c r="M396" s="10"/>
      <c r="N396" s="10"/>
      <c r="O396" s="10"/>
      <c r="P396" s="10"/>
      <c r="Q396" s="10"/>
      <c r="R396" s="10"/>
      <c r="S396" s="10"/>
    </row>
    <row r="397" spans="10:19">
      <c r="J397" s="10"/>
      <c r="K397" s="1127"/>
      <c r="L397" s="10"/>
      <c r="M397" s="10"/>
      <c r="N397" s="10"/>
      <c r="O397" s="10"/>
      <c r="P397" s="10"/>
      <c r="Q397" s="10"/>
      <c r="R397" s="10"/>
      <c r="S397" s="10"/>
    </row>
    <row r="398" spans="10:19">
      <c r="J398" s="10"/>
      <c r="K398" s="1127"/>
      <c r="L398" s="10"/>
      <c r="M398" s="10"/>
      <c r="N398" s="10"/>
      <c r="O398" s="10"/>
      <c r="P398" s="10"/>
      <c r="Q398" s="10"/>
      <c r="R398" s="10"/>
      <c r="S398" s="10"/>
    </row>
    <row r="399" spans="10:19">
      <c r="J399" s="10"/>
      <c r="K399" s="1127"/>
      <c r="L399" s="10"/>
      <c r="M399" s="10"/>
      <c r="N399" s="10"/>
      <c r="O399" s="10"/>
      <c r="P399" s="10"/>
      <c r="Q399" s="10"/>
      <c r="R399" s="10"/>
      <c r="S399" s="10"/>
    </row>
    <row r="400" spans="10:19">
      <c r="J400" s="10"/>
      <c r="K400" s="1127"/>
      <c r="L400" s="10"/>
      <c r="M400" s="10"/>
      <c r="N400" s="10"/>
      <c r="O400" s="10"/>
      <c r="P400" s="10"/>
      <c r="Q400" s="10"/>
      <c r="R400" s="10"/>
      <c r="S400" s="10"/>
    </row>
    <row r="401" spans="10:19">
      <c r="J401" s="10"/>
      <c r="K401" s="1127"/>
      <c r="L401" s="10"/>
      <c r="M401" s="10"/>
      <c r="N401" s="10"/>
      <c r="O401" s="10"/>
      <c r="P401" s="10"/>
      <c r="Q401" s="10"/>
      <c r="R401" s="10"/>
      <c r="S401" s="10"/>
    </row>
    <row r="402" spans="10:19">
      <c r="J402" s="10"/>
      <c r="K402" s="1127"/>
      <c r="L402" s="10"/>
      <c r="M402" s="10"/>
      <c r="N402" s="10"/>
      <c r="O402" s="10"/>
      <c r="P402" s="10"/>
      <c r="Q402" s="10"/>
      <c r="R402" s="10"/>
      <c r="S402" s="10"/>
    </row>
    <row r="403" spans="10:19">
      <c r="J403" s="10"/>
      <c r="K403" s="1127"/>
      <c r="L403" s="10"/>
      <c r="M403" s="10"/>
      <c r="N403" s="10"/>
      <c r="O403" s="10"/>
      <c r="P403" s="10"/>
      <c r="Q403" s="10"/>
      <c r="R403" s="10"/>
      <c r="S403" s="10"/>
    </row>
    <row r="404" spans="10:19">
      <c r="J404" s="10"/>
      <c r="K404" s="1127"/>
      <c r="L404" s="10"/>
      <c r="M404" s="10"/>
      <c r="N404" s="10"/>
      <c r="O404" s="10"/>
      <c r="P404" s="10"/>
      <c r="Q404" s="10"/>
      <c r="R404" s="10"/>
      <c r="S404" s="10"/>
    </row>
    <row r="405" spans="10:19">
      <c r="J405" s="10"/>
      <c r="K405" s="1127"/>
      <c r="L405" s="10"/>
      <c r="M405" s="10"/>
      <c r="N405" s="10"/>
      <c r="O405" s="10"/>
      <c r="P405" s="10"/>
      <c r="Q405" s="10"/>
      <c r="R405" s="10"/>
      <c r="S405" s="10"/>
    </row>
    <row r="406" spans="10:19">
      <c r="J406" s="10"/>
      <c r="K406" s="1127"/>
      <c r="L406" s="10"/>
      <c r="M406" s="10"/>
      <c r="N406" s="10"/>
      <c r="O406" s="10"/>
      <c r="P406" s="10"/>
      <c r="Q406" s="10"/>
      <c r="R406" s="10"/>
      <c r="S406" s="10"/>
    </row>
    <row r="407" spans="10:19">
      <c r="J407" s="10"/>
      <c r="K407" s="1127"/>
      <c r="L407" s="10"/>
      <c r="M407" s="10"/>
      <c r="N407" s="10"/>
      <c r="O407" s="10"/>
      <c r="P407" s="10"/>
      <c r="Q407" s="10"/>
      <c r="R407" s="10"/>
      <c r="S407" s="10"/>
    </row>
    <row r="408" spans="10:19">
      <c r="J408" s="10"/>
      <c r="K408" s="1127"/>
      <c r="L408" s="10"/>
      <c r="M408" s="10"/>
      <c r="N408" s="10"/>
      <c r="O408" s="10"/>
      <c r="P408" s="10"/>
      <c r="Q408" s="10"/>
      <c r="R408" s="10"/>
      <c r="S408" s="10"/>
    </row>
    <row r="409" spans="10:19">
      <c r="J409" s="10"/>
      <c r="K409" s="1127"/>
      <c r="L409" s="10"/>
      <c r="M409" s="10"/>
      <c r="N409" s="10"/>
      <c r="O409" s="10"/>
      <c r="P409" s="10"/>
      <c r="Q409" s="10"/>
      <c r="R409" s="10"/>
      <c r="S409" s="10"/>
    </row>
    <row r="410" spans="10:19">
      <c r="J410" s="10"/>
      <c r="K410" s="1127"/>
      <c r="L410" s="10"/>
      <c r="M410" s="10"/>
      <c r="N410" s="10"/>
      <c r="O410" s="10"/>
      <c r="P410" s="10"/>
      <c r="Q410" s="10"/>
      <c r="R410" s="10"/>
      <c r="S410" s="10"/>
    </row>
    <row r="411" spans="10:19">
      <c r="J411" s="10"/>
      <c r="K411" s="1127"/>
      <c r="L411" s="10"/>
      <c r="M411" s="10"/>
      <c r="N411" s="10"/>
      <c r="O411" s="10"/>
      <c r="P411" s="10"/>
      <c r="Q411" s="10"/>
      <c r="R411" s="10"/>
      <c r="S411" s="10"/>
    </row>
    <row r="412" spans="10:19">
      <c r="J412" s="10"/>
      <c r="K412" s="1127"/>
      <c r="L412" s="10"/>
      <c r="M412" s="10"/>
      <c r="N412" s="10"/>
      <c r="O412" s="10"/>
      <c r="P412" s="10"/>
      <c r="Q412" s="10"/>
      <c r="R412" s="10"/>
      <c r="S412" s="10"/>
    </row>
    <row r="413" spans="10:19">
      <c r="J413" s="10"/>
      <c r="K413" s="1127"/>
      <c r="L413" s="10"/>
      <c r="M413" s="10"/>
      <c r="N413" s="10"/>
      <c r="O413" s="10"/>
      <c r="P413" s="10"/>
      <c r="Q413" s="10"/>
      <c r="R413" s="10"/>
      <c r="S413" s="10"/>
    </row>
    <row r="414" spans="10:19">
      <c r="J414" s="10"/>
      <c r="K414" s="1127"/>
      <c r="L414" s="10"/>
      <c r="M414" s="10"/>
      <c r="N414" s="10"/>
      <c r="O414" s="10"/>
      <c r="P414" s="10"/>
      <c r="Q414" s="10"/>
      <c r="R414" s="10"/>
      <c r="S414" s="10"/>
    </row>
    <row r="415" spans="10:19">
      <c r="J415" s="10"/>
      <c r="K415" s="1127"/>
      <c r="L415" s="10"/>
      <c r="M415" s="10"/>
      <c r="N415" s="10"/>
      <c r="O415" s="10"/>
      <c r="P415" s="10"/>
      <c r="Q415" s="10"/>
      <c r="R415" s="10"/>
      <c r="S415" s="10"/>
    </row>
    <row r="416" spans="10:19">
      <c r="J416" s="10"/>
      <c r="K416" s="1127"/>
      <c r="L416" s="10"/>
      <c r="M416" s="10"/>
      <c r="N416" s="10"/>
      <c r="O416" s="10"/>
      <c r="P416" s="10"/>
      <c r="Q416" s="10"/>
      <c r="R416" s="10"/>
      <c r="S416" s="10"/>
    </row>
    <row r="417" spans="10:19">
      <c r="J417" s="10"/>
      <c r="K417" s="1127"/>
      <c r="L417" s="10"/>
      <c r="M417" s="10"/>
      <c r="N417" s="10"/>
      <c r="O417" s="10"/>
      <c r="P417" s="10"/>
      <c r="Q417" s="10"/>
      <c r="R417" s="10"/>
      <c r="S417" s="10"/>
    </row>
    <row r="418" spans="10:19">
      <c r="J418" s="10"/>
      <c r="K418" s="1127"/>
      <c r="L418" s="10"/>
      <c r="M418" s="10"/>
      <c r="N418" s="10"/>
      <c r="O418" s="10"/>
      <c r="P418" s="10"/>
      <c r="Q418" s="10"/>
      <c r="R418" s="10"/>
      <c r="S418" s="10"/>
    </row>
    <row r="419" spans="10:19">
      <c r="J419" s="10"/>
      <c r="K419" s="1127"/>
      <c r="L419" s="10"/>
      <c r="M419" s="10"/>
      <c r="N419" s="10"/>
      <c r="O419" s="10"/>
      <c r="P419" s="10"/>
      <c r="Q419" s="10"/>
      <c r="R419" s="10"/>
      <c r="S419" s="10"/>
    </row>
    <row r="420" spans="10:19">
      <c r="J420" s="10"/>
      <c r="K420" s="1127"/>
      <c r="L420" s="10"/>
      <c r="M420" s="10"/>
      <c r="N420" s="10"/>
      <c r="O420" s="10"/>
      <c r="P420" s="10"/>
      <c r="Q420" s="10"/>
      <c r="R420" s="10"/>
      <c r="S420" s="10"/>
    </row>
    <row r="421" spans="10:19">
      <c r="J421" s="10"/>
      <c r="K421" s="1127"/>
      <c r="L421" s="10"/>
      <c r="M421" s="10"/>
      <c r="N421" s="10"/>
      <c r="O421" s="10"/>
      <c r="P421" s="10"/>
      <c r="Q421" s="10"/>
      <c r="R421" s="10"/>
      <c r="S421" s="10"/>
    </row>
    <row r="422" spans="10:19">
      <c r="J422" s="10"/>
      <c r="K422" s="1127"/>
      <c r="L422" s="10"/>
      <c r="M422" s="10"/>
      <c r="N422" s="10"/>
      <c r="O422" s="10"/>
      <c r="P422" s="10"/>
      <c r="Q422" s="10"/>
      <c r="R422" s="10"/>
      <c r="S422" s="10"/>
    </row>
    <row r="423" spans="10:19">
      <c r="J423" s="10"/>
      <c r="K423" s="1127"/>
      <c r="L423" s="10"/>
      <c r="M423" s="10"/>
      <c r="N423" s="10"/>
      <c r="O423" s="10"/>
      <c r="P423" s="10"/>
      <c r="Q423" s="10"/>
      <c r="R423" s="10"/>
      <c r="S423" s="10"/>
    </row>
    <row r="424" spans="10:19">
      <c r="J424" s="10"/>
      <c r="K424" s="1127"/>
      <c r="L424" s="10"/>
      <c r="M424" s="10"/>
      <c r="N424" s="10"/>
      <c r="O424" s="10"/>
      <c r="P424" s="10"/>
      <c r="Q424" s="10"/>
      <c r="R424" s="10"/>
      <c r="S424" s="10"/>
    </row>
    <row r="425" spans="10:19">
      <c r="J425" s="10"/>
      <c r="K425" s="1127"/>
      <c r="L425" s="10"/>
      <c r="M425" s="10"/>
      <c r="N425" s="10"/>
      <c r="O425" s="10"/>
      <c r="P425" s="10"/>
      <c r="Q425" s="10"/>
      <c r="R425" s="10"/>
      <c r="S425" s="10"/>
    </row>
    <row r="426" spans="10:19">
      <c r="J426" s="10"/>
      <c r="K426" s="1127"/>
      <c r="L426" s="10"/>
      <c r="M426" s="10"/>
      <c r="N426" s="10"/>
      <c r="O426" s="10"/>
      <c r="P426" s="10"/>
      <c r="Q426" s="10"/>
      <c r="R426" s="10"/>
      <c r="S426" s="10"/>
    </row>
    <row r="427" spans="10:19">
      <c r="J427" s="10"/>
      <c r="K427" s="1127"/>
      <c r="L427" s="10"/>
      <c r="M427" s="10"/>
      <c r="N427" s="10"/>
      <c r="O427" s="10"/>
      <c r="P427" s="10"/>
      <c r="Q427" s="10"/>
      <c r="R427" s="10"/>
      <c r="S427" s="10"/>
    </row>
    <row r="428" spans="10:19">
      <c r="J428" s="10"/>
      <c r="K428" s="1127"/>
      <c r="L428" s="10"/>
      <c r="M428" s="10"/>
      <c r="N428" s="10"/>
      <c r="O428" s="10"/>
      <c r="P428" s="10"/>
      <c r="Q428" s="10"/>
      <c r="R428" s="10"/>
      <c r="S428" s="10"/>
    </row>
    <row r="429" spans="10:19">
      <c r="J429" s="10"/>
      <c r="K429" s="1127"/>
      <c r="L429" s="10"/>
      <c r="M429" s="10"/>
      <c r="N429" s="10"/>
      <c r="O429" s="10"/>
      <c r="P429" s="10"/>
      <c r="Q429" s="10"/>
      <c r="R429" s="10"/>
      <c r="S429" s="10"/>
    </row>
    <row r="430" spans="10:19">
      <c r="J430" s="10"/>
      <c r="K430" s="1127"/>
      <c r="L430" s="10"/>
      <c r="M430" s="10"/>
      <c r="N430" s="10"/>
      <c r="O430" s="10"/>
      <c r="P430" s="10"/>
      <c r="Q430" s="10"/>
      <c r="R430" s="10"/>
      <c r="S430" s="10"/>
    </row>
    <row r="431" spans="10:19">
      <c r="J431" s="10"/>
      <c r="K431" s="1127"/>
      <c r="L431" s="10"/>
      <c r="M431" s="10"/>
      <c r="N431" s="10"/>
      <c r="O431" s="10"/>
      <c r="P431" s="10"/>
      <c r="Q431" s="10"/>
      <c r="R431" s="10"/>
      <c r="S431" s="10"/>
    </row>
    <row r="432" spans="10:19">
      <c r="J432" s="10"/>
      <c r="K432" s="1127"/>
      <c r="L432" s="10"/>
      <c r="M432" s="10"/>
      <c r="N432" s="10"/>
      <c r="O432" s="10"/>
      <c r="P432" s="10"/>
      <c r="Q432" s="10"/>
      <c r="R432" s="10"/>
      <c r="S432" s="10"/>
    </row>
    <row r="433" spans="10:19">
      <c r="J433" s="10"/>
      <c r="K433" s="1127"/>
      <c r="L433" s="10"/>
      <c r="M433" s="10"/>
      <c r="N433" s="10"/>
      <c r="O433" s="10"/>
      <c r="P433" s="10"/>
      <c r="Q433" s="10"/>
      <c r="R433" s="10"/>
      <c r="S433" s="10"/>
    </row>
    <row r="434" spans="10:19">
      <c r="J434" s="10"/>
      <c r="K434" s="1127"/>
      <c r="L434" s="10"/>
      <c r="M434" s="10"/>
      <c r="N434" s="10"/>
      <c r="O434" s="10"/>
      <c r="P434" s="10"/>
      <c r="Q434" s="10"/>
      <c r="R434" s="10"/>
      <c r="S434" s="10"/>
    </row>
    <row r="435" spans="10:19">
      <c r="J435" s="10"/>
      <c r="K435" s="1127"/>
      <c r="L435" s="10"/>
      <c r="M435" s="10"/>
      <c r="N435" s="10"/>
      <c r="O435" s="10"/>
      <c r="P435" s="10"/>
      <c r="Q435" s="10"/>
      <c r="R435" s="10"/>
      <c r="S435" s="10"/>
    </row>
    <row r="436" spans="10:19">
      <c r="J436" s="10"/>
      <c r="K436" s="1127"/>
      <c r="L436" s="10"/>
      <c r="M436" s="10"/>
      <c r="N436" s="10"/>
      <c r="O436" s="10"/>
      <c r="P436" s="10"/>
      <c r="Q436" s="10"/>
      <c r="R436" s="10"/>
      <c r="S436" s="10"/>
    </row>
    <row r="437" spans="10:19">
      <c r="J437" s="10"/>
      <c r="K437" s="1127"/>
      <c r="L437" s="10"/>
      <c r="M437" s="10"/>
      <c r="N437" s="10"/>
      <c r="O437" s="10"/>
      <c r="P437" s="10"/>
      <c r="Q437" s="10"/>
      <c r="R437" s="10"/>
      <c r="S437" s="10"/>
    </row>
    <row r="438" spans="10:19">
      <c r="J438" s="10"/>
      <c r="K438" s="1127"/>
      <c r="L438" s="10"/>
      <c r="M438" s="10"/>
      <c r="N438" s="10"/>
      <c r="O438" s="10"/>
      <c r="P438" s="10"/>
      <c r="Q438" s="10"/>
      <c r="R438" s="10"/>
      <c r="S438" s="10"/>
    </row>
    <row r="439" spans="10:19">
      <c r="J439" s="10"/>
      <c r="K439" s="1127"/>
      <c r="L439" s="10"/>
      <c r="M439" s="10"/>
      <c r="N439" s="10"/>
      <c r="O439" s="10"/>
      <c r="P439" s="10"/>
      <c r="Q439" s="10"/>
      <c r="R439" s="10"/>
      <c r="S439" s="10"/>
    </row>
    <row r="440" spans="10:19">
      <c r="J440" s="10"/>
      <c r="K440" s="1127"/>
      <c r="L440" s="10"/>
      <c r="M440" s="10"/>
      <c r="N440" s="10"/>
      <c r="O440" s="10"/>
      <c r="P440" s="10"/>
      <c r="Q440" s="10"/>
      <c r="R440" s="10"/>
      <c r="S440" s="10"/>
    </row>
    <row r="441" spans="10:19">
      <c r="J441" s="10"/>
      <c r="K441" s="1127"/>
      <c r="L441" s="10"/>
      <c r="M441" s="10"/>
      <c r="N441" s="10"/>
      <c r="O441" s="10"/>
      <c r="P441" s="10"/>
      <c r="Q441" s="10"/>
      <c r="R441" s="10"/>
      <c r="S441" s="10"/>
    </row>
    <row r="442" spans="10:19">
      <c r="J442" s="10"/>
      <c r="K442" s="1127"/>
      <c r="L442" s="10"/>
      <c r="M442" s="10"/>
      <c r="N442" s="10"/>
      <c r="O442" s="10"/>
      <c r="P442" s="10"/>
      <c r="Q442" s="10"/>
      <c r="R442" s="10"/>
      <c r="S442" s="10"/>
    </row>
    <row r="443" spans="10:19">
      <c r="J443" s="10"/>
      <c r="K443" s="1127"/>
      <c r="L443" s="10"/>
      <c r="M443" s="10"/>
      <c r="N443" s="10"/>
      <c r="O443" s="10"/>
      <c r="P443" s="10"/>
      <c r="Q443" s="10"/>
      <c r="R443" s="10"/>
      <c r="S443" s="10"/>
    </row>
    <row r="444" spans="10:19">
      <c r="J444" s="10"/>
      <c r="K444" s="1127"/>
      <c r="L444" s="10"/>
      <c r="M444" s="10"/>
      <c r="N444" s="10"/>
      <c r="O444" s="10"/>
      <c r="P444" s="10"/>
      <c r="Q444" s="10"/>
      <c r="R444" s="10"/>
      <c r="S444" s="10"/>
    </row>
    <row r="445" spans="10:19">
      <c r="J445" s="10"/>
      <c r="K445" s="1127"/>
      <c r="L445" s="10"/>
      <c r="M445" s="10"/>
      <c r="N445" s="10"/>
      <c r="O445" s="10"/>
      <c r="P445" s="10"/>
      <c r="Q445" s="10"/>
      <c r="R445" s="10"/>
      <c r="S445" s="10"/>
    </row>
    <row r="446" spans="10:19">
      <c r="J446" s="10"/>
      <c r="K446" s="1127"/>
      <c r="L446" s="10"/>
      <c r="M446" s="10"/>
      <c r="N446" s="10"/>
      <c r="O446" s="10"/>
      <c r="P446" s="10"/>
      <c r="Q446" s="10"/>
      <c r="R446" s="10"/>
      <c r="S446" s="10"/>
    </row>
    <row r="447" spans="10:19">
      <c r="J447" s="10"/>
      <c r="K447" s="1127"/>
      <c r="L447" s="10"/>
      <c r="M447" s="10"/>
      <c r="N447" s="10"/>
      <c r="O447" s="10"/>
      <c r="P447" s="10"/>
      <c r="Q447" s="10"/>
      <c r="R447" s="10"/>
      <c r="S447" s="10"/>
    </row>
    <row r="448" spans="10:19">
      <c r="J448" s="10"/>
      <c r="K448" s="1127"/>
      <c r="L448" s="10"/>
      <c r="M448" s="10"/>
      <c r="N448" s="10"/>
      <c r="O448" s="10"/>
      <c r="P448" s="10"/>
      <c r="Q448" s="10"/>
      <c r="R448" s="10"/>
      <c r="S448" s="10"/>
    </row>
    <row r="449" spans="10:19">
      <c r="J449" s="10"/>
      <c r="K449" s="1127"/>
      <c r="L449" s="10"/>
      <c r="M449" s="10"/>
      <c r="N449" s="10"/>
      <c r="O449" s="10"/>
      <c r="P449" s="10"/>
      <c r="Q449" s="10"/>
      <c r="R449" s="10"/>
      <c r="S449" s="10"/>
    </row>
    <row r="450" spans="10:19">
      <c r="J450" s="10"/>
      <c r="K450" s="1127"/>
      <c r="L450" s="10"/>
      <c r="M450" s="10"/>
      <c r="N450" s="10"/>
      <c r="O450" s="10"/>
      <c r="P450" s="10"/>
      <c r="Q450" s="10"/>
      <c r="R450" s="10"/>
      <c r="S450" s="10"/>
    </row>
    <row r="451" spans="10:19">
      <c r="J451" s="10"/>
      <c r="K451" s="1127"/>
      <c r="L451" s="10"/>
      <c r="M451" s="10"/>
      <c r="N451" s="10"/>
      <c r="O451" s="10"/>
      <c r="P451" s="10"/>
      <c r="Q451" s="10"/>
      <c r="R451" s="10"/>
      <c r="S451" s="10"/>
    </row>
    <row r="452" spans="10:19">
      <c r="J452" s="10"/>
      <c r="K452" s="1127"/>
      <c r="L452" s="10"/>
      <c r="M452" s="10"/>
      <c r="N452" s="10"/>
      <c r="O452" s="10"/>
      <c r="P452" s="10"/>
      <c r="Q452" s="10"/>
      <c r="R452" s="10"/>
      <c r="S452" s="10"/>
    </row>
    <row r="453" spans="10:19">
      <c r="J453" s="10"/>
      <c r="K453" s="1127"/>
      <c r="L453" s="10"/>
      <c r="M453" s="10"/>
      <c r="N453" s="10"/>
      <c r="O453" s="10"/>
      <c r="P453" s="10"/>
      <c r="Q453" s="10"/>
      <c r="R453" s="10"/>
      <c r="S453" s="10"/>
    </row>
    <row r="454" spans="10:19">
      <c r="J454" s="10"/>
      <c r="K454" s="1127"/>
      <c r="L454" s="10"/>
      <c r="M454" s="10"/>
      <c r="N454" s="10"/>
      <c r="O454" s="10"/>
      <c r="P454" s="10"/>
      <c r="Q454" s="10"/>
      <c r="R454" s="10"/>
      <c r="S454" s="10"/>
    </row>
    <row r="455" spans="10:19">
      <c r="J455" s="10"/>
      <c r="K455" s="1127"/>
      <c r="L455" s="10"/>
      <c r="M455" s="10"/>
      <c r="N455" s="10"/>
      <c r="O455" s="10"/>
      <c r="P455" s="10"/>
      <c r="Q455" s="10"/>
      <c r="R455" s="10"/>
      <c r="S455" s="10"/>
    </row>
    <row r="456" spans="10:19">
      <c r="J456" s="10"/>
      <c r="K456" s="1127"/>
      <c r="L456" s="10"/>
      <c r="M456" s="10"/>
      <c r="N456" s="10"/>
      <c r="O456" s="10"/>
      <c r="P456" s="10"/>
      <c r="Q456" s="10"/>
      <c r="R456" s="10"/>
      <c r="S456" s="10"/>
    </row>
    <row r="457" spans="10:19">
      <c r="J457" s="10"/>
      <c r="K457" s="1127"/>
      <c r="L457" s="10"/>
      <c r="M457" s="10"/>
      <c r="N457" s="10"/>
      <c r="O457" s="10"/>
      <c r="P457" s="10"/>
      <c r="Q457" s="10"/>
      <c r="R457" s="10"/>
      <c r="S457" s="10"/>
    </row>
    <row r="458" spans="10:19">
      <c r="J458" s="10"/>
      <c r="K458" s="1127"/>
      <c r="L458" s="10"/>
      <c r="M458" s="10"/>
      <c r="N458" s="10"/>
      <c r="O458" s="10"/>
      <c r="P458" s="10"/>
      <c r="Q458" s="10"/>
      <c r="R458" s="10"/>
      <c r="S458" s="10"/>
    </row>
    <row r="459" spans="10:19">
      <c r="J459" s="10"/>
      <c r="K459" s="1127"/>
      <c r="L459" s="10"/>
      <c r="M459" s="10"/>
      <c r="N459" s="10"/>
      <c r="O459" s="10"/>
      <c r="P459" s="10"/>
      <c r="Q459" s="10"/>
      <c r="R459" s="10"/>
      <c r="S459" s="10"/>
    </row>
    <row r="460" spans="10:19">
      <c r="J460" s="10"/>
      <c r="K460" s="1127"/>
      <c r="L460" s="10"/>
      <c r="M460" s="10"/>
      <c r="N460" s="10"/>
      <c r="O460" s="10"/>
      <c r="P460" s="10"/>
      <c r="Q460" s="10"/>
      <c r="R460" s="10"/>
      <c r="S460" s="10"/>
    </row>
    <row r="461" spans="10:19">
      <c r="J461" s="10"/>
      <c r="K461" s="1127"/>
      <c r="L461" s="10"/>
      <c r="M461" s="10"/>
      <c r="N461" s="10"/>
      <c r="O461" s="10"/>
      <c r="P461" s="10"/>
      <c r="Q461" s="10"/>
      <c r="R461" s="10"/>
      <c r="S461" s="10"/>
    </row>
    <row r="462" spans="10:19">
      <c r="J462" s="10"/>
      <c r="K462" s="1127"/>
      <c r="L462" s="10"/>
      <c r="M462" s="10"/>
      <c r="N462" s="10"/>
      <c r="O462" s="10"/>
      <c r="P462" s="10"/>
      <c r="Q462" s="10"/>
      <c r="R462" s="10"/>
      <c r="S462" s="10"/>
    </row>
    <row r="463" spans="10:19">
      <c r="J463" s="10"/>
      <c r="K463" s="1127"/>
      <c r="L463" s="10"/>
      <c r="M463" s="10"/>
      <c r="N463" s="10"/>
      <c r="O463" s="10"/>
      <c r="P463" s="10"/>
      <c r="Q463" s="10"/>
      <c r="R463" s="10"/>
      <c r="S463" s="10"/>
    </row>
    <row r="464" spans="10:19">
      <c r="J464" s="10"/>
      <c r="K464" s="1127"/>
      <c r="L464" s="10"/>
      <c r="M464" s="10"/>
      <c r="N464" s="10"/>
      <c r="O464" s="10"/>
      <c r="P464" s="10"/>
      <c r="Q464" s="10"/>
      <c r="R464" s="10"/>
      <c r="S464" s="10"/>
    </row>
    <row r="465" spans="10:19">
      <c r="J465" s="10"/>
      <c r="K465" s="1127"/>
      <c r="L465" s="10"/>
      <c r="M465" s="10"/>
      <c r="N465" s="10"/>
      <c r="O465" s="10"/>
      <c r="P465" s="10"/>
      <c r="Q465" s="10"/>
      <c r="R465" s="10"/>
      <c r="S465" s="10"/>
    </row>
    <row r="466" spans="10:19">
      <c r="J466" s="10"/>
      <c r="K466" s="1127"/>
      <c r="L466" s="10"/>
      <c r="M466" s="10"/>
      <c r="N466" s="10"/>
      <c r="O466" s="10"/>
      <c r="P466" s="10"/>
      <c r="Q466" s="10"/>
      <c r="R466" s="10"/>
      <c r="S466" s="10"/>
    </row>
    <row r="467" spans="10:19">
      <c r="J467" s="10"/>
      <c r="K467" s="1127"/>
      <c r="L467" s="10"/>
      <c r="M467" s="10"/>
      <c r="N467" s="10"/>
      <c r="O467" s="10"/>
      <c r="P467" s="10"/>
      <c r="Q467" s="10"/>
      <c r="R467" s="10"/>
      <c r="S467" s="10"/>
    </row>
    <row r="468" spans="10:19">
      <c r="J468" s="10"/>
      <c r="K468" s="1127"/>
      <c r="L468" s="10"/>
      <c r="M468" s="10"/>
      <c r="N468" s="10"/>
      <c r="O468" s="10"/>
      <c r="P468" s="10"/>
      <c r="Q468" s="10"/>
      <c r="R468" s="10"/>
      <c r="S468" s="10"/>
    </row>
    <row r="469" spans="10:19">
      <c r="J469" s="10"/>
      <c r="K469" s="1127"/>
      <c r="L469" s="10"/>
      <c r="M469" s="10"/>
      <c r="N469" s="10"/>
      <c r="O469" s="10"/>
      <c r="P469" s="10"/>
      <c r="Q469" s="10"/>
      <c r="R469" s="10"/>
      <c r="S469" s="10"/>
    </row>
    <row r="470" spans="10:19">
      <c r="J470" s="10"/>
      <c r="K470" s="1127"/>
      <c r="L470" s="10"/>
      <c r="M470" s="10"/>
      <c r="N470" s="10"/>
      <c r="O470" s="10"/>
      <c r="P470" s="10"/>
      <c r="Q470" s="10"/>
      <c r="R470" s="10"/>
      <c r="S470" s="10"/>
    </row>
    <row r="471" spans="10:19">
      <c r="J471" s="10"/>
      <c r="K471" s="1127"/>
      <c r="L471" s="10"/>
      <c r="M471" s="10"/>
      <c r="N471" s="10"/>
      <c r="O471" s="10"/>
      <c r="P471" s="10"/>
      <c r="Q471" s="10"/>
      <c r="R471" s="10"/>
      <c r="S471" s="10"/>
    </row>
    <row r="472" spans="10:19">
      <c r="J472" s="10"/>
      <c r="K472" s="1127"/>
      <c r="L472" s="10"/>
      <c r="M472" s="10"/>
      <c r="N472" s="10"/>
      <c r="O472" s="10"/>
      <c r="P472" s="10"/>
      <c r="Q472" s="10"/>
      <c r="R472" s="10"/>
      <c r="S472" s="10"/>
    </row>
    <row r="473" spans="10:19">
      <c r="J473" s="10"/>
      <c r="K473" s="1127"/>
      <c r="L473" s="10"/>
      <c r="M473" s="10"/>
      <c r="N473" s="10"/>
      <c r="O473" s="10"/>
      <c r="P473" s="10"/>
      <c r="Q473" s="10"/>
      <c r="R473" s="10"/>
      <c r="S473" s="10"/>
    </row>
    <row r="474" spans="10:19">
      <c r="J474" s="10"/>
      <c r="K474" s="1127"/>
      <c r="L474" s="10"/>
      <c r="M474" s="10"/>
      <c r="N474" s="10"/>
      <c r="O474" s="10"/>
      <c r="P474" s="10"/>
      <c r="Q474" s="10"/>
      <c r="R474" s="10"/>
      <c r="S474" s="10"/>
    </row>
    <row r="475" spans="10:19">
      <c r="J475" s="10"/>
      <c r="K475" s="1127"/>
      <c r="L475" s="10"/>
      <c r="M475" s="10"/>
      <c r="N475" s="10"/>
      <c r="O475" s="10"/>
      <c r="P475" s="10"/>
      <c r="Q475" s="10"/>
      <c r="R475" s="10"/>
      <c r="S475" s="10"/>
    </row>
    <row r="476" spans="10:19">
      <c r="J476" s="10"/>
      <c r="K476" s="1127"/>
      <c r="L476" s="10"/>
      <c r="M476" s="10"/>
      <c r="N476" s="10"/>
      <c r="O476" s="10"/>
      <c r="P476" s="10"/>
      <c r="Q476" s="10"/>
      <c r="R476" s="10"/>
      <c r="S476" s="10"/>
    </row>
    <row r="477" spans="10:19">
      <c r="J477" s="10"/>
      <c r="K477" s="1127"/>
      <c r="L477" s="10"/>
      <c r="M477" s="10"/>
      <c r="N477" s="10"/>
      <c r="O477" s="10"/>
      <c r="P477" s="10"/>
      <c r="Q477" s="10"/>
      <c r="R477" s="10"/>
      <c r="S477" s="10"/>
    </row>
    <row r="478" spans="10:19">
      <c r="J478" s="10"/>
      <c r="K478" s="1127"/>
      <c r="L478" s="10"/>
      <c r="M478" s="10"/>
      <c r="N478" s="10"/>
      <c r="O478" s="10"/>
      <c r="P478" s="10"/>
      <c r="Q478" s="10"/>
      <c r="R478" s="10"/>
      <c r="S478" s="10"/>
    </row>
    <row r="479" spans="10:19">
      <c r="J479" s="10"/>
      <c r="K479" s="1127"/>
      <c r="L479" s="10"/>
      <c r="M479" s="10"/>
      <c r="N479" s="10"/>
      <c r="O479" s="10"/>
      <c r="P479" s="10"/>
      <c r="Q479" s="10"/>
      <c r="R479" s="10"/>
      <c r="S479" s="10"/>
    </row>
    <row r="480" spans="10:19">
      <c r="J480" s="10"/>
      <c r="K480" s="1127"/>
      <c r="L480" s="10"/>
      <c r="M480" s="10"/>
      <c r="N480" s="10"/>
      <c r="O480" s="10"/>
      <c r="P480" s="10"/>
      <c r="Q480" s="10"/>
      <c r="R480" s="10"/>
      <c r="S480" s="10"/>
    </row>
    <row r="481" spans="10:19">
      <c r="J481" s="10"/>
      <c r="K481" s="1127"/>
      <c r="L481" s="10"/>
      <c r="M481" s="10"/>
      <c r="N481" s="10"/>
      <c r="O481" s="10"/>
      <c r="P481" s="10"/>
      <c r="Q481" s="10"/>
      <c r="R481" s="10"/>
      <c r="S481" s="10"/>
    </row>
    <row r="482" spans="10:19">
      <c r="J482" s="10"/>
      <c r="K482" s="1127"/>
      <c r="L482" s="10"/>
      <c r="M482" s="10"/>
      <c r="N482" s="10"/>
      <c r="O482" s="10"/>
      <c r="P482" s="10"/>
      <c r="Q482" s="10"/>
      <c r="R482" s="10"/>
      <c r="S482" s="10"/>
    </row>
    <row r="483" spans="10:19">
      <c r="J483" s="10"/>
      <c r="K483" s="1127"/>
      <c r="L483" s="10"/>
      <c r="M483" s="10"/>
      <c r="N483" s="10"/>
      <c r="O483" s="10"/>
      <c r="P483" s="10"/>
      <c r="Q483" s="10"/>
      <c r="R483" s="10"/>
      <c r="S483" s="10"/>
    </row>
    <row r="484" spans="10:19">
      <c r="J484" s="10"/>
      <c r="K484" s="1127"/>
      <c r="L484" s="10"/>
      <c r="M484" s="10"/>
      <c r="N484" s="10"/>
      <c r="O484" s="10"/>
      <c r="P484" s="10"/>
      <c r="Q484" s="10"/>
      <c r="R484" s="10"/>
      <c r="S484" s="10"/>
    </row>
    <row r="485" spans="10:19">
      <c r="J485" s="10"/>
      <c r="K485" s="1127"/>
      <c r="L485" s="10"/>
      <c r="M485" s="10"/>
      <c r="N485" s="10"/>
      <c r="O485" s="10"/>
      <c r="P485" s="10"/>
      <c r="Q485" s="10"/>
      <c r="R485" s="10"/>
      <c r="S485" s="10"/>
    </row>
    <row r="486" spans="10:19">
      <c r="J486" s="10"/>
      <c r="K486" s="1127"/>
      <c r="L486" s="10"/>
      <c r="M486" s="10"/>
      <c r="N486" s="10"/>
      <c r="O486" s="10"/>
      <c r="P486" s="10"/>
      <c r="Q486" s="10"/>
      <c r="R486" s="10"/>
      <c r="S486" s="10"/>
    </row>
    <row r="487" spans="10:19">
      <c r="J487" s="10"/>
      <c r="K487" s="1127"/>
      <c r="L487" s="10"/>
      <c r="M487" s="10"/>
      <c r="N487" s="10"/>
      <c r="O487" s="10"/>
      <c r="P487" s="10"/>
      <c r="Q487" s="10"/>
      <c r="R487" s="10"/>
      <c r="S487" s="10"/>
    </row>
    <row r="488" spans="10:19">
      <c r="J488" s="10"/>
      <c r="K488" s="1127"/>
      <c r="L488" s="10"/>
      <c r="M488" s="10"/>
      <c r="N488" s="10"/>
      <c r="O488" s="10"/>
      <c r="P488" s="10"/>
      <c r="Q488" s="10"/>
      <c r="R488" s="10"/>
      <c r="S488" s="10"/>
    </row>
    <row r="489" spans="10:19">
      <c r="J489" s="10"/>
      <c r="K489" s="1127"/>
      <c r="L489" s="10"/>
      <c r="M489" s="10"/>
      <c r="N489" s="10"/>
      <c r="O489" s="10"/>
      <c r="P489" s="10"/>
      <c r="Q489" s="10"/>
      <c r="R489" s="10"/>
      <c r="S489" s="10"/>
    </row>
    <row r="490" spans="10:19">
      <c r="J490" s="10"/>
      <c r="K490" s="1127"/>
      <c r="L490" s="10"/>
      <c r="M490" s="10"/>
      <c r="N490" s="10"/>
      <c r="O490" s="10"/>
      <c r="P490" s="10"/>
      <c r="Q490" s="10"/>
      <c r="R490" s="10"/>
      <c r="S490" s="10"/>
    </row>
    <row r="491" spans="10:19">
      <c r="J491" s="10"/>
      <c r="K491" s="1127"/>
      <c r="L491" s="10"/>
      <c r="M491" s="10"/>
      <c r="N491" s="10"/>
      <c r="O491" s="10"/>
      <c r="P491" s="10"/>
      <c r="Q491" s="10"/>
      <c r="R491" s="10"/>
      <c r="S491" s="10"/>
    </row>
    <row r="492" spans="10:19">
      <c r="J492" s="10"/>
      <c r="K492" s="1127"/>
      <c r="L492" s="10"/>
      <c r="M492" s="10"/>
      <c r="N492" s="10"/>
      <c r="O492" s="10"/>
      <c r="P492" s="10"/>
      <c r="Q492" s="10"/>
      <c r="R492" s="10"/>
      <c r="S492" s="10"/>
    </row>
    <row r="493" spans="10:19">
      <c r="J493" s="10"/>
      <c r="K493" s="1127"/>
      <c r="L493" s="10"/>
      <c r="M493" s="10"/>
      <c r="N493" s="10"/>
      <c r="O493" s="10"/>
      <c r="P493" s="10"/>
      <c r="Q493" s="10"/>
      <c r="R493" s="10"/>
      <c r="S493" s="10"/>
    </row>
    <row r="494" spans="10:19">
      <c r="J494" s="10"/>
      <c r="K494" s="1127"/>
      <c r="L494" s="10"/>
      <c r="M494" s="10"/>
      <c r="N494" s="10"/>
      <c r="O494" s="10"/>
      <c r="P494" s="10"/>
      <c r="Q494" s="10"/>
      <c r="R494" s="10"/>
      <c r="S494" s="10"/>
    </row>
    <row r="495" spans="10:19">
      <c r="J495" s="10"/>
      <c r="K495" s="1127"/>
      <c r="L495" s="10"/>
      <c r="M495" s="10"/>
      <c r="N495" s="10"/>
      <c r="O495" s="10"/>
      <c r="P495" s="10"/>
      <c r="Q495" s="10"/>
      <c r="R495" s="10"/>
      <c r="S495" s="10"/>
    </row>
    <row r="496" spans="10:19">
      <c r="J496" s="10"/>
      <c r="K496" s="1127"/>
      <c r="L496" s="10"/>
      <c r="M496" s="10"/>
      <c r="N496" s="10"/>
      <c r="O496" s="10"/>
      <c r="P496" s="10"/>
      <c r="Q496" s="10"/>
      <c r="R496" s="10"/>
      <c r="S496" s="10"/>
    </row>
    <row r="497" spans="10:19">
      <c r="J497" s="10"/>
      <c r="K497" s="1127"/>
      <c r="L497" s="10"/>
      <c r="M497" s="10"/>
      <c r="N497" s="10"/>
      <c r="O497" s="10"/>
      <c r="P497" s="10"/>
      <c r="Q497" s="10"/>
      <c r="R497" s="10"/>
      <c r="S497" s="10"/>
    </row>
    <row r="498" spans="10:19">
      <c r="J498" s="10"/>
      <c r="K498" s="1127"/>
      <c r="L498" s="10"/>
      <c r="M498" s="10"/>
      <c r="N498" s="10"/>
      <c r="O498" s="10"/>
      <c r="P498" s="10"/>
      <c r="Q498" s="10"/>
      <c r="R498" s="10"/>
      <c r="S498" s="10"/>
    </row>
    <row r="499" spans="10:19">
      <c r="J499" s="10"/>
      <c r="K499" s="1127"/>
      <c r="L499" s="10"/>
      <c r="M499" s="10"/>
      <c r="N499" s="10"/>
      <c r="O499" s="10"/>
      <c r="P499" s="10"/>
      <c r="Q499" s="10"/>
      <c r="R499" s="10"/>
      <c r="S499" s="10"/>
    </row>
    <row r="500" spans="10:19">
      <c r="J500" s="10"/>
      <c r="K500" s="1127"/>
      <c r="L500" s="10"/>
      <c r="M500" s="10"/>
      <c r="N500" s="10"/>
      <c r="O500" s="10"/>
      <c r="P500" s="10"/>
      <c r="Q500" s="10"/>
      <c r="R500" s="10"/>
      <c r="S500" s="10"/>
    </row>
    <row r="501" spans="10:19">
      <c r="J501" s="10"/>
      <c r="K501" s="1127"/>
      <c r="L501" s="10"/>
      <c r="M501" s="10"/>
      <c r="N501" s="10"/>
      <c r="O501" s="10"/>
      <c r="P501" s="10"/>
      <c r="Q501" s="10"/>
      <c r="R501" s="10"/>
      <c r="S501" s="10"/>
    </row>
    <row r="502" spans="10:19">
      <c r="J502" s="10"/>
      <c r="K502" s="1127"/>
      <c r="L502" s="10"/>
      <c r="M502" s="10"/>
      <c r="N502" s="10"/>
      <c r="O502" s="10"/>
      <c r="P502" s="10"/>
      <c r="Q502" s="10"/>
      <c r="R502" s="10"/>
      <c r="S502" s="10"/>
    </row>
    <row r="503" spans="10:19">
      <c r="J503" s="10"/>
      <c r="K503" s="1127"/>
      <c r="L503" s="10"/>
      <c r="M503" s="10"/>
      <c r="N503" s="10"/>
      <c r="O503" s="10"/>
      <c r="P503" s="10"/>
      <c r="Q503" s="10"/>
      <c r="R503" s="10"/>
      <c r="S503" s="10"/>
    </row>
    <row r="504" spans="10:19">
      <c r="J504" s="10"/>
      <c r="K504" s="1127"/>
      <c r="L504" s="10"/>
      <c r="M504" s="10"/>
      <c r="N504" s="10"/>
      <c r="O504" s="10"/>
      <c r="P504" s="10"/>
      <c r="Q504" s="10"/>
      <c r="R504" s="10"/>
      <c r="S504" s="10"/>
    </row>
    <row r="505" spans="10:19">
      <c r="J505" s="10"/>
      <c r="K505" s="1127"/>
      <c r="L505" s="10"/>
      <c r="M505" s="10"/>
      <c r="N505" s="10"/>
      <c r="O505" s="10"/>
      <c r="P505" s="10"/>
      <c r="Q505" s="10"/>
      <c r="R505" s="10"/>
      <c r="S505" s="10"/>
    </row>
    <row r="506" spans="10:19">
      <c r="J506" s="10"/>
      <c r="K506" s="1127"/>
      <c r="L506" s="10"/>
      <c r="M506" s="10"/>
      <c r="N506" s="10"/>
      <c r="O506" s="10"/>
      <c r="P506" s="10"/>
      <c r="Q506" s="10"/>
      <c r="R506" s="10"/>
      <c r="S506" s="10"/>
    </row>
    <row r="507" spans="10:19">
      <c r="J507" s="10"/>
      <c r="K507" s="1127"/>
      <c r="L507" s="10"/>
      <c r="M507" s="10"/>
      <c r="N507" s="10"/>
      <c r="O507" s="10"/>
      <c r="P507" s="10"/>
      <c r="Q507" s="10"/>
      <c r="R507" s="10"/>
      <c r="S507" s="10"/>
    </row>
    <row r="508" spans="10:19">
      <c r="J508" s="10"/>
      <c r="K508" s="1127"/>
      <c r="L508" s="10"/>
      <c r="M508" s="10"/>
      <c r="N508" s="10"/>
      <c r="O508" s="10"/>
      <c r="P508" s="10"/>
      <c r="Q508" s="10"/>
      <c r="R508" s="10"/>
      <c r="S508" s="10"/>
    </row>
    <row r="509" spans="10:19">
      <c r="J509" s="10"/>
      <c r="K509" s="1127"/>
      <c r="L509" s="10"/>
      <c r="M509" s="10"/>
      <c r="N509" s="10"/>
      <c r="O509" s="10"/>
      <c r="P509" s="10"/>
      <c r="Q509" s="10"/>
      <c r="R509" s="10"/>
      <c r="S509" s="10"/>
    </row>
    <row r="510" spans="10:19">
      <c r="J510" s="10"/>
      <c r="K510" s="1127"/>
      <c r="L510" s="10"/>
      <c r="M510" s="10"/>
      <c r="N510" s="10"/>
      <c r="O510" s="10"/>
      <c r="P510" s="10"/>
      <c r="Q510" s="10"/>
      <c r="R510" s="10"/>
      <c r="S510" s="10"/>
    </row>
    <row r="511" spans="10:19">
      <c r="J511" s="10"/>
      <c r="K511" s="1127"/>
      <c r="L511" s="10"/>
      <c r="M511" s="10"/>
      <c r="N511" s="10"/>
      <c r="O511" s="10"/>
      <c r="P511" s="10"/>
      <c r="Q511" s="10"/>
      <c r="R511" s="10"/>
      <c r="S511" s="10"/>
    </row>
    <row r="512" spans="10:19">
      <c r="J512" s="10"/>
      <c r="K512" s="1127"/>
      <c r="L512" s="10"/>
      <c r="M512" s="10"/>
      <c r="N512" s="10"/>
      <c r="O512" s="10"/>
      <c r="P512" s="10"/>
      <c r="Q512" s="10"/>
      <c r="R512" s="10"/>
      <c r="S512" s="10"/>
    </row>
    <row r="513" spans="10:19">
      <c r="J513" s="10"/>
      <c r="K513" s="1127"/>
      <c r="L513" s="10"/>
      <c r="M513" s="10"/>
      <c r="N513" s="10"/>
      <c r="O513" s="10"/>
      <c r="P513" s="10"/>
      <c r="Q513" s="10"/>
      <c r="R513" s="10"/>
      <c r="S513" s="10"/>
    </row>
    <row r="514" spans="10:19">
      <c r="J514" s="10"/>
      <c r="K514" s="1127"/>
      <c r="L514" s="10"/>
      <c r="M514" s="10"/>
      <c r="N514" s="10"/>
      <c r="O514" s="10"/>
      <c r="P514" s="10"/>
      <c r="Q514" s="10"/>
      <c r="R514" s="10"/>
      <c r="S514" s="10"/>
    </row>
    <row r="515" spans="10:19">
      <c r="J515" s="10"/>
      <c r="K515" s="1127"/>
      <c r="L515" s="10"/>
      <c r="M515" s="10"/>
      <c r="N515" s="10"/>
      <c r="O515" s="10"/>
      <c r="P515" s="10"/>
      <c r="Q515" s="10"/>
      <c r="R515" s="10"/>
      <c r="S515" s="10"/>
    </row>
    <row r="516" spans="10:19">
      <c r="J516" s="10"/>
      <c r="K516" s="1127"/>
      <c r="L516" s="10"/>
      <c r="M516" s="10"/>
      <c r="N516" s="10"/>
      <c r="O516" s="10"/>
      <c r="P516" s="10"/>
      <c r="Q516" s="10"/>
      <c r="R516" s="10"/>
      <c r="S516" s="10"/>
    </row>
    <row r="517" spans="10:19">
      <c r="J517" s="10"/>
      <c r="K517" s="1127"/>
      <c r="L517" s="10"/>
      <c r="M517" s="10"/>
      <c r="N517" s="10"/>
      <c r="O517" s="10"/>
      <c r="P517" s="10"/>
      <c r="Q517" s="10"/>
      <c r="R517" s="10"/>
      <c r="S517" s="10"/>
    </row>
    <row r="518" spans="10:19">
      <c r="J518" s="10"/>
      <c r="K518" s="1127"/>
      <c r="L518" s="10"/>
      <c r="M518" s="10"/>
      <c r="N518" s="10"/>
      <c r="O518" s="10"/>
      <c r="P518" s="10"/>
      <c r="Q518" s="10"/>
      <c r="R518" s="10"/>
      <c r="S518" s="10"/>
    </row>
    <row r="519" spans="10:19">
      <c r="J519" s="10"/>
      <c r="K519" s="1127"/>
      <c r="L519" s="10"/>
      <c r="M519" s="10"/>
      <c r="N519" s="10"/>
      <c r="O519" s="10"/>
      <c r="P519" s="10"/>
      <c r="Q519" s="10"/>
      <c r="R519" s="10"/>
      <c r="S519" s="10"/>
    </row>
    <row r="520" spans="10:19">
      <c r="J520" s="10"/>
      <c r="K520" s="1127"/>
      <c r="L520" s="10"/>
      <c r="M520" s="10"/>
      <c r="N520" s="10"/>
      <c r="O520" s="10"/>
      <c r="P520" s="10"/>
      <c r="Q520" s="10"/>
      <c r="R520" s="10"/>
      <c r="S520" s="10"/>
    </row>
    <row r="521" spans="10:19">
      <c r="J521" s="10"/>
      <c r="K521" s="1127"/>
      <c r="L521" s="10"/>
      <c r="M521" s="10"/>
      <c r="N521" s="10"/>
      <c r="O521" s="10"/>
      <c r="P521" s="10"/>
      <c r="Q521" s="10"/>
      <c r="R521" s="10"/>
      <c r="S521" s="10"/>
    </row>
    <row r="522" spans="10:19">
      <c r="J522" s="10"/>
      <c r="K522" s="1127"/>
      <c r="L522" s="10"/>
      <c r="M522" s="10"/>
      <c r="N522" s="10"/>
      <c r="O522" s="10"/>
      <c r="P522" s="10"/>
      <c r="Q522" s="10"/>
      <c r="R522" s="10"/>
      <c r="S522" s="10"/>
    </row>
    <row r="523" spans="10:19">
      <c r="J523" s="10"/>
      <c r="K523" s="1127"/>
      <c r="L523" s="10"/>
      <c r="M523" s="10"/>
      <c r="N523" s="10"/>
      <c r="O523" s="10"/>
      <c r="P523" s="10"/>
      <c r="Q523" s="10"/>
      <c r="R523" s="10"/>
      <c r="S523" s="10"/>
    </row>
    <row r="524" spans="10:19">
      <c r="J524" s="10"/>
      <c r="K524" s="1127"/>
      <c r="L524" s="10"/>
      <c r="M524" s="10"/>
      <c r="N524" s="10"/>
      <c r="O524" s="10"/>
      <c r="P524" s="10"/>
      <c r="Q524" s="10"/>
      <c r="R524" s="10"/>
      <c r="S524" s="10"/>
    </row>
    <row r="525" spans="10:19">
      <c r="J525" s="10"/>
      <c r="K525" s="1127"/>
      <c r="L525" s="10"/>
      <c r="M525" s="10"/>
      <c r="N525" s="10"/>
      <c r="O525" s="10"/>
      <c r="P525" s="10"/>
      <c r="Q525" s="10"/>
      <c r="R525" s="10"/>
      <c r="S525" s="10"/>
    </row>
    <row r="526" spans="10:19">
      <c r="J526" s="10"/>
      <c r="K526" s="1127"/>
      <c r="L526" s="10"/>
      <c r="M526" s="10"/>
      <c r="N526" s="10"/>
      <c r="O526" s="10"/>
      <c r="P526" s="10"/>
      <c r="Q526" s="10"/>
      <c r="R526" s="10"/>
      <c r="S526" s="10"/>
    </row>
    <row r="527" spans="10:19">
      <c r="J527" s="10"/>
      <c r="K527" s="1127"/>
      <c r="L527" s="10"/>
      <c r="M527" s="10"/>
      <c r="N527" s="10"/>
      <c r="O527" s="10"/>
      <c r="P527" s="10"/>
      <c r="Q527" s="10"/>
      <c r="R527" s="10"/>
      <c r="S527" s="10"/>
    </row>
    <row r="528" spans="10:19">
      <c r="J528" s="10"/>
      <c r="K528" s="1127"/>
      <c r="L528" s="10"/>
      <c r="M528" s="10"/>
      <c r="N528" s="10"/>
      <c r="O528" s="10"/>
      <c r="P528" s="10"/>
      <c r="Q528" s="10"/>
      <c r="R528" s="10"/>
      <c r="S528" s="10"/>
    </row>
    <row r="529" spans="10:19">
      <c r="J529" s="10"/>
      <c r="K529" s="1127"/>
      <c r="L529" s="10"/>
      <c r="M529" s="10"/>
      <c r="N529" s="10"/>
      <c r="O529" s="10"/>
      <c r="P529" s="10"/>
      <c r="Q529" s="10"/>
      <c r="R529" s="10"/>
      <c r="S529" s="10"/>
    </row>
    <row r="530" spans="10:19">
      <c r="J530" s="10"/>
      <c r="K530" s="1127"/>
      <c r="L530" s="10"/>
      <c r="M530" s="10"/>
      <c r="N530" s="10"/>
      <c r="O530" s="10"/>
      <c r="P530" s="10"/>
      <c r="Q530" s="10"/>
      <c r="R530" s="10"/>
      <c r="S530" s="10"/>
    </row>
    <row r="531" spans="10:19">
      <c r="J531" s="10"/>
      <c r="K531" s="1127"/>
      <c r="L531" s="10"/>
      <c r="M531" s="10"/>
      <c r="N531" s="10"/>
      <c r="O531" s="10"/>
      <c r="P531" s="10"/>
      <c r="Q531" s="10"/>
      <c r="R531" s="10"/>
      <c r="S531" s="10"/>
    </row>
    <row r="532" spans="10:19">
      <c r="J532" s="10"/>
      <c r="K532" s="1127"/>
      <c r="L532" s="10"/>
      <c r="M532" s="10"/>
      <c r="N532" s="10"/>
      <c r="O532" s="10"/>
      <c r="P532" s="10"/>
      <c r="Q532" s="10"/>
      <c r="R532" s="10"/>
      <c r="S532" s="10"/>
    </row>
    <row r="533" spans="10:19">
      <c r="J533" s="10"/>
      <c r="K533" s="1127"/>
      <c r="L533" s="10"/>
      <c r="M533" s="10"/>
      <c r="N533" s="10"/>
      <c r="O533" s="10"/>
      <c r="P533" s="10"/>
      <c r="Q533" s="10"/>
      <c r="R533" s="10"/>
      <c r="S533" s="10"/>
    </row>
    <row r="534" spans="10:19">
      <c r="J534" s="10"/>
      <c r="K534" s="1127"/>
      <c r="L534" s="10"/>
      <c r="M534" s="10"/>
      <c r="N534" s="10"/>
      <c r="O534" s="10"/>
      <c r="P534" s="10"/>
      <c r="Q534" s="10"/>
      <c r="R534" s="10"/>
      <c r="S534" s="10"/>
    </row>
    <row r="535" spans="10:19">
      <c r="J535" s="10"/>
      <c r="K535" s="1127"/>
      <c r="L535" s="10"/>
      <c r="M535" s="10"/>
      <c r="N535" s="10"/>
      <c r="O535" s="10"/>
      <c r="P535" s="10"/>
      <c r="Q535" s="10"/>
      <c r="R535" s="10"/>
      <c r="S535" s="10"/>
    </row>
    <row r="536" spans="10:19">
      <c r="J536" s="10"/>
      <c r="K536" s="1127"/>
      <c r="L536" s="10"/>
      <c r="M536" s="10"/>
      <c r="N536" s="10"/>
      <c r="O536" s="10"/>
      <c r="P536" s="10"/>
      <c r="Q536" s="10"/>
      <c r="R536" s="10"/>
      <c r="S536" s="10"/>
    </row>
    <row r="537" spans="10:19">
      <c r="J537" s="10"/>
      <c r="K537" s="1127"/>
      <c r="L537" s="10"/>
      <c r="M537" s="10"/>
      <c r="N537" s="10"/>
      <c r="O537" s="10"/>
      <c r="P537" s="10"/>
      <c r="Q537" s="10"/>
      <c r="R537" s="10"/>
      <c r="S537" s="10"/>
    </row>
    <row r="538" spans="10:19">
      <c r="J538" s="10"/>
      <c r="K538" s="1127"/>
      <c r="L538" s="10"/>
      <c r="M538" s="10"/>
      <c r="N538" s="10"/>
      <c r="O538" s="10"/>
      <c r="P538" s="10"/>
      <c r="Q538" s="10"/>
      <c r="R538" s="10"/>
      <c r="S538" s="10"/>
    </row>
    <row r="539" spans="10:19">
      <c r="J539" s="10"/>
      <c r="K539" s="1127"/>
      <c r="L539" s="10"/>
      <c r="M539" s="10"/>
      <c r="N539" s="10"/>
      <c r="O539" s="10"/>
      <c r="P539" s="10"/>
      <c r="Q539" s="10"/>
      <c r="R539" s="10"/>
      <c r="S539" s="10"/>
    </row>
    <row r="540" spans="10:19">
      <c r="J540" s="10"/>
      <c r="K540" s="1127"/>
      <c r="L540" s="10"/>
      <c r="M540" s="10"/>
      <c r="N540" s="10"/>
      <c r="O540" s="10"/>
      <c r="P540" s="10"/>
      <c r="Q540" s="10"/>
      <c r="R540" s="10"/>
      <c r="S540" s="10"/>
    </row>
    <row r="541" spans="10:19">
      <c r="J541" s="10"/>
      <c r="K541" s="1127"/>
      <c r="L541" s="10"/>
      <c r="M541" s="10"/>
      <c r="N541" s="10"/>
      <c r="O541" s="10"/>
      <c r="P541" s="10"/>
      <c r="Q541" s="10"/>
      <c r="R541" s="10"/>
      <c r="S541" s="10"/>
    </row>
    <row r="542" spans="10:19">
      <c r="J542" s="10"/>
      <c r="K542" s="1127"/>
      <c r="L542" s="10"/>
      <c r="M542" s="10"/>
      <c r="N542" s="10"/>
      <c r="O542" s="10"/>
      <c r="P542" s="10"/>
      <c r="Q542" s="10"/>
      <c r="R542" s="10"/>
      <c r="S542" s="10"/>
    </row>
    <row r="543" spans="10:19">
      <c r="J543" s="10"/>
      <c r="K543" s="1127"/>
      <c r="L543" s="10"/>
      <c r="M543" s="10"/>
      <c r="N543" s="10"/>
      <c r="O543" s="10"/>
      <c r="P543" s="10"/>
      <c r="Q543" s="10"/>
      <c r="R543" s="10"/>
      <c r="S543" s="10"/>
    </row>
    <row r="544" spans="10:19">
      <c r="J544" s="10"/>
      <c r="K544" s="1127"/>
      <c r="L544" s="10"/>
      <c r="M544" s="10"/>
      <c r="N544" s="10"/>
      <c r="O544" s="10"/>
      <c r="P544" s="10"/>
      <c r="Q544" s="10"/>
      <c r="R544" s="10"/>
      <c r="S544" s="10"/>
    </row>
    <row r="545" spans="10:19">
      <c r="J545" s="10"/>
      <c r="K545" s="1127"/>
      <c r="L545" s="10"/>
      <c r="M545" s="10"/>
      <c r="N545" s="10"/>
      <c r="O545" s="10"/>
      <c r="P545" s="10"/>
      <c r="Q545" s="10"/>
      <c r="R545" s="10"/>
      <c r="S545" s="10"/>
    </row>
    <row r="546" spans="10:19">
      <c r="J546" s="10"/>
      <c r="K546" s="1127"/>
      <c r="L546" s="10"/>
      <c r="M546" s="10"/>
      <c r="N546" s="10"/>
      <c r="O546" s="10"/>
      <c r="P546" s="10"/>
      <c r="Q546" s="10"/>
      <c r="R546" s="10"/>
      <c r="S546" s="10"/>
    </row>
    <row r="547" spans="10:19">
      <c r="J547" s="10"/>
      <c r="K547" s="1127"/>
      <c r="L547" s="10"/>
      <c r="M547" s="10"/>
      <c r="N547" s="10"/>
      <c r="O547" s="10"/>
      <c r="P547" s="10"/>
      <c r="Q547" s="10"/>
      <c r="R547" s="10"/>
      <c r="S547" s="10"/>
    </row>
    <row r="548" spans="10:19">
      <c r="J548" s="10"/>
      <c r="K548" s="1127"/>
      <c r="L548" s="10"/>
      <c r="M548" s="10"/>
      <c r="N548" s="10"/>
      <c r="O548" s="10"/>
      <c r="P548" s="10"/>
      <c r="Q548" s="10"/>
      <c r="R548" s="10"/>
      <c r="S548" s="10"/>
    </row>
    <row r="549" spans="10:19">
      <c r="J549" s="10"/>
      <c r="K549" s="1127"/>
      <c r="L549" s="10"/>
      <c r="M549" s="10"/>
      <c r="N549" s="10"/>
      <c r="O549" s="10"/>
      <c r="P549" s="10"/>
      <c r="Q549" s="10"/>
      <c r="R549" s="10"/>
      <c r="S549" s="10"/>
    </row>
    <row r="550" spans="10:19">
      <c r="J550" s="10"/>
      <c r="K550" s="1127"/>
      <c r="L550" s="10"/>
      <c r="M550" s="10"/>
      <c r="N550" s="10"/>
      <c r="O550" s="10"/>
      <c r="P550" s="10"/>
      <c r="Q550" s="10"/>
      <c r="R550" s="10"/>
      <c r="S550" s="10"/>
    </row>
    <row r="551" spans="10:19">
      <c r="J551" s="10"/>
      <c r="K551" s="1127"/>
      <c r="L551" s="10"/>
      <c r="M551" s="10"/>
      <c r="N551" s="10"/>
      <c r="O551" s="10"/>
      <c r="P551" s="10"/>
      <c r="Q551" s="10"/>
      <c r="R551" s="10"/>
      <c r="S551" s="10"/>
    </row>
    <row r="552" spans="10:19">
      <c r="J552" s="10"/>
      <c r="K552" s="1127"/>
      <c r="L552" s="10"/>
      <c r="M552" s="10"/>
      <c r="N552" s="10"/>
      <c r="O552" s="10"/>
      <c r="P552" s="10"/>
      <c r="Q552" s="10"/>
      <c r="R552" s="10"/>
      <c r="S552" s="10"/>
    </row>
    <row r="553" spans="10:19">
      <c r="J553" s="10"/>
      <c r="K553" s="1127"/>
      <c r="L553" s="10"/>
      <c r="M553" s="10"/>
      <c r="N553" s="10"/>
      <c r="O553" s="10"/>
      <c r="P553" s="10"/>
      <c r="Q553" s="10"/>
      <c r="R553" s="10"/>
      <c r="S553" s="10"/>
    </row>
    <row r="554" spans="10:19">
      <c r="J554" s="10"/>
      <c r="K554" s="1127"/>
      <c r="L554" s="10"/>
      <c r="M554" s="10"/>
      <c r="N554" s="10"/>
      <c r="O554" s="10"/>
      <c r="P554" s="10"/>
      <c r="Q554" s="10"/>
      <c r="R554" s="10"/>
      <c r="S554" s="10"/>
    </row>
    <row r="555" spans="10:19">
      <c r="J555" s="10"/>
      <c r="K555" s="1127"/>
      <c r="L555" s="10"/>
      <c r="M555" s="10"/>
      <c r="N555" s="10"/>
      <c r="O555" s="10"/>
      <c r="P555" s="10"/>
      <c r="Q555" s="10"/>
      <c r="R555" s="10"/>
      <c r="S555" s="10"/>
    </row>
    <row r="556" spans="10:19">
      <c r="J556" s="10"/>
      <c r="K556" s="1127"/>
      <c r="L556" s="10"/>
      <c r="M556" s="10"/>
      <c r="N556" s="10"/>
      <c r="O556" s="10"/>
      <c r="P556" s="10"/>
      <c r="Q556" s="10"/>
      <c r="R556" s="10"/>
      <c r="S556" s="10"/>
    </row>
    <row r="557" spans="10:19">
      <c r="J557" s="10"/>
      <c r="K557" s="1127"/>
      <c r="L557" s="10"/>
      <c r="M557" s="10"/>
      <c r="N557" s="10"/>
      <c r="O557" s="10"/>
      <c r="P557" s="10"/>
      <c r="Q557" s="10"/>
      <c r="R557" s="10"/>
      <c r="S557" s="10"/>
    </row>
    <row r="558" spans="10:19">
      <c r="J558" s="10"/>
      <c r="K558" s="1127"/>
      <c r="L558" s="10"/>
      <c r="M558" s="10"/>
      <c r="N558" s="10"/>
      <c r="O558" s="10"/>
      <c r="P558" s="10"/>
      <c r="Q558" s="10"/>
      <c r="R558" s="10"/>
      <c r="S558" s="10"/>
    </row>
    <row r="559" spans="10:19">
      <c r="J559" s="10"/>
      <c r="K559" s="1127"/>
      <c r="L559" s="10"/>
      <c r="M559" s="10"/>
      <c r="N559" s="10"/>
      <c r="O559" s="10"/>
      <c r="P559" s="10"/>
      <c r="Q559" s="10"/>
      <c r="R559" s="10"/>
      <c r="S559" s="10"/>
    </row>
    <row r="560" spans="10:19">
      <c r="J560" s="10"/>
      <c r="K560" s="1127"/>
      <c r="L560" s="10"/>
      <c r="M560" s="10"/>
      <c r="N560" s="10"/>
      <c r="O560" s="10"/>
      <c r="P560" s="10"/>
      <c r="Q560" s="10"/>
      <c r="R560" s="10"/>
      <c r="S560" s="10"/>
    </row>
    <row r="561" spans="10:19">
      <c r="J561" s="10"/>
      <c r="K561" s="1127"/>
      <c r="L561" s="10"/>
      <c r="M561" s="10"/>
      <c r="N561" s="10"/>
      <c r="O561" s="10"/>
      <c r="P561" s="10"/>
      <c r="Q561" s="10"/>
      <c r="R561" s="10"/>
      <c r="S561" s="10"/>
    </row>
    <row r="562" spans="10:19">
      <c r="J562" s="10"/>
      <c r="K562" s="1127"/>
      <c r="L562" s="10"/>
      <c r="M562" s="10"/>
      <c r="N562" s="10"/>
      <c r="O562" s="10"/>
      <c r="P562" s="10"/>
      <c r="Q562" s="10"/>
      <c r="R562" s="10"/>
      <c r="S562" s="10"/>
    </row>
    <row r="563" spans="10:19">
      <c r="J563" s="10"/>
      <c r="K563" s="1127"/>
      <c r="L563" s="10"/>
      <c r="M563" s="10"/>
      <c r="N563" s="10"/>
      <c r="O563" s="10"/>
      <c r="P563" s="10"/>
      <c r="Q563" s="10"/>
      <c r="R563" s="10"/>
      <c r="S563" s="10"/>
    </row>
    <row r="564" spans="10:19">
      <c r="J564" s="10"/>
      <c r="K564" s="1127"/>
      <c r="L564" s="10"/>
      <c r="M564" s="10"/>
      <c r="N564" s="10"/>
      <c r="O564" s="10"/>
      <c r="P564" s="10"/>
      <c r="Q564" s="10"/>
      <c r="R564" s="10"/>
      <c r="S564" s="10"/>
    </row>
    <row r="565" spans="10:19">
      <c r="J565" s="10"/>
      <c r="K565" s="1127"/>
      <c r="L565" s="10"/>
      <c r="M565" s="10"/>
      <c r="N565" s="10"/>
      <c r="O565" s="10"/>
      <c r="P565" s="10"/>
      <c r="Q565" s="10"/>
      <c r="R565" s="10"/>
      <c r="S565" s="10"/>
    </row>
    <row r="566" spans="10:19">
      <c r="J566" s="10"/>
      <c r="K566" s="1127"/>
      <c r="L566" s="10"/>
      <c r="M566" s="10"/>
      <c r="N566" s="10"/>
      <c r="O566" s="10"/>
      <c r="P566" s="10"/>
      <c r="Q566" s="10"/>
      <c r="R566" s="10"/>
      <c r="S566" s="10"/>
    </row>
    <row r="567" spans="10:19">
      <c r="J567" s="10"/>
      <c r="K567" s="1127"/>
      <c r="L567" s="10"/>
      <c r="M567" s="10"/>
      <c r="N567" s="10"/>
      <c r="O567" s="10"/>
      <c r="P567" s="10"/>
      <c r="Q567" s="10"/>
      <c r="R567" s="10"/>
      <c r="S567" s="10"/>
    </row>
    <row r="568" spans="10:19">
      <c r="J568" s="10"/>
      <c r="K568" s="1127"/>
      <c r="L568" s="10"/>
      <c r="M568" s="10"/>
      <c r="N568" s="10"/>
      <c r="O568" s="10"/>
      <c r="P568" s="10"/>
      <c r="Q568" s="10"/>
      <c r="R568" s="10"/>
      <c r="S568" s="10"/>
    </row>
    <row r="569" spans="10:19">
      <c r="J569" s="10"/>
      <c r="K569" s="1127"/>
      <c r="L569" s="10"/>
      <c r="M569" s="10"/>
      <c r="N569" s="10"/>
      <c r="O569" s="10"/>
      <c r="P569" s="10"/>
      <c r="Q569" s="10"/>
      <c r="R569" s="10"/>
      <c r="S569" s="10"/>
    </row>
    <row r="570" spans="10:19">
      <c r="J570" s="10"/>
      <c r="K570" s="1127"/>
      <c r="L570" s="10"/>
      <c r="M570" s="10"/>
      <c r="N570" s="10"/>
      <c r="O570" s="10"/>
      <c r="P570" s="10"/>
      <c r="Q570" s="10"/>
      <c r="R570" s="10"/>
      <c r="S570" s="10"/>
    </row>
    <row r="571" spans="10:19">
      <c r="J571" s="10"/>
      <c r="K571" s="1127"/>
      <c r="L571" s="10"/>
      <c r="M571" s="10"/>
      <c r="N571" s="10"/>
      <c r="O571" s="10"/>
      <c r="P571" s="10"/>
      <c r="Q571" s="10"/>
      <c r="R571" s="10"/>
      <c r="S571" s="10"/>
    </row>
    <row r="572" spans="10:19">
      <c r="J572" s="10"/>
      <c r="K572" s="1127"/>
      <c r="L572" s="10"/>
      <c r="M572" s="10"/>
      <c r="N572" s="10"/>
      <c r="O572" s="10"/>
      <c r="P572" s="10"/>
      <c r="Q572" s="10"/>
      <c r="R572" s="10"/>
      <c r="S572" s="10"/>
    </row>
    <row r="573" spans="10:19">
      <c r="J573" s="10"/>
      <c r="K573" s="1127"/>
      <c r="L573" s="10"/>
      <c r="M573" s="10"/>
      <c r="N573" s="10"/>
      <c r="O573" s="10"/>
      <c r="P573" s="10"/>
      <c r="Q573" s="10"/>
      <c r="R573" s="10"/>
      <c r="S573" s="10"/>
    </row>
    <row r="574" spans="10:19">
      <c r="J574" s="10"/>
      <c r="K574" s="1127"/>
      <c r="L574" s="10"/>
      <c r="M574" s="10"/>
      <c r="N574" s="10"/>
      <c r="O574" s="10"/>
      <c r="P574" s="10"/>
      <c r="Q574" s="10"/>
      <c r="R574" s="10"/>
      <c r="S574" s="10"/>
    </row>
    <row r="575" spans="10:19">
      <c r="J575" s="10"/>
      <c r="K575" s="1127"/>
      <c r="L575" s="10"/>
      <c r="M575" s="10"/>
      <c r="N575" s="10"/>
      <c r="O575" s="10"/>
      <c r="P575" s="10"/>
      <c r="Q575" s="10"/>
      <c r="R575" s="10"/>
      <c r="S575" s="10"/>
    </row>
    <row r="576" spans="10:19">
      <c r="J576" s="10"/>
      <c r="K576" s="1127"/>
      <c r="L576" s="10"/>
      <c r="M576" s="10"/>
      <c r="N576" s="10"/>
      <c r="O576" s="10"/>
      <c r="P576" s="10"/>
      <c r="Q576" s="10"/>
      <c r="R576" s="10"/>
      <c r="S576" s="10"/>
    </row>
    <row r="577" spans="10:19">
      <c r="J577" s="10"/>
      <c r="K577" s="1127"/>
      <c r="L577" s="10"/>
      <c r="M577" s="10"/>
      <c r="N577" s="10"/>
      <c r="O577" s="10"/>
      <c r="P577" s="10"/>
      <c r="Q577" s="10"/>
      <c r="R577" s="10"/>
      <c r="S577" s="10"/>
    </row>
    <row r="578" spans="10:19">
      <c r="J578" s="10"/>
      <c r="K578" s="1127"/>
      <c r="L578" s="10"/>
      <c r="M578" s="10"/>
      <c r="N578" s="10"/>
      <c r="O578" s="10"/>
      <c r="P578" s="10"/>
      <c r="Q578" s="10"/>
      <c r="R578" s="10"/>
      <c r="S578" s="10"/>
    </row>
    <row r="579" spans="10:19">
      <c r="J579" s="10"/>
      <c r="K579" s="1127"/>
      <c r="L579" s="10"/>
      <c r="M579" s="10"/>
      <c r="N579" s="10"/>
      <c r="O579" s="10"/>
      <c r="P579" s="10"/>
      <c r="Q579" s="10"/>
      <c r="R579" s="10"/>
      <c r="S579" s="10"/>
    </row>
    <row r="580" spans="10:19">
      <c r="J580" s="10"/>
      <c r="K580" s="1127"/>
      <c r="L580" s="10"/>
      <c r="M580" s="10"/>
      <c r="N580" s="10"/>
      <c r="O580" s="10"/>
      <c r="P580" s="10"/>
      <c r="Q580" s="10"/>
      <c r="R580" s="10"/>
      <c r="S580" s="10"/>
    </row>
    <row r="581" spans="10:19">
      <c r="J581" s="10"/>
      <c r="K581" s="1127"/>
      <c r="L581" s="10"/>
      <c r="M581" s="10"/>
      <c r="N581" s="10"/>
      <c r="O581" s="10"/>
      <c r="P581" s="10"/>
      <c r="Q581" s="10"/>
      <c r="R581" s="10"/>
      <c r="S581" s="10"/>
    </row>
    <row r="582" spans="10:19">
      <c r="J582" s="10"/>
      <c r="K582" s="1127"/>
      <c r="L582" s="10"/>
      <c r="M582" s="10"/>
      <c r="N582" s="10"/>
      <c r="O582" s="10"/>
      <c r="P582" s="10"/>
      <c r="Q582" s="10"/>
      <c r="R582" s="10"/>
      <c r="S582" s="10"/>
    </row>
    <row r="583" spans="10:19">
      <c r="J583" s="10"/>
      <c r="K583" s="1127"/>
      <c r="L583" s="10"/>
      <c r="M583" s="10"/>
      <c r="N583" s="10"/>
      <c r="O583" s="10"/>
      <c r="P583" s="10"/>
      <c r="Q583" s="10"/>
      <c r="R583" s="10"/>
      <c r="S583" s="10"/>
    </row>
    <row r="584" spans="10:19">
      <c r="J584" s="10"/>
      <c r="K584" s="1127"/>
      <c r="L584" s="10"/>
      <c r="M584" s="10"/>
      <c r="N584" s="10"/>
      <c r="O584" s="10"/>
      <c r="P584" s="10"/>
      <c r="Q584" s="10"/>
      <c r="R584" s="10"/>
      <c r="S584" s="10"/>
    </row>
    <row r="585" spans="10:19">
      <c r="J585" s="10"/>
      <c r="K585" s="1127"/>
      <c r="L585" s="10"/>
      <c r="M585" s="10"/>
      <c r="N585" s="10"/>
      <c r="O585" s="10"/>
      <c r="P585" s="10"/>
      <c r="Q585" s="10"/>
      <c r="R585" s="10"/>
      <c r="S585" s="10"/>
    </row>
    <row r="586" spans="10:19">
      <c r="J586" s="10"/>
      <c r="K586" s="1127"/>
      <c r="L586" s="10"/>
      <c r="M586" s="10"/>
      <c r="N586" s="10"/>
      <c r="O586" s="10"/>
      <c r="P586" s="10"/>
      <c r="Q586" s="10"/>
      <c r="R586" s="10"/>
      <c r="S586" s="10"/>
    </row>
    <row r="587" spans="10:19">
      <c r="J587" s="10"/>
      <c r="K587" s="1127"/>
      <c r="L587" s="10"/>
      <c r="M587" s="10"/>
      <c r="N587" s="10"/>
      <c r="O587" s="10"/>
      <c r="P587" s="10"/>
      <c r="Q587" s="10"/>
      <c r="R587" s="10"/>
      <c r="S587" s="10"/>
    </row>
    <row r="588" spans="10:19">
      <c r="J588" s="10"/>
      <c r="K588" s="1127"/>
      <c r="L588" s="10"/>
      <c r="M588" s="10"/>
      <c r="N588" s="10"/>
      <c r="O588" s="10"/>
      <c r="P588" s="10"/>
      <c r="Q588" s="10"/>
      <c r="R588" s="10"/>
      <c r="S588" s="10"/>
    </row>
    <row r="589" spans="10:19">
      <c r="J589" s="10"/>
      <c r="K589" s="1127"/>
      <c r="L589" s="10"/>
      <c r="M589" s="10"/>
      <c r="N589" s="10"/>
      <c r="O589" s="10"/>
      <c r="P589" s="10"/>
      <c r="Q589" s="10"/>
      <c r="R589" s="10"/>
      <c r="S589" s="10"/>
    </row>
    <row r="590" spans="10:19">
      <c r="J590" s="10"/>
      <c r="K590" s="1127"/>
      <c r="L590" s="10"/>
      <c r="M590" s="10"/>
      <c r="N590" s="10"/>
      <c r="O590" s="10"/>
      <c r="P590" s="10"/>
      <c r="Q590" s="10"/>
      <c r="R590" s="10"/>
      <c r="S590" s="10"/>
    </row>
    <row r="591" spans="10:19">
      <c r="J591" s="10"/>
      <c r="K591" s="1127"/>
      <c r="L591" s="10"/>
      <c r="M591" s="10"/>
      <c r="N591" s="10"/>
      <c r="O591" s="10"/>
      <c r="P591" s="10"/>
      <c r="Q591" s="10"/>
      <c r="R591" s="10"/>
      <c r="S591" s="10"/>
    </row>
    <row r="592" spans="10:19">
      <c r="J592" s="10"/>
      <c r="K592" s="1127"/>
      <c r="L592" s="10"/>
      <c r="M592" s="10"/>
      <c r="N592" s="10"/>
      <c r="O592" s="10"/>
      <c r="P592" s="10"/>
      <c r="Q592" s="10"/>
      <c r="R592" s="10"/>
      <c r="S592" s="10"/>
    </row>
    <row r="593" spans="10:19">
      <c r="J593" s="10"/>
      <c r="K593" s="1127"/>
      <c r="L593" s="10"/>
      <c r="M593" s="10"/>
      <c r="N593" s="10"/>
      <c r="O593" s="10"/>
      <c r="P593" s="10"/>
      <c r="Q593" s="10"/>
      <c r="R593" s="10"/>
      <c r="S593" s="10"/>
    </row>
    <row r="594" spans="10:19">
      <c r="J594" s="10"/>
      <c r="K594" s="1127"/>
      <c r="L594" s="10"/>
      <c r="M594" s="10"/>
      <c r="N594" s="10"/>
      <c r="O594" s="10"/>
      <c r="P594" s="10"/>
      <c r="Q594" s="10"/>
      <c r="R594" s="10"/>
      <c r="S594" s="10"/>
    </row>
    <row r="595" spans="10:19">
      <c r="J595" s="10"/>
      <c r="K595" s="1127"/>
      <c r="L595" s="10"/>
      <c r="M595" s="10"/>
      <c r="N595" s="10"/>
      <c r="O595" s="10"/>
      <c r="P595" s="10"/>
      <c r="Q595" s="10"/>
      <c r="R595" s="10"/>
      <c r="S595" s="10"/>
    </row>
    <row r="596" spans="10:19">
      <c r="J596" s="10"/>
      <c r="K596" s="1127"/>
      <c r="L596" s="10"/>
      <c r="M596" s="10"/>
      <c r="N596" s="10"/>
      <c r="O596" s="10"/>
      <c r="P596" s="10"/>
      <c r="Q596" s="10"/>
      <c r="R596" s="10"/>
      <c r="S596" s="10"/>
    </row>
    <row r="597" spans="10:19">
      <c r="J597" s="10"/>
      <c r="K597" s="1127"/>
      <c r="L597" s="10"/>
      <c r="M597" s="10"/>
      <c r="N597" s="10"/>
      <c r="O597" s="10"/>
      <c r="P597" s="10"/>
      <c r="Q597" s="10"/>
      <c r="R597" s="10"/>
      <c r="S597" s="10"/>
    </row>
    <row r="598" spans="10:19">
      <c r="J598" s="10"/>
      <c r="K598" s="1127"/>
      <c r="L598" s="10"/>
      <c r="M598" s="10"/>
      <c r="N598" s="10"/>
      <c r="O598" s="10"/>
      <c r="P598" s="10"/>
      <c r="Q598" s="10"/>
      <c r="R598" s="10"/>
      <c r="S598" s="10"/>
    </row>
    <row r="599" spans="10:19">
      <c r="J599" s="10"/>
      <c r="K599" s="1127"/>
      <c r="L599" s="10"/>
      <c r="M599" s="10"/>
      <c r="N599" s="10"/>
      <c r="O599" s="10"/>
      <c r="P599" s="10"/>
      <c r="Q599" s="10"/>
      <c r="R599" s="10"/>
      <c r="S599" s="10"/>
    </row>
    <row r="600" spans="10:19">
      <c r="J600" s="10"/>
      <c r="K600" s="1127"/>
      <c r="L600" s="10"/>
      <c r="M600" s="10"/>
      <c r="N600" s="10"/>
      <c r="O600" s="10"/>
      <c r="P600" s="10"/>
      <c r="Q600" s="10"/>
      <c r="R600" s="10"/>
      <c r="S600" s="10"/>
    </row>
    <row r="601" spans="10:19">
      <c r="J601" s="10"/>
      <c r="K601" s="1127"/>
      <c r="L601" s="10"/>
      <c r="M601" s="10"/>
      <c r="N601" s="10"/>
      <c r="O601" s="10"/>
      <c r="P601" s="10"/>
      <c r="Q601" s="10"/>
      <c r="R601" s="10"/>
      <c r="S601" s="10"/>
    </row>
    <row r="602" spans="10:19">
      <c r="J602" s="10"/>
      <c r="K602" s="1127"/>
      <c r="L602" s="10"/>
      <c r="M602" s="10"/>
      <c r="N602" s="10"/>
      <c r="O602" s="10"/>
      <c r="P602" s="10"/>
      <c r="Q602" s="10"/>
      <c r="R602" s="10"/>
      <c r="S602" s="10"/>
    </row>
    <row r="603" spans="10:19">
      <c r="J603" s="10"/>
      <c r="K603" s="1127"/>
      <c r="L603" s="10"/>
      <c r="M603" s="10"/>
      <c r="N603" s="10"/>
      <c r="O603" s="10"/>
      <c r="P603" s="10"/>
      <c r="Q603" s="10"/>
      <c r="R603" s="10"/>
      <c r="S603" s="10"/>
    </row>
    <row r="604" spans="10:19">
      <c r="J604" s="10"/>
      <c r="K604" s="1127"/>
      <c r="L604" s="10"/>
      <c r="M604" s="10"/>
      <c r="N604" s="10"/>
      <c r="O604" s="10"/>
      <c r="P604" s="10"/>
      <c r="Q604" s="10"/>
      <c r="R604" s="10"/>
      <c r="S604" s="10"/>
    </row>
    <row r="605" spans="10:19">
      <c r="J605" s="10"/>
      <c r="K605" s="1127"/>
      <c r="L605" s="10"/>
      <c r="M605" s="10"/>
      <c r="N605" s="10"/>
      <c r="O605" s="10"/>
      <c r="P605" s="10"/>
      <c r="Q605" s="10"/>
      <c r="R605" s="10"/>
      <c r="S605" s="10"/>
    </row>
    <row r="606" spans="10:19">
      <c r="J606" s="10"/>
      <c r="K606" s="1127"/>
      <c r="L606" s="10"/>
      <c r="M606" s="10"/>
      <c r="N606" s="10"/>
      <c r="O606" s="10"/>
      <c r="P606" s="10"/>
      <c r="Q606" s="10"/>
      <c r="R606" s="10"/>
      <c r="S606" s="10"/>
    </row>
    <row r="607" spans="10:19">
      <c r="J607" s="10"/>
      <c r="K607" s="1127"/>
      <c r="L607" s="10"/>
      <c r="M607" s="10"/>
      <c r="N607" s="10"/>
      <c r="O607" s="10"/>
      <c r="P607" s="10"/>
      <c r="Q607" s="10"/>
      <c r="R607" s="10"/>
      <c r="S607" s="10"/>
    </row>
    <row r="608" spans="10:19">
      <c r="J608" s="10"/>
      <c r="K608" s="1127"/>
      <c r="L608" s="10"/>
      <c r="M608" s="10"/>
      <c r="N608" s="10"/>
      <c r="O608" s="10"/>
      <c r="P608" s="10"/>
      <c r="Q608" s="10"/>
      <c r="R608" s="10"/>
      <c r="S608" s="10"/>
    </row>
    <row r="609" spans="10:19">
      <c r="J609" s="10"/>
      <c r="K609" s="1127"/>
      <c r="L609" s="10"/>
      <c r="M609" s="10"/>
      <c r="N609" s="10"/>
      <c r="O609" s="10"/>
      <c r="P609" s="10"/>
      <c r="Q609" s="10"/>
      <c r="R609" s="10"/>
      <c r="S609" s="10"/>
    </row>
    <row r="610" spans="10:19">
      <c r="J610" s="10"/>
      <c r="K610" s="1127"/>
      <c r="L610" s="10"/>
      <c r="M610" s="10"/>
      <c r="N610" s="10"/>
      <c r="O610" s="10"/>
      <c r="P610" s="10"/>
      <c r="Q610" s="10"/>
      <c r="R610" s="10"/>
      <c r="S610" s="10"/>
    </row>
    <row r="611" spans="10:19">
      <c r="J611" s="10"/>
      <c r="K611" s="1127"/>
      <c r="L611" s="10"/>
      <c r="M611" s="10"/>
      <c r="N611" s="10"/>
      <c r="O611" s="10"/>
      <c r="P611" s="10"/>
      <c r="Q611" s="10"/>
      <c r="R611" s="10"/>
      <c r="S611" s="10"/>
    </row>
    <row r="612" spans="10:19">
      <c r="J612" s="10"/>
      <c r="K612" s="1127"/>
      <c r="L612" s="10"/>
      <c r="M612" s="10"/>
      <c r="N612" s="10"/>
      <c r="O612" s="10"/>
      <c r="P612" s="10"/>
      <c r="Q612" s="10"/>
      <c r="R612" s="10"/>
      <c r="S612" s="10"/>
    </row>
    <row r="613" spans="10:19">
      <c r="J613" s="10"/>
      <c r="K613" s="1127"/>
      <c r="L613" s="10"/>
      <c r="M613" s="10"/>
      <c r="N613" s="10"/>
      <c r="O613" s="10"/>
      <c r="P613" s="10"/>
      <c r="Q613" s="10"/>
      <c r="R613" s="10"/>
      <c r="S613" s="10"/>
    </row>
    <row r="614" spans="10:19">
      <c r="J614" s="10"/>
      <c r="K614" s="1127"/>
      <c r="L614" s="10"/>
      <c r="M614" s="10"/>
      <c r="N614" s="10"/>
      <c r="O614" s="10"/>
      <c r="P614" s="10"/>
      <c r="Q614" s="10"/>
      <c r="R614" s="10"/>
      <c r="S614" s="10"/>
    </row>
    <row r="615" spans="10:19">
      <c r="J615" s="10"/>
      <c r="K615" s="1127"/>
      <c r="L615" s="10"/>
      <c r="M615" s="10"/>
      <c r="N615" s="10"/>
      <c r="O615" s="10"/>
      <c r="P615" s="10"/>
      <c r="Q615" s="10"/>
      <c r="R615" s="10"/>
      <c r="S615" s="10"/>
    </row>
    <row r="616" spans="10:19">
      <c r="J616" s="10"/>
      <c r="K616" s="1127"/>
      <c r="L616" s="10"/>
      <c r="M616" s="10"/>
      <c r="N616" s="10"/>
      <c r="O616" s="10"/>
      <c r="P616" s="10"/>
      <c r="Q616" s="10"/>
      <c r="R616" s="10"/>
      <c r="S616" s="10"/>
    </row>
    <row r="617" spans="10:19">
      <c r="J617" s="10"/>
      <c r="K617" s="1127"/>
      <c r="L617" s="10"/>
      <c r="M617" s="10"/>
      <c r="N617" s="10"/>
      <c r="O617" s="10"/>
      <c r="P617" s="10"/>
      <c r="Q617" s="10"/>
      <c r="R617" s="10"/>
      <c r="S617" s="10"/>
    </row>
    <row r="618" spans="10:19">
      <c r="J618" s="10"/>
      <c r="K618" s="1127"/>
      <c r="L618" s="10"/>
      <c r="M618" s="10"/>
      <c r="N618" s="10"/>
      <c r="O618" s="10"/>
      <c r="P618" s="10"/>
      <c r="Q618" s="10"/>
      <c r="R618" s="10"/>
      <c r="S618" s="10"/>
    </row>
    <row r="619" spans="10:19">
      <c r="J619" s="10"/>
      <c r="K619" s="1127"/>
      <c r="L619" s="10"/>
      <c r="M619" s="10"/>
      <c r="N619" s="10"/>
      <c r="O619" s="10"/>
      <c r="P619" s="10"/>
      <c r="Q619" s="10"/>
      <c r="R619" s="10"/>
      <c r="S619" s="10"/>
    </row>
    <row r="620" spans="10:19">
      <c r="J620" s="10"/>
      <c r="K620" s="1127"/>
      <c r="L620" s="10"/>
      <c r="M620" s="10"/>
      <c r="N620" s="10"/>
      <c r="O620" s="10"/>
      <c r="P620" s="10"/>
      <c r="Q620" s="10"/>
      <c r="R620" s="10"/>
      <c r="S620" s="10"/>
    </row>
    <row r="621" spans="10:19">
      <c r="J621" s="10"/>
      <c r="K621" s="1127"/>
      <c r="L621" s="10"/>
      <c r="M621" s="10"/>
      <c r="N621" s="10"/>
      <c r="O621" s="10"/>
      <c r="P621" s="10"/>
      <c r="Q621" s="10"/>
      <c r="R621" s="10"/>
      <c r="S621" s="10"/>
    </row>
    <row r="622" spans="10:19">
      <c r="J622" s="10"/>
      <c r="K622" s="1127"/>
      <c r="L622" s="10"/>
      <c r="M622" s="10"/>
      <c r="N622" s="10"/>
      <c r="O622" s="10"/>
      <c r="P622" s="10"/>
      <c r="Q622" s="10"/>
      <c r="R622" s="10"/>
      <c r="S622" s="10"/>
    </row>
    <row r="623" spans="10:19">
      <c r="J623" s="10"/>
      <c r="K623" s="1127"/>
      <c r="L623" s="10"/>
      <c r="M623" s="10"/>
      <c r="N623" s="10"/>
      <c r="O623" s="10"/>
      <c r="P623" s="10"/>
      <c r="Q623" s="10"/>
      <c r="R623" s="10"/>
      <c r="S623" s="10"/>
    </row>
    <row r="624" spans="10:19">
      <c r="J624" s="10"/>
      <c r="K624" s="1127"/>
      <c r="L624" s="10"/>
      <c r="M624" s="10"/>
      <c r="N624" s="10"/>
      <c r="O624" s="10"/>
      <c r="P624" s="10"/>
      <c r="Q624" s="10"/>
      <c r="R624" s="10"/>
      <c r="S624" s="10"/>
    </row>
    <row r="625" spans="10:19">
      <c r="J625" s="10"/>
      <c r="K625" s="1127"/>
      <c r="L625" s="10"/>
      <c r="M625" s="10"/>
      <c r="N625" s="10"/>
      <c r="O625" s="10"/>
      <c r="P625" s="10"/>
      <c r="Q625" s="10"/>
      <c r="R625" s="10"/>
      <c r="S625" s="10"/>
    </row>
    <row r="626" spans="10:19">
      <c r="J626" s="10"/>
      <c r="K626" s="1127"/>
      <c r="L626" s="10"/>
      <c r="M626" s="10"/>
      <c r="N626" s="10"/>
      <c r="O626" s="10"/>
      <c r="P626" s="10"/>
      <c r="Q626" s="10"/>
      <c r="R626" s="10"/>
      <c r="S626" s="10"/>
    </row>
    <row r="627" spans="10:19">
      <c r="J627" s="10"/>
      <c r="K627" s="1127"/>
      <c r="L627" s="10"/>
      <c r="M627" s="10"/>
      <c r="N627" s="10"/>
      <c r="O627" s="10"/>
      <c r="P627" s="10"/>
      <c r="Q627" s="10"/>
      <c r="R627" s="10"/>
      <c r="S627" s="10"/>
    </row>
    <row r="628" spans="10:19">
      <c r="J628" s="10"/>
      <c r="K628" s="1127"/>
      <c r="L628" s="10"/>
      <c r="M628" s="10"/>
      <c r="N628" s="10"/>
      <c r="O628" s="10"/>
      <c r="P628" s="10"/>
      <c r="Q628" s="10"/>
      <c r="R628" s="10"/>
      <c r="S628" s="10"/>
    </row>
    <row r="629" spans="10:19">
      <c r="J629" s="10"/>
      <c r="K629" s="1127"/>
      <c r="L629" s="10"/>
      <c r="M629" s="10"/>
      <c r="N629" s="10"/>
      <c r="O629" s="10"/>
      <c r="P629" s="10"/>
      <c r="Q629" s="10"/>
      <c r="R629" s="10"/>
      <c r="S629" s="10"/>
    </row>
    <row r="630" spans="10:19">
      <c r="J630" s="10"/>
      <c r="K630" s="1127"/>
      <c r="L630" s="10"/>
      <c r="M630" s="10"/>
      <c r="N630" s="10"/>
      <c r="O630" s="10"/>
      <c r="P630" s="10"/>
      <c r="Q630" s="10"/>
      <c r="R630" s="10"/>
      <c r="S630" s="10"/>
    </row>
    <row r="631" spans="10:19">
      <c r="J631" s="10"/>
      <c r="K631" s="1127"/>
      <c r="L631" s="10"/>
      <c r="M631" s="10"/>
      <c r="N631" s="10"/>
      <c r="O631" s="10"/>
      <c r="P631" s="10"/>
      <c r="Q631" s="10"/>
      <c r="R631" s="10"/>
      <c r="S631" s="10"/>
    </row>
    <row r="632" spans="10:19">
      <c r="J632" s="10"/>
      <c r="K632" s="1127"/>
      <c r="L632" s="10"/>
      <c r="M632" s="10"/>
      <c r="N632" s="10"/>
      <c r="O632" s="10"/>
      <c r="P632" s="10"/>
      <c r="Q632" s="10"/>
      <c r="R632" s="10"/>
      <c r="S632" s="10"/>
    </row>
    <row r="633" spans="10:19">
      <c r="J633" s="10"/>
      <c r="K633" s="1127"/>
      <c r="L633" s="10"/>
      <c r="M633" s="10"/>
      <c r="N633" s="10"/>
      <c r="O633" s="10"/>
      <c r="P633" s="10"/>
      <c r="Q633" s="10"/>
      <c r="R633" s="10"/>
      <c r="S633" s="10"/>
    </row>
    <row r="634" spans="10:19">
      <c r="J634" s="10"/>
      <c r="K634" s="1127"/>
      <c r="L634" s="10"/>
      <c r="M634" s="10"/>
      <c r="N634" s="10"/>
      <c r="O634" s="10"/>
      <c r="P634" s="10"/>
      <c r="Q634" s="10"/>
      <c r="R634" s="10"/>
      <c r="S634" s="10"/>
    </row>
    <row r="635" spans="10:19">
      <c r="J635" s="10"/>
      <c r="K635" s="1127"/>
      <c r="L635" s="10"/>
      <c r="M635" s="10"/>
      <c r="N635" s="10"/>
      <c r="O635" s="10"/>
      <c r="P635" s="10"/>
      <c r="Q635" s="10"/>
      <c r="R635" s="10"/>
      <c r="S635" s="10"/>
    </row>
    <row r="636" spans="10:19">
      <c r="J636" s="10"/>
      <c r="K636" s="1127"/>
      <c r="L636" s="10"/>
      <c r="M636" s="10"/>
      <c r="N636" s="10"/>
      <c r="O636" s="10"/>
      <c r="P636" s="10"/>
      <c r="Q636" s="10"/>
      <c r="R636" s="10"/>
      <c r="S636" s="10"/>
    </row>
    <row r="637" spans="10:19">
      <c r="J637" s="10"/>
      <c r="K637" s="1127"/>
      <c r="L637" s="10"/>
      <c r="M637" s="10"/>
      <c r="N637" s="10"/>
      <c r="O637" s="10"/>
      <c r="P637" s="10"/>
      <c r="Q637" s="10"/>
      <c r="R637" s="10"/>
      <c r="S637" s="10"/>
    </row>
    <row r="638" spans="10:19">
      <c r="J638" s="10"/>
      <c r="K638" s="1127"/>
      <c r="L638" s="10"/>
      <c r="M638" s="10"/>
      <c r="N638" s="10"/>
      <c r="O638" s="10"/>
      <c r="P638" s="10"/>
      <c r="Q638" s="10"/>
      <c r="R638" s="10"/>
      <c r="S638" s="10"/>
    </row>
    <row r="639" spans="10:19">
      <c r="J639" s="10"/>
      <c r="K639" s="1127"/>
      <c r="L639" s="10"/>
      <c r="M639" s="10"/>
      <c r="N639" s="10"/>
      <c r="O639" s="10"/>
      <c r="P639" s="10"/>
      <c r="Q639" s="10"/>
      <c r="R639" s="10"/>
      <c r="S639" s="10"/>
    </row>
    <row r="640" spans="10:19">
      <c r="J640" s="10"/>
      <c r="K640" s="1127"/>
      <c r="L640" s="10"/>
      <c r="M640" s="10"/>
      <c r="N640" s="10"/>
      <c r="O640" s="10"/>
      <c r="P640" s="10"/>
      <c r="Q640" s="10"/>
      <c r="R640" s="10"/>
      <c r="S640" s="10"/>
    </row>
    <row r="641" spans="10:19">
      <c r="J641" s="10"/>
      <c r="K641" s="1127"/>
      <c r="L641" s="10"/>
      <c r="M641" s="10"/>
      <c r="N641" s="10"/>
      <c r="O641" s="10"/>
      <c r="P641" s="10"/>
      <c r="Q641" s="10"/>
      <c r="R641" s="10"/>
      <c r="S641" s="10"/>
    </row>
    <row r="642" spans="10:19">
      <c r="J642" s="10"/>
      <c r="K642" s="1127"/>
      <c r="L642" s="10"/>
      <c r="M642" s="10"/>
      <c r="N642" s="10"/>
      <c r="O642" s="10"/>
      <c r="P642" s="10"/>
      <c r="Q642" s="10"/>
      <c r="R642" s="10"/>
      <c r="S642" s="10"/>
    </row>
    <row r="643" spans="10:19">
      <c r="J643" s="10"/>
      <c r="K643" s="1127"/>
      <c r="L643" s="10"/>
      <c r="M643" s="10"/>
      <c r="N643" s="10"/>
      <c r="O643" s="10"/>
      <c r="P643" s="10"/>
      <c r="Q643" s="10"/>
      <c r="R643" s="10"/>
      <c r="S643" s="10"/>
    </row>
    <row r="644" spans="10:19">
      <c r="J644" s="10"/>
      <c r="K644" s="1127"/>
      <c r="L644" s="10"/>
      <c r="M644" s="10"/>
      <c r="N644" s="10"/>
      <c r="O644" s="10"/>
      <c r="P644" s="10"/>
      <c r="Q644" s="10"/>
      <c r="R644" s="10"/>
      <c r="S644" s="10"/>
    </row>
    <row r="645" spans="10:19">
      <c r="J645" s="10"/>
      <c r="K645" s="1127"/>
      <c r="L645" s="10"/>
      <c r="M645" s="10"/>
      <c r="N645" s="10"/>
      <c r="O645" s="10"/>
      <c r="P645" s="10"/>
      <c r="Q645" s="10"/>
      <c r="R645" s="10"/>
      <c r="S645" s="10"/>
    </row>
    <row r="646" spans="10:19">
      <c r="J646" s="10"/>
      <c r="K646" s="1127"/>
      <c r="L646" s="10"/>
      <c r="M646" s="10"/>
      <c r="N646" s="10"/>
      <c r="O646" s="10"/>
      <c r="P646" s="10"/>
      <c r="Q646" s="10"/>
      <c r="R646" s="10"/>
      <c r="S646" s="10"/>
    </row>
    <row r="647" spans="10:19">
      <c r="J647" s="10"/>
      <c r="K647" s="1127"/>
      <c r="L647" s="10"/>
      <c r="M647" s="10"/>
      <c r="N647" s="10"/>
      <c r="O647" s="10"/>
      <c r="P647" s="10"/>
      <c r="Q647" s="10"/>
      <c r="R647" s="10"/>
      <c r="S647" s="10"/>
    </row>
    <row r="648" spans="10:19">
      <c r="J648" s="10"/>
      <c r="K648" s="1127"/>
      <c r="L648" s="10"/>
      <c r="M648" s="10"/>
      <c r="N648" s="10"/>
      <c r="O648" s="10"/>
      <c r="P648" s="10"/>
      <c r="Q648" s="10"/>
      <c r="R648" s="10"/>
      <c r="S648" s="10"/>
    </row>
    <row r="649" spans="10:19">
      <c r="J649" s="10"/>
      <c r="K649" s="1127"/>
      <c r="L649" s="10"/>
      <c r="M649" s="10"/>
      <c r="N649" s="10"/>
      <c r="O649" s="10"/>
      <c r="P649" s="10"/>
      <c r="Q649" s="10"/>
      <c r="R649" s="10"/>
      <c r="S649" s="10"/>
    </row>
    <row r="650" spans="10:19">
      <c r="J650" s="10"/>
      <c r="K650" s="1127"/>
      <c r="L650" s="10"/>
      <c r="M650" s="10"/>
      <c r="N650" s="10"/>
      <c r="O650" s="10"/>
      <c r="P650" s="10"/>
      <c r="Q650" s="10"/>
      <c r="R650" s="10"/>
      <c r="S650" s="10"/>
    </row>
    <row r="651" spans="10:19">
      <c r="J651" s="10"/>
      <c r="K651" s="1127"/>
      <c r="L651" s="10"/>
      <c r="M651" s="10"/>
      <c r="N651" s="10"/>
      <c r="O651" s="10"/>
      <c r="P651" s="10"/>
      <c r="Q651" s="10"/>
      <c r="R651" s="10"/>
      <c r="S651" s="10"/>
    </row>
    <row r="652" spans="10:19">
      <c r="J652" s="10"/>
      <c r="K652" s="1127"/>
      <c r="L652" s="10"/>
      <c r="M652" s="10"/>
      <c r="N652" s="10"/>
      <c r="O652" s="10"/>
      <c r="P652" s="10"/>
      <c r="Q652" s="10"/>
      <c r="R652" s="10"/>
      <c r="S652" s="10"/>
    </row>
    <row r="653" spans="10:19">
      <c r="J653" s="10"/>
      <c r="K653" s="1127"/>
      <c r="L653" s="10"/>
      <c r="M653" s="10"/>
      <c r="N653" s="10"/>
      <c r="O653" s="10"/>
      <c r="P653" s="10"/>
      <c r="Q653" s="10"/>
      <c r="R653" s="10"/>
      <c r="S653" s="10"/>
    </row>
    <row r="654" spans="10:19">
      <c r="J654" s="10"/>
      <c r="K654" s="1127"/>
      <c r="L654" s="10"/>
      <c r="M654" s="10"/>
      <c r="N654" s="10"/>
      <c r="O654" s="10"/>
      <c r="P654" s="10"/>
      <c r="Q654" s="10"/>
      <c r="R654" s="10"/>
      <c r="S654" s="10"/>
    </row>
    <row r="655" spans="10:19">
      <c r="J655" s="10"/>
      <c r="K655" s="1127"/>
      <c r="L655" s="10"/>
      <c r="M655" s="10"/>
      <c r="N655" s="10"/>
      <c r="O655" s="10"/>
      <c r="P655" s="10"/>
      <c r="Q655" s="10"/>
      <c r="R655" s="10"/>
      <c r="S655" s="10"/>
    </row>
    <row r="656" spans="10:19">
      <c r="J656" s="10"/>
      <c r="K656" s="1127"/>
      <c r="L656" s="10"/>
      <c r="M656" s="10"/>
      <c r="N656" s="10"/>
      <c r="O656" s="10"/>
      <c r="P656" s="10"/>
      <c r="Q656" s="10"/>
      <c r="R656" s="10"/>
      <c r="S656" s="10"/>
    </row>
    <row r="657" spans="10:19">
      <c r="J657" s="10"/>
      <c r="K657" s="1127"/>
      <c r="L657" s="10"/>
      <c r="M657" s="10"/>
      <c r="N657" s="10"/>
      <c r="O657" s="10"/>
      <c r="P657" s="10"/>
      <c r="Q657" s="10"/>
      <c r="R657" s="10"/>
      <c r="S657" s="10"/>
    </row>
    <row r="658" spans="10:19">
      <c r="J658" s="10"/>
      <c r="K658" s="1127"/>
      <c r="L658" s="10"/>
      <c r="M658" s="10"/>
      <c r="N658" s="10"/>
      <c r="O658" s="10"/>
      <c r="P658" s="10"/>
      <c r="Q658" s="10"/>
      <c r="R658" s="10"/>
      <c r="S658" s="10"/>
    </row>
    <row r="659" spans="10:19">
      <c r="J659" s="10"/>
      <c r="K659" s="1127"/>
      <c r="L659" s="10"/>
      <c r="M659" s="10"/>
      <c r="N659" s="10"/>
      <c r="O659" s="10"/>
      <c r="P659" s="10"/>
      <c r="Q659" s="10"/>
      <c r="R659" s="10"/>
      <c r="S659" s="10"/>
    </row>
    <row r="660" spans="10:19">
      <c r="J660" s="10"/>
      <c r="K660" s="1127"/>
      <c r="L660" s="10"/>
      <c r="M660" s="10"/>
      <c r="N660" s="10"/>
      <c r="O660" s="10"/>
      <c r="P660" s="10"/>
      <c r="Q660" s="10"/>
      <c r="R660" s="10"/>
      <c r="S660" s="10"/>
    </row>
    <row r="661" spans="10:19">
      <c r="J661" s="10"/>
      <c r="K661" s="1127"/>
      <c r="L661" s="10"/>
      <c r="M661" s="10"/>
      <c r="N661" s="10"/>
      <c r="O661" s="10"/>
      <c r="P661" s="10"/>
      <c r="Q661" s="10"/>
      <c r="R661" s="10"/>
      <c r="S661" s="10"/>
    </row>
    <row r="662" spans="10:19">
      <c r="J662" s="10"/>
      <c r="K662" s="1127"/>
      <c r="L662" s="10"/>
      <c r="M662" s="10"/>
      <c r="N662" s="10"/>
      <c r="O662" s="10"/>
      <c r="P662" s="10"/>
      <c r="Q662" s="10"/>
      <c r="R662" s="10"/>
      <c r="S662" s="10"/>
    </row>
    <row r="663" spans="10:19">
      <c r="J663" s="10"/>
      <c r="K663" s="1127"/>
      <c r="L663" s="10"/>
      <c r="M663" s="10"/>
      <c r="N663" s="10"/>
      <c r="O663" s="10"/>
      <c r="P663" s="10"/>
      <c r="Q663" s="10"/>
      <c r="R663" s="10"/>
      <c r="S663" s="10"/>
    </row>
    <row r="664" spans="10:19">
      <c r="J664" s="10"/>
      <c r="K664" s="1127"/>
      <c r="L664" s="10"/>
      <c r="M664" s="10"/>
      <c r="N664" s="10"/>
      <c r="O664" s="10"/>
      <c r="P664" s="10"/>
      <c r="Q664" s="10"/>
      <c r="R664" s="10"/>
      <c r="S664" s="10"/>
    </row>
    <row r="665" spans="10:19">
      <c r="J665" s="10"/>
      <c r="K665" s="1127"/>
      <c r="L665" s="10"/>
      <c r="M665" s="10"/>
      <c r="N665" s="10"/>
      <c r="O665" s="10"/>
      <c r="P665" s="10"/>
      <c r="Q665" s="10"/>
      <c r="R665" s="10"/>
      <c r="S665" s="10"/>
    </row>
    <row r="666" spans="10:19">
      <c r="J666" s="10"/>
      <c r="K666" s="1127"/>
      <c r="L666" s="10"/>
      <c r="M666" s="10"/>
      <c r="N666" s="10"/>
      <c r="O666" s="10"/>
      <c r="P666" s="10"/>
      <c r="Q666" s="10"/>
      <c r="R666" s="10"/>
      <c r="S666" s="10"/>
    </row>
    <row r="667" spans="10:19">
      <c r="J667" s="10"/>
      <c r="K667" s="1127"/>
      <c r="L667" s="10"/>
      <c r="M667" s="10"/>
      <c r="N667" s="10"/>
      <c r="O667" s="10"/>
      <c r="P667" s="10"/>
      <c r="Q667" s="10"/>
      <c r="R667" s="10"/>
      <c r="S667" s="10"/>
    </row>
    <row r="668" spans="10:19">
      <c r="J668" s="10"/>
      <c r="K668" s="1127"/>
      <c r="L668" s="10"/>
      <c r="M668" s="10"/>
      <c r="N668" s="10"/>
      <c r="O668" s="10"/>
      <c r="P668" s="10"/>
      <c r="Q668" s="10"/>
      <c r="R668" s="10"/>
      <c r="S668" s="10"/>
    </row>
    <row r="669" spans="10:19">
      <c r="J669" s="10"/>
      <c r="K669" s="1127"/>
      <c r="L669" s="10"/>
      <c r="M669" s="10"/>
      <c r="N669" s="10"/>
      <c r="O669" s="10"/>
      <c r="P669" s="10"/>
      <c r="Q669" s="10"/>
      <c r="R669" s="10"/>
      <c r="S669" s="10"/>
    </row>
    <row r="670" spans="10:19">
      <c r="J670" s="10"/>
      <c r="K670" s="1127"/>
      <c r="L670" s="10"/>
      <c r="M670" s="10"/>
      <c r="N670" s="10"/>
      <c r="O670" s="10"/>
      <c r="P670" s="10"/>
      <c r="Q670" s="10"/>
      <c r="R670" s="10"/>
      <c r="S670" s="10"/>
    </row>
    <row r="671" spans="10:19">
      <c r="J671" s="10"/>
      <c r="K671" s="1127"/>
      <c r="L671" s="10"/>
      <c r="M671" s="10"/>
      <c r="N671" s="10"/>
      <c r="O671" s="10"/>
      <c r="P671" s="10"/>
      <c r="Q671" s="10"/>
      <c r="R671" s="10"/>
      <c r="S671" s="10"/>
    </row>
    <row r="672" spans="10:19">
      <c r="J672" s="10"/>
      <c r="K672" s="1127"/>
      <c r="L672" s="10"/>
      <c r="M672" s="10"/>
      <c r="N672" s="10"/>
      <c r="O672" s="10"/>
      <c r="P672" s="10"/>
      <c r="Q672" s="10"/>
      <c r="R672" s="10"/>
      <c r="S672" s="10"/>
    </row>
    <row r="673" spans="10:19">
      <c r="J673" s="10"/>
      <c r="K673" s="1127"/>
      <c r="L673" s="10"/>
      <c r="M673" s="10"/>
      <c r="N673" s="10"/>
      <c r="O673" s="10"/>
      <c r="P673" s="10"/>
      <c r="Q673" s="10"/>
      <c r="R673" s="10"/>
      <c r="S673" s="10"/>
    </row>
    <row r="674" spans="10:19">
      <c r="J674" s="10"/>
      <c r="K674" s="1127"/>
      <c r="L674" s="10"/>
      <c r="M674" s="10"/>
      <c r="N674" s="10"/>
      <c r="O674" s="10"/>
      <c r="P674" s="10"/>
      <c r="Q674" s="10"/>
      <c r="R674" s="10"/>
      <c r="S674" s="10"/>
    </row>
    <row r="675" spans="10:19">
      <c r="J675" s="10"/>
      <c r="K675" s="1127"/>
      <c r="L675" s="10"/>
      <c r="M675" s="10"/>
      <c r="N675" s="10"/>
      <c r="O675" s="10"/>
      <c r="P675" s="10"/>
      <c r="Q675" s="10"/>
      <c r="R675" s="10"/>
      <c r="S675" s="10"/>
    </row>
    <row r="676" spans="10:19">
      <c r="J676" s="10"/>
      <c r="K676" s="1127"/>
      <c r="L676" s="10"/>
      <c r="M676" s="10"/>
      <c r="N676" s="10"/>
      <c r="O676" s="10"/>
      <c r="P676" s="10"/>
      <c r="Q676" s="10"/>
      <c r="R676" s="10"/>
      <c r="S676" s="10"/>
    </row>
    <row r="677" spans="10:19">
      <c r="J677" s="10"/>
      <c r="K677" s="1127"/>
      <c r="L677" s="10"/>
      <c r="M677" s="10"/>
      <c r="N677" s="10"/>
      <c r="O677" s="10"/>
      <c r="P677" s="10"/>
      <c r="Q677" s="10"/>
      <c r="R677" s="10"/>
      <c r="S677" s="10"/>
    </row>
    <row r="678" spans="10:19">
      <c r="J678" s="10"/>
      <c r="K678" s="1127"/>
      <c r="L678" s="10"/>
      <c r="M678" s="10"/>
      <c r="N678" s="10"/>
      <c r="O678" s="10"/>
      <c r="P678" s="10"/>
      <c r="Q678" s="10"/>
      <c r="R678" s="10"/>
      <c r="S678" s="10"/>
    </row>
    <row r="679" spans="10:19">
      <c r="J679" s="10"/>
      <c r="K679" s="1127"/>
      <c r="L679" s="10"/>
      <c r="M679" s="10"/>
      <c r="N679" s="10"/>
      <c r="O679" s="10"/>
      <c r="P679" s="10"/>
      <c r="Q679" s="10"/>
      <c r="R679" s="10"/>
      <c r="S679" s="10"/>
    </row>
    <row r="680" spans="10:19">
      <c r="J680" s="10"/>
      <c r="K680" s="1127"/>
      <c r="L680" s="10"/>
      <c r="M680" s="10"/>
      <c r="N680" s="10"/>
      <c r="O680" s="10"/>
      <c r="P680" s="10"/>
      <c r="Q680" s="10"/>
      <c r="R680" s="10"/>
      <c r="S680" s="10"/>
    </row>
    <row r="681" spans="10:19">
      <c r="J681" s="10"/>
      <c r="K681" s="1127"/>
      <c r="L681" s="10"/>
      <c r="M681" s="10"/>
      <c r="N681" s="10"/>
      <c r="O681" s="10"/>
      <c r="P681" s="10"/>
      <c r="Q681" s="10"/>
      <c r="R681" s="10"/>
      <c r="S681" s="10"/>
    </row>
    <row r="682" spans="10:19">
      <c r="J682" s="10"/>
      <c r="K682" s="1127"/>
      <c r="L682" s="10"/>
      <c r="M682" s="10"/>
      <c r="N682" s="10"/>
      <c r="O682" s="10"/>
      <c r="P682" s="10"/>
      <c r="Q682" s="10"/>
      <c r="R682" s="10"/>
      <c r="S682" s="10"/>
    </row>
    <row r="683" spans="10:19">
      <c r="J683" s="10"/>
      <c r="K683" s="1127"/>
      <c r="L683" s="10"/>
      <c r="M683" s="10"/>
      <c r="N683" s="10"/>
      <c r="O683" s="10"/>
      <c r="P683" s="10"/>
      <c r="Q683" s="10"/>
      <c r="R683" s="10"/>
      <c r="S683" s="10"/>
    </row>
    <row r="684" spans="10:19">
      <c r="J684" s="10"/>
      <c r="K684" s="1127"/>
      <c r="L684" s="10"/>
      <c r="M684" s="10"/>
      <c r="N684" s="10"/>
      <c r="O684" s="10"/>
      <c r="P684" s="10"/>
      <c r="Q684" s="10"/>
      <c r="R684" s="10"/>
      <c r="S684" s="10"/>
    </row>
    <row r="685" spans="10:19">
      <c r="J685" s="10"/>
      <c r="K685" s="1127"/>
      <c r="L685" s="10"/>
      <c r="M685" s="10"/>
      <c r="N685" s="10"/>
      <c r="O685" s="10"/>
      <c r="P685" s="10"/>
      <c r="Q685" s="10"/>
      <c r="R685" s="10"/>
      <c r="S685" s="10"/>
    </row>
    <row r="686" spans="10:19">
      <c r="J686" s="10"/>
      <c r="K686" s="1127"/>
      <c r="L686" s="10"/>
      <c r="M686" s="10"/>
      <c r="N686" s="10"/>
      <c r="O686" s="10"/>
      <c r="P686" s="10"/>
      <c r="Q686" s="10"/>
      <c r="R686" s="10"/>
      <c r="S686" s="10"/>
    </row>
    <row r="687" spans="10:19">
      <c r="J687" s="10"/>
      <c r="K687" s="1127"/>
      <c r="L687" s="10"/>
      <c r="M687" s="10"/>
      <c r="N687" s="10"/>
      <c r="O687" s="10"/>
      <c r="P687" s="10"/>
      <c r="Q687" s="10"/>
      <c r="R687" s="10"/>
      <c r="S687" s="10"/>
    </row>
    <row r="688" spans="10:19">
      <c r="J688" s="10"/>
      <c r="K688" s="1127"/>
      <c r="L688" s="10"/>
      <c r="M688" s="10"/>
      <c r="N688" s="10"/>
      <c r="O688" s="10"/>
      <c r="P688" s="10"/>
      <c r="Q688" s="10"/>
      <c r="R688" s="10"/>
      <c r="S688" s="10"/>
    </row>
    <row r="689" spans="10:19">
      <c r="J689" s="10"/>
      <c r="K689" s="1127"/>
      <c r="L689" s="10"/>
      <c r="M689" s="10"/>
      <c r="N689" s="10"/>
      <c r="O689" s="10"/>
      <c r="P689" s="10"/>
      <c r="Q689" s="10"/>
      <c r="R689" s="10"/>
      <c r="S689" s="10"/>
    </row>
    <row r="690" spans="10:19">
      <c r="J690" s="10"/>
      <c r="K690" s="1127"/>
      <c r="L690" s="10"/>
      <c r="M690" s="10"/>
      <c r="N690" s="10"/>
      <c r="O690" s="10"/>
      <c r="P690" s="10"/>
      <c r="Q690" s="10"/>
      <c r="R690" s="10"/>
      <c r="S690" s="10"/>
    </row>
    <row r="691" spans="10:19">
      <c r="J691" s="10"/>
      <c r="K691" s="1127"/>
      <c r="L691" s="10"/>
      <c r="M691" s="10"/>
      <c r="N691" s="10"/>
      <c r="O691" s="10"/>
      <c r="P691" s="10"/>
      <c r="Q691" s="10"/>
      <c r="R691" s="10"/>
      <c r="S691" s="10"/>
    </row>
    <row r="692" spans="10:19">
      <c r="J692" s="10"/>
      <c r="K692" s="1127"/>
      <c r="L692" s="10"/>
      <c r="M692" s="10"/>
      <c r="N692" s="10"/>
      <c r="O692" s="10"/>
      <c r="P692" s="10"/>
      <c r="Q692" s="10"/>
      <c r="R692" s="10"/>
      <c r="S692" s="10"/>
    </row>
    <row r="693" spans="10:19">
      <c r="J693" s="10"/>
      <c r="K693" s="1127"/>
      <c r="L693" s="10"/>
      <c r="M693" s="10"/>
      <c r="N693" s="10"/>
      <c r="O693" s="10"/>
      <c r="P693" s="10"/>
      <c r="Q693" s="10"/>
      <c r="R693" s="10"/>
      <c r="S693" s="10"/>
    </row>
    <row r="694" spans="10:19">
      <c r="J694" s="10"/>
      <c r="K694" s="1127"/>
      <c r="L694" s="10"/>
      <c r="M694" s="10"/>
      <c r="N694" s="10"/>
      <c r="O694" s="10"/>
      <c r="P694" s="10"/>
      <c r="Q694" s="10"/>
      <c r="R694" s="10"/>
      <c r="S694" s="10"/>
    </row>
    <row r="695" spans="10:19">
      <c r="J695" s="10"/>
      <c r="K695" s="1127"/>
      <c r="L695" s="10"/>
      <c r="M695" s="10"/>
      <c r="N695" s="10"/>
      <c r="O695" s="10"/>
      <c r="P695" s="10"/>
      <c r="Q695" s="10"/>
      <c r="R695" s="10"/>
      <c r="S695" s="10"/>
    </row>
    <row r="696" spans="10:19">
      <c r="J696" s="10"/>
      <c r="K696" s="1127"/>
      <c r="L696" s="10"/>
      <c r="M696" s="10"/>
      <c r="N696" s="10"/>
      <c r="O696" s="10"/>
      <c r="P696" s="10"/>
      <c r="Q696" s="10"/>
      <c r="R696" s="10"/>
      <c r="S696" s="10"/>
    </row>
    <row r="697" spans="10:19">
      <c r="J697" s="10"/>
      <c r="K697" s="1127"/>
      <c r="L697" s="10"/>
      <c r="M697" s="10"/>
      <c r="N697" s="10"/>
      <c r="O697" s="10"/>
      <c r="P697" s="10"/>
      <c r="Q697" s="10"/>
      <c r="R697" s="10"/>
      <c r="S697" s="10"/>
    </row>
    <row r="698" spans="10:19">
      <c r="J698" s="10"/>
      <c r="K698" s="1127"/>
      <c r="L698" s="10"/>
      <c r="M698" s="10"/>
      <c r="N698" s="10"/>
      <c r="O698" s="10"/>
      <c r="P698" s="10"/>
      <c r="Q698" s="10"/>
      <c r="R698" s="10"/>
      <c r="S698" s="10"/>
    </row>
    <row r="699" spans="10:19">
      <c r="J699" s="10"/>
      <c r="K699" s="1127"/>
      <c r="L699" s="10"/>
      <c r="M699" s="10"/>
      <c r="N699" s="10"/>
      <c r="O699" s="10"/>
      <c r="P699" s="10"/>
      <c r="Q699" s="10"/>
      <c r="R699" s="10"/>
      <c r="S699" s="10"/>
    </row>
    <row r="700" spans="10:19">
      <c r="J700" s="10"/>
      <c r="K700" s="1127"/>
      <c r="L700" s="10"/>
      <c r="M700" s="10"/>
      <c r="N700" s="10"/>
      <c r="O700" s="10"/>
      <c r="P700" s="10"/>
      <c r="Q700" s="10"/>
      <c r="R700" s="10"/>
      <c r="S700" s="10"/>
    </row>
    <row r="701" spans="10:19">
      <c r="J701" s="10"/>
      <c r="K701" s="1127"/>
      <c r="L701" s="10"/>
      <c r="M701" s="10"/>
      <c r="N701" s="10"/>
      <c r="O701" s="10"/>
      <c r="P701" s="10"/>
      <c r="Q701" s="10"/>
      <c r="R701" s="10"/>
      <c r="S701" s="10"/>
    </row>
    <row r="702" spans="10:19">
      <c r="J702" s="10"/>
      <c r="K702" s="1127"/>
      <c r="L702" s="10"/>
      <c r="M702" s="10"/>
      <c r="N702" s="10"/>
      <c r="O702" s="10"/>
      <c r="P702" s="10"/>
      <c r="Q702" s="10"/>
      <c r="R702" s="10"/>
      <c r="S702" s="10"/>
    </row>
    <row r="703" spans="10:19">
      <c r="J703" s="10"/>
      <c r="K703" s="1127"/>
      <c r="L703" s="10"/>
      <c r="M703" s="10"/>
      <c r="N703" s="10"/>
      <c r="O703" s="10"/>
      <c r="P703" s="10"/>
      <c r="Q703" s="10"/>
      <c r="R703" s="10"/>
      <c r="S703" s="10"/>
    </row>
    <row r="704" spans="10:19">
      <c r="J704" s="10"/>
      <c r="K704" s="1127"/>
      <c r="L704" s="10"/>
      <c r="M704" s="10"/>
      <c r="N704" s="10"/>
      <c r="O704" s="10"/>
      <c r="P704" s="10"/>
      <c r="Q704" s="10"/>
      <c r="R704" s="10"/>
      <c r="S704" s="10"/>
    </row>
    <row r="705" spans="10:19">
      <c r="J705" s="10"/>
      <c r="K705" s="1127"/>
      <c r="L705" s="10"/>
      <c r="M705" s="10"/>
      <c r="N705" s="10"/>
      <c r="O705" s="10"/>
      <c r="P705" s="10"/>
      <c r="Q705" s="10"/>
      <c r="R705" s="10"/>
      <c r="S705" s="10"/>
    </row>
    <row r="706" spans="10:19">
      <c r="J706" s="10"/>
      <c r="K706" s="1127"/>
      <c r="L706" s="10"/>
      <c r="M706" s="10"/>
      <c r="N706" s="10"/>
      <c r="O706" s="10"/>
      <c r="P706" s="10"/>
      <c r="Q706" s="10"/>
      <c r="R706" s="10"/>
      <c r="S706" s="10"/>
    </row>
    <row r="707" spans="10:19">
      <c r="J707" s="10"/>
      <c r="K707" s="1127"/>
      <c r="L707" s="10"/>
      <c r="M707" s="10"/>
      <c r="N707" s="10"/>
      <c r="O707" s="10"/>
      <c r="P707" s="10"/>
      <c r="Q707" s="10"/>
      <c r="R707" s="10"/>
      <c r="S707" s="10"/>
    </row>
    <row r="708" spans="10:19">
      <c r="J708" s="10"/>
      <c r="K708" s="1127"/>
      <c r="L708" s="10"/>
      <c r="M708" s="10"/>
      <c r="N708" s="10"/>
      <c r="O708" s="10"/>
      <c r="P708" s="10"/>
      <c r="Q708" s="10"/>
      <c r="R708" s="10"/>
      <c r="S708" s="10"/>
    </row>
    <row r="709" spans="10:19">
      <c r="J709" s="10"/>
      <c r="K709" s="1127"/>
      <c r="L709" s="10"/>
      <c r="M709" s="10"/>
      <c r="N709" s="10"/>
      <c r="O709" s="10"/>
      <c r="P709" s="10"/>
      <c r="Q709" s="10"/>
      <c r="R709" s="10"/>
      <c r="S709" s="10"/>
    </row>
    <row r="710" spans="10:19">
      <c r="J710" s="10"/>
      <c r="K710" s="1127"/>
      <c r="L710" s="10"/>
      <c r="M710" s="10"/>
      <c r="N710" s="10"/>
      <c r="O710" s="10"/>
      <c r="P710" s="10"/>
      <c r="Q710" s="10"/>
      <c r="R710" s="10"/>
      <c r="S710" s="10"/>
    </row>
    <row r="711" spans="10:19">
      <c r="J711" s="10"/>
      <c r="K711" s="1127"/>
      <c r="L711" s="10"/>
      <c r="M711" s="10"/>
      <c r="N711" s="10"/>
      <c r="O711" s="10"/>
      <c r="P711" s="10"/>
      <c r="Q711" s="10"/>
      <c r="R711" s="10"/>
      <c r="S711" s="10"/>
    </row>
    <row r="712" spans="10:19">
      <c r="J712" s="10"/>
      <c r="K712" s="1127"/>
      <c r="L712" s="10"/>
      <c r="M712" s="10"/>
      <c r="N712" s="10"/>
      <c r="O712" s="10"/>
      <c r="P712" s="10"/>
      <c r="Q712" s="10"/>
      <c r="R712" s="10"/>
      <c r="S712" s="10"/>
    </row>
    <row r="713" spans="10:19">
      <c r="J713" s="10"/>
      <c r="K713" s="1127"/>
      <c r="L713" s="10"/>
      <c r="M713" s="10"/>
      <c r="N713" s="10"/>
      <c r="O713" s="10"/>
      <c r="P713" s="10"/>
      <c r="Q713" s="10"/>
      <c r="R713" s="10"/>
      <c r="S713" s="10"/>
    </row>
    <row r="714" spans="10:19">
      <c r="J714" s="10"/>
      <c r="K714" s="1127"/>
      <c r="L714" s="10"/>
      <c r="M714" s="10"/>
      <c r="N714" s="10"/>
      <c r="O714" s="10"/>
      <c r="P714" s="10"/>
      <c r="Q714" s="10"/>
      <c r="R714" s="10"/>
      <c r="S714" s="10"/>
    </row>
    <row r="715" spans="10:19">
      <c r="J715" s="10"/>
      <c r="K715" s="1127"/>
      <c r="L715" s="10"/>
      <c r="M715" s="10"/>
      <c r="N715" s="10"/>
      <c r="O715" s="10"/>
      <c r="P715" s="10"/>
      <c r="Q715" s="10"/>
      <c r="R715" s="10"/>
      <c r="S715" s="10"/>
    </row>
    <row r="716" spans="10:19">
      <c r="J716" s="10"/>
      <c r="K716" s="1127"/>
      <c r="L716" s="10"/>
      <c r="M716" s="10"/>
      <c r="N716" s="10"/>
      <c r="O716" s="10"/>
      <c r="P716" s="10"/>
      <c r="Q716" s="10"/>
      <c r="R716" s="10"/>
      <c r="S716" s="10"/>
    </row>
    <row r="717" spans="10:19">
      <c r="J717" s="10"/>
      <c r="K717" s="1127"/>
      <c r="L717" s="10"/>
      <c r="M717" s="10"/>
      <c r="N717" s="10"/>
      <c r="O717" s="10"/>
      <c r="P717" s="10"/>
      <c r="Q717" s="10"/>
      <c r="R717" s="10"/>
      <c r="S717" s="10"/>
    </row>
    <row r="718" spans="10:19">
      <c r="J718" s="10"/>
      <c r="K718" s="1127"/>
      <c r="L718" s="10"/>
      <c r="M718" s="10"/>
      <c r="N718" s="10"/>
      <c r="O718" s="10"/>
      <c r="P718" s="10"/>
      <c r="Q718" s="10"/>
      <c r="R718" s="10"/>
      <c r="S718" s="10"/>
    </row>
    <row r="719" spans="10:19">
      <c r="J719" s="10"/>
      <c r="K719" s="1127"/>
      <c r="L719" s="10"/>
      <c r="M719" s="10"/>
      <c r="N719" s="10"/>
      <c r="O719" s="10"/>
      <c r="P719" s="10"/>
      <c r="Q719" s="10"/>
      <c r="R719" s="10"/>
      <c r="S719" s="10"/>
    </row>
    <row r="720" spans="10:19">
      <c r="J720" s="10"/>
      <c r="K720" s="1127"/>
      <c r="L720" s="10"/>
      <c r="M720" s="10"/>
      <c r="N720" s="10"/>
      <c r="O720" s="10"/>
      <c r="P720" s="10"/>
      <c r="Q720" s="10"/>
      <c r="R720" s="10"/>
      <c r="S720" s="10"/>
    </row>
    <row r="721" spans="10:19">
      <c r="J721" s="10"/>
      <c r="K721" s="1127"/>
      <c r="L721" s="10"/>
      <c r="M721" s="10"/>
      <c r="N721" s="10"/>
      <c r="O721" s="10"/>
      <c r="P721" s="10"/>
      <c r="Q721" s="10"/>
      <c r="R721" s="10"/>
      <c r="S721" s="10"/>
    </row>
    <row r="722" spans="10:19">
      <c r="J722" s="10"/>
      <c r="K722" s="1127"/>
      <c r="L722" s="10"/>
      <c r="M722" s="10"/>
      <c r="N722" s="10"/>
      <c r="O722" s="10"/>
      <c r="P722" s="10"/>
      <c r="Q722" s="10"/>
      <c r="R722" s="10"/>
      <c r="S722" s="10"/>
    </row>
    <row r="723" spans="10:19">
      <c r="J723" s="10"/>
      <c r="K723" s="1127"/>
      <c r="L723" s="10"/>
      <c r="M723" s="10"/>
      <c r="N723" s="10"/>
      <c r="O723" s="10"/>
      <c r="P723" s="10"/>
      <c r="Q723" s="10"/>
      <c r="R723" s="10"/>
      <c r="S723" s="10"/>
    </row>
    <row r="724" spans="10:19">
      <c r="J724" s="10"/>
      <c r="K724" s="1127"/>
      <c r="L724" s="10"/>
      <c r="M724" s="10"/>
      <c r="N724" s="10"/>
      <c r="O724" s="10"/>
      <c r="P724" s="10"/>
      <c r="Q724" s="10"/>
      <c r="R724" s="10"/>
      <c r="S724" s="10"/>
    </row>
    <row r="725" spans="10:19">
      <c r="J725" s="10"/>
      <c r="K725" s="1127"/>
      <c r="L725" s="10"/>
      <c r="M725" s="10"/>
      <c r="N725" s="10"/>
      <c r="O725" s="10"/>
      <c r="P725" s="10"/>
      <c r="Q725" s="10"/>
      <c r="R725" s="10"/>
      <c r="S725" s="10"/>
    </row>
    <row r="726" spans="10:19">
      <c r="J726" s="10"/>
      <c r="K726" s="1127"/>
      <c r="L726" s="10"/>
      <c r="M726" s="10"/>
      <c r="N726" s="10"/>
      <c r="O726" s="10"/>
      <c r="P726" s="10"/>
      <c r="Q726" s="10"/>
      <c r="R726" s="10"/>
      <c r="S726" s="10"/>
    </row>
    <row r="727" spans="10:19">
      <c r="J727" s="10"/>
      <c r="K727" s="1127"/>
      <c r="L727" s="10"/>
      <c r="M727" s="10"/>
      <c r="N727" s="10"/>
      <c r="O727" s="10"/>
      <c r="P727" s="10"/>
      <c r="Q727" s="10"/>
      <c r="R727" s="10"/>
      <c r="S727" s="10"/>
    </row>
    <row r="728" spans="10:19">
      <c r="J728" s="10"/>
      <c r="K728" s="1127"/>
      <c r="L728" s="10"/>
      <c r="M728" s="10"/>
      <c r="N728" s="10"/>
      <c r="O728" s="10"/>
      <c r="P728" s="10"/>
      <c r="Q728" s="10"/>
      <c r="R728" s="10"/>
      <c r="S728" s="10"/>
    </row>
    <row r="729" spans="10:19">
      <c r="J729" s="10"/>
      <c r="K729" s="1127"/>
      <c r="L729" s="10"/>
      <c r="M729" s="10"/>
      <c r="N729" s="10"/>
      <c r="O729" s="10"/>
      <c r="P729" s="10"/>
      <c r="Q729" s="10"/>
      <c r="R729" s="10"/>
      <c r="S729" s="10"/>
    </row>
    <row r="730" spans="10:19">
      <c r="J730" s="10"/>
      <c r="K730" s="1127"/>
      <c r="L730" s="10"/>
      <c r="M730" s="10"/>
      <c r="N730" s="10"/>
      <c r="O730" s="10"/>
      <c r="P730" s="10"/>
      <c r="Q730" s="10"/>
      <c r="R730" s="10"/>
      <c r="S730" s="10"/>
    </row>
    <row r="731" spans="10:19">
      <c r="J731" s="10"/>
      <c r="K731" s="1127"/>
      <c r="L731" s="10"/>
      <c r="M731" s="10"/>
      <c r="N731" s="10"/>
      <c r="O731" s="10"/>
      <c r="P731" s="10"/>
      <c r="Q731" s="10"/>
      <c r="R731" s="10"/>
      <c r="S731" s="10"/>
    </row>
    <row r="732" spans="10:19">
      <c r="J732" s="10"/>
      <c r="K732" s="1127"/>
      <c r="L732" s="10"/>
      <c r="M732" s="10"/>
      <c r="N732" s="10"/>
      <c r="O732" s="10"/>
      <c r="P732" s="10"/>
      <c r="Q732" s="10"/>
      <c r="R732" s="10"/>
      <c r="S732" s="10"/>
    </row>
    <row r="733" spans="10:19">
      <c r="J733" s="10"/>
      <c r="K733" s="1127"/>
      <c r="L733" s="10"/>
      <c r="M733" s="10"/>
      <c r="N733" s="10"/>
      <c r="O733" s="10"/>
      <c r="P733" s="10"/>
      <c r="Q733" s="10"/>
      <c r="R733" s="10"/>
      <c r="S733" s="10"/>
    </row>
    <row r="734" spans="10:19">
      <c r="J734" s="10"/>
      <c r="K734" s="1127"/>
      <c r="L734" s="10"/>
      <c r="M734" s="10"/>
      <c r="N734" s="10"/>
      <c r="O734" s="10"/>
      <c r="P734" s="10"/>
      <c r="Q734" s="10"/>
      <c r="R734" s="10"/>
      <c r="S734" s="10"/>
    </row>
    <row r="735" spans="10:19">
      <c r="J735" s="10"/>
      <c r="K735" s="1127"/>
      <c r="L735" s="10"/>
      <c r="M735" s="10"/>
      <c r="N735" s="10"/>
      <c r="O735" s="10"/>
      <c r="P735" s="10"/>
      <c r="Q735" s="10"/>
      <c r="R735" s="10"/>
      <c r="S735" s="10"/>
    </row>
    <row r="736" spans="10:19">
      <c r="J736" s="10"/>
      <c r="K736" s="1127"/>
      <c r="L736" s="10"/>
      <c r="M736" s="10"/>
      <c r="N736" s="10"/>
      <c r="O736" s="10"/>
      <c r="P736" s="10"/>
      <c r="Q736" s="10"/>
      <c r="R736" s="10"/>
      <c r="S736" s="10"/>
    </row>
    <row r="737" spans="10:19">
      <c r="J737" s="10"/>
      <c r="K737" s="1127"/>
      <c r="L737" s="10"/>
      <c r="M737" s="10"/>
      <c r="N737" s="10"/>
      <c r="O737" s="10"/>
      <c r="P737" s="10"/>
      <c r="Q737" s="10"/>
      <c r="R737" s="10"/>
      <c r="S737" s="10"/>
    </row>
    <row r="738" spans="10:19">
      <c r="J738" s="10"/>
      <c r="K738" s="1127"/>
      <c r="L738" s="10"/>
      <c r="M738" s="10"/>
      <c r="N738" s="10"/>
      <c r="O738" s="10"/>
      <c r="P738" s="10"/>
      <c r="Q738" s="10"/>
      <c r="R738" s="10"/>
      <c r="S738" s="10"/>
    </row>
    <row r="739" spans="10:19">
      <c r="J739" s="10"/>
      <c r="K739" s="1127"/>
      <c r="L739" s="10"/>
      <c r="M739" s="10"/>
      <c r="N739" s="10"/>
      <c r="O739" s="10"/>
      <c r="P739" s="10"/>
      <c r="Q739" s="10"/>
      <c r="R739" s="10"/>
      <c r="S739" s="10"/>
    </row>
    <row r="740" spans="10:19">
      <c r="J740" s="10"/>
      <c r="K740" s="1127"/>
      <c r="L740" s="10"/>
      <c r="M740" s="10"/>
      <c r="N740" s="10"/>
      <c r="O740" s="10"/>
      <c r="P740" s="10"/>
      <c r="Q740" s="10"/>
      <c r="R740" s="10"/>
      <c r="S740" s="10"/>
    </row>
    <row r="741" spans="10:19">
      <c r="J741" s="10"/>
      <c r="K741" s="1127"/>
      <c r="L741" s="10"/>
      <c r="M741" s="10"/>
      <c r="N741" s="10"/>
      <c r="O741" s="10"/>
      <c r="P741" s="10"/>
      <c r="Q741" s="10"/>
      <c r="R741" s="10"/>
      <c r="S741" s="10"/>
    </row>
    <row r="742" spans="10:19">
      <c r="J742" s="10"/>
      <c r="K742" s="1127"/>
      <c r="L742" s="10"/>
      <c r="M742" s="10"/>
      <c r="N742" s="10"/>
      <c r="O742" s="10"/>
      <c r="P742" s="10"/>
      <c r="Q742" s="10"/>
      <c r="R742" s="10"/>
      <c r="S742" s="10"/>
    </row>
    <row r="743" spans="10:19">
      <c r="J743" s="10"/>
      <c r="K743" s="1127"/>
      <c r="L743" s="10"/>
      <c r="M743" s="10"/>
      <c r="N743" s="10"/>
      <c r="O743" s="10"/>
      <c r="P743" s="10"/>
      <c r="Q743" s="10"/>
      <c r="R743" s="10"/>
      <c r="S743" s="10"/>
    </row>
    <row r="744" spans="10:19">
      <c r="J744" s="10"/>
      <c r="K744" s="1127"/>
      <c r="L744" s="10"/>
      <c r="M744" s="10"/>
      <c r="N744" s="10"/>
      <c r="O744" s="10"/>
      <c r="P744" s="10"/>
      <c r="Q744" s="10"/>
      <c r="R744" s="10"/>
      <c r="S744" s="10"/>
    </row>
    <row r="745" spans="10:19">
      <c r="J745" s="10"/>
      <c r="K745" s="1127"/>
      <c r="L745" s="10"/>
      <c r="M745" s="10"/>
      <c r="N745" s="10"/>
      <c r="O745" s="10"/>
      <c r="P745" s="10"/>
      <c r="Q745" s="10"/>
      <c r="R745" s="10"/>
      <c r="S745" s="10"/>
    </row>
    <row r="746" spans="10:19">
      <c r="J746" s="10"/>
      <c r="K746" s="1127"/>
      <c r="L746" s="10"/>
      <c r="M746" s="10"/>
      <c r="N746" s="10"/>
      <c r="O746" s="10"/>
      <c r="P746" s="10"/>
      <c r="Q746" s="10"/>
      <c r="R746" s="10"/>
      <c r="S746" s="10"/>
    </row>
    <row r="747" spans="10:19">
      <c r="J747" s="10"/>
      <c r="K747" s="1127"/>
      <c r="L747" s="10"/>
      <c r="M747" s="10"/>
      <c r="N747" s="10"/>
      <c r="O747" s="10"/>
      <c r="P747" s="10"/>
      <c r="Q747" s="10"/>
      <c r="R747" s="10"/>
      <c r="S747" s="10"/>
    </row>
    <row r="748" spans="10:19">
      <c r="J748" s="10"/>
      <c r="K748" s="1127"/>
      <c r="L748" s="10"/>
      <c r="M748" s="10"/>
      <c r="N748" s="10"/>
      <c r="O748" s="10"/>
      <c r="P748" s="10"/>
      <c r="Q748" s="10"/>
      <c r="R748" s="10"/>
      <c r="S748" s="10"/>
    </row>
    <row r="749" spans="10:19">
      <c r="J749" s="10"/>
      <c r="K749" s="1127"/>
      <c r="L749" s="10"/>
      <c r="M749" s="10"/>
      <c r="N749" s="10"/>
      <c r="O749" s="10"/>
      <c r="P749" s="10"/>
      <c r="Q749" s="10"/>
      <c r="R749" s="10"/>
      <c r="S749" s="10"/>
    </row>
    <row r="750" spans="10:19">
      <c r="J750" s="10"/>
      <c r="K750" s="1127"/>
      <c r="L750" s="10"/>
      <c r="M750" s="10"/>
      <c r="N750" s="10"/>
      <c r="O750" s="10"/>
      <c r="P750" s="10"/>
      <c r="Q750" s="10"/>
      <c r="R750" s="10"/>
      <c r="S750" s="10"/>
    </row>
    <row r="751" spans="10:19">
      <c r="J751" s="10"/>
      <c r="K751" s="1127"/>
      <c r="L751" s="10"/>
      <c r="M751" s="10"/>
      <c r="N751" s="10"/>
      <c r="O751" s="10"/>
      <c r="P751" s="10"/>
      <c r="Q751" s="10"/>
      <c r="R751" s="10"/>
      <c r="S751" s="10"/>
    </row>
    <row r="752" spans="10:19">
      <c r="J752" s="10"/>
      <c r="K752" s="1127"/>
      <c r="L752" s="10"/>
      <c r="M752" s="10"/>
      <c r="N752" s="10"/>
      <c r="O752" s="10"/>
      <c r="P752" s="10"/>
      <c r="Q752" s="10"/>
      <c r="R752" s="10"/>
      <c r="S752" s="10"/>
    </row>
    <row r="753" spans="10:19">
      <c r="J753" s="10"/>
      <c r="K753" s="1127"/>
      <c r="L753" s="10"/>
      <c r="M753" s="10"/>
      <c r="N753" s="10"/>
      <c r="O753" s="10"/>
      <c r="P753" s="10"/>
      <c r="Q753" s="10"/>
      <c r="R753" s="10"/>
      <c r="S753" s="10"/>
    </row>
    <row r="754" spans="10:19">
      <c r="J754" s="10"/>
      <c r="K754" s="1127"/>
      <c r="L754" s="10"/>
      <c r="M754" s="10"/>
      <c r="N754" s="10"/>
      <c r="O754" s="10"/>
      <c r="P754" s="10"/>
      <c r="Q754" s="10"/>
      <c r="R754" s="10"/>
      <c r="S754" s="10"/>
    </row>
    <row r="755" spans="10:19">
      <c r="J755" s="10"/>
      <c r="K755" s="1127"/>
      <c r="L755" s="10"/>
      <c r="M755" s="10"/>
      <c r="N755" s="10"/>
      <c r="O755" s="10"/>
      <c r="P755" s="10"/>
      <c r="Q755" s="10"/>
      <c r="R755" s="10"/>
      <c r="S755" s="10"/>
    </row>
    <row r="756" spans="10:19">
      <c r="J756" s="10"/>
      <c r="K756" s="1127"/>
      <c r="L756" s="10"/>
      <c r="M756" s="10"/>
      <c r="N756" s="10"/>
      <c r="O756" s="10"/>
      <c r="P756" s="10"/>
      <c r="Q756" s="10"/>
      <c r="R756" s="10"/>
      <c r="S756" s="10"/>
    </row>
    <row r="757" spans="10:19">
      <c r="J757" s="10"/>
      <c r="K757" s="1127"/>
      <c r="L757" s="10"/>
      <c r="M757" s="10"/>
      <c r="N757" s="10"/>
      <c r="O757" s="10"/>
      <c r="P757" s="10"/>
      <c r="Q757" s="10"/>
      <c r="R757" s="10"/>
      <c r="S757" s="10"/>
    </row>
    <row r="758" spans="10:19">
      <c r="J758" s="10"/>
      <c r="K758" s="1127"/>
      <c r="L758" s="10"/>
      <c r="M758" s="10"/>
      <c r="N758" s="10"/>
      <c r="O758" s="10"/>
      <c r="P758" s="10"/>
      <c r="Q758" s="10"/>
      <c r="R758" s="10"/>
      <c r="S758" s="10"/>
    </row>
    <row r="759" spans="10:19">
      <c r="J759" s="10"/>
      <c r="K759" s="1127"/>
      <c r="L759" s="10"/>
      <c r="M759" s="10"/>
      <c r="N759" s="10"/>
      <c r="O759" s="10"/>
      <c r="P759" s="10"/>
      <c r="Q759" s="10"/>
      <c r="R759" s="10"/>
      <c r="S759" s="10"/>
    </row>
    <row r="760" spans="10:19">
      <c r="J760" s="10"/>
      <c r="K760" s="1127"/>
      <c r="L760" s="10"/>
      <c r="M760" s="10"/>
      <c r="N760" s="10"/>
      <c r="O760" s="10"/>
      <c r="P760" s="10"/>
      <c r="Q760" s="10"/>
      <c r="R760" s="10"/>
      <c r="S760" s="10"/>
    </row>
    <row r="761" spans="10:19">
      <c r="J761" s="10"/>
      <c r="K761" s="1127"/>
      <c r="L761" s="10"/>
      <c r="M761" s="10"/>
      <c r="N761" s="10"/>
      <c r="O761" s="10"/>
      <c r="P761" s="10"/>
      <c r="Q761" s="10"/>
      <c r="R761" s="10"/>
      <c r="S761" s="10"/>
    </row>
    <row r="762" spans="10:19">
      <c r="J762" s="10"/>
      <c r="K762" s="1127"/>
      <c r="L762" s="10"/>
      <c r="M762" s="10"/>
      <c r="N762" s="10"/>
      <c r="O762" s="10"/>
      <c r="P762" s="10"/>
      <c r="Q762" s="10"/>
      <c r="R762" s="10"/>
      <c r="S762" s="10"/>
    </row>
    <row r="763" spans="10:19">
      <c r="J763" s="10"/>
      <c r="K763" s="1127"/>
      <c r="L763" s="10"/>
      <c r="M763" s="10"/>
      <c r="N763" s="10"/>
      <c r="O763" s="10"/>
      <c r="P763" s="10"/>
      <c r="Q763" s="10"/>
      <c r="R763" s="10"/>
      <c r="S763" s="10"/>
    </row>
    <row r="764" spans="10:19">
      <c r="J764" s="10"/>
      <c r="K764" s="1127"/>
      <c r="L764" s="10"/>
      <c r="M764" s="10"/>
      <c r="N764" s="10"/>
      <c r="O764" s="10"/>
      <c r="P764" s="10"/>
      <c r="Q764" s="10"/>
      <c r="R764" s="10"/>
      <c r="S764" s="10"/>
    </row>
    <row r="765" spans="10:19">
      <c r="J765" s="10"/>
      <c r="K765" s="1127"/>
      <c r="L765" s="10"/>
      <c r="M765" s="10"/>
      <c r="N765" s="10"/>
      <c r="O765" s="10"/>
      <c r="P765" s="10"/>
      <c r="Q765" s="10"/>
      <c r="R765" s="10"/>
      <c r="S765" s="10"/>
    </row>
    <row r="766" spans="10:19">
      <c r="J766" s="10"/>
      <c r="K766" s="1127"/>
      <c r="L766" s="10"/>
      <c r="M766" s="10"/>
      <c r="N766" s="10"/>
      <c r="O766" s="10"/>
      <c r="P766" s="10"/>
      <c r="Q766" s="10"/>
      <c r="R766" s="10"/>
      <c r="S766" s="10"/>
    </row>
    <row r="767" spans="10:19">
      <c r="J767" s="10"/>
      <c r="K767" s="1127"/>
      <c r="L767" s="10"/>
      <c r="M767" s="10"/>
      <c r="N767" s="10"/>
      <c r="O767" s="10"/>
      <c r="P767" s="10"/>
      <c r="Q767" s="10"/>
      <c r="R767" s="10"/>
      <c r="S767" s="10"/>
    </row>
    <row r="768" spans="10:19">
      <c r="J768" s="10"/>
      <c r="K768" s="1127"/>
      <c r="L768" s="10"/>
      <c r="M768" s="10"/>
      <c r="N768" s="10"/>
      <c r="O768" s="10"/>
      <c r="P768" s="10"/>
      <c r="Q768" s="10"/>
      <c r="R768" s="10"/>
      <c r="S768" s="10"/>
    </row>
    <row r="769" spans="10:19">
      <c r="J769" s="10"/>
      <c r="K769" s="1127"/>
      <c r="L769" s="10"/>
      <c r="M769" s="10"/>
      <c r="N769" s="10"/>
      <c r="O769" s="10"/>
      <c r="P769" s="10"/>
      <c r="Q769" s="10"/>
      <c r="R769" s="10"/>
      <c r="S769" s="10"/>
    </row>
    <row r="770" spans="10:19">
      <c r="J770" s="10"/>
      <c r="K770" s="1127"/>
      <c r="L770" s="10"/>
      <c r="M770" s="10"/>
      <c r="N770" s="10"/>
      <c r="O770" s="10"/>
      <c r="P770" s="10"/>
      <c r="Q770" s="10"/>
      <c r="R770" s="10"/>
      <c r="S770" s="10"/>
    </row>
    <row r="771" spans="10:19">
      <c r="J771" s="10"/>
      <c r="K771" s="1127"/>
      <c r="L771" s="10"/>
      <c r="M771" s="10"/>
      <c r="N771" s="10"/>
      <c r="O771" s="10"/>
      <c r="P771" s="10"/>
      <c r="Q771" s="10"/>
      <c r="R771" s="10"/>
      <c r="S771" s="10"/>
    </row>
    <row r="772" spans="10:19">
      <c r="J772" s="10"/>
      <c r="K772" s="1127"/>
      <c r="L772" s="10"/>
      <c r="M772" s="10"/>
      <c r="N772" s="10"/>
      <c r="O772" s="10"/>
      <c r="P772" s="10"/>
      <c r="Q772" s="10"/>
      <c r="R772" s="10"/>
      <c r="S772" s="10"/>
    </row>
    <row r="773" spans="10:19">
      <c r="J773" s="10"/>
      <c r="K773" s="1127"/>
      <c r="L773" s="10"/>
      <c r="M773" s="10"/>
      <c r="N773" s="10"/>
      <c r="O773" s="10"/>
      <c r="P773" s="10"/>
      <c r="Q773" s="10"/>
      <c r="R773" s="10"/>
      <c r="S773" s="10"/>
    </row>
    <row r="774" spans="10:19">
      <c r="J774" s="10"/>
      <c r="K774" s="1127"/>
      <c r="L774" s="10"/>
      <c r="M774" s="10"/>
      <c r="N774" s="10"/>
      <c r="O774" s="10"/>
      <c r="P774" s="10"/>
      <c r="Q774" s="10"/>
      <c r="R774" s="10"/>
      <c r="S774" s="10"/>
    </row>
    <row r="775" spans="10:19">
      <c r="J775" s="10"/>
      <c r="K775" s="1127"/>
      <c r="L775" s="10"/>
      <c r="M775" s="10"/>
      <c r="N775" s="10"/>
      <c r="O775" s="10"/>
      <c r="P775" s="10"/>
      <c r="Q775" s="10"/>
      <c r="R775" s="10"/>
      <c r="S775" s="10"/>
    </row>
    <row r="776" spans="10:19">
      <c r="J776" s="10"/>
      <c r="K776" s="1127"/>
      <c r="L776" s="10"/>
      <c r="M776" s="10"/>
      <c r="N776" s="10"/>
      <c r="O776" s="10"/>
      <c r="P776" s="10"/>
      <c r="Q776" s="10"/>
      <c r="R776" s="10"/>
      <c r="S776" s="10"/>
    </row>
    <row r="777" spans="10:19">
      <c r="J777" s="10"/>
      <c r="K777" s="1127"/>
      <c r="L777" s="10"/>
      <c r="M777" s="10"/>
      <c r="N777" s="10"/>
      <c r="O777" s="10"/>
      <c r="P777" s="10"/>
      <c r="Q777" s="10"/>
      <c r="R777" s="10"/>
      <c r="S777" s="10"/>
    </row>
    <row r="778" spans="10:19">
      <c r="J778" s="10"/>
      <c r="K778" s="1127"/>
      <c r="L778" s="10"/>
      <c r="M778" s="10"/>
      <c r="N778" s="10"/>
      <c r="O778" s="10"/>
      <c r="P778" s="10"/>
      <c r="Q778" s="10"/>
      <c r="R778" s="10"/>
      <c r="S778" s="10"/>
    </row>
    <row r="779" spans="10:19">
      <c r="J779" s="10"/>
      <c r="K779" s="1127"/>
      <c r="L779" s="10"/>
      <c r="M779" s="10"/>
      <c r="N779" s="10"/>
      <c r="O779" s="10"/>
      <c r="P779" s="10"/>
      <c r="Q779" s="10"/>
      <c r="R779" s="10"/>
      <c r="S779" s="10"/>
    </row>
    <row r="780" spans="10:19">
      <c r="J780" s="10"/>
      <c r="K780" s="1127"/>
      <c r="L780" s="10"/>
      <c r="M780" s="10"/>
      <c r="N780" s="10"/>
      <c r="O780" s="10"/>
      <c r="P780" s="10"/>
      <c r="Q780" s="10"/>
      <c r="R780" s="10"/>
      <c r="S780" s="10"/>
    </row>
    <row r="781" spans="10:19">
      <c r="J781" s="10"/>
      <c r="K781" s="1127"/>
      <c r="L781" s="10"/>
      <c r="M781" s="10"/>
      <c r="N781" s="10"/>
      <c r="O781" s="10"/>
      <c r="P781" s="10"/>
      <c r="Q781" s="10"/>
      <c r="R781" s="10"/>
      <c r="S781" s="10"/>
    </row>
    <row r="782" spans="10:19">
      <c r="J782" s="10"/>
      <c r="K782" s="1127"/>
      <c r="L782" s="10"/>
      <c r="M782" s="10"/>
      <c r="N782" s="10"/>
      <c r="O782" s="10"/>
      <c r="P782" s="10"/>
      <c r="Q782" s="10"/>
      <c r="R782" s="10"/>
      <c r="S782" s="10"/>
    </row>
    <row r="783" spans="10:19">
      <c r="J783" s="10"/>
      <c r="K783" s="1127"/>
      <c r="L783" s="10"/>
      <c r="M783" s="10"/>
      <c r="N783" s="10"/>
      <c r="O783" s="10"/>
      <c r="P783" s="10"/>
      <c r="Q783" s="10"/>
      <c r="R783" s="10"/>
      <c r="S783" s="10"/>
    </row>
    <row r="784" spans="10:19">
      <c r="J784" s="10"/>
      <c r="K784" s="1127"/>
      <c r="L784" s="10"/>
      <c r="M784" s="10"/>
      <c r="N784" s="10"/>
      <c r="O784" s="10"/>
      <c r="P784" s="10"/>
      <c r="Q784" s="10"/>
      <c r="R784" s="10"/>
      <c r="S784" s="10"/>
    </row>
    <row r="785" spans="10:19">
      <c r="J785" s="10"/>
      <c r="K785" s="1127"/>
      <c r="L785" s="10"/>
      <c r="M785" s="10"/>
      <c r="N785" s="10"/>
      <c r="O785" s="10"/>
      <c r="P785" s="10"/>
      <c r="Q785" s="10"/>
      <c r="R785" s="10"/>
      <c r="S785" s="10"/>
    </row>
    <row r="786" spans="10:19">
      <c r="J786" s="10"/>
      <c r="K786" s="1127"/>
      <c r="L786" s="10"/>
      <c r="M786" s="10"/>
      <c r="N786" s="10"/>
      <c r="O786" s="10"/>
      <c r="P786" s="10"/>
      <c r="Q786" s="10"/>
      <c r="R786" s="10"/>
      <c r="S786" s="10"/>
    </row>
    <row r="787" spans="10:19">
      <c r="J787" s="10"/>
      <c r="K787" s="1127"/>
      <c r="L787" s="10"/>
      <c r="M787" s="10"/>
      <c r="N787" s="10"/>
      <c r="O787" s="10"/>
      <c r="P787" s="10"/>
      <c r="Q787" s="10"/>
      <c r="R787" s="10"/>
      <c r="S787" s="10"/>
    </row>
    <row r="788" spans="10:19">
      <c r="J788" s="10"/>
      <c r="K788" s="1127"/>
      <c r="L788" s="10"/>
      <c r="M788" s="10"/>
      <c r="N788" s="10"/>
      <c r="O788" s="10"/>
      <c r="P788" s="10"/>
      <c r="Q788" s="10"/>
      <c r="R788" s="10"/>
      <c r="S788" s="10"/>
    </row>
    <row r="789" spans="10:19">
      <c r="J789" s="10"/>
      <c r="K789" s="1127"/>
      <c r="L789" s="10"/>
      <c r="M789" s="10"/>
      <c r="N789" s="10"/>
      <c r="O789" s="10"/>
      <c r="P789" s="10"/>
      <c r="Q789" s="10"/>
      <c r="R789" s="10"/>
      <c r="S789" s="10"/>
    </row>
    <row r="790" spans="10:19">
      <c r="J790" s="10"/>
      <c r="K790" s="1127"/>
      <c r="L790" s="10"/>
      <c r="M790" s="10"/>
      <c r="N790" s="10"/>
      <c r="O790" s="10"/>
      <c r="P790" s="10"/>
      <c r="Q790" s="10"/>
      <c r="R790" s="10"/>
      <c r="S790" s="10"/>
    </row>
    <row r="791" spans="10:19">
      <c r="J791" s="10"/>
      <c r="K791" s="1127"/>
      <c r="L791" s="10"/>
      <c r="M791" s="10"/>
      <c r="N791" s="10"/>
      <c r="O791" s="10"/>
      <c r="P791" s="10"/>
      <c r="Q791" s="10"/>
      <c r="R791" s="10"/>
      <c r="S791" s="10"/>
    </row>
    <row r="792" spans="10:19">
      <c r="J792" s="10"/>
      <c r="K792" s="1127"/>
      <c r="L792" s="10"/>
      <c r="M792" s="10"/>
      <c r="N792" s="10"/>
      <c r="O792" s="10"/>
      <c r="P792" s="10"/>
      <c r="Q792" s="10"/>
      <c r="R792" s="10"/>
      <c r="S792" s="10"/>
    </row>
    <row r="793" spans="10:19">
      <c r="J793" s="10"/>
      <c r="K793" s="1127"/>
      <c r="L793" s="10"/>
      <c r="M793" s="10"/>
      <c r="N793" s="10"/>
      <c r="O793" s="10"/>
      <c r="P793" s="10"/>
      <c r="Q793" s="10"/>
      <c r="R793" s="10"/>
      <c r="S793" s="10"/>
    </row>
    <row r="794" spans="10:19">
      <c r="J794" s="10"/>
      <c r="K794" s="1127"/>
      <c r="L794" s="10"/>
      <c r="M794" s="10"/>
      <c r="N794" s="10"/>
      <c r="O794" s="10"/>
      <c r="P794" s="10"/>
      <c r="Q794" s="10"/>
      <c r="R794" s="10"/>
      <c r="S794" s="10"/>
    </row>
    <row r="795" spans="10:19">
      <c r="J795" s="10"/>
      <c r="K795" s="1127"/>
      <c r="L795" s="10"/>
      <c r="M795" s="10"/>
      <c r="N795" s="10"/>
      <c r="O795" s="10"/>
      <c r="P795" s="10"/>
      <c r="Q795" s="10"/>
      <c r="R795" s="10"/>
      <c r="S795" s="10"/>
    </row>
    <row r="796" spans="10:19">
      <c r="J796" s="10"/>
      <c r="K796" s="1127"/>
      <c r="L796" s="10"/>
      <c r="M796" s="10"/>
      <c r="N796" s="10"/>
      <c r="O796" s="10"/>
      <c r="P796" s="10"/>
      <c r="Q796" s="10"/>
      <c r="R796" s="10"/>
      <c r="S796" s="10"/>
    </row>
    <row r="797" spans="10:19">
      <c r="J797" s="10"/>
      <c r="K797" s="1127"/>
      <c r="L797" s="10"/>
      <c r="M797" s="10"/>
      <c r="N797" s="10"/>
      <c r="O797" s="10"/>
      <c r="P797" s="10"/>
      <c r="Q797" s="10"/>
      <c r="R797" s="10"/>
      <c r="S797" s="10"/>
    </row>
    <row r="798" spans="10:19">
      <c r="J798" s="10"/>
      <c r="K798" s="1127"/>
      <c r="L798" s="10"/>
      <c r="M798" s="10"/>
      <c r="N798" s="10"/>
      <c r="O798" s="10"/>
      <c r="P798" s="10"/>
      <c r="Q798" s="10"/>
      <c r="R798" s="10"/>
      <c r="S798" s="10"/>
    </row>
    <row r="799" spans="10:19">
      <c r="J799" s="10"/>
      <c r="K799" s="1127"/>
      <c r="L799" s="10"/>
      <c r="M799" s="10"/>
      <c r="N799" s="10"/>
      <c r="O799" s="10"/>
      <c r="P799" s="10"/>
      <c r="Q799" s="10"/>
      <c r="R799" s="10"/>
      <c r="S799" s="10"/>
    </row>
    <row r="800" spans="10:19">
      <c r="J800" s="10"/>
      <c r="K800" s="1127"/>
      <c r="L800" s="10"/>
      <c r="M800" s="10"/>
      <c r="N800" s="10"/>
      <c r="O800" s="10"/>
      <c r="P800" s="10"/>
      <c r="Q800" s="10"/>
      <c r="R800" s="10"/>
      <c r="S800" s="10"/>
    </row>
    <row r="801" spans="10:19">
      <c r="J801" s="10"/>
      <c r="K801" s="1127"/>
      <c r="L801" s="10"/>
      <c r="M801" s="10"/>
      <c r="N801" s="10"/>
      <c r="O801" s="10"/>
      <c r="P801" s="10"/>
      <c r="Q801" s="10"/>
      <c r="R801" s="10"/>
      <c r="S801" s="10"/>
    </row>
    <row r="802" spans="10:19">
      <c r="J802" s="10"/>
      <c r="K802" s="1127"/>
      <c r="L802" s="10"/>
      <c r="M802" s="10"/>
      <c r="N802" s="10"/>
      <c r="O802" s="10"/>
      <c r="P802" s="10"/>
      <c r="Q802" s="10"/>
      <c r="R802" s="10"/>
      <c r="S802" s="10"/>
    </row>
    <row r="803" spans="10:19">
      <c r="J803" s="10"/>
      <c r="K803" s="1127"/>
      <c r="L803" s="10"/>
      <c r="M803" s="10"/>
      <c r="N803" s="10"/>
      <c r="O803" s="10"/>
      <c r="P803" s="10"/>
      <c r="Q803" s="10"/>
      <c r="R803" s="10"/>
      <c r="S803" s="10"/>
    </row>
    <row r="804" spans="10:19">
      <c r="J804" s="10"/>
      <c r="K804" s="1127"/>
      <c r="L804" s="10"/>
      <c r="M804" s="10"/>
      <c r="N804" s="10"/>
      <c r="O804" s="10"/>
      <c r="P804" s="10"/>
      <c r="Q804" s="10"/>
      <c r="R804" s="10"/>
      <c r="S804" s="10"/>
    </row>
    <row r="805" spans="10:19">
      <c r="J805" s="10"/>
      <c r="K805" s="1127"/>
      <c r="L805" s="10"/>
      <c r="M805" s="10"/>
      <c r="N805" s="10"/>
      <c r="O805" s="10"/>
      <c r="P805" s="10"/>
      <c r="Q805" s="10"/>
      <c r="R805" s="10"/>
      <c r="S805" s="10"/>
    </row>
    <row r="806" spans="10:19">
      <c r="J806" s="10"/>
      <c r="K806" s="1127"/>
      <c r="L806" s="10"/>
      <c r="M806" s="10"/>
      <c r="N806" s="10"/>
      <c r="O806" s="10"/>
      <c r="P806" s="10"/>
      <c r="Q806" s="10"/>
      <c r="R806" s="10"/>
      <c r="S806" s="10"/>
    </row>
    <row r="807" spans="10:19">
      <c r="J807" s="10"/>
      <c r="K807" s="1127"/>
      <c r="L807" s="10"/>
      <c r="M807" s="10"/>
      <c r="N807" s="10"/>
      <c r="O807" s="10"/>
      <c r="P807" s="10"/>
      <c r="Q807" s="10"/>
      <c r="R807" s="10"/>
      <c r="S807" s="10"/>
    </row>
    <row r="808" spans="10:19">
      <c r="J808" s="10"/>
      <c r="K808" s="1127"/>
      <c r="L808" s="10"/>
      <c r="M808" s="10"/>
      <c r="N808" s="10"/>
      <c r="O808" s="10"/>
      <c r="P808" s="10"/>
      <c r="Q808" s="10"/>
      <c r="R808" s="10"/>
      <c r="S808" s="10"/>
    </row>
    <row r="809" spans="10:19">
      <c r="J809" s="10"/>
      <c r="K809" s="1127"/>
      <c r="L809" s="10"/>
      <c r="M809" s="10"/>
      <c r="N809" s="10"/>
      <c r="O809" s="10"/>
      <c r="P809" s="10"/>
      <c r="Q809" s="10"/>
      <c r="R809" s="10"/>
      <c r="S809" s="10"/>
    </row>
    <row r="810" spans="10:19">
      <c r="J810" s="10"/>
      <c r="K810" s="1127"/>
      <c r="L810" s="10"/>
      <c r="M810" s="10"/>
      <c r="N810" s="10"/>
      <c r="O810" s="10"/>
      <c r="P810" s="10"/>
      <c r="Q810" s="10"/>
      <c r="R810" s="10"/>
      <c r="S810" s="10"/>
    </row>
    <row r="811" spans="10:19">
      <c r="J811" s="10"/>
      <c r="K811" s="1127"/>
      <c r="L811" s="10"/>
      <c r="M811" s="10"/>
      <c r="N811" s="10"/>
      <c r="O811" s="10"/>
      <c r="P811" s="10"/>
      <c r="Q811" s="10"/>
      <c r="R811" s="10"/>
      <c r="S811" s="10"/>
    </row>
    <row r="812" spans="10:19">
      <c r="J812" s="10"/>
      <c r="K812" s="1127"/>
      <c r="L812" s="10"/>
      <c r="M812" s="10"/>
      <c r="N812" s="10"/>
      <c r="O812" s="10"/>
      <c r="P812" s="10"/>
      <c r="Q812" s="10"/>
      <c r="R812" s="10"/>
      <c r="S812" s="10"/>
    </row>
    <row r="813" spans="10:19">
      <c r="J813" s="10"/>
      <c r="K813" s="1127"/>
      <c r="L813" s="10"/>
      <c r="M813" s="10"/>
      <c r="N813" s="10"/>
      <c r="O813" s="10"/>
      <c r="P813" s="10"/>
      <c r="Q813" s="10"/>
      <c r="R813" s="10"/>
      <c r="S813" s="10"/>
    </row>
    <row r="814" spans="10:19">
      <c r="J814" s="10"/>
      <c r="K814" s="1127"/>
      <c r="L814" s="10"/>
      <c r="M814" s="10"/>
      <c r="N814" s="10"/>
      <c r="O814" s="10"/>
      <c r="P814" s="10"/>
      <c r="Q814" s="10"/>
      <c r="R814" s="10"/>
      <c r="S814" s="10"/>
    </row>
    <row r="815" spans="10:19">
      <c r="J815" s="10"/>
      <c r="K815" s="1127"/>
      <c r="L815" s="10"/>
      <c r="M815" s="10"/>
      <c r="N815" s="10"/>
      <c r="O815" s="10"/>
      <c r="P815" s="10"/>
      <c r="Q815" s="10"/>
      <c r="R815" s="10"/>
      <c r="S815" s="10"/>
    </row>
    <row r="816" spans="10:19">
      <c r="J816" s="10"/>
      <c r="K816" s="1127"/>
      <c r="L816" s="10"/>
      <c r="M816" s="10"/>
      <c r="N816" s="10"/>
      <c r="O816" s="10"/>
      <c r="P816" s="10"/>
      <c r="Q816" s="10"/>
      <c r="R816" s="10"/>
      <c r="S816" s="10"/>
    </row>
    <row r="817" spans="10:19">
      <c r="J817" s="10"/>
      <c r="K817" s="1127"/>
      <c r="L817" s="10"/>
      <c r="M817" s="10"/>
      <c r="N817" s="10"/>
      <c r="O817" s="10"/>
      <c r="P817" s="10"/>
      <c r="Q817" s="10"/>
      <c r="R817" s="10"/>
      <c r="S817" s="10"/>
    </row>
    <row r="818" spans="10:19">
      <c r="J818" s="10"/>
      <c r="K818" s="1127"/>
      <c r="L818" s="10"/>
      <c r="M818" s="10"/>
      <c r="N818" s="10"/>
      <c r="O818" s="10"/>
      <c r="P818" s="10"/>
      <c r="Q818" s="10"/>
      <c r="R818" s="10"/>
      <c r="S818" s="10"/>
    </row>
    <row r="819" spans="10:19">
      <c r="J819" s="10"/>
      <c r="K819" s="1127"/>
      <c r="L819" s="10"/>
      <c r="M819" s="10"/>
      <c r="N819" s="10"/>
      <c r="O819" s="10"/>
      <c r="P819" s="10"/>
      <c r="Q819" s="10"/>
      <c r="R819" s="10"/>
      <c r="S819" s="10"/>
    </row>
    <row r="820" spans="10:19">
      <c r="J820" s="10"/>
      <c r="K820" s="1127"/>
      <c r="L820" s="10"/>
      <c r="M820" s="10"/>
      <c r="N820" s="10"/>
      <c r="O820" s="10"/>
      <c r="P820" s="10"/>
      <c r="Q820" s="10"/>
      <c r="R820" s="10"/>
      <c r="S820" s="10"/>
    </row>
    <row r="821" spans="10:19">
      <c r="J821" s="10"/>
      <c r="K821" s="1127"/>
      <c r="L821" s="10"/>
      <c r="M821" s="10"/>
      <c r="N821" s="10"/>
      <c r="O821" s="10"/>
      <c r="P821" s="10"/>
      <c r="Q821" s="10"/>
      <c r="R821" s="10"/>
      <c r="S821" s="10"/>
    </row>
    <row r="822" spans="10:19">
      <c r="J822" s="10"/>
      <c r="K822" s="1127"/>
      <c r="L822" s="10"/>
      <c r="M822" s="10"/>
      <c r="N822" s="10"/>
      <c r="O822" s="10"/>
      <c r="P822" s="10"/>
      <c r="Q822" s="10"/>
      <c r="R822" s="10"/>
      <c r="S822" s="10"/>
    </row>
    <row r="823" spans="10:19">
      <c r="J823" s="10"/>
      <c r="K823" s="1127"/>
      <c r="L823" s="10"/>
      <c r="M823" s="10"/>
      <c r="N823" s="10"/>
      <c r="O823" s="10"/>
      <c r="P823" s="10"/>
      <c r="Q823" s="10"/>
      <c r="R823" s="10"/>
      <c r="S823" s="10"/>
    </row>
    <row r="824" spans="10:19">
      <c r="J824" s="10"/>
      <c r="K824" s="1127"/>
      <c r="L824" s="10"/>
      <c r="M824" s="10"/>
      <c r="N824" s="10"/>
      <c r="O824" s="10"/>
      <c r="P824" s="10"/>
      <c r="Q824" s="10"/>
      <c r="R824" s="10"/>
      <c r="S824" s="10"/>
    </row>
    <row r="825" spans="10:19">
      <c r="J825" s="10"/>
      <c r="K825" s="1127"/>
      <c r="L825" s="10"/>
      <c r="M825" s="10"/>
      <c r="N825" s="10"/>
      <c r="O825" s="10"/>
      <c r="P825" s="10"/>
      <c r="Q825" s="10"/>
      <c r="R825" s="10"/>
      <c r="S825" s="10"/>
    </row>
    <row r="826" spans="10:19">
      <c r="J826" s="10"/>
      <c r="K826" s="1127"/>
      <c r="L826" s="10"/>
      <c r="M826" s="10"/>
      <c r="N826" s="10"/>
      <c r="O826" s="10"/>
      <c r="P826" s="10"/>
      <c r="Q826" s="10"/>
      <c r="R826" s="10"/>
      <c r="S826" s="10"/>
    </row>
    <row r="827" spans="10:19">
      <c r="J827" s="10"/>
      <c r="K827" s="1127"/>
      <c r="L827" s="10"/>
      <c r="M827" s="10"/>
      <c r="N827" s="10"/>
      <c r="O827" s="10"/>
      <c r="P827" s="10"/>
      <c r="Q827" s="10"/>
      <c r="R827" s="10"/>
      <c r="S827" s="10"/>
    </row>
    <row r="828" spans="10:19">
      <c r="J828" s="10"/>
      <c r="K828" s="1127"/>
      <c r="L828" s="10"/>
      <c r="M828" s="10"/>
      <c r="N828" s="10"/>
      <c r="O828" s="10"/>
      <c r="P828" s="10"/>
      <c r="Q828" s="10"/>
      <c r="R828" s="10"/>
      <c r="S828" s="10"/>
    </row>
    <row r="829" spans="10:19">
      <c r="J829" s="10"/>
      <c r="K829" s="1127"/>
      <c r="L829" s="10"/>
      <c r="M829" s="10"/>
      <c r="N829" s="10"/>
      <c r="O829" s="10"/>
      <c r="P829" s="10"/>
      <c r="Q829" s="10"/>
      <c r="R829" s="10"/>
      <c r="S829" s="10"/>
    </row>
    <row r="830" spans="10:19">
      <c r="J830" s="10"/>
      <c r="K830" s="1127"/>
      <c r="L830" s="10"/>
      <c r="M830" s="10"/>
      <c r="N830" s="10"/>
      <c r="O830" s="10"/>
      <c r="P830" s="10"/>
      <c r="Q830" s="10"/>
      <c r="R830" s="10"/>
      <c r="S830" s="10"/>
    </row>
    <row r="831" spans="10:19">
      <c r="J831" s="10"/>
      <c r="K831" s="1127"/>
      <c r="L831" s="10"/>
      <c r="M831" s="10"/>
      <c r="N831" s="10"/>
      <c r="O831" s="10"/>
      <c r="P831" s="10"/>
      <c r="Q831" s="10"/>
      <c r="R831" s="10"/>
      <c r="S831" s="10"/>
    </row>
    <row r="832" spans="10:19">
      <c r="J832" s="10"/>
      <c r="K832" s="1127"/>
      <c r="L832" s="10"/>
      <c r="M832" s="10"/>
      <c r="N832" s="10"/>
      <c r="O832" s="10"/>
      <c r="P832" s="10"/>
      <c r="Q832" s="10"/>
      <c r="R832" s="10"/>
      <c r="S832" s="10"/>
    </row>
    <row r="833" spans="10:19">
      <c r="J833" s="10"/>
      <c r="K833" s="1127"/>
      <c r="L833" s="10"/>
      <c r="M833" s="10"/>
      <c r="N833" s="10"/>
      <c r="O833" s="10"/>
      <c r="P833" s="10"/>
      <c r="Q833" s="10"/>
      <c r="R833" s="10"/>
      <c r="S833" s="10"/>
    </row>
    <row r="834" spans="10:19">
      <c r="J834" s="10"/>
      <c r="K834" s="1127"/>
      <c r="L834" s="10"/>
      <c r="M834" s="10"/>
      <c r="N834" s="10"/>
      <c r="O834" s="10"/>
      <c r="P834" s="10"/>
      <c r="Q834" s="10"/>
      <c r="R834" s="10"/>
      <c r="S834" s="10"/>
    </row>
    <row r="835" spans="10:19">
      <c r="J835" s="10"/>
      <c r="K835" s="1127"/>
      <c r="L835" s="10"/>
      <c r="M835" s="10"/>
      <c r="N835" s="10"/>
      <c r="O835" s="10"/>
      <c r="P835" s="10"/>
      <c r="Q835" s="10"/>
      <c r="R835" s="10"/>
      <c r="S835" s="10"/>
    </row>
    <row r="836" spans="10:19">
      <c r="J836" s="10"/>
      <c r="K836" s="1127"/>
      <c r="L836" s="10"/>
      <c r="M836" s="10"/>
      <c r="N836" s="10"/>
      <c r="O836" s="10"/>
      <c r="P836" s="10"/>
      <c r="Q836" s="10"/>
      <c r="R836" s="10"/>
      <c r="S836" s="10"/>
    </row>
    <row r="837" spans="10:19">
      <c r="J837" s="10"/>
      <c r="K837" s="1127"/>
      <c r="L837" s="10"/>
      <c r="M837" s="10"/>
      <c r="N837" s="10"/>
      <c r="O837" s="10"/>
      <c r="P837" s="10"/>
      <c r="Q837" s="10"/>
      <c r="R837" s="10"/>
      <c r="S837" s="10"/>
    </row>
    <row r="838" spans="10:19">
      <c r="J838" s="10"/>
      <c r="K838" s="1127"/>
      <c r="L838" s="10"/>
      <c r="M838" s="10"/>
      <c r="N838" s="10"/>
      <c r="O838" s="10"/>
      <c r="P838" s="10"/>
      <c r="Q838" s="10"/>
      <c r="R838" s="10"/>
      <c r="S838" s="10"/>
    </row>
    <row r="839" spans="10:19">
      <c r="J839" s="10"/>
      <c r="K839" s="1127"/>
      <c r="L839" s="10"/>
      <c r="M839" s="10"/>
      <c r="N839" s="10"/>
      <c r="O839" s="10"/>
      <c r="P839" s="10"/>
      <c r="Q839" s="10"/>
      <c r="R839" s="10"/>
      <c r="S839" s="10"/>
    </row>
    <row r="840" spans="10:19">
      <c r="J840" s="10"/>
      <c r="K840" s="1127"/>
      <c r="L840" s="10"/>
      <c r="M840" s="10"/>
      <c r="N840" s="10"/>
      <c r="O840" s="10"/>
      <c r="P840" s="10"/>
      <c r="Q840" s="10"/>
      <c r="R840" s="10"/>
      <c r="S840" s="10"/>
    </row>
    <row r="841" spans="10:19">
      <c r="J841" s="10"/>
      <c r="K841" s="1127"/>
      <c r="L841" s="10"/>
      <c r="M841" s="10"/>
      <c r="N841" s="10"/>
      <c r="O841" s="10"/>
      <c r="P841" s="10"/>
      <c r="Q841" s="10"/>
      <c r="R841" s="10"/>
      <c r="S841" s="10"/>
    </row>
    <row r="842" spans="10:19">
      <c r="J842" s="10"/>
      <c r="K842" s="1127"/>
      <c r="L842" s="10"/>
      <c r="M842" s="10"/>
      <c r="N842" s="10"/>
      <c r="O842" s="10"/>
      <c r="P842" s="10"/>
      <c r="Q842" s="10"/>
      <c r="R842" s="10"/>
      <c r="S842" s="10"/>
    </row>
    <row r="843" spans="10:19">
      <c r="J843" s="10"/>
      <c r="K843" s="1127"/>
      <c r="L843" s="10"/>
      <c r="M843" s="10"/>
      <c r="N843" s="10"/>
      <c r="O843" s="10"/>
      <c r="P843" s="10"/>
      <c r="Q843" s="10"/>
      <c r="R843" s="10"/>
      <c r="S843" s="10"/>
    </row>
    <row r="844" spans="10:19">
      <c r="J844" s="10"/>
      <c r="K844" s="1127"/>
      <c r="L844" s="10"/>
      <c r="M844" s="10"/>
      <c r="N844" s="10"/>
      <c r="O844" s="10"/>
      <c r="P844" s="10"/>
      <c r="Q844" s="10"/>
      <c r="R844" s="10"/>
      <c r="S844" s="10"/>
    </row>
    <row r="845" spans="10:19">
      <c r="J845" s="10"/>
      <c r="K845" s="1127"/>
      <c r="L845" s="10"/>
      <c r="M845" s="10"/>
      <c r="N845" s="10"/>
      <c r="O845" s="10"/>
      <c r="P845" s="10"/>
      <c r="Q845" s="10"/>
      <c r="R845" s="10"/>
      <c r="S845" s="10"/>
    </row>
    <row r="846" spans="10:19">
      <c r="J846" s="10"/>
      <c r="K846" s="1127"/>
      <c r="L846" s="10"/>
      <c r="M846" s="10"/>
      <c r="N846" s="10"/>
      <c r="O846" s="10"/>
      <c r="P846" s="10"/>
      <c r="Q846" s="10"/>
      <c r="R846" s="10"/>
      <c r="S846" s="10"/>
    </row>
    <row r="847" spans="10:19">
      <c r="J847" s="10"/>
      <c r="K847" s="1127"/>
      <c r="L847" s="10"/>
      <c r="M847" s="10"/>
      <c r="N847" s="10"/>
      <c r="O847" s="10"/>
      <c r="P847" s="10"/>
      <c r="Q847" s="10"/>
      <c r="R847" s="10"/>
      <c r="S847" s="10"/>
    </row>
    <row r="848" spans="10:19">
      <c r="J848" s="10"/>
      <c r="K848" s="1127"/>
      <c r="L848" s="10"/>
      <c r="M848" s="10"/>
      <c r="N848" s="10"/>
      <c r="O848" s="10"/>
      <c r="P848" s="10"/>
      <c r="Q848" s="10"/>
      <c r="R848" s="10"/>
      <c r="S848" s="10"/>
    </row>
    <row r="849" spans="10:19">
      <c r="J849" s="10"/>
      <c r="K849" s="1127"/>
      <c r="L849" s="10"/>
      <c r="M849" s="10"/>
      <c r="N849" s="10"/>
      <c r="O849" s="10"/>
      <c r="P849" s="10"/>
      <c r="Q849" s="10"/>
      <c r="R849" s="10"/>
      <c r="S849" s="10"/>
    </row>
    <row r="850" spans="10:19">
      <c r="J850" s="10"/>
      <c r="K850" s="1127"/>
      <c r="L850" s="10"/>
      <c r="M850" s="10"/>
      <c r="N850" s="10"/>
      <c r="O850" s="10"/>
      <c r="P850" s="10"/>
      <c r="Q850" s="10"/>
      <c r="R850" s="10"/>
      <c r="S850" s="10"/>
    </row>
    <row r="851" spans="10:19">
      <c r="J851" s="10"/>
      <c r="K851" s="1127"/>
      <c r="L851" s="10"/>
      <c r="M851" s="10"/>
      <c r="N851" s="10"/>
      <c r="O851" s="10"/>
      <c r="P851" s="10"/>
      <c r="Q851" s="10"/>
      <c r="R851" s="10"/>
      <c r="S851" s="10"/>
    </row>
    <row r="852" spans="10:19">
      <c r="J852" s="10"/>
      <c r="K852" s="1127"/>
      <c r="L852" s="10"/>
      <c r="M852" s="10"/>
      <c r="N852" s="10"/>
      <c r="O852" s="10"/>
      <c r="P852" s="10"/>
      <c r="Q852" s="10"/>
      <c r="R852" s="10"/>
      <c r="S852" s="10"/>
    </row>
    <row r="853" spans="10:19">
      <c r="J853" s="10"/>
      <c r="K853" s="1127"/>
      <c r="L853" s="10"/>
      <c r="M853" s="10"/>
      <c r="N853" s="10"/>
      <c r="O853" s="10"/>
      <c r="P853" s="10"/>
      <c r="Q853" s="10"/>
      <c r="R853" s="10"/>
      <c r="S853" s="10"/>
    </row>
    <row r="854" spans="10:19">
      <c r="J854" s="10"/>
      <c r="K854" s="1127"/>
      <c r="L854" s="10"/>
      <c r="M854" s="10"/>
      <c r="N854" s="10"/>
      <c r="O854" s="10"/>
      <c r="P854" s="10"/>
      <c r="Q854" s="10"/>
      <c r="R854" s="10"/>
      <c r="S854" s="10"/>
    </row>
    <row r="855" spans="10:19">
      <c r="J855" s="10"/>
      <c r="K855" s="1127"/>
      <c r="L855" s="10"/>
      <c r="M855" s="10"/>
      <c r="N855" s="10"/>
      <c r="O855" s="10"/>
      <c r="P855" s="10"/>
      <c r="Q855" s="10"/>
      <c r="R855" s="10"/>
      <c r="S855" s="10"/>
    </row>
    <row r="856" spans="10:19">
      <c r="J856" s="10"/>
      <c r="K856" s="1127"/>
      <c r="L856" s="10"/>
      <c r="M856" s="10"/>
      <c r="N856" s="10"/>
      <c r="O856" s="10"/>
      <c r="P856" s="10"/>
      <c r="Q856" s="10"/>
      <c r="R856" s="10"/>
      <c r="S856" s="10"/>
    </row>
    <row r="857" spans="10:19">
      <c r="J857" s="10"/>
      <c r="K857" s="1127"/>
      <c r="L857" s="10"/>
      <c r="M857" s="10"/>
      <c r="N857" s="10"/>
      <c r="O857" s="10"/>
      <c r="P857" s="10"/>
      <c r="Q857" s="10"/>
      <c r="R857" s="10"/>
      <c r="S857" s="10"/>
    </row>
    <row r="858" spans="10:19">
      <c r="J858" s="10"/>
      <c r="K858" s="1127"/>
      <c r="L858" s="10"/>
      <c r="M858" s="10"/>
      <c r="N858" s="10"/>
      <c r="O858" s="10"/>
      <c r="P858" s="10"/>
      <c r="Q858" s="10"/>
      <c r="R858" s="10"/>
      <c r="S858" s="10"/>
    </row>
    <row r="859" spans="10:19">
      <c r="J859" s="10"/>
      <c r="K859" s="1127"/>
      <c r="L859" s="10"/>
      <c r="M859" s="10"/>
      <c r="N859" s="10"/>
      <c r="O859" s="10"/>
      <c r="P859" s="10"/>
      <c r="Q859" s="10"/>
      <c r="R859" s="10"/>
      <c r="S859" s="10"/>
    </row>
    <row r="860" spans="10:19">
      <c r="J860" s="10"/>
      <c r="K860" s="1127"/>
      <c r="L860" s="10"/>
      <c r="M860" s="10"/>
      <c r="N860" s="10"/>
      <c r="O860" s="10"/>
      <c r="P860" s="10"/>
      <c r="Q860" s="10"/>
      <c r="R860" s="10"/>
      <c r="S860" s="10"/>
    </row>
    <row r="861" spans="10:19">
      <c r="J861" s="10"/>
      <c r="K861" s="1127"/>
      <c r="L861" s="10"/>
      <c r="M861" s="10"/>
      <c r="N861" s="10"/>
      <c r="O861" s="10"/>
      <c r="P861" s="10"/>
      <c r="Q861" s="10"/>
      <c r="R861" s="10"/>
      <c r="S861" s="10"/>
    </row>
    <row r="862" spans="10:19">
      <c r="J862" s="10"/>
      <c r="K862" s="1127"/>
      <c r="L862" s="10"/>
      <c r="M862" s="10"/>
      <c r="N862" s="10"/>
      <c r="O862" s="10"/>
      <c r="P862" s="10"/>
      <c r="Q862" s="10"/>
      <c r="R862" s="10"/>
      <c r="S862" s="10"/>
    </row>
    <row r="863" spans="10:19">
      <c r="J863" s="10"/>
      <c r="K863" s="1127"/>
      <c r="L863" s="10"/>
      <c r="M863" s="10"/>
      <c r="N863" s="10"/>
      <c r="O863" s="10"/>
      <c r="P863" s="10"/>
      <c r="Q863" s="10"/>
      <c r="R863" s="10"/>
      <c r="S863" s="10"/>
    </row>
    <row r="864" spans="10:19">
      <c r="J864" s="10"/>
      <c r="K864" s="1127"/>
      <c r="L864" s="10"/>
      <c r="M864" s="10"/>
      <c r="N864" s="10"/>
      <c r="O864" s="10"/>
      <c r="P864" s="10"/>
      <c r="Q864" s="10"/>
      <c r="R864" s="10"/>
      <c r="S864" s="10"/>
    </row>
    <row r="865" spans="10:19">
      <c r="J865" s="10"/>
      <c r="K865" s="1127"/>
      <c r="L865" s="10"/>
      <c r="M865" s="10"/>
      <c r="N865" s="10"/>
      <c r="O865" s="10"/>
      <c r="P865" s="10"/>
      <c r="Q865" s="10"/>
      <c r="R865" s="10"/>
      <c r="S865" s="10"/>
    </row>
    <row r="866" spans="10:19">
      <c r="J866" s="10"/>
      <c r="K866" s="1127"/>
      <c r="L866" s="10"/>
      <c r="M866" s="10"/>
      <c r="N866" s="10"/>
      <c r="O866" s="10"/>
      <c r="P866" s="10"/>
      <c r="Q866" s="10"/>
      <c r="R866" s="10"/>
      <c r="S866" s="10"/>
    </row>
    <row r="867" spans="10:19">
      <c r="J867" s="10"/>
      <c r="K867" s="1127"/>
      <c r="L867" s="10"/>
      <c r="M867" s="10"/>
      <c r="N867" s="10"/>
      <c r="O867" s="10"/>
      <c r="P867" s="10"/>
      <c r="Q867" s="10"/>
      <c r="R867" s="10"/>
      <c r="S867" s="10"/>
    </row>
    <row r="868" spans="10:19">
      <c r="J868" s="10"/>
      <c r="K868" s="1127"/>
      <c r="L868" s="10"/>
      <c r="M868" s="10"/>
      <c r="N868" s="10"/>
      <c r="O868" s="10"/>
      <c r="P868" s="10"/>
      <c r="Q868" s="10"/>
      <c r="R868" s="10"/>
      <c r="S868" s="10"/>
    </row>
    <row r="869" spans="10:19">
      <c r="J869" s="10"/>
      <c r="K869" s="1127"/>
      <c r="L869" s="10"/>
      <c r="M869" s="10"/>
      <c r="N869" s="10"/>
      <c r="O869" s="10"/>
      <c r="P869" s="10"/>
      <c r="Q869" s="10"/>
      <c r="R869" s="10"/>
      <c r="S869" s="10"/>
    </row>
    <row r="870" spans="10:19">
      <c r="J870" s="10"/>
      <c r="K870" s="1127"/>
      <c r="L870" s="10"/>
      <c r="M870" s="10"/>
      <c r="N870" s="10"/>
      <c r="O870" s="10"/>
      <c r="P870" s="10"/>
      <c r="Q870" s="10"/>
      <c r="R870" s="10"/>
      <c r="S870" s="10"/>
    </row>
    <row r="871" spans="10:19">
      <c r="J871" s="10"/>
      <c r="K871" s="1127"/>
      <c r="L871" s="10"/>
      <c r="M871" s="10"/>
      <c r="N871" s="10"/>
      <c r="O871" s="10"/>
      <c r="P871" s="10"/>
      <c r="Q871" s="10"/>
      <c r="R871" s="10"/>
      <c r="S871" s="10"/>
    </row>
    <row r="872" spans="10:19">
      <c r="J872" s="10"/>
      <c r="K872" s="1127"/>
      <c r="L872" s="10"/>
      <c r="M872" s="10"/>
      <c r="N872" s="10"/>
      <c r="O872" s="10"/>
      <c r="P872" s="10"/>
      <c r="Q872" s="10"/>
      <c r="R872" s="10"/>
      <c r="S872" s="10"/>
    </row>
    <row r="873" spans="10:19">
      <c r="J873" s="10"/>
      <c r="K873" s="1127"/>
      <c r="L873" s="10"/>
      <c r="M873" s="10"/>
      <c r="N873" s="10"/>
      <c r="O873" s="10"/>
      <c r="P873" s="10"/>
      <c r="Q873" s="10"/>
      <c r="R873" s="10"/>
      <c r="S873" s="10"/>
    </row>
    <row r="874" spans="10:19">
      <c r="J874" s="10"/>
      <c r="K874" s="1127"/>
      <c r="L874" s="10"/>
      <c r="M874" s="10"/>
      <c r="N874" s="10"/>
      <c r="O874" s="10"/>
      <c r="P874" s="10"/>
      <c r="Q874" s="10"/>
      <c r="R874" s="10"/>
      <c r="S874" s="10"/>
    </row>
    <row r="875" spans="10:19">
      <c r="J875" s="10"/>
      <c r="K875" s="1127"/>
      <c r="L875" s="10"/>
      <c r="M875" s="10"/>
      <c r="N875" s="10"/>
      <c r="O875" s="10"/>
      <c r="P875" s="10"/>
      <c r="Q875" s="10"/>
      <c r="R875" s="10"/>
      <c r="S875" s="10"/>
    </row>
    <row r="876" spans="10:19">
      <c r="J876" s="10"/>
      <c r="K876" s="1127"/>
      <c r="L876" s="10"/>
      <c r="M876" s="10"/>
      <c r="N876" s="10"/>
      <c r="O876" s="10"/>
      <c r="P876" s="10"/>
      <c r="Q876" s="10"/>
      <c r="R876" s="10"/>
      <c r="S876" s="10"/>
    </row>
    <row r="877" spans="10:19">
      <c r="J877" s="10"/>
      <c r="K877" s="1127"/>
      <c r="L877" s="10"/>
      <c r="M877" s="10"/>
      <c r="N877" s="10"/>
      <c r="O877" s="10"/>
      <c r="P877" s="10"/>
      <c r="Q877" s="10"/>
      <c r="R877" s="10"/>
      <c r="S877" s="10"/>
    </row>
    <row r="878" spans="10:19">
      <c r="J878" s="10"/>
      <c r="K878" s="1127"/>
      <c r="L878" s="10"/>
      <c r="M878" s="10"/>
      <c r="N878" s="10"/>
      <c r="O878" s="10"/>
      <c r="P878" s="10"/>
      <c r="Q878" s="10"/>
      <c r="R878" s="10"/>
      <c r="S878" s="10"/>
    </row>
    <row r="879" spans="10:19">
      <c r="J879" s="10"/>
      <c r="K879" s="1127"/>
      <c r="L879" s="10"/>
      <c r="M879" s="10"/>
      <c r="N879" s="10"/>
      <c r="O879" s="10"/>
      <c r="P879" s="10"/>
      <c r="Q879" s="10"/>
      <c r="R879" s="10"/>
      <c r="S879" s="10"/>
    </row>
    <row r="880" spans="10:19">
      <c r="J880" s="10"/>
      <c r="K880" s="1127"/>
      <c r="L880" s="10"/>
      <c r="M880" s="10"/>
      <c r="N880" s="10"/>
      <c r="O880" s="10"/>
      <c r="P880" s="10"/>
      <c r="Q880" s="10"/>
      <c r="R880" s="10"/>
      <c r="S880" s="10"/>
    </row>
    <row r="881" spans="10:19">
      <c r="J881" s="10"/>
      <c r="K881" s="1127"/>
      <c r="L881" s="10"/>
      <c r="M881" s="10"/>
      <c r="N881" s="10"/>
      <c r="O881" s="10"/>
      <c r="P881" s="10"/>
      <c r="Q881" s="10"/>
      <c r="R881" s="10"/>
      <c r="S881" s="10"/>
    </row>
    <row r="882" spans="10:19">
      <c r="J882" s="10"/>
      <c r="K882" s="1127"/>
      <c r="L882" s="10"/>
      <c r="M882" s="10"/>
      <c r="N882" s="10"/>
      <c r="O882" s="10"/>
      <c r="P882" s="10"/>
      <c r="Q882" s="10"/>
      <c r="R882" s="10"/>
      <c r="S882" s="10"/>
    </row>
    <row r="883" spans="10:19">
      <c r="J883" s="10"/>
      <c r="K883" s="1127"/>
      <c r="L883" s="10"/>
      <c r="M883" s="10"/>
      <c r="N883" s="10"/>
      <c r="O883" s="10"/>
      <c r="P883" s="10"/>
      <c r="Q883" s="10"/>
      <c r="R883" s="10"/>
      <c r="S883" s="10"/>
    </row>
    <row r="884" spans="10:19">
      <c r="J884" s="10"/>
      <c r="K884" s="1127"/>
      <c r="L884" s="10"/>
      <c r="M884" s="10"/>
      <c r="N884" s="10"/>
      <c r="O884" s="10"/>
      <c r="P884" s="10"/>
      <c r="Q884" s="10"/>
      <c r="R884" s="10"/>
      <c r="S884" s="10"/>
    </row>
    <row r="885" spans="10:19">
      <c r="J885" s="10"/>
      <c r="K885" s="1127"/>
      <c r="L885" s="10"/>
      <c r="M885" s="10"/>
      <c r="N885" s="10"/>
      <c r="O885" s="10"/>
      <c r="P885" s="10"/>
      <c r="Q885" s="10"/>
      <c r="R885" s="10"/>
      <c r="S885" s="10"/>
    </row>
    <row r="886" spans="10:19">
      <c r="J886" s="10"/>
      <c r="K886" s="1127"/>
      <c r="L886" s="10"/>
      <c r="M886" s="10"/>
      <c r="N886" s="10"/>
      <c r="O886" s="10"/>
      <c r="P886" s="10"/>
      <c r="Q886" s="10"/>
      <c r="R886" s="10"/>
      <c r="S886" s="10"/>
    </row>
    <row r="887" spans="10:19">
      <c r="J887" s="10"/>
      <c r="K887" s="1127"/>
      <c r="L887" s="10"/>
      <c r="M887" s="10"/>
      <c r="N887" s="10"/>
      <c r="O887" s="10"/>
      <c r="P887" s="10"/>
      <c r="Q887" s="10"/>
      <c r="R887" s="10"/>
      <c r="S887" s="10"/>
    </row>
    <row r="888" spans="10:19">
      <c r="J888" s="10"/>
      <c r="K888" s="1127"/>
      <c r="L888" s="10"/>
      <c r="M888" s="10"/>
      <c r="N888" s="10"/>
      <c r="O888" s="10"/>
      <c r="P888" s="10"/>
      <c r="Q888" s="10"/>
      <c r="R888" s="10"/>
      <c r="S888" s="10"/>
    </row>
    <row r="889" spans="10:19">
      <c r="J889" s="10"/>
      <c r="K889" s="1127"/>
      <c r="L889" s="10"/>
      <c r="M889" s="10"/>
      <c r="N889" s="10"/>
      <c r="O889" s="10"/>
      <c r="P889" s="10"/>
      <c r="Q889" s="10"/>
      <c r="R889" s="10"/>
      <c r="S889" s="10"/>
    </row>
    <row r="890" spans="10:19">
      <c r="J890" s="10"/>
      <c r="K890" s="1127"/>
      <c r="L890" s="10"/>
      <c r="M890" s="10"/>
      <c r="N890" s="10"/>
      <c r="O890" s="10"/>
      <c r="P890" s="10"/>
      <c r="Q890" s="10"/>
      <c r="R890" s="10"/>
      <c r="S890" s="10"/>
    </row>
    <row r="891" spans="10:19">
      <c r="J891" s="10"/>
      <c r="K891" s="1127"/>
      <c r="L891" s="10"/>
      <c r="M891" s="10"/>
      <c r="N891" s="10"/>
      <c r="O891" s="10"/>
      <c r="P891" s="10"/>
      <c r="Q891" s="10"/>
      <c r="R891" s="10"/>
      <c r="S891" s="10"/>
    </row>
    <row r="892" spans="10:19">
      <c r="J892" s="10"/>
      <c r="K892" s="1127"/>
      <c r="L892" s="10"/>
      <c r="M892" s="10"/>
      <c r="N892" s="10"/>
      <c r="O892" s="10"/>
      <c r="P892" s="10"/>
      <c r="Q892" s="10"/>
      <c r="R892" s="10"/>
      <c r="S892" s="10"/>
    </row>
    <row r="893" spans="10:19">
      <c r="J893" s="10"/>
      <c r="K893" s="1127"/>
      <c r="L893" s="10"/>
      <c r="M893" s="10"/>
      <c r="N893" s="10"/>
      <c r="O893" s="10"/>
      <c r="P893" s="10"/>
      <c r="Q893" s="10"/>
      <c r="R893" s="10"/>
      <c r="S893" s="10"/>
    </row>
    <row r="894" spans="10:19">
      <c r="J894" s="10"/>
      <c r="K894" s="1127"/>
      <c r="L894" s="10"/>
      <c r="M894" s="10"/>
      <c r="N894" s="10"/>
      <c r="O894" s="10"/>
      <c r="P894" s="10"/>
      <c r="Q894" s="10"/>
      <c r="R894" s="10"/>
      <c r="S894" s="10"/>
    </row>
    <row r="895" spans="10:19">
      <c r="J895" s="10"/>
      <c r="K895" s="1127"/>
      <c r="L895" s="10"/>
      <c r="M895" s="10"/>
      <c r="N895" s="10"/>
      <c r="O895" s="10"/>
      <c r="P895" s="10"/>
      <c r="Q895" s="10"/>
      <c r="R895" s="10"/>
      <c r="S895" s="10"/>
    </row>
    <row r="896" spans="10:19">
      <c r="J896" s="10"/>
      <c r="K896" s="1127"/>
      <c r="L896" s="10"/>
      <c r="M896" s="10"/>
      <c r="N896" s="10"/>
      <c r="O896" s="10"/>
      <c r="P896" s="10"/>
      <c r="Q896" s="10"/>
      <c r="R896" s="10"/>
      <c r="S896" s="10"/>
    </row>
    <row r="897" spans="10:19">
      <c r="J897" s="10"/>
      <c r="K897" s="1127"/>
      <c r="L897" s="10"/>
      <c r="M897" s="10"/>
      <c r="N897" s="10"/>
      <c r="O897" s="10"/>
      <c r="P897" s="10"/>
      <c r="Q897" s="10"/>
      <c r="R897" s="10"/>
      <c r="S897" s="10"/>
    </row>
    <row r="898" spans="10:19">
      <c r="J898" s="10"/>
      <c r="K898" s="1127"/>
      <c r="L898" s="10"/>
      <c r="M898" s="10"/>
      <c r="N898" s="10"/>
      <c r="O898" s="10"/>
      <c r="P898" s="10"/>
      <c r="Q898" s="10"/>
      <c r="R898" s="10"/>
      <c r="S898" s="10"/>
    </row>
    <row r="899" spans="10:19">
      <c r="J899" s="10"/>
      <c r="K899" s="1127"/>
      <c r="L899" s="10"/>
      <c r="M899" s="10"/>
      <c r="N899" s="10"/>
      <c r="O899" s="10"/>
      <c r="P899" s="10"/>
      <c r="Q899" s="10"/>
      <c r="R899" s="10"/>
      <c r="S899" s="10"/>
    </row>
    <row r="900" spans="10:19">
      <c r="J900" s="10"/>
      <c r="K900" s="1127"/>
      <c r="L900" s="10"/>
      <c r="M900" s="10"/>
      <c r="N900" s="10"/>
      <c r="O900" s="10"/>
      <c r="P900" s="10"/>
      <c r="Q900" s="10"/>
      <c r="R900" s="10"/>
      <c r="S900" s="10"/>
    </row>
    <row r="901" spans="10:19">
      <c r="J901" s="10"/>
      <c r="K901" s="1127"/>
      <c r="L901" s="10"/>
      <c r="M901" s="10"/>
      <c r="N901" s="10"/>
      <c r="O901" s="10"/>
      <c r="P901" s="10"/>
      <c r="Q901" s="10"/>
      <c r="R901" s="10"/>
      <c r="S901" s="10"/>
    </row>
    <row r="902" spans="10:19">
      <c r="J902" s="10"/>
      <c r="K902" s="1127"/>
      <c r="L902" s="10"/>
      <c r="M902" s="10"/>
      <c r="N902" s="10"/>
      <c r="O902" s="10"/>
      <c r="P902" s="10"/>
      <c r="Q902" s="10"/>
      <c r="R902" s="10"/>
      <c r="S902" s="10"/>
    </row>
    <row r="903" spans="10:19">
      <c r="J903" s="10"/>
      <c r="K903" s="1127"/>
      <c r="L903" s="10"/>
      <c r="M903" s="10"/>
      <c r="N903" s="10"/>
      <c r="O903" s="10"/>
      <c r="P903" s="10"/>
      <c r="Q903" s="10"/>
      <c r="R903" s="10"/>
      <c r="S903" s="10"/>
    </row>
    <row r="904" spans="10:19">
      <c r="J904" s="10"/>
      <c r="K904" s="1127"/>
      <c r="L904" s="10"/>
      <c r="M904" s="10"/>
      <c r="N904" s="10"/>
      <c r="O904" s="10"/>
      <c r="P904" s="10"/>
      <c r="Q904" s="10"/>
      <c r="R904" s="10"/>
      <c r="S904" s="10"/>
    </row>
    <row r="905" spans="10:19">
      <c r="J905" s="10"/>
      <c r="K905" s="1127"/>
      <c r="L905" s="10"/>
      <c r="M905" s="10"/>
      <c r="N905" s="10"/>
      <c r="O905" s="10"/>
      <c r="P905" s="10"/>
      <c r="Q905" s="10"/>
      <c r="R905" s="10"/>
      <c r="S905" s="10"/>
    </row>
    <row r="906" spans="10:19">
      <c r="J906" s="10"/>
      <c r="K906" s="1127"/>
      <c r="L906" s="10"/>
      <c r="M906" s="10"/>
      <c r="N906" s="10"/>
      <c r="O906" s="10"/>
      <c r="P906" s="10"/>
      <c r="Q906" s="10"/>
      <c r="R906" s="10"/>
      <c r="S906" s="10"/>
    </row>
    <row r="907" spans="10:19">
      <c r="J907" s="10"/>
      <c r="K907" s="1127"/>
      <c r="L907" s="10"/>
      <c r="M907" s="10"/>
      <c r="N907" s="10"/>
      <c r="O907" s="10"/>
      <c r="P907" s="10"/>
      <c r="Q907" s="10"/>
      <c r="R907" s="10"/>
      <c r="S907" s="10"/>
    </row>
    <row r="908" spans="10:19">
      <c r="J908" s="10"/>
      <c r="K908" s="1127"/>
      <c r="L908" s="10"/>
      <c r="M908" s="10"/>
      <c r="N908" s="10"/>
      <c r="O908" s="10"/>
      <c r="P908" s="10"/>
      <c r="Q908" s="10"/>
      <c r="R908" s="10"/>
      <c r="S908" s="10"/>
    </row>
    <row r="909" spans="10:19">
      <c r="J909" s="10"/>
      <c r="K909" s="1127"/>
      <c r="L909" s="10"/>
      <c r="M909" s="10"/>
      <c r="N909" s="10"/>
      <c r="O909" s="10"/>
      <c r="P909" s="10"/>
      <c r="Q909" s="10"/>
      <c r="R909" s="10"/>
      <c r="S909" s="10"/>
    </row>
    <row r="910" spans="10:19">
      <c r="J910" s="10"/>
      <c r="K910" s="1127"/>
      <c r="L910" s="10"/>
      <c r="M910" s="10"/>
      <c r="N910" s="10"/>
      <c r="O910" s="10"/>
      <c r="P910" s="10"/>
      <c r="Q910" s="10"/>
      <c r="R910" s="10"/>
      <c r="S910" s="10"/>
    </row>
    <row r="911" spans="10:19">
      <c r="J911" s="10"/>
      <c r="K911" s="1127"/>
      <c r="L911" s="10"/>
      <c r="M911" s="10"/>
      <c r="N911" s="10"/>
      <c r="O911" s="10"/>
      <c r="P911" s="10"/>
      <c r="Q911" s="10"/>
      <c r="R911" s="10"/>
      <c r="S911" s="10"/>
    </row>
    <row r="912" spans="10:19">
      <c r="J912" s="10"/>
      <c r="K912" s="1127"/>
      <c r="L912" s="10"/>
      <c r="M912" s="10"/>
      <c r="N912" s="10"/>
      <c r="O912" s="10"/>
      <c r="P912" s="10"/>
      <c r="Q912" s="10"/>
      <c r="R912" s="10"/>
      <c r="S912" s="10"/>
    </row>
    <row r="913" spans="10:19">
      <c r="J913" s="10"/>
      <c r="K913" s="1127"/>
      <c r="L913" s="10"/>
      <c r="M913" s="10"/>
      <c r="N913" s="10"/>
      <c r="O913" s="10"/>
      <c r="P913" s="10"/>
      <c r="Q913" s="10"/>
      <c r="R913" s="10"/>
      <c r="S913" s="10"/>
    </row>
    <row r="914" spans="10:19">
      <c r="J914" s="10"/>
      <c r="K914" s="1127"/>
      <c r="L914" s="10"/>
      <c r="M914" s="10"/>
      <c r="N914" s="10"/>
      <c r="O914" s="10"/>
      <c r="P914" s="10"/>
      <c r="Q914" s="10"/>
      <c r="R914" s="10"/>
      <c r="S914" s="10"/>
    </row>
    <row r="915" spans="10:19">
      <c r="J915" s="10"/>
      <c r="K915" s="1127"/>
      <c r="L915" s="10"/>
      <c r="M915" s="10"/>
      <c r="N915" s="10"/>
      <c r="O915" s="10"/>
      <c r="P915" s="10"/>
      <c r="Q915" s="10"/>
      <c r="R915" s="10"/>
      <c r="S915" s="10"/>
    </row>
    <row r="916" spans="10:19">
      <c r="J916" s="10"/>
      <c r="K916" s="1127"/>
      <c r="L916" s="10"/>
      <c r="M916" s="10"/>
      <c r="N916" s="10"/>
      <c r="O916" s="10"/>
      <c r="P916" s="10"/>
      <c r="Q916" s="10"/>
      <c r="R916" s="10"/>
      <c r="S916" s="10"/>
    </row>
    <row r="917" spans="10:19">
      <c r="J917" s="10"/>
      <c r="K917" s="1127"/>
      <c r="L917" s="10"/>
      <c r="M917" s="10"/>
      <c r="N917" s="10"/>
      <c r="O917" s="10"/>
      <c r="P917" s="10"/>
      <c r="Q917" s="10"/>
      <c r="R917" s="10"/>
      <c r="S917" s="10"/>
    </row>
    <row r="918" spans="10:19">
      <c r="J918" s="10"/>
      <c r="K918" s="1127"/>
      <c r="L918" s="10"/>
      <c r="M918" s="10"/>
      <c r="N918" s="10"/>
      <c r="O918" s="10"/>
      <c r="P918" s="10"/>
      <c r="Q918" s="10"/>
      <c r="R918" s="10"/>
      <c r="S918" s="10"/>
    </row>
    <row r="919" spans="10:19">
      <c r="J919" s="10"/>
      <c r="K919" s="1127"/>
      <c r="L919" s="10"/>
      <c r="M919" s="10"/>
      <c r="N919" s="10"/>
      <c r="O919" s="10"/>
      <c r="P919" s="10"/>
      <c r="Q919" s="10"/>
      <c r="R919" s="10"/>
      <c r="S919" s="10"/>
    </row>
    <row r="920" spans="10:19">
      <c r="J920" s="10"/>
      <c r="K920" s="1127"/>
      <c r="L920" s="10"/>
      <c r="M920" s="10"/>
      <c r="N920" s="10"/>
      <c r="O920" s="10"/>
      <c r="P920" s="10"/>
      <c r="Q920" s="10"/>
      <c r="R920" s="10"/>
      <c r="S920" s="10"/>
    </row>
    <row r="921" spans="10:19">
      <c r="J921" s="10"/>
      <c r="K921" s="1127"/>
      <c r="L921" s="10"/>
      <c r="M921" s="10"/>
      <c r="N921" s="10"/>
      <c r="O921" s="10"/>
      <c r="P921" s="10"/>
      <c r="Q921" s="10"/>
      <c r="R921" s="10"/>
      <c r="S921" s="10"/>
    </row>
    <row r="922" spans="10:19">
      <c r="J922" s="10"/>
      <c r="K922" s="1127"/>
      <c r="L922" s="10"/>
      <c r="M922" s="10"/>
      <c r="N922" s="10"/>
      <c r="O922" s="10"/>
      <c r="P922" s="10"/>
      <c r="Q922" s="10"/>
      <c r="R922" s="10"/>
      <c r="S922" s="10"/>
    </row>
    <row r="923" spans="10:19">
      <c r="J923" s="10"/>
      <c r="K923" s="1127"/>
      <c r="L923" s="10"/>
      <c r="M923" s="10"/>
      <c r="N923" s="10"/>
      <c r="O923" s="10"/>
      <c r="P923" s="10"/>
      <c r="Q923" s="10"/>
      <c r="R923" s="10"/>
      <c r="S923" s="10"/>
    </row>
    <row r="924" spans="10:19">
      <c r="J924" s="10"/>
      <c r="K924" s="1127"/>
      <c r="L924" s="10"/>
      <c r="M924" s="10"/>
      <c r="N924" s="10"/>
      <c r="O924" s="10"/>
      <c r="P924" s="10"/>
      <c r="Q924" s="10"/>
      <c r="R924" s="10"/>
      <c r="S924" s="10"/>
    </row>
    <row r="925" spans="10:19">
      <c r="J925" s="10"/>
      <c r="K925" s="1127"/>
      <c r="L925" s="10"/>
      <c r="M925" s="10"/>
      <c r="N925" s="10"/>
      <c r="O925" s="10"/>
      <c r="P925" s="10"/>
      <c r="Q925" s="10"/>
      <c r="R925" s="10"/>
      <c r="S925" s="10"/>
    </row>
    <row r="926" spans="10:19">
      <c r="J926" s="10"/>
      <c r="K926" s="1127"/>
      <c r="L926" s="10"/>
      <c r="M926" s="10"/>
      <c r="N926" s="10"/>
      <c r="O926" s="10"/>
      <c r="P926" s="10"/>
      <c r="Q926" s="10"/>
      <c r="R926" s="10"/>
      <c r="S926" s="10"/>
    </row>
    <row r="927" spans="10:19">
      <c r="J927" s="10"/>
      <c r="K927" s="1127"/>
      <c r="L927" s="10"/>
      <c r="M927" s="10"/>
      <c r="N927" s="10"/>
      <c r="O927" s="10"/>
      <c r="P927" s="10"/>
      <c r="Q927" s="10"/>
      <c r="R927" s="10"/>
      <c r="S927" s="10"/>
    </row>
    <row r="928" spans="10:19">
      <c r="J928" s="10"/>
      <c r="K928" s="1127"/>
      <c r="L928" s="10"/>
      <c r="M928" s="10"/>
      <c r="N928" s="10"/>
      <c r="O928" s="10"/>
      <c r="P928" s="10"/>
      <c r="Q928" s="10"/>
      <c r="R928" s="10"/>
      <c r="S928" s="10"/>
    </row>
    <row r="929" spans="10:19">
      <c r="J929" s="10"/>
      <c r="K929" s="1127"/>
      <c r="L929" s="10"/>
      <c r="M929" s="10"/>
      <c r="N929" s="10"/>
      <c r="O929" s="10"/>
      <c r="P929" s="10"/>
      <c r="Q929" s="10"/>
      <c r="R929" s="10"/>
      <c r="S929" s="10"/>
    </row>
    <row r="930" spans="10:19">
      <c r="J930" s="10"/>
      <c r="K930" s="1127"/>
      <c r="L930" s="10"/>
      <c r="M930" s="10"/>
      <c r="N930" s="10"/>
      <c r="O930" s="10"/>
      <c r="P930" s="10"/>
      <c r="Q930" s="10"/>
      <c r="R930" s="10"/>
      <c r="S930" s="10"/>
    </row>
    <row r="931" spans="10:19">
      <c r="J931" s="10"/>
      <c r="K931" s="1127"/>
      <c r="L931" s="10"/>
      <c r="M931" s="10"/>
      <c r="N931" s="10"/>
      <c r="O931" s="10"/>
      <c r="P931" s="10"/>
      <c r="Q931" s="10"/>
      <c r="R931" s="10"/>
      <c r="S931" s="10"/>
    </row>
    <row r="932" spans="10:19">
      <c r="J932" s="10"/>
      <c r="K932" s="1127"/>
      <c r="L932" s="10"/>
      <c r="M932" s="10"/>
      <c r="N932" s="10"/>
      <c r="O932" s="10"/>
      <c r="P932" s="10"/>
      <c r="Q932" s="10"/>
      <c r="R932" s="10"/>
      <c r="S932" s="10"/>
    </row>
    <row r="933" spans="10:19">
      <c r="J933" s="10"/>
      <c r="K933" s="1127"/>
      <c r="L933" s="10"/>
      <c r="M933" s="10"/>
      <c r="N933" s="10"/>
      <c r="O933" s="10"/>
      <c r="P933" s="10"/>
      <c r="Q933" s="10"/>
      <c r="R933" s="10"/>
      <c r="S933" s="10"/>
    </row>
    <row r="934" spans="10:19">
      <c r="J934" s="10"/>
      <c r="K934" s="1127"/>
      <c r="L934" s="10"/>
      <c r="M934" s="10"/>
      <c r="N934" s="10"/>
      <c r="O934" s="10"/>
      <c r="P934" s="10"/>
      <c r="Q934" s="10"/>
      <c r="R934" s="10"/>
      <c r="S934" s="10"/>
    </row>
    <row r="935" spans="10:19">
      <c r="J935" s="10"/>
      <c r="K935" s="1127"/>
      <c r="L935" s="10"/>
      <c r="M935" s="10"/>
      <c r="N935" s="10"/>
      <c r="O935" s="10"/>
      <c r="P935" s="10"/>
      <c r="Q935" s="10"/>
      <c r="R935" s="10"/>
      <c r="S935" s="10"/>
    </row>
    <row r="936" spans="10:19">
      <c r="J936" s="10"/>
      <c r="K936" s="1127"/>
      <c r="L936" s="10"/>
      <c r="M936" s="10"/>
      <c r="N936" s="10"/>
      <c r="O936" s="10"/>
      <c r="P936" s="10"/>
      <c r="Q936" s="10"/>
      <c r="R936" s="10"/>
      <c r="S936" s="10"/>
    </row>
    <row r="937" spans="10:19">
      <c r="J937" s="10"/>
      <c r="K937" s="1127"/>
      <c r="L937" s="10"/>
      <c r="M937" s="10"/>
      <c r="N937" s="10"/>
      <c r="O937" s="10"/>
      <c r="P937" s="10"/>
      <c r="Q937" s="10"/>
      <c r="R937" s="10"/>
      <c r="S937" s="10"/>
    </row>
    <row r="938" spans="10:19">
      <c r="J938" s="10"/>
      <c r="K938" s="1127"/>
      <c r="L938" s="10"/>
      <c r="M938" s="10"/>
      <c r="N938" s="10"/>
      <c r="O938" s="10"/>
      <c r="P938" s="10"/>
      <c r="Q938" s="10"/>
      <c r="R938" s="10"/>
      <c r="S938" s="10"/>
    </row>
    <row r="939" spans="10:19">
      <c r="J939" s="10"/>
      <c r="K939" s="1127"/>
      <c r="L939" s="10"/>
      <c r="M939" s="10"/>
      <c r="N939" s="10"/>
      <c r="O939" s="10"/>
      <c r="P939" s="10"/>
      <c r="Q939" s="10"/>
      <c r="R939" s="10"/>
      <c r="S939" s="10"/>
    </row>
    <row r="940" spans="10:19">
      <c r="J940" s="10"/>
      <c r="K940" s="1127"/>
      <c r="L940" s="10"/>
      <c r="M940" s="10"/>
      <c r="N940" s="10"/>
      <c r="O940" s="10"/>
      <c r="P940" s="10"/>
      <c r="Q940" s="10"/>
      <c r="R940" s="10"/>
      <c r="S940" s="10"/>
    </row>
    <row r="941" spans="10:19">
      <c r="J941" s="10"/>
      <c r="K941" s="1127"/>
      <c r="L941" s="10"/>
      <c r="M941" s="10"/>
      <c r="N941" s="10"/>
      <c r="O941" s="10"/>
      <c r="P941" s="10"/>
      <c r="Q941" s="10"/>
      <c r="R941" s="10"/>
      <c r="S941" s="10"/>
    </row>
    <row r="942" spans="10:19">
      <c r="J942" s="10"/>
      <c r="K942" s="1127"/>
      <c r="L942" s="10"/>
      <c r="M942" s="10"/>
      <c r="N942" s="10"/>
      <c r="O942" s="10"/>
      <c r="P942" s="10"/>
      <c r="Q942" s="10"/>
      <c r="R942" s="10"/>
      <c r="S942" s="10"/>
    </row>
    <row r="943" spans="10:19">
      <c r="J943" s="10"/>
      <c r="K943" s="1127"/>
      <c r="L943" s="10"/>
      <c r="M943" s="10"/>
      <c r="N943" s="10"/>
      <c r="O943" s="10"/>
      <c r="P943" s="10"/>
      <c r="Q943" s="10"/>
      <c r="R943" s="10"/>
      <c r="S943" s="10"/>
    </row>
    <row r="944" spans="10:19">
      <c r="J944" s="10"/>
      <c r="K944" s="1127"/>
      <c r="L944" s="10"/>
      <c r="M944" s="10"/>
      <c r="N944" s="10"/>
      <c r="O944" s="10"/>
      <c r="P944" s="10"/>
      <c r="Q944" s="10"/>
      <c r="R944" s="10"/>
      <c r="S944" s="10"/>
    </row>
    <row r="945" spans="10:19">
      <c r="J945" s="10"/>
      <c r="K945" s="1127"/>
      <c r="L945" s="10"/>
      <c r="M945" s="10"/>
      <c r="N945" s="10"/>
      <c r="O945" s="10"/>
      <c r="P945" s="10"/>
      <c r="Q945" s="10"/>
      <c r="R945" s="10"/>
      <c r="S945" s="10"/>
    </row>
    <row r="946" spans="10:19">
      <c r="J946" s="10"/>
      <c r="K946" s="1127"/>
      <c r="L946" s="10"/>
      <c r="M946" s="10"/>
      <c r="N946" s="10"/>
      <c r="O946" s="10"/>
      <c r="P946" s="10"/>
      <c r="Q946" s="10"/>
      <c r="R946" s="10"/>
      <c r="S946" s="10"/>
    </row>
    <row r="947" spans="10:19">
      <c r="J947" s="10"/>
      <c r="K947" s="1127"/>
      <c r="L947" s="10"/>
      <c r="M947" s="10"/>
      <c r="N947" s="10"/>
      <c r="O947" s="10"/>
      <c r="P947" s="10"/>
      <c r="Q947" s="10"/>
      <c r="R947" s="10"/>
      <c r="S947" s="10"/>
    </row>
    <row r="948" spans="10:19">
      <c r="J948" s="10"/>
      <c r="K948" s="1127"/>
      <c r="L948" s="10"/>
      <c r="M948" s="10"/>
      <c r="N948" s="10"/>
      <c r="O948" s="10"/>
      <c r="P948" s="10"/>
      <c r="Q948" s="10"/>
      <c r="R948" s="10"/>
      <c r="S948" s="10"/>
    </row>
    <row r="949" spans="10:19">
      <c r="J949" s="10"/>
      <c r="K949" s="1127"/>
      <c r="L949" s="10"/>
      <c r="M949" s="10"/>
      <c r="N949" s="10"/>
      <c r="O949" s="10"/>
      <c r="P949" s="10"/>
      <c r="Q949" s="10"/>
      <c r="R949" s="10"/>
      <c r="S949" s="10"/>
    </row>
    <row r="950" spans="10:19">
      <c r="J950" s="10"/>
      <c r="K950" s="1127"/>
      <c r="L950" s="10"/>
      <c r="M950" s="10"/>
      <c r="N950" s="10"/>
      <c r="O950" s="10"/>
      <c r="P950" s="10"/>
      <c r="Q950" s="10"/>
      <c r="R950" s="10"/>
      <c r="S950" s="10"/>
    </row>
    <row r="951" spans="10:19">
      <c r="J951" s="10"/>
      <c r="K951" s="1127"/>
      <c r="L951" s="10"/>
      <c r="M951" s="10"/>
      <c r="N951" s="10"/>
      <c r="O951" s="10"/>
      <c r="P951" s="10"/>
      <c r="Q951" s="10"/>
      <c r="R951" s="10"/>
      <c r="S951" s="10"/>
    </row>
    <row r="952" spans="10:19">
      <c r="J952" s="10"/>
      <c r="K952" s="1127"/>
      <c r="L952" s="10"/>
      <c r="M952" s="10"/>
      <c r="N952" s="10"/>
      <c r="O952" s="10"/>
      <c r="P952" s="10"/>
      <c r="Q952" s="10"/>
      <c r="R952" s="10"/>
      <c r="S952" s="10"/>
    </row>
    <row r="953" spans="10:19">
      <c r="J953" s="10"/>
      <c r="K953" s="1127"/>
      <c r="L953" s="10"/>
      <c r="M953" s="10"/>
      <c r="N953" s="10"/>
      <c r="O953" s="10"/>
      <c r="P953" s="10"/>
      <c r="Q953" s="10"/>
      <c r="R953" s="10"/>
      <c r="S953" s="10"/>
    </row>
    <row r="954" spans="10:19">
      <c r="J954" s="10"/>
      <c r="K954" s="1127"/>
      <c r="L954" s="10"/>
      <c r="M954" s="10"/>
      <c r="N954" s="10"/>
      <c r="O954" s="10"/>
      <c r="P954" s="10"/>
      <c r="Q954" s="10"/>
      <c r="R954" s="10"/>
      <c r="S954" s="10"/>
    </row>
    <row r="955" spans="10:19">
      <c r="J955" s="10"/>
      <c r="K955" s="1127"/>
      <c r="L955" s="10"/>
      <c r="M955" s="10"/>
      <c r="N955" s="10"/>
      <c r="O955" s="10"/>
      <c r="P955" s="10"/>
      <c r="Q955" s="10"/>
      <c r="R955" s="10"/>
      <c r="S955" s="10"/>
    </row>
    <row r="956" spans="10:19">
      <c r="J956" s="10"/>
      <c r="K956" s="1127"/>
      <c r="L956" s="10"/>
      <c r="M956" s="10"/>
      <c r="N956" s="10"/>
      <c r="O956" s="10"/>
      <c r="P956" s="10"/>
      <c r="Q956" s="10"/>
      <c r="R956" s="10"/>
      <c r="S956" s="10"/>
    </row>
    <row r="957" spans="10:19">
      <c r="J957" s="10"/>
      <c r="K957" s="1127"/>
      <c r="L957" s="10"/>
      <c r="M957" s="10"/>
      <c r="N957" s="10"/>
      <c r="O957" s="10"/>
      <c r="P957" s="10"/>
      <c r="Q957" s="10"/>
      <c r="R957" s="10"/>
      <c r="S957" s="10"/>
    </row>
    <row r="958" spans="10:19">
      <c r="J958" s="10"/>
      <c r="K958" s="1127"/>
      <c r="L958" s="10"/>
      <c r="M958" s="10"/>
      <c r="N958" s="10"/>
      <c r="O958" s="10"/>
      <c r="P958" s="10"/>
      <c r="Q958" s="10"/>
      <c r="R958" s="10"/>
      <c r="S958" s="10"/>
    </row>
    <row r="959" spans="10:19">
      <c r="J959" s="10"/>
      <c r="K959" s="1127"/>
      <c r="L959" s="10"/>
      <c r="M959" s="10"/>
      <c r="N959" s="10"/>
      <c r="O959" s="10"/>
      <c r="P959" s="10"/>
      <c r="Q959" s="10"/>
      <c r="R959" s="10"/>
      <c r="S959" s="10"/>
    </row>
    <row r="960" spans="10:19">
      <c r="J960" s="10"/>
      <c r="K960" s="1127"/>
      <c r="L960" s="10"/>
      <c r="M960" s="10"/>
      <c r="N960" s="10"/>
      <c r="O960" s="10"/>
      <c r="P960" s="10"/>
      <c r="Q960" s="10"/>
      <c r="R960" s="10"/>
      <c r="S960" s="10"/>
    </row>
    <row r="961" spans="10:19">
      <c r="J961" s="10"/>
      <c r="K961" s="1127"/>
      <c r="L961" s="10"/>
      <c r="M961" s="10"/>
      <c r="N961" s="10"/>
      <c r="O961" s="10"/>
      <c r="P961" s="10"/>
      <c r="Q961" s="10"/>
      <c r="R961" s="10"/>
      <c r="S961" s="10"/>
    </row>
    <row r="962" spans="10:19">
      <c r="J962" s="10"/>
      <c r="K962" s="1127"/>
      <c r="L962" s="10"/>
      <c r="M962" s="10"/>
      <c r="N962" s="10"/>
      <c r="O962" s="10"/>
      <c r="P962" s="10"/>
      <c r="Q962" s="10"/>
      <c r="R962" s="10"/>
      <c r="S962" s="10"/>
    </row>
    <row r="963" spans="10:19">
      <c r="J963" s="10"/>
      <c r="K963" s="1127"/>
      <c r="L963" s="10"/>
      <c r="M963" s="10"/>
      <c r="N963" s="10"/>
      <c r="O963" s="10"/>
      <c r="P963" s="10"/>
      <c r="Q963" s="10"/>
      <c r="R963" s="10"/>
      <c r="S963" s="10"/>
    </row>
    <row r="964" spans="10:19">
      <c r="J964" s="10"/>
      <c r="K964" s="1127"/>
      <c r="L964" s="10"/>
      <c r="M964" s="10"/>
      <c r="N964" s="10"/>
      <c r="O964" s="10"/>
      <c r="P964" s="10"/>
      <c r="Q964" s="10"/>
      <c r="R964" s="10"/>
      <c r="S964" s="10"/>
    </row>
    <row r="965" spans="10:19">
      <c r="J965" s="10"/>
      <c r="K965" s="1127"/>
      <c r="L965" s="10"/>
      <c r="M965" s="10"/>
      <c r="N965" s="10"/>
      <c r="O965" s="10"/>
      <c r="P965" s="10"/>
      <c r="Q965" s="10"/>
      <c r="R965" s="10"/>
      <c r="S965" s="10"/>
    </row>
    <row r="966" spans="10:19">
      <c r="J966" s="10"/>
      <c r="K966" s="1127"/>
      <c r="L966" s="10"/>
      <c r="M966" s="10"/>
      <c r="N966" s="10"/>
      <c r="O966" s="10"/>
      <c r="P966" s="10"/>
      <c r="Q966" s="10"/>
      <c r="R966" s="10"/>
      <c r="S966" s="10"/>
    </row>
    <row r="967" spans="10:19">
      <c r="J967" s="10"/>
      <c r="K967" s="1127"/>
      <c r="L967" s="10"/>
      <c r="M967" s="10"/>
      <c r="N967" s="10"/>
      <c r="O967" s="10"/>
      <c r="P967" s="10"/>
      <c r="Q967" s="10"/>
      <c r="R967" s="10"/>
      <c r="S967" s="10"/>
    </row>
    <row r="968" spans="10:19">
      <c r="J968" s="10"/>
      <c r="K968" s="1127"/>
      <c r="L968" s="10"/>
      <c r="M968" s="10"/>
      <c r="N968" s="10"/>
      <c r="O968" s="10"/>
      <c r="P968" s="10"/>
      <c r="Q968" s="10"/>
      <c r="R968" s="10"/>
      <c r="S968" s="10"/>
    </row>
    <row r="969" spans="10:19">
      <c r="J969" s="10"/>
      <c r="K969" s="1127"/>
      <c r="L969" s="10"/>
      <c r="M969" s="10"/>
      <c r="N969" s="10"/>
      <c r="O969" s="10"/>
      <c r="P969" s="10"/>
      <c r="Q969" s="10"/>
      <c r="R969" s="10"/>
      <c r="S969" s="10"/>
    </row>
    <row r="970" spans="10:19">
      <c r="J970" s="10"/>
      <c r="K970" s="1127"/>
      <c r="L970" s="10"/>
      <c r="M970" s="10"/>
      <c r="N970" s="10"/>
      <c r="O970" s="10"/>
      <c r="P970" s="10"/>
      <c r="Q970" s="10"/>
      <c r="R970" s="10"/>
      <c r="S970" s="10"/>
    </row>
    <row r="971" spans="10:19">
      <c r="J971" s="10"/>
      <c r="K971" s="1127"/>
      <c r="L971" s="10"/>
      <c r="M971" s="10"/>
      <c r="N971" s="10"/>
      <c r="O971" s="10"/>
      <c r="P971" s="10"/>
      <c r="Q971" s="10"/>
      <c r="R971" s="10"/>
      <c r="S971" s="10"/>
    </row>
    <row r="972" spans="10:19">
      <c r="J972" s="10"/>
      <c r="K972" s="1127"/>
      <c r="L972" s="10"/>
      <c r="M972" s="10"/>
      <c r="N972" s="10"/>
      <c r="O972" s="10"/>
      <c r="P972" s="10"/>
      <c r="Q972" s="10"/>
      <c r="R972" s="10"/>
      <c r="S972" s="10"/>
    </row>
    <row r="973" spans="10:19">
      <c r="J973" s="10"/>
      <c r="K973" s="1127"/>
      <c r="L973" s="10"/>
      <c r="M973" s="10"/>
      <c r="N973" s="10"/>
      <c r="O973" s="10"/>
      <c r="P973" s="10"/>
      <c r="Q973" s="10"/>
      <c r="R973" s="10"/>
      <c r="S973" s="10"/>
    </row>
    <row r="974" spans="10:19">
      <c r="J974" s="10"/>
      <c r="K974" s="1127"/>
      <c r="L974" s="10"/>
      <c r="M974" s="10"/>
      <c r="N974" s="10"/>
      <c r="O974" s="10"/>
      <c r="P974" s="10"/>
      <c r="Q974" s="10"/>
      <c r="R974" s="10"/>
      <c r="S974" s="10"/>
    </row>
    <row r="975" spans="10:19">
      <c r="J975" s="10"/>
      <c r="K975" s="1127"/>
      <c r="L975" s="10"/>
      <c r="M975" s="10"/>
      <c r="N975" s="10"/>
      <c r="O975" s="10"/>
      <c r="P975" s="10"/>
      <c r="Q975" s="10"/>
      <c r="R975" s="10"/>
      <c r="S975" s="10"/>
    </row>
    <row r="976" spans="10:19">
      <c r="J976" s="10"/>
      <c r="K976" s="1127"/>
      <c r="L976" s="10"/>
      <c r="M976" s="10"/>
      <c r="N976" s="10"/>
      <c r="O976" s="10"/>
      <c r="P976" s="10"/>
      <c r="Q976" s="10"/>
      <c r="R976" s="10"/>
      <c r="S976" s="10"/>
    </row>
    <row r="977" spans="10:19">
      <c r="J977" s="10"/>
      <c r="K977" s="1127"/>
      <c r="L977" s="10"/>
      <c r="M977" s="10"/>
      <c r="N977" s="10"/>
      <c r="O977" s="10"/>
      <c r="P977" s="10"/>
      <c r="Q977" s="10"/>
      <c r="R977" s="10"/>
      <c r="S977" s="10"/>
    </row>
    <row r="978" spans="10:19">
      <c r="J978" s="10"/>
      <c r="K978" s="1127"/>
      <c r="L978" s="10"/>
      <c r="M978" s="10"/>
      <c r="N978" s="10"/>
      <c r="O978" s="10"/>
      <c r="P978" s="10"/>
      <c r="Q978" s="10"/>
      <c r="R978" s="10"/>
      <c r="S978" s="10"/>
    </row>
    <row r="979" spans="10:19">
      <c r="J979" s="10"/>
      <c r="K979" s="1127"/>
      <c r="L979" s="10"/>
      <c r="M979" s="10"/>
      <c r="N979" s="10"/>
      <c r="O979" s="10"/>
      <c r="P979" s="10"/>
      <c r="Q979" s="10"/>
      <c r="R979" s="10"/>
      <c r="S979" s="10"/>
    </row>
    <row r="980" spans="10:19">
      <c r="J980" s="10"/>
      <c r="K980" s="1127"/>
      <c r="L980" s="10"/>
      <c r="M980" s="10"/>
      <c r="N980" s="10"/>
      <c r="O980" s="10"/>
      <c r="P980" s="10"/>
      <c r="Q980" s="10"/>
      <c r="R980" s="10"/>
      <c r="S980" s="10"/>
    </row>
    <row r="981" spans="10:19">
      <c r="J981" s="10"/>
      <c r="K981" s="1127"/>
      <c r="L981" s="10"/>
      <c r="M981" s="10"/>
      <c r="N981" s="10"/>
      <c r="O981" s="10"/>
      <c r="P981" s="10"/>
      <c r="Q981" s="10"/>
      <c r="R981" s="10"/>
      <c r="S981" s="10"/>
    </row>
    <row r="982" spans="10:19">
      <c r="J982" s="10"/>
      <c r="K982" s="1127"/>
      <c r="L982" s="10"/>
      <c r="M982" s="10"/>
      <c r="N982" s="10"/>
      <c r="O982" s="10"/>
      <c r="P982" s="10"/>
      <c r="Q982" s="10"/>
      <c r="R982" s="10"/>
      <c r="S982" s="10"/>
    </row>
    <row r="983" spans="10:19">
      <c r="J983" s="10"/>
      <c r="K983" s="1127"/>
      <c r="L983" s="10"/>
      <c r="M983" s="10"/>
      <c r="N983" s="10"/>
      <c r="O983" s="10"/>
      <c r="P983" s="10"/>
      <c r="Q983" s="10"/>
      <c r="R983" s="10"/>
      <c r="S983" s="10"/>
    </row>
    <row r="984" spans="10:19">
      <c r="J984" s="10"/>
      <c r="K984" s="1127"/>
      <c r="L984" s="10"/>
      <c r="M984" s="10"/>
      <c r="N984" s="10"/>
      <c r="O984" s="10"/>
      <c r="P984" s="10"/>
      <c r="Q984" s="10"/>
      <c r="R984" s="10"/>
      <c r="S984" s="10"/>
    </row>
    <row r="985" spans="10:19">
      <c r="J985" s="10"/>
      <c r="K985" s="1127"/>
      <c r="L985" s="10"/>
      <c r="M985" s="10"/>
      <c r="N985" s="10"/>
      <c r="O985" s="10"/>
      <c r="P985" s="10"/>
      <c r="Q985" s="10"/>
      <c r="R985" s="10"/>
      <c r="S985" s="10"/>
    </row>
    <row r="986" spans="10:19">
      <c r="J986" s="10"/>
      <c r="K986" s="1127"/>
      <c r="L986" s="10"/>
      <c r="M986" s="10"/>
      <c r="N986" s="10"/>
      <c r="O986" s="10"/>
      <c r="P986" s="10"/>
      <c r="Q986" s="10"/>
      <c r="R986" s="10"/>
      <c r="S986" s="10"/>
    </row>
    <row r="987" spans="10:19">
      <c r="J987" s="10"/>
      <c r="K987" s="1127"/>
      <c r="L987" s="10"/>
      <c r="M987" s="10"/>
      <c r="N987" s="10"/>
      <c r="O987" s="10"/>
      <c r="P987" s="10"/>
      <c r="Q987" s="10"/>
      <c r="R987" s="10"/>
      <c r="S987" s="10"/>
    </row>
    <row r="988" spans="10:19">
      <c r="J988" s="10"/>
      <c r="K988" s="1127"/>
      <c r="L988" s="10"/>
      <c r="M988" s="10"/>
      <c r="N988" s="10"/>
      <c r="O988" s="10"/>
      <c r="P988" s="10"/>
      <c r="Q988" s="10"/>
      <c r="R988" s="10"/>
      <c r="S988" s="10"/>
    </row>
    <row r="989" spans="10:19">
      <c r="J989" s="10"/>
      <c r="K989" s="1127"/>
      <c r="L989" s="10"/>
      <c r="M989" s="10"/>
      <c r="N989" s="10"/>
      <c r="O989" s="10"/>
      <c r="P989" s="10"/>
      <c r="Q989" s="10"/>
      <c r="R989" s="10"/>
      <c r="S989" s="10"/>
    </row>
    <row r="990" spans="10:19">
      <c r="J990" s="10"/>
      <c r="K990" s="1127"/>
      <c r="L990" s="10"/>
      <c r="M990" s="10"/>
      <c r="N990" s="10"/>
      <c r="O990" s="10"/>
      <c r="P990" s="10"/>
      <c r="Q990" s="10"/>
      <c r="R990" s="10"/>
      <c r="S990" s="10"/>
    </row>
    <row r="991" spans="10:19">
      <c r="J991" s="10"/>
      <c r="K991" s="1127"/>
      <c r="L991" s="10"/>
      <c r="M991" s="10"/>
      <c r="N991" s="10"/>
      <c r="O991" s="10"/>
      <c r="P991" s="10"/>
      <c r="Q991" s="10"/>
      <c r="R991" s="10"/>
      <c r="S991" s="10"/>
    </row>
    <row r="992" spans="10:19">
      <c r="J992" s="10"/>
      <c r="K992" s="1127"/>
      <c r="L992" s="10"/>
      <c r="M992" s="10"/>
      <c r="N992" s="10"/>
      <c r="O992" s="10"/>
      <c r="P992" s="10"/>
      <c r="Q992" s="10"/>
      <c r="R992" s="10"/>
      <c r="S992" s="10"/>
    </row>
    <row r="993" spans="10:19">
      <c r="J993" s="10"/>
      <c r="K993" s="1127"/>
      <c r="L993" s="10"/>
      <c r="M993" s="10"/>
      <c r="N993" s="10"/>
      <c r="O993" s="10"/>
      <c r="P993" s="10"/>
      <c r="Q993" s="10"/>
      <c r="R993" s="10"/>
      <c r="S993" s="10"/>
    </row>
    <row r="994" spans="10:19">
      <c r="J994" s="10"/>
      <c r="K994" s="1127"/>
      <c r="L994" s="10"/>
      <c r="M994" s="10"/>
      <c r="N994" s="10"/>
      <c r="O994" s="10"/>
      <c r="P994" s="10"/>
      <c r="Q994" s="10"/>
      <c r="R994" s="10"/>
      <c r="S994" s="10"/>
    </row>
    <row r="995" spans="10:19">
      <c r="J995" s="10"/>
      <c r="K995" s="1127"/>
      <c r="L995" s="10"/>
      <c r="M995" s="10"/>
      <c r="N995" s="10"/>
      <c r="O995" s="10"/>
      <c r="P995" s="10"/>
      <c r="Q995" s="10"/>
      <c r="R995" s="10"/>
      <c r="S995" s="10"/>
    </row>
    <row r="996" spans="10:19">
      <c r="J996" s="10"/>
      <c r="K996" s="1127"/>
      <c r="L996" s="10"/>
      <c r="M996" s="10"/>
      <c r="N996" s="10"/>
      <c r="O996" s="10"/>
      <c r="P996" s="10"/>
      <c r="Q996" s="10"/>
      <c r="R996" s="10"/>
      <c r="S996" s="10"/>
    </row>
    <row r="997" spans="10:19">
      <c r="J997" s="10"/>
      <c r="K997" s="1127"/>
      <c r="L997" s="10"/>
      <c r="M997" s="10"/>
      <c r="N997" s="10"/>
      <c r="O997" s="10"/>
      <c r="P997" s="10"/>
      <c r="Q997" s="10"/>
      <c r="R997" s="10"/>
      <c r="S997" s="10"/>
    </row>
    <row r="998" spans="10:19">
      <c r="J998" s="10"/>
      <c r="K998" s="1127"/>
      <c r="L998" s="10"/>
      <c r="M998" s="10"/>
      <c r="N998" s="10"/>
      <c r="O998" s="10"/>
      <c r="P998" s="10"/>
      <c r="Q998" s="10"/>
      <c r="R998" s="10"/>
      <c r="S998" s="10"/>
    </row>
    <row r="999" spans="10:19">
      <c r="J999" s="10"/>
      <c r="K999" s="1127"/>
      <c r="L999" s="10"/>
      <c r="M999" s="10"/>
      <c r="N999" s="10"/>
      <c r="O999" s="10"/>
      <c r="P999" s="10"/>
      <c r="Q999" s="10"/>
      <c r="R999" s="10"/>
      <c r="S999" s="10"/>
    </row>
    <row r="1000" spans="10:19">
      <c r="J1000" s="10"/>
      <c r="K1000" s="1127"/>
      <c r="L1000" s="10"/>
      <c r="M1000" s="10"/>
      <c r="N1000" s="10"/>
      <c r="O1000" s="10"/>
      <c r="P1000" s="10"/>
      <c r="Q1000" s="10"/>
      <c r="R1000" s="10"/>
      <c r="S1000" s="10"/>
    </row>
    <row r="1001" spans="10:19">
      <c r="J1001" s="10"/>
      <c r="K1001" s="1127"/>
      <c r="L1001" s="10"/>
      <c r="M1001" s="10"/>
      <c r="N1001" s="10"/>
      <c r="O1001" s="10"/>
      <c r="P1001" s="10"/>
      <c r="Q1001" s="10"/>
      <c r="R1001" s="10"/>
      <c r="S1001" s="10"/>
    </row>
    <row r="1002" spans="10:19">
      <c r="J1002" s="10"/>
      <c r="K1002" s="1127"/>
      <c r="L1002" s="10"/>
      <c r="M1002" s="10"/>
      <c r="N1002" s="10"/>
      <c r="O1002" s="10"/>
      <c r="P1002" s="10"/>
      <c r="Q1002" s="10"/>
      <c r="R1002" s="10"/>
      <c r="S1002" s="10"/>
    </row>
    <row r="1003" spans="10:19">
      <c r="J1003" s="10"/>
      <c r="K1003" s="1127"/>
      <c r="L1003" s="10"/>
      <c r="M1003" s="10"/>
      <c r="N1003" s="10"/>
      <c r="O1003" s="10"/>
      <c r="P1003" s="10"/>
      <c r="Q1003" s="10"/>
      <c r="R1003" s="10"/>
      <c r="S1003" s="10"/>
    </row>
    <row r="1004" spans="10:19">
      <c r="J1004" s="10"/>
      <c r="K1004" s="1127"/>
      <c r="L1004" s="10"/>
      <c r="M1004" s="10"/>
      <c r="N1004" s="10"/>
      <c r="O1004" s="10"/>
      <c r="P1004" s="10"/>
      <c r="Q1004" s="10"/>
      <c r="R1004" s="10"/>
      <c r="S1004" s="10"/>
    </row>
    <row r="1005" spans="10:19">
      <c r="J1005" s="10"/>
      <c r="K1005" s="1127"/>
      <c r="L1005" s="10"/>
      <c r="M1005" s="10"/>
      <c r="N1005" s="10"/>
      <c r="O1005" s="10"/>
      <c r="P1005" s="10"/>
      <c r="Q1005" s="10"/>
      <c r="R1005" s="10"/>
      <c r="S1005" s="10"/>
    </row>
    <row r="1006" spans="10:19">
      <c r="J1006" s="10"/>
      <c r="K1006" s="1127"/>
      <c r="L1006" s="10"/>
      <c r="M1006" s="10"/>
      <c r="N1006" s="10"/>
      <c r="O1006" s="10"/>
      <c r="P1006" s="10"/>
      <c r="Q1006" s="10"/>
      <c r="R1006" s="10"/>
      <c r="S1006" s="10"/>
    </row>
    <row r="1007" spans="10:19">
      <c r="J1007" s="10"/>
      <c r="K1007" s="1127"/>
      <c r="L1007" s="10"/>
      <c r="M1007" s="10"/>
      <c r="N1007" s="10"/>
      <c r="O1007" s="10"/>
      <c r="P1007" s="10"/>
      <c r="Q1007" s="10"/>
      <c r="R1007" s="10"/>
      <c r="S1007" s="10"/>
    </row>
    <row r="1008" spans="10:19">
      <c r="J1008" s="10"/>
      <c r="K1008" s="1127"/>
      <c r="L1008" s="10"/>
      <c r="M1008" s="10"/>
      <c r="N1008" s="10"/>
      <c r="O1008" s="10"/>
      <c r="P1008" s="10"/>
      <c r="Q1008" s="10"/>
      <c r="R1008" s="10"/>
      <c r="S1008" s="10"/>
    </row>
    <row r="1009" spans="10:19">
      <c r="J1009" s="10"/>
      <c r="K1009" s="1127"/>
      <c r="L1009" s="10"/>
      <c r="M1009" s="10"/>
      <c r="N1009" s="10"/>
      <c r="O1009" s="10"/>
      <c r="P1009" s="10"/>
      <c r="Q1009" s="10"/>
      <c r="R1009" s="10"/>
      <c r="S1009" s="10"/>
    </row>
    <row r="1010" spans="10:19">
      <c r="J1010" s="10"/>
      <c r="K1010" s="1127"/>
      <c r="L1010" s="10"/>
      <c r="M1010" s="10"/>
      <c r="N1010" s="10"/>
      <c r="O1010" s="10"/>
      <c r="P1010" s="10"/>
      <c r="Q1010" s="10"/>
      <c r="R1010" s="10"/>
      <c r="S1010" s="10"/>
    </row>
    <row r="1011" spans="10:19">
      <c r="J1011" s="10"/>
      <c r="K1011" s="1127"/>
      <c r="L1011" s="10"/>
      <c r="M1011" s="10"/>
      <c r="N1011" s="10"/>
      <c r="O1011" s="10"/>
      <c r="P1011" s="10"/>
      <c r="Q1011" s="10"/>
      <c r="R1011" s="10"/>
      <c r="S1011" s="10"/>
    </row>
    <row r="1012" spans="10:19">
      <c r="J1012" s="10"/>
      <c r="K1012" s="1127"/>
      <c r="L1012" s="10"/>
      <c r="M1012" s="10"/>
      <c r="N1012" s="10"/>
      <c r="O1012" s="10"/>
      <c r="P1012" s="10"/>
      <c r="Q1012" s="10"/>
      <c r="R1012" s="10"/>
      <c r="S1012" s="10"/>
    </row>
    <row r="1013" spans="10:19">
      <c r="J1013" s="10"/>
      <c r="K1013" s="1127"/>
      <c r="L1013" s="10"/>
      <c r="M1013" s="10"/>
      <c r="N1013" s="10"/>
      <c r="O1013" s="10"/>
      <c r="P1013" s="10"/>
      <c r="Q1013" s="10"/>
      <c r="R1013" s="10"/>
      <c r="S1013" s="10"/>
    </row>
    <row r="1014" spans="10:19">
      <c r="J1014" s="10"/>
      <c r="K1014" s="1127"/>
      <c r="L1014" s="10"/>
      <c r="M1014" s="10"/>
      <c r="N1014" s="10"/>
      <c r="O1014" s="10"/>
      <c r="P1014" s="10"/>
      <c r="Q1014" s="10"/>
      <c r="R1014" s="10"/>
      <c r="S1014" s="10"/>
    </row>
    <row r="1015" spans="10:19">
      <c r="J1015" s="10"/>
      <c r="K1015" s="1127"/>
      <c r="L1015" s="10"/>
      <c r="M1015" s="10"/>
      <c r="N1015" s="10"/>
      <c r="O1015" s="10"/>
      <c r="P1015" s="10"/>
      <c r="Q1015" s="10"/>
      <c r="R1015" s="10"/>
      <c r="S1015" s="10"/>
    </row>
    <row r="1016" spans="10:19">
      <c r="J1016" s="10"/>
      <c r="K1016" s="1127"/>
      <c r="L1016" s="10"/>
      <c r="M1016" s="10"/>
      <c r="N1016" s="10"/>
      <c r="O1016" s="10"/>
      <c r="P1016" s="10"/>
      <c r="Q1016" s="10"/>
      <c r="R1016" s="10"/>
      <c r="S1016" s="10"/>
    </row>
    <row r="1017" spans="10:19">
      <c r="J1017" s="10"/>
      <c r="K1017" s="1127"/>
      <c r="L1017" s="10"/>
      <c r="M1017" s="10"/>
      <c r="N1017" s="10"/>
      <c r="O1017" s="10"/>
      <c r="P1017" s="10"/>
      <c r="Q1017" s="10"/>
      <c r="R1017" s="10"/>
      <c r="S1017" s="10"/>
    </row>
    <row r="1018" spans="10:19">
      <c r="J1018" s="10"/>
      <c r="K1018" s="1127"/>
      <c r="L1018" s="10"/>
      <c r="M1018" s="10"/>
      <c r="N1018" s="10"/>
      <c r="O1018" s="10"/>
      <c r="P1018" s="10"/>
      <c r="Q1018" s="10"/>
      <c r="R1018" s="10"/>
      <c r="S1018" s="10"/>
    </row>
    <row r="1019" spans="10:19">
      <c r="J1019" s="10"/>
      <c r="K1019" s="1127"/>
      <c r="L1019" s="10"/>
      <c r="M1019" s="10"/>
      <c r="N1019" s="10"/>
      <c r="O1019" s="10"/>
      <c r="P1019" s="10"/>
      <c r="Q1019" s="10"/>
      <c r="R1019" s="10"/>
      <c r="S1019" s="10"/>
    </row>
    <row r="1020" spans="10:19">
      <c r="J1020" s="10"/>
      <c r="K1020" s="1127"/>
      <c r="L1020" s="10"/>
      <c r="M1020" s="10"/>
      <c r="N1020" s="10"/>
      <c r="O1020" s="10"/>
      <c r="P1020" s="10"/>
      <c r="Q1020" s="10"/>
      <c r="R1020" s="10"/>
      <c r="S1020" s="10"/>
    </row>
    <row r="1021" spans="10:19">
      <c r="J1021" s="10"/>
      <c r="K1021" s="1127"/>
      <c r="L1021" s="10"/>
      <c r="M1021" s="10"/>
      <c r="N1021" s="10"/>
      <c r="O1021" s="10"/>
      <c r="P1021" s="10"/>
      <c r="Q1021" s="10"/>
      <c r="R1021" s="10"/>
      <c r="S1021" s="10"/>
    </row>
    <row r="1022" spans="10:19">
      <c r="J1022" s="10"/>
      <c r="K1022" s="1127"/>
      <c r="L1022" s="10"/>
      <c r="M1022" s="10"/>
      <c r="N1022" s="10"/>
      <c r="O1022" s="10"/>
      <c r="P1022" s="10"/>
      <c r="Q1022" s="10"/>
      <c r="R1022" s="10"/>
      <c r="S1022" s="10"/>
    </row>
    <row r="1023" spans="10:19">
      <c r="J1023" s="10"/>
      <c r="K1023" s="1127"/>
      <c r="L1023" s="10"/>
      <c r="M1023" s="10"/>
      <c r="N1023" s="10"/>
      <c r="O1023" s="10"/>
      <c r="P1023" s="10"/>
      <c r="Q1023" s="10"/>
      <c r="R1023" s="10"/>
      <c r="S1023" s="10"/>
    </row>
    <row r="1024" spans="10:19">
      <c r="J1024" s="10"/>
      <c r="K1024" s="1127"/>
      <c r="L1024" s="10"/>
      <c r="M1024" s="10"/>
      <c r="N1024" s="10"/>
      <c r="O1024" s="10"/>
      <c r="P1024" s="10"/>
      <c r="Q1024" s="10"/>
      <c r="R1024" s="10"/>
      <c r="S1024" s="10"/>
    </row>
    <row r="1025" spans="10:19">
      <c r="J1025" s="10"/>
      <c r="K1025" s="1127"/>
      <c r="L1025" s="10"/>
      <c r="M1025" s="10"/>
      <c r="N1025" s="10"/>
      <c r="O1025" s="10"/>
      <c r="P1025" s="10"/>
      <c r="Q1025" s="10"/>
      <c r="R1025" s="10"/>
      <c r="S1025" s="10"/>
    </row>
    <row r="1026" spans="10:19">
      <c r="J1026" s="10"/>
      <c r="K1026" s="1127"/>
      <c r="L1026" s="10"/>
      <c r="M1026" s="10"/>
      <c r="N1026" s="10"/>
      <c r="O1026" s="10"/>
      <c r="P1026" s="10"/>
      <c r="Q1026" s="10"/>
      <c r="R1026" s="10"/>
      <c r="S1026" s="10"/>
    </row>
    <row r="1027" spans="10:19">
      <c r="J1027" s="10"/>
      <c r="K1027" s="1127"/>
      <c r="L1027" s="10"/>
      <c r="M1027" s="10"/>
      <c r="N1027" s="10"/>
      <c r="O1027" s="10"/>
      <c r="P1027" s="10"/>
      <c r="Q1027" s="10"/>
      <c r="R1027" s="10"/>
      <c r="S1027" s="10"/>
    </row>
    <row r="1028" spans="10:19">
      <c r="J1028" s="10"/>
      <c r="K1028" s="1127"/>
      <c r="L1028" s="10"/>
      <c r="M1028" s="10"/>
      <c r="N1028" s="10"/>
      <c r="O1028" s="10"/>
      <c r="P1028" s="10"/>
      <c r="Q1028" s="10"/>
      <c r="R1028" s="10"/>
      <c r="S1028" s="10"/>
    </row>
    <row r="1029" spans="10:19">
      <c r="J1029" s="10"/>
      <c r="K1029" s="1127"/>
      <c r="L1029" s="10"/>
      <c r="M1029" s="10"/>
      <c r="N1029" s="10"/>
      <c r="O1029" s="10"/>
      <c r="P1029" s="10"/>
      <c r="Q1029" s="10"/>
      <c r="R1029" s="10"/>
      <c r="S1029" s="10"/>
    </row>
    <row r="1030" spans="10:19">
      <c r="J1030" s="10"/>
      <c r="K1030" s="1127"/>
      <c r="L1030" s="10"/>
      <c r="M1030" s="10"/>
      <c r="N1030" s="10"/>
      <c r="O1030" s="10"/>
      <c r="P1030" s="10"/>
      <c r="Q1030" s="10"/>
      <c r="R1030" s="10"/>
      <c r="S1030" s="10"/>
    </row>
    <row r="1031" spans="10:19">
      <c r="J1031" s="10"/>
      <c r="K1031" s="1127"/>
      <c r="L1031" s="10"/>
      <c r="M1031" s="10"/>
      <c r="N1031" s="10"/>
      <c r="O1031" s="10"/>
      <c r="P1031" s="10"/>
      <c r="Q1031" s="10"/>
      <c r="R1031" s="10"/>
      <c r="S1031" s="10"/>
    </row>
    <row r="1032" spans="10:19">
      <c r="J1032" s="10"/>
      <c r="K1032" s="1127"/>
      <c r="L1032" s="10"/>
      <c r="M1032" s="10"/>
      <c r="N1032" s="10"/>
      <c r="O1032" s="10"/>
      <c r="P1032" s="10"/>
      <c r="Q1032" s="10"/>
      <c r="R1032" s="10"/>
      <c r="S1032" s="10"/>
    </row>
    <row r="1033" spans="10:19">
      <c r="J1033" s="10"/>
      <c r="K1033" s="1127"/>
      <c r="L1033" s="10"/>
      <c r="M1033" s="10"/>
      <c r="N1033" s="10"/>
      <c r="O1033" s="10"/>
      <c r="P1033" s="10"/>
      <c r="Q1033" s="10"/>
      <c r="R1033" s="10"/>
      <c r="S1033" s="10"/>
    </row>
    <row r="1034" spans="10:19">
      <c r="J1034" s="10"/>
      <c r="K1034" s="1127"/>
      <c r="L1034" s="10"/>
      <c r="M1034" s="10"/>
      <c r="N1034" s="10"/>
      <c r="O1034" s="10"/>
      <c r="P1034" s="10"/>
      <c r="Q1034" s="10"/>
      <c r="R1034" s="10"/>
      <c r="S1034" s="10"/>
    </row>
    <row r="1035" spans="10:19">
      <c r="J1035" s="10"/>
      <c r="K1035" s="1127"/>
      <c r="L1035" s="10"/>
      <c r="M1035" s="10"/>
      <c r="N1035" s="10"/>
      <c r="O1035" s="10"/>
      <c r="P1035" s="10"/>
      <c r="Q1035" s="10"/>
      <c r="R1035" s="10"/>
      <c r="S1035" s="10"/>
    </row>
    <row r="1036" spans="10:19">
      <c r="J1036" s="10"/>
      <c r="K1036" s="1127"/>
      <c r="L1036" s="10"/>
      <c r="M1036" s="10"/>
      <c r="N1036" s="10"/>
      <c r="O1036" s="10"/>
      <c r="P1036" s="10"/>
      <c r="Q1036" s="10"/>
      <c r="R1036" s="10"/>
      <c r="S1036" s="10"/>
    </row>
    <row r="1037" spans="10:19">
      <c r="J1037" s="10"/>
      <c r="K1037" s="1127"/>
      <c r="L1037" s="10"/>
      <c r="M1037" s="10"/>
      <c r="N1037" s="10"/>
      <c r="O1037" s="10"/>
      <c r="P1037" s="10"/>
      <c r="Q1037" s="10"/>
      <c r="R1037" s="10"/>
      <c r="S1037" s="10"/>
    </row>
    <row r="1038" spans="10:19">
      <c r="J1038" s="10"/>
      <c r="K1038" s="1127"/>
      <c r="L1038" s="10"/>
      <c r="M1038" s="10"/>
      <c r="N1038" s="10"/>
      <c r="O1038" s="10"/>
      <c r="P1038" s="10"/>
      <c r="Q1038" s="10"/>
      <c r="R1038" s="10"/>
      <c r="S1038" s="10"/>
    </row>
    <row r="1039" spans="10:19">
      <c r="J1039" s="10"/>
      <c r="K1039" s="1127"/>
      <c r="L1039" s="10"/>
      <c r="M1039" s="10"/>
      <c r="N1039" s="10"/>
      <c r="O1039" s="10"/>
      <c r="P1039" s="10"/>
      <c r="Q1039" s="10"/>
      <c r="R1039" s="10"/>
      <c r="S1039" s="10"/>
    </row>
    <row r="1040" spans="10:19">
      <c r="J1040" s="10"/>
      <c r="K1040" s="1127"/>
      <c r="L1040" s="10"/>
      <c r="M1040" s="10"/>
      <c r="N1040" s="10"/>
      <c r="O1040" s="10"/>
      <c r="P1040" s="10"/>
      <c r="Q1040" s="10"/>
      <c r="R1040" s="10"/>
      <c r="S1040" s="10"/>
    </row>
    <row r="1041" spans="10:19">
      <c r="J1041" s="10"/>
      <c r="K1041" s="1127"/>
      <c r="L1041" s="10"/>
      <c r="M1041" s="10"/>
      <c r="N1041" s="10"/>
      <c r="O1041" s="10"/>
      <c r="P1041" s="10"/>
      <c r="Q1041" s="10"/>
      <c r="R1041" s="10"/>
      <c r="S1041" s="10"/>
    </row>
    <row r="1042" spans="10:19">
      <c r="J1042" s="10"/>
      <c r="K1042" s="1127"/>
      <c r="L1042" s="10"/>
      <c r="M1042" s="10"/>
      <c r="N1042" s="10"/>
      <c r="O1042" s="10"/>
      <c r="P1042" s="10"/>
      <c r="Q1042" s="10"/>
      <c r="R1042" s="10"/>
      <c r="S1042" s="10"/>
    </row>
    <row r="1043" spans="10:19">
      <c r="J1043" s="10"/>
      <c r="K1043" s="1127"/>
      <c r="L1043" s="10"/>
      <c r="M1043" s="10"/>
      <c r="N1043" s="10"/>
      <c r="O1043" s="10"/>
      <c r="P1043" s="10"/>
      <c r="Q1043" s="10"/>
      <c r="R1043" s="10"/>
      <c r="S1043" s="10"/>
    </row>
    <row r="1044" spans="10:19">
      <c r="J1044" s="10"/>
      <c r="K1044" s="1127"/>
      <c r="L1044" s="10"/>
      <c r="M1044" s="10"/>
      <c r="N1044" s="10"/>
      <c r="O1044" s="10"/>
      <c r="P1044" s="10"/>
      <c r="Q1044" s="10"/>
      <c r="R1044" s="10"/>
      <c r="S1044" s="10"/>
    </row>
    <row r="1045" spans="10:19">
      <c r="J1045" s="10"/>
      <c r="K1045" s="1127"/>
      <c r="L1045" s="10"/>
      <c r="M1045" s="10"/>
      <c r="N1045" s="10"/>
      <c r="O1045" s="10"/>
      <c r="P1045" s="10"/>
      <c r="Q1045" s="10"/>
      <c r="R1045" s="10"/>
      <c r="S1045" s="10"/>
    </row>
    <row r="1046" spans="10:19">
      <c r="J1046" s="10"/>
      <c r="K1046" s="1127"/>
      <c r="L1046" s="10"/>
      <c r="M1046" s="10"/>
      <c r="N1046" s="10"/>
      <c r="O1046" s="10"/>
      <c r="P1046" s="10"/>
      <c r="Q1046" s="10"/>
      <c r="R1046" s="10"/>
      <c r="S1046" s="10"/>
    </row>
    <row r="1047" spans="10:19">
      <c r="J1047" s="10"/>
      <c r="K1047" s="1127"/>
      <c r="L1047" s="10"/>
      <c r="M1047" s="10"/>
      <c r="N1047" s="10"/>
      <c r="O1047" s="10"/>
      <c r="P1047" s="10"/>
      <c r="Q1047" s="10"/>
      <c r="R1047" s="10"/>
      <c r="S1047" s="10"/>
    </row>
    <row r="1048" spans="10:19">
      <c r="J1048" s="10"/>
      <c r="K1048" s="1127"/>
      <c r="L1048" s="10"/>
      <c r="M1048" s="10"/>
      <c r="N1048" s="10"/>
      <c r="O1048" s="10"/>
      <c r="P1048" s="10"/>
      <c r="Q1048" s="10"/>
      <c r="R1048" s="10"/>
      <c r="S1048" s="10"/>
    </row>
    <row r="1049" spans="10:19">
      <c r="J1049" s="10"/>
      <c r="K1049" s="1127"/>
      <c r="L1049" s="10"/>
      <c r="M1049" s="10"/>
      <c r="N1049" s="10"/>
      <c r="O1049" s="10"/>
      <c r="P1049" s="10"/>
      <c r="Q1049" s="10"/>
      <c r="R1049" s="10"/>
      <c r="S1049" s="10"/>
    </row>
    <row r="1050" spans="10:19">
      <c r="J1050" s="10"/>
      <c r="K1050" s="1127"/>
      <c r="L1050" s="10"/>
      <c r="M1050" s="10"/>
      <c r="N1050" s="10"/>
      <c r="O1050" s="10"/>
      <c r="P1050" s="10"/>
      <c r="Q1050" s="10"/>
      <c r="R1050" s="10"/>
      <c r="S1050" s="10"/>
    </row>
    <row r="1051" spans="10:19">
      <c r="J1051" s="10"/>
      <c r="K1051" s="1127"/>
      <c r="L1051" s="10"/>
      <c r="M1051" s="10"/>
      <c r="N1051" s="10"/>
      <c r="O1051" s="10"/>
      <c r="P1051" s="10"/>
      <c r="Q1051" s="10"/>
      <c r="R1051" s="10"/>
      <c r="S1051" s="10"/>
    </row>
    <row r="1052" spans="10:19">
      <c r="J1052" s="10"/>
      <c r="K1052" s="1127"/>
      <c r="L1052" s="10"/>
      <c r="M1052" s="10"/>
      <c r="N1052" s="10"/>
      <c r="O1052" s="10"/>
      <c r="P1052" s="10"/>
      <c r="Q1052" s="10"/>
      <c r="R1052" s="10"/>
      <c r="S1052" s="10"/>
    </row>
    <row r="1053" spans="10:19">
      <c r="J1053" s="10"/>
      <c r="K1053" s="1127"/>
      <c r="L1053" s="10"/>
      <c r="M1053" s="10"/>
      <c r="N1053" s="10"/>
      <c r="O1053" s="10"/>
      <c r="P1053" s="10"/>
      <c r="Q1053" s="10"/>
      <c r="R1053" s="10"/>
      <c r="S1053" s="10"/>
    </row>
    <row r="1054" spans="10:19">
      <c r="J1054" s="10"/>
      <c r="K1054" s="1127"/>
      <c r="L1054" s="10"/>
      <c r="M1054" s="10"/>
      <c r="N1054" s="10"/>
      <c r="O1054" s="10"/>
      <c r="P1054" s="10"/>
      <c r="Q1054" s="10"/>
      <c r="R1054" s="10"/>
      <c r="S1054" s="10"/>
    </row>
    <row r="1055" spans="10:19">
      <c r="J1055" s="10"/>
      <c r="K1055" s="1127"/>
      <c r="L1055" s="10"/>
      <c r="M1055" s="10"/>
      <c r="N1055" s="10"/>
      <c r="O1055" s="10"/>
      <c r="P1055" s="10"/>
      <c r="Q1055" s="10"/>
      <c r="R1055" s="10"/>
      <c r="S1055" s="10"/>
    </row>
    <row r="1056" spans="10:19">
      <c r="J1056" s="10"/>
      <c r="K1056" s="1127"/>
      <c r="L1056" s="10"/>
      <c r="M1056" s="10"/>
      <c r="N1056" s="10"/>
      <c r="O1056" s="10"/>
      <c r="P1056" s="10"/>
      <c r="Q1056" s="10"/>
      <c r="R1056" s="10"/>
      <c r="S1056" s="10"/>
    </row>
    <row r="1057" spans="10:19">
      <c r="J1057" s="10"/>
      <c r="K1057" s="1127"/>
      <c r="L1057" s="10"/>
      <c r="M1057" s="10"/>
      <c r="N1057" s="10"/>
      <c r="O1057" s="10"/>
      <c r="P1057" s="10"/>
      <c r="Q1057" s="10"/>
      <c r="R1057" s="10"/>
      <c r="S1057" s="10"/>
    </row>
    <row r="1058" spans="10:19">
      <c r="J1058" s="10"/>
      <c r="K1058" s="1127"/>
      <c r="L1058" s="10"/>
      <c r="M1058" s="10"/>
      <c r="N1058" s="10"/>
      <c r="O1058" s="10"/>
      <c r="P1058" s="10"/>
      <c r="Q1058" s="10"/>
      <c r="R1058" s="10"/>
      <c r="S1058" s="10"/>
    </row>
    <row r="1059" spans="10:19">
      <c r="J1059" s="10"/>
      <c r="K1059" s="1127"/>
      <c r="L1059" s="10"/>
      <c r="M1059" s="10"/>
      <c r="N1059" s="10"/>
      <c r="O1059" s="10"/>
      <c r="P1059" s="10"/>
      <c r="Q1059" s="10"/>
      <c r="R1059" s="10"/>
      <c r="S1059" s="10"/>
    </row>
    <row r="1060" spans="10:19">
      <c r="J1060" s="10"/>
      <c r="K1060" s="1127"/>
      <c r="L1060" s="10"/>
      <c r="M1060" s="10"/>
      <c r="N1060" s="10"/>
      <c r="O1060" s="10"/>
      <c r="P1060" s="10"/>
      <c r="Q1060" s="10"/>
      <c r="R1060" s="10"/>
      <c r="S1060" s="10"/>
    </row>
    <row r="1061" spans="10:19">
      <c r="J1061" s="10"/>
      <c r="K1061" s="1127"/>
      <c r="L1061" s="10"/>
      <c r="M1061" s="10"/>
      <c r="N1061" s="10"/>
      <c r="O1061" s="10"/>
      <c r="P1061" s="10"/>
      <c r="Q1061" s="10"/>
      <c r="R1061" s="10"/>
      <c r="S1061" s="10"/>
    </row>
    <row r="1062" spans="10:19">
      <c r="J1062" s="10"/>
      <c r="K1062" s="1127"/>
      <c r="L1062" s="10"/>
      <c r="M1062" s="10"/>
      <c r="N1062" s="10"/>
      <c r="O1062" s="10"/>
      <c r="P1062" s="10"/>
      <c r="Q1062" s="10"/>
      <c r="R1062" s="10"/>
      <c r="S1062" s="10"/>
    </row>
    <row r="1063" spans="10:19">
      <c r="J1063" s="10"/>
      <c r="K1063" s="1127"/>
      <c r="L1063" s="10"/>
      <c r="M1063" s="10"/>
      <c r="N1063" s="10"/>
      <c r="O1063" s="10"/>
      <c r="P1063" s="10"/>
      <c r="Q1063" s="10"/>
      <c r="R1063" s="10"/>
      <c r="S1063" s="10"/>
    </row>
    <row r="1064" spans="10:19">
      <c r="J1064" s="10"/>
      <c r="K1064" s="1127"/>
      <c r="L1064" s="10"/>
      <c r="M1064" s="10"/>
      <c r="N1064" s="10"/>
      <c r="O1064" s="10"/>
      <c r="P1064" s="10"/>
      <c r="Q1064" s="10"/>
      <c r="R1064" s="10"/>
      <c r="S1064" s="10"/>
    </row>
    <row r="1065" spans="10:19">
      <c r="J1065" s="10"/>
      <c r="K1065" s="1127"/>
      <c r="L1065" s="10"/>
      <c r="M1065" s="10"/>
      <c r="N1065" s="10"/>
      <c r="O1065" s="10"/>
      <c r="P1065" s="10"/>
      <c r="Q1065" s="10"/>
      <c r="R1065" s="10"/>
      <c r="S1065" s="10"/>
    </row>
    <row r="1066" spans="10:19">
      <c r="J1066" s="10"/>
      <c r="K1066" s="1127"/>
      <c r="L1066" s="10"/>
      <c r="M1066" s="10"/>
      <c r="N1066" s="10"/>
      <c r="O1066" s="10"/>
      <c r="P1066" s="10"/>
      <c r="Q1066" s="10"/>
      <c r="R1066" s="10"/>
      <c r="S1066" s="10"/>
    </row>
    <row r="1067" spans="10:19">
      <c r="J1067" s="10"/>
      <c r="K1067" s="1127"/>
      <c r="L1067" s="10"/>
      <c r="M1067" s="10"/>
      <c r="N1067" s="10"/>
      <c r="O1067" s="10"/>
      <c r="P1067" s="10"/>
      <c r="Q1067" s="10"/>
      <c r="R1067" s="10"/>
      <c r="S1067" s="10"/>
    </row>
    <row r="1068" spans="10:19">
      <c r="J1068" s="10"/>
      <c r="K1068" s="1127"/>
      <c r="L1068" s="10"/>
      <c r="M1068" s="10"/>
      <c r="N1068" s="10"/>
      <c r="O1068" s="10"/>
      <c r="P1068" s="10"/>
      <c r="Q1068" s="10"/>
      <c r="R1068" s="10"/>
      <c r="S1068" s="10"/>
    </row>
    <row r="1069" spans="10:19">
      <c r="J1069" s="10"/>
      <c r="K1069" s="1127"/>
      <c r="L1069" s="10"/>
      <c r="M1069" s="10"/>
      <c r="N1069" s="10"/>
      <c r="O1069" s="10"/>
      <c r="P1069" s="10"/>
      <c r="Q1069" s="10"/>
      <c r="R1069" s="10"/>
      <c r="S1069" s="10"/>
    </row>
    <row r="1070" spans="10:19">
      <c r="J1070" s="10"/>
      <c r="K1070" s="1127"/>
      <c r="L1070" s="10"/>
      <c r="M1070" s="10"/>
      <c r="N1070" s="10"/>
      <c r="O1070" s="10"/>
      <c r="P1070" s="10"/>
      <c r="Q1070" s="10"/>
      <c r="R1070" s="10"/>
      <c r="S1070" s="10"/>
    </row>
    <row r="1071" spans="10:19">
      <c r="J1071" s="10"/>
      <c r="K1071" s="1127"/>
      <c r="L1071" s="10"/>
      <c r="M1071" s="10"/>
      <c r="N1071" s="10"/>
      <c r="O1071" s="10"/>
      <c r="P1071" s="10"/>
      <c r="Q1071" s="10"/>
      <c r="R1071" s="10"/>
      <c r="S1071" s="10"/>
    </row>
    <row r="1072" spans="10:19">
      <c r="J1072" s="10"/>
      <c r="K1072" s="1127"/>
      <c r="L1072" s="10"/>
      <c r="M1072" s="10"/>
      <c r="N1072" s="10"/>
      <c r="O1072" s="10"/>
      <c r="P1072" s="10"/>
      <c r="Q1072" s="10"/>
      <c r="R1072" s="10"/>
      <c r="S1072" s="10"/>
    </row>
    <row r="1073" spans="10:19">
      <c r="J1073" s="10"/>
      <c r="K1073" s="1127"/>
      <c r="L1073" s="10"/>
      <c r="M1073" s="10"/>
      <c r="N1073" s="10"/>
      <c r="O1073" s="10"/>
      <c r="P1073" s="10"/>
      <c r="Q1073" s="10"/>
      <c r="R1073" s="10"/>
      <c r="S1073" s="10"/>
    </row>
    <row r="1074" spans="10:19">
      <c r="J1074" s="10"/>
      <c r="K1074" s="1127"/>
      <c r="L1074" s="10"/>
      <c r="M1074" s="10"/>
      <c r="N1074" s="10"/>
      <c r="O1074" s="10"/>
      <c r="P1074" s="10"/>
      <c r="Q1074" s="10"/>
      <c r="R1074" s="10"/>
      <c r="S1074" s="10"/>
    </row>
    <row r="1075" spans="10:19">
      <c r="J1075" s="10"/>
      <c r="K1075" s="1127"/>
      <c r="L1075" s="10"/>
      <c r="M1075" s="10"/>
      <c r="N1075" s="10"/>
      <c r="O1075" s="10"/>
      <c r="P1075" s="10"/>
      <c r="Q1075" s="10"/>
      <c r="R1075" s="10"/>
      <c r="S1075" s="10"/>
    </row>
    <row r="1076" spans="10:19">
      <c r="J1076" s="10"/>
      <c r="K1076" s="1127"/>
      <c r="L1076" s="10"/>
      <c r="M1076" s="10"/>
      <c r="N1076" s="10"/>
      <c r="O1076" s="10"/>
      <c r="P1076" s="10"/>
      <c r="Q1076" s="10"/>
      <c r="R1076" s="10"/>
      <c r="S1076" s="10"/>
    </row>
    <row r="1077" spans="10:19">
      <c r="J1077" s="10"/>
      <c r="K1077" s="1127"/>
      <c r="L1077" s="10"/>
      <c r="M1077" s="10"/>
      <c r="N1077" s="10"/>
      <c r="O1077" s="10"/>
      <c r="P1077" s="10"/>
      <c r="Q1077" s="10"/>
      <c r="R1077" s="10"/>
      <c r="S1077" s="10"/>
    </row>
    <row r="1078" spans="10:19">
      <c r="J1078" s="10"/>
      <c r="K1078" s="1127"/>
      <c r="L1078" s="10"/>
      <c r="M1078" s="10"/>
      <c r="N1078" s="10"/>
      <c r="O1078" s="10"/>
      <c r="P1078" s="10"/>
      <c r="Q1078" s="10"/>
      <c r="R1078" s="10"/>
      <c r="S1078" s="10"/>
    </row>
    <row r="1079" spans="10:19">
      <c r="J1079" s="10"/>
      <c r="K1079" s="1127"/>
      <c r="L1079" s="10"/>
      <c r="M1079" s="10"/>
      <c r="N1079" s="10"/>
      <c r="O1079" s="10"/>
      <c r="P1079" s="10"/>
      <c r="Q1079" s="10"/>
      <c r="R1079" s="10"/>
      <c r="S1079" s="10"/>
    </row>
    <row r="1080" spans="10:19">
      <c r="J1080" s="10"/>
      <c r="K1080" s="1127"/>
      <c r="L1080" s="10"/>
      <c r="M1080" s="10"/>
      <c r="N1080" s="10"/>
      <c r="O1080" s="10"/>
      <c r="P1080" s="10"/>
      <c r="Q1080" s="10"/>
      <c r="R1080" s="10"/>
      <c r="S1080" s="10"/>
    </row>
    <row r="1081" spans="10:19">
      <c r="J1081" s="10"/>
      <c r="K1081" s="1127"/>
      <c r="L1081" s="10"/>
      <c r="M1081" s="10"/>
      <c r="N1081" s="10"/>
      <c r="O1081" s="10"/>
      <c r="P1081" s="10"/>
      <c r="Q1081" s="10"/>
      <c r="R1081" s="10"/>
      <c r="S1081" s="10"/>
    </row>
    <row r="1082" spans="10:19">
      <c r="J1082" s="10"/>
      <c r="K1082" s="1127"/>
      <c r="L1082" s="10"/>
      <c r="M1082" s="10"/>
      <c r="N1082" s="10"/>
      <c r="O1082" s="10"/>
      <c r="P1082" s="10"/>
      <c r="Q1082" s="10"/>
      <c r="R1082" s="10"/>
      <c r="S1082" s="10"/>
    </row>
    <row r="1083" spans="10:19">
      <c r="J1083" s="10"/>
      <c r="K1083" s="1127"/>
      <c r="L1083" s="10"/>
      <c r="M1083" s="10"/>
      <c r="N1083" s="10"/>
      <c r="O1083" s="10"/>
      <c r="P1083" s="10"/>
      <c r="Q1083" s="10"/>
      <c r="R1083" s="10"/>
      <c r="S1083" s="10"/>
    </row>
    <row r="1084" spans="10:19">
      <c r="J1084" s="10"/>
      <c r="K1084" s="1127"/>
      <c r="L1084" s="10"/>
      <c r="M1084" s="10"/>
      <c r="N1084" s="10"/>
      <c r="O1084" s="10"/>
      <c r="P1084" s="10"/>
      <c r="Q1084" s="10"/>
      <c r="R1084" s="10"/>
      <c r="S1084" s="10"/>
    </row>
    <row r="1085" spans="10:19">
      <c r="J1085" s="10"/>
      <c r="K1085" s="1127"/>
      <c r="L1085" s="10"/>
      <c r="M1085" s="10"/>
      <c r="N1085" s="10"/>
      <c r="O1085" s="10"/>
      <c r="P1085" s="10"/>
      <c r="Q1085" s="10"/>
      <c r="R1085" s="10"/>
      <c r="S1085" s="10"/>
    </row>
    <row r="1086" spans="10:19">
      <c r="J1086" s="10"/>
      <c r="K1086" s="1127"/>
      <c r="L1086" s="10"/>
      <c r="M1086" s="10"/>
      <c r="N1086" s="10"/>
      <c r="O1086" s="10"/>
      <c r="P1086" s="10"/>
      <c r="Q1086" s="10"/>
      <c r="R1086" s="10"/>
      <c r="S1086" s="10"/>
    </row>
    <row r="1087" spans="10:19">
      <c r="J1087" s="10"/>
      <c r="K1087" s="1127"/>
      <c r="L1087" s="10"/>
      <c r="M1087" s="10"/>
      <c r="N1087" s="10"/>
      <c r="O1087" s="10"/>
      <c r="P1087" s="10"/>
      <c r="Q1087" s="10"/>
      <c r="R1087" s="10"/>
      <c r="S1087" s="10"/>
    </row>
    <row r="1088" spans="10:19">
      <c r="J1088" s="10"/>
      <c r="K1088" s="1127"/>
      <c r="L1088" s="10"/>
      <c r="M1088" s="10"/>
      <c r="N1088" s="10"/>
      <c r="O1088" s="10"/>
      <c r="P1088" s="10"/>
      <c r="Q1088" s="10"/>
      <c r="R1088" s="10"/>
      <c r="S1088" s="10"/>
    </row>
    <row r="1089" spans="10:19">
      <c r="J1089" s="10"/>
      <c r="K1089" s="1127"/>
      <c r="L1089" s="10"/>
      <c r="M1089" s="10"/>
      <c r="N1089" s="10"/>
      <c r="O1089" s="10"/>
      <c r="P1089" s="10"/>
      <c r="Q1089" s="10"/>
      <c r="R1089" s="10"/>
      <c r="S1089" s="10"/>
    </row>
    <row r="1090" spans="10:19">
      <c r="J1090" s="10"/>
      <c r="K1090" s="1127"/>
      <c r="L1090" s="10"/>
      <c r="M1090" s="10"/>
      <c r="N1090" s="10"/>
      <c r="O1090" s="10"/>
      <c r="P1090" s="10"/>
      <c r="Q1090" s="10"/>
      <c r="R1090" s="10"/>
      <c r="S1090" s="10"/>
    </row>
    <row r="1091" spans="10:19">
      <c r="J1091" s="10"/>
      <c r="K1091" s="1127"/>
      <c r="L1091" s="10"/>
      <c r="M1091" s="10"/>
      <c r="N1091" s="10"/>
      <c r="O1091" s="10"/>
      <c r="P1091" s="10"/>
      <c r="Q1091" s="10"/>
      <c r="R1091" s="10"/>
      <c r="S1091" s="10"/>
    </row>
    <row r="1092" spans="10:19">
      <c r="J1092" s="10"/>
      <c r="K1092" s="1127"/>
      <c r="L1092" s="10"/>
      <c r="M1092" s="10"/>
      <c r="N1092" s="10"/>
      <c r="O1092" s="10"/>
      <c r="P1092" s="10"/>
      <c r="Q1092" s="10"/>
      <c r="R1092" s="10"/>
      <c r="S1092" s="10"/>
    </row>
    <row r="1093" spans="10:19">
      <c r="J1093" s="10"/>
      <c r="K1093" s="1127"/>
      <c r="L1093" s="10"/>
      <c r="M1093" s="10"/>
      <c r="N1093" s="10"/>
      <c r="O1093" s="10"/>
      <c r="P1093" s="10"/>
      <c r="Q1093" s="10"/>
      <c r="R1093" s="10"/>
      <c r="S1093" s="10"/>
    </row>
    <row r="1094" spans="10:19">
      <c r="J1094" s="10"/>
      <c r="K1094" s="1127"/>
      <c r="L1094" s="10"/>
      <c r="M1094" s="10"/>
      <c r="N1094" s="10"/>
      <c r="O1094" s="10"/>
      <c r="P1094" s="10"/>
      <c r="Q1094" s="10"/>
      <c r="R1094" s="10"/>
      <c r="S1094" s="10"/>
    </row>
    <row r="1095" spans="10:19">
      <c r="J1095" s="10"/>
      <c r="K1095" s="1127"/>
      <c r="L1095" s="10"/>
      <c r="M1095" s="10"/>
      <c r="N1095" s="10"/>
      <c r="O1095" s="10"/>
      <c r="P1095" s="10"/>
      <c r="Q1095" s="10"/>
      <c r="R1095" s="10"/>
      <c r="S1095" s="10"/>
    </row>
    <row r="1096" spans="10:19">
      <c r="J1096" s="10"/>
      <c r="K1096" s="1127"/>
      <c r="L1096" s="10"/>
      <c r="M1096" s="10"/>
      <c r="N1096" s="10"/>
      <c r="O1096" s="10"/>
      <c r="P1096" s="10"/>
      <c r="Q1096" s="10"/>
      <c r="R1096" s="10"/>
      <c r="S1096" s="10"/>
    </row>
    <row r="1097" spans="10:19">
      <c r="J1097" s="10"/>
      <c r="K1097" s="1127"/>
      <c r="L1097" s="10"/>
      <c r="M1097" s="10"/>
      <c r="N1097" s="10"/>
      <c r="O1097" s="10"/>
      <c r="P1097" s="10"/>
      <c r="Q1097" s="10"/>
      <c r="R1097" s="10"/>
      <c r="S1097" s="10"/>
    </row>
    <row r="1098" spans="10:19">
      <c r="J1098" s="10"/>
      <c r="K1098" s="1127"/>
      <c r="L1098" s="10"/>
      <c r="M1098" s="10"/>
      <c r="N1098" s="10"/>
      <c r="O1098" s="10"/>
      <c r="P1098" s="10"/>
      <c r="Q1098" s="10"/>
      <c r="R1098" s="10"/>
      <c r="S1098" s="10"/>
    </row>
    <row r="1099" spans="10:19">
      <c r="J1099" s="10"/>
      <c r="K1099" s="1127"/>
      <c r="L1099" s="10"/>
      <c r="M1099" s="10"/>
      <c r="N1099" s="10"/>
      <c r="O1099" s="10"/>
      <c r="P1099" s="10"/>
      <c r="Q1099" s="10"/>
      <c r="R1099" s="10"/>
      <c r="S1099" s="10"/>
    </row>
    <row r="1100" spans="10:19">
      <c r="J1100" s="10"/>
      <c r="K1100" s="1127"/>
      <c r="L1100" s="10"/>
      <c r="M1100" s="10"/>
      <c r="N1100" s="10"/>
      <c r="O1100" s="10"/>
      <c r="P1100" s="10"/>
      <c r="Q1100" s="10"/>
      <c r="R1100" s="10"/>
      <c r="S1100" s="10"/>
    </row>
    <row r="1101" spans="10:19">
      <c r="J1101" s="10"/>
      <c r="K1101" s="1127"/>
      <c r="L1101" s="10"/>
      <c r="M1101" s="10"/>
      <c r="N1101" s="10"/>
      <c r="O1101" s="10"/>
      <c r="P1101" s="10"/>
      <c r="Q1101" s="10"/>
      <c r="R1101" s="10"/>
      <c r="S1101" s="10"/>
    </row>
    <row r="1102" spans="10:19">
      <c r="J1102" s="10"/>
      <c r="K1102" s="1127"/>
      <c r="L1102" s="10"/>
      <c r="M1102" s="10"/>
      <c r="N1102" s="10"/>
      <c r="O1102" s="10"/>
      <c r="P1102" s="10"/>
      <c r="Q1102" s="10"/>
      <c r="R1102" s="10"/>
      <c r="S1102" s="10"/>
    </row>
    <row r="1103" spans="10:19">
      <c r="J1103" s="10"/>
      <c r="K1103" s="1127"/>
      <c r="L1103" s="10"/>
      <c r="M1103" s="10"/>
      <c r="N1103" s="10"/>
      <c r="O1103" s="10"/>
      <c r="P1103" s="10"/>
      <c r="Q1103" s="10"/>
      <c r="R1103" s="10"/>
      <c r="S1103" s="10"/>
    </row>
    <row r="1104" spans="10:19">
      <c r="J1104" s="10"/>
      <c r="K1104" s="1127"/>
      <c r="L1104" s="10"/>
      <c r="M1104" s="10"/>
      <c r="N1104" s="10"/>
      <c r="O1104" s="10"/>
      <c r="P1104" s="10"/>
      <c r="Q1104" s="10"/>
      <c r="R1104" s="10"/>
      <c r="S1104" s="10"/>
    </row>
    <row r="1105" spans="10:19">
      <c r="J1105" s="10"/>
      <c r="K1105" s="1127"/>
      <c r="L1105" s="10"/>
      <c r="M1105" s="10"/>
      <c r="N1105" s="10"/>
      <c r="O1105" s="10"/>
      <c r="P1105" s="10"/>
      <c r="Q1105" s="10"/>
      <c r="R1105" s="10"/>
      <c r="S1105" s="10"/>
    </row>
    <row r="1106" spans="10:19">
      <c r="J1106" s="10"/>
      <c r="K1106" s="1127"/>
      <c r="L1106" s="10"/>
      <c r="M1106" s="10"/>
      <c r="N1106" s="10"/>
      <c r="O1106" s="10"/>
      <c r="P1106" s="10"/>
      <c r="Q1106" s="10"/>
      <c r="R1106" s="10"/>
      <c r="S1106" s="10"/>
    </row>
    <row r="1107" spans="10:19">
      <c r="J1107" s="10"/>
      <c r="K1107" s="1127"/>
      <c r="L1107" s="10"/>
      <c r="M1107" s="10"/>
      <c r="N1107" s="10"/>
      <c r="O1107" s="10"/>
      <c r="P1107" s="10"/>
      <c r="Q1107" s="10"/>
      <c r="R1107" s="10"/>
      <c r="S1107" s="10"/>
    </row>
    <row r="1108" spans="10:19">
      <c r="J1108" s="10"/>
      <c r="K1108" s="1127"/>
      <c r="L1108" s="10"/>
      <c r="M1108" s="10"/>
      <c r="N1108" s="10"/>
      <c r="O1108" s="10"/>
      <c r="P1108" s="10"/>
      <c r="Q1108" s="10"/>
      <c r="R1108" s="10"/>
      <c r="S1108" s="10"/>
    </row>
    <row r="1109" spans="10:19">
      <c r="J1109" s="10"/>
      <c r="K1109" s="1127"/>
      <c r="L1109" s="10"/>
      <c r="M1109" s="10"/>
      <c r="N1109" s="10"/>
      <c r="O1109" s="10"/>
      <c r="P1109" s="10"/>
      <c r="Q1109" s="10"/>
      <c r="R1109" s="10"/>
      <c r="S1109" s="10"/>
    </row>
    <row r="1110" spans="10:19">
      <c r="J1110" s="10"/>
      <c r="K1110" s="1127"/>
      <c r="L1110" s="10"/>
      <c r="M1110" s="10"/>
      <c r="N1110" s="10"/>
      <c r="O1110" s="10"/>
      <c r="P1110" s="10"/>
      <c r="Q1110" s="10"/>
      <c r="R1110" s="10"/>
      <c r="S1110" s="10"/>
    </row>
    <row r="1111" spans="10:19">
      <c r="J1111" s="10"/>
      <c r="K1111" s="1127"/>
      <c r="L1111" s="10"/>
      <c r="M1111" s="10"/>
      <c r="N1111" s="10"/>
      <c r="O1111" s="10"/>
      <c r="P1111" s="10"/>
      <c r="Q1111" s="10"/>
      <c r="R1111" s="10"/>
      <c r="S1111" s="10"/>
    </row>
    <row r="1112" spans="10:19">
      <c r="J1112" s="10"/>
      <c r="K1112" s="1127"/>
      <c r="L1112" s="10"/>
      <c r="M1112" s="10"/>
      <c r="N1112" s="10"/>
      <c r="O1112" s="10"/>
      <c r="P1112" s="10"/>
      <c r="Q1112" s="10"/>
      <c r="R1112" s="10"/>
      <c r="S1112" s="10"/>
    </row>
    <row r="1113" spans="10:19">
      <c r="J1113" s="10"/>
      <c r="K1113" s="1127"/>
      <c r="L1113" s="10"/>
      <c r="M1113" s="10"/>
      <c r="N1113" s="10"/>
      <c r="O1113" s="10"/>
      <c r="P1113" s="10"/>
      <c r="Q1113" s="10"/>
      <c r="R1113" s="10"/>
      <c r="S1113" s="10"/>
    </row>
    <row r="1114" spans="10:19">
      <c r="J1114" s="10"/>
      <c r="K1114" s="1127"/>
      <c r="L1114" s="10"/>
      <c r="M1114" s="10"/>
      <c r="N1114" s="10"/>
      <c r="O1114" s="10"/>
      <c r="P1114" s="10"/>
      <c r="Q1114" s="10"/>
      <c r="R1114" s="10"/>
      <c r="S1114" s="10"/>
    </row>
    <row r="1115" spans="10:19">
      <c r="J1115" s="10"/>
      <c r="K1115" s="1127"/>
      <c r="L1115" s="10"/>
      <c r="M1115" s="10"/>
      <c r="N1115" s="10"/>
      <c r="O1115" s="10"/>
      <c r="P1115" s="10"/>
      <c r="Q1115" s="10"/>
      <c r="R1115" s="10"/>
      <c r="S1115" s="10"/>
    </row>
    <row r="1116" spans="10:19">
      <c r="J1116" s="10"/>
      <c r="K1116" s="1127"/>
      <c r="L1116" s="10"/>
      <c r="M1116" s="10"/>
      <c r="N1116" s="10"/>
      <c r="O1116" s="10"/>
      <c r="P1116" s="10"/>
      <c r="Q1116" s="10"/>
      <c r="R1116" s="10"/>
      <c r="S1116" s="10"/>
    </row>
    <row r="1117" spans="10:19">
      <c r="J1117" s="10"/>
      <c r="K1117" s="1127"/>
      <c r="L1117" s="10"/>
      <c r="M1117" s="10"/>
      <c r="N1117" s="10"/>
      <c r="O1117" s="10"/>
      <c r="P1117" s="10"/>
      <c r="Q1117" s="10"/>
      <c r="R1117" s="10"/>
      <c r="S1117" s="10"/>
    </row>
    <row r="1118" spans="10:19">
      <c r="J1118" s="10"/>
      <c r="K1118" s="1127"/>
      <c r="L1118" s="10"/>
      <c r="M1118" s="10"/>
      <c r="N1118" s="10"/>
      <c r="O1118" s="10"/>
      <c r="P1118" s="10"/>
      <c r="Q1118" s="10"/>
      <c r="R1118" s="10"/>
      <c r="S1118" s="10"/>
    </row>
    <row r="1119" spans="10:19">
      <c r="J1119" s="10"/>
      <c r="K1119" s="1127"/>
      <c r="L1119" s="10"/>
      <c r="M1119" s="10"/>
      <c r="N1119" s="10"/>
      <c r="O1119" s="10"/>
      <c r="P1119" s="10"/>
      <c r="Q1119" s="10"/>
      <c r="R1119" s="10"/>
      <c r="S1119" s="10"/>
    </row>
    <row r="1120" spans="10:19">
      <c r="J1120" s="10"/>
      <c r="K1120" s="1127"/>
      <c r="L1120" s="10"/>
      <c r="M1120" s="10"/>
      <c r="N1120" s="10"/>
      <c r="O1120" s="10"/>
      <c r="P1120" s="10"/>
      <c r="Q1120" s="10"/>
      <c r="R1120" s="10"/>
      <c r="S1120" s="10"/>
    </row>
    <row r="1121" spans="10:19">
      <c r="J1121" s="10"/>
      <c r="K1121" s="1127"/>
      <c r="L1121" s="10"/>
      <c r="M1121" s="10"/>
      <c r="N1121" s="10"/>
      <c r="O1121" s="10"/>
      <c r="P1121" s="10"/>
      <c r="Q1121" s="10"/>
      <c r="R1121" s="10"/>
      <c r="S1121" s="10"/>
    </row>
    <row r="1122" spans="10:19">
      <c r="J1122" s="10"/>
      <c r="K1122" s="1127"/>
      <c r="L1122" s="10"/>
      <c r="M1122" s="10"/>
      <c r="N1122" s="10"/>
      <c r="O1122" s="10"/>
      <c r="P1122" s="10"/>
      <c r="Q1122" s="10"/>
      <c r="R1122" s="10"/>
      <c r="S1122" s="10"/>
    </row>
    <row r="1123" spans="10:19">
      <c r="J1123" s="10"/>
      <c r="K1123" s="1127"/>
      <c r="L1123" s="10"/>
      <c r="M1123" s="10"/>
      <c r="N1123" s="10"/>
      <c r="O1123" s="10"/>
      <c r="P1123" s="10"/>
      <c r="Q1123" s="10"/>
      <c r="R1123" s="10"/>
      <c r="S1123" s="10"/>
    </row>
    <row r="1124" spans="10:19">
      <c r="J1124" s="10"/>
      <c r="K1124" s="1127"/>
      <c r="L1124" s="10"/>
      <c r="M1124" s="10"/>
      <c r="N1124" s="10"/>
      <c r="O1124" s="10"/>
      <c r="P1124" s="10"/>
      <c r="Q1124" s="10"/>
      <c r="R1124" s="10"/>
      <c r="S1124" s="10"/>
    </row>
    <row r="1125" spans="10:19">
      <c r="J1125" s="10"/>
      <c r="K1125" s="1127"/>
      <c r="L1125" s="10"/>
      <c r="M1125" s="10"/>
      <c r="N1125" s="10"/>
      <c r="O1125" s="10"/>
      <c r="P1125" s="10"/>
      <c r="Q1125" s="10"/>
      <c r="R1125" s="10"/>
      <c r="S1125" s="10"/>
    </row>
    <row r="1126" spans="10:19">
      <c r="J1126" s="10"/>
      <c r="K1126" s="1127"/>
      <c r="L1126" s="10"/>
      <c r="M1126" s="10"/>
      <c r="N1126" s="10"/>
      <c r="O1126" s="10"/>
      <c r="P1126" s="10"/>
      <c r="Q1126" s="10"/>
      <c r="R1126" s="10"/>
      <c r="S1126" s="10"/>
    </row>
    <row r="1127" spans="10:19">
      <c r="J1127" s="10"/>
      <c r="K1127" s="1127"/>
      <c r="L1127" s="10"/>
      <c r="M1127" s="10"/>
      <c r="N1127" s="10"/>
      <c r="O1127" s="10"/>
      <c r="P1127" s="10"/>
      <c r="Q1127" s="10"/>
      <c r="R1127" s="10"/>
      <c r="S1127" s="10"/>
    </row>
    <row r="1128" spans="10:19">
      <c r="J1128" s="10"/>
      <c r="K1128" s="1127"/>
      <c r="L1128" s="10"/>
      <c r="M1128" s="10"/>
      <c r="N1128" s="10"/>
      <c r="O1128" s="10"/>
      <c r="P1128" s="10"/>
      <c r="Q1128" s="10"/>
      <c r="R1128" s="10"/>
      <c r="S1128" s="10"/>
    </row>
    <row r="1129" spans="10:19">
      <c r="J1129" s="10"/>
      <c r="K1129" s="1127"/>
      <c r="L1129" s="10"/>
      <c r="M1129" s="10"/>
      <c r="N1129" s="10"/>
      <c r="O1129" s="10"/>
      <c r="P1129" s="10"/>
      <c r="Q1129" s="10"/>
      <c r="R1129" s="10"/>
      <c r="S1129" s="10"/>
    </row>
    <row r="1130" spans="10:19">
      <c r="J1130" s="10"/>
      <c r="K1130" s="1127"/>
      <c r="L1130" s="10"/>
      <c r="M1130" s="10"/>
      <c r="N1130" s="10"/>
      <c r="O1130" s="10"/>
      <c r="P1130" s="10"/>
      <c r="Q1130" s="10"/>
      <c r="R1130" s="10"/>
      <c r="S1130" s="10"/>
    </row>
    <row r="1131" spans="10:19">
      <c r="J1131" s="10"/>
      <c r="K1131" s="1127"/>
      <c r="L1131" s="10"/>
      <c r="M1131" s="10"/>
      <c r="N1131" s="10"/>
      <c r="O1131" s="10"/>
      <c r="P1131" s="10"/>
      <c r="Q1131" s="10"/>
      <c r="R1131" s="10"/>
      <c r="S1131" s="10"/>
    </row>
    <row r="1132" spans="10:19">
      <c r="J1132" s="10"/>
      <c r="K1132" s="1127"/>
      <c r="L1132" s="10"/>
      <c r="M1132" s="10"/>
      <c r="N1132" s="10"/>
      <c r="O1132" s="10"/>
      <c r="P1132" s="10"/>
      <c r="Q1132" s="10"/>
      <c r="R1132" s="10"/>
      <c r="S1132" s="10"/>
    </row>
    <row r="1133" spans="10:19">
      <c r="J1133" s="10"/>
      <c r="K1133" s="1127"/>
      <c r="L1133" s="10"/>
      <c r="M1133" s="10"/>
      <c r="N1133" s="10"/>
      <c r="O1133" s="10"/>
      <c r="P1133" s="10"/>
      <c r="Q1133" s="10"/>
      <c r="R1133" s="10"/>
      <c r="S1133" s="10"/>
    </row>
    <row r="1134" spans="10:19">
      <c r="J1134" s="10"/>
      <c r="K1134" s="1127"/>
      <c r="L1134" s="10"/>
      <c r="M1134" s="10"/>
      <c r="N1134" s="10"/>
      <c r="O1134" s="10"/>
      <c r="P1134" s="10"/>
      <c r="Q1134" s="10"/>
      <c r="R1134" s="10"/>
      <c r="S1134" s="10"/>
    </row>
    <row r="1135" spans="10:19">
      <c r="J1135" s="10"/>
      <c r="K1135" s="1127"/>
      <c r="L1135" s="10"/>
      <c r="M1135" s="10"/>
      <c r="N1135" s="10"/>
      <c r="O1135" s="10"/>
      <c r="P1135" s="10"/>
      <c r="Q1135" s="10"/>
      <c r="R1135" s="10"/>
      <c r="S1135" s="10"/>
    </row>
    <row r="1136" spans="10:19">
      <c r="J1136" s="10"/>
      <c r="K1136" s="1127"/>
      <c r="L1136" s="10"/>
      <c r="M1136" s="10"/>
      <c r="N1136" s="10"/>
      <c r="O1136" s="10"/>
      <c r="P1136" s="10"/>
      <c r="Q1136" s="10"/>
      <c r="R1136" s="10"/>
      <c r="S1136" s="10"/>
    </row>
    <row r="1137" spans="10:19">
      <c r="J1137" s="10"/>
      <c r="K1137" s="1127"/>
      <c r="L1137" s="10"/>
      <c r="M1137" s="10"/>
      <c r="N1137" s="10"/>
      <c r="O1137" s="10"/>
      <c r="P1137" s="10"/>
      <c r="Q1137" s="10"/>
      <c r="R1137" s="10"/>
      <c r="S1137" s="10"/>
    </row>
    <row r="1138" spans="10:19">
      <c r="J1138" s="10"/>
      <c r="K1138" s="1127"/>
      <c r="L1138" s="10"/>
      <c r="M1138" s="10"/>
      <c r="N1138" s="10"/>
      <c r="O1138" s="10"/>
      <c r="P1138" s="10"/>
      <c r="Q1138" s="10"/>
      <c r="R1138" s="10"/>
      <c r="S1138" s="10"/>
    </row>
    <row r="1139" spans="10:19">
      <c r="J1139" s="10"/>
      <c r="K1139" s="1127"/>
      <c r="L1139" s="10"/>
      <c r="M1139" s="10"/>
      <c r="N1139" s="10"/>
      <c r="O1139" s="10"/>
      <c r="P1139" s="10"/>
      <c r="Q1139" s="10"/>
      <c r="R1139" s="10"/>
      <c r="S1139" s="10"/>
    </row>
    <row r="1140" spans="10:19">
      <c r="J1140" s="10"/>
      <c r="K1140" s="1127"/>
      <c r="L1140" s="10"/>
      <c r="M1140" s="10"/>
      <c r="N1140" s="10"/>
      <c r="O1140" s="10"/>
      <c r="P1140" s="10"/>
      <c r="Q1140" s="10"/>
      <c r="R1140" s="10"/>
      <c r="S1140" s="10"/>
    </row>
    <row r="1141" spans="10:19">
      <c r="J1141" s="10"/>
      <c r="K1141" s="1127"/>
      <c r="L1141" s="10"/>
      <c r="M1141" s="10"/>
      <c r="N1141" s="10"/>
      <c r="O1141" s="10"/>
      <c r="P1141" s="10"/>
      <c r="Q1141" s="10"/>
      <c r="R1141" s="10"/>
      <c r="S1141" s="10"/>
    </row>
    <row r="1142" spans="10:19">
      <c r="J1142" s="10"/>
      <c r="K1142" s="1127"/>
      <c r="L1142" s="10"/>
      <c r="M1142" s="10"/>
      <c r="N1142" s="10"/>
      <c r="O1142" s="10"/>
      <c r="P1142" s="10"/>
      <c r="Q1142" s="10"/>
      <c r="R1142" s="10"/>
      <c r="S1142" s="10"/>
    </row>
    <row r="1143" spans="10:19">
      <c r="J1143" s="10"/>
      <c r="K1143" s="1127"/>
      <c r="L1143" s="10"/>
      <c r="M1143" s="10"/>
      <c r="N1143" s="10"/>
      <c r="O1143" s="10"/>
      <c r="P1143" s="10"/>
      <c r="Q1143" s="10"/>
      <c r="R1143" s="10"/>
      <c r="S1143" s="10"/>
    </row>
    <row r="1144" spans="10:19">
      <c r="J1144" s="10"/>
      <c r="K1144" s="1127"/>
      <c r="L1144" s="10"/>
      <c r="M1144" s="10"/>
      <c r="N1144" s="10"/>
      <c r="O1144" s="10"/>
      <c r="P1144" s="10"/>
      <c r="Q1144" s="10"/>
      <c r="R1144" s="10"/>
      <c r="S1144" s="10"/>
    </row>
    <row r="1145" spans="10:19">
      <c r="J1145" s="10"/>
      <c r="K1145" s="1127"/>
      <c r="L1145" s="10"/>
      <c r="M1145" s="10"/>
      <c r="N1145" s="10"/>
      <c r="O1145" s="10"/>
      <c r="P1145" s="10"/>
      <c r="Q1145" s="10"/>
      <c r="R1145" s="10"/>
      <c r="S1145" s="10"/>
    </row>
    <row r="1146" spans="10:19">
      <c r="J1146" s="10"/>
      <c r="K1146" s="1127"/>
      <c r="L1146" s="10"/>
      <c r="M1146" s="10"/>
      <c r="N1146" s="10"/>
      <c r="O1146" s="10"/>
      <c r="P1146" s="10"/>
      <c r="Q1146" s="10"/>
      <c r="R1146" s="10"/>
      <c r="S1146" s="10"/>
    </row>
    <row r="1147" spans="10:19">
      <c r="J1147" s="10"/>
      <c r="K1147" s="1127"/>
      <c r="L1147" s="10"/>
      <c r="M1147" s="10"/>
      <c r="N1147" s="10"/>
      <c r="O1147" s="10"/>
      <c r="P1147" s="10"/>
      <c r="Q1147" s="10"/>
      <c r="R1147" s="10"/>
      <c r="S1147" s="10"/>
    </row>
    <row r="1148" spans="10:19">
      <c r="J1148" s="10"/>
      <c r="K1148" s="1127"/>
      <c r="L1148" s="10"/>
      <c r="M1148" s="10"/>
      <c r="N1148" s="10"/>
      <c r="O1148" s="10"/>
      <c r="P1148" s="10"/>
      <c r="Q1148" s="10"/>
      <c r="R1148" s="10"/>
      <c r="S1148" s="10"/>
    </row>
    <row r="1149" spans="10:19">
      <c r="J1149" s="10"/>
      <c r="K1149" s="1127"/>
      <c r="L1149" s="10"/>
      <c r="M1149" s="10"/>
      <c r="N1149" s="10"/>
      <c r="O1149" s="10"/>
      <c r="P1149" s="10"/>
      <c r="Q1149" s="10"/>
      <c r="R1149" s="10"/>
      <c r="S1149" s="10"/>
    </row>
    <row r="1150" spans="10:19">
      <c r="J1150" s="10"/>
      <c r="K1150" s="1127"/>
      <c r="L1150" s="10"/>
      <c r="M1150" s="10"/>
      <c r="N1150" s="10"/>
      <c r="O1150" s="10"/>
      <c r="P1150" s="10"/>
      <c r="Q1150" s="10"/>
      <c r="R1150" s="10"/>
      <c r="S1150" s="10"/>
    </row>
    <row r="1151" spans="10:19">
      <c r="J1151" s="10"/>
      <c r="K1151" s="1127"/>
      <c r="L1151" s="10"/>
      <c r="M1151" s="10"/>
      <c r="N1151" s="10"/>
      <c r="O1151" s="10"/>
      <c r="P1151" s="10"/>
      <c r="Q1151" s="10"/>
      <c r="R1151" s="10"/>
      <c r="S1151" s="10"/>
    </row>
    <row r="1152" spans="10:19">
      <c r="J1152" s="10"/>
      <c r="K1152" s="1127"/>
      <c r="L1152" s="10"/>
      <c r="M1152" s="10"/>
      <c r="N1152" s="10"/>
      <c r="O1152" s="10"/>
      <c r="P1152" s="10"/>
      <c r="Q1152" s="10"/>
      <c r="R1152" s="10"/>
      <c r="S1152" s="10"/>
    </row>
    <row r="1153" spans="10:19">
      <c r="J1153" s="10"/>
      <c r="K1153" s="1127"/>
      <c r="L1153" s="10"/>
      <c r="M1153" s="10"/>
      <c r="N1153" s="10"/>
      <c r="O1153" s="10"/>
      <c r="P1153" s="10"/>
      <c r="Q1153" s="10"/>
      <c r="R1153" s="10"/>
      <c r="S1153" s="10"/>
    </row>
    <row r="1154" spans="10:19">
      <c r="J1154" s="10"/>
      <c r="K1154" s="1127"/>
      <c r="L1154" s="10"/>
      <c r="M1154" s="10"/>
      <c r="N1154" s="10"/>
      <c r="O1154" s="10"/>
      <c r="P1154" s="10"/>
      <c r="Q1154" s="10"/>
      <c r="R1154" s="10"/>
      <c r="S1154" s="10"/>
    </row>
    <row r="1155" spans="10:19">
      <c r="J1155" s="10"/>
      <c r="K1155" s="1127"/>
      <c r="L1155" s="10"/>
      <c r="M1155" s="10"/>
      <c r="N1155" s="10"/>
      <c r="O1155" s="10"/>
      <c r="P1155" s="10"/>
      <c r="Q1155" s="10"/>
      <c r="R1155" s="10"/>
      <c r="S1155" s="10"/>
    </row>
    <row r="1156" spans="10:19">
      <c r="J1156" s="10"/>
      <c r="K1156" s="1127"/>
      <c r="L1156" s="10"/>
      <c r="M1156" s="10"/>
      <c r="N1156" s="10"/>
      <c r="O1156" s="10"/>
      <c r="P1156" s="10"/>
      <c r="Q1156" s="10"/>
      <c r="R1156" s="10"/>
      <c r="S1156" s="10"/>
    </row>
    <row r="1157" spans="10:19">
      <c r="J1157" s="10"/>
      <c r="K1157" s="1127"/>
      <c r="L1157" s="10"/>
      <c r="M1157" s="10"/>
      <c r="N1157" s="10"/>
      <c r="O1157" s="10"/>
      <c r="P1157" s="10"/>
      <c r="Q1157" s="10"/>
      <c r="R1157" s="10"/>
      <c r="S1157" s="10"/>
    </row>
    <row r="1158" spans="10:19">
      <c r="J1158" s="10"/>
      <c r="K1158" s="1127"/>
      <c r="L1158" s="10"/>
      <c r="M1158" s="10"/>
      <c r="N1158" s="10"/>
      <c r="O1158" s="10"/>
      <c r="P1158" s="10"/>
      <c r="Q1158" s="10"/>
      <c r="R1158" s="10"/>
      <c r="S1158" s="10"/>
    </row>
    <row r="1159" spans="10:19">
      <c r="J1159" s="10"/>
      <c r="K1159" s="1127"/>
      <c r="L1159" s="10"/>
      <c r="M1159" s="10"/>
      <c r="N1159" s="10"/>
      <c r="O1159" s="10"/>
      <c r="P1159" s="10"/>
      <c r="Q1159" s="10"/>
      <c r="R1159" s="10"/>
      <c r="S1159" s="10"/>
    </row>
    <row r="1160" spans="10:19">
      <c r="J1160" s="10"/>
      <c r="K1160" s="1127"/>
      <c r="L1160" s="10"/>
      <c r="M1160" s="10"/>
      <c r="N1160" s="10"/>
      <c r="O1160" s="10"/>
      <c r="P1160" s="10"/>
      <c r="Q1160" s="10"/>
      <c r="R1160" s="10"/>
      <c r="S1160" s="10"/>
    </row>
    <row r="1161" spans="10:19">
      <c r="J1161" s="10"/>
      <c r="K1161" s="1127"/>
      <c r="L1161" s="10"/>
      <c r="M1161" s="10"/>
      <c r="N1161" s="10"/>
      <c r="O1161" s="10"/>
      <c r="P1161" s="10"/>
      <c r="Q1161" s="10"/>
      <c r="R1161" s="10"/>
      <c r="S1161" s="10"/>
    </row>
    <row r="1162" spans="10:19">
      <c r="J1162" s="10"/>
      <c r="K1162" s="1127"/>
      <c r="L1162" s="10"/>
      <c r="M1162" s="10"/>
      <c r="N1162" s="10"/>
      <c r="O1162" s="10"/>
      <c r="P1162" s="10"/>
      <c r="Q1162" s="10"/>
      <c r="R1162" s="10"/>
      <c r="S1162" s="10"/>
    </row>
    <row r="1163" spans="10:19">
      <c r="J1163" s="10"/>
      <c r="K1163" s="1127"/>
      <c r="L1163" s="10"/>
      <c r="M1163" s="10"/>
      <c r="N1163" s="10"/>
      <c r="O1163" s="10"/>
      <c r="P1163" s="10"/>
      <c r="Q1163" s="10"/>
      <c r="R1163" s="10"/>
      <c r="S1163" s="10"/>
    </row>
    <row r="1164" spans="10:19">
      <c r="J1164" s="10"/>
      <c r="K1164" s="1127"/>
      <c r="L1164" s="10"/>
      <c r="M1164" s="10"/>
      <c r="N1164" s="10"/>
      <c r="O1164" s="10"/>
      <c r="P1164" s="10"/>
      <c r="Q1164" s="10"/>
      <c r="R1164" s="10"/>
      <c r="S1164" s="10"/>
    </row>
    <row r="1165" spans="10:19">
      <c r="J1165" s="10"/>
      <c r="K1165" s="1127"/>
      <c r="L1165" s="10"/>
      <c r="M1165" s="10"/>
      <c r="N1165" s="10"/>
      <c r="O1165" s="10"/>
      <c r="P1165" s="10"/>
      <c r="Q1165" s="10"/>
      <c r="R1165" s="10"/>
      <c r="S1165" s="10"/>
    </row>
    <row r="1166" spans="10:19">
      <c r="J1166" s="10"/>
      <c r="K1166" s="1127"/>
      <c r="L1166" s="10"/>
      <c r="M1166" s="10"/>
      <c r="N1166" s="10"/>
      <c r="O1166" s="10"/>
      <c r="P1166" s="10"/>
      <c r="Q1166" s="10"/>
      <c r="R1166" s="10"/>
      <c r="S1166" s="10"/>
    </row>
    <row r="1167" spans="10:19">
      <c r="J1167" s="10"/>
      <c r="K1167" s="1127"/>
      <c r="L1167" s="10"/>
      <c r="M1167" s="10"/>
      <c r="N1167" s="10"/>
      <c r="O1167" s="10"/>
      <c r="P1167" s="10"/>
      <c r="Q1167" s="10"/>
      <c r="R1167" s="10"/>
      <c r="S1167" s="10"/>
    </row>
    <row r="1168" spans="10:19">
      <c r="J1168" s="10"/>
      <c r="K1168" s="1127"/>
      <c r="L1168" s="10"/>
      <c r="M1168" s="10"/>
      <c r="N1168" s="10"/>
      <c r="O1168" s="10"/>
      <c r="P1168" s="10"/>
      <c r="Q1168" s="10"/>
      <c r="R1168" s="10"/>
      <c r="S1168" s="10"/>
    </row>
    <row r="1169" spans="10:19">
      <c r="J1169" s="10"/>
      <c r="K1169" s="1127"/>
      <c r="L1169" s="10"/>
      <c r="M1169" s="10"/>
      <c r="N1169" s="10"/>
      <c r="O1169" s="10"/>
      <c r="P1169" s="10"/>
      <c r="Q1169" s="10"/>
      <c r="R1169" s="10"/>
      <c r="S1169" s="10"/>
    </row>
    <row r="1170" spans="10:19">
      <c r="J1170" s="10"/>
      <c r="K1170" s="1127"/>
      <c r="L1170" s="10"/>
      <c r="M1170" s="10"/>
      <c r="N1170" s="10"/>
      <c r="O1170" s="10"/>
      <c r="P1170" s="10"/>
      <c r="Q1170" s="10"/>
      <c r="R1170" s="10"/>
      <c r="S1170" s="10"/>
    </row>
    <row r="1171" spans="10:19">
      <c r="J1171" s="10"/>
      <c r="K1171" s="1127"/>
      <c r="L1171" s="10"/>
      <c r="M1171" s="10"/>
      <c r="N1171" s="10"/>
      <c r="O1171" s="10"/>
      <c r="P1171" s="10"/>
      <c r="Q1171" s="10"/>
      <c r="R1171" s="10"/>
      <c r="S1171" s="10"/>
    </row>
    <row r="1172" spans="10:19">
      <c r="J1172" s="10"/>
      <c r="K1172" s="1127"/>
      <c r="L1172" s="10"/>
      <c r="M1172" s="10"/>
      <c r="N1172" s="10"/>
      <c r="O1172" s="10"/>
      <c r="P1172" s="10"/>
      <c r="Q1172" s="10"/>
      <c r="R1172" s="10"/>
      <c r="S1172" s="10"/>
    </row>
    <row r="1173" spans="10:19">
      <c r="J1173" s="10"/>
      <c r="K1173" s="1127"/>
      <c r="L1173" s="10"/>
      <c r="M1173" s="10"/>
      <c r="N1173" s="10"/>
      <c r="O1173" s="10"/>
      <c r="P1173" s="10"/>
      <c r="Q1173" s="10"/>
      <c r="R1173" s="10"/>
      <c r="S1173" s="10"/>
    </row>
    <row r="1174" spans="10:19">
      <c r="J1174" s="10"/>
      <c r="K1174" s="1127"/>
      <c r="L1174" s="10"/>
      <c r="M1174" s="10"/>
      <c r="N1174" s="10"/>
      <c r="O1174" s="10"/>
      <c r="P1174" s="10"/>
      <c r="Q1174" s="10"/>
      <c r="R1174" s="10"/>
      <c r="S1174" s="10"/>
    </row>
    <row r="1175" spans="10:19">
      <c r="J1175" s="10"/>
      <c r="K1175" s="1127"/>
      <c r="L1175" s="10"/>
      <c r="M1175" s="10"/>
      <c r="N1175" s="10"/>
      <c r="O1175" s="10"/>
      <c r="P1175" s="10"/>
      <c r="Q1175" s="10"/>
      <c r="R1175" s="10"/>
      <c r="S1175" s="10"/>
    </row>
    <row r="1176" spans="10:19">
      <c r="J1176" s="10"/>
      <c r="K1176" s="1127"/>
      <c r="L1176" s="10"/>
      <c r="M1176" s="10"/>
      <c r="N1176" s="10"/>
      <c r="O1176" s="10"/>
      <c r="P1176" s="10"/>
      <c r="Q1176" s="10"/>
      <c r="R1176" s="10"/>
      <c r="S1176" s="10"/>
    </row>
    <row r="1177" spans="10:19">
      <c r="J1177" s="10"/>
      <c r="K1177" s="1127"/>
      <c r="L1177" s="10"/>
      <c r="M1177" s="10"/>
      <c r="N1177" s="10"/>
      <c r="O1177" s="10"/>
      <c r="P1177" s="10"/>
      <c r="Q1177" s="10"/>
      <c r="R1177" s="10"/>
      <c r="S1177" s="10"/>
    </row>
    <row r="1178" spans="10:19">
      <c r="J1178" s="10"/>
      <c r="K1178" s="1127"/>
      <c r="L1178" s="10"/>
      <c r="M1178" s="10"/>
      <c r="N1178" s="10"/>
      <c r="O1178" s="10"/>
      <c r="P1178" s="10"/>
      <c r="Q1178" s="10"/>
      <c r="R1178" s="10"/>
      <c r="S1178" s="10"/>
    </row>
    <row r="1179" spans="10:19">
      <c r="J1179" s="10"/>
      <c r="K1179" s="1127"/>
      <c r="L1179" s="10"/>
      <c r="M1179" s="10"/>
      <c r="N1179" s="10"/>
      <c r="O1179" s="10"/>
      <c r="P1179" s="10"/>
      <c r="Q1179" s="10"/>
      <c r="R1179" s="10"/>
      <c r="S1179" s="10"/>
    </row>
    <row r="1180" spans="10:19">
      <c r="J1180" s="10"/>
      <c r="K1180" s="1127"/>
      <c r="L1180" s="10"/>
      <c r="M1180" s="10"/>
      <c r="N1180" s="10"/>
      <c r="O1180" s="10"/>
      <c r="P1180" s="10"/>
      <c r="Q1180" s="10"/>
      <c r="R1180" s="10"/>
      <c r="S1180" s="10"/>
    </row>
    <row r="1181" spans="10:19">
      <c r="J1181" s="10"/>
      <c r="K1181" s="1127"/>
      <c r="L1181" s="10"/>
      <c r="M1181" s="10"/>
      <c r="N1181" s="10"/>
      <c r="O1181" s="10"/>
      <c r="P1181" s="10"/>
      <c r="Q1181" s="10"/>
      <c r="R1181" s="10"/>
      <c r="S1181" s="10"/>
    </row>
    <row r="1182" spans="10:19">
      <c r="J1182" s="10"/>
      <c r="K1182" s="1127"/>
      <c r="L1182" s="10"/>
      <c r="M1182" s="10"/>
      <c r="N1182" s="10"/>
      <c r="O1182" s="10"/>
      <c r="P1182" s="10"/>
      <c r="Q1182" s="10"/>
      <c r="R1182" s="10"/>
      <c r="S1182" s="10"/>
    </row>
    <row r="1183" spans="10:19">
      <c r="J1183" s="10"/>
      <c r="K1183" s="1127"/>
      <c r="L1183" s="10"/>
      <c r="M1183" s="10"/>
      <c r="N1183" s="10"/>
      <c r="O1183" s="10"/>
      <c r="P1183" s="10"/>
      <c r="Q1183" s="10"/>
      <c r="R1183" s="10"/>
      <c r="S1183" s="10"/>
    </row>
    <row r="1184" spans="10:19">
      <c r="J1184" s="10"/>
      <c r="K1184" s="1127"/>
      <c r="L1184" s="10"/>
      <c r="M1184" s="10"/>
      <c r="N1184" s="10"/>
      <c r="O1184" s="10"/>
      <c r="P1184" s="10"/>
      <c r="Q1184" s="10"/>
      <c r="R1184" s="10"/>
      <c r="S1184" s="10"/>
    </row>
    <row r="1185" spans="10:19">
      <c r="J1185" s="10"/>
      <c r="K1185" s="1127"/>
      <c r="L1185" s="10"/>
      <c r="M1185" s="10"/>
      <c r="N1185" s="10"/>
      <c r="O1185" s="10"/>
      <c r="P1185" s="10"/>
      <c r="Q1185" s="10"/>
      <c r="R1185" s="10"/>
      <c r="S1185" s="10"/>
    </row>
    <row r="1186" spans="10:19">
      <c r="J1186" s="10"/>
      <c r="K1186" s="1127"/>
      <c r="L1186" s="10"/>
      <c r="M1186" s="10"/>
      <c r="N1186" s="10"/>
      <c r="O1186" s="10"/>
      <c r="P1186" s="10"/>
      <c r="Q1186" s="10"/>
      <c r="R1186" s="10"/>
      <c r="S1186" s="10"/>
    </row>
    <row r="1187" spans="10:19">
      <c r="J1187" s="10"/>
      <c r="K1187" s="1127"/>
      <c r="L1187" s="10"/>
      <c r="M1187" s="10"/>
      <c r="N1187" s="10"/>
      <c r="O1187" s="10"/>
      <c r="P1187" s="10"/>
      <c r="Q1187" s="10"/>
      <c r="R1187" s="10"/>
      <c r="S1187" s="10"/>
    </row>
    <row r="1188" spans="10:19">
      <c r="J1188" s="10"/>
      <c r="K1188" s="1127"/>
      <c r="L1188" s="10"/>
      <c r="M1188" s="10"/>
      <c r="N1188" s="10"/>
      <c r="O1188" s="10"/>
      <c r="P1188" s="10"/>
      <c r="Q1188" s="10"/>
      <c r="R1188" s="10"/>
      <c r="S1188" s="10"/>
    </row>
    <row r="1189" spans="10:19">
      <c r="J1189" s="10"/>
      <c r="K1189" s="1127"/>
      <c r="L1189" s="10"/>
      <c r="M1189" s="10"/>
      <c r="N1189" s="10"/>
      <c r="O1189" s="10"/>
      <c r="P1189" s="10"/>
      <c r="Q1189" s="10"/>
      <c r="R1189" s="10"/>
      <c r="S1189" s="10"/>
    </row>
    <row r="1190" spans="10:19">
      <c r="J1190" s="10"/>
      <c r="K1190" s="1127"/>
      <c r="L1190" s="10"/>
      <c r="M1190" s="10"/>
      <c r="N1190" s="10"/>
      <c r="O1190" s="10"/>
      <c r="P1190" s="10"/>
      <c r="Q1190" s="10"/>
      <c r="R1190" s="10"/>
      <c r="S1190" s="10"/>
    </row>
    <row r="1191" spans="10:19">
      <c r="J1191" s="10"/>
      <c r="K1191" s="1127"/>
      <c r="L1191" s="10"/>
      <c r="M1191" s="10"/>
      <c r="N1191" s="10"/>
      <c r="O1191" s="10"/>
      <c r="P1191" s="10"/>
      <c r="Q1191" s="10"/>
      <c r="R1191" s="10"/>
      <c r="S1191" s="10"/>
    </row>
    <row r="1192" spans="10:19">
      <c r="J1192" s="10"/>
      <c r="K1192" s="1127"/>
      <c r="L1192" s="10"/>
      <c r="M1192" s="10"/>
      <c r="N1192" s="10"/>
      <c r="O1192" s="10"/>
      <c r="P1192" s="10"/>
      <c r="Q1192" s="10"/>
      <c r="R1192" s="10"/>
      <c r="S1192" s="10"/>
    </row>
    <row r="1193" spans="10:19">
      <c r="J1193" s="10"/>
      <c r="K1193" s="1127"/>
      <c r="L1193" s="10"/>
      <c r="M1193" s="10"/>
      <c r="N1193" s="10"/>
      <c r="O1193" s="10"/>
      <c r="P1193" s="10"/>
      <c r="Q1193" s="10"/>
      <c r="R1193" s="10"/>
      <c r="S1193" s="10"/>
    </row>
    <row r="1194" spans="10:19">
      <c r="J1194" s="10"/>
      <c r="K1194" s="1127"/>
      <c r="L1194" s="10"/>
      <c r="M1194" s="10"/>
      <c r="N1194" s="10"/>
      <c r="O1194" s="10"/>
      <c r="P1194" s="10"/>
      <c r="Q1194" s="10"/>
      <c r="R1194" s="10"/>
      <c r="S1194" s="10"/>
    </row>
    <row r="1195" spans="10:19">
      <c r="J1195" s="10"/>
      <c r="K1195" s="1127"/>
      <c r="L1195" s="10"/>
      <c r="M1195" s="10"/>
      <c r="N1195" s="10"/>
      <c r="O1195" s="10"/>
      <c r="P1195" s="10"/>
      <c r="Q1195" s="10"/>
      <c r="R1195" s="10"/>
      <c r="S1195" s="10"/>
    </row>
    <row r="1196" spans="10:19">
      <c r="J1196" s="10"/>
      <c r="K1196" s="1127"/>
      <c r="L1196" s="10"/>
      <c r="M1196" s="10"/>
      <c r="N1196" s="10"/>
      <c r="O1196" s="10"/>
      <c r="P1196" s="10"/>
      <c r="Q1196" s="10"/>
      <c r="R1196" s="10"/>
      <c r="S1196" s="10"/>
    </row>
    <row r="1197" spans="10:19">
      <c r="J1197" s="10"/>
      <c r="K1197" s="1127"/>
      <c r="L1197" s="10"/>
      <c r="M1197" s="10"/>
      <c r="N1197" s="10"/>
      <c r="O1197" s="10"/>
      <c r="P1197" s="10"/>
      <c r="Q1197" s="10"/>
      <c r="R1197" s="10"/>
      <c r="S1197" s="10"/>
    </row>
    <row r="1198" spans="10:19">
      <c r="J1198" s="10"/>
      <c r="K1198" s="1127"/>
      <c r="L1198" s="10"/>
      <c r="M1198" s="10"/>
      <c r="N1198" s="10"/>
      <c r="O1198" s="10"/>
      <c r="P1198" s="10"/>
      <c r="Q1198" s="10"/>
      <c r="R1198" s="10"/>
      <c r="S1198" s="10"/>
    </row>
    <row r="1199" spans="10:19">
      <c r="J1199" s="10"/>
      <c r="K1199" s="1127"/>
      <c r="L1199" s="10"/>
      <c r="M1199" s="10"/>
      <c r="N1199" s="10"/>
      <c r="O1199" s="10"/>
      <c r="P1199" s="10"/>
      <c r="Q1199" s="10"/>
      <c r="R1199" s="10"/>
      <c r="S1199" s="10"/>
    </row>
    <row r="1200" spans="10:19">
      <c r="J1200" s="10"/>
      <c r="K1200" s="1127"/>
      <c r="L1200" s="10"/>
      <c r="M1200" s="10"/>
      <c r="N1200" s="10"/>
      <c r="O1200" s="10"/>
      <c r="P1200" s="10"/>
      <c r="Q1200" s="10"/>
      <c r="R1200" s="10"/>
      <c r="S1200" s="10"/>
    </row>
    <row r="1201" spans="10:19">
      <c r="J1201" s="10"/>
      <c r="K1201" s="1127"/>
      <c r="L1201" s="10"/>
      <c r="M1201" s="10"/>
      <c r="N1201" s="10"/>
      <c r="O1201" s="10"/>
      <c r="P1201" s="10"/>
      <c r="Q1201" s="10"/>
      <c r="R1201" s="10"/>
      <c r="S1201" s="10"/>
    </row>
    <row r="1202" spans="10:19">
      <c r="J1202" s="10"/>
      <c r="K1202" s="1127"/>
      <c r="L1202" s="10"/>
      <c r="M1202" s="10"/>
      <c r="N1202" s="10"/>
      <c r="O1202" s="10"/>
      <c r="P1202" s="10"/>
      <c r="Q1202" s="10"/>
      <c r="R1202" s="10"/>
      <c r="S1202" s="10"/>
    </row>
    <row r="1203" spans="10:19">
      <c r="J1203" s="10"/>
      <c r="K1203" s="1127"/>
      <c r="L1203" s="10"/>
      <c r="M1203" s="10"/>
      <c r="N1203" s="10"/>
      <c r="O1203" s="10"/>
      <c r="P1203" s="10"/>
      <c r="Q1203" s="10"/>
      <c r="R1203" s="10"/>
      <c r="S1203" s="10"/>
    </row>
    <row r="1204" spans="10:19">
      <c r="J1204" s="10"/>
      <c r="K1204" s="1127"/>
      <c r="L1204" s="10"/>
      <c r="M1204" s="10"/>
      <c r="N1204" s="10"/>
      <c r="O1204" s="10"/>
      <c r="P1204" s="10"/>
      <c r="Q1204" s="10"/>
      <c r="R1204" s="10"/>
      <c r="S1204" s="10"/>
    </row>
    <row r="1205" spans="10:19">
      <c r="J1205" s="10"/>
      <c r="K1205" s="1127"/>
      <c r="L1205" s="10"/>
      <c r="M1205" s="10"/>
      <c r="N1205" s="10"/>
      <c r="O1205" s="10"/>
      <c r="P1205" s="10"/>
      <c r="Q1205" s="10"/>
      <c r="R1205" s="10"/>
      <c r="S1205" s="10"/>
    </row>
    <row r="1206" spans="10:19">
      <c r="J1206" s="10"/>
      <c r="K1206" s="1127"/>
      <c r="L1206" s="10"/>
      <c r="M1206" s="10"/>
      <c r="N1206" s="10"/>
      <c r="O1206" s="10"/>
      <c r="P1206" s="10"/>
      <c r="Q1206" s="10"/>
      <c r="R1206" s="10"/>
      <c r="S1206" s="10"/>
    </row>
    <row r="1207" spans="10:19">
      <c r="J1207" s="10"/>
      <c r="K1207" s="1127"/>
      <c r="L1207" s="10"/>
      <c r="M1207" s="10"/>
      <c r="N1207" s="10"/>
      <c r="O1207" s="10"/>
      <c r="P1207" s="10"/>
      <c r="Q1207" s="10"/>
      <c r="R1207" s="10"/>
      <c r="S1207" s="10"/>
    </row>
    <row r="1208" spans="10:19">
      <c r="J1208" s="10"/>
      <c r="K1208" s="1127"/>
      <c r="L1208" s="10"/>
      <c r="M1208" s="10"/>
      <c r="N1208" s="10"/>
      <c r="O1208" s="10"/>
      <c r="P1208" s="10"/>
      <c r="Q1208" s="10"/>
      <c r="R1208" s="10"/>
      <c r="S1208" s="10"/>
    </row>
    <row r="1209" spans="10:19">
      <c r="J1209" s="10"/>
      <c r="K1209" s="1127"/>
      <c r="L1209" s="10"/>
      <c r="M1209" s="10"/>
      <c r="N1209" s="10"/>
      <c r="O1209" s="10"/>
      <c r="P1209" s="10"/>
      <c r="Q1209" s="10"/>
      <c r="R1209" s="10"/>
      <c r="S1209" s="10"/>
    </row>
    <row r="1210" spans="10:19">
      <c r="J1210" s="10"/>
      <c r="K1210" s="1127"/>
      <c r="L1210" s="10"/>
      <c r="M1210" s="10"/>
      <c r="N1210" s="10"/>
      <c r="O1210" s="10"/>
      <c r="P1210" s="10"/>
      <c r="Q1210" s="10"/>
      <c r="R1210" s="10"/>
      <c r="S1210" s="10"/>
    </row>
    <row r="1211" spans="10:19">
      <c r="J1211" s="10"/>
      <c r="K1211" s="1127"/>
      <c r="L1211" s="10"/>
      <c r="M1211" s="10"/>
      <c r="N1211" s="10"/>
      <c r="O1211" s="10"/>
      <c r="P1211" s="10"/>
      <c r="Q1211" s="10"/>
      <c r="R1211" s="10"/>
      <c r="S1211" s="10"/>
    </row>
    <row r="1212" spans="10:19">
      <c r="J1212" s="10"/>
      <c r="K1212" s="1127"/>
      <c r="L1212" s="10"/>
      <c r="M1212" s="10"/>
      <c r="N1212" s="10"/>
      <c r="O1212" s="10"/>
      <c r="P1212" s="10"/>
      <c r="Q1212" s="10"/>
      <c r="R1212" s="10"/>
      <c r="S1212" s="10"/>
    </row>
    <row r="1213" spans="10:19">
      <c r="J1213" s="10"/>
      <c r="K1213" s="1127"/>
      <c r="L1213" s="10"/>
      <c r="M1213" s="10"/>
      <c r="N1213" s="10"/>
      <c r="O1213" s="10"/>
      <c r="P1213" s="10"/>
      <c r="Q1213" s="10"/>
      <c r="R1213" s="10"/>
      <c r="S1213" s="10"/>
    </row>
    <row r="1214" spans="10:19">
      <c r="J1214" s="10"/>
      <c r="K1214" s="1127"/>
      <c r="L1214" s="10"/>
      <c r="M1214" s="10"/>
      <c r="N1214" s="10"/>
      <c r="O1214" s="10"/>
      <c r="P1214" s="10"/>
      <c r="Q1214" s="10"/>
      <c r="R1214" s="10"/>
      <c r="S1214" s="10"/>
    </row>
    <row r="1215" spans="10:19">
      <c r="J1215" s="10"/>
      <c r="K1215" s="1127"/>
      <c r="L1215" s="10"/>
      <c r="M1215" s="10"/>
      <c r="N1215" s="10"/>
      <c r="O1215" s="10"/>
      <c r="P1215" s="10"/>
      <c r="Q1215" s="10"/>
      <c r="R1215" s="10"/>
      <c r="S1215" s="10"/>
    </row>
    <row r="1216" spans="10:19">
      <c r="J1216" s="10"/>
      <c r="K1216" s="1127"/>
      <c r="L1216" s="10"/>
      <c r="M1216" s="10"/>
      <c r="N1216" s="10"/>
      <c r="O1216" s="10"/>
      <c r="P1216" s="10"/>
      <c r="Q1216" s="10"/>
      <c r="R1216" s="10"/>
      <c r="S1216" s="10"/>
    </row>
    <row r="1217" spans="10:19">
      <c r="J1217" s="10"/>
      <c r="K1217" s="1127"/>
      <c r="L1217" s="10"/>
      <c r="M1217" s="10"/>
      <c r="N1217" s="10"/>
      <c r="O1217" s="10"/>
      <c r="P1217" s="10"/>
      <c r="Q1217" s="10"/>
      <c r="R1217" s="10"/>
      <c r="S1217" s="10"/>
    </row>
    <row r="1218" spans="10:19">
      <c r="J1218" s="10"/>
      <c r="K1218" s="1127"/>
      <c r="L1218" s="10"/>
      <c r="M1218" s="10"/>
      <c r="N1218" s="10"/>
      <c r="O1218" s="10"/>
      <c r="P1218" s="10"/>
      <c r="Q1218" s="10"/>
      <c r="R1218" s="10"/>
      <c r="S1218" s="10"/>
    </row>
    <row r="1219" spans="10:19">
      <c r="J1219" s="10"/>
      <c r="K1219" s="1127"/>
      <c r="L1219" s="10"/>
      <c r="M1219" s="10"/>
      <c r="N1219" s="10"/>
      <c r="O1219" s="10"/>
      <c r="P1219" s="10"/>
      <c r="Q1219" s="10"/>
      <c r="R1219" s="10"/>
      <c r="S1219" s="10"/>
    </row>
    <row r="1220" spans="10:19">
      <c r="J1220" s="10"/>
      <c r="K1220" s="1127"/>
      <c r="L1220" s="10"/>
      <c r="M1220" s="10"/>
      <c r="N1220" s="10"/>
      <c r="O1220" s="10"/>
      <c r="P1220" s="10"/>
      <c r="Q1220" s="10"/>
      <c r="R1220" s="10"/>
      <c r="S1220" s="10"/>
    </row>
    <row r="1221" spans="10:19">
      <c r="J1221" s="10"/>
      <c r="K1221" s="1127"/>
      <c r="L1221" s="10"/>
      <c r="M1221" s="10"/>
      <c r="N1221" s="10"/>
      <c r="O1221" s="10"/>
      <c r="P1221" s="10"/>
      <c r="Q1221" s="10"/>
      <c r="R1221" s="10"/>
      <c r="S1221" s="10"/>
    </row>
    <row r="1222" spans="10:19">
      <c r="J1222" s="10"/>
      <c r="K1222" s="1127"/>
      <c r="L1222" s="10"/>
      <c r="M1222" s="10"/>
      <c r="N1222" s="10"/>
      <c r="O1222" s="10"/>
      <c r="P1222" s="10"/>
      <c r="Q1222" s="10"/>
      <c r="R1222" s="10"/>
      <c r="S1222" s="10"/>
    </row>
    <row r="1223" spans="10:19">
      <c r="J1223" s="10"/>
      <c r="K1223" s="1127"/>
      <c r="L1223" s="10"/>
      <c r="M1223" s="10"/>
      <c r="N1223" s="10"/>
      <c r="O1223" s="10"/>
      <c r="P1223" s="10"/>
      <c r="Q1223" s="10"/>
      <c r="R1223" s="10"/>
      <c r="S1223" s="10"/>
    </row>
    <row r="1224" spans="10:19">
      <c r="J1224" s="10"/>
      <c r="K1224" s="1127"/>
      <c r="L1224" s="10"/>
      <c r="M1224" s="10"/>
      <c r="N1224" s="10"/>
      <c r="O1224" s="10"/>
      <c r="P1224" s="10"/>
      <c r="Q1224" s="10"/>
      <c r="R1224" s="10"/>
      <c r="S1224" s="10"/>
    </row>
    <row r="1225" spans="10:19">
      <c r="J1225" s="10"/>
      <c r="K1225" s="1127"/>
      <c r="L1225" s="10"/>
      <c r="M1225" s="10"/>
      <c r="N1225" s="10"/>
      <c r="O1225" s="10"/>
      <c r="P1225" s="10"/>
      <c r="Q1225" s="10"/>
      <c r="R1225" s="10"/>
      <c r="S1225" s="10"/>
    </row>
    <row r="1226" spans="10:19">
      <c r="J1226" s="10"/>
      <c r="K1226" s="1127"/>
      <c r="L1226" s="10"/>
      <c r="M1226" s="10"/>
      <c r="N1226" s="10"/>
      <c r="O1226" s="10"/>
      <c r="P1226" s="10"/>
      <c r="Q1226" s="10"/>
      <c r="R1226" s="10"/>
      <c r="S1226" s="10"/>
    </row>
    <row r="1227" spans="10:19">
      <c r="J1227" s="10"/>
      <c r="K1227" s="1127"/>
      <c r="L1227" s="10"/>
      <c r="M1227" s="10"/>
      <c r="N1227" s="10"/>
      <c r="O1227" s="10"/>
      <c r="P1227" s="10"/>
      <c r="Q1227" s="10"/>
      <c r="R1227" s="10"/>
      <c r="S1227" s="10"/>
    </row>
    <row r="1228" spans="10:19">
      <c r="J1228" s="10"/>
      <c r="K1228" s="1127"/>
      <c r="L1228" s="10"/>
      <c r="M1228" s="10"/>
      <c r="N1228" s="10"/>
      <c r="O1228" s="10"/>
      <c r="P1228" s="10"/>
      <c r="Q1228" s="10"/>
      <c r="R1228" s="10"/>
      <c r="S1228" s="10"/>
    </row>
    <row r="1229" spans="10:19">
      <c r="J1229" s="10"/>
      <c r="K1229" s="1127"/>
      <c r="L1229" s="10"/>
      <c r="M1229" s="10"/>
      <c r="N1229" s="10"/>
      <c r="O1229" s="10"/>
      <c r="P1229" s="10"/>
      <c r="Q1229" s="10"/>
      <c r="R1229" s="10"/>
      <c r="S1229" s="10"/>
    </row>
    <row r="1230" spans="10:19">
      <c r="J1230" s="10"/>
      <c r="K1230" s="1127"/>
      <c r="L1230" s="10"/>
      <c r="M1230" s="10"/>
      <c r="N1230" s="10"/>
      <c r="O1230" s="10"/>
      <c r="P1230" s="10"/>
      <c r="Q1230" s="10"/>
      <c r="R1230" s="10"/>
      <c r="S1230" s="10"/>
    </row>
    <row r="1231" spans="10:19">
      <c r="J1231" s="10"/>
      <c r="K1231" s="1127"/>
      <c r="L1231" s="10"/>
      <c r="M1231" s="10"/>
      <c r="N1231" s="10"/>
      <c r="O1231" s="10"/>
      <c r="P1231" s="10"/>
      <c r="Q1231" s="10"/>
      <c r="R1231" s="10"/>
      <c r="S1231" s="10"/>
    </row>
    <row r="1232" spans="10:19">
      <c r="J1232" s="10"/>
      <c r="K1232" s="1127"/>
      <c r="L1232" s="10"/>
      <c r="M1232" s="10"/>
      <c r="N1232" s="10"/>
      <c r="O1232" s="10"/>
      <c r="P1232" s="10"/>
      <c r="Q1232" s="10"/>
      <c r="R1232" s="10"/>
      <c r="S1232" s="10"/>
    </row>
    <row r="1233" spans="10:19">
      <c r="J1233" s="10"/>
      <c r="K1233" s="1127"/>
      <c r="L1233" s="10"/>
      <c r="M1233" s="10"/>
      <c r="N1233" s="10"/>
      <c r="O1233" s="10"/>
      <c r="P1233" s="10"/>
      <c r="Q1233" s="10"/>
      <c r="R1233" s="10"/>
      <c r="S1233" s="10"/>
    </row>
    <row r="1234" spans="10:19">
      <c r="J1234" s="10"/>
      <c r="K1234" s="1127"/>
      <c r="L1234" s="10"/>
      <c r="M1234" s="10"/>
      <c r="N1234" s="10"/>
      <c r="O1234" s="10"/>
      <c r="P1234" s="10"/>
      <c r="Q1234" s="10"/>
      <c r="R1234" s="10"/>
      <c r="S1234" s="10"/>
    </row>
    <row r="1235" spans="10:19">
      <c r="J1235" s="10"/>
      <c r="K1235" s="1127"/>
      <c r="L1235" s="10"/>
      <c r="M1235" s="10"/>
      <c r="N1235" s="10"/>
      <c r="O1235" s="10"/>
      <c r="P1235" s="10"/>
      <c r="Q1235" s="10"/>
      <c r="R1235" s="10"/>
      <c r="S1235" s="10"/>
    </row>
    <row r="1236" spans="10:19">
      <c r="J1236" s="10"/>
      <c r="K1236" s="1127"/>
      <c r="L1236" s="10"/>
      <c r="M1236" s="10"/>
      <c r="N1236" s="10"/>
      <c r="O1236" s="10"/>
      <c r="P1236" s="10"/>
      <c r="Q1236" s="10"/>
      <c r="R1236" s="10"/>
      <c r="S1236" s="10"/>
    </row>
    <row r="1237" spans="10:19">
      <c r="J1237" s="10"/>
      <c r="K1237" s="1127"/>
      <c r="L1237" s="10"/>
      <c r="M1237" s="10"/>
      <c r="N1237" s="10"/>
      <c r="O1237" s="10"/>
      <c r="P1237" s="10"/>
      <c r="Q1237" s="10"/>
      <c r="R1237" s="10"/>
      <c r="S1237" s="10"/>
    </row>
    <row r="1238" spans="10:19">
      <c r="J1238" s="10"/>
      <c r="K1238" s="1127"/>
      <c r="L1238" s="10"/>
      <c r="M1238" s="10"/>
      <c r="N1238" s="10"/>
      <c r="O1238" s="10"/>
      <c r="P1238" s="10"/>
      <c r="Q1238" s="10"/>
      <c r="R1238" s="10"/>
      <c r="S1238" s="10"/>
    </row>
    <row r="1239" spans="10:19">
      <c r="J1239" s="10"/>
      <c r="K1239" s="1127"/>
      <c r="L1239" s="10"/>
      <c r="M1239" s="10"/>
      <c r="N1239" s="10"/>
      <c r="O1239" s="10"/>
      <c r="P1239" s="10"/>
      <c r="Q1239" s="10"/>
      <c r="R1239" s="10"/>
      <c r="S1239" s="10"/>
    </row>
    <row r="1240" spans="10:19">
      <c r="J1240" s="10"/>
      <c r="K1240" s="1127"/>
      <c r="L1240" s="10"/>
      <c r="M1240" s="10"/>
      <c r="N1240" s="10"/>
      <c r="O1240" s="10"/>
      <c r="P1240" s="10"/>
      <c r="Q1240" s="10"/>
      <c r="R1240" s="10"/>
      <c r="S1240" s="10"/>
    </row>
    <row r="1241" spans="10:19">
      <c r="J1241" s="10"/>
      <c r="K1241" s="1127"/>
      <c r="L1241" s="10"/>
      <c r="M1241" s="10"/>
      <c r="N1241" s="10"/>
      <c r="O1241" s="10"/>
      <c r="P1241" s="10"/>
      <c r="Q1241" s="10"/>
      <c r="R1241" s="10"/>
      <c r="S1241" s="10"/>
    </row>
    <row r="1242" spans="10:19">
      <c r="J1242" s="10"/>
      <c r="K1242" s="1127"/>
      <c r="L1242" s="10"/>
      <c r="M1242" s="10"/>
      <c r="N1242" s="10"/>
      <c r="O1242" s="10"/>
      <c r="P1242" s="10"/>
      <c r="Q1242" s="10"/>
      <c r="R1242" s="10"/>
      <c r="S1242" s="10"/>
    </row>
    <row r="1243" spans="10:19">
      <c r="J1243" s="10"/>
      <c r="K1243" s="1127"/>
      <c r="L1243" s="10"/>
      <c r="M1243" s="10"/>
      <c r="N1243" s="10"/>
      <c r="O1243" s="10"/>
      <c r="P1243" s="10"/>
      <c r="Q1243" s="10"/>
      <c r="R1243" s="10"/>
      <c r="S1243" s="10"/>
    </row>
    <row r="1244" spans="10:19">
      <c r="J1244" s="10"/>
      <c r="K1244" s="1127"/>
      <c r="L1244" s="10"/>
      <c r="M1244" s="10"/>
      <c r="N1244" s="10"/>
      <c r="O1244" s="10"/>
      <c r="P1244" s="10"/>
      <c r="Q1244" s="10"/>
      <c r="R1244" s="10"/>
      <c r="S1244" s="10"/>
    </row>
    <row r="1245" spans="10:19">
      <c r="J1245" s="10"/>
      <c r="K1245" s="1127"/>
      <c r="L1245" s="10"/>
      <c r="M1245" s="10"/>
      <c r="N1245" s="10"/>
      <c r="O1245" s="10"/>
      <c r="P1245" s="10"/>
      <c r="Q1245" s="10"/>
      <c r="R1245" s="10"/>
      <c r="S1245" s="10"/>
    </row>
    <row r="1246" spans="10:19">
      <c r="J1246" s="10"/>
      <c r="K1246" s="1127"/>
      <c r="L1246" s="10"/>
      <c r="M1246" s="10"/>
      <c r="N1246" s="10"/>
      <c r="O1246" s="10"/>
      <c r="P1246" s="10"/>
      <c r="Q1246" s="10"/>
      <c r="R1246" s="10"/>
      <c r="S1246" s="10"/>
    </row>
    <row r="1247" spans="10:19">
      <c r="J1247" s="10"/>
      <c r="K1247" s="1127"/>
      <c r="L1247" s="10"/>
      <c r="M1247" s="10"/>
      <c r="N1247" s="10"/>
      <c r="O1247" s="10"/>
      <c r="P1247" s="10"/>
      <c r="Q1247" s="10"/>
      <c r="R1247" s="10"/>
      <c r="S1247" s="10"/>
    </row>
    <row r="1248" spans="10:19">
      <c r="J1248" s="10"/>
      <c r="K1248" s="1127"/>
      <c r="L1248" s="10"/>
      <c r="M1248" s="10"/>
      <c r="N1248" s="10"/>
      <c r="O1248" s="10"/>
      <c r="P1248" s="10"/>
      <c r="Q1248" s="10"/>
      <c r="R1248" s="10"/>
      <c r="S1248" s="10"/>
    </row>
    <row r="1249" spans="10:19">
      <c r="J1249" s="10"/>
      <c r="K1249" s="1127"/>
      <c r="L1249" s="10"/>
      <c r="M1249" s="10"/>
      <c r="N1249" s="10"/>
      <c r="O1249" s="10"/>
      <c r="P1249" s="10"/>
      <c r="Q1249" s="10"/>
      <c r="R1249" s="10"/>
      <c r="S1249" s="10"/>
    </row>
    <row r="1250" spans="10:19">
      <c r="J1250" s="10"/>
      <c r="K1250" s="1127"/>
      <c r="L1250" s="10"/>
      <c r="M1250" s="10"/>
      <c r="N1250" s="10"/>
      <c r="O1250" s="10"/>
      <c r="P1250" s="10"/>
      <c r="Q1250" s="10"/>
      <c r="R1250" s="10"/>
      <c r="S1250" s="10"/>
    </row>
    <row r="1251" spans="10:19">
      <c r="J1251" s="10"/>
      <c r="K1251" s="1127"/>
      <c r="L1251" s="10"/>
      <c r="M1251" s="10"/>
      <c r="N1251" s="10"/>
      <c r="O1251" s="10"/>
      <c r="P1251" s="10"/>
      <c r="Q1251" s="10"/>
      <c r="R1251" s="10"/>
      <c r="S1251" s="10"/>
    </row>
    <row r="1252" spans="10:19">
      <c r="J1252" s="10"/>
      <c r="K1252" s="1127"/>
      <c r="L1252" s="10"/>
      <c r="M1252" s="10"/>
      <c r="N1252" s="10"/>
      <c r="O1252" s="10"/>
      <c r="P1252" s="10"/>
      <c r="Q1252" s="10"/>
      <c r="R1252" s="10"/>
      <c r="S1252" s="10"/>
    </row>
    <row r="1253" spans="10:19">
      <c r="J1253" s="10"/>
      <c r="K1253" s="1127"/>
      <c r="L1253" s="10"/>
      <c r="M1253" s="10"/>
      <c r="N1253" s="10"/>
      <c r="O1253" s="10"/>
      <c r="P1253" s="10"/>
      <c r="Q1253" s="10"/>
      <c r="R1253" s="10"/>
      <c r="S1253" s="10"/>
    </row>
    <row r="1254" spans="10:19">
      <c r="J1254" s="10"/>
      <c r="K1254" s="1127"/>
      <c r="L1254" s="10"/>
      <c r="M1254" s="10"/>
      <c r="N1254" s="10"/>
      <c r="O1254" s="10"/>
      <c r="P1254" s="10"/>
      <c r="Q1254" s="10"/>
      <c r="R1254" s="10"/>
      <c r="S1254" s="10"/>
    </row>
    <row r="1255" spans="10:19">
      <c r="J1255" s="10"/>
      <c r="K1255" s="1127"/>
      <c r="L1255" s="10"/>
      <c r="M1255" s="10"/>
      <c r="N1255" s="10"/>
      <c r="O1255" s="10"/>
      <c r="P1255" s="10"/>
      <c r="Q1255" s="10"/>
      <c r="R1255" s="10"/>
      <c r="S1255" s="10"/>
    </row>
    <row r="1256" spans="10:19">
      <c r="J1256" s="10"/>
      <c r="K1256" s="1127"/>
      <c r="L1256" s="10"/>
      <c r="M1256" s="10"/>
      <c r="N1256" s="10"/>
      <c r="O1256" s="10"/>
      <c r="P1256" s="10"/>
      <c r="Q1256" s="10"/>
      <c r="R1256" s="10"/>
      <c r="S1256" s="10"/>
    </row>
    <row r="1257" spans="10:19">
      <c r="J1257" s="10"/>
      <c r="K1257" s="1127"/>
      <c r="L1257" s="10"/>
      <c r="M1257" s="10"/>
      <c r="N1257" s="10"/>
      <c r="O1257" s="10"/>
      <c r="P1257" s="10"/>
      <c r="Q1257" s="10"/>
      <c r="R1257" s="10"/>
      <c r="S1257" s="10"/>
    </row>
    <row r="1258" spans="10:19">
      <c r="J1258" s="10"/>
      <c r="K1258" s="1127"/>
      <c r="L1258" s="10"/>
      <c r="M1258" s="10"/>
      <c r="N1258" s="10"/>
      <c r="O1258" s="10"/>
      <c r="P1258" s="10"/>
      <c r="Q1258" s="10"/>
      <c r="R1258" s="10"/>
      <c r="S1258" s="10"/>
    </row>
    <row r="1259" spans="10:19">
      <c r="J1259" s="10"/>
      <c r="K1259" s="1127"/>
      <c r="L1259" s="10"/>
      <c r="M1259" s="10"/>
      <c r="N1259" s="10"/>
      <c r="O1259" s="10"/>
      <c r="P1259" s="10"/>
      <c r="Q1259" s="10"/>
      <c r="R1259" s="10"/>
      <c r="S1259" s="10"/>
    </row>
    <row r="1260" spans="10:19">
      <c r="J1260" s="10"/>
      <c r="K1260" s="1127"/>
      <c r="L1260" s="10"/>
      <c r="M1260" s="10"/>
      <c r="N1260" s="10"/>
      <c r="O1260" s="10"/>
      <c r="P1260" s="10"/>
      <c r="Q1260" s="10"/>
      <c r="R1260" s="10"/>
      <c r="S1260" s="10"/>
    </row>
    <row r="1261" spans="10:19">
      <c r="J1261" s="10"/>
      <c r="K1261" s="1127"/>
      <c r="L1261" s="10"/>
      <c r="M1261" s="10"/>
      <c r="N1261" s="10"/>
      <c r="O1261" s="10"/>
      <c r="P1261" s="10"/>
      <c r="Q1261" s="10"/>
      <c r="R1261" s="10"/>
      <c r="S1261" s="10"/>
    </row>
    <row r="1262" spans="10:19">
      <c r="J1262" s="10"/>
      <c r="K1262" s="1127"/>
      <c r="L1262" s="10"/>
      <c r="M1262" s="10"/>
      <c r="N1262" s="10"/>
      <c r="O1262" s="10"/>
      <c r="P1262" s="10"/>
      <c r="Q1262" s="10"/>
      <c r="R1262" s="10"/>
      <c r="S1262" s="10"/>
    </row>
    <row r="1263" spans="10:19">
      <c r="J1263" s="10"/>
      <c r="K1263" s="1127"/>
      <c r="L1263" s="10"/>
      <c r="M1263" s="10"/>
      <c r="N1263" s="10"/>
      <c r="O1263" s="10"/>
      <c r="P1263" s="10"/>
      <c r="Q1263" s="10"/>
      <c r="R1263" s="10"/>
      <c r="S1263" s="10"/>
    </row>
    <row r="1264" spans="10:19">
      <c r="J1264" s="10"/>
      <c r="K1264" s="1127"/>
      <c r="L1264" s="10"/>
      <c r="M1264" s="10"/>
      <c r="N1264" s="10"/>
      <c r="O1264" s="10"/>
      <c r="P1264" s="10"/>
      <c r="Q1264" s="10"/>
      <c r="R1264" s="10"/>
      <c r="S1264" s="10"/>
    </row>
    <row r="1265" spans="10:19">
      <c r="J1265" s="10"/>
      <c r="K1265" s="1127"/>
      <c r="L1265" s="10"/>
      <c r="M1265" s="10"/>
      <c r="N1265" s="10"/>
      <c r="O1265" s="10"/>
      <c r="P1265" s="10"/>
      <c r="Q1265" s="10"/>
      <c r="R1265" s="10"/>
      <c r="S1265" s="10"/>
    </row>
    <row r="1266" spans="10:19">
      <c r="J1266" s="10"/>
      <c r="K1266" s="1127"/>
      <c r="L1266" s="10"/>
      <c r="M1266" s="10"/>
      <c r="N1266" s="10"/>
      <c r="O1266" s="10"/>
      <c r="P1266" s="10"/>
      <c r="Q1266" s="10"/>
      <c r="R1266" s="10"/>
      <c r="S1266" s="10"/>
    </row>
    <row r="1267" spans="10:19">
      <c r="J1267" s="10"/>
      <c r="K1267" s="1127"/>
      <c r="L1267" s="10"/>
      <c r="M1267" s="10"/>
      <c r="N1267" s="10"/>
      <c r="O1267" s="10"/>
      <c r="P1267" s="10"/>
      <c r="Q1267" s="10"/>
      <c r="R1267" s="10"/>
      <c r="S1267" s="10"/>
    </row>
    <row r="1268" spans="10:19">
      <c r="J1268" s="10"/>
      <c r="K1268" s="1127"/>
      <c r="L1268" s="10"/>
      <c r="M1268" s="10"/>
      <c r="N1268" s="10"/>
      <c r="O1268" s="10"/>
      <c r="P1268" s="10"/>
      <c r="Q1268" s="10"/>
      <c r="R1268" s="10"/>
      <c r="S1268" s="10"/>
    </row>
    <row r="1269" spans="10:19">
      <c r="J1269" s="10"/>
      <c r="K1269" s="1127"/>
      <c r="L1269" s="10"/>
      <c r="M1269" s="10"/>
      <c r="N1269" s="10"/>
      <c r="O1269" s="10"/>
      <c r="P1269" s="10"/>
      <c r="Q1269" s="10"/>
      <c r="R1269" s="10"/>
      <c r="S1269" s="10"/>
    </row>
    <row r="1270" spans="10:19">
      <c r="J1270" s="10"/>
      <c r="K1270" s="1127"/>
      <c r="L1270" s="10"/>
      <c r="M1270" s="10"/>
      <c r="N1270" s="10"/>
      <c r="O1270" s="10"/>
      <c r="P1270" s="10"/>
      <c r="Q1270" s="10"/>
      <c r="R1270" s="10"/>
      <c r="S1270" s="10"/>
    </row>
    <row r="1271" spans="10:19">
      <c r="J1271" s="10"/>
      <c r="K1271" s="1127"/>
      <c r="L1271" s="10"/>
      <c r="M1271" s="10"/>
      <c r="N1271" s="10"/>
      <c r="O1271" s="10"/>
      <c r="P1271" s="10"/>
      <c r="Q1271" s="10"/>
      <c r="R1271" s="10"/>
      <c r="S1271" s="10"/>
    </row>
    <row r="1272" spans="10:19">
      <c r="J1272" s="10"/>
      <c r="K1272" s="1127"/>
      <c r="L1272" s="10"/>
      <c r="M1272" s="10"/>
      <c r="N1272" s="10"/>
      <c r="O1272" s="10"/>
      <c r="P1272" s="10"/>
      <c r="Q1272" s="10"/>
      <c r="R1272" s="10"/>
      <c r="S1272" s="10"/>
    </row>
    <row r="1273" spans="10:19">
      <c r="J1273" s="10"/>
      <c r="K1273" s="1127"/>
      <c r="L1273" s="10"/>
      <c r="M1273" s="10"/>
      <c r="N1273" s="10"/>
      <c r="O1273" s="10"/>
      <c r="P1273" s="10"/>
      <c r="Q1273" s="10"/>
      <c r="R1273" s="10"/>
      <c r="S1273" s="10"/>
    </row>
    <row r="1274" spans="10:19">
      <c r="J1274" s="10"/>
      <c r="K1274" s="1127"/>
      <c r="L1274" s="10"/>
      <c r="M1274" s="10"/>
      <c r="N1274" s="10"/>
      <c r="O1274" s="10"/>
      <c r="P1274" s="10"/>
      <c r="Q1274" s="10"/>
      <c r="R1274" s="10"/>
      <c r="S1274" s="10"/>
    </row>
    <row r="1275" spans="10:19">
      <c r="J1275" s="10"/>
      <c r="K1275" s="1127"/>
      <c r="L1275" s="10"/>
      <c r="M1275" s="10"/>
      <c r="N1275" s="10"/>
      <c r="O1275" s="10"/>
      <c r="P1275" s="10"/>
      <c r="Q1275" s="10"/>
      <c r="R1275" s="10"/>
      <c r="S1275" s="10"/>
    </row>
    <row r="1276" spans="10:19">
      <c r="J1276" s="10"/>
      <c r="K1276" s="1127"/>
      <c r="L1276" s="10"/>
      <c r="M1276" s="10"/>
      <c r="N1276" s="10"/>
      <c r="O1276" s="10"/>
      <c r="P1276" s="10"/>
      <c r="Q1276" s="10"/>
      <c r="R1276" s="10"/>
      <c r="S1276" s="10"/>
    </row>
    <row r="1277" spans="10:19">
      <c r="J1277" s="10"/>
      <c r="K1277" s="1127"/>
      <c r="L1277" s="10"/>
      <c r="M1277" s="10"/>
      <c r="N1277" s="10"/>
      <c r="O1277" s="10"/>
      <c r="P1277" s="10"/>
      <c r="Q1277" s="10"/>
      <c r="R1277" s="10"/>
      <c r="S1277" s="10"/>
    </row>
    <row r="1278" spans="10:19">
      <c r="J1278" s="10"/>
      <c r="K1278" s="1127"/>
      <c r="L1278" s="10"/>
      <c r="M1278" s="10"/>
      <c r="N1278" s="10"/>
      <c r="O1278" s="10"/>
      <c r="P1278" s="10"/>
      <c r="Q1278" s="10"/>
      <c r="R1278" s="10"/>
      <c r="S1278" s="10"/>
    </row>
    <row r="1279" spans="10:19">
      <c r="J1279" s="10"/>
      <c r="K1279" s="1127"/>
      <c r="L1279" s="10"/>
      <c r="M1279" s="10"/>
      <c r="N1279" s="10"/>
      <c r="O1279" s="10"/>
      <c r="P1279" s="10"/>
      <c r="Q1279" s="10"/>
      <c r="R1279" s="10"/>
      <c r="S1279" s="10"/>
    </row>
    <row r="1280" spans="10:19">
      <c r="J1280" s="10"/>
      <c r="K1280" s="1127"/>
      <c r="L1280" s="10"/>
      <c r="M1280" s="10"/>
      <c r="N1280" s="10"/>
      <c r="O1280" s="10"/>
      <c r="P1280" s="10"/>
      <c r="Q1280" s="10"/>
      <c r="R1280" s="10"/>
      <c r="S1280" s="10"/>
    </row>
    <row r="1281" spans="10:19">
      <c r="J1281" s="10"/>
      <c r="K1281" s="1127"/>
      <c r="L1281" s="10"/>
      <c r="M1281" s="10"/>
      <c r="N1281" s="10"/>
      <c r="O1281" s="10"/>
      <c r="P1281" s="10"/>
      <c r="Q1281" s="10"/>
      <c r="R1281" s="10"/>
      <c r="S1281" s="10"/>
    </row>
    <row r="1282" spans="10:19">
      <c r="J1282" s="10"/>
      <c r="K1282" s="1127"/>
      <c r="L1282" s="10"/>
      <c r="M1282" s="10"/>
      <c r="N1282" s="10"/>
      <c r="O1282" s="10"/>
      <c r="P1282" s="10"/>
      <c r="Q1282" s="10"/>
      <c r="R1282" s="10"/>
      <c r="S1282" s="10"/>
    </row>
    <row r="1283" spans="10:19">
      <c r="J1283" s="10"/>
      <c r="K1283" s="1127"/>
      <c r="L1283" s="10"/>
      <c r="M1283" s="10"/>
      <c r="N1283" s="10"/>
      <c r="O1283" s="10"/>
      <c r="P1283" s="10"/>
      <c r="Q1283" s="10"/>
      <c r="R1283" s="10"/>
      <c r="S1283" s="10"/>
    </row>
    <row r="1284" spans="10:19">
      <c r="J1284" s="10"/>
      <c r="K1284" s="1127"/>
      <c r="L1284" s="10"/>
      <c r="M1284" s="10"/>
      <c r="N1284" s="10"/>
      <c r="O1284" s="10"/>
      <c r="P1284" s="10"/>
      <c r="Q1284" s="10"/>
      <c r="R1284" s="10"/>
      <c r="S1284" s="10"/>
    </row>
    <row r="1285" spans="10:19">
      <c r="J1285" s="10"/>
      <c r="K1285" s="1127"/>
      <c r="L1285" s="10"/>
      <c r="M1285" s="10"/>
      <c r="N1285" s="10"/>
      <c r="O1285" s="10"/>
      <c r="P1285" s="10"/>
      <c r="Q1285" s="10"/>
      <c r="R1285" s="10"/>
      <c r="S1285" s="10"/>
    </row>
    <row r="1286" spans="10:19">
      <c r="J1286" s="10"/>
      <c r="K1286" s="1127"/>
      <c r="L1286" s="10"/>
      <c r="M1286" s="10"/>
      <c r="N1286" s="10"/>
      <c r="O1286" s="10"/>
      <c r="P1286" s="10"/>
      <c r="Q1286" s="10"/>
      <c r="R1286" s="10"/>
      <c r="S1286" s="10"/>
    </row>
    <row r="1287" spans="10:19">
      <c r="J1287" s="10"/>
      <c r="K1287" s="1127"/>
      <c r="L1287" s="10"/>
      <c r="M1287" s="10"/>
      <c r="N1287" s="10"/>
      <c r="O1287" s="10"/>
      <c r="P1287" s="10"/>
      <c r="Q1287" s="10"/>
      <c r="R1287" s="10"/>
      <c r="S1287" s="10"/>
    </row>
    <row r="1288" spans="10:19">
      <c r="J1288" s="10"/>
      <c r="K1288" s="1127"/>
      <c r="L1288" s="10"/>
      <c r="M1288" s="10"/>
      <c r="N1288" s="10"/>
      <c r="O1288" s="10"/>
      <c r="P1288" s="10"/>
      <c r="Q1288" s="10"/>
      <c r="R1288" s="10"/>
      <c r="S1288" s="10"/>
    </row>
    <row r="1289" spans="10:19">
      <c r="J1289" s="10"/>
      <c r="K1289" s="1127"/>
      <c r="L1289" s="10"/>
      <c r="M1289" s="10"/>
      <c r="N1289" s="10"/>
      <c r="O1289" s="10"/>
      <c r="P1289" s="10"/>
      <c r="Q1289" s="10"/>
      <c r="R1289" s="10"/>
      <c r="S1289" s="10"/>
    </row>
    <row r="1290" spans="10:19">
      <c r="J1290" s="10"/>
      <c r="K1290" s="1127"/>
      <c r="L1290" s="10"/>
      <c r="M1290" s="10"/>
      <c r="N1290" s="10"/>
      <c r="O1290" s="10"/>
      <c r="P1290" s="10"/>
      <c r="Q1290" s="10"/>
      <c r="R1290" s="10"/>
      <c r="S1290" s="10"/>
    </row>
    <row r="1291" spans="10:19">
      <c r="J1291" s="10"/>
      <c r="K1291" s="1127"/>
      <c r="L1291" s="10"/>
      <c r="M1291" s="10"/>
      <c r="N1291" s="10"/>
      <c r="O1291" s="10"/>
      <c r="P1291" s="10"/>
      <c r="Q1291" s="10"/>
      <c r="R1291" s="10"/>
      <c r="S1291" s="10"/>
    </row>
    <row r="1292" spans="10:19">
      <c r="J1292" s="10"/>
      <c r="K1292" s="1127"/>
      <c r="L1292" s="10"/>
      <c r="M1292" s="10"/>
      <c r="N1292" s="10"/>
      <c r="O1292" s="10"/>
      <c r="P1292" s="10"/>
      <c r="Q1292" s="10"/>
      <c r="R1292" s="10"/>
      <c r="S1292" s="10"/>
    </row>
    <row r="1293" spans="10:19">
      <c r="J1293" s="10"/>
      <c r="K1293" s="1127"/>
      <c r="L1293" s="10"/>
      <c r="M1293" s="10"/>
      <c r="N1293" s="10"/>
      <c r="O1293" s="10"/>
      <c r="P1293" s="10"/>
      <c r="Q1293" s="10"/>
      <c r="R1293" s="10"/>
      <c r="S1293" s="10"/>
    </row>
    <row r="1294" spans="10:19">
      <c r="J1294" s="10"/>
      <c r="K1294" s="1127"/>
      <c r="L1294" s="10"/>
      <c r="M1294" s="10"/>
      <c r="N1294" s="10"/>
      <c r="O1294" s="10"/>
      <c r="P1294" s="10"/>
      <c r="Q1294" s="10"/>
      <c r="R1294" s="10"/>
      <c r="S1294" s="10"/>
    </row>
    <row r="1295" spans="10:19">
      <c r="J1295" s="10"/>
      <c r="K1295" s="1127"/>
      <c r="L1295" s="10"/>
      <c r="M1295" s="10"/>
      <c r="N1295" s="10"/>
      <c r="O1295" s="10"/>
      <c r="P1295" s="10"/>
      <c r="Q1295" s="10"/>
      <c r="R1295" s="10"/>
      <c r="S1295" s="10"/>
    </row>
    <row r="1296" spans="10:19">
      <c r="J1296" s="10"/>
      <c r="K1296" s="1127"/>
      <c r="L1296" s="10"/>
      <c r="M1296" s="10"/>
      <c r="N1296" s="10"/>
      <c r="O1296" s="10"/>
      <c r="P1296" s="10"/>
      <c r="Q1296" s="10"/>
      <c r="R1296" s="10"/>
      <c r="S1296" s="10"/>
    </row>
    <row r="1297" spans="10:19">
      <c r="J1297" s="10"/>
      <c r="K1297" s="1127"/>
      <c r="L1297" s="10"/>
      <c r="M1297" s="10"/>
      <c r="N1297" s="10"/>
      <c r="O1297" s="10"/>
      <c r="P1297" s="10"/>
      <c r="Q1297" s="10"/>
      <c r="R1297" s="10"/>
      <c r="S1297" s="10"/>
    </row>
    <row r="1298" spans="10:19">
      <c r="J1298" s="10"/>
      <c r="K1298" s="1127"/>
      <c r="L1298" s="10"/>
      <c r="M1298" s="10"/>
      <c r="N1298" s="10"/>
      <c r="O1298" s="10"/>
      <c r="P1298" s="10"/>
      <c r="Q1298" s="10"/>
      <c r="R1298" s="10"/>
      <c r="S1298" s="10"/>
    </row>
    <row r="1299" spans="10:19">
      <c r="J1299" s="10"/>
      <c r="K1299" s="1127"/>
      <c r="L1299" s="10"/>
      <c r="M1299" s="10"/>
      <c r="N1299" s="10"/>
      <c r="O1299" s="10"/>
      <c r="P1299" s="10"/>
      <c r="Q1299" s="10"/>
      <c r="R1299" s="10"/>
      <c r="S1299" s="10"/>
    </row>
    <row r="1300" spans="10:19">
      <c r="J1300" s="10"/>
      <c r="K1300" s="1127"/>
      <c r="L1300" s="10"/>
      <c r="M1300" s="10"/>
      <c r="N1300" s="10"/>
      <c r="O1300" s="10"/>
      <c r="P1300" s="10"/>
      <c r="Q1300" s="10"/>
      <c r="R1300" s="10"/>
      <c r="S1300" s="10"/>
    </row>
    <row r="1301" spans="10:19">
      <c r="J1301" s="10"/>
      <c r="K1301" s="1127"/>
      <c r="L1301" s="10"/>
      <c r="M1301" s="10"/>
      <c r="N1301" s="10"/>
      <c r="O1301" s="10"/>
      <c r="P1301" s="10"/>
      <c r="Q1301" s="10"/>
      <c r="R1301" s="10"/>
      <c r="S1301" s="10"/>
    </row>
    <row r="1302" spans="10:19">
      <c r="J1302" s="10"/>
      <c r="K1302" s="1127"/>
      <c r="L1302" s="10"/>
      <c r="M1302" s="10"/>
      <c r="N1302" s="10"/>
      <c r="O1302" s="10"/>
      <c r="P1302" s="10"/>
      <c r="Q1302" s="10"/>
      <c r="R1302" s="10"/>
      <c r="S1302" s="10"/>
    </row>
    <row r="1303" spans="10:19">
      <c r="J1303" s="10"/>
      <c r="K1303" s="1127"/>
      <c r="L1303" s="10"/>
      <c r="M1303" s="10"/>
      <c r="N1303" s="10"/>
      <c r="O1303" s="10"/>
      <c r="P1303" s="10"/>
      <c r="Q1303" s="10"/>
      <c r="R1303" s="10"/>
      <c r="S1303" s="10"/>
    </row>
    <row r="1304" spans="10:19">
      <c r="J1304" s="10"/>
      <c r="K1304" s="1127"/>
      <c r="L1304" s="10"/>
      <c r="M1304" s="10"/>
      <c r="N1304" s="10"/>
      <c r="O1304" s="10"/>
      <c r="P1304" s="10"/>
      <c r="Q1304" s="10"/>
      <c r="R1304" s="10"/>
      <c r="S1304" s="10"/>
    </row>
    <row r="1305" spans="10:19">
      <c r="J1305" s="10"/>
      <c r="K1305" s="1127"/>
      <c r="L1305" s="10"/>
      <c r="M1305" s="10"/>
      <c r="N1305" s="10"/>
      <c r="O1305" s="10"/>
      <c r="P1305" s="10"/>
      <c r="Q1305" s="10"/>
      <c r="R1305" s="10"/>
      <c r="S1305" s="10"/>
    </row>
    <row r="1306" spans="10:19">
      <c r="J1306" s="10"/>
      <c r="K1306" s="1127"/>
      <c r="L1306" s="10"/>
      <c r="M1306" s="10"/>
      <c r="N1306" s="10"/>
      <c r="O1306" s="10"/>
      <c r="P1306" s="10"/>
      <c r="Q1306" s="10"/>
      <c r="R1306" s="10"/>
      <c r="S1306" s="10"/>
    </row>
    <row r="1307" spans="10:19">
      <c r="J1307" s="10"/>
      <c r="K1307" s="1127"/>
      <c r="L1307" s="10"/>
      <c r="M1307" s="10"/>
      <c r="N1307" s="10"/>
      <c r="O1307" s="10"/>
      <c r="P1307" s="10"/>
      <c r="Q1307" s="10"/>
      <c r="R1307" s="10"/>
      <c r="S1307" s="10"/>
    </row>
    <row r="1308" spans="10:19">
      <c r="J1308" s="10"/>
      <c r="K1308" s="1127"/>
      <c r="L1308" s="10"/>
      <c r="M1308" s="10"/>
      <c r="N1308" s="10"/>
      <c r="O1308" s="10"/>
      <c r="P1308" s="10"/>
      <c r="Q1308" s="10"/>
      <c r="R1308" s="10"/>
      <c r="S1308" s="10"/>
    </row>
    <row r="1309" spans="10:19">
      <c r="J1309" s="10"/>
      <c r="K1309" s="1127"/>
      <c r="L1309" s="10"/>
      <c r="M1309" s="10"/>
      <c r="N1309" s="10"/>
      <c r="O1309" s="10"/>
      <c r="P1309" s="10"/>
      <c r="Q1309" s="10"/>
      <c r="R1309" s="10"/>
      <c r="S1309" s="10"/>
    </row>
    <row r="1310" spans="10:19">
      <c r="J1310" s="10"/>
      <c r="K1310" s="1127"/>
      <c r="L1310" s="10"/>
      <c r="M1310" s="10"/>
      <c r="N1310" s="10"/>
      <c r="O1310" s="10"/>
      <c r="P1310" s="10"/>
      <c r="Q1310" s="10"/>
      <c r="R1310" s="10"/>
      <c r="S1310" s="10"/>
    </row>
    <row r="1311" spans="10:19">
      <c r="J1311" s="10"/>
      <c r="K1311" s="1127"/>
      <c r="L1311" s="10"/>
      <c r="M1311" s="10"/>
      <c r="N1311" s="10"/>
      <c r="O1311" s="10"/>
      <c r="P1311" s="10"/>
      <c r="Q1311" s="10"/>
      <c r="R1311" s="10"/>
      <c r="S1311" s="10"/>
    </row>
    <row r="1312" spans="10:19">
      <c r="J1312" s="10"/>
      <c r="K1312" s="1127"/>
      <c r="L1312" s="10"/>
      <c r="M1312" s="10"/>
      <c r="N1312" s="10"/>
      <c r="O1312" s="10"/>
      <c r="P1312" s="10"/>
      <c r="Q1312" s="10"/>
      <c r="R1312" s="10"/>
      <c r="S1312" s="10"/>
    </row>
    <row r="1313" spans="10:19">
      <c r="J1313" s="10"/>
      <c r="K1313" s="1127"/>
      <c r="L1313" s="10"/>
      <c r="M1313" s="10"/>
      <c r="N1313" s="10"/>
      <c r="O1313" s="10"/>
      <c r="P1313" s="10"/>
      <c r="Q1313" s="10"/>
      <c r="R1313" s="10"/>
      <c r="S1313" s="10"/>
    </row>
    <row r="1314" spans="10:19">
      <c r="J1314" s="10"/>
      <c r="K1314" s="1127"/>
      <c r="L1314" s="10"/>
      <c r="M1314" s="10"/>
      <c r="N1314" s="10"/>
      <c r="O1314" s="10"/>
      <c r="P1314" s="10"/>
      <c r="Q1314" s="10"/>
      <c r="R1314" s="10"/>
      <c r="S1314" s="10"/>
    </row>
    <row r="1315" spans="10:19">
      <c r="J1315" s="10"/>
      <c r="K1315" s="1127"/>
      <c r="L1315" s="10"/>
      <c r="M1315" s="10"/>
      <c r="N1315" s="10"/>
      <c r="O1315" s="10"/>
      <c r="P1315" s="10"/>
      <c r="Q1315" s="10"/>
      <c r="R1315" s="10"/>
      <c r="S1315" s="10"/>
    </row>
    <row r="1316" spans="10:19">
      <c r="J1316" s="10"/>
      <c r="K1316" s="1127"/>
      <c r="L1316" s="10"/>
      <c r="M1316" s="10"/>
      <c r="N1316" s="10"/>
      <c r="O1316" s="10"/>
      <c r="P1316" s="10"/>
      <c r="Q1316" s="10"/>
      <c r="R1316" s="10"/>
      <c r="S1316" s="10"/>
    </row>
    <row r="1317" spans="10:19">
      <c r="J1317" s="10"/>
      <c r="K1317" s="1127"/>
      <c r="L1317" s="10"/>
      <c r="M1317" s="10"/>
      <c r="N1317" s="10"/>
      <c r="O1317" s="10"/>
      <c r="P1317" s="10"/>
      <c r="Q1317" s="10"/>
      <c r="R1317" s="10"/>
      <c r="S1317" s="10"/>
    </row>
    <row r="1318" spans="10:19">
      <c r="J1318" s="10"/>
      <c r="K1318" s="1127"/>
      <c r="L1318" s="10"/>
      <c r="M1318" s="10"/>
      <c r="N1318" s="10"/>
      <c r="O1318" s="10"/>
      <c r="P1318" s="10"/>
      <c r="Q1318" s="10"/>
      <c r="R1318" s="10"/>
      <c r="S1318" s="10"/>
    </row>
    <row r="1319" spans="10:19">
      <c r="J1319" s="10"/>
      <c r="K1319" s="1127"/>
      <c r="L1319" s="10"/>
      <c r="M1319" s="10"/>
      <c r="N1319" s="10"/>
      <c r="O1319" s="10"/>
      <c r="P1319" s="10"/>
      <c r="Q1319" s="10"/>
      <c r="R1319" s="10"/>
      <c r="S1319" s="10"/>
    </row>
    <row r="1320" spans="10:19">
      <c r="J1320" s="10"/>
      <c r="K1320" s="1127"/>
      <c r="L1320" s="10"/>
      <c r="M1320" s="10"/>
      <c r="N1320" s="10"/>
      <c r="O1320" s="10"/>
      <c r="P1320" s="10"/>
      <c r="Q1320" s="10"/>
      <c r="R1320" s="10"/>
      <c r="S1320" s="10"/>
    </row>
    <row r="1321" spans="10:19">
      <c r="J1321" s="10"/>
      <c r="K1321" s="1127"/>
      <c r="L1321" s="10"/>
      <c r="M1321" s="10"/>
      <c r="N1321" s="10"/>
      <c r="O1321" s="10"/>
      <c r="P1321" s="10"/>
      <c r="Q1321" s="10"/>
      <c r="R1321" s="10"/>
      <c r="S1321" s="10"/>
    </row>
    <row r="1322" spans="10:19">
      <c r="J1322" s="10"/>
      <c r="K1322" s="1127"/>
      <c r="L1322" s="10"/>
      <c r="M1322" s="10"/>
      <c r="N1322" s="10"/>
      <c r="O1322" s="10"/>
      <c r="P1322" s="10"/>
      <c r="Q1322" s="10"/>
      <c r="R1322" s="10"/>
      <c r="S1322" s="10"/>
    </row>
    <row r="1323" spans="10:19">
      <c r="J1323" s="10"/>
      <c r="K1323" s="1127"/>
      <c r="L1323" s="10"/>
      <c r="M1323" s="10"/>
      <c r="N1323" s="10"/>
      <c r="O1323" s="10"/>
      <c r="P1323" s="10"/>
      <c r="Q1323" s="10"/>
      <c r="R1323" s="10"/>
      <c r="S1323" s="10"/>
    </row>
    <row r="1324" spans="10:19">
      <c r="J1324" s="10"/>
      <c r="K1324" s="1127"/>
      <c r="L1324" s="10"/>
      <c r="M1324" s="10"/>
      <c r="N1324" s="10"/>
      <c r="O1324" s="10"/>
      <c r="P1324" s="10"/>
      <c r="Q1324" s="10"/>
      <c r="R1324" s="10"/>
      <c r="S1324" s="10"/>
    </row>
    <row r="1325" spans="10:19">
      <c r="J1325" s="10"/>
      <c r="K1325" s="1127"/>
      <c r="L1325" s="10"/>
      <c r="M1325" s="10"/>
      <c r="N1325" s="10"/>
      <c r="O1325" s="10"/>
      <c r="P1325" s="10"/>
      <c r="Q1325" s="10"/>
      <c r="R1325" s="10"/>
      <c r="S1325" s="10"/>
    </row>
    <row r="1326" spans="10:19">
      <c r="J1326" s="10"/>
      <c r="K1326" s="1127"/>
      <c r="L1326" s="10"/>
      <c r="M1326" s="10"/>
      <c r="N1326" s="10"/>
      <c r="O1326" s="10"/>
      <c r="P1326" s="10"/>
      <c r="Q1326" s="10"/>
      <c r="R1326" s="10"/>
      <c r="S1326" s="10"/>
    </row>
    <row r="1327" spans="10:19">
      <c r="J1327" s="10"/>
      <c r="K1327" s="1127"/>
      <c r="L1327" s="10"/>
      <c r="M1327" s="10"/>
      <c r="N1327" s="10"/>
      <c r="O1327" s="10"/>
      <c r="P1327" s="10"/>
      <c r="Q1327" s="10"/>
      <c r="R1327" s="10"/>
      <c r="S1327" s="10"/>
    </row>
    <row r="1328" spans="10:19">
      <c r="J1328" s="10"/>
      <c r="K1328" s="1127"/>
      <c r="L1328" s="10"/>
      <c r="M1328" s="10"/>
      <c r="N1328" s="10"/>
      <c r="O1328" s="10"/>
      <c r="P1328" s="10"/>
      <c r="Q1328" s="10"/>
      <c r="R1328" s="10"/>
      <c r="S1328" s="10"/>
    </row>
    <row r="1329" spans="10:19">
      <c r="J1329" s="10"/>
      <c r="K1329" s="1127"/>
      <c r="L1329" s="10"/>
      <c r="M1329" s="10"/>
      <c r="N1329" s="10"/>
      <c r="O1329" s="10"/>
      <c r="P1329" s="10"/>
      <c r="Q1329" s="10"/>
      <c r="R1329" s="10"/>
      <c r="S1329" s="10"/>
    </row>
    <row r="1330" spans="10:19">
      <c r="J1330" s="10"/>
      <c r="K1330" s="1127"/>
      <c r="L1330" s="10"/>
      <c r="M1330" s="10"/>
      <c r="N1330" s="10"/>
      <c r="O1330" s="10"/>
      <c r="P1330" s="10"/>
      <c r="Q1330" s="10"/>
      <c r="R1330" s="10"/>
      <c r="S1330" s="10"/>
    </row>
    <row r="1331" spans="10:19">
      <c r="J1331" s="10"/>
      <c r="K1331" s="1127"/>
      <c r="L1331" s="10"/>
      <c r="M1331" s="10"/>
      <c r="N1331" s="10"/>
      <c r="O1331" s="10"/>
      <c r="P1331" s="10"/>
      <c r="Q1331" s="10"/>
      <c r="R1331" s="10"/>
      <c r="S1331" s="10"/>
    </row>
    <row r="1332" spans="10:19">
      <c r="J1332" s="10"/>
      <c r="K1332" s="1127"/>
      <c r="L1332" s="10"/>
      <c r="M1332" s="10"/>
      <c r="N1332" s="10"/>
      <c r="O1332" s="10"/>
      <c r="P1332" s="10"/>
      <c r="Q1332" s="10"/>
      <c r="R1332" s="10"/>
      <c r="S1332" s="10"/>
    </row>
    <row r="1333" spans="10:19">
      <c r="J1333" s="10"/>
      <c r="K1333" s="1127"/>
      <c r="L1333" s="10"/>
      <c r="M1333" s="10"/>
      <c r="N1333" s="10"/>
      <c r="O1333" s="10"/>
      <c r="P1333" s="10"/>
      <c r="Q1333" s="10"/>
      <c r="R1333" s="10"/>
      <c r="S1333" s="10"/>
    </row>
    <row r="1334" spans="10:19">
      <c r="J1334" s="10"/>
      <c r="K1334" s="1127"/>
      <c r="L1334" s="10"/>
      <c r="M1334" s="10"/>
      <c r="N1334" s="10"/>
      <c r="O1334" s="10"/>
      <c r="P1334" s="10"/>
      <c r="Q1334" s="10"/>
      <c r="R1334" s="10"/>
      <c r="S1334" s="10"/>
    </row>
    <row r="1335" spans="10:19">
      <c r="J1335" s="10"/>
      <c r="K1335" s="1127"/>
      <c r="L1335" s="10"/>
      <c r="M1335" s="10"/>
      <c r="N1335" s="10"/>
      <c r="O1335" s="10"/>
      <c r="P1335" s="10"/>
      <c r="Q1335" s="10"/>
      <c r="R1335" s="10"/>
      <c r="S1335" s="10"/>
    </row>
    <row r="1336" spans="10:19">
      <c r="J1336" s="10"/>
      <c r="K1336" s="1127"/>
      <c r="L1336" s="10"/>
      <c r="M1336" s="10"/>
      <c r="N1336" s="10"/>
      <c r="O1336" s="10"/>
      <c r="P1336" s="10"/>
      <c r="Q1336" s="10"/>
      <c r="R1336" s="10"/>
      <c r="S1336" s="10"/>
    </row>
    <row r="1337" spans="10:19">
      <c r="J1337" s="10"/>
      <c r="K1337" s="1127"/>
      <c r="L1337" s="10"/>
      <c r="M1337" s="10"/>
      <c r="N1337" s="10"/>
      <c r="O1337" s="10"/>
      <c r="P1337" s="10"/>
      <c r="Q1337" s="10"/>
      <c r="R1337" s="10"/>
      <c r="S1337" s="10"/>
    </row>
    <row r="1338" spans="10:19">
      <c r="J1338" s="10"/>
      <c r="K1338" s="1127"/>
      <c r="L1338" s="10"/>
      <c r="M1338" s="10"/>
      <c r="N1338" s="10"/>
      <c r="O1338" s="10"/>
      <c r="P1338" s="10"/>
      <c r="Q1338" s="10"/>
      <c r="R1338" s="10"/>
      <c r="S1338" s="10"/>
    </row>
    <row r="1339" spans="10:19">
      <c r="J1339" s="10"/>
      <c r="K1339" s="1127"/>
      <c r="L1339" s="10"/>
      <c r="M1339" s="10"/>
      <c r="N1339" s="10"/>
      <c r="O1339" s="10"/>
      <c r="P1339" s="10"/>
      <c r="Q1339" s="10"/>
      <c r="R1339" s="10"/>
      <c r="S1339" s="10"/>
    </row>
    <row r="1340" spans="10:19">
      <c r="J1340" s="10"/>
      <c r="K1340" s="1127"/>
      <c r="L1340" s="10"/>
      <c r="M1340" s="10"/>
      <c r="N1340" s="10"/>
      <c r="O1340" s="10"/>
      <c r="P1340" s="10"/>
      <c r="Q1340" s="10"/>
      <c r="R1340" s="10"/>
      <c r="S1340" s="10"/>
    </row>
    <row r="1341" spans="10:19">
      <c r="J1341" s="10"/>
      <c r="K1341" s="1127"/>
      <c r="L1341" s="10"/>
      <c r="M1341" s="10"/>
      <c r="N1341" s="10"/>
      <c r="O1341" s="10"/>
      <c r="P1341" s="10"/>
      <c r="Q1341" s="10"/>
      <c r="R1341" s="10"/>
      <c r="S1341" s="10"/>
    </row>
    <row r="1342" spans="10:19">
      <c r="J1342" s="10"/>
      <c r="K1342" s="1127"/>
      <c r="L1342" s="10"/>
      <c r="M1342" s="10"/>
      <c r="N1342" s="10"/>
      <c r="O1342" s="10"/>
      <c r="P1342" s="10"/>
      <c r="Q1342" s="10"/>
      <c r="R1342" s="10"/>
      <c r="S1342" s="10"/>
    </row>
    <row r="1343" spans="10:19">
      <c r="J1343" s="10"/>
      <c r="K1343" s="1127"/>
      <c r="L1343" s="10"/>
      <c r="M1343" s="10"/>
      <c r="N1343" s="10"/>
      <c r="O1343" s="10"/>
      <c r="P1343" s="10"/>
      <c r="Q1343" s="10"/>
      <c r="R1343" s="10"/>
      <c r="S1343" s="10"/>
    </row>
    <row r="1344" spans="10:19">
      <c r="J1344" s="10"/>
      <c r="K1344" s="1127"/>
      <c r="L1344" s="10"/>
      <c r="M1344" s="10"/>
      <c r="N1344" s="10"/>
      <c r="O1344" s="10"/>
      <c r="P1344" s="10"/>
      <c r="Q1344" s="10"/>
      <c r="R1344" s="10"/>
      <c r="S1344" s="10"/>
    </row>
    <row r="1345" spans="10:19">
      <c r="J1345" s="10"/>
      <c r="K1345" s="1127"/>
      <c r="L1345" s="10"/>
      <c r="M1345" s="10"/>
      <c r="N1345" s="10"/>
      <c r="O1345" s="10"/>
      <c r="P1345" s="10"/>
      <c r="Q1345" s="10"/>
      <c r="R1345" s="10"/>
      <c r="S1345" s="10"/>
    </row>
    <row r="1346" spans="10:19">
      <c r="J1346" s="10"/>
      <c r="K1346" s="1127"/>
      <c r="L1346" s="10"/>
      <c r="M1346" s="10"/>
      <c r="N1346" s="10"/>
      <c r="O1346" s="10"/>
      <c r="P1346" s="10"/>
      <c r="Q1346" s="10"/>
      <c r="R1346" s="10"/>
      <c r="S1346" s="10"/>
    </row>
    <row r="1347" spans="10:19">
      <c r="J1347" s="10"/>
      <c r="K1347" s="1127"/>
      <c r="L1347" s="10"/>
      <c r="M1347" s="10"/>
      <c r="N1347" s="10"/>
      <c r="O1347" s="10"/>
      <c r="P1347" s="10"/>
      <c r="Q1347" s="10"/>
      <c r="R1347" s="10"/>
      <c r="S1347" s="10"/>
    </row>
    <row r="1348" spans="10:19">
      <c r="J1348" s="10"/>
      <c r="K1348" s="1127"/>
      <c r="L1348" s="10"/>
      <c r="M1348" s="10"/>
      <c r="N1348" s="10"/>
      <c r="O1348" s="10"/>
      <c r="P1348" s="10"/>
      <c r="Q1348" s="10"/>
      <c r="R1348" s="10"/>
      <c r="S1348" s="10"/>
    </row>
    <row r="1349" spans="10:19">
      <c r="J1349" s="10"/>
      <c r="K1349" s="1127"/>
      <c r="L1349" s="10"/>
      <c r="M1349" s="10"/>
      <c r="N1349" s="10"/>
      <c r="O1349" s="10"/>
      <c r="P1349" s="10"/>
      <c r="Q1349" s="10"/>
      <c r="R1349" s="10"/>
      <c r="S1349" s="10"/>
    </row>
    <row r="1350" spans="10:19">
      <c r="J1350" s="10"/>
      <c r="K1350" s="1127"/>
      <c r="L1350" s="10"/>
      <c r="M1350" s="10"/>
      <c r="N1350" s="10"/>
      <c r="O1350" s="10"/>
      <c r="P1350" s="10"/>
      <c r="Q1350" s="10"/>
      <c r="R1350" s="10"/>
      <c r="S1350" s="10"/>
    </row>
    <row r="1351" spans="10:19">
      <c r="J1351" s="10"/>
      <c r="K1351" s="1127"/>
      <c r="L1351" s="10"/>
      <c r="M1351" s="10"/>
      <c r="N1351" s="10"/>
      <c r="O1351" s="10"/>
      <c r="P1351" s="10"/>
      <c r="Q1351" s="10"/>
      <c r="R1351" s="10"/>
      <c r="S1351" s="10"/>
    </row>
    <row r="1352" spans="10:19">
      <c r="J1352" s="10"/>
      <c r="K1352" s="1127"/>
      <c r="L1352" s="10"/>
      <c r="M1352" s="10"/>
      <c r="N1352" s="10"/>
      <c r="O1352" s="10"/>
      <c r="P1352" s="10"/>
      <c r="Q1352" s="10"/>
      <c r="R1352" s="10"/>
      <c r="S1352" s="10"/>
    </row>
    <row r="1353" spans="10:19">
      <c r="J1353" s="10"/>
      <c r="K1353" s="1127"/>
      <c r="L1353" s="10"/>
      <c r="M1353" s="10"/>
      <c r="N1353" s="10"/>
      <c r="O1353" s="10"/>
      <c r="P1353" s="10"/>
      <c r="Q1353" s="10"/>
      <c r="R1353" s="10"/>
      <c r="S1353" s="10"/>
    </row>
    <row r="1354" spans="10:19">
      <c r="J1354" s="10"/>
      <c r="K1354" s="1127"/>
      <c r="L1354" s="10"/>
      <c r="M1354" s="10"/>
      <c r="N1354" s="10"/>
      <c r="O1354" s="10"/>
      <c r="P1354" s="10"/>
      <c r="Q1354" s="10"/>
      <c r="R1354" s="10"/>
      <c r="S1354" s="10"/>
    </row>
    <row r="1355" spans="10:19">
      <c r="J1355" s="10"/>
      <c r="K1355" s="1127"/>
      <c r="L1355" s="10"/>
      <c r="M1355" s="10"/>
      <c r="N1355" s="10"/>
      <c r="O1355" s="10"/>
      <c r="P1355" s="10"/>
      <c r="Q1355" s="10"/>
      <c r="R1355" s="10"/>
      <c r="S1355" s="10"/>
    </row>
    <row r="1356" spans="10:19">
      <c r="J1356" s="10"/>
      <c r="K1356" s="1127"/>
      <c r="L1356" s="10"/>
      <c r="M1356" s="10"/>
      <c r="N1356" s="10"/>
      <c r="O1356" s="10"/>
      <c r="P1356" s="10"/>
      <c r="Q1356" s="10"/>
      <c r="R1356" s="10"/>
      <c r="S1356" s="10"/>
    </row>
    <row r="1357" spans="10:19">
      <c r="J1357" s="10"/>
      <c r="K1357" s="1127"/>
      <c r="L1357" s="10"/>
      <c r="M1357" s="10"/>
      <c r="N1357" s="10"/>
      <c r="O1357" s="10"/>
      <c r="P1357" s="10"/>
      <c r="Q1357" s="10"/>
      <c r="R1357" s="10"/>
      <c r="S1357" s="10"/>
    </row>
    <row r="1358" spans="10:19">
      <c r="J1358" s="10"/>
      <c r="K1358" s="1127"/>
      <c r="L1358" s="10"/>
      <c r="M1358" s="10"/>
      <c r="N1358" s="10"/>
      <c r="O1358" s="10"/>
      <c r="P1358" s="10"/>
      <c r="Q1358" s="10"/>
      <c r="R1358" s="10"/>
      <c r="S1358" s="10"/>
    </row>
    <row r="1359" spans="10:19">
      <c r="J1359" s="10"/>
      <c r="K1359" s="1127"/>
      <c r="L1359" s="10"/>
      <c r="M1359" s="10"/>
      <c r="N1359" s="10"/>
      <c r="O1359" s="10"/>
      <c r="P1359" s="10"/>
      <c r="Q1359" s="10"/>
      <c r="R1359" s="10"/>
      <c r="S1359" s="10"/>
    </row>
    <row r="1360" spans="10:19">
      <c r="J1360" s="10"/>
      <c r="K1360" s="1127"/>
      <c r="L1360" s="10"/>
      <c r="M1360" s="10"/>
      <c r="N1360" s="10"/>
      <c r="O1360" s="10"/>
      <c r="P1360" s="10"/>
      <c r="Q1360" s="10"/>
      <c r="R1360" s="10"/>
      <c r="S1360" s="10"/>
    </row>
    <row r="1361" spans="10:19">
      <c r="J1361" s="10"/>
      <c r="K1361" s="1127"/>
      <c r="L1361" s="10"/>
      <c r="M1361" s="10"/>
      <c r="N1361" s="10"/>
      <c r="O1361" s="10"/>
      <c r="P1361" s="10"/>
      <c r="Q1361" s="10"/>
      <c r="R1361" s="10"/>
      <c r="S1361" s="10"/>
    </row>
    <row r="1362" spans="10:19">
      <c r="J1362" s="10"/>
      <c r="K1362" s="1127"/>
      <c r="L1362" s="10"/>
      <c r="M1362" s="10"/>
      <c r="N1362" s="10"/>
      <c r="O1362" s="10"/>
      <c r="P1362" s="10"/>
      <c r="Q1362" s="10"/>
      <c r="R1362" s="10"/>
      <c r="S1362" s="10"/>
    </row>
    <row r="1363" spans="10:19">
      <c r="J1363" s="10"/>
      <c r="K1363" s="1127"/>
      <c r="L1363" s="10"/>
      <c r="M1363" s="10"/>
      <c r="N1363" s="10"/>
      <c r="O1363" s="10"/>
      <c r="P1363" s="10"/>
      <c r="Q1363" s="10"/>
      <c r="R1363" s="10"/>
      <c r="S1363" s="10"/>
    </row>
    <row r="1364" spans="10:19">
      <c r="J1364" s="10"/>
      <c r="K1364" s="1127"/>
      <c r="L1364" s="10"/>
      <c r="M1364" s="10"/>
      <c r="N1364" s="10"/>
      <c r="O1364" s="10"/>
      <c r="P1364" s="10"/>
      <c r="Q1364" s="10"/>
      <c r="R1364" s="10"/>
      <c r="S1364" s="10"/>
    </row>
    <row r="1365" spans="10:19">
      <c r="J1365" s="10"/>
      <c r="K1365" s="1127"/>
      <c r="L1365" s="10"/>
      <c r="M1365" s="10"/>
      <c r="N1365" s="10"/>
      <c r="O1365" s="10"/>
      <c r="P1365" s="10"/>
      <c r="Q1365" s="10"/>
      <c r="R1365" s="10"/>
      <c r="S1365" s="10"/>
    </row>
    <row r="1366" spans="10:19">
      <c r="J1366" s="10"/>
      <c r="K1366" s="1127"/>
      <c r="L1366" s="10"/>
      <c r="M1366" s="10"/>
      <c r="N1366" s="10"/>
      <c r="O1366" s="10"/>
      <c r="P1366" s="10"/>
      <c r="Q1366" s="10"/>
      <c r="R1366" s="10"/>
      <c r="S1366" s="10"/>
    </row>
    <row r="1367" spans="10:19">
      <c r="J1367" s="10"/>
      <c r="K1367" s="1127"/>
      <c r="L1367" s="10"/>
      <c r="M1367" s="10"/>
      <c r="N1367" s="10"/>
      <c r="O1367" s="10"/>
      <c r="P1367" s="10"/>
      <c r="Q1367" s="10"/>
      <c r="R1367" s="10"/>
      <c r="S1367" s="10"/>
    </row>
    <row r="1368" spans="10:19">
      <c r="J1368" s="10"/>
      <c r="K1368" s="1127"/>
      <c r="L1368" s="10"/>
      <c r="M1368" s="10"/>
      <c r="N1368" s="10"/>
      <c r="O1368" s="10"/>
      <c r="P1368" s="10"/>
      <c r="Q1368" s="10"/>
      <c r="R1368" s="10"/>
      <c r="S1368" s="10"/>
    </row>
    <row r="1369" spans="10:19">
      <c r="J1369" s="10"/>
      <c r="K1369" s="1127"/>
      <c r="L1369" s="10"/>
      <c r="M1369" s="10"/>
      <c r="N1369" s="10"/>
      <c r="O1369" s="10"/>
      <c r="P1369" s="10"/>
      <c r="Q1369" s="10"/>
      <c r="R1369" s="10"/>
      <c r="S1369" s="10"/>
    </row>
    <row r="1370" spans="10:19">
      <c r="J1370" s="10"/>
      <c r="K1370" s="1127"/>
      <c r="L1370" s="10"/>
      <c r="M1370" s="10"/>
      <c r="N1370" s="10"/>
      <c r="O1370" s="10"/>
      <c r="P1370" s="10"/>
      <c r="Q1370" s="10"/>
      <c r="R1370" s="10"/>
      <c r="S1370" s="10"/>
    </row>
    <row r="1371" spans="10:19">
      <c r="J1371" s="10"/>
      <c r="K1371" s="1127"/>
      <c r="L1371" s="10"/>
      <c r="M1371" s="10"/>
      <c r="N1371" s="10"/>
      <c r="O1371" s="10"/>
      <c r="P1371" s="10"/>
      <c r="Q1371" s="10"/>
      <c r="R1371" s="10"/>
      <c r="S1371" s="10"/>
    </row>
    <row r="1372" spans="10:19">
      <c r="J1372" s="10"/>
      <c r="K1372" s="1127"/>
      <c r="L1372" s="10"/>
      <c r="M1372" s="10"/>
      <c r="N1372" s="10"/>
      <c r="O1372" s="10"/>
      <c r="P1372" s="10"/>
      <c r="Q1372" s="10"/>
      <c r="R1372" s="10"/>
      <c r="S1372" s="10"/>
    </row>
    <row r="1373" spans="10:19">
      <c r="J1373" s="10"/>
      <c r="K1373" s="1127"/>
      <c r="L1373" s="10"/>
      <c r="M1373" s="10"/>
      <c r="N1373" s="10"/>
      <c r="O1373" s="10"/>
      <c r="P1373" s="10"/>
      <c r="Q1373" s="10"/>
      <c r="R1373" s="10"/>
      <c r="S1373" s="10"/>
    </row>
    <row r="1374" spans="10:19">
      <c r="J1374" s="10"/>
      <c r="K1374" s="1127"/>
      <c r="L1374" s="10"/>
      <c r="M1374" s="10"/>
      <c r="N1374" s="10"/>
      <c r="O1374" s="10"/>
      <c r="P1374" s="10"/>
      <c r="Q1374" s="10"/>
      <c r="R1374" s="10"/>
      <c r="S1374" s="10"/>
    </row>
    <row r="1375" spans="10:19">
      <c r="J1375" s="10"/>
      <c r="K1375" s="1127"/>
      <c r="L1375" s="10"/>
      <c r="M1375" s="10"/>
      <c r="N1375" s="10"/>
      <c r="O1375" s="10"/>
      <c r="P1375" s="10"/>
      <c r="Q1375" s="10"/>
      <c r="R1375" s="10"/>
      <c r="S1375" s="10"/>
    </row>
    <row r="1376" spans="10:19">
      <c r="J1376" s="10"/>
      <c r="K1376" s="1127"/>
      <c r="L1376" s="10"/>
      <c r="M1376" s="10"/>
      <c r="N1376" s="10"/>
      <c r="O1376" s="10"/>
      <c r="P1376" s="10"/>
      <c r="Q1376" s="10"/>
      <c r="R1376" s="10"/>
      <c r="S1376" s="10"/>
    </row>
    <row r="1377" spans="10:19">
      <c r="J1377" s="10"/>
      <c r="K1377" s="1127"/>
      <c r="L1377" s="10"/>
      <c r="M1377" s="10"/>
      <c r="N1377" s="10"/>
      <c r="O1377" s="10"/>
      <c r="P1377" s="10"/>
      <c r="Q1377" s="10"/>
      <c r="R1377" s="10"/>
      <c r="S1377" s="10"/>
    </row>
    <row r="1378" spans="10:19">
      <c r="J1378" s="10"/>
      <c r="K1378" s="1127"/>
      <c r="L1378" s="10"/>
      <c r="M1378" s="10"/>
      <c r="N1378" s="10"/>
      <c r="O1378" s="10"/>
      <c r="P1378" s="10"/>
      <c r="Q1378" s="10"/>
      <c r="R1378" s="10"/>
      <c r="S1378" s="10"/>
    </row>
    <row r="1379" spans="10:19">
      <c r="J1379" s="10"/>
      <c r="K1379" s="1127"/>
      <c r="L1379" s="10"/>
      <c r="M1379" s="10"/>
      <c r="N1379" s="10"/>
      <c r="O1379" s="10"/>
      <c r="P1379" s="10"/>
      <c r="Q1379" s="10"/>
      <c r="R1379" s="10"/>
      <c r="S1379" s="10"/>
    </row>
    <row r="1380" spans="10:19">
      <c r="J1380" s="10"/>
      <c r="K1380" s="1127"/>
      <c r="L1380" s="10"/>
      <c r="M1380" s="10"/>
      <c r="N1380" s="10"/>
      <c r="O1380" s="10"/>
      <c r="P1380" s="10"/>
      <c r="Q1380" s="10"/>
      <c r="R1380" s="10"/>
      <c r="S1380" s="10"/>
    </row>
    <row r="1381" spans="10:19">
      <c r="J1381" s="10"/>
      <c r="K1381" s="1127"/>
      <c r="L1381" s="10"/>
      <c r="M1381" s="10"/>
      <c r="N1381" s="10"/>
      <c r="O1381" s="10"/>
      <c r="P1381" s="10"/>
      <c r="Q1381" s="10"/>
      <c r="R1381" s="10"/>
      <c r="S1381" s="10"/>
    </row>
    <row r="1382" spans="10:19">
      <c r="J1382" s="10"/>
      <c r="K1382" s="1127"/>
      <c r="L1382" s="10"/>
      <c r="M1382" s="10"/>
      <c r="N1382" s="10"/>
      <c r="O1382" s="10"/>
      <c r="P1382" s="10"/>
      <c r="Q1382" s="10"/>
      <c r="R1382" s="10"/>
      <c r="S1382" s="10"/>
    </row>
    <row r="1383" spans="10:19">
      <c r="J1383" s="10"/>
      <c r="K1383" s="1127"/>
      <c r="L1383" s="10"/>
      <c r="M1383" s="10"/>
      <c r="N1383" s="10"/>
      <c r="O1383" s="10"/>
      <c r="P1383" s="10"/>
      <c r="Q1383" s="10"/>
      <c r="R1383" s="10"/>
      <c r="S1383" s="10"/>
    </row>
    <row r="1384" spans="10:19">
      <c r="J1384" s="10"/>
      <c r="K1384" s="1127"/>
      <c r="L1384" s="10"/>
      <c r="M1384" s="10"/>
      <c r="N1384" s="10"/>
      <c r="O1384" s="10"/>
      <c r="P1384" s="10"/>
      <c r="Q1384" s="10"/>
      <c r="R1384" s="10"/>
      <c r="S1384" s="10"/>
    </row>
    <row r="1385" spans="10:19">
      <c r="J1385" s="10"/>
      <c r="K1385" s="1127"/>
      <c r="L1385" s="10"/>
      <c r="M1385" s="10"/>
      <c r="N1385" s="10"/>
      <c r="O1385" s="10"/>
      <c r="P1385" s="10"/>
      <c r="Q1385" s="10"/>
      <c r="R1385" s="10"/>
      <c r="S1385" s="10"/>
    </row>
    <row r="1386" spans="10:19">
      <c r="J1386" s="10"/>
      <c r="K1386" s="1127"/>
      <c r="L1386" s="10"/>
      <c r="M1386" s="10"/>
      <c r="N1386" s="10"/>
      <c r="O1386" s="10"/>
      <c r="P1386" s="10"/>
      <c r="Q1386" s="10"/>
      <c r="R1386" s="10"/>
      <c r="S1386" s="10"/>
    </row>
    <row r="1387" spans="10:19">
      <c r="J1387" s="10"/>
      <c r="K1387" s="1127"/>
      <c r="L1387" s="10"/>
      <c r="M1387" s="10"/>
      <c r="N1387" s="10"/>
      <c r="O1387" s="10"/>
      <c r="P1387" s="10"/>
      <c r="Q1387" s="10"/>
      <c r="R1387" s="10"/>
      <c r="S1387" s="10"/>
    </row>
    <row r="1388" spans="10:19">
      <c r="J1388" s="10"/>
      <c r="K1388" s="1127"/>
      <c r="L1388" s="10"/>
      <c r="M1388" s="10"/>
      <c r="N1388" s="10"/>
      <c r="O1388" s="10"/>
      <c r="P1388" s="10"/>
      <c r="Q1388" s="10"/>
      <c r="R1388" s="10"/>
      <c r="S1388" s="10"/>
    </row>
    <row r="1389" spans="10:19">
      <c r="J1389" s="10"/>
      <c r="K1389" s="1127"/>
      <c r="L1389" s="10"/>
      <c r="M1389" s="10"/>
      <c r="N1389" s="10"/>
      <c r="O1389" s="10"/>
      <c r="P1389" s="10"/>
      <c r="Q1389" s="10"/>
      <c r="R1389" s="10"/>
      <c r="S1389" s="10"/>
    </row>
    <row r="1390" spans="10:19">
      <c r="J1390" s="10"/>
      <c r="K1390" s="1127"/>
      <c r="L1390" s="10"/>
      <c r="M1390" s="10"/>
      <c r="N1390" s="10"/>
      <c r="O1390" s="10"/>
      <c r="P1390" s="10"/>
      <c r="Q1390" s="10"/>
      <c r="R1390" s="10"/>
      <c r="S1390" s="10"/>
    </row>
    <row r="1391" spans="10:19">
      <c r="J1391" s="10"/>
      <c r="K1391" s="1127"/>
      <c r="L1391" s="10"/>
      <c r="M1391" s="10"/>
      <c r="N1391" s="10"/>
      <c r="O1391" s="10"/>
      <c r="P1391" s="10"/>
      <c r="Q1391" s="10"/>
      <c r="R1391" s="10"/>
      <c r="S1391" s="10"/>
    </row>
    <row r="1392" spans="10:19">
      <c r="J1392" s="10"/>
      <c r="K1392" s="1127"/>
      <c r="L1392" s="10"/>
      <c r="M1392" s="10"/>
      <c r="N1392" s="10"/>
      <c r="O1392" s="10"/>
      <c r="P1392" s="10"/>
      <c r="Q1392" s="10"/>
      <c r="R1392" s="10"/>
      <c r="S1392" s="10"/>
    </row>
    <row r="1393" spans="10:19">
      <c r="J1393" s="10"/>
      <c r="K1393" s="1127"/>
      <c r="L1393" s="10"/>
      <c r="M1393" s="10"/>
      <c r="N1393" s="10"/>
      <c r="O1393" s="10"/>
      <c r="P1393" s="10"/>
      <c r="Q1393" s="10"/>
      <c r="R1393" s="10"/>
      <c r="S1393" s="10"/>
    </row>
    <row r="1394" spans="10:19">
      <c r="J1394" s="10"/>
      <c r="K1394" s="1127"/>
      <c r="L1394" s="10"/>
      <c r="M1394" s="10"/>
      <c r="N1394" s="10"/>
      <c r="O1394" s="10"/>
      <c r="P1394" s="10"/>
      <c r="Q1394" s="10"/>
      <c r="R1394" s="10"/>
      <c r="S1394" s="10"/>
    </row>
    <row r="1395" spans="10:19">
      <c r="J1395" s="10"/>
      <c r="K1395" s="1127"/>
      <c r="L1395" s="10"/>
      <c r="M1395" s="10"/>
      <c r="N1395" s="10"/>
      <c r="O1395" s="10"/>
      <c r="P1395" s="10"/>
      <c r="Q1395" s="10"/>
      <c r="R1395" s="10"/>
      <c r="S1395" s="10"/>
    </row>
    <row r="1396" spans="10:19">
      <c r="J1396" s="10"/>
      <c r="K1396" s="1127"/>
      <c r="L1396" s="10"/>
      <c r="M1396" s="10"/>
      <c r="N1396" s="10"/>
      <c r="O1396" s="10"/>
      <c r="P1396" s="10"/>
      <c r="Q1396" s="10"/>
      <c r="R1396" s="10"/>
      <c r="S1396" s="10"/>
    </row>
    <row r="1397" spans="10:19">
      <c r="J1397" s="10"/>
      <c r="K1397" s="1127"/>
      <c r="L1397" s="10"/>
      <c r="M1397" s="10"/>
      <c r="N1397" s="10"/>
      <c r="O1397" s="10"/>
      <c r="P1397" s="10"/>
      <c r="Q1397" s="10"/>
      <c r="R1397" s="10"/>
      <c r="S1397" s="10"/>
    </row>
    <row r="1398" spans="10:19">
      <c r="J1398" s="10"/>
      <c r="K1398" s="1127"/>
      <c r="L1398" s="10"/>
      <c r="M1398" s="10"/>
      <c r="N1398" s="10"/>
      <c r="O1398" s="10"/>
      <c r="P1398" s="10"/>
      <c r="Q1398" s="10"/>
      <c r="R1398" s="10"/>
      <c r="S1398" s="10"/>
    </row>
    <row r="1399" spans="10:19">
      <c r="J1399" s="10"/>
      <c r="K1399" s="1127"/>
      <c r="L1399" s="10"/>
      <c r="M1399" s="10"/>
      <c r="N1399" s="10"/>
      <c r="O1399" s="10"/>
      <c r="P1399" s="10"/>
      <c r="Q1399" s="10"/>
      <c r="R1399" s="10"/>
      <c r="S1399" s="10"/>
    </row>
    <row r="1400" spans="10:19">
      <c r="J1400" s="10"/>
      <c r="K1400" s="1127"/>
      <c r="L1400" s="10"/>
      <c r="M1400" s="10"/>
      <c r="N1400" s="10"/>
      <c r="O1400" s="10"/>
      <c r="P1400" s="10"/>
      <c r="Q1400" s="10"/>
      <c r="R1400" s="10"/>
      <c r="S1400" s="10"/>
    </row>
    <row r="1401" spans="10:19">
      <c r="J1401" s="10"/>
      <c r="K1401" s="1127"/>
      <c r="L1401" s="10"/>
      <c r="M1401" s="10"/>
      <c r="N1401" s="10"/>
      <c r="O1401" s="10"/>
      <c r="P1401" s="10"/>
      <c r="Q1401" s="10"/>
      <c r="R1401" s="10"/>
      <c r="S1401" s="10"/>
    </row>
    <row r="1402" spans="10:19">
      <c r="J1402" s="10"/>
      <c r="K1402" s="1127"/>
      <c r="L1402" s="10"/>
      <c r="M1402" s="10"/>
      <c r="N1402" s="10"/>
      <c r="O1402" s="10"/>
      <c r="P1402" s="10"/>
      <c r="Q1402" s="10"/>
      <c r="R1402" s="10"/>
      <c r="S1402" s="10"/>
    </row>
    <row r="1403" spans="10:19">
      <c r="J1403" s="10"/>
      <c r="K1403" s="1127"/>
      <c r="L1403" s="10"/>
      <c r="M1403" s="10"/>
      <c r="N1403" s="10"/>
      <c r="O1403" s="10"/>
      <c r="P1403" s="10"/>
      <c r="Q1403" s="10"/>
      <c r="R1403" s="10"/>
      <c r="S1403" s="10"/>
    </row>
    <row r="1404" spans="10:19">
      <c r="J1404" s="10"/>
      <c r="K1404" s="1127"/>
      <c r="L1404" s="10"/>
      <c r="M1404" s="10"/>
      <c r="N1404" s="10"/>
      <c r="O1404" s="10"/>
      <c r="P1404" s="10"/>
      <c r="Q1404" s="10"/>
      <c r="R1404" s="10"/>
      <c r="S1404" s="10"/>
    </row>
    <row r="1405" spans="10:19">
      <c r="J1405" s="10"/>
      <c r="K1405" s="1127"/>
      <c r="L1405" s="10"/>
      <c r="M1405" s="10"/>
      <c r="N1405" s="10"/>
      <c r="O1405" s="10"/>
      <c r="P1405" s="10"/>
      <c r="Q1405" s="10"/>
      <c r="R1405" s="10"/>
      <c r="S1405" s="10"/>
    </row>
    <row r="1406" spans="10:19">
      <c r="J1406" s="10"/>
      <c r="K1406" s="1127"/>
      <c r="L1406" s="10"/>
      <c r="M1406" s="10"/>
      <c r="N1406" s="10"/>
      <c r="O1406" s="10"/>
      <c r="P1406" s="10"/>
      <c r="Q1406" s="10"/>
      <c r="R1406" s="10"/>
      <c r="S1406" s="10"/>
    </row>
    <row r="1407" spans="10:19">
      <c r="J1407" s="10"/>
      <c r="K1407" s="1127"/>
      <c r="L1407" s="10"/>
      <c r="M1407" s="10"/>
      <c r="N1407" s="10"/>
      <c r="O1407" s="10"/>
      <c r="P1407" s="10"/>
      <c r="Q1407" s="10"/>
      <c r="R1407" s="10"/>
      <c r="S1407" s="10"/>
    </row>
    <row r="1408" spans="10:19">
      <c r="J1408" s="10"/>
      <c r="K1408" s="1127"/>
      <c r="L1408" s="10"/>
      <c r="M1408" s="10"/>
      <c r="N1408" s="10"/>
      <c r="O1408" s="10"/>
      <c r="P1408" s="10"/>
      <c r="Q1408" s="10"/>
      <c r="R1408" s="10"/>
      <c r="S1408" s="10"/>
    </row>
    <row r="1409" spans="10:19">
      <c r="J1409" s="10"/>
      <c r="K1409" s="1127"/>
      <c r="L1409" s="10"/>
      <c r="M1409" s="10"/>
      <c r="N1409" s="10"/>
      <c r="O1409" s="10"/>
      <c r="P1409" s="10"/>
      <c r="Q1409" s="10"/>
      <c r="R1409" s="10"/>
      <c r="S1409" s="10"/>
    </row>
    <row r="1410" spans="10:19">
      <c r="J1410" s="10"/>
      <c r="K1410" s="1127"/>
      <c r="L1410" s="10"/>
      <c r="M1410" s="10"/>
      <c r="N1410" s="10"/>
      <c r="O1410" s="10"/>
      <c r="P1410" s="10"/>
      <c r="Q1410" s="10"/>
      <c r="R1410" s="10"/>
      <c r="S1410" s="10"/>
    </row>
    <row r="1411" spans="10:19">
      <c r="J1411" s="10"/>
      <c r="K1411" s="1127"/>
      <c r="L1411" s="10"/>
      <c r="M1411" s="10"/>
      <c r="N1411" s="10"/>
      <c r="O1411" s="10"/>
      <c r="P1411" s="10"/>
      <c r="Q1411" s="10"/>
      <c r="R1411" s="10"/>
      <c r="S1411" s="10"/>
    </row>
    <row r="1412" spans="10:19">
      <c r="J1412" s="10"/>
      <c r="K1412" s="1127"/>
      <c r="L1412" s="10"/>
      <c r="M1412" s="10"/>
      <c r="N1412" s="10"/>
      <c r="O1412" s="10"/>
      <c r="P1412" s="10"/>
      <c r="Q1412" s="10"/>
      <c r="R1412" s="10"/>
      <c r="S1412" s="10"/>
    </row>
    <row r="1413" spans="10:19">
      <c r="J1413" s="10"/>
      <c r="K1413" s="1127"/>
      <c r="L1413" s="10"/>
      <c r="M1413" s="10"/>
      <c r="N1413" s="10"/>
      <c r="O1413" s="10"/>
      <c r="P1413" s="10"/>
      <c r="Q1413" s="10"/>
      <c r="R1413" s="10"/>
      <c r="S1413" s="10"/>
    </row>
    <row r="1414" spans="10:19">
      <c r="J1414" s="10"/>
      <c r="K1414" s="1127"/>
      <c r="L1414" s="10"/>
      <c r="M1414" s="10"/>
      <c r="N1414" s="10"/>
      <c r="O1414" s="10"/>
      <c r="P1414" s="10"/>
      <c r="Q1414" s="10"/>
      <c r="R1414" s="10"/>
      <c r="S1414" s="10"/>
    </row>
    <row r="1415" spans="10:19">
      <c r="J1415" s="10"/>
      <c r="K1415" s="1127"/>
      <c r="L1415" s="10"/>
      <c r="M1415" s="10"/>
      <c r="N1415" s="10"/>
      <c r="O1415" s="10"/>
      <c r="P1415" s="10"/>
      <c r="Q1415" s="10"/>
      <c r="R1415" s="10"/>
      <c r="S1415" s="10"/>
    </row>
    <row r="1416" spans="10:19">
      <c r="J1416" s="10"/>
      <c r="K1416" s="1127"/>
      <c r="L1416" s="10"/>
      <c r="M1416" s="10"/>
      <c r="N1416" s="10"/>
      <c r="O1416" s="10"/>
      <c r="P1416" s="10"/>
      <c r="Q1416" s="10"/>
      <c r="R1416" s="10"/>
      <c r="S1416" s="10"/>
    </row>
    <row r="1417" spans="10:19">
      <c r="J1417" s="10"/>
      <c r="K1417" s="1127"/>
      <c r="L1417" s="10"/>
      <c r="M1417" s="10"/>
      <c r="N1417" s="10"/>
      <c r="O1417" s="10"/>
      <c r="P1417" s="10"/>
      <c r="Q1417" s="10"/>
      <c r="R1417" s="10"/>
      <c r="S1417" s="10"/>
    </row>
    <row r="1418" spans="10:19">
      <c r="J1418" s="10"/>
      <c r="K1418" s="1127"/>
      <c r="L1418" s="10"/>
      <c r="M1418" s="10"/>
      <c r="N1418" s="10"/>
      <c r="O1418" s="10"/>
      <c r="P1418" s="10"/>
      <c r="Q1418" s="10"/>
      <c r="R1418" s="10"/>
      <c r="S1418" s="10"/>
    </row>
    <row r="1419" spans="10:19">
      <c r="J1419" s="10"/>
      <c r="K1419" s="1127"/>
      <c r="L1419" s="10"/>
      <c r="M1419" s="10"/>
      <c r="N1419" s="10"/>
      <c r="O1419" s="10"/>
      <c r="P1419" s="10"/>
      <c r="Q1419" s="10"/>
      <c r="R1419" s="10"/>
      <c r="S1419" s="10"/>
    </row>
    <row r="1420" spans="10:19">
      <c r="J1420" s="10"/>
      <c r="K1420" s="1127"/>
      <c r="L1420" s="10"/>
      <c r="M1420" s="10"/>
      <c r="N1420" s="10"/>
      <c r="O1420" s="10"/>
      <c r="P1420" s="10"/>
      <c r="Q1420" s="10"/>
      <c r="R1420" s="10"/>
      <c r="S1420" s="10"/>
    </row>
    <row r="1421" spans="10:19">
      <c r="J1421" s="10"/>
      <c r="K1421" s="1127"/>
      <c r="L1421" s="10"/>
      <c r="M1421" s="10"/>
      <c r="N1421" s="10"/>
      <c r="O1421" s="10"/>
      <c r="P1421" s="10"/>
      <c r="Q1421" s="10"/>
      <c r="R1421" s="10"/>
      <c r="S1421" s="10"/>
    </row>
    <row r="1422" spans="10:19">
      <c r="J1422" s="10"/>
      <c r="K1422" s="1127"/>
      <c r="L1422" s="10"/>
      <c r="M1422" s="10"/>
      <c r="N1422" s="10"/>
      <c r="O1422" s="10"/>
      <c r="P1422" s="10"/>
      <c r="Q1422" s="10"/>
      <c r="R1422" s="10"/>
      <c r="S1422" s="10"/>
    </row>
    <row r="1423" spans="10:19">
      <c r="J1423" s="10"/>
      <c r="K1423" s="1127"/>
      <c r="L1423" s="10"/>
      <c r="M1423" s="10"/>
      <c r="N1423" s="10"/>
      <c r="O1423" s="10"/>
      <c r="P1423" s="10"/>
      <c r="Q1423" s="10"/>
      <c r="R1423" s="10"/>
      <c r="S1423" s="10"/>
    </row>
    <row r="1424" spans="10:19">
      <c r="J1424" s="10"/>
      <c r="K1424" s="1127"/>
      <c r="L1424" s="10"/>
      <c r="M1424" s="10"/>
      <c r="N1424" s="10"/>
      <c r="O1424" s="10"/>
      <c r="P1424" s="10"/>
      <c r="Q1424" s="10"/>
      <c r="R1424" s="10"/>
      <c r="S1424" s="10"/>
    </row>
    <row r="1425" spans="10:19">
      <c r="J1425" s="10"/>
      <c r="K1425" s="1127"/>
      <c r="L1425" s="10"/>
      <c r="M1425" s="10"/>
      <c r="N1425" s="10"/>
      <c r="O1425" s="10"/>
      <c r="P1425" s="10"/>
      <c r="Q1425" s="10"/>
      <c r="R1425" s="10"/>
      <c r="S1425" s="10"/>
    </row>
    <row r="1426" spans="10:19">
      <c r="J1426" s="10"/>
      <c r="K1426" s="1127"/>
      <c r="L1426" s="10"/>
      <c r="M1426" s="10"/>
      <c r="N1426" s="10"/>
      <c r="O1426" s="10"/>
      <c r="P1426" s="10"/>
      <c r="Q1426" s="10"/>
      <c r="R1426" s="10"/>
      <c r="S1426" s="10"/>
    </row>
    <row r="1427" spans="10:19">
      <c r="J1427" s="10"/>
      <c r="K1427" s="1127"/>
      <c r="L1427" s="10"/>
      <c r="M1427" s="10"/>
      <c r="N1427" s="10"/>
      <c r="O1427" s="10"/>
      <c r="P1427" s="10"/>
      <c r="Q1427" s="10"/>
      <c r="R1427" s="10"/>
      <c r="S1427" s="10"/>
    </row>
    <row r="1428" spans="10:19">
      <c r="J1428" s="10"/>
      <c r="K1428" s="1127"/>
      <c r="L1428" s="10"/>
      <c r="M1428" s="10"/>
      <c r="N1428" s="10"/>
      <c r="O1428" s="10"/>
      <c r="P1428" s="10"/>
      <c r="Q1428" s="10"/>
      <c r="R1428" s="10"/>
      <c r="S1428" s="10"/>
    </row>
    <row r="1429" spans="10:19">
      <c r="J1429" s="10"/>
      <c r="K1429" s="1127"/>
      <c r="L1429" s="10"/>
      <c r="M1429" s="10"/>
      <c r="N1429" s="10"/>
      <c r="O1429" s="10"/>
      <c r="P1429" s="10"/>
      <c r="Q1429" s="10"/>
      <c r="R1429" s="10"/>
      <c r="S1429" s="10"/>
    </row>
    <row r="1430" spans="10:19">
      <c r="J1430" s="10"/>
      <c r="K1430" s="1127"/>
      <c r="L1430" s="10"/>
      <c r="M1430" s="10"/>
      <c r="N1430" s="10"/>
      <c r="O1430" s="10"/>
      <c r="P1430" s="10"/>
      <c r="Q1430" s="10"/>
      <c r="R1430" s="10"/>
      <c r="S1430" s="10"/>
    </row>
    <row r="1431" spans="10:19">
      <c r="J1431" s="10"/>
      <c r="K1431" s="1127"/>
      <c r="L1431" s="10"/>
      <c r="M1431" s="10"/>
      <c r="N1431" s="10"/>
      <c r="O1431" s="10"/>
      <c r="P1431" s="10"/>
      <c r="Q1431" s="10"/>
      <c r="R1431" s="10"/>
      <c r="S1431" s="10"/>
    </row>
    <row r="1432" spans="10:19">
      <c r="J1432" s="10"/>
      <c r="K1432" s="1127"/>
      <c r="L1432" s="10"/>
      <c r="M1432" s="10"/>
      <c r="N1432" s="10"/>
      <c r="O1432" s="10"/>
      <c r="P1432" s="10"/>
      <c r="Q1432" s="10"/>
      <c r="R1432" s="10"/>
      <c r="S1432" s="10"/>
    </row>
    <row r="1433" spans="10:19">
      <c r="J1433" s="10"/>
      <c r="K1433" s="1127"/>
      <c r="L1433" s="10"/>
      <c r="M1433" s="10"/>
      <c r="N1433" s="10"/>
      <c r="O1433" s="10"/>
      <c r="P1433" s="10"/>
      <c r="Q1433" s="10"/>
      <c r="R1433" s="10"/>
      <c r="S1433" s="10"/>
    </row>
    <row r="1434" spans="10:19">
      <c r="J1434" s="10"/>
      <c r="K1434" s="1127"/>
      <c r="L1434" s="10"/>
      <c r="M1434" s="10"/>
      <c r="N1434" s="10"/>
      <c r="O1434" s="10"/>
      <c r="P1434" s="10"/>
      <c r="Q1434" s="10"/>
      <c r="R1434" s="10"/>
      <c r="S1434" s="10"/>
    </row>
    <row r="1435" spans="10:19">
      <c r="J1435" s="10"/>
      <c r="K1435" s="1127"/>
      <c r="L1435" s="10"/>
      <c r="M1435" s="10"/>
      <c r="N1435" s="10"/>
      <c r="O1435" s="10"/>
      <c r="P1435" s="10"/>
      <c r="Q1435" s="10"/>
      <c r="R1435" s="10"/>
      <c r="S1435" s="10"/>
    </row>
    <row r="1436" spans="10:19">
      <c r="J1436" s="10"/>
      <c r="K1436" s="1127"/>
      <c r="L1436" s="10"/>
      <c r="M1436" s="10"/>
      <c r="N1436" s="10"/>
      <c r="O1436" s="10"/>
      <c r="P1436" s="10"/>
      <c r="Q1436" s="10"/>
      <c r="R1436" s="10"/>
      <c r="S1436" s="10"/>
    </row>
    <row r="1437" spans="10:19">
      <c r="J1437" s="10"/>
      <c r="K1437" s="1127"/>
      <c r="L1437" s="10"/>
      <c r="M1437" s="10"/>
      <c r="N1437" s="10"/>
      <c r="O1437" s="10"/>
      <c r="P1437" s="10"/>
      <c r="Q1437" s="10"/>
      <c r="R1437" s="10"/>
      <c r="S1437" s="10"/>
    </row>
    <row r="1438" spans="10:19">
      <c r="J1438" s="10"/>
      <c r="K1438" s="1127"/>
      <c r="L1438" s="10"/>
      <c r="M1438" s="10"/>
      <c r="N1438" s="10"/>
      <c r="O1438" s="10"/>
      <c r="P1438" s="10"/>
      <c r="Q1438" s="10"/>
      <c r="R1438" s="10"/>
      <c r="S1438" s="10"/>
    </row>
    <row r="1439" spans="10:19">
      <c r="J1439" s="10"/>
      <c r="K1439" s="1127"/>
      <c r="L1439" s="10"/>
      <c r="M1439" s="10"/>
      <c r="N1439" s="10"/>
      <c r="O1439" s="10"/>
      <c r="P1439" s="10"/>
      <c r="Q1439" s="10"/>
      <c r="R1439" s="10"/>
      <c r="S1439" s="10"/>
    </row>
    <row r="1440" spans="10:19">
      <c r="J1440" s="10"/>
      <c r="K1440" s="1127"/>
      <c r="L1440" s="10"/>
      <c r="M1440" s="10"/>
      <c r="N1440" s="10"/>
      <c r="O1440" s="10"/>
      <c r="P1440" s="10"/>
      <c r="Q1440" s="10"/>
      <c r="R1440" s="10"/>
      <c r="S1440" s="10"/>
    </row>
    <row r="1441" spans="10:19">
      <c r="J1441" s="10"/>
      <c r="K1441" s="1127"/>
      <c r="L1441" s="10"/>
      <c r="M1441" s="10"/>
      <c r="N1441" s="10"/>
      <c r="O1441" s="10"/>
      <c r="P1441" s="10"/>
      <c r="Q1441" s="10"/>
      <c r="R1441" s="10"/>
      <c r="S1441" s="10"/>
    </row>
    <row r="1442" spans="10:19">
      <c r="J1442" s="10"/>
      <c r="K1442" s="1127"/>
      <c r="L1442" s="10"/>
      <c r="M1442" s="10"/>
      <c r="N1442" s="10"/>
      <c r="O1442" s="10"/>
      <c r="P1442" s="10"/>
      <c r="Q1442" s="10"/>
      <c r="R1442" s="10"/>
      <c r="S1442" s="10"/>
    </row>
    <row r="1443" spans="10:19">
      <c r="J1443" s="10"/>
      <c r="K1443" s="1127"/>
      <c r="L1443" s="10"/>
      <c r="M1443" s="10"/>
      <c r="N1443" s="10"/>
      <c r="O1443" s="10"/>
      <c r="P1443" s="10"/>
      <c r="Q1443" s="10"/>
      <c r="R1443" s="10"/>
      <c r="S1443" s="10"/>
    </row>
    <row r="1444" spans="10:19">
      <c r="J1444" s="10"/>
      <c r="K1444" s="1127"/>
      <c r="L1444" s="10"/>
      <c r="M1444" s="10"/>
      <c r="N1444" s="10"/>
      <c r="O1444" s="10"/>
      <c r="P1444" s="10"/>
      <c r="Q1444" s="10"/>
      <c r="R1444" s="10"/>
      <c r="S1444" s="10"/>
    </row>
    <row r="1445" spans="10:19">
      <c r="J1445" s="10"/>
      <c r="K1445" s="1127"/>
      <c r="L1445" s="10"/>
      <c r="M1445" s="10"/>
      <c r="N1445" s="10"/>
      <c r="O1445" s="10"/>
      <c r="P1445" s="10"/>
      <c r="Q1445" s="10"/>
      <c r="R1445" s="10"/>
      <c r="S1445" s="10"/>
    </row>
    <row r="1446" spans="10:19">
      <c r="J1446" s="10"/>
      <c r="K1446" s="1127"/>
      <c r="L1446" s="10"/>
      <c r="M1446" s="10"/>
      <c r="N1446" s="10"/>
      <c r="O1446" s="10"/>
      <c r="P1446" s="10"/>
      <c r="Q1446" s="10"/>
      <c r="R1446" s="10"/>
      <c r="S1446" s="10"/>
    </row>
    <row r="1447" spans="10:19">
      <c r="J1447" s="10"/>
      <c r="K1447" s="1127"/>
      <c r="L1447" s="10"/>
      <c r="M1447" s="10"/>
      <c r="N1447" s="10"/>
      <c r="O1447" s="10"/>
      <c r="P1447" s="10"/>
      <c r="Q1447" s="10"/>
      <c r="R1447" s="10"/>
      <c r="S1447" s="10"/>
    </row>
    <row r="1448" spans="10:19">
      <c r="J1448" s="10"/>
      <c r="K1448" s="1127"/>
      <c r="L1448" s="10"/>
      <c r="M1448" s="10"/>
      <c r="N1448" s="10"/>
      <c r="O1448" s="10"/>
      <c r="P1448" s="10"/>
      <c r="Q1448" s="10"/>
      <c r="R1448" s="10"/>
      <c r="S1448" s="10"/>
    </row>
    <row r="1449" spans="10:19">
      <c r="J1449" s="10"/>
      <c r="K1449" s="1127"/>
      <c r="L1449" s="10"/>
      <c r="M1449" s="10"/>
      <c r="N1449" s="10"/>
      <c r="O1449" s="10"/>
      <c r="P1449" s="10"/>
      <c r="Q1449" s="10"/>
      <c r="R1449" s="10"/>
      <c r="S1449" s="10"/>
    </row>
    <row r="1450" spans="10:19">
      <c r="J1450" s="10"/>
      <c r="K1450" s="1127"/>
      <c r="L1450" s="10"/>
      <c r="M1450" s="10"/>
      <c r="N1450" s="10"/>
      <c r="O1450" s="10"/>
      <c r="P1450" s="10"/>
      <c r="Q1450" s="10"/>
      <c r="R1450" s="10"/>
      <c r="S1450" s="10"/>
    </row>
    <row r="1451" spans="10:19">
      <c r="J1451" s="10"/>
      <c r="K1451" s="1127"/>
      <c r="L1451" s="10"/>
      <c r="M1451" s="10"/>
      <c r="N1451" s="10"/>
      <c r="O1451" s="10"/>
      <c r="P1451" s="10"/>
      <c r="Q1451" s="10"/>
      <c r="R1451" s="10"/>
      <c r="S1451" s="10"/>
    </row>
    <row r="1452" spans="10:19">
      <c r="J1452" s="10"/>
      <c r="K1452" s="1127"/>
      <c r="L1452" s="10"/>
      <c r="M1452" s="10"/>
      <c r="N1452" s="10"/>
      <c r="O1452" s="10"/>
      <c r="P1452" s="10"/>
      <c r="Q1452" s="10"/>
      <c r="R1452" s="10"/>
      <c r="S1452" s="10"/>
    </row>
    <row r="1453" spans="10:19">
      <c r="J1453" s="10"/>
      <c r="K1453" s="1127"/>
      <c r="L1453" s="10"/>
      <c r="M1453" s="10"/>
      <c r="N1453" s="10"/>
      <c r="O1453" s="10"/>
      <c r="P1453" s="10"/>
      <c r="Q1453" s="10"/>
      <c r="R1453" s="10"/>
      <c r="S1453" s="10"/>
    </row>
    <row r="1454" spans="10:19">
      <c r="J1454" s="10"/>
      <c r="K1454" s="1127"/>
      <c r="L1454" s="10"/>
      <c r="M1454" s="10"/>
      <c r="N1454" s="10"/>
      <c r="O1454" s="10"/>
      <c r="P1454" s="10"/>
      <c r="Q1454" s="10"/>
      <c r="R1454" s="10"/>
      <c r="S1454" s="10"/>
    </row>
    <row r="1455" spans="10:19">
      <c r="J1455" s="10"/>
      <c r="K1455" s="1127"/>
      <c r="L1455" s="10"/>
      <c r="M1455" s="10"/>
      <c r="N1455" s="10"/>
      <c r="O1455" s="10"/>
      <c r="P1455" s="10"/>
      <c r="Q1455" s="10"/>
      <c r="R1455" s="10"/>
      <c r="S1455" s="10"/>
    </row>
    <row r="1456" spans="10:19">
      <c r="J1456" s="10"/>
      <c r="K1456" s="1127"/>
      <c r="L1456" s="10"/>
      <c r="M1456" s="10"/>
      <c r="N1456" s="10"/>
      <c r="O1456" s="10"/>
      <c r="P1456" s="10"/>
      <c r="Q1456" s="10"/>
      <c r="R1456" s="10"/>
      <c r="S1456" s="10"/>
    </row>
    <row r="1457" spans="10:19">
      <c r="J1457" s="10"/>
      <c r="K1457" s="1127"/>
      <c r="L1457" s="10"/>
      <c r="M1457" s="10"/>
      <c r="N1457" s="10"/>
      <c r="O1457" s="10"/>
      <c r="P1457" s="10"/>
      <c r="Q1457" s="10"/>
      <c r="R1457" s="10"/>
      <c r="S1457" s="10"/>
    </row>
    <row r="1458" spans="10:19">
      <c r="J1458" s="10"/>
      <c r="K1458" s="1127"/>
      <c r="L1458" s="10"/>
      <c r="M1458" s="10"/>
      <c r="N1458" s="10"/>
      <c r="O1458" s="10"/>
      <c r="P1458" s="10"/>
      <c r="Q1458" s="10"/>
      <c r="R1458" s="10"/>
      <c r="S1458" s="10"/>
    </row>
    <row r="1459" spans="10:19">
      <c r="J1459" s="10"/>
      <c r="K1459" s="1127"/>
      <c r="L1459" s="10"/>
      <c r="M1459" s="10"/>
      <c r="N1459" s="10"/>
      <c r="O1459" s="10"/>
      <c r="P1459" s="10"/>
      <c r="Q1459" s="10"/>
      <c r="R1459" s="10"/>
      <c r="S1459" s="10"/>
    </row>
    <row r="1460" spans="10:19">
      <c r="J1460" s="10"/>
      <c r="K1460" s="1127"/>
      <c r="L1460" s="10"/>
      <c r="M1460" s="10"/>
      <c r="N1460" s="10"/>
      <c r="O1460" s="10"/>
      <c r="P1460" s="10"/>
      <c r="Q1460" s="10"/>
      <c r="R1460" s="10"/>
      <c r="S1460" s="10"/>
    </row>
    <row r="1461" spans="10:19">
      <c r="J1461" s="10"/>
      <c r="K1461" s="1127"/>
      <c r="L1461" s="10"/>
      <c r="M1461" s="10"/>
      <c r="N1461" s="10"/>
      <c r="O1461" s="10"/>
      <c r="P1461" s="10"/>
      <c r="Q1461" s="10"/>
      <c r="R1461" s="10"/>
      <c r="S1461" s="10"/>
    </row>
    <row r="1462" spans="10:19">
      <c r="J1462" s="10"/>
      <c r="K1462" s="1127"/>
      <c r="L1462" s="10"/>
      <c r="M1462" s="10"/>
      <c r="N1462" s="10"/>
      <c r="O1462" s="10"/>
      <c r="P1462" s="10"/>
      <c r="Q1462" s="10"/>
      <c r="R1462" s="10"/>
      <c r="S1462" s="10"/>
    </row>
    <row r="1463" spans="10:19">
      <c r="J1463" s="10"/>
      <c r="K1463" s="1127"/>
      <c r="L1463" s="10"/>
      <c r="M1463" s="10"/>
      <c r="N1463" s="10"/>
      <c r="O1463" s="10"/>
      <c r="P1463" s="10"/>
      <c r="Q1463" s="10"/>
      <c r="R1463" s="10"/>
      <c r="S1463" s="10"/>
    </row>
    <row r="1464" spans="10:19">
      <c r="J1464" s="10"/>
      <c r="K1464" s="1127"/>
      <c r="L1464" s="10"/>
      <c r="M1464" s="10"/>
      <c r="N1464" s="10"/>
      <c r="O1464" s="10"/>
      <c r="P1464" s="10"/>
      <c r="Q1464" s="10"/>
      <c r="R1464" s="10"/>
      <c r="S1464" s="10"/>
    </row>
    <row r="1465" spans="10:19">
      <c r="J1465" s="10"/>
      <c r="K1465" s="1127"/>
      <c r="L1465" s="10"/>
      <c r="M1465" s="10"/>
      <c r="N1465" s="10"/>
      <c r="O1465" s="10"/>
      <c r="P1465" s="10"/>
      <c r="Q1465" s="10"/>
      <c r="R1465" s="10"/>
      <c r="S1465" s="10"/>
    </row>
    <row r="1466" spans="10:19">
      <c r="J1466" s="10"/>
      <c r="K1466" s="1127"/>
      <c r="L1466" s="10"/>
      <c r="M1466" s="10"/>
      <c r="N1466" s="10"/>
      <c r="O1466" s="10"/>
      <c r="P1466" s="10"/>
      <c r="Q1466" s="10"/>
      <c r="R1466" s="10"/>
      <c r="S1466" s="10"/>
    </row>
    <row r="1467" spans="10:19">
      <c r="J1467" s="10"/>
      <c r="K1467" s="1127"/>
      <c r="L1467" s="10"/>
      <c r="M1467" s="10"/>
      <c r="N1467" s="10"/>
      <c r="O1467" s="10"/>
      <c r="P1467" s="10"/>
      <c r="Q1467" s="10"/>
      <c r="R1467" s="10"/>
      <c r="S1467" s="10"/>
    </row>
    <row r="1468" spans="10:19">
      <c r="J1468" s="10"/>
      <c r="K1468" s="1127"/>
      <c r="L1468" s="10"/>
      <c r="M1468" s="10"/>
      <c r="N1468" s="10"/>
      <c r="O1468" s="10"/>
      <c r="P1468" s="10"/>
      <c r="Q1468" s="10"/>
      <c r="R1468" s="10"/>
      <c r="S1468" s="10"/>
    </row>
    <row r="1469" spans="10:19">
      <c r="J1469" s="10"/>
      <c r="K1469" s="1127"/>
      <c r="L1469" s="10"/>
      <c r="M1469" s="10"/>
      <c r="N1469" s="10"/>
      <c r="O1469" s="10"/>
      <c r="P1469" s="10"/>
      <c r="Q1469" s="10"/>
      <c r="R1469" s="10"/>
      <c r="S1469" s="10"/>
    </row>
    <row r="1470" spans="10:19">
      <c r="J1470" s="10"/>
      <c r="K1470" s="1127"/>
      <c r="L1470" s="10"/>
      <c r="M1470" s="10"/>
      <c r="N1470" s="10"/>
      <c r="O1470" s="10"/>
      <c r="P1470" s="10"/>
      <c r="Q1470" s="10"/>
      <c r="R1470" s="10"/>
      <c r="S1470" s="10"/>
    </row>
    <row r="1471" spans="10:19">
      <c r="J1471" s="10"/>
      <c r="K1471" s="1127"/>
      <c r="L1471" s="10"/>
      <c r="M1471" s="10"/>
      <c r="N1471" s="10"/>
      <c r="O1471" s="10"/>
      <c r="P1471" s="10"/>
      <c r="Q1471" s="10"/>
      <c r="R1471" s="10"/>
      <c r="S1471" s="10"/>
    </row>
    <row r="1472" spans="10:19">
      <c r="J1472" s="10"/>
      <c r="K1472" s="1127"/>
      <c r="L1472" s="10"/>
      <c r="M1472" s="10"/>
      <c r="N1472" s="10"/>
      <c r="O1472" s="10"/>
      <c r="P1472" s="10"/>
      <c r="Q1472" s="10"/>
      <c r="R1472" s="10"/>
      <c r="S1472" s="10"/>
    </row>
    <row r="1473" spans="10:19">
      <c r="J1473" s="10"/>
      <c r="K1473" s="1127"/>
      <c r="L1473" s="10"/>
      <c r="M1473" s="10"/>
      <c r="N1473" s="10"/>
      <c r="O1473" s="10"/>
      <c r="P1473" s="10"/>
      <c r="Q1473" s="10"/>
      <c r="R1473" s="10"/>
      <c r="S1473" s="10"/>
    </row>
    <row r="1474" spans="10:19">
      <c r="J1474" s="10"/>
      <c r="K1474" s="1127"/>
      <c r="L1474" s="10"/>
      <c r="M1474" s="10"/>
      <c r="N1474" s="10"/>
      <c r="O1474" s="10"/>
      <c r="P1474" s="10"/>
      <c r="Q1474" s="10"/>
      <c r="R1474" s="10"/>
      <c r="S1474" s="10"/>
    </row>
    <row r="1475" spans="10:19">
      <c r="J1475" s="10"/>
      <c r="K1475" s="1127"/>
      <c r="L1475" s="10"/>
      <c r="M1475" s="10"/>
      <c r="N1475" s="10"/>
      <c r="O1475" s="10"/>
      <c r="P1475" s="10"/>
      <c r="Q1475" s="10"/>
      <c r="R1475" s="10"/>
      <c r="S1475" s="10"/>
    </row>
    <row r="1476" spans="10:19">
      <c r="J1476" s="10"/>
      <c r="K1476" s="1127"/>
      <c r="L1476" s="10"/>
      <c r="M1476" s="10"/>
      <c r="N1476" s="10"/>
      <c r="O1476" s="10"/>
      <c r="P1476" s="10"/>
      <c r="Q1476" s="10"/>
      <c r="R1476" s="10"/>
      <c r="S1476" s="10"/>
    </row>
    <row r="1477" spans="10:19">
      <c r="J1477" s="10"/>
      <c r="K1477" s="1127"/>
      <c r="L1477" s="10"/>
      <c r="M1477" s="10"/>
      <c r="N1477" s="10"/>
      <c r="O1477" s="10"/>
      <c r="P1477" s="10"/>
      <c r="Q1477" s="10"/>
      <c r="R1477" s="10"/>
      <c r="S1477" s="10"/>
    </row>
    <row r="1478" spans="10:19">
      <c r="J1478" s="10"/>
      <c r="K1478" s="1127"/>
      <c r="L1478" s="10"/>
      <c r="M1478" s="10"/>
      <c r="N1478" s="10"/>
      <c r="O1478" s="10"/>
      <c r="P1478" s="10"/>
      <c r="Q1478" s="10"/>
      <c r="R1478" s="10"/>
      <c r="S1478" s="10"/>
    </row>
    <row r="1479" spans="10:19">
      <c r="J1479" s="10"/>
      <c r="K1479" s="1127"/>
      <c r="L1479" s="10"/>
      <c r="M1479" s="10"/>
      <c r="N1479" s="10"/>
      <c r="O1479" s="10"/>
      <c r="P1479" s="10"/>
      <c r="Q1479" s="10"/>
      <c r="R1479" s="10"/>
      <c r="S1479" s="10"/>
    </row>
    <row r="1480" spans="10:19">
      <c r="J1480" s="10"/>
      <c r="K1480" s="1127"/>
      <c r="L1480" s="10"/>
      <c r="M1480" s="10"/>
      <c r="N1480" s="10"/>
      <c r="O1480" s="10"/>
      <c r="P1480" s="10"/>
      <c r="Q1480" s="10"/>
      <c r="R1480" s="10"/>
      <c r="S1480" s="10"/>
    </row>
    <row r="1481" spans="10:19">
      <c r="J1481" s="10"/>
      <c r="K1481" s="1127"/>
      <c r="L1481" s="10"/>
      <c r="M1481" s="10"/>
      <c r="N1481" s="10"/>
      <c r="O1481" s="10"/>
      <c r="P1481" s="10"/>
      <c r="Q1481" s="10"/>
      <c r="R1481" s="10"/>
      <c r="S1481" s="10"/>
    </row>
    <row r="1482" spans="10:19">
      <c r="J1482" s="10"/>
      <c r="K1482" s="1127"/>
      <c r="L1482" s="10"/>
      <c r="M1482" s="10"/>
      <c r="N1482" s="10"/>
      <c r="O1482" s="10"/>
      <c r="P1482" s="10"/>
      <c r="Q1482" s="10"/>
      <c r="R1482" s="10"/>
      <c r="S1482" s="10"/>
    </row>
    <row r="1483" spans="10:19">
      <c r="J1483" s="10"/>
      <c r="K1483" s="1127"/>
      <c r="L1483" s="10"/>
      <c r="M1483" s="10"/>
      <c r="N1483" s="10"/>
      <c r="O1483" s="10"/>
      <c r="P1483" s="10"/>
      <c r="Q1483" s="10"/>
      <c r="R1483" s="10"/>
      <c r="S1483" s="10"/>
    </row>
    <row r="1484" spans="10:19">
      <c r="J1484" s="10"/>
      <c r="K1484" s="1127"/>
      <c r="L1484" s="10"/>
      <c r="M1484" s="10"/>
      <c r="N1484" s="10"/>
      <c r="O1484" s="10"/>
      <c r="P1484" s="10"/>
      <c r="Q1484" s="10"/>
      <c r="R1484" s="10"/>
      <c r="S1484" s="10"/>
    </row>
    <row r="1485" spans="10:19">
      <c r="J1485" s="10"/>
      <c r="K1485" s="1127"/>
      <c r="L1485" s="10"/>
      <c r="M1485" s="10"/>
      <c r="N1485" s="10"/>
      <c r="O1485" s="10"/>
      <c r="P1485" s="10"/>
      <c r="Q1485" s="10"/>
      <c r="R1485" s="10"/>
      <c r="S1485" s="10"/>
    </row>
    <row r="1486" spans="10:19">
      <c r="J1486" s="10"/>
      <c r="K1486" s="1127"/>
      <c r="L1486" s="10"/>
      <c r="M1486" s="10"/>
      <c r="N1486" s="10"/>
      <c r="O1486" s="10"/>
      <c r="P1486" s="10"/>
      <c r="Q1486" s="10"/>
      <c r="R1486" s="10"/>
      <c r="S1486" s="10"/>
    </row>
    <row r="1487" spans="10:19">
      <c r="J1487" s="10"/>
      <c r="K1487" s="1127"/>
      <c r="L1487" s="10"/>
      <c r="M1487" s="10"/>
      <c r="N1487" s="10"/>
      <c r="O1487" s="10"/>
      <c r="P1487" s="10"/>
      <c r="Q1487" s="10"/>
      <c r="R1487" s="10"/>
      <c r="S1487" s="10"/>
    </row>
    <row r="1488" spans="10:19">
      <c r="J1488" s="10"/>
      <c r="K1488" s="1127"/>
      <c r="L1488" s="10"/>
      <c r="M1488" s="10"/>
      <c r="N1488" s="10"/>
      <c r="O1488" s="10"/>
      <c r="P1488" s="10"/>
      <c r="Q1488" s="10"/>
      <c r="R1488" s="10"/>
      <c r="S1488" s="10"/>
    </row>
    <row r="1489" spans="10:19">
      <c r="J1489" s="10"/>
      <c r="K1489" s="1127"/>
      <c r="L1489" s="10"/>
      <c r="M1489" s="10"/>
      <c r="N1489" s="10"/>
      <c r="O1489" s="10"/>
      <c r="P1489" s="10"/>
      <c r="Q1489" s="10"/>
      <c r="R1489" s="10"/>
      <c r="S1489" s="10"/>
    </row>
    <row r="1490" spans="10:19">
      <c r="J1490" s="10"/>
      <c r="K1490" s="1127"/>
      <c r="L1490" s="10"/>
      <c r="M1490" s="10"/>
      <c r="N1490" s="10"/>
      <c r="O1490" s="10"/>
      <c r="P1490" s="10"/>
      <c r="Q1490" s="10"/>
      <c r="R1490" s="10"/>
      <c r="S1490" s="10"/>
    </row>
    <row r="1491" spans="10:19">
      <c r="J1491" s="10"/>
      <c r="K1491" s="1127"/>
      <c r="L1491" s="10"/>
      <c r="M1491" s="10"/>
      <c r="N1491" s="10"/>
      <c r="O1491" s="10"/>
      <c r="P1491" s="10"/>
      <c r="Q1491" s="10"/>
      <c r="R1491" s="10"/>
      <c r="S1491" s="10"/>
    </row>
    <row r="1492" spans="10:19">
      <c r="J1492" s="10"/>
      <c r="K1492" s="1127"/>
      <c r="L1492" s="10"/>
      <c r="M1492" s="10"/>
      <c r="N1492" s="10"/>
      <c r="O1492" s="10"/>
      <c r="P1492" s="10"/>
      <c r="Q1492" s="10"/>
      <c r="R1492" s="10"/>
      <c r="S1492" s="10"/>
    </row>
    <row r="1493" spans="10:19">
      <c r="J1493" s="10"/>
      <c r="K1493" s="1127"/>
      <c r="L1493" s="10"/>
      <c r="M1493" s="10"/>
      <c r="N1493" s="10"/>
      <c r="O1493" s="10"/>
      <c r="P1493" s="10"/>
      <c r="Q1493" s="10"/>
      <c r="R1493" s="10"/>
      <c r="S1493" s="10"/>
    </row>
    <row r="1494" spans="10:19">
      <c r="J1494" s="10"/>
      <c r="K1494" s="1127"/>
      <c r="L1494" s="10"/>
      <c r="M1494" s="10"/>
      <c r="N1494" s="10"/>
      <c r="O1494" s="10"/>
      <c r="P1494" s="10"/>
      <c r="Q1494" s="10"/>
      <c r="R1494" s="10"/>
      <c r="S1494" s="10"/>
    </row>
    <row r="1495" spans="10:19">
      <c r="J1495" s="10"/>
      <c r="K1495" s="1127"/>
      <c r="L1495" s="10"/>
      <c r="M1495" s="10"/>
      <c r="N1495" s="10"/>
      <c r="O1495" s="10"/>
      <c r="P1495" s="10"/>
      <c r="Q1495" s="10"/>
      <c r="R1495" s="10"/>
      <c r="S1495" s="10"/>
    </row>
    <row r="1496" spans="10:19">
      <c r="J1496" s="10"/>
      <c r="K1496" s="1127"/>
      <c r="L1496" s="10"/>
      <c r="M1496" s="10"/>
      <c r="N1496" s="10"/>
      <c r="O1496" s="10"/>
      <c r="P1496" s="10"/>
      <c r="Q1496" s="10"/>
      <c r="R1496" s="10"/>
      <c r="S1496" s="10"/>
    </row>
    <row r="1497" spans="10:19">
      <c r="J1497" s="10"/>
      <c r="K1497" s="1127"/>
      <c r="L1497" s="10"/>
      <c r="M1497" s="10"/>
      <c r="N1497" s="10"/>
      <c r="O1497" s="10"/>
      <c r="P1497" s="10"/>
      <c r="Q1497" s="10"/>
      <c r="R1497" s="10"/>
      <c r="S1497" s="10"/>
    </row>
    <row r="1498" spans="10:19">
      <c r="J1498" s="10"/>
      <c r="K1498" s="1127"/>
      <c r="L1498" s="10"/>
      <c r="M1498" s="10"/>
      <c r="N1498" s="10"/>
      <c r="O1498" s="10"/>
      <c r="P1498" s="10"/>
      <c r="Q1498" s="10"/>
      <c r="R1498" s="10"/>
      <c r="S1498" s="10"/>
    </row>
    <row r="1499" spans="10:19">
      <c r="J1499" s="10"/>
      <c r="K1499" s="1127"/>
      <c r="L1499" s="10"/>
      <c r="M1499" s="10"/>
      <c r="N1499" s="10"/>
      <c r="O1499" s="10"/>
      <c r="P1499" s="10"/>
      <c r="Q1499" s="10"/>
      <c r="R1499" s="10"/>
      <c r="S1499" s="10"/>
    </row>
    <row r="1500" spans="10:19">
      <c r="J1500" s="10"/>
      <c r="K1500" s="1127"/>
      <c r="L1500" s="10"/>
      <c r="M1500" s="10"/>
      <c r="N1500" s="10"/>
      <c r="O1500" s="10"/>
      <c r="P1500" s="10"/>
      <c r="Q1500" s="10"/>
      <c r="R1500" s="10"/>
      <c r="S1500" s="10"/>
    </row>
    <row r="1501" spans="10:19">
      <c r="J1501" s="10"/>
      <c r="K1501" s="1127"/>
      <c r="L1501" s="10"/>
      <c r="M1501" s="10"/>
      <c r="N1501" s="10"/>
      <c r="O1501" s="10"/>
      <c r="P1501" s="10"/>
      <c r="Q1501" s="10"/>
      <c r="R1501" s="10"/>
      <c r="S1501" s="10"/>
    </row>
    <row r="1502" spans="10:19">
      <c r="J1502" s="10"/>
      <c r="K1502" s="1127"/>
      <c r="L1502" s="10"/>
      <c r="M1502" s="10"/>
      <c r="N1502" s="10"/>
      <c r="O1502" s="10"/>
      <c r="P1502" s="10"/>
      <c r="Q1502" s="10"/>
      <c r="R1502" s="10"/>
      <c r="S1502" s="10"/>
    </row>
    <row r="1503" spans="10:19">
      <c r="J1503" s="10"/>
      <c r="K1503" s="1127"/>
      <c r="L1503" s="10"/>
      <c r="M1503" s="10"/>
      <c r="N1503" s="10"/>
      <c r="O1503" s="10"/>
      <c r="P1503" s="10"/>
      <c r="Q1503" s="10"/>
      <c r="R1503" s="10"/>
      <c r="S1503" s="10"/>
    </row>
    <row r="1504" spans="10:19">
      <c r="J1504" s="10"/>
      <c r="K1504" s="1127"/>
      <c r="L1504" s="10"/>
      <c r="M1504" s="10"/>
      <c r="N1504" s="10"/>
      <c r="O1504" s="10"/>
      <c r="P1504" s="10"/>
      <c r="Q1504" s="10"/>
      <c r="R1504" s="10"/>
      <c r="S1504" s="10"/>
    </row>
    <row r="1505" spans="10:19">
      <c r="J1505" s="10"/>
      <c r="K1505" s="1127"/>
      <c r="L1505" s="10"/>
      <c r="M1505" s="10"/>
      <c r="N1505" s="10"/>
      <c r="O1505" s="10"/>
      <c r="P1505" s="10"/>
      <c r="Q1505" s="10"/>
      <c r="R1505" s="10"/>
      <c r="S1505" s="10"/>
    </row>
    <row r="1506" spans="10:19">
      <c r="J1506" s="10"/>
      <c r="K1506" s="1127"/>
      <c r="L1506" s="10"/>
      <c r="M1506" s="10"/>
      <c r="N1506" s="10"/>
      <c r="O1506" s="10"/>
      <c r="P1506" s="10"/>
      <c r="Q1506" s="10"/>
      <c r="R1506" s="10"/>
      <c r="S1506" s="10"/>
    </row>
    <row r="1507" spans="10:19">
      <c r="J1507" s="10"/>
      <c r="K1507" s="1127"/>
      <c r="L1507" s="10"/>
      <c r="M1507" s="10"/>
      <c r="N1507" s="10"/>
      <c r="O1507" s="10"/>
      <c r="P1507" s="10"/>
      <c r="Q1507" s="10"/>
      <c r="R1507" s="10"/>
      <c r="S1507" s="10"/>
    </row>
    <row r="1508" spans="10:19">
      <c r="J1508" s="10"/>
      <c r="K1508" s="1127"/>
      <c r="L1508" s="10"/>
      <c r="M1508" s="10"/>
      <c r="N1508" s="10"/>
      <c r="O1508" s="10"/>
      <c r="P1508" s="10"/>
      <c r="Q1508" s="10"/>
      <c r="R1508" s="10"/>
      <c r="S1508" s="10"/>
    </row>
    <row r="1509" spans="10:19">
      <c r="J1509" s="10"/>
      <c r="K1509" s="1127"/>
      <c r="L1509" s="10"/>
      <c r="M1509" s="10"/>
      <c r="N1509" s="10"/>
      <c r="O1509" s="10"/>
      <c r="P1509" s="10"/>
      <c r="Q1509" s="10"/>
      <c r="R1509" s="10"/>
      <c r="S1509" s="10"/>
    </row>
    <row r="1510" spans="10:19">
      <c r="J1510" s="10"/>
      <c r="K1510" s="1127"/>
      <c r="L1510" s="10"/>
      <c r="M1510" s="10"/>
      <c r="N1510" s="10"/>
      <c r="O1510" s="10"/>
      <c r="P1510" s="10"/>
      <c r="Q1510" s="10"/>
      <c r="R1510" s="10"/>
      <c r="S1510" s="10"/>
    </row>
    <row r="1511" spans="10:19">
      <c r="J1511" s="10"/>
      <c r="K1511" s="1127"/>
      <c r="L1511" s="10"/>
      <c r="M1511" s="10"/>
      <c r="N1511" s="10"/>
      <c r="O1511" s="10"/>
      <c r="P1511" s="10"/>
      <c r="Q1511" s="10"/>
      <c r="R1511" s="10"/>
      <c r="S1511" s="10"/>
    </row>
    <row r="1512" spans="10:19">
      <c r="J1512" s="10"/>
      <c r="K1512" s="1127"/>
      <c r="L1512" s="10"/>
      <c r="M1512" s="10"/>
      <c r="N1512" s="10"/>
      <c r="O1512" s="10"/>
      <c r="P1512" s="10"/>
      <c r="Q1512" s="10"/>
      <c r="R1512" s="10"/>
      <c r="S1512" s="10"/>
    </row>
    <row r="1513" spans="10:19">
      <c r="J1513" s="10"/>
      <c r="K1513" s="1127"/>
      <c r="L1513" s="10"/>
      <c r="M1513" s="10"/>
      <c r="N1513" s="10"/>
      <c r="O1513" s="10"/>
      <c r="P1513" s="10"/>
      <c r="Q1513" s="10"/>
      <c r="R1513" s="10"/>
      <c r="S1513" s="10"/>
    </row>
    <row r="1514" spans="10:19">
      <c r="J1514" s="10"/>
      <c r="K1514" s="1127"/>
      <c r="L1514" s="10"/>
      <c r="M1514" s="10"/>
      <c r="N1514" s="10"/>
      <c r="O1514" s="10"/>
      <c r="P1514" s="10"/>
      <c r="Q1514" s="10"/>
      <c r="R1514" s="10"/>
      <c r="S1514" s="10"/>
    </row>
    <row r="1515" spans="10:19">
      <c r="J1515" s="10"/>
      <c r="K1515" s="1127"/>
      <c r="L1515" s="10"/>
      <c r="M1515" s="10"/>
      <c r="N1515" s="10"/>
      <c r="O1515" s="10"/>
      <c r="P1515" s="10"/>
      <c r="Q1515" s="10"/>
      <c r="R1515" s="10"/>
      <c r="S1515" s="10"/>
    </row>
    <row r="1516" spans="10:19">
      <c r="J1516" s="10"/>
      <c r="K1516" s="1127"/>
      <c r="L1516" s="10"/>
      <c r="M1516" s="10"/>
      <c r="N1516" s="10"/>
      <c r="O1516" s="10"/>
      <c r="P1516" s="10"/>
      <c r="Q1516" s="10"/>
      <c r="R1516" s="10"/>
      <c r="S1516" s="10"/>
    </row>
    <row r="1517" spans="10:19">
      <c r="J1517" s="10"/>
      <c r="K1517" s="1127"/>
      <c r="L1517" s="10"/>
      <c r="M1517" s="10"/>
      <c r="N1517" s="10"/>
      <c r="O1517" s="10"/>
      <c r="P1517" s="10"/>
      <c r="Q1517" s="10"/>
      <c r="R1517" s="10"/>
      <c r="S1517" s="10"/>
    </row>
    <row r="1518" spans="10:19">
      <c r="J1518" s="10"/>
      <c r="K1518" s="1127"/>
      <c r="L1518" s="10"/>
      <c r="M1518" s="10"/>
      <c r="N1518" s="10"/>
      <c r="O1518" s="10"/>
      <c r="P1518" s="10"/>
      <c r="Q1518" s="10"/>
      <c r="R1518" s="10"/>
      <c r="S1518" s="10"/>
    </row>
    <row r="1519" spans="10:19">
      <c r="J1519" s="10"/>
      <c r="K1519" s="1127"/>
      <c r="L1519" s="10"/>
      <c r="M1519" s="10"/>
      <c r="N1519" s="10"/>
      <c r="O1519" s="10"/>
      <c r="P1519" s="10"/>
      <c r="Q1519" s="10"/>
      <c r="R1519" s="10"/>
      <c r="S1519" s="10"/>
    </row>
    <row r="1520" spans="10:19">
      <c r="J1520" s="10"/>
      <c r="K1520" s="1127"/>
      <c r="L1520" s="10"/>
      <c r="M1520" s="10"/>
      <c r="N1520" s="10"/>
      <c r="O1520" s="10"/>
      <c r="P1520" s="10"/>
      <c r="Q1520" s="10"/>
      <c r="R1520" s="10"/>
      <c r="S1520" s="10"/>
    </row>
    <row r="1521" spans="10:19">
      <c r="J1521" s="10"/>
      <c r="K1521" s="1127"/>
      <c r="L1521" s="10"/>
      <c r="M1521" s="10"/>
      <c r="N1521" s="10"/>
      <c r="O1521" s="10"/>
      <c r="P1521" s="10"/>
      <c r="Q1521" s="10"/>
      <c r="R1521" s="10"/>
      <c r="S1521" s="10"/>
    </row>
    <row r="1522" spans="10:19">
      <c r="J1522" s="10"/>
      <c r="K1522" s="1127"/>
      <c r="L1522" s="10"/>
      <c r="M1522" s="10"/>
      <c r="N1522" s="10"/>
      <c r="O1522" s="10"/>
      <c r="P1522" s="10"/>
      <c r="Q1522" s="10"/>
      <c r="R1522" s="10"/>
      <c r="S1522" s="10"/>
    </row>
    <row r="1523" spans="10:19">
      <c r="J1523" s="10"/>
      <c r="K1523" s="1127"/>
      <c r="L1523" s="10"/>
      <c r="M1523" s="10"/>
      <c r="N1523" s="10"/>
      <c r="O1523" s="10"/>
      <c r="P1523" s="10"/>
      <c r="Q1523" s="10"/>
      <c r="R1523" s="10"/>
      <c r="S1523" s="10"/>
    </row>
    <row r="1524" spans="10:19">
      <c r="J1524" s="10"/>
      <c r="K1524" s="1127"/>
      <c r="L1524" s="10"/>
      <c r="M1524" s="10"/>
      <c r="N1524" s="10"/>
      <c r="O1524" s="10"/>
      <c r="P1524" s="10"/>
      <c r="Q1524" s="10"/>
      <c r="R1524" s="10"/>
      <c r="S1524" s="10"/>
    </row>
    <row r="1525" spans="10:19">
      <c r="J1525" s="10"/>
      <c r="K1525" s="1127"/>
      <c r="L1525" s="10"/>
      <c r="M1525" s="10"/>
      <c r="N1525" s="10"/>
      <c r="O1525" s="10"/>
      <c r="P1525" s="10"/>
      <c r="Q1525" s="10"/>
      <c r="R1525" s="10"/>
      <c r="S1525" s="10"/>
    </row>
    <row r="1526" spans="10:19">
      <c r="J1526" s="10"/>
      <c r="K1526" s="1127"/>
      <c r="L1526" s="10"/>
      <c r="M1526" s="10"/>
      <c r="N1526" s="10"/>
      <c r="O1526" s="10"/>
      <c r="P1526" s="10"/>
      <c r="Q1526" s="10"/>
      <c r="R1526" s="10"/>
      <c r="S1526" s="10"/>
    </row>
    <row r="1527" spans="10:19">
      <c r="J1527" s="10"/>
      <c r="K1527" s="1127"/>
      <c r="L1527" s="10"/>
      <c r="M1527" s="10"/>
      <c r="N1527" s="10"/>
      <c r="O1527" s="10"/>
      <c r="P1527" s="10"/>
      <c r="Q1527" s="10"/>
      <c r="R1527" s="10"/>
      <c r="S1527" s="10"/>
    </row>
    <row r="1528" spans="10:19">
      <c r="J1528" s="10"/>
      <c r="K1528" s="1127"/>
      <c r="L1528" s="10"/>
      <c r="M1528" s="10"/>
      <c r="N1528" s="10"/>
      <c r="O1528" s="10"/>
      <c r="P1528" s="10"/>
      <c r="Q1528" s="10"/>
      <c r="R1528" s="10"/>
      <c r="S1528" s="10"/>
    </row>
    <row r="1529" spans="10:19">
      <c r="J1529" s="10"/>
      <c r="K1529" s="1127"/>
      <c r="L1529" s="10"/>
      <c r="M1529" s="10"/>
      <c r="N1529" s="10"/>
      <c r="O1529" s="10"/>
      <c r="P1529" s="10"/>
      <c r="Q1529" s="10"/>
      <c r="R1529" s="10"/>
      <c r="S1529" s="10"/>
    </row>
    <row r="1530" spans="10:19">
      <c r="J1530" s="10"/>
      <c r="K1530" s="1127"/>
      <c r="L1530" s="10"/>
      <c r="M1530" s="10"/>
      <c r="N1530" s="10"/>
      <c r="O1530" s="10"/>
      <c r="P1530" s="10"/>
      <c r="Q1530" s="10"/>
      <c r="R1530" s="10"/>
      <c r="S1530" s="10"/>
    </row>
    <row r="1531" spans="10:19">
      <c r="J1531" s="10"/>
      <c r="K1531" s="1127"/>
      <c r="L1531" s="10"/>
      <c r="M1531" s="10"/>
      <c r="N1531" s="10"/>
      <c r="O1531" s="10"/>
      <c r="P1531" s="10"/>
      <c r="Q1531" s="10"/>
      <c r="R1531" s="10"/>
      <c r="S1531" s="10"/>
    </row>
    <row r="1532" spans="10:19">
      <c r="J1532" s="10"/>
      <c r="K1532" s="1127"/>
      <c r="L1532" s="10"/>
      <c r="M1532" s="10"/>
      <c r="N1532" s="10"/>
      <c r="O1532" s="10"/>
      <c r="P1532" s="10"/>
      <c r="Q1532" s="10"/>
      <c r="R1532" s="10"/>
      <c r="S1532" s="10"/>
    </row>
    <row r="1533" spans="10:19">
      <c r="J1533" s="10"/>
      <c r="K1533" s="1127"/>
      <c r="L1533" s="10"/>
      <c r="M1533" s="10"/>
      <c r="N1533" s="10"/>
      <c r="O1533" s="10"/>
      <c r="P1533" s="10"/>
      <c r="Q1533" s="10"/>
      <c r="R1533" s="10"/>
      <c r="S1533" s="10"/>
    </row>
    <row r="1534" spans="10:19">
      <c r="J1534" s="10"/>
      <c r="K1534" s="1127"/>
      <c r="L1534" s="10"/>
      <c r="M1534" s="10"/>
      <c r="N1534" s="10"/>
      <c r="O1534" s="10"/>
      <c r="P1534" s="10"/>
      <c r="Q1534" s="10"/>
      <c r="R1534" s="10"/>
      <c r="S1534" s="10"/>
    </row>
    <row r="1535" spans="10:19">
      <c r="J1535" s="10"/>
      <c r="K1535" s="1127"/>
      <c r="L1535" s="10"/>
      <c r="M1535" s="10"/>
      <c r="N1535" s="10"/>
      <c r="O1535" s="10"/>
      <c r="P1535" s="10"/>
      <c r="Q1535" s="10"/>
      <c r="R1535" s="10"/>
      <c r="S1535" s="10"/>
    </row>
    <row r="1536" spans="10:19">
      <c r="J1536" s="10"/>
      <c r="K1536" s="1127"/>
      <c r="L1536" s="10"/>
      <c r="M1536" s="10"/>
      <c r="N1536" s="10"/>
      <c r="O1536" s="10"/>
      <c r="P1536" s="10"/>
      <c r="Q1536" s="10"/>
      <c r="R1536" s="10"/>
      <c r="S1536" s="10"/>
    </row>
    <row r="1537" spans="10:19">
      <c r="J1537" s="10"/>
      <c r="K1537" s="1127"/>
      <c r="L1537" s="10"/>
      <c r="M1537" s="10"/>
      <c r="N1537" s="10"/>
      <c r="O1537" s="10"/>
      <c r="P1537" s="10"/>
      <c r="Q1537" s="10"/>
      <c r="R1537" s="10"/>
      <c r="S1537" s="10"/>
    </row>
    <row r="1538" spans="10:19">
      <c r="J1538" s="10"/>
      <c r="K1538" s="1127"/>
      <c r="L1538" s="10"/>
      <c r="M1538" s="10"/>
      <c r="N1538" s="10"/>
      <c r="O1538" s="10"/>
      <c r="P1538" s="10"/>
      <c r="Q1538" s="10"/>
      <c r="R1538" s="10"/>
      <c r="S1538" s="10"/>
    </row>
    <row r="1539" spans="10:19">
      <c r="J1539" s="10"/>
      <c r="K1539" s="1127"/>
      <c r="L1539" s="10"/>
      <c r="M1539" s="10"/>
      <c r="N1539" s="10"/>
      <c r="O1539" s="10"/>
      <c r="P1539" s="10"/>
      <c r="Q1539" s="10"/>
      <c r="R1539" s="10"/>
      <c r="S1539" s="10"/>
    </row>
    <row r="1540" spans="10:19">
      <c r="J1540" s="10"/>
      <c r="K1540" s="1127"/>
      <c r="L1540" s="10"/>
      <c r="M1540" s="10"/>
      <c r="N1540" s="10"/>
      <c r="O1540" s="10"/>
      <c r="P1540" s="10"/>
      <c r="Q1540" s="10"/>
      <c r="R1540" s="10"/>
      <c r="S1540" s="10"/>
    </row>
    <row r="1541" spans="10:19">
      <c r="J1541" s="10"/>
      <c r="K1541" s="1127"/>
      <c r="L1541" s="10"/>
      <c r="M1541" s="10"/>
      <c r="N1541" s="10"/>
      <c r="O1541" s="10"/>
      <c r="P1541" s="10"/>
      <c r="Q1541" s="10"/>
      <c r="R1541" s="10"/>
      <c r="S1541" s="10"/>
    </row>
    <row r="1542" spans="10:19">
      <c r="J1542" s="10"/>
      <c r="K1542" s="1127"/>
      <c r="L1542" s="10"/>
      <c r="M1542" s="10"/>
      <c r="N1542" s="10"/>
      <c r="O1542" s="10"/>
      <c r="P1542" s="10"/>
      <c r="Q1542" s="10"/>
      <c r="R1542" s="10"/>
      <c r="S1542" s="10"/>
    </row>
    <row r="1543" spans="10:19">
      <c r="J1543" s="10"/>
      <c r="K1543" s="1127"/>
      <c r="L1543" s="10"/>
      <c r="M1543" s="10"/>
      <c r="N1543" s="10"/>
      <c r="O1543" s="10"/>
      <c r="P1543" s="10"/>
      <c r="Q1543" s="10"/>
      <c r="R1543" s="10"/>
      <c r="S1543" s="10"/>
    </row>
    <row r="1544" spans="10:19">
      <c r="J1544" s="10"/>
      <c r="K1544" s="1127"/>
      <c r="L1544" s="10"/>
      <c r="M1544" s="10"/>
      <c r="N1544" s="10"/>
      <c r="O1544" s="10"/>
      <c r="P1544" s="10"/>
      <c r="Q1544" s="10"/>
      <c r="R1544" s="10"/>
      <c r="S1544" s="10"/>
    </row>
    <row r="1545" spans="10:19">
      <c r="J1545" s="10"/>
      <c r="K1545" s="1127"/>
      <c r="L1545" s="10"/>
      <c r="M1545" s="10"/>
      <c r="N1545" s="10"/>
      <c r="O1545" s="10"/>
      <c r="P1545" s="10"/>
      <c r="Q1545" s="10"/>
      <c r="R1545" s="10"/>
      <c r="S1545" s="10"/>
    </row>
    <row r="1546" spans="10:19">
      <c r="J1546" s="10"/>
      <c r="K1546" s="1127"/>
      <c r="L1546" s="10"/>
      <c r="M1546" s="10"/>
      <c r="N1546" s="10"/>
      <c r="O1546" s="10"/>
      <c r="P1546" s="10"/>
      <c r="Q1546" s="10"/>
      <c r="R1546" s="10"/>
      <c r="S1546" s="10"/>
    </row>
    <row r="1547" spans="10:19">
      <c r="J1547" s="10"/>
      <c r="K1547" s="1127"/>
      <c r="L1547" s="10"/>
      <c r="M1547" s="10"/>
      <c r="N1547" s="10"/>
      <c r="O1547" s="10"/>
      <c r="P1547" s="10"/>
      <c r="Q1547" s="10"/>
      <c r="R1547" s="10"/>
      <c r="S1547" s="10"/>
    </row>
    <row r="1548" spans="10:19">
      <c r="J1548" s="10"/>
      <c r="K1548" s="1127"/>
      <c r="L1548" s="10"/>
      <c r="M1548" s="10"/>
      <c r="N1548" s="10"/>
      <c r="O1548" s="10"/>
      <c r="P1548" s="10"/>
      <c r="Q1548" s="10"/>
      <c r="R1548" s="10"/>
      <c r="S1548" s="10"/>
    </row>
    <row r="1549" spans="10:19">
      <c r="J1549" s="10"/>
      <c r="K1549" s="1127"/>
      <c r="L1549" s="10"/>
      <c r="M1549" s="10"/>
      <c r="N1549" s="10"/>
      <c r="O1549" s="10"/>
      <c r="P1549" s="10"/>
      <c r="Q1549" s="10"/>
      <c r="R1549" s="10"/>
      <c r="S1549" s="10"/>
    </row>
    <row r="1550" spans="10:19">
      <c r="J1550" s="10"/>
      <c r="K1550" s="1127"/>
      <c r="L1550" s="10"/>
      <c r="M1550" s="10"/>
      <c r="N1550" s="10"/>
      <c r="O1550" s="10"/>
      <c r="P1550" s="10"/>
      <c r="Q1550" s="10"/>
      <c r="R1550" s="10"/>
      <c r="S1550" s="10"/>
    </row>
    <row r="1551" spans="10:19">
      <c r="J1551" s="10"/>
      <c r="K1551" s="1127"/>
      <c r="L1551" s="10"/>
      <c r="M1551" s="10"/>
      <c r="N1551" s="10"/>
      <c r="O1551" s="10"/>
      <c r="P1551" s="10"/>
      <c r="Q1551" s="10"/>
      <c r="R1551" s="10"/>
      <c r="S1551" s="10"/>
    </row>
    <row r="1552" spans="10:19">
      <c r="J1552" s="10"/>
      <c r="K1552" s="1127"/>
      <c r="L1552" s="10"/>
      <c r="M1552" s="10"/>
      <c r="N1552" s="10"/>
      <c r="O1552" s="10"/>
      <c r="P1552" s="10"/>
      <c r="Q1552" s="10"/>
      <c r="R1552" s="10"/>
      <c r="S1552" s="10"/>
    </row>
    <row r="1553" spans="10:19">
      <c r="J1553" s="10"/>
      <c r="K1553" s="1127"/>
      <c r="L1553" s="10"/>
      <c r="M1553" s="10"/>
      <c r="N1553" s="10"/>
      <c r="O1553" s="10"/>
      <c r="P1553" s="10"/>
      <c r="Q1553" s="10"/>
      <c r="R1553" s="10"/>
      <c r="S1553" s="10"/>
    </row>
    <row r="1554" spans="10:19">
      <c r="J1554" s="10"/>
      <c r="K1554" s="1127"/>
      <c r="L1554" s="10"/>
      <c r="M1554" s="10"/>
      <c r="N1554" s="10"/>
      <c r="O1554" s="10"/>
      <c r="P1554" s="10"/>
      <c r="Q1554" s="10"/>
      <c r="R1554" s="10"/>
      <c r="S1554" s="10"/>
    </row>
    <row r="1555" spans="10:19">
      <c r="J1555" s="10"/>
      <c r="K1555" s="1127"/>
      <c r="L1555" s="10"/>
      <c r="M1555" s="10"/>
      <c r="N1555" s="10"/>
      <c r="O1555" s="10"/>
      <c r="P1555" s="10"/>
      <c r="Q1555" s="10"/>
      <c r="R1555" s="10"/>
      <c r="S1555" s="10"/>
    </row>
    <row r="1556" spans="10:19">
      <c r="J1556" s="10"/>
      <c r="K1556" s="1127"/>
      <c r="L1556" s="10"/>
      <c r="M1556" s="10"/>
      <c r="N1556" s="10"/>
      <c r="O1556" s="10"/>
      <c r="P1556" s="10"/>
      <c r="Q1556" s="10"/>
      <c r="R1556" s="10"/>
      <c r="S1556" s="10"/>
    </row>
    <row r="1557" spans="10:19">
      <c r="J1557" s="10"/>
      <c r="K1557" s="1127"/>
      <c r="L1557" s="10"/>
      <c r="M1557" s="10"/>
      <c r="N1557" s="10"/>
      <c r="O1557" s="10"/>
      <c r="P1557" s="10"/>
      <c r="Q1557" s="10"/>
      <c r="R1557" s="10"/>
      <c r="S1557" s="10"/>
    </row>
    <row r="1558" spans="10:19">
      <c r="J1558" s="10"/>
      <c r="K1558" s="1127"/>
      <c r="L1558" s="10"/>
      <c r="M1558" s="10"/>
      <c r="N1558" s="10"/>
      <c r="O1558" s="10"/>
      <c r="P1558" s="10"/>
      <c r="Q1558" s="10"/>
      <c r="R1558" s="10"/>
      <c r="S1558" s="10"/>
    </row>
    <row r="1559" spans="10:19">
      <c r="J1559" s="10"/>
      <c r="K1559" s="1127"/>
      <c r="L1559" s="10"/>
      <c r="M1559" s="10"/>
      <c r="N1559" s="10"/>
      <c r="O1559" s="10"/>
      <c r="P1559" s="10"/>
      <c r="Q1559" s="10"/>
      <c r="R1559" s="10"/>
      <c r="S1559" s="10"/>
    </row>
    <row r="1560" spans="10:19">
      <c r="J1560" s="10"/>
      <c r="K1560" s="1127"/>
      <c r="L1560" s="10"/>
      <c r="M1560" s="10"/>
      <c r="N1560" s="10"/>
      <c r="O1560" s="10"/>
      <c r="P1560" s="10"/>
      <c r="Q1560" s="10"/>
      <c r="R1560" s="10"/>
      <c r="S1560" s="10"/>
    </row>
    <row r="1561" spans="10:19">
      <c r="J1561" s="10"/>
      <c r="K1561" s="1127"/>
      <c r="L1561" s="10"/>
      <c r="M1561" s="10"/>
      <c r="N1561" s="10"/>
      <c r="O1561" s="10"/>
      <c r="P1561" s="10"/>
      <c r="Q1561" s="10"/>
      <c r="R1561" s="10"/>
      <c r="S1561" s="10"/>
    </row>
    <row r="1562" spans="10:19">
      <c r="J1562" s="10"/>
      <c r="K1562" s="1127"/>
      <c r="L1562" s="10"/>
      <c r="M1562" s="10"/>
      <c r="N1562" s="10"/>
      <c r="O1562" s="10"/>
      <c r="P1562" s="10"/>
      <c r="Q1562" s="10"/>
      <c r="R1562" s="10"/>
      <c r="S1562" s="10"/>
    </row>
    <row r="1563" spans="10:19">
      <c r="J1563" s="10"/>
      <c r="K1563" s="1127"/>
      <c r="L1563" s="10"/>
      <c r="M1563" s="10"/>
      <c r="N1563" s="10"/>
      <c r="O1563" s="10"/>
      <c r="P1563" s="10"/>
      <c r="Q1563" s="10"/>
      <c r="R1563" s="10"/>
      <c r="S1563" s="10"/>
    </row>
    <row r="1564" spans="10:19">
      <c r="J1564" s="10"/>
      <c r="K1564" s="1127"/>
      <c r="L1564" s="10"/>
      <c r="M1564" s="10"/>
      <c r="N1564" s="10"/>
      <c r="O1564" s="10"/>
      <c r="P1564" s="10"/>
      <c r="Q1564" s="10"/>
      <c r="R1564" s="10"/>
      <c r="S1564" s="10"/>
    </row>
    <row r="1565" spans="10:19">
      <c r="J1565" s="10"/>
      <c r="K1565" s="1127"/>
      <c r="L1565" s="10"/>
      <c r="M1565" s="10"/>
      <c r="N1565" s="10"/>
      <c r="O1565" s="10"/>
      <c r="P1565" s="10"/>
      <c r="Q1565" s="10"/>
      <c r="R1565" s="10"/>
      <c r="S1565" s="10"/>
    </row>
    <row r="1566" spans="10:19">
      <c r="J1566" s="10"/>
      <c r="K1566" s="1127"/>
      <c r="L1566" s="10"/>
      <c r="M1566" s="10"/>
      <c r="N1566" s="10"/>
      <c r="O1566" s="10"/>
      <c r="P1566" s="10"/>
      <c r="Q1566" s="10"/>
      <c r="R1566" s="10"/>
      <c r="S1566" s="10"/>
    </row>
    <row r="1567" spans="10:19">
      <c r="J1567" s="10"/>
      <c r="K1567" s="1127"/>
      <c r="L1567" s="10"/>
      <c r="M1567" s="10"/>
      <c r="N1567" s="10"/>
      <c r="O1567" s="10"/>
      <c r="P1567" s="10"/>
      <c r="Q1567" s="10"/>
      <c r="R1567" s="10"/>
      <c r="S1567" s="10"/>
    </row>
    <row r="1568" spans="10:19">
      <c r="J1568" s="10"/>
      <c r="K1568" s="1127"/>
      <c r="L1568" s="10"/>
      <c r="M1568" s="10"/>
      <c r="N1568" s="10"/>
      <c r="O1568" s="10"/>
      <c r="P1568" s="10"/>
      <c r="Q1568" s="10"/>
      <c r="R1568" s="10"/>
      <c r="S1568" s="10"/>
    </row>
    <row r="1569" spans="10:19">
      <c r="J1569" s="10"/>
      <c r="K1569" s="1127"/>
      <c r="L1569" s="10"/>
      <c r="M1569" s="10"/>
      <c r="N1569" s="10"/>
      <c r="O1569" s="10"/>
      <c r="P1569" s="10"/>
      <c r="Q1569" s="10"/>
      <c r="R1569" s="10"/>
      <c r="S1569" s="10"/>
    </row>
    <row r="1570" spans="10:19">
      <c r="J1570" s="10"/>
      <c r="K1570" s="1127"/>
      <c r="L1570" s="10"/>
      <c r="M1570" s="10"/>
      <c r="N1570" s="10"/>
      <c r="O1570" s="10"/>
      <c r="P1570" s="10"/>
      <c r="Q1570" s="10"/>
      <c r="R1570" s="10"/>
      <c r="S1570" s="10"/>
    </row>
    <row r="1571" spans="10:19">
      <c r="J1571" s="10"/>
      <c r="K1571" s="1127"/>
      <c r="L1571" s="10"/>
      <c r="M1571" s="10"/>
      <c r="N1571" s="10"/>
      <c r="O1571" s="10"/>
      <c r="P1571" s="10"/>
      <c r="Q1571" s="10"/>
      <c r="R1571" s="10"/>
      <c r="S1571" s="10"/>
    </row>
    <row r="1572" spans="10:19">
      <c r="J1572" s="10"/>
      <c r="K1572" s="1127"/>
      <c r="L1572" s="10"/>
      <c r="M1572" s="10"/>
      <c r="N1572" s="10"/>
      <c r="O1572" s="10"/>
      <c r="P1572" s="10"/>
      <c r="Q1572" s="10"/>
      <c r="R1572" s="10"/>
      <c r="S1572" s="10"/>
    </row>
    <row r="1573" spans="10:19">
      <c r="J1573" s="10"/>
      <c r="K1573" s="1127"/>
      <c r="L1573" s="10"/>
      <c r="M1573" s="10"/>
      <c r="N1573" s="10"/>
      <c r="O1573" s="10"/>
      <c r="P1573" s="10"/>
      <c r="Q1573" s="10"/>
      <c r="R1573" s="10"/>
      <c r="S1573" s="10"/>
    </row>
    <row r="1574" spans="10:19">
      <c r="J1574" s="10"/>
      <c r="K1574" s="1127"/>
      <c r="L1574" s="10"/>
      <c r="M1574" s="10"/>
      <c r="N1574" s="10"/>
      <c r="O1574" s="10"/>
      <c r="P1574" s="10"/>
      <c r="Q1574" s="10"/>
      <c r="R1574" s="10"/>
      <c r="S1574" s="10"/>
    </row>
    <row r="1575" spans="10:19">
      <c r="J1575" s="10"/>
      <c r="K1575" s="1127"/>
      <c r="L1575" s="10"/>
      <c r="M1575" s="10"/>
      <c r="N1575" s="10"/>
      <c r="O1575" s="10"/>
      <c r="P1575" s="10"/>
      <c r="Q1575" s="10"/>
      <c r="R1575" s="10"/>
      <c r="S1575" s="10"/>
    </row>
    <row r="1576" spans="10:19">
      <c r="J1576" s="10"/>
      <c r="K1576" s="1127"/>
      <c r="L1576" s="10"/>
      <c r="M1576" s="10"/>
      <c r="N1576" s="10"/>
      <c r="O1576" s="10"/>
      <c r="P1576" s="10"/>
      <c r="Q1576" s="10"/>
      <c r="R1576" s="10"/>
      <c r="S1576" s="10"/>
    </row>
    <row r="1577" spans="10:19">
      <c r="J1577" s="10"/>
      <c r="K1577" s="1127"/>
      <c r="L1577" s="10"/>
      <c r="M1577" s="10"/>
      <c r="N1577" s="10"/>
      <c r="O1577" s="10"/>
      <c r="P1577" s="10"/>
      <c r="Q1577" s="10"/>
      <c r="R1577" s="10"/>
      <c r="S1577" s="10"/>
    </row>
    <row r="1578" spans="10:19">
      <c r="J1578" s="10"/>
      <c r="K1578" s="1127"/>
      <c r="L1578" s="10"/>
      <c r="M1578" s="10"/>
      <c r="N1578" s="10"/>
      <c r="O1578" s="10"/>
      <c r="P1578" s="10"/>
      <c r="Q1578" s="10"/>
      <c r="R1578" s="10"/>
      <c r="S1578" s="10"/>
    </row>
    <row r="1579" spans="10:19">
      <c r="J1579" s="10"/>
      <c r="K1579" s="1127"/>
      <c r="L1579" s="10"/>
      <c r="M1579" s="10"/>
      <c r="N1579" s="10"/>
      <c r="O1579" s="10"/>
      <c r="P1579" s="10"/>
      <c r="Q1579" s="10"/>
      <c r="R1579" s="10"/>
      <c r="S1579" s="10"/>
    </row>
    <row r="1580" spans="10:19">
      <c r="J1580" s="10"/>
      <c r="K1580" s="1127"/>
      <c r="L1580" s="10"/>
      <c r="M1580" s="10"/>
      <c r="N1580" s="10"/>
      <c r="O1580" s="10"/>
      <c r="P1580" s="10"/>
      <c r="Q1580" s="10"/>
      <c r="R1580" s="10"/>
      <c r="S1580" s="10"/>
    </row>
    <row r="1581" spans="10:19">
      <c r="J1581" s="10"/>
      <c r="K1581" s="1127"/>
      <c r="L1581" s="10"/>
      <c r="M1581" s="10"/>
      <c r="N1581" s="10"/>
      <c r="O1581" s="10"/>
      <c r="P1581" s="10"/>
      <c r="Q1581" s="10"/>
      <c r="R1581" s="10"/>
      <c r="S1581" s="10"/>
    </row>
    <row r="1582" spans="10:19">
      <c r="J1582" s="10"/>
      <c r="K1582" s="1127"/>
      <c r="L1582" s="10"/>
      <c r="M1582" s="10"/>
      <c r="N1582" s="10"/>
      <c r="O1582" s="10"/>
      <c r="P1582" s="10"/>
      <c r="Q1582" s="10"/>
      <c r="R1582" s="10"/>
      <c r="S1582" s="10"/>
    </row>
    <row r="1583" spans="10:19">
      <c r="J1583" s="10"/>
      <c r="K1583" s="1127"/>
      <c r="L1583" s="10"/>
      <c r="M1583" s="10"/>
      <c r="N1583" s="10"/>
      <c r="O1583" s="10"/>
      <c r="P1583" s="10"/>
      <c r="Q1583" s="10"/>
      <c r="R1583" s="10"/>
      <c r="S1583" s="10"/>
    </row>
    <row r="1584" spans="10:19">
      <c r="J1584" s="10"/>
      <c r="K1584" s="1127"/>
      <c r="L1584" s="10"/>
      <c r="M1584" s="10"/>
      <c r="N1584" s="10"/>
      <c r="O1584" s="10"/>
      <c r="P1584" s="10"/>
      <c r="Q1584" s="10"/>
      <c r="R1584" s="10"/>
      <c r="S1584" s="10"/>
    </row>
    <row r="1585" spans="10:19">
      <c r="J1585" s="10"/>
      <c r="K1585" s="1127"/>
      <c r="L1585" s="10"/>
      <c r="M1585" s="10"/>
      <c r="N1585" s="10"/>
      <c r="O1585" s="10"/>
      <c r="P1585" s="10"/>
      <c r="Q1585" s="10"/>
      <c r="R1585" s="10"/>
      <c r="S1585" s="10"/>
    </row>
    <row r="1586" spans="10:19">
      <c r="J1586" s="10"/>
      <c r="K1586" s="1127"/>
      <c r="L1586" s="10"/>
      <c r="M1586" s="10"/>
      <c r="N1586" s="10"/>
      <c r="O1586" s="10"/>
      <c r="P1586" s="10"/>
      <c r="Q1586" s="10"/>
      <c r="R1586" s="10"/>
      <c r="S1586" s="10"/>
    </row>
    <row r="1587" spans="10:19">
      <c r="J1587" s="10"/>
      <c r="K1587" s="1127"/>
      <c r="L1587" s="10"/>
      <c r="M1587" s="10"/>
      <c r="N1587" s="10"/>
      <c r="O1587" s="10"/>
      <c r="P1587" s="10"/>
      <c r="Q1587" s="10"/>
      <c r="R1587" s="10"/>
      <c r="S1587" s="10"/>
    </row>
    <row r="1588" spans="10:19">
      <c r="J1588" s="10"/>
      <c r="K1588" s="1127"/>
      <c r="L1588" s="10"/>
      <c r="M1588" s="10"/>
      <c r="N1588" s="10"/>
      <c r="O1588" s="10"/>
      <c r="P1588" s="10"/>
      <c r="Q1588" s="10"/>
      <c r="R1588" s="10"/>
      <c r="S1588" s="10"/>
    </row>
    <row r="1589" spans="10:19">
      <c r="J1589" s="10"/>
      <c r="K1589" s="1127"/>
      <c r="L1589" s="10"/>
      <c r="M1589" s="10"/>
      <c r="N1589" s="10"/>
      <c r="O1589" s="10"/>
      <c r="P1589" s="10"/>
      <c r="Q1589" s="10"/>
      <c r="R1589" s="10"/>
      <c r="S1589" s="10"/>
    </row>
    <row r="1590" spans="10:19">
      <c r="J1590" s="10"/>
      <c r="K1590" s="1127"/>
      <c r="L1590" s="10"/>
      <c r="M1590" s="10"/>
      <c r="N1590" s="10"/>
      <c r="O1590" s="10"/>
      <c r="P1590" s="10"/>
      <c r="Q1590" s="10"/>
      <c r="R1590" s="10"/>
      <c r="S1590" s="10"/>
    </row>
    <row r="1591" spans="10:19">
      <c r="J1591" s="10"/>
      <c r="K1591" s="1127"/>
      <c r="L1591" s="10"/>
      <c r="M1591" s="10"/>
      <c r="N1591" s="10"/>
      <c r="O1591" s="10"/>
      <c r="P1591" s="10"/>
      <c r="Q1591" s="10"/>
      <c r="R1591" s="10"/>
      <c r="S1591" s="10"/>
    </row>
    <row r="1592" spans="10:19">
      <c r="J1592" s="10"/>
      <c r="K1592" s="1127"/>
      <c r="L1592" s="10"/>
      <c r="M1592" s="10"/>
      <c r="N1592" s="10"/>
      <c r="O1592" s="10"/>
      <c r="P1592" s="10"/>
      <c r="Q1592" s="10"/>
      <c r="R1592" s="10"/>
      <c r="S1592" s="10"/>
    </row>
    <row r="1593" spans="10:19">
      <c r="J1593" s="10"/>
      <c r="K1593" s="1127"/>
      <c r="L1593" s="10"/>
      <c r="M1593" s="10"/>
      <c r="N1593" s="10"/>
      <c r="O1593" s="10"/>
      <c r="P1593" s="10"/>
      <c r="Q1593" s="10"/>
      <c r="R1593" s="10"/>
      <c r="S1593" s="10"/>
    </row>
    <row r="1594" spans="10:19">
      <c r="J1594" s="10"/>
      <c r="K1594" s="1127"/>
      <c r="L1594" s="10"/>
      <c r="M1594" s="10"/>
      <c r="N1594" s="10"/>
      <c r="O1594" s="10"/>
      <c r="P1594" s="10"/>
      <c r="Q1594" s="10"/>
      <c r="R1594" s="10"/>
      <c r="S1594" s="10"/>
    </row>
    <row r="1595" spans="10:19">
      <c r="J1595" s="10"/>
      <c r="K1595" s="1127"/>
      <c r="L1595" s="10"/>
      <c r="M1595" s="10"/>
      <c r="N1595" s="10"/>
      <c r="O1595" s="10"/>
      <c r="P1595" s="10"/>
      <c r="Q1595" s="10"/>
      <c r="R1595" s="10"/>
      <c r="S1595" s="10"/>
    </row>
    <row r="1596" spans="10:19">
      <c r="J1596" s="10"/>
      <c r="K1596" s="1127"/>
      <c r="L1596" s="10"/>
      <c r="M1596" s="10"/>
      <c r="N1596" s="10"/>
      <c r="O1596" s="10"/>
      <c r="P1596" s="10"/>
      <c r="Q1596" s="10"/>
      <c r="R1596" s="10"/>
      <c r="S1596" s="10"/>
    </row>
    <row r="1597" spans="10:19">
      <c r="J1597" s="10"/>
      <c r="K1597" s="1127"/>
      <c r="L1597" s="10"/>
      <c r="M1597" s="10"/>
      <c r="N1597" s="10"/>
      <c r="O1597" s="10"/>
      <c r="P1597" s="10"/>
      <c r="Q1597" s="10"/>
      <c r="R1597" s="10"/>
      <c r="S1597" s="10"/>
    </row>
    <row r="1598" spans="10:19">
      <c r="J1598" s="10"/>
      <c r="K1598" s="1127"/>
      <c r="L1598" s="10"/>
      <c r="M1598" s="10"/>
      <c r="N1598" s="10"/>
      <c r="O1598" s="10"/>
      <c r="P1598" s="10"/>
      <c r="Q1598" s="10"/>
      <c r="R1598" s="10"/>
      <c r="S1598" s="10"/>
    </row>
    <row r="1599" spans="10:19">
      <c r="J1599" s="10"/>
      <c r="K1599" s="1127"/>
      <c r="L1599" s="10"/>
      <c r="M1599" s="10"/>
      <c r="N1599" s="10"/>
      <c r="O1599" s="10"/>
      <c r="P1599" s="10"/>
      <c r="Q1599" s="10"/>
      <c r="R1599" s="10"/>
      <c r="S1599" s="10"/>
    </row>
    <row r="1600" spans="10:19">
      <c r="J1600" s="10"/>
      <c r="K1600" s="1127"/>
      <c r="L1600" s="10"/>
      <c r="M1600" s="10"/>
      <c r="N1600" s="10"/>
      <c r="O1600" s="10"/>
      <c r="P1600" s="10"/>
      <c r="Q1600" s="10"/>
      <c r="R1600" s="10"/>
      <c r="S1600" s="10"/>
    </row>
    <row r="1601" spans="10:19">
      <c r="J1601" s="10"/>
      <c r="K1601" s="1127"/>
      <c r="L1601" s="10"/>
      <c r="M1601" s="10"/>
      <c r="N1601" s="10"/>
      <c r="O1601" s="10"/>
      <c r="P1601" s="10"/>
      <c r="Q1601" s="10"/>
      <c r="R1601" s="10"/>
      <c r="S1601" s="10"/>
    </row>
    <row r="1602" spans="10:19">
      <c r="J1602" s="10"/>
      <c r="K1602" s="1127"/>
      <c r="L1602" s="10"/>
      <c r="M1602" s="10"/>
      <c r="N1602" s="10"/>
      <c r="O1602" s="10"/>
      <c r="P1602" s="10"/>
      <c r="Q1602" s="10"/>
      <c r="R1602" s="10"/>
      <c r="S1602" s="10"/>
    </row>
    <row r="1603" spans="10:19">
      <c r="J1603" s="10"/>
      <c r="K1603" s="1127"/>
      <c r="L1603" s="10"/>
      <c r="M1603" s="10"/>
      <c r="N1603" s="10"/>
      <c r="O1603" s="10"/>
      <c r="P1603" s="10"/>
      <c r="Q1603" s="10"/>
      <c r="R1603" s="10"/>
      <c r="S1603" s="10"/>
    </row>
    <row r="1604" spans="10:19">
      <c r="J1604" s="10"/>
      <c r="K1604" s="1127"/>
      <c r="L1604" s="10"/>
      <c r="M1604" s="10"/>
      <c r="N1604" s="10"/>
      <c r="O1604" s="10"/>
      <c r="P1604" s="10"/>
      <c r="Q1604" s="10"/>
      <c r="R1604" s="10"/>
      <c r="S1604" s="10"/>
    </row>
    <row r="1605" spans="10:19">
      <c r="J1605" s="10"/>
      <c r="K1605" s="1127"/>
      <c r="L1605" s="10"/>
      <c r="M1605" s="10"/>
      <c r="N1605" s="10"/>
      <c r="O1605" s="10"/>
      <c r="P1605" s="10"/>
      <c r="Q1605" s="10"/>
      <c r="R1605" s="10"/>
      <c r="S1605" s="10"/>
    </row>
    <row r="1606" spans="10:19">
      <c r="J1606" s="10"/>
      <c r="K1606" s="1127"/>
      <c r="L1606" s="10"/>
      <c r="M1606" s="10"/>
      <c r="N1606" s="10"/>
      <c r="O1606" s="10"/>
      <c r="P1606" s="10"/>
      <c r="Q1606" s="10"/>
      <c r="R1606" s="10"/>
      <c r="S1606" s="10"/>
    </row>
    <row r="1607" spans="10:19">
      <c r="J1607" s="10"/>
      <c r="K1607" s="1127"/>
      <c r="L1607" s="10"/>
      <c r="M1607" s="10"/>
      <c r="N1607" s="10"/>
      <c r="O1607" s="10"/>
      <c r="P1607" s="10"/>
      <c r="Q1607" s="10"/>
      <c r="R1607" s="10"/>
      <c r="S1607" s="10"/>
    </row>
    <row r="1608" spans="10:19">
      <c r="J1608" s="10"/>
      <c r="K1608" s="1127"/>
      <c r="L1608" s="10"/>
      <c r="M1608" s="10"/>
      <c r="N1608" s="10"/>
      <c r="O1608" s="10"/>
      <c r="P1608" s="10"/>
      <c r="Q1608" s="10"/>
      <c r="R1608" s="10"/>
      <c r="S1608" s="10"/>
    </row>
    <row r="1609" spans="10:19">
      <c r="J1609" s="10"/>
      <c r="K1609" s="1127"/>
      <c r="L1609" s="10"/>
      <c r="M1609" s="10"/>
      <c r="N1609" s="10"/>
      <c r="O1609" s="10"/>
      <c r="P1609" s="10"/>
      <c r="Q1609" s="10"/>
      <c r="R1609" s="10"/>
      <c r="S1609" s="10"/>
    </row>
    <row r="1610" spans="10:19">
      <c r="J1610" s="10"/>
      <c r="K1610" s="1127"/>
      <c r="L1610" s="10"/>
      <c r="M1610" s="10"/>
      <c r="N1610" s="10"/>
      <c r="O1610" s="10"/>
      <c r="P1610" s="10"/>
      <c r="Q1610" s="10"/>
      <c r="R1610" s="10"/>
      <c r="S1610" s="10"/>
    </row>
    <row r="1611" spans="10:19">
      <c r="J1611" s="10"/>
      <c r="K1611" s="1127"/>
      <c r="L1611" s="10"/>
      <c r="M1611" s="10"/>
      <c r="N1611" s="10"/>
      <c r="O1611" s="10"/>
      <c r="P1611" s="10"/>
      <c r="Q1611" s="10"/>
      <c r="R1611" s="10"/>
      <c r="S1611" s="10"/>
    </row>
    <row r="1612" spans="10:19">
      <c r="J1612" s="10"/>
      <c r="K1612" s="1127"/>
      <c r="L1612" s="10"/>
      <c r="M1612" s="10"/>
      <c r="N1612" s="10"/>
      <c r="O1612" s="10"/>
      <c r="P1612" s="10"/>
      <c r="Q1612" s="10"/>
      <c r="R1612" s="10"/>
      <c r="S1612" s="10"/>
    </row>
    <row r="1613" spans="10:19">
      <c r="J1613" s="10"/>
      <c r="K1613" s="1127"/>
      <c r="L1613" s="10"/>
      <c r="M1613" s="10"/>
      <c r="N1613" s="10"/>
      <c r="O1613" s="10"/>
      <c r="P1613" s="10"/>
      <c r="Q1613" s="10"/>
      <c r="R1613" s="10"/>
      <c r="S1613" s="10"/>
    </row>
    <row r="1614" spans="10:19">
      <c r="J1614" s="10"/>
      <c r="K1614" s="1127"/>
      <c r="L1614" s="10"/>
      <c r="M1614" s="10"/>
      <c r="N1614" s="10"/>
      <c r="O1614" s="10"/>
      <c r="P1614" s="10"/>
      <c r="Q1614" s="10"/>
      <c r="R1614" s="10"/>
      <c r="S1614" s="10"/>
    </row>
    <row r="1615" spans="10:19">
      <c r="J1615" s="10"/>
      <c r="K1615" s="1127"/>
      <c r="L1615" s="10"/>
      <c r="M1615" s="10"/>
      <c r="N1615" s="10"/>
      <c r="O1615" s="10"/>
      <c r="P1615" s="10"/>
      <c r="Q1615" s="10"/>
      <c r="R1615" s="10"/>
      <c r="S1615" s="10"/>
    </row>
    <row r="1616" spans="10:19">
      <c r="J1616" s="10"/>
      <c r="K1616" s="1127"/>
      <c r="L1616" s="10"/>
      <c r="M1616" s="10"/>
      <c r="N1616" s="10"/>
      <c r="O1616" s="10"/>
      <c r="P1616" s="10"/>
      <c r="Q1616" s="10"/>
      <c r="R1616" s="10"/>
      <c r="S1616" s="10"/>
    </row>
    <row r="1617" spans="10:19">
      <c r="J1617" s="10"/>
      <c r="K1617" s="1127"/>
      <c r="L1617" s="10"/>
      <c r="M1617" s="10"/>
      <c r="N1617" s="10"/>
      <c r="O1617" s="10"/>
      <c r="P1617" s="10"/>
      <c r="Q1617" s="10"/>
      <c r="R1617" s="10"/>
      <c r="S1617" s="10"/>
    </row>
    <row r="1618" spans="10:19">
      <c r="J1618" s="10"/>
      <c r="K1618" s="1127"/>
      <c r="L1618" s="10"/>
      <c r="M1618" s="10"/>
      <c r="N1618" s="10"/>
      <c r="O1618" s="10"/>
      <c r="P1618" s="10"/>
      <c r="Q1618" s="10"/>
      <c r="R1618" s="10"/>
      <c r="S1618" s="10"/>
    </row>
    <row r="1619" spans="10:19">
      <c r="J1619" s="10"/>
      <c r="K1619" s="1127"/>
      <c r="L1619" s="10"/>
      <c r="M1619" s="10"/>
      <c r="N1619" s="10"/>
      <c r="O1619" s="10"/>
      <c r="P1619" s="10"/>
      <c r="Q1619" s="10"/>
      <c r="R1619" s="10"/>
      <c r="S1619" s="10"/>
    </row>
    <row r="1620" spans="10:19">
      <c r="J1620" s="10"/>
      <c r="K1620" s="1127"/>
      <c r="L1620" s="10"/>
      <c r="M1620" s="10"/>
      <c r="N1620" s="10"/>
      <c r="O1620" s="10"/>
      <c r="P1620" s="10"/>
      <c r="Q1620" s="10"/>
      <c r="R1620" s="10"/>
      <c r="S1620" s="10"/>
    </row>
    <row r="1621" spans="10:19">
      <c r="J1621" s="10"/>
      <c r="K1621" s="1127"/>
      <c r="L1621" s="10"/>
      <c r="M1621" s="10"/>
      <c r="N1621" s="10"/>
      <c r="O1621" s="10"/>
      <c r="P1621" s="10"/>
      <c r="Q1621" s="10"/>
      <c r="R1621" s="10"/>
      <c r="S1621" s="10"/>
    </row>
    <row r="1622" spans="10:19">
      <c r="J1622" s="10"/>
      <c r="K1622" s="1127"/>
      <c r="L1622" s="10"/>
      <c r="M1622" s="10"/>
      <c r="N1622" s="10"/>
      <c r="O1622" s="10"/>
      <c r="P1622" s="10"/>
      <c r="Q1622" s="10"/>
      <c r="R1622" s="10"/>
      <c r="S1622" s="10"/>
    </row>
    <row r="1623" spans="10:19">
      <c r="J1623" s="10"/>
      <c r="K1623" s="1127"/>
      <c r="L1623" s="10"/>
      <c r="M1623" s="10"/>
      <c r="N1623" s="10"/>
      <c r="O1623" s="10"/>
      <c r="P1623" s="10"/>
      <c r="Q1623" s="10"/>
      <c r="R1623" s="10"/>
      <c r="S1623" s="10"/>
    </row>
    <row r="1624" spans="10:19">
      <c r="J1624" s="10"/>
      <c r="K1624" s="1127"/>
      <c r="L1624" s="10"/>
      <c r="M1624" s="10"/>
      <c r="N1624" s="10"/>
      <c r="O1624" s="10"/>
      <c r="P1624" s="10"/>
      <c r="Q1624" s="10"/>
      <c r="R1624" s="10"/>
      <c r="S1624" s="10"/>
    </row>
    <row r="1625" spans="10:19">
      <c r="J1625" s="10"/>
      <c r="K1625" s="1127"/>
      <c r="L1625" s="10"/>
      <c r="M1625" s="10"/>
      <c r="N1625" s="10"/>
      <c r="O1625" s="10"/>
      <c r="P1625" s="10"/>
      <c r="Q1625" s="10"/>
      <c r="R1625" s="10"/>
      <c r="S1625" s="10"/>
    </row>
    <row r="1626" spans="10:19">
      <c r="J1626" s="10"/>
      <c r="K1626" s="1127"/>
      <c r="L1626" s="10"/>
      <c r="M1626" s="10"/>
      <c r="N1626" s="10"/>
      <c r="O1626" s="10"/>
      <c r="P1626" s="10"/>
      <c r="Q1626" s="10"/>
      <c r="R1626" s="10"/>
      <c r="S1626" s="10"/>
    </row>
    <row r="1627" spans="10:19">
      <c r="J1627" s="10"/>
      <c r="K1627" s="1127"/>
      <c r="L1627" s="10"/>
      <c r="M1627" s="10"/>
      <c r="N1627" s="10"/>
      <c r="O1627" s="10"/>
      <c r="P1627" s="10"/>
      <c r="Q1627" s="10"/>
      <c r="R1627" s="10"/>
      <c r="S1627" s="10"/>
    </row>
    <row r="1628" spans="10:19">
      <c r="J1628" s="10"/>
      <c r="K1628" s="1127"/>
      <c r="L1628" s="10"/>
      <c r="M1628" s="10"/>
      <c r="N1628" s="10"/>
      <c r="O1628" s="10"/>
      <c r="P1628" s="10"/>
      <c r="Q1628" s="10"/>
      <c r="R1628" s="10"/>
      <c r="S1628" s="10"/>
    </row>
    <row r="1629" spans="10:19">
      <c r="J1629" s="10"/>
      <c r="K1629" s="1127"/>
      <c r="L1629" s="10"/>
      <c r="M1629" s="10"/>
      <c r="N1629" s="10"/>
      <c r="O1629" s="10"/>
      <c r="P1629" s="10"/>
      <c r="Q1629" s="10"/>
      <c r="R1629" s="10"/>
      <c r="S1629" s="10"/>
    </row>
    <row r="1630" spans="10:19">
      <c r="J1630" s="10"/>
      <c r="K1630" s="1127"/>
      <c r="L1630" s="10"/>
      <c r="M1630" s="10"/>
      <c r="N1630" s="10"/>
      <c r="O1630" s="10"/>
      <c r="P1630" s="10"/>
      <c r="Q1630" s="10"/>
      <c r="R1630" s="10"/>
      <c r="S1630" s="10"/>
    </row>
    <row r="1631" spans="10:19">
      <c r="J1631" s="10"/>
      <c r="K1631" s="1127"/>
      <c r="L1631" s="10"/>
      <c r="M1631" s="10"/>
      <c r="N1631" s="10"/>
      <c r="O1631" s="10"/>
      <c r="P1631" s="10"/>
      <c r="Q1631" s="10"/>
      <c r="R1631" s="10"/>
      <c r="S1631" s="10"/>
    </row>
    <row r="1632" spans="10:19">
      <c r="J1632" s="10"/>
      <c r="K1632" s="1127"/>
      <c r="L1632" s="10"/>
      <c r="M1632" s="10"/>
      <c r="N1632" s="10"/>
      <c r="O1632" s="10"/>
      <c r="P1632" s="10"/>
      <c r="Q1632" s="10"/>
      <c r="R1632" s="10"/>
      <c r="S1632" s="10"/>
    </row>
    <row r="1633" spans="10:19">
      <c r="J1633" s="10"/>
      <c r="K1633" s="1127"/>
      <c r="L1633" s="10"/>
      <c r="M1633" s="10"/>
      <c r="N1633" s="10"/>
      <c r="O1633" s="10"/>
      <c r="P1633" s="10"/>
      <c r="Q1633" s="10"/>
      <c r="R1633" s="10"/>
      <c r="S1633" s="10"/>
    </row>
    <row r="1634" spans="10:19">
      <c r="J1634" s="10"/>
      <c r="K1634" s="1127"/>
      <c r="L1634" s="10"/>
      <c r="M1634" s="10"/>
      <c r="N1634" s="10"/>
      <c r="O1634" s="10"/>
      <c r="P1634" s="10"/>
      <c r="Q1634" s="10"/>
      <c r="R1634" s="10"/>
      <c r="S1634" s="10"/>
    </row>
    <row r="1635" spans="10:19">
      <c r="J1635" s="10"/>
      <c r="K1635" s="1127"/>
      <c r="L1635" s="10"/>
      <c r="M1635" s="10"/>
      <c r="N1635" s="10"/>
      <c r="O1635" s="10"/>
      <c r="P1635" s="10"/>
      <c r="Q1635" s="10"/>
      <c r="R1635" s="10"/>
      <c r="S1635" s="10"/>
    </row>
    <row r="1636" spans="10:19">
      <c r="J1636" s="10"/>
      <c r="K1636" s="1127"/>
      <c r="L1636" s="10"/>
      <c r="M1636" s="10"/>
      <c r="N1636" s="10"/>
      <c r="O1636" s="10"/>
      <c r="P1636" s="10"/>
      <c r="Q1636" s="10"/>
      <c r="R1636" s="10"/>
      <c r="S1636" s="10"/>
    </row>
    <row r="1637" spans="10:19">
      <c r="J1637" s="10"/>
      <c r="K1637" s="1127"/>
      <c r="L1637" s="10"/>
      <c r="M1637" s="10"/>
      <c r="N1637" s="10"/>
      <c r="O1637" s="10"/>
      <c r="P1637" s="10"/>
      <c r="Q1637" s="10"/>
      <c r="R1637" s="10"/>
      <c r="S1637" s="10"/>
    </row>
    <row r="1638" spans="10:19">
      <c r="J1638" s="10"/>
      <c r="K1638" s="1127"/>
      <c r="L1638" s="10"/>
      <c r="M1638" s="10"/>
      <c r="N1638" s="10"/>
      <c r="O1638" s="10"/>
      <c r="P1638" s="10"/>
      <c r="Q1638" s="10"/>
      <c r="R1638" s="10"/>
      <c r="S1638" s="10"/>
    </row>
    <row r="1639" spans="10:19">
      <c r="J1639" s="10"/>
      <c r="K1639" s="1127"/>
      <c r="L1639" s="10"/>
      <c r="M1639" s="10"/>
      <c r="N1639" s="10"/>
      <c r="O1639" s="10"/>
      <c r="P1639" s="10"/>
      <c r="Q1639" s="10"/>
      <c r="R1639" s="10"/>
      <c r="S1639" s="10"/>
    </row>
    <row r="1640" spans="10:19">
      <c r="J1640" s="10"/>
      <c r="K1640" s="1127"/>
      <c r="L1640" s="10"/>
      <c r="M1640" s="10"/>
      <c r="N1640" s="10"/>
      <c r="O1640" s="10"/>
      <c r="P1640" s="10"/>
      <c r="Q1640" s="10"/>
      <c r="R1640" s="10"/>
      <c r="S1640" s="10"/>
    </row>
    <row r="1641" spans="10:19">
      <c r="J1641" s="10"/>
      <c r="K1641" s="1127"/>
      <c r="L1641" s="10"/>
      <c r="M1641" s="10"/>
      <c r="N1641" s="10"/>
      <c r="O1641" s="10"/>
      <c r="P1641" s="10"/>
      <c r="Q1641" s="10"/>
      <c r="R1641" s="10"/>
      <c r="S1641" s="10"/>
    </row>
    <row r="1642" spans="10:19">
      <c r="J1642" s="10"/>
      <c r="K1642" s="1127"/>
      <c r="L1642" s="10"/>
      <c r="M1642" s="10"/>
      <c r="N1642" s="10"/>
      <c r="O1642" s="10"/>
      <c r="P1642" s="10"/>
      <c r="Q1642" s="10"/>
      <c r="R1642" s="10"/>
      <c r="S1642" s="10"/>
    </row>
    <row r="1643" spans="10:19">
      <c r="J1643" s="10"/>
      <c r="K1643" s="1127"/>
      <c r="L1643" s="10"/>
      <c r="M1643" s="10"/>
      <c r="N1643" s="10"/>
      <c r="O1643" s="10"/>
      <c r="P1643" s="10"/>
      <c r="Q1643" s="10"/>
      <c r="R1643" s="10"/>
      <c r="S1643" s="10"/>
    </row>
    <row r="1644" spans="10:19">
      <c r="J1644" s="10"/>
      <c r="K1644" s="1127"/>
      <c r="L1644" s="10"/>
      <c r="M1644" s="10"/>
      <c r="N1644" s="10"/>
      <c r="O1644" s="10"/>
      <c r="P1644" s="10"/>
      <c r="Q1644" s="10"/>
      <c r="R1644" s="10"/>
      <c r="S1644" s="10"/>
    </row>
    <row r="1645" spans="10:19">
      <c r="J1645" s="10"/>
      <c r="K1645" s="1127"/>
      <c r="L1645" s="10"/>
      <c r="M1645" s="10"/>
      <c r="N1645" s="10"/>
      <c r="O1645" s="10"/>
      <c r="P1645" s="10"/>
      <c r="Q1645" s="10"/>
      <c r="R1645" s="10"/>
      <c r="S1645" s="10"/>
    </row>
    <row r="1646" spans="10:19">
      <c r="J1646" s="10"/>
      <c r="K1646" s="1127"/>
      <c r="L1646" s="10"/>
      <c r="M1646" s="10"/>
      <c r="N1646" s="10"/>
      <c r="O1646" s="10"/>
      <c r="P1646" s="10"/>
      <c r="Q1646" s="10"/>
      <c r="R1646" s="10"/>
      <c r="S1646" s="10"/>
    </row>
    <row r="1647" spans="10:19">
      <c r="J1647" s="10"/>
      <c r="K1647" s="1127"/>
      <c r="L1647" s="10"/>
      <c r="M1647" s="10"/>
      <c r="N1647" s="10"/>
      <c r="O1647" s="10"/>
      <c r="P1647" s="10"/>
      <c r="Q1647" s="10"/>
      <c r="R1647" s="10"/>
      <c r="S1647" s="10"/>
    </row>
    <row r="1648" spans="10:19">
      <c r="J1648" s="10"/>
      <c r="K1648" s="1127"/>
      <c r="L1648" s="10"/>
      <c r="M1648" s="10"/>
      <c r="N1648" s="10"/>
      <c r="O1648" s="10"/>
      <c r="P1648" s="10"/>
      <c r="Q1648" s="10"/>
      <c r="R1648" s="10"/>
      <c r="S1648" s="10"/>
    </row>
    <row r="1649" spans="10:19">
      <c r="J1649" s="10"/>
      <c r="K1649" s="1127"/>
      <c r="L1649" s="10"/>
      <c r="M1649" s="10"/>
      <c r="N1649" s="10"/>
      <c r="O1649" s="10"/>
      <c r="P1649" s="10"/>
      <c r="Q1649" s="10"/>
      <c r="R1649" s="10"/>
      <c r="S1649" s="10"/>
    </row>
    <row r="1650" spans="10:19">
      <c r="J1650" s="10"/>
      <c r="K1650" s="1127"/>
      <c r="L1650" s="10"/>
      <c r="M1650" s="10"/>
      <c r="N1650" s="10"/>
      <c r="O1650" s="10"/>
      <c r="P1650" s="10"/>
      <c r="Q1650" s="10"/>
      <c r="R1650" s="10"/>
      <c r="S1650" s="10"/>
    </row>
    <row r="1651" spans="10:19">
      <c r="J1651" s="10"/>
      <c r="K1651" s="1127"/>
      <c r="L1651" s="10"/>
      <c r="M1651" s="10"/>
      <c r="N1651" s="10"/>
      <c r="O1651" s="10"/>
      <c r="P1651" s="10"/>
      <c r="Q1651" s="10"/>
      <c r="R1651" s="10"/>
      <c r="S1651" s="10"/>
    </row>
    <row r="1652" spans="10:19">
      <c r="J1652" s="10"/>
      <c r="K1652" s="1127"/>
      <c r="L1652" s="10"/>
      <c r="M1652" s="10"/>
      <c r="N1652" s="10"/>
      <c r="O1652" s="10"/>
      <c r="P1652" s="10"/>
      <c r="Q1652" s="10"/>
      <c r="R1652" s="10"/>
      <c r="S1652" s="10"/>
    </row>
    <row r="1653" spans="10:19">
      <c r="J1653" s="10"/>
      <c r="K1653" s="1127"/>
      <c r="L1653" s="10"/>
      <c r="M1653" s="10"/>
      <c r="N1653" s="10"/>
      <c r="O1653" s="10"/>
      <c r="P1653" s="10"/>
      <c r="Q1653" s="10"/>
      <c r="R1653" s="10"/>
      <c r="S1653" s="10"/>
    </row>
    <row r="1654" spans="10:19">
      <c r="J1654" s="10"/>
      <c r="K1654" s="1127"/>
      <c r="L1654" s="10"/>
      <c r="M1654" s="10"/>
      <c r="N1654" s="10"/>
      <c r="O1654" s="10"/>
      <c r="P1654" s="10"/>
      <c r="Q1654" s="10"/>
      <c r="R1654" s="10"/>
      <c r="S1654" s="10"/>
    </row>
    <row r="1655" spans="10:19">
      <c r="J1655" s="10"/>
      <c r="K1655" s="1127"/>
      <c r="L1655" s="10"/>
      <c r="M1655" s="10"/>
      <c r="N1655" s="10"/>
      <c r="O1655" s="10"/>
      <c r="P1655" s="10"/>
      <c r="Q1655" s="10"/>
      <c r="R1655" s="10"/>
      <c r="S1655" s="10"/>
    </row>
    <row r="1656" spans="10:19">
      <c r="J1656" s="10"/>
      <c r="K1656" s="1127"/>
      <c r="L1656" s="10"/>
      <c r="M1656" s="10"/>
      <c r="N1656" s="10"/>
      <c r="O1656" s="10"/>
      <c r="P1656" s="10"/>
      <c r="Q1656" s="10"/>
      <c r="R1656" s="10"/>
      <c r="S1656" s="10"/>
    </row>
    <row r="1657" spans="10:19">
      <c r="J1657" s="10"/>
      <c r="K1657" s="1127"/>
      <c r="L1657" s="10"/>
      <c r="M1657" s="10"/>
      <c r="N1657" s="10"/>
      <c r="O1657" s="10"/>
      <c r="P1657" s="10"/>
      <c r="Q1657" s="10"/>
      <c r="R1657" s="10"/>
      <c r="S1657" s="10"/>
    </row>
    <row r="1658" spans="10:19">
      <c r="J1658" s="10"/>
      <c r="K1658" s="1127"/>
      <c r="L1658" s="10"/>
      <c r="M1658" s="10"/>
      <c r="N1658" s="10"/>
      <c r="O1658" s="10"/>
      <c r="P1658" s="10"/>
      <c r="Q1658" s="10"/>
      <c r="R1658" s="10"/>
      <c r="S1658" s="10"/>
    </row>
    <row r="1659" spans="10:19">
      <c r="J1659" s="10"/>
      <c r="K1659" s="1127"/>
      <c r="L1659" s="10"/>
      <c r="M1659" s="10"/>
      <c r="N1659" s="10"/>
      <c r="O1659" s="10"/>
      <c r="P1659" s="10"/>
      <c r="Q1659" s="10"/>
      <c r="R1659" s="10"/>
      <c r="S1659" s="10"/>
    </row>
    <row r="1660" spans="10:19">
      <c r="J1660" s="10"/>
      <c r="K1660" s="1127"/>
      <c r="L1660" s="10"/>
      <c r="M1660" s="10"/>
      <c r="N1660" s="10"/>
      <c r="O1660" s="10"/>
      <c r="P1660" s="10"/>
      <c r="Q1660" s="10"/>
      <c r="R1660" s="10"/>
      <c r="S1660" s="10"/>
    </row>
    <row r="1661" spans="10:19">
      <c r="J1661" s="10"/>
      <c r="K1661" s="1127"/>
      <c r="L1661" s="10"/>
      <c r="M1661" s="10"/>
      <c r="N1661" s="10"/>
      <c r="O1661" s="10"/>
      <c r="P1661" s="10"/>
      <c r="Q1661" s="10"/>
      <c r="R1661" s="10"/>
      <c r="S1661" s="10"/>
    </row>
    <row r="1662" spans="10:19">
      <c r="J1662" s="10"/>
      <c r="K1662" s="1127"/>
      <c r="L1662" s="10"/>
      <c r="M1662" s="10"/>
      <c r="N1662" s="10"/>
      <c r="O1662" s="10"/>
      <c r="P1662" s="10"/>
      <c r="Q1662" s="10"/>
      <c r="R1662" s="10"/>
      <c r="S1662" s="10"/>
    </row>
    <row r="1663" spans="10:19">
      <c r="J1663" s="10"/>
      <c r="K1663" s="1127"/>
      <c r="L1663" s="10"/>
      <c r="M1663" s="10"/>
      <c r="N1663" s="10"/>
      <c r="O1663" s="10"/>
      <c r="P1663" s="10"/>
      <c r="Q1663" s="10"/>
      <c r="R1663" s="10"/>
      <c r="S1663" s="10"/>
    </row>
    <row r="1664" spans="10:19">
      <c r="J1664" s="10"/>
      <c r="K1664" s="1127"/>
      <c r="L1664" s="10"/>
      <c r="M1664" s="10"/>
      <c r="N1664" s="10"/>
      <c r="O1664" s="10"/>
      <c r="P1664" s="10"/>
      <c r="Q1664" s="10"/>
      <c r="R1664" s="10"/>
      <c r="S1664" s="10"/>
    </row>
    <row r="1665" spans="10:19">
      <c r="J1665" s="10"/>
      <c r="K1665" s="1127"/>
      <c r="L1665" s="10"/>
      <c r="M1665" s="10"/>
      <c r="N1665" s="10"/>
      <c r="O1665" s="10"/>
      <c r="P1665" s="10"/>
      <c r="Q1665" s="10"/>
      <c r="R1665" s="10"/>
      <c r="S1665" s="10"/>
    </row>
    <row r="1666" spans="10:19">
      <c r="J1666" s="10"/>
      <c r="K1666" s="1127"/>
      <c r="L1666" s="10"/>
      <c r="M1666" s="10"/>
      <c r="N1666" s="10"/>
      <c r="O1666" s="10"/>
      <c r="P1666" s="10"/>
      <c r="Q1666" s="10"/>
      <c r="R1666" s="10"/>
      <c r="S1666" s="10"/>
    </row>
    <row r="1667" spans="10:19">
      <c r="J1667" s="10"/>
      <c r="K1667" s="1127"/>
      <c r="L1667" s="10"/>
      <c r="M1667" s="10"/>
      <c r="N1667" s="10"/>
      <c r="O1667" s="10"/>
      <c r="P1667" s="10"/>
      <c r="Q1667" s="10"/>
      <c r="R1667" s="10"/>
      <c r="S1667" s="10"/>
    </row>
    <row r="1668" spans="10:19">
      <c r="J1668" s="10"/>
      <c r="K1668" s="1127"/>
      <c r="L1668" s="10"/>
      <c r="M1668" s="10"/>
      <c r="N1668" s="10"/>
      <c r="O1668" s="10"/>
      <c r="P1668" s="10"/>
      <c r="Q1668" s="10"/>
      <c r="R1668" s="10"/>
      <c r="S1668" s="10"/>
    </row>
    <row r="1669" spans="10:19">
      <c r="J1669" s="10"/>
      <c r="K1669" s="1127"/>
      <c r="L1669" s="10"/>
      <c r="M1669" s="10"/>
      <c r="N1669" s="10"/>
      <c r="O1669" s="10"/>
      <c r="P1669" s="10"/>
      <c r="Q1669" s="10"/>
      <c r="R1669" s="10"/>
      <c r="S1669" s="10"/>
    </row>
    <row r="1670" spans="10:19">
      <c r="J1670" s="10"/>
      <c r="K1670" s="1127"/>
      <c r="L1670" s="10"/>
      <c r="M1670" s="10"/>
      <c r="N1670" s="10"/>
      <c r="O1670" s="10"/>
      <c r="P1670" s="10"/>
      <c r="Q1670" s="10"/>
      <c r="R1670" s="10"/>
      <c r="S1670" s="10"/>
    </row>
    <row r="1671" spans="10:19">
      <c r="J1671" s="10"/>
      <c r="K1671" s="1127"/>
      <c r="L1671" s="10"/>
      <c r="M1671" s="10"/>
      <c r="N1671" s="10"/>
      <c r="O1671" s="10"/>
      <c r="P1671" s="10"/>
      <c r="Q1671" s="10"/>
      <c r="R1671" s="10"/>
      <c r="S1671" s="10"/>
    </row>
    <row r="1672" spans="10:19">
      <c r="J1672" s="10"/>
      <c r="K1672" s="1127"/>
      <c r="L1672" s="10"/>
      <c r="M1672" s="10"/>
      <c r="N1672" s="10"/>
      <c r="O1672" s="10"/>
      <c r="P1672" s="10"/>
      <c r="Q1672" s="10"/>
      <c r="R1672" s="10"/>
      <c r="S1672" s="10"/>
    </row>
    <row r="1673" spans="10:19">
      <c r="J1673" s="10"/>
      <c r="K1673" s="1127"/>
      <c r="L1673" s="10"/>
      <c r="M1673" s="10"/>
      <c r="N1673" s="10"/>
      <c r="O1673" s="10"/>
      <c r="P1673" s="10"/>
      <c r="Q1673" s="10"/>
      <c r="R1673" s="10"/>
      <c r="S1673" s="10"/>
    </row>
    <row r="1674" spans="10:19">
      <c r="J1674" s="10"/>
      <c r="K1674" s="1127"/>
      <c r="L1674" s="10"/>
      <c r="M1674" s="10"/>
      <c r="N1674" s="10"/>
      <c r="O1674" s="10"/>
      <c r="P1674" s="10"/>
      <c r="Q1674" s="10"/>
      <c r="R1674" s="10"/>
      <c r="S1674" s="10"/>
    </row>
    <row r="1675" spans="10:19">
      <c r="J1675" s="10"/>
      <c r="K1675" s="1127"/>
      <c r="L1675" s="10"/>
      <c r="M1675" s="10"/>
      <c r="N1675" s="10"/>
      <c r="O1675" s="10"/>
      <c r="P1675" s="10"/>
      <c r="Q1675" s="10"/>
      <c r="R1675" s="10"/>
      <c r="S1675" s="10"/>
    </row>
    <row r="1676" spans="10:19">
      <c r="J1676" s="10"/>
      <c r="K1676" s="1127"/>
      <c r="L1676" s="10"/>
      <c r="M1676" s="10"/>
      <c r="N1676" s="10"/>
      <c r="O1676" s="10"/>
      <c r="P1676" s="10"/>
      <c r="Q1676" s="10"/>
      <c r="R1676" s="10"/>
      <c r="S1676" s="10"/>
    </row>
    <row r="1677" spans="10:19">
      <c r="J1677" s="10"/>
      <c r="K1677" s="1127"/>
      <c r="L1677" s="10"/>
      <c r="M1677" s="10"/>
      <c r="N1677" s="10"/>
      <c r="O1677" s="10"/>
      <c r="P1677" s="10"/>
      <c r="Q1677" s="10"/>
      <c r="R1677" s="10"/>
      <c r="S1677" s="10"/>
    </row>
    <row r="1678" spans="10:19">
      <c r="J1678" s="10"/>
      <c r="K1678" s="1127"/>
      <c r="L1678" s="10"/>
      <c r="M1678" s="10"/>
      <c r="N1678" s="10"/>
      <c r="O1678" s="10"/>
      <c r="P1678" s="10"/>
      <c r="Q1678" s="10"/>
      <c r="R1678" s="10"/>
      <c r="S1678" s="10"/>
    </row>
    <row r="1679" spans="10:19">
      <c r="J1679" s="10"/>
      <c r="K1679" s="1127"/>
      <c r="L1679" s="10"/>
      <c r="M1679" s="10"/>
      <c r="N1679" s="10"/>
      <c r="O1679" s="10"/>
      <c r="P1679" s="10"/>
      <c r="Q1679" s="10"/>
      <c r="R1679" s="10"/>
      <c r="S1679" s="10"/>
    </row>
    <row r="1680" spans="10:19">
      <c r="J1680" s="10"/>
      <c r="K1680" s="1127"/>
      <c r="L1680" s="10"/>
      <c r="M1680" s="10"/>
      <c r="N1680" s="10"/>
      <c r="O1680" s="10"/>
      <c r="P1680" s="10"/>
      <c r="Q1680" s="10"/>
      <c r="R1680" s="10"/>
      <c r="S1680" s="10"/>
    </row>
    <row r="1681" spans="10:19">
      <c r="J1681" s="10"/>
      <c r="K1681" s="1127"/>
      <c r="L1681" s="10"/>
      <c r="M1681" s="10"/>
      <c r="N1681" s="10"/>
      <c r="O1681" s="10"/>
      <c r="P1681" s="10"/>
      <c r="Q1681" s="10"/>
      <c r="R1681" s="10"/>
      <c r="S1681" s="10"/>
    </row>
    <row r="1682" spans="10:19">
      <c r="J1682" s="10"/>
      <c r="K1682" s="1127"/>
      <c r="L1682" s="10"/>
      <c r="M1682" s="10"/>
      <c r="N1682" s="10"/>
      <c r="O1682" s="10"/>
      <c r="P1682" s="10"/>
      <c r="Q1682" s="10"/>
      <c r="R1682" s="10"/>
      <c r="S1682" s="10"/>
    </row>
    <row r="1683" spans="10:19">
      <c r="J1683" s="10"/>
      <c r="K1683" s="1127"/>
      <c r="L1683" s="10"/>
      <c r="M1683" s="10"/>
      <c r="N1683" s="10"/>
      <c r="O1683" s="10"/>
      <c r="P1683" s="10"/>
      <c r="Q1683" s="10"/>
      <c r="R1683" s="10"/>
      <c r="S1683" s="10"/>
    </row>
    <row r="1684" spans="10:19">
      <c r="J1684" s="10"/>
      <c r="K1684" s="1127"/>
      <c r="L1684" s="10"/>
      <c r="M1684" s="10"/>
      <c r="N1684" s="10"/>
      <c r="O1684" s="10"/>
      <c r="P1684" s="10"/>
      <c r="Q1684" s="10"/>
      <c r="R1684" s="10"/>
      <c r="S1684" s="10"/>
    </row>
    <row r="1685" spans="10:19">
      <c r="J1685" s="10"/>
      <c r="K1685" s="1127"/>
      <c r="L1685" s="10"/>
      <c r="M1685" s="10"/>
      <c r="N1685" s="10"/>
      <c r="O1685" s="10"/>
      <c r="P1685" s="10"/>
      <c r="Q1685" s="10"/>
      <c r="R1685" s="10"/>
      <c r="S1685" s="10"/>
    </row>
    <row r="1686" spans="10:19">
      <c r="J1686" s="10"/>
      <c r="K1686" s="1127"/>
      <c r="L1686" s="10"/>
      <c r="M1686" s="10"/>
      <c r="N1686" s="10"/>
      <c r="O1686" s="10"/>
      <c r="P1686" s="10"/>
      <c r="Q1686" s="10"/>
      <c r="R1686" s="10"/>
      <c r="S1686" s="10"/>
    </row>
    <row r="1687" spans="10:19">
      <c r="J1687" s="10"/>
      <c r="K1687" s="1127"/>
      <c r="L1687" s="10"/>
      <c r="M1687" s="10"/>
      <c r="N1687" s="10"/>
      <c r="O1687" s="10"/>
      <c r="P1687" s="10"/>
      <c r="Q1687" s="10"/>
      <c r="R1687" s="10"/>
      <c r="S1687" s="10"/>
    </row>
    <row r="1688" spans="10:19">
      <c r="J1688" s="10"/>
      <c r="K1688" s="1127"/>
      <c r="L1688" s="10"/>
      <c r="M1688" s="10"/>
      <c r="N1688" s="10"/>
      <c r="O1688" s="10"/>
      <c r="P1688" s="10"/>
      <c r="Q1688" s="10"/>
      <c r="R1688" s="10"/>
      <c r="S1688" s="10"/>
    </row>
    <row r="1689" spans="10:19">
      <c r="J1689" s="10"/>
      <c r="K1689" s="1127"/>
      <c r="L1689" s="10"/>
      <c r="M1689" s="10"/>
      <c r="N1689" s="10"/>
      <c r="O1689" s="10"/>
      <c r="P1689" s="10"/>
      <c r="Q1689" s="10"/>
      <c r="R1689" s="10"/>
      <c r="S1689" s="10"/>
    </row>
    <row r="1690" spans="10:19">
      <c r="J1690" s="10"/>
      <c r="K1690" s="1127"/>
      <c r="L1690" s="10"/>
      <c r="M1690" s="10"/>
      <c r="N1690" s="10"/>
      <c r="O1690" s="10"/>
      <c r="P1690" s="10"/>
      <c r="Q1690" s="10"/>
      <c r="R1690" s="10"/>
      <c r="S1690" s="10"/>
    </row>
    <row r="1691" spans="10:19">
      <c r="J1691" s="10"/>
      <c r="K1691" s="1127"/>
      <c r="L1691" s="10"/>
      <c r="M1691" s="10"/>
      <c r="N1691" s="10"/>
      <c r="O1691" s="10"/>
      <c r="P1691" s="10"/>
      <c r="Q1691" s="10"/>
      <c r="R1691" s="10"/>
      <c r="S1691" s="10"/>
    </row>
    <row r="1692" spans="10:19">
      <c r="J1692" s="10"/>
      <c r="K1692" s="1127"/>
      <c r="L1692" s="10"/>
      <c r="M1692" s="10"/>
      <c r="N1692" s="10"/>
      <c r="O1692" s="10"/>
      <c r="P1692" s="10"/>
      <c r="Q1692" s="10"/>
      <c r="R1692" s="10"/>
      <c r="S1692" s="10"/>
    </row>
    <row r="1693" spans="10:19">
      <c r="J1693" s="10"/>
      <c r="K1693" s="1127"/>
      <c r="L1693" s="10"/>
      <c r="M1693" s="10"/>
      <c r="N1693" s="10"/>
      <c r="O1693" s="10"/>
      <c r="P1693" s="10"/>
      <c r="Q1693" s="10"/>
      <c r="R1693" s="10"/>
      <c r="S1693" s="10"/>
    </row>
    <row r="1694" spans="10:19">
      <c r="J1694" s="10"/>
      <c r="K1694" s="1127"/>
      <c r="L1694" s="10"/>
      <c r="M1694" s="10"/>
      <c r="N1694" s="10"/>
      <c r="O1694" s="10"/>
      <c r="P1694" s="10"/>
      <c r="Q1694" s="10"/>
      <c r="R1694" s="10"/>
      <c r="S1694" s="10"/>
    </row>
    <row r="1695" spans="10:19">
      <c r="J1695" s="10"/>
      <c r="K1695" s="1127"/>
      <c r="L1695" s="10"/>
      <c r="M1695" s="10"/>
      <c r="N1695" s="10"/>
      <c r="O1695" s="10"/>
      <c r="P1695" s="10"/>
      <c r="Q1695" s="10"/>
      <c r="R1695" s="10"/>
      <c r="S1695" s="10"/>
    </row>
    <row r="1696" spans="10:19">
      <c r="J1696" s="10"/>
      <c r="K1696" s="1127"/>
      <c r="L1696" s="10"/>
      <c r="M1696" s="10"/>
      <c r="N1696" s="10"/>
      <c r="O1696" s="10"/>
      <c r="P1696" s="10"/>
      <c r="Q1696" s="10"/>
      <c r="R1696" s="10"/>
      <c r="S1696" s="10"/>
    </row>
    <row r="1697" spans="10:19">
      <c r="J1697" s="10"/>
      <c r="K1697" s="1127"/>
      <c r="L1697" s="10"/>
      <c r="M1697" s="10"/>
      <c r="N1697" s="10"/>
      <c r="O1697" s="10"/>
      <c r="P1697" s="10"/>
      <c r="Q1697" s="10"/>
      <c r="R1697" s="10"/>
      <c r="S1697" s="10"/>
    </row>
    <row r="1698" spans="10:19">
      <c r="J1698" s="10"/>
      <c r="K1698" s="1127"/>
      <c r="L1698" s="10"/>
      <c r="M1698" s="10"/>
      <c r="N1698" s="10"/>
      <c r="O1698" s="10"/>
      <c r="P1698" s="10"/>
      <c r="Q1698" s="10"/>
      <c r="R1698" s="10"/>
      <c r="S1698" s="10"/>
    </row>
    <row r="1699" spans="10:19">
      <c r="J1699" s="10"/>
      <c r="K1699" s="1127"/>
      <c r="L1699" s="10"/>
      <c r="M1699" s="10"/>
      <c r="N1699" s="10"/>
      <c r="O1699" s="10"/>
      <c r="P1699" s="10"/>
      <c r="Q1699" s="10"/>
      <c r="R1699" s="10"/>
      <c r="S1699" s="10"/>
    </row>
    <row r="1700" spans="10:19">
      <c r="J1700" s="10"/>
      <c r="K1700" s="1127"/>
      <c r="L1700" s="10"/>
      <c r="M1700" s="10"/>
      <c r="N1700" s="10"/>
      <c r="O1700" s="10"/>
      <c r="P1700" s="10"/>
      <c r="Q1700" s="10"/>
      <c r="R1700" s="10"/>
      <c r="S1700" s="10"/>
    </row>
    <row r="1701" spans="10:19">
      <c r="J1701" s="10"/>
      <c r="K1701" s="1127"/>
      <c r="L1701" s="10"/>
      <c r="M1701" s="10"/>
      <c r="N1701" s="10"/>
      <c r="O1701" s="10"/>
      <c r="P1701" s="10"/>
      <c r="Q1701" s="10"/>
      <c r="R1701" s="10"/>
      <c r="S1701" s="10"/>
    </row>
    <row r="1702" spans="10:19">
      <c r="J1702" s="10"/>
      <c r="K1702" s="1127"/>
      <c r="L1702" s="10"/>
      <c r="M1702" s="10"/>
      <c r="N1702" s="10"/>
      <c r="O1702" s="10"/>
      <c r="P1702" s="10"/>
      <c r="Q1702" s="10"/>
      <c r="R1702" s="10"/>
      <c r="S1702" s="10"/>
    </row>
    <row r="1703" spans="10:19">
      <c r="J1703" s="10"/>
      <c r="K1703" s="1127"/>
      <c r="L1703" s="10"/>
      <c r="M1703" s="10"/>
      <c r="N1703" s="10"/>
      <c r="O1703" s="10"/>
      <c r="P1703" s="10"/>
      <c r="Q1703" s="10"/>
      <c r="R1703" s="10"/>
      <c r="S1703" s="10"/>
    </row>
    <row r="1704" spans="10:19">
      <c r="J1704" s="10"/>
      <c r="K1704" s="1127"/>
      <c r="L1704" s="10"/>
      <c r="M1704" s="10"/>
      <c r="N1704" s="10"/>
      <c r="O1704" s="10"/>
      <c r="P1704" s="10"/>
      <c r="Q1704" s="10"/>
      <c r="R1704" s="10"/>
      <c r="S1704" s="10"/>
    </row>
    <row r="1705" spans="10:19">
      <c r="J1705" s="10"/>
      <c r="K1705" s="1127"/>
      <c r="L1705" s="10"/>
      <c r="M1705" s="10"/>
      <c r="N1705" s="10"/>
      <c r="O1705" s="10"/>
      <c r="P1705" s="10"/>
      <c r="Q1705" s="10"/>
      <c r="R1705" s="10"/>
      <c r="S1705" s="10"/>
    </row>
    <row r="1706" spans="10:19">
      <c r="J1706" s="10"/>
      <c r="K1706" s="1127"/>
      <c r="L1706" s="10"/>
      <c r="M1706" s="10"/>
      <c r="N1706" s="10"/>
      <c r="O1706" s="10"/>
      <c r="P1706" s="10"/>
      <c r="Q1706" s="10"/>
      <c r="R1706" s="10"/>
      <c r="S1706" s="10"/>
    </row>
    <row r="1707" spans="10:19">
      <c r="J1707" s="10"/>
      <c r="K1707" s="1127"/>
      <c r="L1707" s="10"/>
      <c r="M1707" s="10"/>
      <c r="N1707" s="10"/>
      <c r="O1707" s="10"/>
      <c r="P1707" s="10"/>
      <c r="Q1707" s="10"/>
      <c r="R1707" s="10"/>
      <c r="S1707" s="10"/>
    </row>
    <row r="1708" spans="10:19">
      <c r="J1708" s="10"/>
      <c r="K1708" s="1127"/>
      <c r="L1708" s="10"/>
      <c r="M1708" s="10"/>
      <c r="N1708" s="10"/>
      <c r="O1708" s="10"/>
      <c r="P1708" s="10"/>
      <c r="Q1708" s="10"/>
      <c r="R1708" s="10"/>
      <c r="S1708" s="10"/>
    </row>
    <row r="1709" spans="10:19">
      <c r="J1709" s="10"/>
      <c r="K1709" s="1127"/>
      <c r="L1709" s="10"/>
      <c r="M1709" s="10"/>
      <c r="N1709" s="10"/>
      <c r="O1709" s="10"/>
      <c r="P1709" s="10"/>
      <c r="Q1709" s="10"/>
      <c r="R1709" s="10"/>
      <c r="S1709" s="10"/>
    </row>
    <row r="1710" spans="10:19">
      <c r="J1710" s="10"/>
      <c r="K1710" s="1127"/>
      <c r="L1710" s="10"/>
      <c r="M1710" s="10"/>
      <c r="N1710" s="10"/>
      <c r="O1710" s="10"/>
      <c r="P1710" s="10"/>
      <c r="Q1710" s="10"/>
      <c r="R1710" s="10"/>
      <c r="S1710" s="10"/>
    </row>
    <row r="1711" spans="10:19">
      <c r="J1711" s="10"/>
      <c r="K1711" s="1127"/>
      <c r="L1711" s="10"/>
      <c r="M1711" s="10"/>
      <c r="N1711" s="10"/>
      <c r="O1711" s="10"/>
      <c r="P1711" s="10"/>
      <c r="Q1711" s="10"/>
      <c r="R1711" s="10"/>
      <c r="S1711" s="10"/>
    </row>
    <row r="1712" spans="10:19">
      <c r="J1712" s="10"/>
      <c r="K1712" s="1127"/>
      <c r="L1712" s="10"/>
      <c r="M1712" s="10"/>
      <c r="N1712" s="10"/>
      <c r="O1712" s="10"/>
      <c r="P1712" s="10"/>
      <c r="Q1712" s="10"/>
      <c r="R1712" s="10"/>
      <c r="S1712" s="10"/>
    </row>
    <row r="1713" spans="10:19">
      <c r="J1713" s="10"/>
      <c r="K1713" s="1127"/>
      <c r="L1713" s="10"/>
      <c r="M1713" s="10"/>
      <c r="N1713" s="10"/>
      <c r="O1713" s="10"/>
      <c r="P1713" s="10"/>
      <c r="Q1713" s="10"/>
      <c r="R1713" s="10"/>
      <c r="S1713" s="10"/>
    </row>
    <row r="1714" spans="10:19">
      <c r="J1714" s="10"/>
      <c r="K1714" s="1127"/>
      <c r="L1714" s="10"/>
      <c r="M1714" s="10"/>
      <c r="N1714" s="10"/>
      <c r="O1714" s="10"/>
      <c r="P1714" s="10"/>
      <c r="Q1714" s="10"/>
      <c r="R1714" s="10"/>
      <c r="S1714" s="10"/>
    </row>
    <row r="1715" spans="10:19">
      <c r="J1715" s="10"/>
      <c r="K1715" s="1127"/>
      <c r="L1715" s="10"/>
      <c r="M1715" s="10"/>
      <c r="N1715" s="10"/>
      <c r="O1715" s="10"/>
      <c r="P1715" s="10"/>
      <c r="Q1715" s="10"/>
      <c r="R1715" s="10"/>
      <c r="S1715" s="10"/>
    </row>
    <row r="1716" spans="10:19">
      <c r="J1716" s="10"/>
      <c r="K1716" s="1127"/>
      <c r="L1716" s="10"/>
      <c r="M1716" s="10"/>
      <c r="N1716" s="10"/>
      <c r="O1716" s="10"/>
      <c r="P1716" s="10"/>
      <c r="Q1716" s="10"/>
      <c r="R1716" s="10"/>
      <c r="S1716" s="10"/>
    </row>
    <row r="1717" spans="10:19">
      <c r="J1717" s="10"/>
      <c r="K1717" s="1127"/>
      <c r="L1717" s="10"/>
      <c r="M1717" s="10"/>
      <c r="N1717" s="10"/>
      <c r="O1717" s="10"/>
      <c r="P1717" s="10"/>
      <c r="Q1717" s="10"/>
      <c r="R1717" s="10"/>
      <c r="S1717" s="10"/>
    </row>
    <row r="1718" spans="10:19">
      <c r="J1718" s="10"/>
      <c r="K1718" s="1127"/>
      <c r="L1718" s="10"/>
      <c r="M1718" s="10"/>
      <c r="N1718" s="10"/>
      <c r="O1718" s="10"/>
      <c r="P1718" s="10"/>
      <c r="Q1718" s="10"/>
      <c r="R1718" s="10"/>
      <c r="S1718" s="10"/>
    </row>
    <row r="1719" spans="10:19">
      <c r="J1719" s="10"/>
      <c r="K1719" s="1127"/>
      <c r="L1719" s="10"/>
      <c r="M1719" s="10"/>
      <c r="N1719" s="10"/>
      <c r="O1719" s="10"/>
      <c r="P1719" s="10"/>
      <c r="Q1719" s="10"/>
      <c r="R1719" s="10"/>
      <c r="S1719" s="10"/>
    </row>
    <row r="1720" spans="10:19">
      <c r="J1720" s="10"/>
      <c r="K1720" s="1127"/>
      <c r="L1720" s="10"/>
      <c r="M1720" s="10"/>
      <c r="N1720" s="10"/>
      <c r="O1720" s="10"/>
      <c r="P1720" s="10"/>
      <c r="Q1720" s="10"/>
      <c r="R1720" s="10"/>
      <c r="S1720" s="10"/>
    </row>
    <row r="1721" spans="10:19">
      <c r="J1721" s="10"/>
      <c r="K1721" s="1127"/>
      <c r="L1721" s="10"/>
      <c r="M1721" s="10"/>
      <c r="N1721" s="10"/>
      <c r="O1721" s="10"/>
      <c r="P1721" s="10"/>
      <c r="Q1721" s="10"/>
      <c r="R1721" s="10"/>
      <c r="S1721" s="10"/>
    </row>
    <row r="1722" spans="10:19">
      <c r="J1722" s="10"/>
      <c r="K1722" s="1127"/>
      <c r="L1722" s="10"/>
      <c r="M1722" s="10"/>
      <c r="N1722" s="10"/>
      <c r="O1722" s="10"/>
      <c r="P1722" s="10"/>
      <c r="Q1722" s="10"/>
      <c r="R1722" s="10"/>
      <c r="S1722" s="10"/>
    </row>
    <row r="1723" spans="10:19">
      <c r="J1723" s="10"/>
      <c r="K1723" s="1127"/>
      <c r="L1723" s="10"/>
      <c r="M1723" s="10"/>
      <c r="N1723" s="10"/>
      <c r="O1723" s="10"/>
      <c r="P1723" s="10"/>
      <c r="Q1723" s="10"/>
      <c r="R1723" s="10"/>
      <c r="S1723" s="10"/>
    </row>
    <row r="1724" spans="10:19">
      <c r="J1724" s="10"/>
      <c r="K1724" s="1127"/>
      <c r="L1724" s="10"/>
      <c r="M1724" s="10"/>
      <c r="N1724" s="10"/>
      <c r="O1724" s="10"/>
      <c r="P1724" s="10"/>
      <c r="Q1724" s="10"/>
      <c r="R1724" s="10"/>
      <c r="S1724" s="10"/>
    </row>
    <row r="1725" spans="10:19">
      <c r="J1725" s="10"/>
      <c r="K1725" s="1127"/>
      <c r="L1725" s="10"/>
      <c r="M1725" s="10"/>
      <c r="N1725" s="10"/>
      <c r="O1725" s="10"/>
      <c r="P1725" s="10"/>
      <c r="Q1725" s="10"/>
      <c r="R1725" s="10"/>
      <c r="S1725" s="10"/>
    </row>
    <row r="1726" spans="10:19">
      <c r="J1726" s="10"/>
      <c r="K1726" s="1127"/>
      <c r="L1726" s="10"/>
      <c r="M1726" s="10"/>
      <c r="N1726" s="10"/>
      <c r="O1726" s="10"/>
      <c r="P1726" s="10"/>
      <c r="Q1726" s="10"/>
      <c r="R1726" s="10"/>
      <c r="S1726" s="10"/>
    </row>
    <row r="1727" spans="10:19">
      <c r="J1727" s="10"/>
      <c r="K1727" s="1127"/>
      <c r="L1727" s="10"/>
      <c r="M1727" s="10"/>
      <c r="N1727" s="10"/>
      <c r="O1727" s="10"/>
      <c r="P1727" s="10"/>
      <c r="Q1727" s="10"/>
      <c r="R1727" s="10"/>
      <c r="S1727" s="10"/>
    </row>
    <row r="1728" spans="10:19">
      <c r="J1728" s="10"/>
      <c r="K1728" s="1127"/>
      <c r="L1728" s="10"/>
      <c r="M1728" s="10"/>
      <c r="N1728" s="10"/>
      <c r="O1728" s="10"/>
      <c r="P1728" s="10"/>
      <c r="Q1728" s="10"/>
      <c r="R1728" s="10"/>
      <c r="S1728" s="10"/>
    </row>
    <row r="1729" spans="10:19">
      <c r="J1729" s="10"/>
      <c r="K1729" s="1127"/>
      <c r="L1729" s="10"/>
      <c r="M1729" s="10"/>
      <c r="N1729" s="10"/>
      <c r="O1729" s="10"/>
      <c r="P1729" s="10"/>
      <c r="Q1729" s="10"/>
      <c r="R1729" s="10"/>
      <c r="S1729" s="10"/>
    </row>
    <row r="1730" spans="10:19">
      <c r="J1730" s="10"/>
      <c r="K1730" s="1127"/>
      <c r="L1730" s="10"/>
      <c r="M1730" s="10"/>
      <c r="N1730" s="10"/>
      <c r="O1730" s="10"/>
      <c r="P1730" s="10"/>
      <c r="Q1730" s="10"/>
      <c r="R1730" s="10"/>
      <c r="S1730" s="10"/>
    </row>
    <row r="1731" spans="10:19">
      <c r="J1731" s="10"/>
      <c r="K1731" s="1127"/>
      <c r="L1731" s="10"/>
      <c r="M1731" s="10"/>
      <c r="N1731" s="10"/>
      <c r="O1731" s="10"/>
      <c r="P1731" s="10"/>
      <c r="Q1731" s="10"/>
      <c r="R1731" s="10"/>
      <c r="S1731" s="10"/>
    </row>
    <row r="1732" spans="10:19">
      <c r="J1732" s="10"/>
      <c r="K1732" s="1127"/>
      <c r="L1732" s="10"/>
      <c r="M1732" s="10"/>
      <c r="N1732" s="10"/>
      <c r="O1732" s="10"/>
      <c r="P1732" s="10"/>
      <c r="Q1732" s="10"/>
      <c r="R1732" s="10"/>
      <c r="S1732" s="10"/>
    </row>
    <row r="1733" spans="10:19">
      <c r="J1733" s="10"/>
      <c r="K1733" s="1127"/>
      <c r="L1733" s="10"/>
      <c r="M1733" s="10"/>
      <c r="N1733" s="10"/>
      <c r="O1733" s="10"/>
      <c r="P1733" s="10"/>
      <c r="Q1733" s="10"/>
      <c r="R1733" s="10"/>
      <c r="S1733" s="10"/>
    </row>
    <row r="1734" spans="10:19">
      <c r="J1734" s="10"/>
      <c r="K1734" s="1127"/>
      <c r="L1734" s="10"/>
      <c r="M1734" s="10"/>
      <c r="N1734" s="10"/>
      <c r="O1734" s="10"/>
      <c r="P1734" s="10"/>
      <c r="Q1734" s="10"/>
      <c r="R1734" s="10"/>
      <c r="S1734" s="10"/>
    </row>
    <row r="1735" spans="10:19">
      <c r="J1735" s="10"/>
      <c r="K1735" s="1127"/>
      <c r="L1735" s="10"/>
      <c r="M1735" s="10"/>
      <c r="N1735" s="10"/>
      <c r="O1735" s="10"/>
      <c r="P1735" s="10"/>
      <c r="Q1735" s="10"/>
      <c r="R1735" s="10"/>
      <c r="S1735" s="10"/>
    </row>
    <row r="1736" spans="10:19">
      <c r="J1736" s="10"/>
      <c r="K1736" s="1127"/>
      <c r="L1736" s="10"/>
      <c r="M1736" s="10"/>
      <c r="N1736" s="10"/>
      <c r="O1736" s="10"/>
      <c r="P1736" s="10"/>
      <c r="Q1736" s="10"/>
      <c r="R1736" s="10"/>
      <c r="S1736" s="10"/>
    </row>
    <row r="1737" spans="10:19">
      <c r="J1737" s="10"/>
      <c r="K1737" s="1127"/>
      <c r="L1737" s="10"/>
      <c r="M1737" s="10"/>
      <c r="N1737" s="10"/>
      <c r="O1737" s="10"/>
      <c r="P1737" s="10"/>
      <c r="Q1737" s="10"/>
      <c r="R1737" s="10"/>
      <c r="S1737" s="10"/>
    </row>
    <row r="1738" spans="10:19">
      <c r="J1738" s="10"/>
      <c r="K1738" s="1127"/>
      <c r="L1738" s="10"/>
      <c r="M1738" s="10"/>
      <c r="N1738" s="10"/>
      <c r="O1738" s="10"/>
      <c r="P1738" s="10"/>
      <c r="Q1738" s="10"/>
      <c r="R1738" s="10"/>
      <c r="S1738" s="10"/>
    </row>
    <row r="1739" spans="10:19">
      <c r="J1739" s="10"/>
      <c r="K1739" s="1127"/>
      <c r="L1739" s="10"/>
      <c r="M1739" s="10"/>
      <c r="N1739" s="10"/>
      <c r="O1739" s="10"/>
      <c r="P1739" s="10"/>
      <c r="Q1739" s="10"/>
      <c r="R1739" s="10"/>
      <c r="S1739" s="10"/>
    </row>
    <row r="1740" spans="10:19">
      <c r="J1740" s="10"/>
      <c r="K1740" s="1127"/>
      <c r="L1740" s="10"/>
      <c r="M1740" s="10"/>
      <c r="N1740" s="10"/>
      <c r="O1740" s="10"/>
      <c r="P1740" s="10"/>
      <c r="Q1740" s="10"/>
      <c r="R1740" s="10"/>
      <c r="S1740" s="10"/>
    </row>
    <row r="1741" spans="10:19">
      <c r="J1741" s="10"/>
      <c r="K1741" s="1127"/>
      <c r="L1741" s="10"/>
      <c r="M1741" s="10"/>
      <c r="N1741" s="10"/>
      <c r="O1741" s="10"/>
      <c r="P1741" s="10"/>
      <c r="Q1741" s="10"/>
      <c r="R1741" s="10"/>
      <c r="S1741" s="10"/>
    </row>
    <row r="1742" spans="10:19">
      <c r="J1742" s="10"/>
      <c r="K1742" s="1127"/>
      <c r="L1742" s="10"/>
      <c r="M1742" s="10"/>
      <c r="N1742" s="10"/>
      <c r="O1742" s="10"/>
      <c r="P1742" s="10"/>
      <c r="Q1742" s="10"/>
      <c r="R1742" s="10"/>
      <c r="S1742" s="10"/>
    </row>
    <row r="1743" spans="10:19">
      <c r="J1743" s="10"/>
      <c r="K1743" s="1127"/>
      <c r="L1743" s="10"/>
      <c r="M1743" s="10"/>
      <c r="N1743" s="10"/>
      <c r="O1743" s="10"/>
      <c r="P1743" s="10"/>
      <c r="Q1743" s="10"/>
      <c r="R1743" s="10"/>
      <c r="S1743" s="10"/>
    </row>
    <row r="1744" spans="10:19">
      <c r="J1744" s="10"/>
      <c r="K1744" s="1127"/>
      <c r="L1744" s="10"/>
      <c r="M1744" s="10"/>
      <c r="N1744" s="10"/>
      <c r="O1744" s="10"/>
      <c r="P1744" s="10"/>
      <c r="Q1744" s="10"/>
      <c r="R1744" s="10"/>
      <c r="S1744" s="10"/>
    </row>
    <row r="1745" spans="10:19">
      <c r="J1745" s="10"/>
      <c r="K1745" s="1127"/>
      <c r="L1745" s="10"/>
      <c r="M1745" s="10"/>
      <c r="N1745" s="10"/>
      <c r="O1745" s="10"/>
      <c r="P1745" s="10"/>
      <c r="Q1745" s="10"/>
      <c r="R1745" s="10"/>
      <c r="S1745" s="10"/>
    </row>
    <row r="1746" spans="10:19">
      <c r="J1746" s="10"/>
      <c r="K1746" s="1127"/>
      <c r="L1746" s="10"/>
      <c r="M1746" s="10"/>
      <c r="N1746" s="10"/>
      <c r="O1746" s="10"/>
      <c r="P1746" s="10"/>
      <c r="Q1746" s="10"/>
      <c r="R1746" s="10"/>
      <c r="S1746" s="10"/>
    </row>
    <row r="1747" spans="10:19">
      <c r="J1747" s="10"/>
      <c r="K1747" s="1127"/>
      <c r="L1747" s="10"/>
      <c r="M1747" s="10"/>
      <c r="N1747" s="10"/>
      <c r="O1747" s="10"/>
      <c r="P1747" s="10"/>
      <c r="Q1747" s="10"/>
      <c r="R1747" s="10"/>
      <c r="S1747" s="10"/>
    </row>
    <row r="1748" spans="10:19">
      <c r="J1748" s="10"/>
      <c r="K1748" s="1127"/>
      <c r="L1748" s="10"/>
      <c r="M1748" s="10"/>
      <c r="N1748" s="10"/>
      <c r="O1748" s="10"/>
      <c r="P1748" s="10"/>
      <c r="Q1748" s="10"/>
      <c r="R1748" s="10"/>
      <c r="S1748" s="10"/>
    </row>
    <row r="1749" spans="10:19">
      <c r="J1749" s="10"/>
      <c r="K1749" s="1127"/>
      <c r="L1749" s="10"/>
      <c r="M1749" s="10"/>
      <c r="N1749" s="10"/>
      <c r="O1749" s="10"/>
      <c r="P1749" s="10"/>
      <c r="Q1749" s="10"/>
      <c r="R1749" s="10"/>
      <c r="S1749" s="10"/>
    </row>
    <row r="1750" spans="10:19">
      <c r="J1750" s="10"/>
      <c r="K1750" s="1127"/>
      <c r="L1750" s="10"/>
      <c r="M1750" s="10"/>
      <c r="N1750" s="10"/>
      <c r="O1750" s="10"/>
      <c r="P1750" s="10"/>
      <c r="Q1750" s="10"/>
      <c r="R1750" s="10"/>
      <c r="S1750" s="10"/>
    </row>
    <row r="1751" spans="10:19">
      <c r="J1751" s="10"/>
      <c r="K1751" s="1127"/>
      <c r="L1751" s="10"/>
      <c r="M1751" s="10"/>
      <c r="N1751" s="10"/>
      <c r="O1751" s="10"/>
      <c r="P1751" s="10"/>
      <c r="Q1751" s="10"/>
      <c r="R1751" s="10"/>
      <c r="S1751" s="10"/>
    </row>
    <row r="1752" spans="10:19">
      <c r="J1752" s="10"/>
      <c r="K1752" s="1127"/>
      <c r="L1752" s="10"/>
      <c r="M1752" s="10"/>
      <c r="N1752" s="10"/>
      <c r="O1752" s="10"/>
      <c r="P1752" s="10"/>
      <c r="Q1752" s="10"/>
      <c r="R1752" s="10"/>
      <c r="S1752" s="10"/>
    </row>
    <row r="1753" spans="10:19">
      <c r="J1753" s="10"/>
      <c r="K1753" s="1127"/>
      <c r="L1753" s="10"/>
      <c r="M1753" s="10"/>
      <c r="N1753" s="10"/>
      <c r="O1753" s="10"/>
      <c r="P1753" s="10"/>
      <c r="Q1753" s="10"/>
      <c r="R1753" s="10"/>
      <c r="S1753" s="10"/>
    </row>
    <row r="1754" spans="10:19">
      <c r="J1754" s="10"/>
      <c r="K1754" s="1127"/>
      <c r="L1754" s="10"/>
      <c r="M1754" s="10"/>
      <c r="N1754" s="10"/>
      <c r="O1754" s="10"/>
      <c r="P1754" s="10"/>
      <c r="Q1754" s="10"/>
      <c r="R1754" s="10"/>
      <c r="S1754" s="10"/>
    </row>
    <row r="1755" spans="10:19">
      <c r="J1755" s="10"/>
      <c r="K1755" s="1127"/>
      <c r="L1755" s="10"/>
      <c r="M1755" s="10"/>
      <c r="N1755" s="10"/>
      <c r="O1755" s="10"/>
      <c r="P1755" s="10"/>
      <c r="Q1755" s="10"/>
      <c r="R1755" s="10"/>
      <c r="S1755" s="10"/>
    </row>
    <row r="1756" spans="10:19">
      <c r="J1756" s="10"/>
      <c r="K1756" s="1127"/>
      <c r="L1756" s="10"/>
      <c r="M1756" s="10"/>
      <c r="N1756" s="10"/>
      <c r="O1756" s="10"/>
      <c r="P1756" s="10"/>
      <c r="Q1756" s="10"/>
      <c r="R1756" s="10"/>
      <c r="S1756" s="10"/>
    </row>
    <row r="1757" spans="10:19">
      <c r="J1757" s="10"/>
      <c r="K1757" s="1127"/>
      <c r="L1757" s="10"/>
      <c r="M1757" s="10"/>
      <c r="N1757" s="10"/>
      <c r="O1757" s="10"/>
      <c r="P1757" s="10"/>
      <c r="Q1757" s="10"/>
      <c r="R1757" s="10"/>
      <c r="S1757" s="10"/>
    </row>
    <row r="1758" spans="10:19">
      <c r="J1758" s="10"/>
      <c r="K1758" s="1127"/>
      <c r="L1758" s="10"/>
      <c r="M1758" s="10"/>
      <c r="N1758" s="10"/>
      <c r="O1758" s="10"/>
      <c r="P1758" s="10"/>
      <c r="Q1758" s="10"/>
      <c r="R1758" s="10"/>
      <c r="S1758" s="10"/>
    </row>
    <row r="1759" spans="10:19">
      <c r="J1759" s="10"/>
      <c r="K1759" s="1127"/>
      <c r="L1759" s="10"/>
      <c r="M1759" s="10"/>
      <c r="N1759" s="10"/>
      <c r="O1759" s="10"/>
      <c r="P1759" s="10"/>
      <c r="Q1759" s="10"/>
      <c r="R1759" s="10"/>
      <c r="S1759" s="10"/>
    </row>
    <row r="1760" spans="10:19">
      <c r="J1760" s="10"/>
      <c r="K1760" s="1127"/>
      <c r="L1760" s="10"/>
      <c r="M1760" s="10"/>
      <c r="N1760" s="10"/>
      <c r="O1760" s="10"/>
      <c r="P1760" s="10"/>
      <c r="Q1760" s="10"/>
      <c r="R1760" s="10"/>
      <c r="S1760" s="10"/>
    </row>
    <row r="1761" spans="10:19">
      <c r="J1761" s="10"/>
      <c r="K1761" s="1127"/>
      <c r="L1761" s="10"/>
      <c r="M1761" s="10"/>
      <c r="N1761" s="10"/>
      <c r="O1761" s="10"/>
      <c r="P1761" s="10"/>
      <c r="Q1761" s="10"/>
      <c r="R1761" s="10"/>
      <c r="S1761" s="10"/>
    </row>
    <row r="1762" spans="10:19">
      <c r="J1762" s="10"/>
      <c r="K1762" s="1127"/>
      <c r="L1762" s="10"/>
      <c r="M1762" s="10"/>
      <c r="N1762" s="10"/>
      <c r="O1762" s="10"/>
      <c r="P1762" s="10"/>
      <c r="Q1762" s="10"/>
      <c r="R1762" s="10"/>
      <c r="S1762" s="10"/>
    </row>
    <row r="1763" spans="10:19">
      <c r="J1763" s="10"/>
      <c r="K1763" s="1127"/>
      <c r="L1763" s="10"/>
      <c r="M1763" s="10"/>
      <c r="N1763" s="10"/>
      <c r="O1763" s="10"/>
      <c r="P1763" s="10"/>
      <c r="Q1763" s="10"/>
      <c r="R1763" s="10"/>
      <c r="S1763" s="10"/>
    </row>
    <row r="1764" spans="10:19">
      <c r="J1764" s="10"/>
      <c r="K1764" s="1127"/>
      <c r="L1764" s="10"/>
      <c r="M1764" s="10"/>
      <c r="N1764" s="10"/>
      <c r="O1764" s="10"/>
      <c r="P1764" s="10"/>
      <c r="Q1764" s="10"/>
      <c r="R1764" s="10"/>
      <c r="S1764" s="10"/>
    </row>
    <row r="1765" spans="10:19">
      <c r="J1765" s="10"/>
      <c r="K1765" s="1127"/>
      <c r="L1765" s="10"/>
      <c r="M1765" s="10"/>
      <c r="N1765" s="10"/>
      <c r="O1765" s="10"/>
      <c r="P1765" s="10"/>
      <c r="Q1765" s="10"/>
      <c r="R1765" s="10"/>
      <c r="S1765" s="10"/>
    </row>
    <row r="1766" spans="10:19">
      <c r="J1766" s="10"/>
      <c r="K1766" s="1127"/>
      <c r="L1766" s="10"/>
      <c r="M1766" s="10"/>
      <c r="N1766" s="10"/>
      <c r="O1766" s="10"/>
      <c r="P1766" s="10"/>
      <c r="Q1766" s="10"/>
      <c r="R1766" s="10"/>
      <c r="S1766" s="10"/>
    </row>
    <row r="1767" spans="10:19">
      <c r="J1767" s="10"/>
      <c r="K1767" s="1127"/>
      <c r="L1767" s="10"/>
      <c r="M1767" s="10"/>
      <c r="N1767" s="10"/>
      <c r="O1767" s="10"/>
      <c r="P1767" s="10"/>
      <c r="Q1767" s="10"/>
      <c r="R1767" s="10"/>
      <c r="S1767" s="10"/>
    </row>
    <row r="1768" spans="10:19">
      <c r="J1768" s="10"/>
      <c r="K1768" s="1127"/>
      <c r="L1768" s="10"/>
      <c r="M1768" s="10"/>
      <c r="N1768" s="10"/>
      <c r="O1768" s="10"/>
      <c r="P1768" s="10"/>
      <c r="Q1768" s="10"/>
      <c r="R1768" s="10"/>
      <c r="S1768" s="10"/>
    </row>
    <row r="1769" spans="10:19">
      <c r="J1769" s="10"/>
      <c r="K1769" s="1127"/>
      <c r="L1769" s="10"/>
      <c r="M1769" s="10"/>
      <c r="N1769" s="10"/>
      <c r="O1769" s="10"/>
      <c r="P1769" s="10"/>
      <c r="Q1769" s="10"/>
      <c r="R1769" s="10"/>
      <c r="S1769" s="10"/>
    </row>
    <row r="1770" spans="10:19">
      <c r="J1770" s="10"/>
      <c r="K1770" s="1127"/>
      <c r="L1770" s="10"/>
      <c r="M1770" s="10"/>
      <c r="N1770" s="10"/>
      <c r="O1770" s="10"/>
      <c r="P1770" s="10"/>
      <c r="Q1770" s="10"/>
      <c r="R1770" s="10"/>
      <c r="S1770" s="10"/>
    </row>
    <row r="1771" spans="10:19">
      <c r="J1771" s="10"/>
      <c r="K1771" s="1127"/>
      <c r="L1771" s="10"/>
      <c r="M1771" s="10"/>
      <c r="N1771" s="10"/>
      <c r="O1771" s="10"/>
      <c r="P1771" s="10"/>
      <c r="Q1771" s="10"/>
      <c r="R1771" s="10"/>
      <c r="S1771" s="10"/>
    </row>
    <row r="1772" spans="10:19">
      <c r="J1772" s="10"/>
      <c r="K1772" s="1127"/>
      <c r="L1772" s="10"/>
      <c r="M1772" s="10"/>
      <c r="N1772" s="10"/>
      <c r="O1772" s="10"/>
      <c r="P1772" s="10"/>
      <c r="Q1772" s="10"/>
      <c r="R1772" s="10"/>
      <c r="S1772" s="10"/>
    </row>
    <row r="1773" spans="10:19">
      <c r="J1773" s="10"/>
      <c r="K1773" s="1127"/>
      <c r="L1773" s="10"/>
      <c r="M1773" s="10"/>
      <c r="N1773" s="10"/>
      <c r="O1773" s="10"/>
      <c r="P1773" s="10"/>
      <c r="Q1773" s="10"/>
      <c r="R1773" s="10"/>
      <c r="S1773" s="10"/>
    </row>
    <row r="1774" spans="10:19">
      <c r="J1774" s="10"/>
      <c r="K1774" s="1127"/>
      <c r="L1774" s="10"/>
      <c r="M1774" s="10"/>
      <c r="N1774" s="10"/>
      <c r="O1774" s="10"/>
      <c r="P1774" s="10"/>
      <c r="Q1774" s="10"/>
      <c r="R1774" s="10"/>
      <c r="S1774" s="10"/>
    </row>
    <row r="1775" spans="10:19">
      <c r="J1775" s="10"/>
      <c r="K1775" s="1127"/>
      <c r="L1775" s="10"/>
      <c r="M1775" s="10"/>
      <c r="N1775" s="10"/>
      <c r="O1775" s="10"/>
      <c r="P1775" s="10"/>
      <c r="Q1775" s="10"/>
      <c r="R1775" s="10"/>
      <c r="S1775" s="10"/>
    </row>
    <row r="1776" spans="10:19">
      <c r="J1776" s="10"/>
      <c r="K1776" s="1127"/>
      <c r="L1776" s="10"/>
      <c r="M1776" s="10"/>
      <c r="N1776" s="10"/>
      <c r="O1776" s="10"/>
      <c r="P1776" s="10"/>
      <c r="Q1776" s="10"/>
      <c r="R1776" s="10"/>
      <c r="S1776" s="10"/>
    </row>
    <row r="1777" spans="10:19">
      <c r="J1777" s="10"/>
      <c r="K1777" s="1127"/>
      <c r="L1777" s="10"/>
      <c r="M1777" s="10"/>
      <c r="N1777" s="10"/>
      <c r="O1777" s="10"/>
      <c r="P1777" s="10"/>
      <c r="Q1777" s="10"/>
      <c r="R1777" s="10"/>
      <c r="S1777" s="10"/>
    </row>
    <row r="1778" spans="10:19">
      <c r="J1778" s="10"/>
      <c r="K1778" s="1127"/>
      <c r="L1778" s="10"/>
      <c r="M1778" s="10"/>
      <c r="N1778" s="10"/>
      <c r="O1778" s="10"/>
      <c r="P1778" s="10"/>
      <c r="Q1778" s="10"/>
      <c r="R1778" s="10"/>
      <c r="S1778" s="10"/>
    </row>
    <row r="1779" spans="10:19">
      <c r="J1779" s="10"/>
      <c r="K1779" s="1127"/>
      <c r="L1779" s="10"/>
      <c r="M1779" s="10"/>
      <c r="N1779" s="10"/>
      <c r="O1779" s="10"/>
      <c r="P1779" s="10"/>
      <c r="Q1779" s="10"/>
      <c r="R1779" s="10"/>
      <c r="S1779" s="10"/>
    </row>
    <row r="1780" spans="10:19">
      <c r="J1780" s="10"/>
      <c r="K1780" s="1127"/>
      <c r="L1780" s="10"/>
      <c r="M1780" s="10"/>
      <c r="N1780" s="10"/>
      <c r="O1780" s="10"/>
      <c r="P1780" s="10"/>
      <c r="Q1780" s="10"/>
      <c r="R1780" s="10"/>
      <c r="S1780" s="10"/>
    </row>
    <row r="1781" spans="10:19">
      <c r="J1781" s="10"/>
      <c r="K1781" s="1127"/>
      <c r="L1781" s="10"/>
      <c r="M1781" s="10"/>
      <c r="N1781" s="10"/>
      <c r="O1781" s="10"/>
      <c r="P1781" s="10"/>
      <c r="Q1781" s="10"/>
      <c r="R1781" s="10"/>
      <c r="S1781" s="10"/>
    </row>
    <row r="1782" spans="10:19">
      <c r="J1782" s="10"/>
      <c r="K1782" s="1127"/>
      <c r="L1782" s="10"/>
      <c r="M1782" s="10"/>
      <c r="N1782" s="10"/>
      <c r="O1782" s="10"/>
      <c r="P1782" s="10"/>
      <c r="Q1782" s="10"/>
      <c r="R1782" s="10"/>
      <c r="S1782" s="10"/>
    </row>
    <row r="1783" spans="10:19">
      <c r="J1783" s="10"/>
      <c r="K1783" s="1127"/>
      <c r="L1783" s="10"/>
      <c r="M1783" s="10"/>
      <c r="N1783" s="10"/>
      <c r="O1783" s="10"/>
      <c r="P1783" s="10"/>
      <c r="Q1783" s="10"/>
      <c r="R1783" s="10"/>
      <c r="S1783" s="10"/>
    </row>
    <row r="1784" spans="10:19">
      <c r="J1784" s="10"/>
      <c r="K1784" s="1127"/>
      <c r="L1784" s="10"/>
      <c r="M1784" s="10"/>
      <c r="N1784" s="10"/>
      <c r="O1784" s="10"/>
      <c r="P1784" s="10"/>
      <c r="Q1784" s="10"/>
      <c r="R1784" s="10"/>
      <c r="S1784" s="10"/>
    </row>
    <row r="1785" spans="10:19">
      <c r="J1785" s="10"/>
      <c r="K1785" s="1127"/>
      <c r="L1785" s="10"/>
      <c r="M1785" s="10"/>
      <c r="N1785" s="10"/>
      <c r="O1785" s="10"/>
      <c r="P1785" s="10"/>
      <c r="Q1785" s="10"/>
      <c r="R1785" s="10"/>
      <c r="S1785" s="10"/>
    </row>
    <row r="1786" spans="10:19">
      <c r="J1786" s="10"/>
      <c r="K1786" s="1127"/>
      <c r="L1786" s="10"/>
      <c r="M1786" s="10"/>
      <c r="N1786" s="10"/>
      <c r="O1786" s="10"/>
      <c r="P1786" s="10"/>
      <c r="Q1786" s="10"/>
      <c r="R1786" s="10"/>
      <c r="S1786" s="10"/>
    </row>
    <row r="1787" spans="10:19">
      <c r="J1787" s="10"/>
      <c r="K1787" s="1127"/>
      <c r="L1787" s="10"/>
      <c r="M1787" s="10"/>
      <c r="N1787" s="10"/>
      <c r="O1787" s="10"/>
      <c r="P1787" s="10"/>
      <c r="Q1787" s="10"/>
      <c r="R1787" s="10"/>
      <c r="S1787" s="10"/>
    </row>
    <row r="1788" spans="10:19">
      <c r="J1788" s="10"/>
      <c r="K1788" s="1127"/>
      <c r="L1788" s="10"/>
      <c r="M1788" s="10"/>
      <c r="N1788" s="10"/>
      <c r="O1788" s="10"/>
      <c r="P1788" s="10"/>
      <c r="Q1788" s="10"/>
      <c r="R1788" s="10"/>
      <c r="S1788" s="10"/>
    </row>
    <row r="1789" spans="10:19">
      <c r="J1789" s="10"/>
      <c r="K1789" s="1127"/>
      <c r="L1789" s="10"/>
      <c r="M1789" s="10"/>
      <c r="N1789" s="10"/>
      <c r="O1789" s="10"/>
      <c r="P1789" s="10"/>
      <c r="Q1789" s="10"/>
      <c r="R1789" s="10"/>
      <c r="S1789" s="10"/>
    </row>
    <row r="1790" spans="10:19">
      <c r="J1790" s="10"/>
      <c r="K1790" s="1127"/>
      <c r="L1790" s="10"/>
      <c r="M1790" s="10"/>
      <c r="N1790" s="10"/>
      <c r="O1790" s="10"/>
      <c r="P1790" s="10"/>
      <c r="Q1790" s="10"/>
      <c r="R1790" s="10"/>
      <c r="S1790" s="10"/>
    </row>
    <row r="1791" spans="10:19">
      <c r="J1791" s="10"/>
      <c r="K1791" s="1127"/>
      <c r="L1791" s="10"/>
      <c r="M1791" s="10"/>
      <c r="N1791" s="10"/>
      <c r="O1791" s="10"/>
      <c r="P1791" s="10"/>
      <c r="Q1791" s="10"/>
      <c r="R1791" s="10"/>
      <c r="S1791" s="10"/>
    </row>
    <row r="1792" spans="10:19">
      <c r="J1792" s="10"/>
      <c r="K1792" s="1127"/>
      <c r="L1792" s="10"/>
      <c r="M1792" s="10"/>
      <c r="N1792" s="10"/>
      <c r="O1792" s="10"/>
      <c r="P1792" s="10"/>
      <c r="Q1792" s="10"/>
      <c r="R1792" s="10"/>
      <c r="S1792" s="10"/>
    </row>
    <row r="1793" spans="10:19">
      <c r="J1793" s="10"/>
      <c r="K1793" s="1127"/>
      <c r="L1793" s="10"/>
      <c r="M1793" s="10"/>
      <c r="N1793" s="10"/>
      <c r="O1793" s="10"/>
      <c r="P1793" s="10"/>
      <c r="Q1793" s="10"/>
      <c r="R1793" s="10"/>
      <c r="S1793" s="10"/>
    </row>
    <row r="1794" spans="10:19">
      <c r="J1794" s="10"/>
      <c r="K1794" s="1127"/>
      <c r="L1794" s="10"/>
      <c r="M1794" s="10"/>
      <c r="N1794" s="10"/>
      <c r="O1794" s="10"/>
      <c r="P1794" s="10"/>
      <c r="Q1794" s="10"/>
      <c r="R1794" s="10"/>
      <c r="S1794" s="10"/>
    </row>
    <row r="1795" spans="10:19">
      <c r="J1795" s="10"/>
      <c r="K1795" s="1127"/>
      <c r="L1795" s="10"/>
      <c r="M1795" s="10"/>
      <c r="N1795" s="10"/>
      <c r="O1795" s="10"/>
      <c r="P1795" s="10"/>
      <c r="Q1795" s="10"/>
      <c r="R1795" s="10"/>
      <c r="S1795" s="10"/>
    </row>
    <row r="1796" spans="10:19">
      <c r="J1796" s="10"/>
      <c r="K1796" s="1127"/>
      <c r="L1796" s="10"/>
      <c r="M1796" s="10"/>
      <c r="N1796" s="10"/>
      <c r="O1796" s="10"/>
      <c r="P1796" s="10"/>
      <c r="Q1796" s="10"/>
      <c r="R1796" s="10"/>
      <c r="S1796" s="10"/>
    </row>
    <row r="1797" spans="10:19">
      <c r="J1797" s="10"/>
      <c r="K1797" s="1127"/>
      <c r="L1797" s="10"/>
      <c r="M1797" s="10"/>
      <c r="N1797" s="10"/>
      <c r="O1797" s="10"/>
      <c r="P1797" s="10"/>
      <c r="Q1797" s="10"/>
      <c r="R1797" s="10"/>
      <c r="S1797" s="10"/>
    </row>
    <row r="1798" spans="10:19">
      <c r="J1798" s="10"/>
      <c r="K1798" s="1127"/>
      <c r="L1798" s="10"/>
      <c r="M1798" s="10"/>
      <c r="N1798" s="10"/>
      <c r="O1798" s="10"/>
      <c r="P1798" s="10"/>
      <c r="Q1798" s="10"/>
      <c r="R1798" s="10"/>
      <c r="S1798" s="10"/>
    </row>
    <row r="1799" spans="10:19">
      <c r="J1799" s="10"/>
      <c r="K1799" s="1127"/>
      <c r="L1799" s="10"/>
      <c r="M1799" s="10"/>
      <c r="N1799" s="10"/>
      <c r="O1799" s="10"/>
      <c r="P1799" s="10"/>
      <c r="Q1799" s="10"/>
      <c r="R1799" s="10"/>
      <c r="S1799" s="10"/>
    </row>
    <row r="1800" spans="10:19">
      <c r="J1800" s="10"/>
      <c r="K1800" s="1127"/>
      <c r="L1800" s="10"/>
      <c r="M1800" s="10"/>
      <c r="N1800" s="10"/>
      <c r="O1800" s="10"/>
      <c r="P1800" s="10"/>
      <c r="Q1800" s="10"/>
      <c r="R1800" s="10"/>
      <c r="S1800" s="10"/>
    </row>
    <row r="1801" spans="10:19">
      <c r="J1801" s="10"/>
      <c r="K1801" s="1127"/>
      <c r="L1801" s="10"/>
      <c r="M1801" s="10"/>
      <c r="N1801" s="10"/>
      <c r="O1801" s="10"/>
      <c r="P1801" s="10"/>
      <c r="Q1801" s="10"/>
      <c r="R1801" s="10"/>
      <c r="S1801" s="10"/>
    </row>
    <row r="1802" spans="10:19">
      <c r="J1802" s="10"/>
      <c r="K1802" s="1127"/>
      <c r="L1802" s="10"/>
      <c r="M1802" s="10"/>
      <c r="N1802" s="10"/>
      <c r="O1802" s="10"/>
      <c r="P1802" s="10"/>
      <c r="Q1802" s="10"/>
      <c r="R1802" s="10"/>
      <c r="S1802" s="10"/>
    </row>
    <row r="1803" spans="10:19">
      <c r="J1803" s="10"/>
      <c r="K1803" s="1127"/>
      <c r="L1803" s="10"/>
      <c r="M1803" s="10"/>
      <c r="N1803" s="10"/>
      <c r="O1803" s="10"/>
      <c r="P1803" s="10"/>
      <c r="Q1803" s="10"/>
      <c r="R1803" s="10"/>
      <c r="S1803" s="10"/>
    </row>
    <row r="1804" spans="10:19">
      <c r="J1804" s="10"/>
      <c r="K1804" s="1127"/>
      <c r="L1804" s="10"/>
      <c r="M1804" s="10"/>
      <c r="N1804" s="10"/>
      <c r="O1804" s="10"/>
      <c r="P1804" s="10"/>
      <c r="Q1804" s="10"/>
      <c r="R1804" s="10"/>
      <c r="S1804" s="10"/>
    </row>
    <row r="1805" spans="10:19">
      <c r="J1805" s="10"/>
      <c r="K1805" s="1127"/>
      <c r="L1805" s="10"/>
      <c r="M1805" s="10"/>
      <c r="N1805" s="10"/>
      <c r="O1805" s="10"/>
      <c r="P1805" s="10"/>
      <c r="Q1805" s="10"/>
      <c r="R1805" s="10"/>
      <c r="S1805" s="10"/>
    </row>
    <row r="1806" spans="10:19">
      <c r="J1806" s="10"/>
      <c r="K1806" s="1127"/>
      <c r="L1806" s="10"/>
      <c r="M1806" s="10"/>
      <c r="N1806" s="10"/>
      <c r="O1806" s="10"/>
      <c r="P1806" s="10"/>
      <c r="Q1806" s="10"/>
      <c r="R1806" s="10"/>
      <c r="S1806" s="10"/>
    </row>
    <row r="1807" spans="10:19">
      <c r="J1807" s="10"/>
      <c r="K1807" s="1127"/>
      <c r="L1807" s="10"/>
      <c r="M1807" s="10"/>
      <c r="N1807" s="10"/>
      <c r="O1807" s="10"/>
      <c r="P1807" s="10"/>
      <c r="Q1807" s="10"/>
      <c r="R1807" s="10"/>
      <c r="S1807" s="10"/>
    </row>
    <row r="1808" spans="10:19">
      <c r="J1808" s="10"/>
      <c r="K1808" s="1127"/>
      <c r="L1808" s="10"/>
      <c r="M1808" s="10"/>
      <c r="N1808" s="10"/>
      <c r="O1808" s="10"/>
      <c r="P1808" s="10"/>
      <c r="Q1808" s="10"/>
      <c r="R1808" s="10"/>
      <c r="S1808" s="10"/>
    </row>
    <row r="1809" spans="10:19">
      <c r="J1809" s="10"/>
      <c r="K1809" s="1127"/>
      <c r="L1809" s="10"/>
      <c r="M1809" s="10"/>
      <c r="N1809" s="10"/>
      <c r="O1809" s="10"/>
      <c r="P1809" s="10"/>
      <c r="Q1809" s="10"/>
      <c r="R1809" s="10"/>
      <c r="S1809" s="10"/>
    </row>
    <row r="1810" spans="10:19">
      <c r="J1810" s="10"/>
      <c r="K1810" s="1127"/>
      <c r="L1810" s="10"/>
      <c r="M1810" s="10"/>
      <c r="N1810" s="10"/>
      <c r="O1810" s="10"/>
      <c r="P1810" s="10"/>
      <c r="Q1810" s="10"/>
      <c r="R1810" s="10"/>
      <c r="S1810" s="10"/>
    </row>
    <row r="1811" spans="10:19">
      <c r="J1811" s="10"/>
      <c r="K1811" s="1127"/>
      <c r="L1811" s="10"/>
      <c r="M1811" s="10"/>
      <c r="N1811" s="10"/>
      <c r="O1811" s="10"/>
      <c r="P1811" s="10"/>
      <c r="Q1811" s="10"/>
      <c r="R1811" s="10"/>
      <c r="S1811" s="10"/>
    </row>
    <row r="1812" spans="10:19">
      <c r="J1812" s="10"/>
      <c r="K1812" s="1127"/>
      <c r="L1812" s="10"/>
      <c r="M1812" s="10"/>
      <c r="N1812" s="10"/>
      <c r="O1812" s="10"/>
      <c r="P1812" s="10"/>
      <c r="Q1812" s="10"/>
      <c r="R1812" s="10"/>
      <c r="S1812" s="10"/>
    </row>
    <row r="1813" spans="10:19">
      <c r="J1813" s="10"/>
      <c r="K1813" s="1127"/>
      <c r="L1813" s="10"/>
      <c r="M1813" s="10"/>
      <c r="N1813" s="10"/>
      <c r="O1813" s="10"/>
      <c r="P1813" s="10"/>
      <c r="Q1813" s="10"/>
      <c r="R1813" s="10"/>
      <c r="S1813" s="10"/>
    </row>
    <row r="1814" spans="10:19">
      <c r="J1814" s="10"/>
      <c r="K1814" s="1127"/>
      <c r="L1814" s="10"/>
      <c r="M1814" s="10"/>
      <c r="N1814" s="10"/>
      <c r="O1814" s="10"/>
      <c r="P1814" s="10"/>
      <c r="Q1814" s="10"/>
      <c r="R1814" s="10"/>
      <c r="S1814" s="10"/>
    </row>
    <row r="1815" spans="10:19">
      <c r="J1815" s="10"/>
      <c r="K1815" s="1127"/>
      <c r="L1815" s="10"/>
      <c r="M1815" s="10"/>
      <c r="N1815" s="10"/>
      <c r="O1815" s="10"/>
      <c r="P1815" s="10"/>
      <c r="Q1815" s="10"/>
      <c r="R1815" s="10"/>
      <c r="S1815" s="10"/>
    </row>
    <row r="1816" spans="10:19">
      <c r="J1816" s="10"/>
      <c r="K1816" s="1127"/>
      <c r="L1816" s="10"/>
      <c r="M1816" s="10"/>
      <c r="N1816" s="10"/>
      <c r="O1816" s="10"/>
      <c r="P1816" s="10"/>
      <c r="Q1816" s="10"/>
      <c r="R1816" s="10"/>
      <c r="S1816" s="10"/>
    </row>
    <row r="1817" spans="10:19">
      <c r="J1817" s="10"/>
      <c r="K1817" s="1127"/>
      <c r="L1817" s="10"/>
      <c r="M1817" s="10"/>
      <c r="N1817" s="10"/>
      <c r="O1817" s="10"/>
      <c r="P1817" s="10"/>
      <c r="Q1817" s="10"/>
      <c r="R1817" s="10"/>
      <c r="S1817" s="10"/>
    </row>
    <row r="1818" spans="10:19">
      <c r="J1818" s="10"/>
      <c r="K1818" s="1127"/>
      <c r="L1818" s="10"/>
      <c r="M1818" s="10"/>
      <c r="N1818" s="10"/>
      <c r="O1818" s="10"/>
      <c r="P1818" s="10"/>
      <c r="Q1818" s="10"/>
      <c r="R1818" s="10"/>
      <c r="S1818" s="10"/>
    </row>
    <row r="1819" spans="10:19">
      <c r="J1819" s="10"/>
      <c r="K1819" s="1127"/>
      <c r="L1819" s="10"/>
      <c r="M1819" s="10"/>
      <c r="N1819" s="10"/>
      <c r="O1819" s="10"/>
      <c r="P1819" s="10"/>
      <c r="Q1819" s="10"/>
      <c r="R1819" s="10"/>
      <c r="S1819" s="10"/>
    </row>
    <row r="1820" spans="10:19">
      <c r="J1820" s="10"/>
      <c r="K1820" s="1127"/>
      <c r="L1820" s="10"/>
      <c r="M1820" s="10"/>
      <c r="N1820" s="10"/>
      <c r="O1820" s="10"/>
      <c r="P1820" s="10"/>
      <c r="Q1820" s="10"/>
      <c r="R1820" s="10"/>
      <c r="S1820" s="10"/>
    </row>
    <row r="1821" spans="10:19">
      <c r="J1821" s="10"/>
      <c r="K1821" s="1127"/>
      <c r="L1821" s="10"/>
      <c r="M1821" s="10"/>
      <c r="N1821" s="10"/>
      <c r="O1821" s="10"/>
      <c r="P1821" s="10"/>
      <c r="Q1821" s="10"/>
      <c r="R1821" s="10"/>
      <c r="S1821" s="10"/>
    </row>
    <row r="1822" spans="10:19">
      <c r="J1822" s="10"/>
      <c r="K1822" s="1127"/>
      <c r="L1822" s="10"/>
      <c r="M1822" s="10"/>
      <c r="N1822" s="10"/>
      <c r="O1822" s="10"/>
      <c r="P1822" s="10"/>
      <c r="Q1822" s="10"/>
      <c r="R1822" s="10"/>
      <c r="S1822" s="10"/>
    </row>
    <row r="1823" spans="10:19">
      <c r="J1823" s="10"/>
      <c r="K1823" s="1127"/>
      <c r="L1823" s="10"/>
      <c r="M1823" s="10"/>
      <c r="N1823" s="10"/>
      <c r="O1823" s="10"/>
      <c r="P1823" s="10"/>
      <c r="Q1823" s="10"/>
      <c r="R1823" s="10"/>
      <c r="S1823" s="10"/>
    </row>
    <row r="1824" spans="10:19">
      <c r="J1824" s="10"/>
      <c r="K1824" s="1127"/>
      <c r="L1824" s="10"/>
      <c r="M1824" s="10"/>
      <c r="N1824" s="10"/>
      <c r="O1824" s="10"/>
      <c r="P1824" s="10"/>
      <c r="Q1824" s="10"/>
      <c r="R1824" s="10"/>
      <c r="S1824" s="10"/>
    </row>
    <row r="1825" spans="10:19">
      <c r="J1825" s="10"/>
      <c r="K1825" s="1127"/>
      <c r="L1825" s="10"/>
      <c r="M1825" s="10"/>
      <c r="N1825" s="10"/>
      <c r="O1825" s="10"/>
      <c r="P1825" s="10"/>
      <c r="Q1825" s="10"/>
      <c r="R1825" s="10"/>
      <c r="S1825" s="10"/>
    </row>
    <row r="1826" spans="10:19">
      <c r="J1826" s="10"/>
      <c r="K1826" s="1127"/>
      <c r="L1826" s="10"/>
      <c r="M1826" s="10"/>
      <c r="N1826" s="10"/>
      <c r="O1826" s="10"/>
      <c r="P1826" s="10"/>
      <c r="Q1826" s="10"/>
      <c r="R1826" s="10"/>
      <c r="S1826" s="10"/>
    </row>
    <row r="1827" spans="10:19">
      <c r="J1827" s="10"/>
      <c r="K1827" s="1127"/>
      <c r="L1827" s="10"/>
      <c r="M1827" s="10"/>
      <c r="N1827" s="10"/>
      <c r="O1827" s="10"/>
      <c r="P1827" s="10"/>
      <c r="Q1827" s="10"/>
      <c r="R1827" s="10"/>
      <c r="S1827" s="10"/>
    </row>
    <row r="1828" spans="10:19">
      <c r="J1828" s="10"/>
      <c r="K1828" s="1127"/>
      <c r="L1828" s="10"/>
      <c r="M1828" s="10"/>
      <c r="N1828" s="10"/>
      <c r="O1828" s="10"/>
      <c r="P1828" s="10"/>
      <c r="Q1828" s="10"/>
      <c r="R1828" s="10"/>
      <c r="S1828" s="10"/>
    </row>
    <row r="1829" spans="10:19">
      <c r="J1829" s="10"/>
      <c r="K1829" s="1127"/>
      <c r="L1829" s="10"/>
      <c r="M1829" s="10"/>
      <c r="N1829" s="10"/>
      <c r="O1829" s="10"/>
      <c r="P1829" s="10"/>
      <c r="Q1829" s="10"/>
      <c r="R1829" s="10"/>
      <c r="S1829" s="10"/>
    </row>
    <row r="1830" spans="10:19">
      <c r="J1830" s="10"/>
      <c r="K1830" s="1127"/>
      <c r="L1830" s="10"/>
      <c r="M1830" s="10"/>
      <c r="N1830" s="10"/>
      <c r="O1830" s="10"/>
      <c r="P1830" s="10"/>
      <c r="Q1830" s="10"/>
      <c r="R1830" s="10"/>
      <c r="S1830" s="10"/>
    </row>
    <row r="1831" spans="10:19">
      <c r="J1831" s="10"/>
      <c r="K1831" s="1127"/>
      <c r="L1831" s="10"/>
      <c r="M1831" s="10"/>
      <c r="N1831" s="10"/>
      <c r="O1831" s="10"/>
      <c r="P1831" s="10"/>
      <c r="Q1831" s="10"/>
      <c r="R1831" s="10"/>
      <c r="S1831" s="10"/>
    </row>
    <row r="1832" spans="10:19">
      <c r="J1832" s="10"/>
      <c r="K1832" s="1127"/>
      <c r="L1832" s="10"/>
      <c r="M1832" s="10"/>
      <c r="N1832" s="10"/>
      <c r="O1832" s="10"/>
      <c r="P1832" s="10"/>
      <c r="Q1832" s="10"/>
      <c r="R1832" s="10"/>
      <c r="S1832" s="10"/>
    </row>
    <row r="1833" spans="10:19">
      <c r="J1833" s="10"/>
      <c r="K1833" s="1127"/>
      <c r="L1833" s="10"/>
      <c r="M1833" s="10"/>
      <c r="N1833" s="10"/>
      <c r="O1833" s="10"/>
      <c r="P1833" s="10"/>
      <c r="Q1833" s="10"/>
      <c r="R1833" s="10"/>
      <c r="S1833" s="10"/>
    </row>
    <row r="1834" spans="10:19">
      <c r="J1834" s="10"/>
      <c r="K1834" s="1127"/>
      <c r="L1834" s="10"/>
      <c r="M1834" s="10"/>
      <c r="N1834" s="10"/>
      <c r="O1834" s="10"/>
      <c r="P1834" s="10"/>
      <c r="Q1834" s="10"/>
      <c r="R1834" s="10"/>
      <c r="S1834" s="10"/>
    </row>
    <row r="1835" spans="10:19">
      <c r="J1835" s="10"/>
      <c r="K1835" s="1127"/>
      <c r="L1835" s="10"/>
      <c r="M1835" s="10"/>
      <c r="N1835" s="10"/>
      <c r="O1835" s="10"/>
      <c r="P1835" s="10"/>
      <c r="Q1835" s="10"/>
      <c r="R1835" s="10"/>
      <c r="S1835" s="10"/>
    </row>
    <row r="1836" spans="10:19">
      <c r="J1836" s="10"/>
      <c r="K1836" s="1127"/>
      <c r="L1836" s="10"/>
      <c r="M1836" s="10"/>
      <c r="N1836" s="10"/>
      <c r="O1836" s="10"/>
      <c r="P1836" s="10"/>
      <c r="Q1836" s="10"/>
      <c r="R1836" s="10"/>
      <c r="S1836" s="10"/>
    </row>
    <row r="1837" spans="10:19">
      <c r="J1837" s="10"/>
      <c r="K1837" s="1127"/>
      <c r="L1837" s="10"/>
      <c r="M1837" s="10"/>
      <c r="N1837" s="10"/>
      <c r="O1837" s="10"/>
      <c r="P1837" s="10"/>
      <c r="Q1837" s="10"/>
      <c r="R1837" s="10"/>
      <c r="S1837" s="10"/>
    </row>
    <row r="1838" spans="10:19">
      <c r="J1838" s="10"/>
      <c r="K1838" s="1127"/>
      <c r="L1838" s="10"/>
      <c r="M1838" s="10"/>
      <c r="N1838" s="10"/>
      <c r="O1838" s="10"/>
      <c r="P1838" s="10"/>
      <c r="Q1838" s="10"/>
      <c r="R1838" s="10"/>
      <c r="S1838" s="10"/>
    </row>
    <row r="1839" spans="10:19">
      <c r="J1839" s="10"/>
      <c r="K1839" s="1127"/>
      <c r="L1839" s="10"/>
      <c r="M1839" s="10"/>
      <c r="N1839" s="10"/>
      <c r="O1839" s="10"/>
      <c r="P1839" s="10"/>
      <c r="Q1839" s="10"/>
      <c r="R1839" s="10"/>
      <c r="S1839" s="10"/>
    </row>
    <row r="1840" spans="10:19">
      <c r="J1840" s="10"/>
      <c r="K1840" s="1127"/>
      <c r="L1840" s="10"/>
      <c r="M1840" s="10"/>
      <c r="N1840" s="10"/>
      <c r="O1840" s="10"/>
      <c r="P1840" s="10"/>
      <c r="Q1840" s="10"/>
      <c r="R1840" s="10"/>
      <c r="S1840" s="10"/>
    </row>
    <row r="1841" spans="10:19">
      <c r="J1841" s="10"/>
      <c r="K1841" s="1127"/>
      <c r="L1841" s="10"/>
      <c r="M1841" s="10"/>
      <c r="N1841" s="10"/>
      <c r="O1841" s="10"/>
      <c r="P1841" s="10"/>
      <c r="Q1841" s="10"/>
      <c r="R1841" s="10"/>
      <c r="S1841" s="10"/>
    </row>
    <row r="1842" spans="10:19">
      <c r="J1842" s="10"/>
      <c r="K1842" s="1127"/>
      <c r="L1842" s="10"/>
      <c r="M1842" s="10"/>
      <c r="N1842" s="10"/>
      <c r="O1842" s="10"/>
      <c r="P1842" s="10"/>
      <c r="Q1842" s="10"/>
      <c r="R1842" s="10"/>
      <c r="S1842" s="10"/>
    </row>
    <row r="1843" spans="10:19">
      <c r="J1843" s="10"/>
      <c r="K1843" s="1127"/>
      <c r="L1843" s="10"/>
      <c r="M1843" s="10"/>
      <c r="N1843" s="10"/>
      <c r="O1843" s="10"/>
      <c r="P1843" s="10"/>
      <c r="Q1843" s="10"/>
      <c r="R1843" s="10"/>
      <c r="S1843" s="10"/>
    </row>
    <row r="1844" spans="10:19">
      <c r="J1844" s="10"/>
      <c r="K1844" s="1127"/>
      <c r="L1844" s="10"/>
      <c r="M1844" s="10"/>
      <c r="N1844" s="10"/>
      <c r="O1844" s="10"/>
      <c r="P1844" s="10"/>
      <c r="Q1844" s="10"/>
      <c r="R1844" s="10"/>
      <c r="S1844" s="10"/>
    </row>
    <row r="1845" spans="10:19">
      <c r="J1845" s="10"/>
      <c r="K1845" s="1127"/>
      <c r="L1845" s="10"/>
      <c r="M1845" s="10"/>
      <c r="N1845" s="10"/>
      <c r="O1845" s="10"/>
      <c r="P1845" s="10"/>
      <c r="Q1845" s="10"/>
      <c r="R1845" s="10"/>
      <c r="S1845" s="10"/>
    </row>
    <row r="1846" spans="10:19">
      <c r="J1846" s="10"/>
      <c r="K1846" s="1127"/>
      <c r="L1846" s="10"/>
      <c r="M1846" s="10"/>
      <c r="N1846" s="10"/>
      <c r="O1846" s="10"/>
      <c r="P1846" s="10"/>
      <c r="Q1846" s="10"/>
      <c r="R1846" s="10"/>
      <c r="S1846" s="10"/>
    </row>
    <row r="1847" spans="10:19">
      <c r="J1847" s="10"/>
      <c r="K1847" s="1127"/>
      <c r="L1847" s="10"/>
      <c r="M1847" s="10"/>
      <c r="N1847" s="10"/>
      <c r="O1847" s="10"/>
      <c r="P1847" s="10"/>
      <c r="Q1847" s="10"/>
      <c r="R1847" s="10"/>
      <c r="S1847" s="10"/>
    </row>
    <row r="1848" spans="10:19">
      <c r="J1848" s="10"/>
      <c r="K1848" s="1127"/>
      <c r="L1848" s="10"/>
      <c r="M1848" s="10"/>
      <c r="N1848" s="10"/>
      <c r="O1848" s="10"/>
      <c r="P1848" s="10"/>
      <c r="Q1848" s="10"/>
      <c r="R1848" s="10"/>
      <c r="S1848" s="10"/>
    </row>
    <row r="1849" spans="10:19">
      <c r="J1849" s="10"/>
      <c r="K1849" s="1127"/>
      <c r="L1849" s="10"/>
      <c r="M1849" s="10"/>
      <c r="N1849" s="10"/>
      <c r="O1849" s="10"/>
      <c r="P1849" s="10"/>
      <c r="Q1849" s="10"/>
      <c r="R1849" s="10"/>
      <c r="S1849" s="10"/>
    </row>
    <row r="1850" spans="10:19">
      <c r="J1850" s="10"/>
      <c r="K1850" s="1127"/>
      <c r="L1850" s="10"/>
      <c r="M1850" s="10"/>
      <c r="N1850" s="10"/>
      <c r="O1850" s="10"/>
      <c r="P1850" s="10"/>
      <c r="Q1850" s="10"/>
      <c r="R1850" s="10"/>
      <c r="S1850" s="10"/>
    </row>
    <row r="1851" spans="10:19">
      <c r="J1851" s="10"/>
      <c r="K1851" s="1127"/>
      <c r="L1851" s="10"/>
      <c r="M1851" s="10"/>
      <c r="N1851" s="10"/>
      <c r="O1851" s="10"/>
      <c r="P1851" s="10"/>
      <c r="Q1851" s="10"/>
      <c r="R1851" s="10"/>
      <c r="S1851" s="10"/>
    </row>
    <row r="1852" spans="10:19">
      <c r="J1852" s="10"/>
      <c r="K1852" s="1127"/>
      <c r="L1852" s="10"/>
      <c r="M1852" s="10"/>
      <c r="N1852" s="10"/>
      <c r="O1852" s="10"/>
      <c r="P1852" s="10"/>
      <c r="Q1852" s="10"/>
      <c r="R1852" s="10"/>
      <c r="S1852" s="10"/>
    </row>
    <row r="1853" spans="10:19">
      <c r="J1853" s="10"/>
      <c r="K1853" s="1127"/>
      <c r="L1853" s="10"/>
      <c r="M1853" s="10"/>
      <c r="N1853" s="10"/>
      <c r="O1853" s="10"/>
      <c r="P1853" s="10"/>
      <c r="Q1853" s="10"/>
      <c r="R1853" s="10"/>
      <c r="S1853" s="10"/>
    </row>
    <row r="1854" spans="10:19">
      <c r="J1854" s="10"/>
      <c r="K1854" s="1127"/>
      <c r="L1854" s="10"/>
      <c r="M1854" s="10"/>
      <c r="N1854" s="10"/>
      <c r="O1854" s="10"/>
      <c r="P1854" s="10"/>
      <c r="Q1854" s="10"/>
      <c r="R1854" s="10"/>
      <c r="S1854" s="10"/>
    </row>
    <row r="1855" spans="10:19">
      <c r="J1855" s="10"/>
      <c r="K1855" s="1127"/>
      <c r="L1855" s="10"/>
      <c r="M1855" s="10"/>
      <c r="N1855" s="10"/>
      <c r="O1855" s="10"/>
      <c r="P1855" s="10"/>
      <c r="Q1855" s="10"/>
      <c r="R1855" s="10"/>
      <c r="S1855" s="10"/>
    </row>
    <row r="1856" spans="10:19">
      <c r="J1856" s="10"/>
      <c r="K1856" s="1127"/>
      <c r="L1856" s="10"/>
      <c r="M1856" s="10"/>
      <c r="N1856" s="10"/>
      <c r="O1856" s="10"/>
      <c r="P1856" s="10"/>
      <c r="Q1856" s="10"/>
      <c r="R1856" s="10"/>
      <c r="S1856" s="10"/>
    </row>
    <row r="1857" spans="10:19">
      <c r="J1857" s="10"/>
      <c r="K1857" s="1127"/>
      <c r="L1857" s="10"/>
      <c r="M1857" s="10"/>
      <c r="N1857" s="10"/>
      <c r="O1857" s="10"/>
      <c r="P1857" s="10"/>
      <c r="Q1857" s="10"/>
      <c r="R1857" s="10"/>
      <c r="S1857" s="10"/>
    </row>
    <row r="1858" spans="10:19">
      <c r="J1858" s="10"/>
      <c r="K1858" s="1127"/>
      <c r="L1858" s="10"/>
      <c r="M1858" s="10"/>
      <c r="N1858" s="10"/>
      <c r="O1858" s="10"/>
      <c r="P1858" s="10"/>
      <c r="Q1858" s="10"/>
      <c r="R1858" s="10"/>
      <c r="S1858" s="10"/>
    </row>
    <row r="1859" spans="10:19">
      <c r="J1859" s="10"/>
      <c r="K1859" s="1127"/>
      <c r="L1859" s="10"/>
      <c r="M1859" s="10"/>
      <c r="N1859" s="10"/>
      <c r="O1859" s="10"/>
      <c r="P1859" s="10"/>
      <c r="Q1859" s="10"/>
      <c r="R1859" s="10"/>
      <c r="S1859" s="10"/>
    </row>
    <row r="1860" spans="10:19">
      <c r="J1860" s="10"/>
      <c r="K1860" s="1127"/>
      <c r="L1860" s="10"/>
      <c r="M1860" s="10"/>
      <c r="N1860" s="10"/>
      <c r="O1860" s="10"/>
      <c r="P1860" s="10"/>
      <c r="Q1860" s="10"/>
      <c r="R1860" s="10"/>
      <c r="S1860" s="10"/>
    </row>
    <row r="1861" spans="10:19">
      <c r="J1861" s="10"/>
      <c r="K1861" s="1127"/>
      <c r="L1861" s="10"/>
      <c r="M1861" s="10"/>
      <c r="N1861" s="10"/>
      <c r="O1861" s="10"/>
      <c r="P1861" s="10"/>
      <c r="Q1861" s="10"/>
      <c r="R1861" s="10"/>
      <c r="S1861" s="10"/>
    </row>
    <row r="1862" spans="10:19">
      <c r="J1862" s="10"/>
      <c r="K1862" s="1127"/>
      <c r="L1862" s="10"/>
      <c r="M1862" s="10"/>
      <c r="N1862" s="10"/>
      <c r="O1862" s="10"/>
      <c r="P1862" s="10"/>
      <c r="Q1862" s="10"/>
      <c r="R1862" s="10"/>
      <c r="S1862" s="10"/>
    </row>
    <row r="1863" spans="10:19">
      <c r="J1863" s="10"/>
      <c r="K1863" s="1127"/>
      <c r="L1863" s="10"/>
      <c r="M1863" s="10"/>
      <c r="N1863" s="10"/>
      <c r="O1863" s="10"/>
      <c r="P1863" s="10"/>
      <c r="Q1863" s="10"/>
      <c r="R1863" s="10"/>
      <c r="S1863" s="10"/>
    </row>
    <row r="1864" spans="10:19">
      <c r="J1864" s="10"/>
      <c r="K1864" s="1127"/>
      <c r="L1864" s="10"/>
      <c r="M1864" s="10"/>
      <c r="N1864" s="10"/>
      <c r="O1864" s="10"/>
      <c r="P1864" s="10"/>
      <c r="Q1864" s="10"/>
      <c r="R1864" s="10"/>
      <c r="S1864" s="10"/>
    </row>
    <row r="1865" spans="10:19">
      <c r="J1865" s="10"/>
      <c r="K1865" s="1127"/>
      <c r="L1865" s="10"/>
      <c r="M1865" s="10"/>
      <c r="N1865" s="10"/>
      <c r="O1865" s="10"/>
      <c r="P1865" s="10"/>
      <c r="Q1865" s="10"/>
      <c r="R1865" s="10"/>
      <c r="S1865" s="10"/>
    </row>
    <row r="1866" spans="10:19">
      <c r="J1866" s="10"/>
      <c r="K1866" s="1127"/>
      <c r="L1866" s="10"/>
      <c r="M1866" s="10"/>
      <c r="N1866" s="10"/>
      <c r="O1866" s="10"/>
      <c r="P1866" s="10"/>
      <c r="Q1866" s="10"/>
      <c r="R1866" s="10"/>
      <c r="S1866" s="10"/>
    </row>
    <row r="1867" spans="10:19">
      <c r="J1867" s="10"/>
      <c r="K1867" s="1127"/>
      <c r="L1867" s="10"/>
      <c r="M1867" s="10"/>
      <c r="N1867" s="10"/>
      <c r="O1867" s="10"/>
      <c r="P1867" s="10"/>
      <c r="Q1867" s="10"/>
      <c r="R1867" s="10"/>
      <c r="S1867" s="10"/>
    </row>
    <row r="1868" spans="10:19">
      <c r="J1868" s="10"/>
      <c r="K1868" s="1127"/>
      <c r="L1868" s="10"/>
      <c r="M1868" s="10"/>
      <c r="N1868" s="10"/>
      <c r="O1868" s="10"/>
      <c r="P1868" s="10"/>
      <c r="Q1868" s="10"/>
      <c r="R1868" s="10"/>
      <c r="S1868" s="10"/>
    </row>
    <row r="1869" spans="10:19">
      <c r="J1869" s="10"/>
      <c r="K1869" s="1127"/>
      <c r="L1869" s="10"/>
      <c r="M1869" s="10"/>
      <c r="N1869" s="10"/>
      <c r="O1869" s="10"/>
      <c r="P1869" s="10"/>
      <c r="Q1869" s="10"/>
      <c r="R1869" s="10"/>
      <c r="S1869" s="10"/>
    </row>
    <row r="1870" spans="10:19">
      <c r="J1870" s="10"/>
      <c r="K1870" s="1127"/>
      <c r="L1870" s="10"/>
      <c r="M1870" s="10"/>
      <c r="N1870" s="10"/>
      <c r="O1870" s="10"/>
      <c r="P1870" s="10"/>
      <c r="Q1870" s="10"/>
      <c r="R1870" s="10"/>
      <c r="S1870" s="10"/>
    </row>
    <row r="1871" spans="10:19">
      <c r="J1871" s="10"/>
      <c r="K1871" s="1127"/>
      <c r="L1871" s="10"/>
      <c r="M1871" s="10"/>
      <c r="N1871" s="10"/>
      <c r="O1871" s="10"/>
      <c r="P1871" s="10"/>
      <c r="Q1871" s="10"/>
      <c r="R1871" s="10"/>
      <c r="S1871" s="10"/>
    </row>
    <row r="1872" spans="10:19">
      <c r="J1872" s="10"/>
      <c r="K1872" s="1127"/>
      <c r="L1872" s="10"/>
      <c r="M1872" s="10"/>
      <c r="N1872" s="10"/>
      <c r="O1872" s="10"/>
      <c r="P1872" s="10"/>
      <c r="Q1872" s="10"/>
      <c r="R1872" s="10"/>
      <c r="S1872" s="10"/>
    </row>
    <row r="1873" spans="10:19">
      <c r="J1873" s="10"/>
      <c r="K1873" s="1127"/>
      <c r="L1873" s="10"/>
      <c r="M1873" s="10"/>
      <c r="N1873" s="10"/>
      <c r="O1873" s="10"/>
      <c r="P1873" s="10"/>
      <c r="Q1873" s="10"/>
      <c r="R1873" s="10"/>
      <c r="S1873" s="10"/>
    </row>
    <row r="1874" spans="10:19">
      <c r="J1874" s="10"/>
      <c r="K1874" s="1127"/>
      <c r="L1874" s="10"/>
      <c r="M1874" s="10"/>
      <c r="N1874" s="10"/>
      <c r="O1874" s="10"/>
      <c r="P1874" s="10"/>
      <c r="Q1874" s="10"/>
      <c r="R1874" s="10"/>
      <c r="S1874" s="10"/>
    </row>
    <row r="1875" spans="10:19">
      <c r="J1875" s="10"/>
      <c r="K1875" s="1127"/>
      <c r="L1875" s="10"/>
      <c r="M1875" s="10"/>
      <c r="N1875" s="10"/>
      <c r="O1875" s="10"/>
      <c r="P1875" s="10"/>
      <c r="Q1875" s="10"/>
      <c r="R1875" s="10"/>
      <c r="S1875" s="10"/>
    </row>
    <row r="1876" spans="10:19">
      <c r="J1876" s="10"/>
      <c r="K1876" s="1127"/>
      <c r="L1876" s="10"/>
      <c r="M1876" s="10"/>
      <c r="N1876" s="10"/>
      <c r="O1876" s="10"/>
      <c r="P1876" s="10"/>
      <c r="Q1876" s="10"/>
      <c r="R1876" s="10"/>
      <c r="S1876" s="10"/>
    </row>
    <row r="1877" spans="10:19">
      <c r="J1877" s="10"/>
      <c r="K1877" s="1127"/>
      <c r="L1877" s="10"/>
      <c r="M1877" s="10"/>
      <c r="N1877" s="10"/>
      <c r="O1877" s="10"/>
      <c r="P1877" s="10"/>
      <c r="Q1877" s="10"/>
      <c r="R1877" s="10"/>
      <c r="S1877" s="10"/>
    </row>
    <row r="1878" spans="10:19">
      <c r="J1878" s="10"/>
      <c r="K1878" s="1127"/>
      <c r="L1878" s="10"/>
      <c r="M1878" s="10"/>
      <c r="N1878" s="10"/>
      <c r="O1878" s="10"/>
      <c r="P1878" s="10"/>
      <c r="Q1878" s="10"/>
      <c r="R1878" s="10"/>
      <c r="S1878" s="10"/>
    </row>
    <row r="1879" spans="10:19">
      <c r="J1879" s="10"/>
      <c r="K1879" s="1127"/>
      <c r="L1879" s="10"/>
      <c r="M1879" s="10"/>
      <c r="N1879" s="10"/>
      <c r="O1879" s="10"/>
      <c r="P1879" s="10"/>
      <c r="Q1879" s="10"/>
      <c r="R1879" s="10"/>
      <c r="S1879" s="10"/>
    </row>
    <row r="1880" spans="10:19">
      <c r="J1880" s="10"/>
      <c r="K1880" s="1127"/>
      <c r="L1880" s="10"/>
      <c r="M1880" s="10"/>
      <c r="N1880" s="10"/>
      <c r="O1880" s="10"/>
      <c r="P1880" s="10"/>
      <c r="Q1880" s="10"/>
      <c r="R1880" s="10"/>
      <c r="S1880" s="10"/>
    </row>
    <row r="1881" spans="10:19">
      <c r="J1881" s="10"/>
      <c r="K1881" s="1127"/>
      <c r="L1881" s="10"/>
      <c r="M1881" s="10"/>
      <c r="N1881" s="10"/>
      <c r="O1881" s="10"/>
      <c r="P1881" s="10"/>
      <c r="Q1881" s="10"/>
      <c r="R1881" s="10"/>
      <c r="S1881" s="10"/>
    </row>
    <row r="1882" spans="10:19">
      <c r="J1882" s="10"/>
      <c r="K1882" s="1127"/>
      <c r="L1882" s="10"/>
      <c r="M1882" s="10"/>
      <c r="N1882" s="10"/>
      <c r="O1882" s="10"/>
      <c r="P1882" s="10"/>
      <c r="Q1882" s="10"/>
      <c r="R1882" s="10"/>
      <c r="S1882" s="10"/>
    </row>
    <row r="1883" spans="10:19">
      <c r="J1883" s="10"/>
      <c r="K1883" s="1127"/>
      <c r="L1883" s="10"/>
      <c r="M1883" s="10"/>
      <c r="N1883" s="10"/>
      <c r="O1883" s="10"/>
      <c r="P1883" s="10"/>
      <c r="Q1883" s="10"/>
      <c r="R1883" s="10"/>
      <c r="S1883" s="10"/>
    </row>
    <row r="1884" spans="10:19">
      <c r="J1884" s="10"/>
      <c r="K1884" s="1127"/>
      <c r="L1884" s="10"/>
      <c r="M1884" s="10"/>
      <c r="N1884" s="10"/>
      <c r="O1884" s="10"/>
      <c r="P1884" s="10"/>
      <c r="Q1884" s="10"/>
      <c r="R1884" s="10"/>
      <c r="S1884" s="10"/>
    </row>
    <row r="1885" spans="10:19">
      <c r="J1885" s="10"/>
      <c r="K1885" s="1127"/>
      <c r="L1885" s="10"/>
      <c r="M1885" s="10"/>
      <c r="N1885" s="10"/>
      <c r="O1885" s="10"/>
      <c r="P1885" s="10"/>
      <c r="Q1885" s="10"/>
      <c r="R1885" s="10"/>
      <c r="S1885" s="10"/>
    </row>
    <row r="1886" spans="10:19">
      <c r="J1886" s="10"/>
      <c r="K1886" s="1127"/>
      <c r="L1886" s="10"/>
      <c r="M1886" s="10"/>
      <c r="N1886" s="10"/>
      <c r="O1886" s="10"/>
      <c r="P1886" s="10"/>
      <c r="Q1886" s="10"/>
      <c r="R1886" s="10"/>
      <c r="S1886" s="10"/>
    </row>
    <row r="1887" spans="10:19">
      <c r="J1887" s="10"/>
      <c r="K1887" s="1127"/>
      <c r="L1887" s="10"/>
      <c r="M1887" s="10"/>
      <c r="N1887" s="10"/>
      <c r="O1887" s="10"/>
      <c r="P1887" s="10"/>
      <c r="Q1887" s="10"/>
      <c r="R1887" s="10"/>
      <c r="S1887" s="10"/>
    </row>
    <row r="1888" spans="10:19">
      <c r="J1888" s="10"/>
      <c r="K1888" s="1127"/>
      <c r="L1888" s="10"/>
      <c r="M1888" s="10"/>
      <c r="N1888" s="10"/>
      <c r="O1888" s="10"/>
      <c r="P1888" s="10"/>
      <c r="Q1888" s="10"/>
      <c r="R1888" s="10"/>
      <c r="S1888" s="10"/>
    </row>
    <row r="1889" spans="10:19">
      <c r="J1889" s="10"/>
      <c r="K1889" s="1127"/>
      <c r="L1889" s="10"/>
      <c r="M1889" s="10"/>
      <c r="N1889" s="10"/>
      <c r="O1889" s="10"/>
      <c r="P1889" s="10"/>
      <c r="Q1889" s="10"/>
      <c r="R1889" s="10"/>
      <c r="S1889" s="10"/>
    </row>
    <row r="1890" spans="10:19">
      <c r="J1890" s="10"/>
      <c r="K1890" s="1127"/>
      <c r="L1890" s="10"/>
      <c r="M1890" s="10"/>
      <c r="N1890" s="10"/>
      <c r="O1890" s="10"/>
      <c r="P1890" s="10"/>
      <c r="Q1890" s="10"/>
      <c r="R1890" s="10"/>
      <c r="S1890" s="10"/>
    </row>
    <row r="1891" spans="10:19">
      <c r="J1891" s="10"/>
      <c r="K1891" s="1127"/>
      <c r="L1891" s="10"/>
      <c r="M1891" s="10"/>
      <c r="N1891" s="10"/>
      <c r="O1891" s="10"/>
      <c r="P1891" s="10"/>
      <c r="Q1891" s="10"/>
      <c r="R1891" s="10"/>
      <c r="S1891" s="10"/>
    </row>
    <row r="1892" spans="10:19">
      <c r="J1892" s="10"/>
      <c r="K1892" s="1127"/>
      <c r="L1892" s="10"/>
      <c r="M1892" s="10"/>
      <c r="N1892" s="10"/>
      <c r="O1892" s="10"/>
      <c r="P1892" s="10"/>
      <c r="Q1892" s="10"/>
      <c r="R1892" s="10"/>
      <c r="S1892" s="10"/>
    </row>
    <row r="1893" spans="10:19">
      <c r="J1893" s="10"/>
      <c r="K1893" s="1127"/>
      <c r="L1893" s="10"/>
      <c r="M1893" s="10"/>
      <c r="N1893" s="10"/>
      <c r="O1893" s="10"/>
      <c r="P1893" s="10"/>
      <c r="Q1893" s="10"/>
      <c r="R1893" s="10"/>
      <c r="S1893" s="10"/>
    </row>
    <row r="1894" spans="10:19">
      <c r="J1894" s="10"/>
      <c r="K1894" s="1127"/>
      <c r="L1894" s="10"/>
      <c r="M1894" s="10"/>
      <c r="N1894" s="10"/>
      <c r="O1894" s="10"/>
      <c r="P1894" s="10"/>
      <c r="Q1894" s="10"/>
      <c r="R1894" s="10"/>
      <c r="S1894" s="10"/>
    </row>
    <row r="1895" spans="10:19">
      <c r="J1895" s="10"/>
      <c r="K1895" s="1127"/>
      <c r="L1895" s="10"/>
      <c r="M1895" s="10"/>
      <c r="N1895" s="10"/>
      <c r="O1895" s="10"/>
      <c r="P1895" s="10"/>
      <c r="Q1895" s="10"/>
      <c r="R1895" s="10"/>
      <c r="S1895" s="10"/>
    </row>
    <row r="1896" spans="10:19">
      <c r="J1896" s="10"/>
      <c r="K1896" s="1127"/>
      <c r="L1896" s="10"/>
      <c r="M1896" s="10"/>
      <c r="N1896" s="10"/>
      <c r="O1896" s="10"/>
      <c r="P1896" s="10"/>
      <c r="Q1896" s="10"/>
      <c r="R1896" s="10"/>
      <c r="S1896" s="10"/>
    </row>
    <row r="1897" spans="10:19">
      <c r="J1897" s="10"/>
      <c r="K1897" s="1127"/>
      <c r="L1897" s="10"/>
      <c r="M1897" s="10"/>
      <c r="N1897" s="10"/>
      <c r="O1897" s="10"/>
      <c r="P1897" s="10"/>
      <c r="Q1897" s="10"/>
      <c r="R1897" s="10"/>
      <c r="S1897" s="10"/>
    </row>
    <row r="1898" spans="10:19">
      <c r="J1898" s="10"/>
      <c r="K1898" s="1127"/>
      <c r="L1898" s="10"/>
      <c r="M1898" s="10"/>
      <c r="N1898" s="10"/>
      <c r="O1898" s="10"/>
      <c r="P1898" s="10"/>
      <c r="Q1898" s="10"/>
      <c r="R1898" s="10"/>
      <c r="S1898" s="10"/>
    </row>
    <row r="1899" spans="10:19">
      <c r="J1899" s="10"/>
      <c r="K1899" s="1127"/>
      <c r="L1899" s="10"/>
      <c r="M1899" s="10"/>
      <c r="N1899" s="10"/>
      <c r="O1899" s="10"/>
      <c r="P1899" s="10"/>
      <c r="Q1899" s="10"/>
      <c r="R1899" s="10"/>
      <c r="S1899" s="10"/>
    </row>
    <row r="1900" spans="10:19">
      <c r="J1900" s="10"/>
      <c r="K1900" s="1127"/>
      <c r="L1900" s="10"/>
      <c r="M1900" s="10"/>
      <c r="N1900" s="10"/>
      <c r="O1900" s="10"/>
      <c r="P1900" s="10"/>
      <c r="Q1900" s="10"/>
      <c r="R1900" s="10"/>
      <c r="S1900" s="10"/>
    </row>
    <row r="1901" spans="10:19">
      <c r="J1901" s="10"/>
      <c r="K1901" s="1127"/>
      <c r="L1901" s="10"/>
      <c r="M1901" s="10"/>
      <c r="N1901" s="10"/>
      <c r="O1901" s="10"/>
      <c r="P1901" s="10"/>
      <c r="Q1901" s="10"/>
      <c r="R1901" s="10"/>
      <c r="S1901" s="10"/>
    </row>
    <row r="1902" spans="10:19">
      <c r="J1902" s="10"/>
      <c r="K1902" s="1127"/>
      <c r="L1902" s="10"/>
      <c r="M1902" s="10"/>
      <c r="N1902" s="10"/>
      <c r="O1902" s="10"/>
      <c r="P1902" s="10"/>
      <c r="Q1902" s="10"/>
      <c r="R1902" s="10"/>
      <c r="S1902" s="10"/>
    </row>
    <row r="1903" spans="10:19">
      <c r="J1903" s="10"/>
      <c r="K1903" s="1127"/>
      <c r="L1903" s="10"/>
      <c r="M1903" s="10"/>
      <c r="N1903" s="10"/>
      <c r="O1903" s="10"/>
      <c r="P1903" s="10"/>
      <c r="Q1903" s="10"/>
      <c r="R1903" s="10"/>
      <c r="S1903" s="10"/>
    </row>
    <row r="1904" spans="10:19">
      <c r="J1904" s="10"/>
      <c r="K1904" s="1127"/>
      <c r="L1904" s="10"/>
      <c r="M1904" s="10"/>
      <c r="N1904" s="10"/>
      <c r="O1904" s="10"/>
      <c r="P1904" s="10"/>
      <c r="Q1904" s="10"/>
      <c r="R1904" s="10"/>
      <c r="S1904" s="10"/>
    </row>
    <row r="1905" spans="10:19">
      <c r="J1905" s="10"/>
      <c r="K1905" s="1127"/>
      <c r="L1905" s="10"/>
      <c r="M1905" s="10"/>
      <c r="N1905" s="10"/>
      <c r="O1905" s="10"/>
      <c r="P1905" s="10"/>
      <c r="Q1905" s="10"/>
      <c r="R1905" s="10"/>
      <c r="S1905" s="10"/>
    </row>
    <row r="1906" spans="10:19">
      <c r="J1906" s="10"/>
      <c r="K1906" s="1127"/>
      <c r="L1906" s="10"/>
      <c r="M1906" s="10"/>
      <c r="N1906" s="10"/>
      <c r="O1906" s="10"/>
      <c r="P1906" s="10"/>
      <c r="Q1906" s="10"/>
      <c r="R1906" s="10"/>
      <c r="S1906" s="10"/>
    </row>
    <row r="1907" spans="10:19">
      <c r="J1907" s="10"/>
      <c r="K1907" s="1127"/>
      <c r="L1907" s="10"/>
      <c r="M1907" s="10"/>
      <c r="N1907" s="10"/>
      <c r="O1907" s="10"/>
      <c r="P1907" s="10"/>
      <c r="Q1907" s="10"/>
      <c r="R1907" s="10"/>
      <c r="S1907" s="10"/>
    </row>
    <row r="1908" spans="10:19">
      <c r="J1908" s="10"/>
      <c r="K1908" s="1127"/>
      <c r="L1908" s="10"/>
      <c r="M1908" s="10"/>
      <c r="N1908" s="10"/>
      <c r="O1908" s="10"/>
      <c r="P1908" s="10"/>
      <c r="Q1908" s="10"/>
      <c r="R1908" s="10"/>
      <c r="S1908" s="10"/>
    </row>
    <row r="1909" spans="10:19">
      <c r="J1909" s="10"/>
      <c r="K1909" s="1127"/>
      <c r="L1909" s="10"/>
      <c r="M1909" s="10"/>
      <c r="N1909" s="10"/>
      <c r="O1909" s="10"/>
      <c r="P1909" s="10"/>
      <c r="Q1909" s="10"/>
      <c r="R1909" s="10"/>
      <c r="S1909" s="10"/>
    </row>
    <row r="1910" spans="10:19">
      <c r="J1910" s="10"/>
      <c r="K1910" s="1127"/>
      <c r="L1910" s="10"/>
      <c r="M1910" s="10"/>
      <c r="N1910" s="10"/>
      <c r="O1910" s="10"/>
      <c r="P1910" s="10"/>
      <c r="Q1910" s="10"/>
      <c r="R1910" s="10"/>
      <c r="S1910" s="10"/>
    </row>
    <row r="1911" spans="10:19">
      <c r="J1911" s="10"/>
      <c r="K1911" s="1127"/>
      <c r="L1911" s="10"/>
      <c r="M1911" s="10"/>
      <c r="N1911" s="10"/>
      <c r="O1911" s="10"/>
      <c r="P1911" s="10"/>
      <c r="Q1911" s="10"/>
      <c r="R1911" s="10"/>
      <c r="S1911" s="10"/>
    </row>
    <row r="1912" spans="10:19">
      <c r="J1912" s="10"/>
      <c r="K1912" s="1127"/>
      <c r="L1912" s="10"/>
      <c r="M1912" s="10"/>
      <c r="N1912" s="10"/>
      <c r="O1912" s="10"/>
      <c r="P1912" s="10"/>
      <c r="Q1912" s="10"/>
      <c r="R1912" s="10"/>
      <c r="S1912" s="10"/>
    </row>
    <row r="1913" spans="10:19">
      <c r="J1913" s="10"/>
      <c r="K1913" s="1127"/>
      <c r="L1913" s="10"/>
      <c r="M1913" s="10"/>
      <c r="N1913" s="10"/>
      <c r="O1913" s="10"/>
      <c r="P1913" s="10"/>
      <c r="Q1913" s="10"/>
      <c r="R1913" s="10"/>
      <c r="S1913" s="10"/>
    </row>
    <row r="1914" spans="10:19">
      <c r="J1914" s="10"/>
      <c r="K1914" s="1127"/>
      <c r="L1914" s="10"/>
      <c r="M1914" s="10"/>
      <c r="N1914" s="10"/>
      <c r="O1914" s="10"/>
      <c r="P1914" s="10"/>
      <c r="Q1914" s="10"/>
      <c r="R1914" s="10"/>
      <c r="S1914" s="10"/>
    </row>
    <row r="1915" spans="10:19">
      <c r="J1915" s="10"/>
      <c r="K1915" s="1127"/>
      <c r="L1915" s="10"/>
      <c r="M1915" s="10"/>
      <c r="N1915" s="10"/>
      <c r="O1915" s="10"/>
      <c r="P1915" s="10"/>
      <c r="Q1915" s="10"/>
      <c r="R1915" s="10"/>
      <c r="S1915" s="10"/>
    </row>
    <row r="1916" spans="10:19">
      <c r="J1916" s="10"/>
      <c r="K1916" s="1127"/>
      <c r="L1916" s="10"/>
      <c r="M1916" s="10"/>
      <c r="N1916" s="10"/>
      <c r="O1916" s="10"/>
      <c r="P1916" s="10"/>
      <c r="Q1916" s="10"/>
      <c r="R1916" s="10"/>
      <c r="S1916" s="10"/>
    </row>
    <row r="1917" spans="10:19">
      <c r="J1917" s="10"/>
      <c r="K1917" s="1127"/>
      <c r="L1917" s="10"/>
      <c r="M1917" s="10"/>
      <c r="N1917" s="10"/>
      <c r="O1917" s="10"/>
      <c r="P1917" s="10"/>
      <c r="Q1917" s="10"/>
      <c r="R1917" s="10"/>
      <c r="S1917" s="10"/>
    </row>
    <row r="1918" spans="10:19">
      <c r="J1918" s="10"/>
      <c r="K1918" s="1127"/>
      <c r="L1918" s="10"/>
      <c r="M1918" s="10"/>
      <c r="N1918" s="10"/>
      <c r="O1918" s="10"/>
      <c r="P1918" s="10"/>
      <c r="Q1918" s="10"/>
      <c r="R1918" s="10"/>
      <c r="S1918" s="10"/>
    </row>
    <row r="1919" spans="10:19">
      <c r="J1919" s="10"/>
      <c r="K1919" s="1127"/>
      <c r="L1919" s="10"/>
      <c r="M1919" s="10"/>
      <c r="N1919" s="10"/>
      <c r="O1919" s="10"/>
      <c r="P1919" s="10"/>
      <c r="Q1919" s="10"/>
      <c r="R1919" s="10"/>
      <c r="S1919" s="10"/>
    </row>
    <row r="1920" spans="10:19">
      <c r="J1920" s="10"/>
      <c r="K1920" s="1127"/>
      <c r="L1920" s="10"/>
      <c r="M1920" s="10"/>
      <c r="N1920" s="10"/>
      <c r="O1920" s="10"/>
      <c r="P1920" s="10"/>
      <c r="Q1920" s="10"/>
      <c r="R1920" s="10"/>
      <c r="S1920" s="10"/>
    </row>
    <row r="1921" spans="10:19">
      <c r="J1921" s="10"/>
      <c r="K1921" s="1127"/>
      <c r="L1921" s="10"/>
      <c r="M1921" s="10"/>
      <c r="N1921" s="10"/>
      <c r="O1921" s="10"/>
      <c r="P1921" s="10"/>
      <c r="Q1921" s="10"/>
      <c r="R1921" s="10"/>
      <c r="S1921" s="10"/>
    </row>
    <row r="1922" spans="10:19">
      <c r="J1922" s="10"/>
      <c r="K1922" s="1127"/>
      <c r="L1922" s="10"/>
      <c r="M1922" s="10"/>
      <c r="N1922" s="10"/>
      <c r="O1922" s="10"/>
      <c r="P1922" s="10"/>
      <c r="Q1922" s="10"/>
      <c r="R1922" s="10"/>
      <c r="S1922" s="10"/>
    </row>
    <row r="1923" spans="10:19">
      <c r="J1923" s="10"/>
      <c r="K1923" s="1127"/>
      <c r="L1923" s="10"/>
      <c r="M1923" s="10"/>
      <c r="N1923" s="10"/>
      <c r="O1923" s="10"/>
      <c r="P1923" s="10"/>
      <c r="Q1923" s="10"/>
      <c r="R1923" s="10"/>
      <c r="S1923" s="10"/>
    </row>
    <row r="1924" spans="10:19">
      <c r="J1924" s="10"/>
      <c r="K1924" s="1127"/>
      <c r="L1924" s="10"/>
      <c r="M1924" s="10"/>
      <c r="N1924" s="10"/>
      <c r="O1924" s="10"/>
      <c r="P1924" s="10"/>
      <c r="Q1924" s="10"/>
      <c r="R1924" s="10"/>
      <c r="S1924" s="10"/>
    </row>
    <row r="1925" spans="10:19">
      <c r="J1925" s="10"/>
      <c r="K1925" s="1127"/>
      <c r="L1925" s="10"/>
      <c r="M1925" s="10"/>
      <c r="N1925" s="10"/>
      <c r="O1925" s="10"/>
      <c r="P1925" s="10"/>
      <c r="Q1925" s="10"/>
      <c r="R1925" s="10"/>
      <c r="S1925" s="10"/>
    </row>
    <row r="1926" spans="10:19">
      <c r="J1926" s="10"/>
      <c r="K1926" s="1127"/>
      <c r="L1926" s="10"/>
      <c r="M1926" s="10"/>
      <c r="N1926" s="10"/>
      <c r="O1926" s="10"/>
      <c r="P1926" s="10"/>
      <c r="Q1926" s="10"/>
      <c r="R1926" s="10"/>
      <c r="S1926" s="10"/>
    </row>
    <row r="1927" spans="10:19">
      <c r="J1927" s="10"/>
      <c r="K1927" s="1127"/>
      <c r="L1927" s="10"/>
      <c r="M1927" s="10"/>
      <c r="N1927" s="10"/>
      <c r="O1927" s="10"/>
      <c r="P1927" s="10"/>
      <c r="Q1927" s="10"/>
      <c r="R1927" s="10"/>
      <c r="S1927" s="10"/>
    </row>
    <row r="1928" spans="10:19">
      <c r="J1928" s="10"/>
      <c r="K1928" s="1127"/>
      <c r="L1928" s="10"/>
      <c r="M1928" s="10"/>
      <c r="N1928" s="10"/>
      <c r="O1928" s="10"/>
      <c r="P1928" s="10"/>
      <c r="Q1928" s="10"/>
      <c r="R1928" s="10"/>
      <c r="S1928" s="10"/>
    </row>
    <row r="1929" spans="10:19">
      <c r="J1929" s="10"/>
      <c r="K1929" s="1127"/>
      <c r="L1929" s="10"/>
      <c r="M1929" s="10"/>
      <c r="N1929" s="10"/>
      <c r="O1929" s="10"/>
      <c r="P1929" s="10"/>
      <c r="Q1929" s="10"/>
      <c r="R1929" s="10"/>
      <c r="S1929" s="10"/>
    </row>
    <row r="1930" spans="10:19">
      <c r="J1930" s="10"/>
      <c r="K1930" s="1127"/>
      <c r="L1930" s="10"/>
      <c r="M1930" s="10"/>
      <c r="N1930" s="10"/>
      <c r="O1930" s="10"/>
      <c r="P1930" s="10"/>
      <c r="Q1930" s="10"/>
      <c r="R1930" s="10"/>
      <c r="S1930" s="10"/>
    </row>
    <row r="1931" spans="10:19">
      <c r="J1931" s="10"/>
      <c r="K1931" s="1127"/>
      <c r="L1931" s="10"/>
      <c r="M1931" s="10"/>
      <c r="N1931" s="10"/>
      <c r="O1931" s="10"/>
      <c r="P1931" s="10"/>
      <c r="Q1931" s="10"/>
      <c r="R1931" s="10"/>
      <c r="S1931" s="10"/>
    </row>
    <row r="1932" spans="10:19">
      <c r="J1932" s="10"/>
      <c r="K1932" s="1127"/>
      <c r="L1932" s="10"/>
      <c r="M1932" s="10"/>
      <c r="N1932" s="10"/>
      <c r="O1932" s="10"/>
      <c r="P1932" s="10"/>
      <c r="Q1932" s="10"/>
      <c r="R1932" s="10"/>
      <c r="S1932" s="10"/>
    </row>
    <row r="1933" spans="10:19">
      <c r="J1933" s="10"/>
      <c r="K1933" s="1127"/>
      <c r="L1933" s="10"/>
      <c r="M1933" s="10"/>
      <c r="N1933" s="10"/>
      <c r="O1933" s="10"/>
      <c r="P1933" s="10"/>
      <c r="Q1933" s="10"/>
      <c r="R1933" s="10"/>
      <c r="S1933" s="10"/>
    </row>
    <row r="1934" spans="10:19">
      <c r="J1934" s="10"/>
      <c r="K1934" s="1127"/>
      <c r="L1934" s="10"/>
      <c r="M1934" s="10"/>
      <c r="N1934" s="10"/>
      <c r="O1934" s="10"/>
      <c r="P1934" s="10"/>
      <c r="Q1934" s="10"/>
      <c r="R1934" s="10"/>
      <c r="S1934" s="10"/>
    </row>
    <row r="1935" spans="10:19">
      <c r="J1935" s="10"/>
      <c r="K1935" s="1127"/>
      <c r="L1935" s="10"/>
      <c r="M1935" s="10"/>
      <c r="N1935" s="10"/>
      <c r="O1935" s="10"/>
      <c r="P1935" s="10"/>
      <c r="Q1935" s="10"/>
      <c r="R1935" s="10"/>
      <c r="S1935" s="10"/>
    </row>
    <row r="1936" spans="10:19">
      <c r="J1936" s="10"/>
      <c r="K1936" s="1127"/>
      <c r="L1936" s="10"/>
      <c r="M1936" s="10"/>
      <c r="N1936" s="10"/>
      <c r="O1936" s="10"/>
      <c r="P1936" s="10"/>
      <c r="Q1936" s="10"/>
      <c r="R1936" s="10"/>
      <c r="S1936" s="10"/>
    </row>
    <row r="1937" spans="10:19">
      <c r="J1937" s="10"/>
      <c r="K1937" s="1127"/>
      <c r="L1937" s="10"/>
      <c r="M1937" s="10"/>
      <c r="N1937" s="10"/>
      <c r="O1937" s="10"/>
      <c r="P1937" s="10"/>
      <c r="Q1937" s="10"/>
      <c r="R1937" s="10"/>
      <c r="S1937" s="10"/>
    </row>
    <row r="1938" spans="10:19">
      <c r="J1938" s="10"/>
      <c r="K1938" s="1127"/>
      <c r="L1938" s="10"/>
      <c r="M1938" s="10"/>
      <c r="N1938" s="10"/>
      <c r="O1938" s="10"/>
      <c r="P1938" s="10"/>
      <c r="Q1938" s="10"/>
      <c r="R1938" s="10"/>
      <c r="S1938" s="10"/>
    </row>
    <row r="1939" spans="10:19">
      <c r="J1939" s="10"/>
      <c r="K1939" s="1127"/>
      <c r="L1939" s="10"/>
      <c r="M1939" s="10"/>
      <c r="N1939" s="10"/>
      <c r="O1939" s="10"/>
      <c r="P1939" s="10"/>
      <c r="Q1939" s="10"/>
      <c r="R1939" s="10"/>
      <c r="S1939" s="10"/>
    </row>
    <row r="1940" spans="10:19">
      <c r="J1940" s="10"/>
      <c r="K1940" s="1127"/>
      <c r="L1940" s="10"/>
      <c r="M1940" s="10"/>
      <c r="N1940" s="10"/>
      <c r="O1940" s="10"/>
      <c r="P1940" s="10"/>
      <c r="Q1940" s="10"/>
      <c r="R1940" s="10"/>
      <c r="S1940" s="10"/>
    </row>
    <row r="1941" spans="10:19">
      <c r="J1941" s="10"/>
      <c r="K1941" s="1127"/>
      <c r="L1941" s="10"/>
      <c r="M1941" s="10"/>
      <c r="N1941" s="10"/>
      <c r="O1941" s="10"/>
      <c r="P1941" s="10"/>
      <c r="Q1941" s="10"/>
      <c r="R1941" s="10"/>
      <c r="S1941" s="10"/>
    </row>
    <row r="1942" spans="10:19">
      <c r="J1942" s="10"/>
      <c r="K1942" s="1127"/>
      <c r="L1942" s="10"/>
      <c r="M1942" s="10"/>
      <c r="N1942" s="10"/>
      <c r="O1942" s="10"/>
      <c r="P1942" s="10"/>
      <c r="Q1942" s="10"/>
      <c r="R1942" s="10"/>
      <c r="S1942" s="10"/>
    </row>
    <row r="1943" spans="10:19">
      <c r="J1943" s="10"/>
      <c r="K1943" s="1127"/>
      <c r="L1943" s="10"/>
      <c r="M1943" s="10"/>
      <c r="N1943" s="10"/>
      <c r="O1943" s="10"/>
      <c r="P1943" s="10"/>
      <c r="Q1943" s="10"/>
      <c r="R1943" s="10"/>
      <c r="S1943" s="10"/>
    </row>
    <row r="1944" spans="10:19">
      <c r="J1944" s="10"/>
      <c r="K1944" s="1127"/>
      <c r="L1944" s="10"/>
      <c r="M1944" s="10"/>
      <c r="N1944" s="10"/>
      <c r="O1944" s="10"/>
      <c r="P1944" s="10"/>
      <c r="Q1944" s="10"/>
      <c r="R1944" s="10"/>
      <c r="S1944" s="10"/>
    </row>
    <row r="1945" spans="10:19">
      <c r="J1945" s="10"/>
      <c r="K1945" s="1127"/>
      <c r="L1945" s="10"/>
      <c r="M1945" s="10"/>
      <c r="N1945" s="10"/>
      <c r="O1945" s="10"/>
      <c r="P1945" s="10"/>
      <c r="Q1945" s="10"/>
      <c r="R1945" s="10"/>
      <c r="S1945" s="10"/>
    </row>
    <row r="1946" spans="10:19">
      <c r="J1946" s="10"/>
      <c r="K1946" s="1127"/>
      <c r="L1946" s="10"/>
      <c r="M1946" s="10"/>
      <c r="N1946" s="10"/>
      <c r="O1946" s="10"/>
      <c r="P1946" s="10"/>
      <c r="Q1946" s="10"/>
      <c r="R1946" s="10"/>
      <c r="S1946" s="10"/>
    </row>
    <row r="1947" spans="10:19">
      <c r="J1947" s="10"/>
      <c r="K1947" s="1127"/>
      <c r="L1947" s="10"/>
      <c r="M1947" s="10"/>
      <c r="N1947" s="10"/>
      <c r="O1947" s="10"/>
      <c r="P1947" s="10"/>
      <c r="Q1947" s="10"/>
      <c r="R1947" s="10"/>
      <c r="S1947" s="10"/>
    </row>
    <row r="1948" spans="10:19">
      <c r="J1948" s="10"/>
      <c r="K1948" s="1127"/>
      <c r="L1948" s="10"/>
      <c r="M1948" s="10"/>
      <c r="N1948" s="10"/>
      <c r="O1948" s="10"/>
      <c r="P1948" s="10"/>
      <c r="Q1948" s="10"/>
      <c r="R1948" s="10"/>
      <c r="S1948" s="10"/>
    </row>
    <row r="1949" spans="10:19">
      <c r="J1949" s="10"/>
      <c r="K1949" s="1127"/>
      <c r="L1949" s="10"/>
      <c r="M1949" s="10"/>
      <c r="N1949" s="10"/>
      <c r="O1949" s="10"/>
      <c r="P1949" s="10"/>
      <c r="Q1949" s="10"/>
      <c r="R1949" s="10"/>
      <c r="S1949" s="10"/>
    </row>
    <row r="1950" spans="10:19">
      <c r="J1950" s="10"/>
      <c r="K1950" s="1127"/>
      <c r="L1950" s="10"/>
      <c r="M1950" s="10"/>
      <c r="N1950" s="10"/>
      <c r="O1950" s="10"/>
      <c r="P1950" s="10"/>
      <c r="Q1950" s="10"/>
      <c r="R1950" s="10"/>
      <c r="S1950" s="10"/>
    </row>
    <row r="1951" spans="10:19">
      <c r="J1951" s="10"/>
      <c r="K1951" s="1127"/>
      <c r="L1951" s="10"/>
      <c r="M1951" s="10"/>
      <c r="N1951" s="10"/>
      <c r="O1951" s="10"/>
      <c r="P1951" s="10"/>
      <c r="Q1951" s="10"/>
      <c r="R1951" s="10"/>
      <c r="S1951" s="10"/>
    </row>
    <row r="1952" spans="10:19">
      <c r="J1952" s="10"/>
      <c r="K1952" s="1127"/>
      <c r="L1952" s="10"/>
      <c r="M1952" s="10"/>
      <c r="N1952" s="10"/>
      <c r="O1952" s="10"/>
      <c r="P1952" s="10"/>
      <c r="Q1952" s="10"/>
      <c r="R1952" s="10"/>
      <c r="S1952" s="10"/>
    </row>
    <row r="1953" spans="10:19">
      <c r="J1953" s="10"/>
      <c r="K1953" s="1127"/>
      <c r="L1953" s="10"/>
      <c r="M1953" s="10"/>
      <c r="N1953" s="10"/>
      <c r="O1953" s="10"/>
      <c r="P1953" s="10"/>
      <c r="Q1953" s="10"/>
      <c r="R1953" s="10"/>
      <c r="S1953" s="10"/>
    </row>
    <row r="1954" spans="10:19">
      <c r="J1954" s="10"/>
      <c r="K1954" s="1127"/>
      <c r="L1954" s="10"/>
      <c r="M1954" s="10"/>
      <c r="N1954" s="10"/>
      <c r="O1954" s="10"/>
      <c r="P1954" s="10"/>
      <c r="Q1954" s="10"/>
      <c r="R1954" s="10"/>
      <c r="S1954" s="10"/>
    </row>
    <row r="1955" spans="10:19">
      <c r="J1955" s="10"/>
      <c r="K1955" s="1127"/>
      <c r="L1955" s="10"/>
      <c r="M1955" s="10"/>
      <c r="N1955" s="10"/>
      <c r="O1955" s="10"/>
      <c r="P1955" s="10"/>
      <c r="Q1955" s="10"/>
      <c r="R1955" s="10"/>
      <c r="S1955" s="10"/>
    </row>
    <row r="1956" spans="10:19">
      <c r="J1956" s="10"/>
      <c r="K1956" s="1127"/>
      <c r="L1956" s="10"/>
      <c r="M1956" s="10"/>
      <c r="N1956" s="10"/>
      <c r="O1956" s="10"/>
      <c r="P1956" s="10"/>
      <c r="Q1956" s="10"/>
      <c r="R1956" s="10"/>
      <c r="S1956" s="10"/>
    </row>
    <row r="1957" spans="10:19">
      <c r="J1957" s="10"/>
      <c r="K1957" s="1127"/>
      <c r="L1957" s="10"/>
      <c r="M1957" s="10"/>
      <c r="N1957" s="10"/>
      <c r="O1957" s="10"/>
      <c r="P1957" s="10"/>
      <c r="Q1957" s="10"/>
      <c r="R1957" s="10"/>
      <c r="S1957" s="10"/>
    </row>
    <row r="1958" spans="10:19">
      <c r="J1958" s="10"/>
      <c r="K1958" s="1127"/>
      <c r="L1958" s="10"/>
      <c r="M1958" s="10"/>
      <c r="N1958" s="10"/>
      <c r="O1958" s="10"/>
      <c r="P1958" s="10"/>
      <c r="Q1958" s="10"/>
      <c r="R1958" s="10"/>
      <c r="S1958" s="10"/>
    </row>
    <row r="1959" spans="10:19">
      <c r="J1959" s="10"/>
      <c r="K1959" s="1127"/>
      <c r="L1959" s="10"/>
      <c r="M1959" s="10"/>
      <c r="N1959" s="10"/>
      <c r="O1959" s="10"/>
      <c r="P1959" s="10"/>
      <c r="Q1959" s="10"/>
      <c r="R1959" s="10"/>
      <c r="S1959" s="10"/>
    </row>
    <row r="1960" spans="10:19">
      <c r="J1960" s="10"/>
      <c r="K1960" s="1127"/>
      <c r="L1960" s="10"/>
      <c r="M1960" s="10"/>
      <c r="N1960" s="10"/>
      <c r="O1960" s="10"/>
      <c r="P1960" s="10"/>
      <c r="Q1960" s="10"/>
      <c r="R1960" s="10"/>
      <c r="S1960" s="10"/>
    </row>
    <row r="1961" spans="10:19">
      <c r="J1961" s="10"/>
      <c r="K1961" s="1127"/>
      <c r="L1961" s="10"/>
      <c r="M1961" s="10"/>
      <c r="N1961" s="10"/>
      <c r="O1961" s="10"/>
      <c r="P1961" s="10"/>
      <c r="Q1961" s="10"/>
      <c r="R1961" s="10"/>
      <c r="S1961" s="10"/>
    </row>
    <row r="1962" spans="10:19">
      <c r="J1962" s="10"/>
      <c r="K1962" s="1127"/>
      <c r="L1962" s="10"/>
      <c r="M1962" s="10"/>
      <c r="N1962" s="10"/>
      <c r="O1962" s="10"/>
      <c r="P1962" s="10"/>
      <c r="Q1962" s="10"/>
      <c r="R1962" s="10"/>
      <c r="S1962" s="10"/>
    </row>
    <row r="1963" spans="10:19">
      <c r="J1963" s="10"/>
      <c r="K1963" s="1127"/>
      <c r="L1963" s="10"/>
      <c r="M1963" s="10"/>
      <c r="N1963" s="10"/>
      <c r="O1963" s="10"/>
      <c r="P1963" s="10"/>
      <c r="Q1963" s="10"/>
      <c r="R1963" s="10"/>
      <c r="S1963" s="10"/>
    </row>
    <row r="1964" spans="10:19">
      <c r="J1964" s="10"/>
      <c r="K1964" s="1127"/>
      <c r="L1964" s="10"/>
      <c r="M1964" s="10"/>
      <c r="N1964" s="10"/>
      <c r="O1964" s="10"/>
      <c r="P1964" s="10"/>
      <c r="Q1964" s="10"/>
      <c r="R1964" s="10"/>
      <c r="S1964" s="10"/>
    </row>
    <row r="1965" spans="10:19">
      <c r="J1965" s="10"/>
      <c r="K1965" s="1127"/>
      <c r="L1965" s="10"/>
      <c r="M1965" s="10"/>
      <c r="N1965" s="10"/>
      <c r="O1965" s="10"/>
      <c r="P1965" s="10"/>
      <c r="Q1965" s="10"/>
      <c r="R1965" s="10"/>
      <c r="S1965" s="10"/>
    </row>
    <row r="1966" spans="10:19">
      <c r="J1966" s="10"/>
      <c r="K1966" s="1127"/>
      <c r="L1966" s="10"/>
      <c r="M1966" s="10"/>
      <c r="N1966" s="10"/>
      <c r="O1966" s="10"/>
      <c r="P1966" s="10"/>
      <c r="Q1966" s="10"/>
      <c r="R1966" s="10"/>
      <c r="S1966" s="10"/>
    </row>
    <row r="1967" spans="10:19">
      <c r="J1967" s="10"/>
      <c r="K1967" s="1127"/>
      <c r="L1967" s="10"/>
      <c r="M1967" s="10"/>
      <c r="N1967" s="10"/>
      <c r="O1967" s="10"/>
      <c r="P1967" s="10"/>
      <c r="Q1967" s="10"/>
      <c r="R1967" s="10"/>
      <c r="S1967" s="10"/>
    </row>
    <row r="1968" spans="10:19">
      <c r="J1968" s="10"/>
      <c r="K1968" s="1127"/>
      <c r="L1968" s="10"/>
      <c r="M1968" s="10"/>
      <c r="N1968" s="10"/>
      <c r="O1968" s="10"/>
      <c r="P1968" s="10"/>
      <c r="Q1968" s="10"/>
      <c r="R1968" s="10"/>
      <c r="S1968" s="10"/>
    </row>
    <row r="1969" spans="10:19">
      <c r="J1969" s="10"/>
      <c r="K1969" s="1127"/>
      <c r="L1969" s="10"/>
      <c r="M1969" s="10"/>
      <c r="N1969" s="10"/>
      <c r="O1969" s="10"/>
      <c r="P1969" s="10"/>
      <c r="Q1969" s="10"/>
      <c r="R1969" s="10"/>
      <c r="S1969" s="10"/>
    </row>
    <row r="1970" spans="10:19">
      <c r="J1970" s="10"/>
      <c r="K1970" s="1127"/>
      <c r="L1970" s="10"/>
      <c r="M1970" s="10"/>
      <c r="N1970" s="10"/>
      <c r="O1970" s="10"/>
      <c r="P1970" s="10"/>
      <c r="Q1970" s="10"/>
      <c r="R1970" s="10"/>
      <c r="S1970" s="10"/>
    </row>
    <row r="1971" spans="10:19">
      <c r="J1971" s="10"/>
      <c r="K1971" s="1127"/>
      <c r="L1971" s="10"/>
      <c r="M1971" s="10"/>
      <c r="N1971" s="10"/>
      <c r="O1971" s="10"/>
      <c r="P1971" s="10"/>
      <c r="Q1971" s="10"/>
      <c r="R1971" s="10"/>
      <c r="S1971" s="10"/>
    </row>
    <row r="1972" spans="10:19">
      <c r="J1972" s="10"/>
      <c r="K1972" s="1127"/>
      <c r="L1972" s="10"/>
      <c r="M1972" s="10"/>
      <c r="N1972" s="10"/>
      <c r="O1972" s="10"/>
      <c r="P1972" s="10"/>
      <c r="Q1972" s="10"/>
      <c r="R1972" s="10"/>
      <c r="S1972" s="10"/>
    </row>
    <row r="1973" spans="10:19">
      <c r="J1973" s="10"/>
      <c r="K1973" s="1127"/>
      <c r="L1973" s="10"/>
      <c r="M1973" s="10"/>
      <c r="N1973" s="10"/>
      <c r="O1973" s="10"/>
      <c r="P1973" s="10"/>
      <c r="Q1973" s="10"/>
      <c r="R1973" s="10"/>
      <c r="S1973" s="10"/>
    </row>
    <row r="1974" spans="10:19">
      <c r="J1974" s="10"/>
      <c r="K1974" s="1127"/>
      <c r="L1974" s="10"/>
      <c r="M1974" s="10"/>
      <c r="N1974" s="10"/>
      <c r="O1974" s="10"/>
      <c r="P1974" s="10"/>
      <c r="Q1974" s="10"/>
      <c r="R1974" s="10"/>
      <c r="S1974" s="10"/>
    </row>
    <row r="1975" spans="10:19">
      <c r="J1975" s="10"/>
      <c r="K1975" s="1127"/>
      <c r="L1975" s="10"/>
      <c r="M1975" s="10"/>
      <c r="N1975" s="10"/>
      <c r="O1975" s="10"/>
      <c r="P1975" s="10"/>
      <c r="Q1975" s="10"/>
      <c r="R1975" s="10"/>
      <c r="S1975" s="10"/>
    </row>
    <row r="1976" spans="10:19">
      <c r="J1976" s="10"/>
      <c r="K1976" s="1127"/>
      <c r="L1976" s="10"/>
      <c r="M1976" s="10"/>
      <c r="N1976" s="10"/>
      <c r="O1976" s="10"/>
      <c r="P1976" s="10"/>
      <c r="Q1976" s="10"/>
      <c r="R1976" s="10"/>
      <c r="S1976" s="10"/>
    </row>
    <row r="1977" spans="10:19">
      <c r="J1977" s="10"/>
      <c r="K1977" s="1127"/>
      <c r="L1977" s="10"/>
      <c r="M1977" s="10"/>
      <c r="N1977" s="10"/>
      <c r="O1977" s="10"/>
      <c r="P1977" s="10"/>
      <c r="Q1977" s="10"/>
      <c r="R1977" s="10"/>
      <c r="S1977" s="10"/>
    </row>
    <row r="1978" spans="10:19">
      <c r="J1978" s="10"/>
      <c r="K1978" s="1127"/>
      <c r="L1978" s="10"/>
      <c r="M1978" s="10"/>
      <c r="N1978" s="10"/>
      <c r="O1978" s="10"/>
      <c r="P1978" s="10"/>
      <c r="Q1978" s="10"/>
      <c r="R1978" s="10"/>
      <c r="S1978" s="10"/>
    </row>
    <row r="1979" spans="10:19">
      <c r="J1979" s="10"/>
      <c r="K1979" s="1127"/>
      <c r="L1979" s="10"/>
      <c r="M1979" s="10"/>
      <c r="N1979" s="10"/>
      <c r="O1979" s="10"/>
      <c r="P1979" s="10"/>
      <c r="Q1979" s="10"/>
      <c r="R1979" s="10"/>
      <c r="S1979" s="10"/>
    </row>
    <row r="1980" spans="10:19">
      <c r="J1980" s="10"/>
      <c r="K1980" s="1127"/>
      <c r="L1980" s="10"/>
      <c r="M1980" s="10"/>
      <c r="N1980" s="10"/>
      <c r="O1980" s="10"/>
      <c r="P1980" s="10"/>
      <c r="Q1980" s="10"/>
      <c r="R1980" s="10"/>
      <c r="S1980" s="10"/>
    </row>
    <row r="1981" spans="10:19">
      <c r="J1981" s="10"/>
      <c r="K1981" s="1127"/>
      <c r="L1981" s="10"/>
      <c r="M1981" s="10"/>
      <c r="N1981" s="10"/>
      <c r="O1981" s="10"/>
      <c r="P1981" s="10"/>
      <c r="Q1981" s="10"/>
      <c r="R1981" s="10"/>
      <c r="S1981" s="10"/>
    </row>
    <row r="1982" spans="10:19">
      <c r="J1982" s="10"/>
      <c r="K1982" s="1127"/>
      <c r="L1982" s="10"/>
      <c r="M1982" s="10"/>
      <c r="N1982" s="10"/>
      <c r="O1982" s="10"/>
      <c r="P1982" s="10"/>
      <c r="Q1982" s="10"/>
      <c r="R1982" s="10"/>
      <c r="S1982" s="10"/>
    </row>
    <row r="1983" spans="10:19">
      <c r="J1983" s="10"/>
      <c r="K1983" s="1127"/>
      <c r="L1983" s="10"/>
      <c r="M1983" s="10"/>
      <c r="N1983" s="10"/>
      <c r="O1983" s="10"/>
      <c r="P1983" s="10"/>
      <c r="Q1983" s="10"/>
      <c r="R1983" s="10"/>
      <c r="S1983" s="10"/>
    </row>
    <row r="1984" spans="10:19">
      <c r="J1984" s="10"/>
      <c r="K1984" s="1127"/>
      <c r="L1984" s="10"/>
      <c r="M1984" s="10"/>
      <c r="N1984" s="10"/>
      <c r="O1984" s="10"/>
      <c r="P1984" s="10"/>
      <c r="Q1984" s="10"/>
      <c r="R1984" s="10"/>
      <c r="S1984" s="10"/>
    </row>
    <row r="1985" spans="10:19">
      <c r="J1985" s="10"/>
      <c r="K1985" s="1127"/>
      <c r="L1985" s="10"/>
      <c r="M1985" s="10"/>
      <c r="N1985" s="10"/>
      <c r="O1985" s="10"/>
      <c r="P1985" s="10"/>
      <c r="Q1985" s="10"/>
      <c r="R1985" s="10"/>
      <c r="S1985" s="10"/>
    </row>
    <row r="1986" spans="10:19">
      <c r="J1986" s="10"/>
      <c r="K1986" s="1127"/>
      <c r="L1986" s="10"/>
      <c r="M1986" s="10"/>
      <c r="N1986" s="10"/>
      <c r="O1986" s="10"/>
      <c r="P1986" s="10"/>
      <c r="Q1986" s="10"/>
      <c r="R1986" s="10"/>
      <c r="S1986" s="10"/>
    </row>
    <row r="1987" spans="10:19">
      <c r="J1987" s="10"/>
      <c r="K1987" s="1127"/>
      <c r="L1987" s="10"/>
      <c r="M1987" s="10"/>
      <c r="N1987" s="10"/>
      <c r="O1987" s="10"/>
      <c r="P1987" s="10"/>
      <c r="Q1987" s="10"/>
      <c r="R1987" s="10"/>
      <c r="S1987" s="10"/>
    </row>
    <row r="1988" spans="10:19">
      <c r="J1988" s="10"/>
      <c r="K1988" s="1127"/>
      <c r="L1988" s="10"/>
      <c r="M1988" s="10"/>
      <c r="N1988" s="10"/>
      <c r="O1988" s="10"/>
      <c r="P1988" s="10"/>
      <c r="Q1988" s="10"/>
      <c r="R1988" s="10"/>
      <c r="S1988" s="10"/>
    </row>
    <row r="1989" spans="10:19">
      <c r="J1989" s="10"/>
      <c r="K1989" s="1127"/>
      <c r="L1989" s="10"/>
      <c r="M1989" s="10"/>
      <c r="N1989" s="10"/>
      <c r="O1989" s="10"/>
      <c r="P1989" s="10"/>
      <c r="Q1989" s="10"/>
      <c r="R1989" s="10"/>
      <c r="S1989" s="10"/>
    </row>
    <row r="1990" spans="10:19">
      <c r="J1990" s="10"/>
      <c r="K1990" s="1127"/>
      <c r="L1990" s="10"/>
      <c r="M1990" s="10"/>
      <c r="N1990" s="10"/>
      <c r="O1990" s="10"/>
      <c r="P1990" s="10"/>
      <c r="Q1990" s="10"/>
      <c r="R1990" s="10"/>
      <c r="S1990" s="10"/>
    </row>
    <row r="1991" spans="10:19">
      <c r="J1991" s="10"/>
      <c r="K1991" s="1127"/>
      <c r="L1991" s="10"/>
      <c r="M1991" s="10"/>
      <c r="N1991" s="10"/>
      <c r="O1991" s="10"/>
      <c r="P1991" s="10"/>
      <c r="Q1991" s="10"/>
      <c r="R1991" s="10"/>
      <c r="S1991" s="10"/>
    </row>
    <row r="1992" spans="10:19">
      <c r="J1992" s="10"/>
      <c r="K1992" s="1127"/>
      <c r="L1992" s="10"/>
      <c r="M1992" s="10"/>
      <c r="N1992" s="10"/>
      <c r="O1992" s="10"/>
      <c r="P1992" s="10"/>
      <c r="Q1992" s="10"/>
      <c r="R1992" s="10"/>
      <c r="S1992" s="10"/>
    </row>
    <row r="1993" spans="10:19">
      <c r="J1993" s="10"/>
      <c r="K1993" s="1127"/>
      <c r="L1993" s="10"/>
      <c r="M1993" s="10"/>
      <c r="N1993" s="10"/>
      <c r="O1993" s="10"/>
      <c r="P1993" s="10"/>
      <c r="Q1993" s="10"/>
      <c r="R1993" s="10"/>
      <c r="S1993" s="10"/>
    </row>
    <row r="1994" spans="10:19">
      <c r="J1994" s="10"/>
      <c r="K1994" s="1127"/>
      <c r="L1994" s="10"/>
      <c r="M1994" s="10"/>
      <c r="N1994" s="10"/>
      <c r="O1994" s="10"/>
      <c r="P1994" s="10"/>
      <c r="Q1994" s="10"/>
      <c r="R1994" s="10"/>
      <c r="S1994" s="10"/>
    </row>
    <row r="1995" spans="10:19">
      <c r="J1995" s="10"/>
      <c r="K1995" s="1127"/>
      <c r="L1995" s="10"/>
      <c r="M1995" s="10"/>
      <c r="N1995" s="10"/>
      <c r="O1995" s="10"/>
      <c r="P1995" s="10"/>
      <c r="Q1995" s="10"/>
      <c r="R1995" s="10"/>
      <c r="S1995" s="10"/>
    </row>
    <row r="1996" spans="10:19">
      <c r="J1996" s="10"/>
      <c r="K1996" s="1127"/>
      <c r="L1996" s="10"/>
      <c r="M1996" s="10"/>
      <c r="N1996" s="10"/>
      <c r="O1996" s="10"/>
      <c r="P1996" s="10"/>
      <c r="Q1996" s="10"/>
      <c r="R1996" s="10"/>
      <c r="S1996" s="10"/>
    </row>
    <row r="1997" spans="10:19">
      <c r="J1997" s="10"/>
      <c r="K1997" s="1127"/>
      <c r="L1997" s="10"/>
      <c r="M1997" s="10"/>
      <c r="N1997" s="10"/>
      <c r="O1997" s="10"/>
      <c r="P1997" s="10"/>
      <c r="Q1997" s="10"/>
      <c r="R1997" s="10"/>
      <c r="S1997" s="10"/>
    </row>
    <row r="1998" spans="10:19">
      <c r="J1998" s="10"/>
      <c r="K1998" s="1127"/>
      <c r="L1998" s="10"/>
      <c r="M1998" s="10"/>
      <c r="N1998" s="10"/>
      <c r="O1998" s="10"/>
      <c r="P1998" s="10"/>
      <c r="Q1998" s="10"/>
      <c r="R1998" s="10"/>
      <c r="S1998" s="10"/>
    </row>
    <row r="1999" spans="10:19">
      <c r="J1999" s="10"/>
      <c r="K1999" s="1127"/>
      <c r="L1999" s="10"/>
      <c r="M1999" s="10"/>
      <c r="N1999" s="10"/>
      <c r="O1999" s="10"/>
      <c r="P1999" s="10"/>
      <c r="Q1999" s="10"/>
      <c r="R1999" s="10"/>
      <c r="S1999" s="10"/>
    </row>
    <row r="2000" spans="10:19">
      <c r="J2000" s="10"/>
      <c r="K2000" s="1127"/>
      <c r="L2000" s="10"/>
      <c r="M2000" s="10"/>
      <c r="N2000" s="10"/>
      <c r="O2000" s="10"/>
      <c r="P2000" s="10"/>
      <c r="Q2000" s="10"/>
      <c r="R2000" s="10"/>
      <c r="S2000" s="10"/>
    </row>
    <row r="2001" spans="10:19">
      <c r="J2001" s="10"/>
      <c r="K2001" s="1127"/>
      <c r="L2001" s="10"/>
      <c r="M2001" s="10"/>
      <c r="N2001" s="10"/>
      <c r="O2001" s="10"/>
      <c r="P2001" s="10"/>
      <c r="Q2001" s="10"/>
      <c r="R2001" s="10"/>
      <c r="S2001" s="10"/>
    </row>
    <row r="2002" spans="10:19">
      <c r="J2002" s="10"/>
      <c r="K2002" s="1127"/>
      <c r="L2002" s="10"/>
      <c r="M2002" s="10"/>
      <c r="N2002" s="10"/>
      <c r="O2002" s="10"/>
      <c r="P2002" s="10"/>
      <c r="Q2002" s="10"/>
      <c r="R2002" s="10"/>
      <c r="S2002" s="10"/>
    </row>
    <row r="2003" spans="10:19">
      <c r="J2003" s="10"/>
      <c r="K2003" s="1127"/>
      <c r="L2003" s="10"/>
      <c r="M2003" s="10"/>
      <c r="N2003" s="10"/>
      <c r="O2003" s="10"/>
      <c r="P2003" s="10"/>
      <c r="Q2003" s="10"/>
      <c r="R2003" s="10"/>
      <c r="S2003" s="10"/>
    </row>
    <row r="2004" spans="10:19">
      <c r="J2004" s="10"/>
      <c r="K2004" s="1127"/>
      <c r="L2004" s="10"/>
      <c r="M2004" s="10"/>
      <c r="N2004" s="10"/>
      <c r="O2004" s="10"/>
      <c r="P2004" s="10"/>
      <c r="Q2004" s="10"/>
      <c r="R2004" s="10"/>
      <c r="S2004" s="10"/>
    </row>
    <row r="2005" spans="10:19">
      <c r="J2005" s="10"/>
      <c r="K2005" s="1127"/>
      <c r="L2005" s="10"/>
      <c r="M2005" s="10"/>
      <c r="N2005" s="10"/>
      <c r="O2005" s="10"/>
      <c r="P2005" s="10"/>
      <c r="Q2005" s="10"/>
      <c r="R2005" s="10"/>
      <c r="S2005" s="10"/>
    </row>
    <row r="2006" spans="10:19">
      <c r="J2006" s="10"/>
      <c r="K2006" s="1127"/>
      <c r="L2006" s="10"/>
      <c r="M2006" s="10"/>
      <c r="N2006" s="10"/>
      <c r="O2006" s="10"/>
      <c r="P2006" s="10"/>
      <c r="Q2006" s="10"/>
      <c r="R2006" s="10"/>
      <c r="S2006" s="10"/>
    </row>
    <row r="2007" spans="10:19">
      <c r="J2007" s="10"/>
      <c r="K2007" s="1127"/>
      <c r="L2007" s="10"/>
      <c r="M2007" s="10"/>
      <c r="N2007" s="10"/>
      <c r="O2007" s="10"/>
      <c r="P2007" s="10"/>
      <c r="Q2007" s="10"/>
      <c r="R2007" s="10"/>
      <c r="S2007" s="10"/>
    </row>
    <row r="2008" spans="10:19">
      <c r="J2008" s="10"/>
      <c r="K2008" s="1127"/>
      <c r="L2008" s="10"/>
      <c r="M2008" s="10"/>
      <c r="N2008" s="10"/>
      <c r="O2008" s="10"/>
      <c r="P2008" s="10"/>
      <c r="Q2008" s="10"/>
      <c r="R2008" s="10"/>
      <c r="S2008" s="10"/>
    </row>
    <row r="2009" spans="10:19">
      <c r="J2009" s="10"/>
      <c r="K2009" s="1127"/>
      <c r="L2009" s="10"/>
      <c r="M2009" s="10"/>
      <c r="N2009" s="10"/>
      <c r="O2009" s="10"/>
      <c r="P2009" s="10"/>
      <c r="Q2009" s="10"/>
      <c r="R2009" s="10"/>
      <c r="S2009" s="10"/>
    </row>
    <row r="2010" spans="10:19">
      <c r="J2010" s="10"/>
      <c r="K2010" s="1127"/>
      <c r="L2010" s="10"/>
      <c r="M2010" s="10"/>
      <c r="N2010" s="10"/>
      <c r="O2010" s="10"/>
      <c r="P2010" s="10"/>
      <c r="Q2010" s="10"/>
      <c r="R2010" s="10"/>
      <c r="S2010" s="10"/>
    </row>
    <row r="2011" spans="10:19">
      <c r="J2011" s="10"/>
      <c r="K2011" s="1127"/>
      <c r="L2011" s="10"/>
      <c r="M2011" s="10"/>
      <c r="N2011" s="10"/>
      <c r="O2011" s="10"/>
      <c r="P2011" s="10"/>
      <c r="Q2011" s="10"/>
      <c r="R2011" s="10"/>
      <c r="S2011" s="10"/>
    </row>
    <row r="2012" spans="10:19">
      <c r="J2012" s="10"/>
      <c r="K2012" s="1127"/>
      <c r="L2012" s="10"/>
      <c r="M2012" s="10"/>
      <c r="N2012" s="10"/>
      <c r="O2012" s="10"/>
      <c r="P2012" s="10"/>
      <c r="Q2012" s="10"/>
      <c r="R2012" s="10"/>
      <c r="S2012" s="10"/>
    </row>
    <row r="2013" spans="10:19">
      <c r="J2013" s="10"/>
      <c r="K2013" s="1127"/>
      <c r="L2013" s="10"/>
      <c r="M2013" s="10"/>
      <c r="N2013" s="10"/>
      <c r="O2013" s="10"/>
      <c r="P2013" s="10"/>
      <c r="Q2013" s="10"/>
      <c r="R2013" s="10"/>
      <c r="S2013" s="10"/>
    </row>
    <row r="2014" spans="10:19">
      <c r="J2014" s="10"/>
      <c r="K2014" s="1127"/>
      <c r="L2014" s="10"/>
      <c r="M2014" s="10"/>
      <c r="N2014" s="10"/>
      <c r="O2014" s="10"/>
      <c r="P2014" s="10"/>
      <c r="Q2014" s="10"/>
      <c r="R2014" s="10"/>
      <c r="S2014" s="10"/>
    </row>
    <row r="2015" spans="10:19">
      <c r="J2015" s="10"/>
      <c r="K2015" s="1127"/>
      <c r="L2015" s="10"/>
      <c r="M2015" s="10"/>
      <c r="N2015" s="10"/>
      <c r="O2015" s="10"/>
      <c r="P2015" s="10"/>
      <c r="Q2015" s="10"/>
      <c r="R2015" s="10"/>
      <c r="S2015" s="10"/>
    </row>
    <row r="2016" spans="10:19">
      <c r="J2016" s="10"/>
      <c r="K2016" s="1127"/>
      <c r="L2016" s="10"/>
      <c r="M2016" s="10"/>
      <c r="N2016" s="10"/>
      <c r="O2016" s="10"/>
      <c r="P2016" s="10"/>
      <c r="Q2016" s="10"/>
      <c r="R2016" s="10"/>
      <c r="S2016" s="10"/>
    </row>
    <row r="2017" spans="10:19">
      <c r="J2017" s="10"/>
      <c r="K2017" s="1127"/>
      <c r="L2017" s="10"/>
      <c r="M2017" s="10"/>
      <c r="N2017" s="10"/>
      <c r="O2017" s="10"/>
      <c r="P2017" s="10"/>
      <c r="Q2017" s="10"/>
      <c r="R2017" s="10"/>
      <c r="S2017" s="10"/>
    </row>
    <row r="2018" spans="10:19">
      <c r="J2018" s="10"/>
      <c r="K2018" s="1127"/>
      <c r="L2018" s="10"/>
      <c r="M2018" s="10"/>
      <c r="N2018" s="10"/>
      <c r="O2018" s="10"/>
      <c r="P2018" s="10"/>
      <c r="Q2018" s="10"/>
      <c r="R2018" s="10"/>
      <c r="S2018" s="10"/>
    </row>
    <row r="2019" spans="10:19">
      <c r="J2019" s="10"/>
      <c r="K2019" s="1127"/>
      <c r="L2019" s="10"/>
      <c r="M2019" s="10"/>
      <c r="N2019" s="10"/>
      <c r="O2019" s="10"/>
      <c r="P2019" s="10"/>
      <c r="Q2019" s="10"/>
      <c r="R2019" s="10"/>
      <c r="S2019" s="10"/>
    </row>
    <row r="2020" spans="10:19">
      <c r="J2020" s="10"/>
      <c r="K2020" s="1127"/>
      <c r="L2020" s="10"/>
      <c r="M2020" s="10"/>
      <c r="N2020" s="10"/>
      <c r="O2020" s="10"/>
      <c r="P2020" s="10"/>
      <c r="Q2020" s="10"/>
      <c r="R2020" s="10"/>
      <c r="S2020" s="10"/>
    </row>
    <row r="2021" spans="10:19">
      <c r="J2021" s="10"/>
      <c r="K2021" s="1127"/>
      <c r="L2021" s="10"/>
      <c r="M2021" s="10"/>
      <c r="N2021" s="10"/>
      <c r="O2021" s="10"/>
      <c r="P2021" s="10"/>
      <c r="Q2021" s="10"/>
      <c r="R2021" s="10"/>
      <c r="S2021" s="10"/>
    </row>
    <row r="2022" spans="10:19">
      <c r="J2022" s="10"/>
      <c r="K2022" s="1127"/>
      <c r="L2022" s="10"/>
      <c r="M2022" s="10"/>
      <c r="N2022" s="10"/>
      <c r="O2022" s="10"/>
      <c r="P2022" s="10"/>
      <c r="Q2022" s="10"/>
      <c r="R2022" s="10"/>
      <c r="S2022" s="10"/>
    </row>
    <row r="2023" spans="10:19">
      <c r="J2023" s="10"/>
      <c r="K2023" s="1127"/>
      <c r="L2023" s="10"/>
      <c r="M2023" s="10"/>
      <c r="N2023" s="10"/>
      <c r="O2023" s="10"/>
      <c r="P2023" s="10"/>
      <c r="Q2023" s="10"/>
      <c r="R2023" s="10"/>
      <c r="S2023" s="10"/>
    </row>
    <row r="2024" spans="10:19">
      <c r="J2024" s="10"/>
      <c r="K2024" s="1127"/>
      <c r="L2024" s="10"/>
      <c r="M2024" s="10"/>
      <c r="N2024" s="10"/>
      <c r="O2024" s="10"/>
      <c r="P2024" s="10"/>
      <c r="Q2024" s="10"/>
      <c r="R2024" s="10"/>
      <c r="S2024" s="10"/>
    </row>
    <row r="2025" spans="10:19">
      <c r="J2025" s="10"/>
      <c r="K2025" s="1127"/>
      <c r="L2025" s="10"/>
      <c r="M2025" s="10"/>
      <c r="N2025" s="10"/>
      <c r="O2025" s="10"/>
      <c r="P2025" s="10"/>
      <c r="Q2025" s="10"/>
      <c r="R2025" s="10"/>
      <c r="S2025" s="10"/>
    </row>
    <row r="2026" spans="10:19">
      <c r="J2026" s="10"/>
      <c r="K2026" s="1127"/>
      <c r="L2026" s="10"/>
      <c r="M2026" s="10"/>
      <c r="N2026" s="10"/>
      <c r="O2026" s="10"/>
      <c r="P2026" s="10"/>
      <c r="Q2026" s="10"/>
      <c r="R2026" s="10"/>
      <c r="S2026" s="10"/>
    </row>
    <row r="2027" spans="10:19">
      <c r="J2027" s="10"/>
      <c r="K2027" s="1127"/>
      <c r="L2027" s="10"/>
      <c r="M2027" s="10"/>
      <c r="N2027" s="10"/>
      <c r="O2027" s="10"/>
      <c r="P2027" s="10"/>
      <c r="Q2027" s="10"/>
      <c r="R2027" s="10"/>
      <c r="S2027" s="10"/>
    </row>
    <row r="2028" spans="10:19">
      <c r="J2028" s="10"/>
      <c r="K2028" s="1127"/>
      <c r="L2028" s="10"/>
      <c r="M2028" s="10"/>
      <c r="N2028" s="10"/>
      <c r="O2028" s="10"/>
      <c r="P2028" s="10"/>
      <c r="Q2028" s="10"/>
      <c r="R2028" s="10"/>
      <c r="S2028" s="10"/>
    </row>
    <row r="2029" spans="10:19">
      <c r="J2029" s="10"/>
      <c r="K2029" s="1127"/>
      <c r="L2029" s="10"/>
      <c r="M2029" s="10"/>
      <c r="N2029" s="10"/>
      <c r="O2029" s="10"/>
      <c r="P2029" s="10"/>
      <c r="Q2029" s="10"/>
      <c r="R2029" s="10"/>
      <c r="S2029" s="10"/>
    </row>
    <row r="2030" spans="10:19">
      <c r="J2030" s="10"/>
      <c r="K2030" s="1127"/>
      <c r="L2030" s="10"/>
      <c r="M2030" s="10"/>
      <c r="N2030" s="10"/>
      <c r="O2030" s="10"/>
      <c r="P2030" s="10"/>
      <c r="Q2030" s="10"/>
      <c r="R2030" s="10"/>
      <c r="S2030" s="10"/>
    </row>
    <row r="2031" spans="10:19">
      <c r="J2031" s="10"/>
      <c r="K2031" s="1127"/>
      <c r="L2031" s="10"/>
      <c r="M2031" s="10"/>
      <c r="N2031" s="10"/>
      <c r="O2031" s="10"/>
      <c r="P2031" s="10"/>
      <c r="Q2031" s="10"/>
      <c r="R2031" s="10"/>
      <c r="S2031" s="10"/>
    </row>
    <row r="2032" spans="10:19">
      <c r="J2032" s="10"/>
      <c r="K2032" s="1127"/>
      <c r="L2032" s="10"/>
      <c r="M2032" s="10"/>
      <c r="N2032" s="10"/>
      <c r="O2032" s="10"/>
      <c r="P2032" s="10"/>
      <c r="Q2032" s="10"/>
      <c r="R2032" s="10"/>
      <c r="S2032" s="10"/>
    </row>
    <row r="2033" spans="10:19">
      <c r="J2033" s="10"/>
      <c r="K2033" s="1127"/>
      <c r="L2033" s="10"/>
      <c r="M2033" s="10"/>
      <c r="N2033" s="10"/>
      <c r="O2033" s="10"/>
      <c r="P2033" s="10"/>
      <c r="Q2033" s="10"/>
      <c r="R2033" s="10"/>
      <c r="S2033" s="10"/>
    </row>
    <row r="2034" spans="10:19">
      <c r="J2034" s="10"/>
      <c r="K2034" s="1127"/>
      <c r="L2034" s="10"/>
      <c r="M2034" s="10"/>
      <c r="N2034" s="10"/>
      <c r="O2034" s="10"/>
      <c r="P2034" s="10"/>
      <c r="Q2034" s="10"/>
      <c r="R2034" s="10"/>
      <c r="S2034" s="10"/>
    </row>
    <row r="2035" spans="10:19">
      <c r="J2035" s="10"/>
      <c r="K2035" s="1127"/>
      <c r="L2035" s="10"/>
      <c r="M2035" s="10"/>
      <c r="N2035" s="10"/>
      <c r="O2035" s="10"/>
      <c r="P2035" s="10"/>
      <c r="Q2035" s="10"/>
      <c r="R2035" s="10"/>
      <c r="S2035" s="10"/>
    </row>
    <row r="2036" spans="10:19">
      <c r="J2036" s="10"/>
      <c r="K2036" s="1127"/>
      <c r="L2036" s="10"/>
      <c r="M2036" s="10"/>
      <c r="N2036" s="10"/>
      <c r="O2036" s="10"/>
      <c r="P2036" s="10"/>
      <c r="Q2036" s="10"/>
      <c r="R2036" s="10"/>
      <c r="S2036" s="10"/>
    </row>
    <row r="2037" spans="10:19">
      <c r="J2037" s="10"/>
      <c r="K2037" s="1127"/>
      <c r="L2037" s="10"/>
      <c r="M2037" s="10"/>
      <c r="N2037" s="10"/>
      <c r="O2037" s="10"/>
      <c r="P2037" s="10"/>
      <c r="Q2037" s="10"/>
      <c r="R2037" s="10"/>
      <c r="S2037" s="10"/>
    </row>
    <row r="2038" spans="10:19">
      <c r="J2038" s="10"/>
      <c r="K2038" s="1127"/>
      <c r="L2038" s="10"/>
      <c r="M2038" s="10"/>
      <c r="N2038" s="10"/>
      <c r="O2038" s="10"/>
      <c r="P2038" s="10"/>
      <c r="Q2038" s="10"/>
      <c r="R2038" s="10"/>
      <c r="S2038" s="10"/>
    </row>
    <row r="2039" spans="10:19">
      <c r="J2039" s="10"/>
      <c r="K2039" s="1127"/>
      <c r="L2039" s="10"/>
      <c r="M2039" s="10"/>
      <c r="N2039" s="10"/>
      <c r="O2039" s="10"/>
      <c r="P2039" s="10"/>
      <c r="Q2039" s="10"/>
      <c r="R2039" s="10"/>
      <c r="S2039" s="10"/>
    </row>
    <row r="2040" spans="10:19">
      <c r="J2040" s="10"/>
      <c r="K2040" s="1127"/>
      <c r="L2040" s="10"/>
      <c r="M2040" s="10"/>
      <c r="N2040" s="10"/>
      <c r="O2040" s="10"/>
      <c r="P2040" s="10"/>
      <c r="Q2040" s="10"/>
      <c r="R2040" s="10"/>
      <c r="S2040" s="10"/>
    </row>
    <row r="2041" spans="10:19">
      <c r="J2041" s="10"/>
      <c r="K2041" s="1127"/>
      <c r="L2041" s="10"/>
      <c r="M2041" s="10"/>
      <c r="N2041" s="10"/>
      <c r="O2041" s="10"/>
      <c r="P2041" s="10"/>
      <c r="Q2041" s="10"/>
      <c r="R2041" s="10"/>
      <c r="S2041" s="10"/>
    </row>
    <row r="2042" spans="10:19">
      <c r="J2042" s="10"/>
      <c r="K2042" s="1127"/>
      <c r="L2042" s="10"/>
      <c r="M2042" s="10"/>
      <c r="N2042" s="10"/>
      <c r="O2042" s="10"/>
      <c r="P2042" s="10"/>
      <c r="Q2042" s="10"/>
      <c r="R2042" s="10"/>
      <c r="S2042" s="10"/>
    </row>
    <row r="2043" spans="10:19">
      <c r="J2043" s="10"/>
      <c r="K2043" s="1127"/>
      <c r="L2043" s="10"/>
      <c r="M2043" s="10"/>
      <c r="N2043" s="10"/>
      <c r="O2043" s="10"/>
      <c r="P2043" s="10"/>
      <c r="Q2043" s="10"/>
      <c r="R2043" s="10"/>
      <c r="S2043" s="10"/>
    </row>
    <row r="2044" spans="10:19">
      <c r="J2044" s="10"/>
      <c r="K2044" s="1127"/>
      <c r="L2044" s="10"/>
      <c r="M2044" s="10"/>
      <c r="N2044" s="10"/>
      <c r="O2044" s="10"/>
      <c r="P2044" s="10"/>
      <c r="Q2044" s="10"/>
      <c r="R2044" s="10"/>
      <c r="S2044" s="10"/>
    </row>
    <row r="2045" spans="10:19">
      <c r="J2045" s="10"/>
      <c r="K2045" s="1127"/>
      <c r="L2045" s="10"/>
      <c r="M2045" s="10"/>
      <c r="N2045" s="10"/>
      <c r="O2045" s="10"/>
      <c r="P2045" s="10"/>
      <c r="Q2045" s="10"/>
      <c r="R2045" s="10"/>
      <c r="S2045" s="10"/>
    </row>
    <row r="2046" spans="10:19">
      <c r="J2046" s="10"/>
      <c r="K2046" s="1127"/>
      <c r="L2046" s="10"/>
      <c r="M2046" s="10"/>
      <c r="N2046" s="10"/>
      <c r="O2046" s="10"/>
      <c r="P2046" s="10"/>
      <c r="Q2046" s="10"/>
      <c r="R2046" s="10"/>
      <c r="S2046" s="10"/>
    </row>
    <row r="2047" spans="10:19">
      <c r="J2047" s="10"/>
      <c r="K2047" s="1127"/>
      <c r="L2047" s="10"/>
      <c r="M2047" s="10"/>
      <c r="N2047" s="10"/>
      <c r="O2047" s="10"/>
      <c r="P2047" s="10"/>
      <c r="Q2047" s="10"/>
      <c r="R2047" s="10"/>
      <c r="S2047" s="10"/>
    </row>
    <row r="2048" spans="10:19">
      <c r="J2048" s="10"/>
      <c r="K2048" s="1127"/>
      <c r="L2048" s="10"/>
      <c r="M2048" s="10"/>
      <c r="N2048" s="10"/>
      <c r="O2048" s="10"/>
      <c r="P2048" s="10"/>
      <c r="Q2048" s="10"/>
      <c r="R2048" s="10"/>
      <c r="S2048" s="10"/>
    </row>
    <row r="2049" spans="10:19">
      <c r="J2049" s="10"/>
      <c r="K2049" s="1127"/>
      <c r="L2049" s="10"/>
      <c r="M2049" s="10"/>
      <c r="N2049" s="10"/>
      <c r="O2049" s="10"/>
      <c r="P2049" s="10"/>
      <c r="Q2049" s="10"/>
      <c r="R2049" s="10"/>
      <c r="S2049" s="10"/>
    </row>
    <row r="2050" spans="10:19">
      <c r="J2050" s="10"/>
      <c r="K2050" s="1127"/>
      <c r="L2050" s="10"/>
      <c r="M2050" s="10"/>
      <c r="N2050" s="10"/>
      <c r="O2050" s="10"/>
      <c r="P2050" s="10"/>
      <c r="Q2050" s="10"/>
      <c r="R2050" s="10"/>
      <c r="S2050" s="10"/>
    </row>
    <row r="2051" spans="10:19">
      <c r="J2051" s="10"/>
      <c r="K2051" s="1127"/>
      <c r="L2051" s="10"/>
      <c r="M2051" s="10"/>
      <c r="N2051" s="10"/>
      <c r="O2051" s="10"/>
      <c r="P2051" s="10"/>
      <c r="Q2051" s="10"/>
      <c r="R2051" s="10"/>
      <c r="S2051" s="10"/>
    </row>
    <row r="2052" spans="10:19">
      <c r="J2052" s="10"/>
      <c r="K2052" s="1127"/>
      <c r="L2052" s="10"/>
      <c r="M2052" s="10"/>
      <c r="N2052" s="10"/>
      <c r="O2052" s="10"/>
      <c r="P2052" s="10"/>
      <c r="Q2052" s="10"/>
      <c r="R2052" s="10"/>
      <c r="S2052" s="10"/>
    </row>
    <row r="2053" spans="10:19">
      <c r="J2053" s="10"/>
      <c r="K2053" s="1127"/>
      <c r="L2053" s="10"/>
      <c r="M2053" s="10"/>
      <c r="N2053" s="10"/>
      <c r="O2053" s="10"/>
      <c r="P2053" s="10"/>
      <c r="Q2053" s="10"/>
      <c r="R2053" s="10"/>
      <c r="S2053" s="10"/>
    </row>
    <row r="2054" spans="10:19">
      <c r="J2054" s="10"/>
      <c r="K2054" s="1127"/>
      <c r="L2054" s="10"/>
      <c r="M2054" s="10"/>
      <c r="N2054" s="10"/>
      <c r="O2054" s="10"/>
      <c r="P2054" s="10"/>
      <c r="Q2054" s="10"/>
      <c r="R2054" s="10"/>
      <c r="S2054" s="10"/>
    </row>
    <row r="2055" spans="10:19">
      <c r="J2055" s="10"/>
      <c r="K2055" s="1127"/>
      <c r="L2055" s="10"/>
      <c r="M2055" s="10"/>
      <c r="N2055" s="10"/>
      <c r="O2055" s="10"/>
      <c r="P2055" s="10"/>
      <c r="Q2055" s="10"/>
      <c r="R2055" s="10"/>
      <c r="S2055" s="10"/>
    </row>
    <row r="2056" spans="10:19">
      <c r="J2056" s="10"/>
      <c r="K2056" s="1127"/>
      <c r="L2056" s="10"/>
      <c r="M2056" s="10"/>
      <c r="N2056" s="10"/>
      <c r="O2056" s="10"/>
      <c r="P2056" s="10"/>
      <c r="Q2056" s="10"/>
      <c r="R2056" s="10"/>
      <c r="S2056" s="10"/>
    </row>
    <row r="2057" spans="10:19">
      <c r="J2057" s="10"/>
      <c r="K2057" s="1127"/>
      <c r="L2057" s="10"/>
      <c r="M2057" s="10"/>
      <c r="N2057" s="10"/>
      <c r="O2057" s="10"/>
      <c r="P2057" s="10"/>
      <c r="Q2057" s="10"/>
      <c r="R2057" s="10"/>
      <c r="S2057" s="10"/>
    </row>
    <row r="2058" spans="10:19">
      <c r="J2058" s="10"/>
      <c r="K2058" s="1127"/>
      <c r="L2058" s="10"/>
      <c r="M2058" s="10"/>
      <c r="N2058" s="10"/>
      <c r="O2058" s="10"/>
      <c r="P2058" s="10"/>
      <c r="Q2058" s="10"/>
      <c r="R2058" s="10"/>
      <c r="S2058" s="10"/>
    </row>
    <row r="2059" spans="10:19">
      <c r="J2059" s="10"/>
      <c r="K2059" s="1127"/>
      <c r="L2059" s="10"/>
      <c r="M2059" s="10"/>
      <c r="N2059" s="10"/>
      <c r="O2059" s="10"/>
      <c r="P2059" s="10"/>
      <c r="Q2059" s="10"/>
      <c r="R2059" s="10"/>
      <c r="S2059" s="10"/>
    </row>
    <row r="2060" spans="10:19">
      <c r="J2060" s="10"/>
      <c r="K2060" s="1127"/>
      <c r="L2060" s="10"/>
      <c r="M2060" s="10"/>
      <c r="N2060" s="10"/>
      <c r="O2060" s="10"/>
      <c r="P2060" s="10"/>
      <c r="Q2060" s="10"/>
      <c r="R2060" s="10"/>
      <c r="S2060" s="10"/>
    </row>
    <row r="2061" spans="10:19">
      <c r="J2061" s="10"/>
      <c r="K2061" s="1127"/>
      <c r="L2061" s="10"/>
      <c r="M2061" s="10"/>
      <c r="N2061" s="10"/>
      <c r="O2061" s="10"/>
      <c r="P2061" s="10"/>
      <c r="Q2061" s="10"/>
      <c r="R2061" s="10"/>
      <c r="S2061" s="10"/>
    </row>
    <row r="2062" spans="10:19">
      <c r="J2062" s="10"/>
      <c r="K2062" s="1127"/>
      <c r="L2062" s="10"/>
      <c r="M2062" s="10"/>
      <c r="N2062" s="10"/>
      <c r="O2062" s="10"/>
      <c r="P2062" s="10"/>
      <c r="Q2062" s="10"/>
      <c r="R2062" s="10"/>
      <c r="S2062" s="10"/>
    </row>
    <row r="2063" spans="10:19">
      <c r="J2063" s="10"/>
      <c r="K2063" s="1127"/>
      <c r="L2063" s="10"/>
      <c r="M2063" s="10"/>
      <c r="N2063" s="10"/>
      <c r="O2063" s="10"/>
      <c r="P2063" s="10"/>
      <c r="Q2063" s="10"/>
      <c r="R2063" s="10"/>
      <c r="S2063" s="10"/>
    </row>
    <row r="2064" spans="10:19">
      <c r="J2064" s="10"/>
      <c r="K2064" s="1127"/>
      <c r="L2064" s="10"/>
      <c r="M2064" s="10"/>
      <c r="N2064" s="10"/>
      <c r="O2064" s="10"/>
      <c r="P2064" s="10"/>
      <c r="Q2064" s="10"/>
      <c r="R2064" s="10"/>
      <c r="S2064" s="10"/>
    </row>
    <row r="2065" spans="10:19">
      <c r="J2065" s="10"/>
      <c r="K2065" s="1127"/>
      <c r="L2065" s="10"/>
      <c r="M2065" s="10"/>
      <c r="N2065" s="10"/>
      <c r="O2065" s="10"/>
      <c r="P2065" s="10"/>
      <c r="Q2065" s="10"/>
      <c r="R2065" s="10"/>
      <c r="S2065" s="10"/>
    </row>
    <row r="2066" spans="10:19">
      <c r="J2066" s="10"/>
      <c r="K2066" s="1127"/>
      <c r="L2066" s="10"/>
      <c r="M2066" s="10"/>
      <c r="N2066" s="10"/>
      <c r="O2066" s="10"/>
      <c r="P2066" s="10"/>
      <c r="Q2066" s="10"/>
      <c r="R2066" s="10"/>
      <c r="S2066" s="10"/>
    </row>
    <row r="2067" spans="10:19">
      <c r="J2067" s="10"/>
      <c r="K2067" s="1127"/>
      <c r="L2067" s="10"/>
      <c r="M2067" s="10"/>
      <c r="N2067" s="10"/>
      <c r="O2067" s="10"/>
      <c r="P2067" s="10"/>
      <c r="Q2067" s="10"/>
      <c r="R2067" s="10"/>
      <c r="S2067" s="10"/>
    </row>
    <row r="2068" spans="10:19">
      <c r="J2068" s="10"/>
      <c r="K2068" s="1127"/>
      <c r="L2068" s="10"/>
      <c r="M2068" s="10"/>
      <c r="N2068" s="10"/>
      <c r="O2068" s="10"/>
      <c r="P2068" s="10"/>
      <c r="Q2068" s="10"/>
      <c r="R2068" s="10"/>
      <c r="S2068" s="10"/>
    </row>
    <row r="2069" spans="10:19">
      <c r="J2069" s="10"/>
      <c r="K2069" s="1127"/>
      <c r="L2069" s="10"/>
      <c r="M2069" s="10"/>
      <c r="N2069" s="10"/>
      <c r="O2069" s="10"/>
      <c r="P2069" s="10"/>
      <c r="Q2069" s="10"/>
      <c r="R2069" s="10"/>
      <c r="S2069" s="10"/>
    </row>
    <row r="2070" spans="10:19">
      <c r="J2070" s="10"/>
      <c r="K2070" s="1127"/>
      <c r="L2070" s="10"/>
      <c r="M2070" s="10"/>
      <c r="N2070" s="10"/>
      <c r="O2070" s="10"/>
      <c r="P2070" s="10"/>
      <c r="Q2070" s="10"/>
      <c r="R2070" s="10"/>
      <c r="S2070" s="10"/>
    </row>
    <row r="2071" spans="10:19">
      <c r="J2071" s="10"/>
      <c r="K2071" s="1127"/>
      <c r="L2071" s="10"/>
      <c r="M2071" s="10"/>
      <c r="N2071" s="10"/>
      <c r="O2071" s="10"/>
      <c r="P2071" s="10"/>
      <c r="Q2071" s="10"/>
      <c r="R2071" s="10"/>
      <c r="S2071" s="10"/>
    </row>
    <row r="2072" spans="10:19">
      <c r="J2072" s="10"/>
      <c r="K2072" s="1127"/>
      <c r="L2072" s="10"/>
      <c r="M2072" s="10"/>
      <c r="N2072" s="10"/>
      <c r="O2072" s="10"/>
      <c r="P2072" s="10"/>
      <c r="Q2072" s="10"/>
      <c r="R2072" s="10"/>
      <c r="S2072" s="10"/>
    </row>
    <row r="2073" spans="10:19">
      <c r="J2073" s="10"/>
      <c r="K2073" s="1127"/>
      <c r="L2073" s="10"/>
      <c r="M2073" s="10"/>
      <c r="N2073" s="10"/>
      <c r="O2073" s="10"/>
      <c r="P2073" s="10"/>
      <c r="Q2073" s="10"/>
      <c r="R2073" s="10"/>
      <c r="S2073" s="10"/>
    </row>
    <row r="2074" spans="10:19">
      <c r="J2074" s="10"/>
      <c r="K2074" s="1127"/>
      <c r="L2074" s="10"/>
      <c r="M2074" s="10"/>
      <c r="N2074" s="10"/>
      <c r="O2074" s="10"/>
      <c r="P2074" s="10"/>
      <c r="Q2074" s="10"/>
      <c r="R2074" s="10"/>
      <c r="S2074" s="10"/>
    </row>
    <row r="2075" spans="10:19">
      <c r="J2075" s="10"/>
      <c r="K2075" s="1127"/>
      <c r="L2075" s="10"/>
      <c r="M2075" s="10"/>
      <c r="N2075" s="10"/>
      <c r="O2075" s="10"/>
      <c r="P2075" s="10"/>
      <c r="Q2075" s="10"/>
      <c r="R2075" s="10"/>
      <c r="S2075" s="10"/>
    </row>
    <row r="2076" spans="10:19">
      <c r="J2076" s="10"/>
      <c r="K2076" s="1127"/>
      <c r="L2076" s="10"/>
      <c r="M2076" s="10"/>
      <c r="N2076" s="10"/>
      <c r="O2076" s="10"/>
      <c r="P2076" s="10"/>
      <c r="Q2076" s="10"/>
      <c r="R2076" s="10"/>
      <c r="S2076" s="10"/>
    </row>
    <row r="2077" spans="10:19">
      <c r="J2077" s="10"/>
      <c r="K2077" s="1127"/>
      <c r="L2077" s="10"/>
      <c r="M2077" s="10"/>
      <c r="N2077" s="10"/>
      <c r="O2077" s="10"/>
      <c r="P2077" s="10"/>
      <c r="Q2077" s="10"/>
      <c r="R2077" s="10"/>
      <c r="S2077" s="10"/>
    </row>
    <row r="2078" spans="10:19">
      <c r="J2078" s="10"/>
      <c r="K2078" s="1127"/>
      <c r="L2078" s="10"/>
      <c r="M2078" s="10"/>
      <c r="N2078" s="10"/>
      <c r="O2078" s="10"/>
      <c r="P2078" s="10"/>
      <c r="Q2078" s="10"/>
      <c r="R2078" s="10"/>
      <c r="S2078" s="10"/>
    </row>
    <row r="2079" spans="10:19">
      <c r="J2079" s="10"/>
      <c r="K2079" s="1127"/>
      <c r="L2079" s="10"/>
      <c r="M2079" s="10"/>
      <c r="N2079" s="10"/>
      <c r="O2079" s="10"/>
      <c r="P2079" s="10"/>
      <c r="Q2079" s="10"/>
      <c r="R2079" s="10"/>
      <c r="S2079" s="10"/>
    </row>
    <row r="2080" spans="10:19">
      <c r="J2080" s="10"/>
      <c r="K2080" s="1127"/>
      <c r="L2080" s="10"/>
      <c r="M2080" s="10"/>
      <c r="N2080" s="10"/>
      <c r="O2080" s="10"/>
      <c r="P2080" s="10"/>
      <c r="Q2080" s="10"/>
      <c r="R2080" s="10"/>
      <c r="S2080" s="10"/>
    </row>
    <row r="2081" spans="10:19">
      <c r="J2081" s="10"/>
      <c r="K2081" s="1127"/>
      <c r="L2081" s="10"/>
      <c r="M2081" s="10"/>
      <c r="N2081" s="10"/>
      <c r="O2081" s="10"/>
      <c r="P2081" s="10"/>
      <c r="Q2081" s="10"/>
      <c r="R2081" s="10"/>
      <c r="S2081" s="10"/>
    </row>
    <row r="2082" spans="10:19">
      <c r="J2082" s="10"/>
      <c r="K2082" s="1127"/>
      <c r="L2082" s="10"/>
      <c r="M2082" s="10"/>
      <c r="N2082" s="10"/>
      <c r="O2082" s="10"/>
      <c r="P2082" s="10"/>
      <c r="Q2082" s="10"/>
      <c r="R2082" s="10"/>
      <c r="S2082" s="10"/>
    </row>
    <row r="2083" spans="10:19">
      <c r="J2083" s="10"/>
      <c r="K2083" s="1127"/>
      <c r="L2083" s="10"/>
      <c r="M2083" s="10"/>
      <c r="N2083" s="10"/>
      <c r="O2083" s="10"/>
      <c r="P2083" s="10"/>
      <c r="Q2083" s="10"/>
      <c r="R2083" s="10"/>
      <c r="S2083" s="10"/>
    </row>
    <row r="2084" spans="10:19">
      <c r="J2084" s="10"/>
      <c r="K2084" s="1127"/>
      <c r="L2084" s="10"/>
      <c r="M2084" s="10"/>
      <c r="N2084" s="10"/>
      <c r="O2084" s="10"/>
      <c r="P2084" s="10"/>
      <c r="Q2084" s="10"/>
      <c r="R2084" s="10"/>
      <c r="S2084" s="10"/>
    </row>
    <row r="2085" spans="10:19">
      <c r="J2085" s="10"/>
      <c r="K2085" s="1127"/>
      <c r="L2085" s="10"/>
      <c r="M2085" s="10"/>
      <c r="N2085" s="10"/>
      <c r="O2085" s="10"/>
      <c r="P2085" s="10"/>
      <c r="Q2085" s="10"/>
      <c r="R2085" s="10"/>
      <c r="S2085" s="10"/>
    </row>
    <row r="2086" spans="10:19">
      <c r="J2086" s="10"/>
      <c r="K2086" s="1127"/>
      <c r="L2086" s="10"/>
      <c r="M2086" s="10"/>
      <c r="N2086" s="10"/>
      <c r="O2086" s="10"/>
      <c r="P2086" s="10"/>
      <c r="Q2086" s="10"/>
      <c r="R2086" s="10"/>
      <c r="S2086" s="10"/>
    </row>
    <row r="2087" spans="10:19">
      <c r="J2087" s="10"/>
      <c r="K2087" s="1127"/>
      <c r="L2087" s="10"/>
      <c r="M2087" s="10"/>
      <c r="N2087" s="10"/>
      <c r="O2087" s="10"/>
      <c r="P2087" s="10"/>
      <c r="Q2087" s="10"/>
      <c r="R2087" s="10"/>
      <c r="S2087" s="10"/>
    </row>
    <row r="2088" spans="10:19">
      <c r="J2088" s="10"/>
      <c r="K2088" s="1127"/>
      <c r="L2088" s="10"/>
      <c r="M2088" s="10"/>
      <c r="N2088" s="10"/>
      <c r="O2088" s="10"/>
      <c r="P2088" s="10"/>
      <c r="Q2088" s="10"/>
      <c r="R2088" s="10"/>
      <c r="S2088" s="10"/>
    </row>
    <row r="2089" spans="10:19">
      <c r="J2089" s="10"/>
      <c r="K2089" s="1127"/>
      <c r="L2089" s="10"/>
      <c r="M2089" s="10"/>
      <c r="N2089" s="10"/>
      <c r="O2089" s="10"/>
      <c r="P2089" s="10"/>
      <c r="Q2089" s="10"/>
      <c r="R2089" s="10"/>
      <c r="S2089" s="10"/>
    </row>
    <row r="2090" spans="10:19">
      <c r="J2090" s="10"/>
      <c r="K2090" s="1127"/>
      <c r="L2090" s="10"/>
      <c r="M2090" s="10"/>
      <c r="N2090" s="10"/>
      <c r="O2090" s="10"/>
      <c r="P2090" s="10"/>
      <c r="Q2090" s="10"/>
      <c r="R2090" s="10"/>
      <c r="S2090" s="10"/>
    </row>
    <row r="2091" spans="10:19">
      <c r="J2091" s="10"/>
      <c r="K2091" s="1127"/>
      <c r="L2091" s="10"/>
      <c r="M2091" s="10"/>
      <c r="N2091" s="10"/>
      <c r="O2091" s="10"/>
      <c r="P2091" s="10"/>
      <c r="Q2091" s="10"/>
      <c r="R2091" s="10"/>
      <c r="S2091" s="10"/>
    </row>
    <row r="2092" spans="10:19">
      <c r="J2092" s="10"/>
      <c r="K2092" s="1127"/>
      <c r="L2092" s="10"/>
      <c r="M2092" s="10"/>
      <c r="N2092" s="10"/>
      <c r="O2092" s="10"/>
      <c r="P2092" s="10"/>
      <c r="Q2092" s="10"/>
      <c r="R2092" s="10"/>
      <c r="S2092" s="10"/>
    </row>
    <row r="2093" spans="10:19">
      <c r="J2093" s="10"/>
      <c r="K2093" s="1127"/>
      <c r="L2093" s="10"/>
      <c r="M2093" s="10"/>
      <c r="N2093" s="10"/>
      <c r="O2093" s="10"/>
      <c r="P2093" s="10"/>
      <c r="Q2093" s="10"/>
      <c r="R2093" s="10"/>
      <c r="S2093" s="10"/>
    </row>
    <row r="2094" spans="10:19">
      <c r="J2094" s="10"/>
      <c r="K2094" s="1127"/>
      <c r="L2094" s="10"/>
      <c r="M2094" s="10"/>
      <c r="N2094" s="10"/>
      <c r="O2094" s="10"/>
      <c r="P2094" s="10"/>
      <c r="Q2094" s="10"/>
      <c r="R2094" s="10"/>
      <c r="S2094" s="10"/>
    </row>
    <row r="2095" spans="10:19">
      <c r="J2095" s="10"/>
      <c r="K2095" s="1127"/>
      <c r="L2095" s="10"/>
      <c r="M2095" s="10"/>
      <c r="N2095" s="10"/>
      <c r="O2095" s="10"/>
      <c r="P2095" s="10"/>
      <c r="Q2095" s="10"/>
      <c r="R2095" s="10"/>
      <c r="S2095" s="10"/>
    </row>
    <row r="2096" spans="10:19">
      <c r="J2096" s="10"/>
      <c r="K2096" s="1127"/>
      <c r="L2096" s="10"/>
      <c r="M2096" s="10"/>
      <c r="N2096" s="10"/>
      <c r="O2096" s="10"/>
      <c r="P2096" s="10"/>
      <c r="Q2096" s="10"/>
      <c r="R2096" s="10"/>
      <c r="S2096" s="10"/>
    </row>
    <row r="2097" spans="10:19">
      <c r="J2097" s="10"/>
      <c r="K2097" s="1127"/>
      <c r="L2097" s="10"/>
      <c r="M2097" s="10"/>
      <c r="N2097" s="10"/>
      <c r="O2097" s="10"/>
      <c r="P2097" s="10"/>
      <c r="Q2097" s="10"/>
      <c r="R2097" s="10"/>
      <c r="S2097" s="10"/>
    </row>
    <row r="2098" spans="10:19">
      <c r="J2098" s="10"/>
      <c r="K2098" s="1127"/>
      <c r="L2098" s="10"/>
      <c r="M2098" s="10"/>
      <c r="N2098" s="10"/>
      <c r="O2098" s="10"/>
      <c r="P2098" s="10"/>
      <c r="Q2098" s="10"/>
      <c r="R2098" s="10"/>
      <c r="S2098" s="10"/>
    </row>
    <row r="2099" spans="10:19">
      <c r="J2099" s="10"/>
      <c r="K2099" s="1127"/>
      <c r="L2099" s="10"/>
      <c r="M2099" s="10"/>
      <c r="N2099" s="10"/>
      <c r="O2099" s="10"/>
      <c r="P2099" s="10"/>
      <c r="Q2099" s="10"/>
      <c r="R2099" s="10"/>
      <c r="S2099" s="10"/>
    </row>
    <row r="2100" spans="10:19">
      <c r="J2100" s="10"/>
      <c r="K2100" s="1127"/>
      <c r="L2100" s="10"/>
      <c r="M2100" s="10"/>
      <c r="N2100" s="10"/>
      <c r="O2100" s="10"/>
      <c r="P2100" s="10"/>
      <c r="Q2100" s="10"/>
      <c r="R2100" s="10"/>
      <c r="S2100" s="10"/>
    </row>
    <row r="2101" spans="10:19">
      <c r="J2101" s="10"/>
      <c r="K2101" s="1127"/>
      <c r="L2101" s="10"/>
      <c r="M2101" s="10"/>
      <c r="N2101" s="10"/>
      <c r="O2101" s="10"/>
      <c r="P2101" s="10"/>
      <c r="Q2101" s="10"/>
      <c r="R2101" s="10"/>
      <c r="S2101" s="10"/>
    </row>
    <row r="2102" spans="10:19">
      <c r="J2102" s="10"/>
      <c r="K2102" s="1127"/>
      <c r="L2102" s="10"/>
      <c r="M2102" s="10"/>
      <c r="N2102" s="10"/>
      <c r="O2102" s="10"/>
      <c r="P2102" s="10"/>
      <c r="Q2102" s="10"/>
      <c r="R2102" s="10"/>
      <c r="S2102" s="10"/>
    </row>
    <row r="2103" spans="10:19">
      <c r="J2103" s="10"/>
      <c r="K2103" s="1127"/>
      <c r="L2103" s="10"/>
      <c r="M2103" s="10"/>
      <c r="N2103" s="10"/>
      <c r="O2103" s="10"/>
      <c r="P2103" s="10"/>
      <c r="Q2103" s="10"/>
      <c r="R2103" s="10"/>
      <c r="S2103" s="10"/>
    </row>
    <row r="2104" spans="10:19">
      <c r="J2104" s="10"/>
      <c r="K2104" s="1127"/>
      <c r="L2104" s="10"/>
      <c r="M2104" s="10"/>
      <c r="N2104" s="10"/>
      <c r="O2104" s="10"/>
      <c r="P2104" s="10"/>
      <c r="Q2104" s="10"/>
      <c r="R2104" s="10"/>
      <c r="S2104" s="10"/>
    </row>
    <row r="2105" spans="10:19">
      <c r="J2105" s="10"/>
      <c r="K2105" s="1127"/>
      <c r="L2105" s="10"/>
      <c r="M2105" s="10"/>
      <c r="N2105" s="10"/>
      <c r="O2105" s="10"/>
      <c r="P2105" s="10"/>
      <c r="Q2105" s="10"/>
      <c r="R2105" s="10"/>
      <c r="S2105" s="10"/>
    </row>
    <row r="2106" spans="10:19">
      <c r="J2106" s="10"/>
      <c r="K2106" s="1127"/>
      <c r="L2106" s="10"/>
      <c r="M2106" s="10"/>
      <c r="N2106" s="10"/>
      <c r="O2106" s="10"/>
      <c r="P2106" s="10"/>
      <c r="Q2106" s="10"/>
      <c r="R2106" s="10"/>
      <c r="S2106" s="10"/>
    </row>
    <row r="2107" spans="10:19">
      <c r="J2107" s="10"/>
      <c r="K2107" s="1127"/>
      <c r="L2107" s="10"/>
      <c r="M2107" s="10"/>
      <c r="N2107" s="10"/>
      <c r="O2107" s="10"/>
      <c r="P2107" s="10"/>
      <c r="Q2107" s="10"/>
      <c r="R2107" s="10"/>
      <c r="S2107" s="10"/>
    </row>
    <row r="2108" spans="10:19">
      <c r="J2108" s="10"/>
      <c r="K2108" s="1127"/>
      <c r="L2108" s="10"/>
      <c r="M2108" s="10"/>
      <c r="N2108" s="10"/>
      <c r="O2108" s="10"/>
      <c r="P2108" s="10"/>
      <c r="Q2108" s="10"/>
      <c r="R2108" s="10"/>
      <c r="S2108" s="10"/>
    </row>
    <row r="2109" spans="10:19">
      <c r="J2109" s="10"/>
      <c r="K2109" s="1127"/>
      <c r="L2109" s="10"/>
      <c r="M2109" s="10"/>
      <c r="N2109" s="10"/>
      <c r="O2109" s="10"/>
      <c r="P2109" s="10"/>
      <c r="Q2109" s="10"/>
      <c r="R2109" s="10"/>
      <c r="S2109" s="10"/>
    </row>
    <row r="2110" spans="10:19">
      <c r="J2110" s="10"/>
      <c r="K2110" s="1127"/>
      <c r="L2110" s="10"/>
      <c r="M2110" s="10"/>
      <c r="N2110" s="10"/>
      <c r="O2110" s="10"/>
      <c r="P2110" s="10"/>
      <c r="Q2110" s="10"/>
      <c r="R2110" s="10"/>
      <c r="S2110" s="10"/>
    </row>
    <row r="2111" spans="10:19">
      <c r="J2111" s="10"/>
      <c r="K2111" s="1127"/>
      <c r="L2111" s="10"/>
      <c r="M2111" s="10"/>
      <c r="N2111" s="10"/>
      <c r="O2111" s="10"/>
      <c r="P2111" s="10"/>
      <c r="Q2111" s="10"/>
      <c r="R2111" s="10"/>
      <c r="S2111" s="10"/>
    </row>
    <row r="2112" spans="10:19">
      <c r="J2112" s="10"/>
      <c r="K2112" s="1127"/>
      <c r="L2112" s="10"/>
      <c r="M2112" s="10"/>
      <c r="N2112" s="10"/>
      <c r="O2112" s="10"/>
      <c r="P2112" s="10"/>
      <c r="Q2112" s="10"/>
      <c r="R2112" s="10"/>
      <c r="S2112" s="10"/>
    </row>
    <row r="2113" spans="10:19">
      <c r="J2113" s="10"/>
      <c r="K2113" s="1127"/>
      <c r="L2113" s="10"/>
      <c r="M2113" s="10"/>
      <c r="N2113" s="10"/>
      <c r="O2113" s="10"/>
      <c r="P2113" s="10"/>
      <c r="Q2113" s="10"/>
      <c r="R2113" s="10"/>
      <c r="S2113" s="10"/>
    </row>
    <row r="2114" spans="10:19">
      <c r="J2114" s="10"/>
      <c r="K2114" s="1127"/>
      <c r="L2114" s="10"/>
      <c r="M2114" s="10"/>
      <c r="N2114" s="10"/>
      <c r="O2114" s="10"/>
      <c r="P2114" s="10"/>
      <c r="Q2114" s="10"/>
      <c r="R2114" s="10"/>
      <c r="S2114" s="10"/>
    </row>
    <row r="2115" spans="10:19">
      <c r="J2115" s="10"/>
      <c r="K2115" s="1127"/>
      <c r="L2115" s="10"/>
      <c r="M2115" s="10"/>
      <c r="N2115" s="10"/>
      <c r="O2115" s="10"/>
      <c r="P2115" s="10"/>
      <c r="Q2115" s="10"/>
      <c r="R2115" s="10"/>
      <c r="S2115" s="10"/>
    </row>
    <row r="2116" spans="10:19">
      <c r="J2116" s="10"/>
      <c r="K2116" s="1127"/>
      <c r="L2116" s="10"/>
      <c r="M2116" s="10"/>
      <c r="N2116" s="10"/>
      <c r="O2116" s="10"/>
      <c r="P2116" s="10"/>
      <c r="Q2116" s="10"/>
      <c r="R2116" s="10"/>
      <c r="S2116" s="10"/>
    </row>
    <row r="2117" spans="10:19">
      <c r="J2117" s="10"/>
      <c r="K2117" s="1127"/>
      <c r="L2117" s="10"/>
      <c r="M2117" s="10"/>
      <c r="N2117" s="10"/>
      <c r="O2117" s="10"/>
      <c r="P2117" s="10"/>
      <c r="Q2117" s="10"/>
      <c r="R2117" s="10"/>
      <c r="S2117" s="10"/>
    </row>
    <row r="2118" spans="10:19">
      <c r="J2118" s="10"/>
      <c r="K2118" s="1127"/>
      <c r="L2118" s="10"/>
      <c r="M2118" s="10"/>
      <c r="N2118" s="10"/>
      <c r="O2118" s="10"/>
      <c r="P2118" s="10"/>
      <c r="Q2118" s="10"/>
      <c r="R2118" s="10"/>
      <c r="S2118" s="10"/>
    </row>
    <row r="2119" spans="10:19">
      <c r="J2119" s="10"/>
      <c r="K2119" s="1127"/>
      <c r="L2119" s="10"/>
      <c r="M2119" s="10"/>
      <c r="N2119" s="10"/>
      <c r="O2119" s="10"/>
      <c r="P2119" s="10"/>
      <c r="Q2119" s="10"/>
      <c r="R2119" s="10"/>
      <c r="S2119" s="10"/>
    </row>
    <row r="2120" spans="10:19">
      <c r="J2120" s="10"/>
      <c r="K2120" s="1127"/>
      <c r="L2120" s="10"/>
      <c r="M2120" s="10"/>
      <c r="N2120" s="10"/>
      <c r="O2120" s="10"/>
      <c r="P2120" s="10"/>
      <c r="Q2120" s="10"/>
      <c r="R2120" s="10"/>
      <c r="S2120" s="10"/>
    </row>
    <row r="2121" spans="10:19">
      <c r="J2121" s="10"/>
      <c r="K2121" s="1127"/>
      <c r="L2121" s="10"/>
      <c r="M2121" s="10"/>
      <c r="N2121" s="10"/>
      <c r="O2121" s="10"/>
      <c r="P2121" s="10"/>
      <c r="Q2121" s="10"/>
      <c r="R2121" s="10"/>
      <c r="S2121" s="10"/>
    </row>
    <row r="2122" spans="10:19">
      <c r="J2122" s="10"/>
      <c r="K2122" s="1127"/>
      <c r="L2122" s="10"/>
      <c r="M2122" s="10"/>
      <c r="N2122" s="10"/>
      <c r="O2122" s="10"/>
      <c r="P2122" s="10"/>
      <c r="Q2122" s="10"/>
      <c r="R2122" s="10"/>
      <c r="S2122" s="10"/>
    </row>
    <row r="2123" spans="10:19">
      <c r="J2123" s="10"/>
      <c r="K2123" s="1127"/>
      <c r="L2123" s="10"/>
      <c r="M2123" s="10"/>
      <c r="N2123" s="10"/>
      <c r="O2123" s="10"/>
      <c r="P2123" s="10"/>
      <c r="Q2123" s="10"/>
      <c r="R2123" s="10"/>
      <c r="S2123" s="10"/>
    </row>
    <row r="2124" spans="10:19">
      <c r="J2124" s="10"/>
      <c r="K2124" s="1127"/>
      <c r="L2124" s="10"/>
      <c r="M2124" s="10"/>
      <c r="N2124" s="10"/>
      <c r="O2124" s="10"/>
      <c r="P2124" s="10"/>
      <c r="Q2124" s="10"/>
      <c r="R2124" s="10"/>
      <c r="S2124" s="10"/>
    </row>
    <row r="2125" spans="10:19">
      <c r="J2125" s="10"/>
      <c r="K2125" s="1127"/>
      <c r="L2125" s="10"/>
      <c r="M2125" s="10"/>
      <c r="N2125" s="10"/>
      <c r="O2125" s="10"/>
      <c r="P2125" s="10"/>
      <c r="Q2125" s="10"/>
      <c r="R2125" s="10"/>
      <c r="S2125" s="10"/>
    </row>
    <row r="2126" spans="10:19">
      <c r="J2126" s="10"/>
      <c r="K2126" s="1127"/>
      <c r="L2126" s="10"/>
      <c r="M2126" s="10"/>
      <c r="N2126" s="10"/>
      <c r="O2126" s="10"/>
      <c r="P2126" s="10"/>
      <c r="Q2126" s="10"/>
      <c r="R2126" s="10"/>
      <c r="S2126" s="10"/>
    </row>
    <row r="2127" spans="10:19">
      <c r="J2127" s="10"/>
      <c r="K2127" s="1127"/>
      <c r="L2127" s="10"/>
      <c r="M2127" s="10"/>
      <c r="N2127" s="10"/>
      <c r="O2127" s="10"/>
      <c r="P2127" s="10"/>
      <c r="Q2127" s="10"/>
      <c r="R2127" s="10"/>
      <c r="S2127" s="10"/>
    </row>
    <row r="2128" spans="10:19">
      <c r="J2128" s="10"/>
      <c r="K2128" s="1127"/>
      <c r="L2128" s="10"/>
      <c r="M2128" s="10"/>
      <c r="N2128" s="10"/>
      <c r="O2128" s="10"/>
      <c r="P2128" s="10"/>
      <c r="Q2128" s="10"/>
      <c r="R2128" s="10"/>
      <c r="S2128" s="10"/>
    </row>
    <row r="2129" spans="10:19">
      <c r="J2129" s="10"/>
      <c r="K2129" s="1127"/>
      <c r="L2129" s="10"/>
      <c r="M2129" s="10"/>
      <c r="N2129" s="10"/>
      <c r="O2129" s="10"/>
      <c r="P2129" s="10"/>
      <c r="Q2129" s="10"/>
      <c r="R2129" s="10"/>
      <c r="S2129" s="10"/>
    </row>
    <row r="2130" spans="10:19">
      <c r="J2130" s="10"/>
      <c r="K2130" s="1127"/>
      <c r="L2130" s="10"/>
      <c r="M2130" s="10"/>
      <c r="N2130" s="10"/>
      <c r="O2130" s="10"/>
      <c r="P2130" s="10"/>
      <c r="Q2130" s="10"/>
      <c r="R2130" s="10"/>
      <c r="S2130" s="10"/>
    </row>
    <row r="2131" spans="10:19">
      <c r="J2131" s="10"/>
      <c r="K2131" s="1127"/>
      <c r="L2131" s="10"/>
      <c r="M2131" s="10"/>
      <c r="N2131" s="10"/>
      <c r="O2131" s="10"/>
      <c r="P2131" s="10"/>
      <c r="Q2131" s="10"/>
      <c r="R2131" s="10"/>
      <c r="S2131" s="10"/>
    </row>
    <row r="2132" spans="10:19">
      <c r="J2132" s="10"/>
      <c r="K2132" s="1127"/>
      <c r="L2132" s="10"/>
      <c r="M2132" s="10"/>
      <c r="N2132" s="10"/>
      <c r="O2132" s="10"/>
      <c r="P2132" s="10"/>
      <c r="Q2132" s="10"/>
      <c r="R2132" s="10"/>
      <c r="S2132" s="10"/>
    </row>
    <row r="2133" spans="10:19">
      <c r="J2133" s="10"/>
      <c r="K2133" s="1127"/>
      <c r="L2133" s="10"/>
      <c r="M2133" s="10"/>
      <c r="N2133" s="10"/>
      <c r="O2133" s="10"/>
      <c r="P2133" s="10"/>
      <c r="Q2133" s="10"/>
      <c r="R2133" s="10"/>
      <c r="S2133" s="10"/>
    </row>
    <row r="2134" spans="10:19">
      <c r="J2134" s="10"/>
      <c r="K2134" s="1127"/>
      <c r="L2134" s="10"/>
      <c r="M2134" s="10"/>
      <c r="N2134" s="10"/>
      <c r="O2134" s="10"/>
      <c r="P2134" s="10"/>
      <c r="Q2134" s="10"/>
      <c r="R2134" s="10"/>
      <c r="S2134" s="10"/>
    </row>
    <row r="2135" spans="10:19">
      <c r="J2135" s="10"/>
      <c r="K2135" s="1127"/>
      <c r="L2135" s="10"/>
      <c r="M2135" s="10"/>
      <c r="N2135" s="10"/>
      <c r="O2135" s="10"/>
      <c r="P2135" s="10"/>
      <c r="Q2135" s="10"/>
      <c r="R2135" s="10"/>
      <c r="S2135" s="10"/>
    </row>
    <row r="2136" spans="10:19">
      <c r="J2136" s="10"/>
      <c r="K2136" s="1127"/>
      <c r="L2136" s="10"/>
      <c r="M2136" s="10"/>
      <c r="N2136" s="10"/>
      <c r="O2136" s="10"/>
      <c r="P2136" s="10"/>
      <c r="Q2136" s="10"/>
      <c r="R2136" s="10"/>
      <c r="S2136" s="10"/>
    </row>
    <row r="2137" spans="10:19">
      <c r="J2137" s="10"/>
      <c r="K2137" s="1127"/>
      <c r="L2137" s="10"/>
      <c r="M2137" s="10"/>
      <c r="N2137" s="10"/>
      <c r="O2137" s="10"/>
      <c r="P2137" s="10"/>
      <c r="Q2137" s="10"/>
      <c r="R2137" s="10"/>
      <c r="S2137" s="10"/>
    </row>
    <row r="2138" spans="10:19">
      <c r="J2138" s="10"/>
      <c r="K2138" s="1127"/>
      <c r="L2138" s="10"/>
      <c r="M2138" s="10"/>
      <c r="N2138" s="10"/>
      <c r="O2138" s="10"/>
      <c r="P2138" s="10"/>
      <c r="Q2138" s="10"/>
      <c r="R2138" s="10"/>
      <c r="S2138" s="10"/>
    </row>
    <row r="2139" spans="10:19">
      <c r="J2139" s="10"/>
      <c r="K2139" s="1127"/>
      <c r="L2139" s="10"/>
      <c r="M2139" s="10"/>
      <c r="N2139" s="10"/>
      <c r="O2139" s="10"/>
      <c r="P2139" s="10"/>
      <c r="Q2139" s="10"/>
      <c r="R2139" s="10"/>
      <c r="S2139" s="10"/>
    </row>
    <row r="2140" spans="10:19">
      <c r="J2140" s="10"/>
      <c r="K2140" s="1127"/>
      <c r="L2140" s="10"/>
      <c r="M2140" s="10"/>
      <c r="N2140" s="10"/>
      <c r="O2140" s="10"/>
      <c r="P2140" s="10"/>
      <c r="Q2140" s="10"/>
      <c r="R2140" s="10"/>
      <c r="S2140" s="10"/>
    </row>
    <row r="2141" spans="10:19">
      <c r="J2141" s="10"/>
      <c r="K2141" s="1127"/>
      <c r="L2141" s="10"/>
      <c r="M2141" s="10"/>
      <c r="N2141" s="10"/>
      <c r="O2141" s="10"/>
      <c r="P2141" s="10"/>
      <c r="Q2141" s="10"/>
      <c r="R2141" s="10"/>
      <c r="S2141" s="10"/>
    </row>
    <row r="2142" spans="10:19">
      <c r="J2142" s="10"/>
      <c r="K2142" s="1127"/>
      <c r="L2142" s="10"/>
      <c r="M2142" s="10"/>
      <c r="N2142" s="10"/>
      <c r="O2142" s="10"/>
      <c r="P2142" s="10"/>
      <c r="Q2142" s="10"/>
      <c r="R2142" s="10"/>
      <c r="S2142" s="10"/>
    </row>
    <row r="2143" spans="10:19">
      <c r="J2143" s="10"/>
      <c r="K2143" s="1127"/>
      <c r="L2143" s="10"/>
      <c r="M2143" s="10"/>
      <c r="N2143" s="10"/>
      <c r="O2143" s="10"/>
      <c r="P2143" s="10"/>
      <c r="Q2143" s="10"/>
      <c r="R2143" s="10"/>
      <c r="S2143" s="10"/>
    </row>
    <row r="2144" spans="10:19">
      <c r="J2144" s="10"/>
      <c r="K2144" s="1127"/>
      <c r="L2144" s="10"/>
      <c r="M2144" s="10"/>
      <c r="N2144" s="10"/>
      <c r="O2144" s="10"/>
      <c r="P2144" s="10"/>
      <c r="Q2144" s="10"/>
      <c r="R2144" s="10"/>
      <c r="S2144" s="10"/>
    </row>
    <row r="2145" spans="10:19">
      <c r="J2145" s="10"/>
      <c r="K2145" s="1127"/>
      <c r="L2145" s="10"/>
      <c r="M2145" s="10"/>
      <c r="N2145" s="10"/>
      <c r="O2145" s="10"/>
      <c r="P2145" s="10"/>
      <c r="Q2145" s="10"/>
      <c r="R2145" s="10"/>
      <c r="S2145" s="10"/>
    </row>
    <row r="2146" spans="10:19">
      <c r="J2146" s="10"/>
      <c r="K2146" s="1127"/>
      <c r="L2146" s="10"/>
      <c r="M2146" s="10"/>
      <c r="N2146" s="10"/>
      <c r="O2146" s="10"/>
      <c r="P2146" s="10"/>
      <c r="Q2146" s="10"/>
      <c r="R2146" s="10"/>
      <c r="S2146" s="10"/>
    </row>
    <row r="2147" spans="10:19">
      <c r="J2147" s="10"/>
      <c r="K2147" s="1127"/>
      <c r="L2147" s="10"/>
      <c r="M2147" s="10"/>
      <c r="N2147" s="10"/>
      <c r="O2147" s="10"/>
      <c r="P2147" s="10"/>
      <c r="Q2147" s="10"/>
      <c r="R2147" s="10"/>
      <c r="S2147" s="10"/>
    </row>
    <row r="2148" spans="10:19">
      <c r="J2148" s="10"/>
      <c r="K2148" s="1127"/>
      <c r="L2148" s="10"/>
      <c r="M2148" s="10"/>
      <c r="N2148" s="10"/>
      <c r="O2148" s="10"/>
      <c r="P2148" s="10"/>
      <c r="Q2148" s="10"/>
      <c r="R2148" s="10"/>
      <c r="S2148" s="10"/>
    </row>
    <row r="2149" spans="10:19">
      <c r="J2149" s="10"/>
      <c r="K2149" s="1127"/>
      <c r="L2149" s="10"/>
      <c r="M2149" s="10"/>
      <c r="N2149" s="10"/>
      <c r="O2149" s="10"/>
      <c r="P2149" s="10"/>
      <c r="Q2149" s="10"/>
      <c r="R2149" s="10"/>
      <c r="S2149" s="10"/>
    </row>
    <row r="2150" spans="10:19">
      <c r="J2150" s="10"/>
      <c r="K2150" s="1127"/>
      <c r="L2150" s="10"/>
      <c r="M2150" s="10"/>
      <c r="N2150" s="10"/>
      <c r="O2150" s="10"/>
      <c r="P2150" s="10"/>
      <c r="Q2150" s="10"/>
      <c r="R2150" s="10"/>
      <c r="S2150" s="10"/>
    </row>
    <row r="2151" spans="10:19">
      <c r="J2151" s="10"/>
      <c r="K2151" s="1127"/>
      <c r="L2151" s="10"/>
      <c r="M2151" s="10"/>
      <c r="N2151" s="10"/>
      <c r="O2151" s="10"/>
      <c r="P2151" s="10"/>
      <c r="Q2151" s="10"/>
      <c r="R2151" s="10"/>
      <c r="S2151" s="10"/>
    </row>
    <row r="2152" spans="10:19">
      <c r="J2152" s="10"/>
      <c r="K2152" s="1127"/>
      <c r="L2152" s="10"/>
      <c r="M2152" s="10"/>
      <c r="N2152" s="10"/>
      <c r="O2152" s="10"/>
      <c r="P2152" s="10"/>
      <c r="Q2152" s="10"/>
      <c r="R2152" s="10"/>
      <c r="S2152" s="10"/>
    </row>
    <row r="2153" spans="10:19">
      <c r="J2153" s="10"/>
      <c r="K2153" s="1127"/>
      <c r="L2153" s="10"/>
      <c r="M2153" s="10"/>
      <c r="N2153" s="10"/>
      <c r="O2153" s="10"/>
      <c r="P2153" s="10"/>
      <c r="Q2153" s="10"/>
      <c r="R2153" s="10"/>
      <c r="S2153" s="10"/>
    </row>
    <row r="2154" spans="10:19">
      <c r="J2154" s="10"/>
      <c r="K2154" s="1127"/>
      <c r="L2154" s="10"/>
      <c r="M2154" s="10"/>
      <c r="N2154" s="10"/>
      <c r="O2154" s="10"/>
      <c r="P2154" s="10"/>
      <c r="Q2154" s="10"/>
      <c r="R2154" s="10"/>
      <c r="S2154" s="10"/>
    </row>
    <row r="2155" spans="10:19">
      <c r="J2155" s="10"/>
      <c r="K2155" s="1127"/>
      <c r="L2155" s="10"/>
      <c r="M2155" s="10"/>
      <c r="N2155" s="10"/>
      <c r="O2155" s="10"/>
      <c r="P2155" s="10"/>
      <c r="Q2155" s="10"/>
      <c r="R2155" s="10"/>
      <c r="S2155" s="10"/>
    </row>
    <row r="2156" spans="10:19">
      <c r="J2156" s="10"/>
      <c r="K2156" s="1127"/>
      <c r="L2156" s="10"/>
      <c r="M2156" s="10"/>
      <c r="N2156" s="10"/>
      <c r="O2156" s="10"/>
      <c r="P2156" s="10"/>
      <c r="Q2156" s="10"/>
      <c r="R2156" s="10"/>
      <c r="S2156" s="10"/>
    </row>
    <row r="2157" spans="10:19">
      <c r="J2157" s="10"/>
      <c r="K2157" s="1127"/>
      <c r="L2157" s="10"/>
      <c r="M2157" s="10"/>
      <c r="N2157" s="10"/>
      <c r="O2157" s="10"/>
      <c r="P2157" s="10"/>
      <c r="Q2157" s="10"/>
      <c r="R2157" s="10"/>
      <c r="S2157" s="10"/>
    </row>
    <row r="2158" spans="10:19">
      <c r="J2158" s="10"/>
      <c r="K2158" s="1127"/>
      <c r="L2158" s="10"/>
      <c r="M2158" s="10"/>
      <c r="N2158" s="10"/>
      <c r="O2158" s="10"/>
      <c r="P2158" s="10"/>
      <c r="Q2158" s="10"/>
      <c r="R2158" s="10"/>
      <c r="S2158" s="10"/>
    </row>
    <row r="2159" spans="10:19">
      <c r="J2159" s="10"/>
      <c r="K2159" s="1127"/>
      <c r="L2159" s="10"/>
      <c r="M2159" s="10"/>
      <c r="N2159" s="10"/>
      <c r="O2159" s="10"/>
      <c r="P2159" s="10"/>
      <c r="Q2159" s="10"/>
      <c r="R2159" s="10"/>
      <c r="S2159" s="10"/>
    </row>
    <row r="2160" spans="10:19">
      <c r="J2160" s="10"/>
      <c r="K2160" s="1127"/>
      <c r="L2160" s="10"/>
      <c r="M2160" s="10"/>
      <c r="N2160" s="10"/>
      <c r="O2160" s="10"/>
      <c r="P2160" s="10"/>
      <c r="Q2160" s="10"/>
      <c r="R2160" s="10"/>
      <c r="S2160" s="10"/>
    </row>
    <row r="2161" spans="10:19">
      <c r="J2161" s="10"/>
      <c r="K2161" s="1127"/>
      <c r="L2161" s="10"/>
      <c r="M2161" s="10"/>
      <c r="N2161" s="10"/>
      <c r="O2161" s="10"/>
      <c r="P2161" s="10"/>
      <c r="Q2161" s="10"/>
      <c r="R2161" s="10"/>
      <c r="S2161" s="10"/>
    </row>
    <row r="2162" spans="10:19">
      <c r="J2162" s="10"/>
      <c r="K2162" s="1127"/>
      <c r="L2162" s="10"/>
      <c r="M2162" s="10"/>
      <c r="N2162" s="10"/>
      <c r="O2162" s="10"/>
      <c r="P2162" s="10"/>
      <c r="Q2162" s="10"/>
      <c r="R2162" s="10"/>
      <c r="S2162" s="10"/>
    </row>
    <row r="2163" spans="10:19">
      <c r="J2163" s="10"/>
      <c r="K2163" s="1127"/>
      <c r="L2163" s="10"/>
      <c r="M2163" s="10"/>
      <c r="N2163" s="10"/>
      <c r="O2163" s="10"/>
      <c r="P2163" s="10"/>
      <c r="Q2163" s="10"/>
      <c r="R2163" s="10"/>
      <c r="S2163" s="10"/>
    </row>
    <row r="2164" spans="10:19">
      <c r="J2164" s="10"/>
      <c r="K2164" s="1127"/>
      <c r="L2164" s="10"/>
      <c r="M2164" s="10"/>
      <c r="N2164" s="10"/>
      <c r="O2164" s="10"/>
      <c r="P2164" s="10"/>
      <c r="Q2164" s="10"/>
      <c r="R2164" s="10"/>
      <c r="S2164" s="10"/>
    </row>
    <row r="2165" spans="10:19">
      <c r="J2165" s="10"/>
      <c r="K2165" s="1127"/>
      <c r="L2165" s="10"/>
      <c r="M2165" s="10"/>
      <c r="N2165" s="10"/>
      <c r="O2165" s="10"/>
      <c r="P2165" s="10"/>
      <c r="Q2165" s="10"/>
      <c r="R2165" s="10"/>
      <c r="S2165" s="10"/>
    </row>
    <row r="2166" spans="10:19">
      <c r="J2166" s="10"/>
      <c r="K2166" s="1127"/>
      <c r="L2166" s="10"/>
      <c r="M2166" s="10"/>
      <c r="N2166" s="10"/>
      <c r="O2166" s="10"/>
      <c r="P2166" s="10"/>
      <c r="Q2166" s="10"/>
      <c r="R2166" s="10"/>
      <c r="S2166" s="10"/>
    </row>
    <row r="2167" spans="10:19">
      <c r="J2167" s="10"/>
      <c r="K2167" s="1127"/>
      <c r="L2167" s="10"/>
      <c r="M2167" s="10"/>
      <c r="N2167" s="10"/>
      <c r="O2167" s="10"/>
      <c r="P2167" s="10"/>
      <c r="Q2167" s="10"/>
      <c r="R2167" s="10"/>
      <c r="S2167" s="10"/>
    </row>
    <row r="2168" spans="10:19">
      <c r="J2168" s="10"/>
      <c r="K2168" s="1127"/>
      <c r="L2168" s="10"/>
      <c r="M2168" s="10"/>
      <c r="N2168" s="10"/>
      <c r="O2168" s="10"/>
      <c r="P2168" s="10"/>
      <c r="Q2168" s="10"/>
      <c r="R2168" s="10"/>
      <c r="S2168" s="10"/>
    </row>
    <row r="2169" spans="10:19">
      <c r="J2169" s="10"/>
      <c r="K2169" s="1127"/>
      <c r="L2169" s="10"/>
      <c r="M2169" s="10"/>
      <c r="N2169" s="10"/>
      <c r="O2169" s="10"/>
      <c r="P2169" s="10"/>
      <c r="Q2169" s="10"/>
      <c r="R2169" s="10"/>
      <c r="S2169" s="10"/>
    </row>
    <row r="2170" spans="10:19">
      <c r="J2170" s="10"/>
      <c r="K2170" s="1127"/>
      <c r="L2170" s="10"/>
      <c r="M2170" s="10"/>
      <c r="N2170" s="10"/>
      <c r="O2170" s="10"/>
      <c r="P2170" s="10"/>
      <c r="Q2170" s="10"/>
      <c r="R2170" s="10"/>
      <c r="S2170" s="10"/>
    </row>
    <row r="2171" spans="10:19">
      <c r="J2171" s="10"/>
      <c r="K2171" s="1127"/>
      <c r="L2171" s="10"/>
      <c r="M2171" s="10"/>
      <c r="N2171" s="10"/>
      <c r="O2171" s="10"/>
      <c r="P2171" s="10"/>
      <c r="Q2171" s="10"/>
      <c r="R2171" s="10"/>
      <c r="S2171" s="10"/>
    </row>
    <row r="2172" spans="10:19">
      <c r="J2172" s="10"/>
      <c r="K2172" s="1127"/>
      <c r="L2172" s="10"/>
      <c r="M2172" s="10"/>
      <c r="N2172" s="10"/>
      <c r="O2172" s="10"/>
      <c r="P2172" s="10"/>
      <c r="Q2172" s="10"/>
      <c r="R2172" s="10"/>
      <c r="S2172" s="10"/>
    </row>
    <row r="2173" spans="10:19">
      <c r="J2173" s="10"/>
      <c r="K2173" s="1127"/>
      <c r="L2173" s="10"/>
      <c r="M2173" s="10"/>
      <c r="N2173" s="10"/>
      <c r="O2173" s="10"/>
      <c r="P2173" s="10"/>
      <c r="Q2173" s="10"/>
      <c r="R2173" s="10"/>
      <c r="S2173" s="10"/>
    </row>
    <row r="2174" spans="10:19">
      <c r="J2174" s="10"/>
      <c r="K2174" s="1127"/>
      <c r="L2174" s="10"/>
      <c r="M2174" s="10"/>
      <c r="N2174" s="10"/>
      <c r="O2174" s="10"/>
      <c r="P2174" s="10"/>
      <c r="Q2174" s="10"/>
      <c r="R2174" s="10"/>
      <c r="S2174" s="10"/>
    </row>
    <row r="2175" spans="10:19">
      <c r="J2175" s="10"/>
      <c r="K2175" s="1127"/>
      <c r="L2175" s="10"/>
      <c r="M2175" s="10"/>
      <c r="N2175" s="10"/>
      <c r="O2175" s="10"/>
      <c r="P2175" s="10"/>
      <c r="Q2175" s="10"/>
      <c r="R2175" s="10"/>
      <c r="S2175" s="10"/>
    </row>
    <row r="2176" spans="10:19">
      <c r="J2176" s="10"/>
      <c r="K2176" s="1127"/>
      <c r="L2176" s="10"/>
      <c r="M2176" s="10"/>
      <c r="N2176" s="10"/>
      <c r="O2176" s="10"/>
      <c r="P2176" s="10"/>
      <c r="Q2176" s="10"/>
      <c r="R2176" s="10"/>
      <c r="S2176" s="10"/>
    </row>
    <row r="2177" spans="10:19">
      <c r="J2177" s="10"/>
      <c r="K2177" s="1127"/>
      <c r="L2177" s="10"/>
      <c r="M2177" s="10"/>
      <c r="N2177" s="10"/>
      <c r="O2177" s="10"/>
      <c r="P2177" s="10"/>
      <c r="Q2177" s="10"/>
      <c r="R2177" s="10"/>
      <c r="S2177" s="10"/>
    </row>
    <row r="2178" spans="10:19">
      <c r="J2178" s="10"/>
      <c r="K2178" s="1127"/>
      <c r="L2178" s="10"/>
      <c r="M2178" s="10"/>
      <c r="N2178" s="10"/>
      <c r="O2178" s="10"/>
      <c r="P2178" s="10"/>
      <c r="Q2178" s="10"/>
      <c r="R2178" s="10"/>
      <c r="S2178" s="10"/>
    </row>
    <row r="2179" spans="10:19">
      <c r="J2179" s="10"/>
      <c r="K2179" s="1127"/>
      <c r="L2179" s="10"/>
      <c r="M2179" s="10"/>
      <c r="N2179" s="10"/>
      <c r="O2179" s="10"/>
      <c r="P2179" s="10"/>
      <c r="Q2179" s="10"/>
      <c r="R2179" s="10"/>
      <c r="S2179" s="10"/>
    </row>
    <row r="2180" spans="10:19">
      <c r="J2180" s="10"/>
      <c r="K2180" s="1127"/>
      <c r="L2180" s="10"/>
      <c r="M2180" s="10"/>
      <c r="N2180" s="10"/>
      <c r="O2180" s="10"/>
      <c r="P2180" s="10"/>
      <c r="Q2180" s="10"/>
      <c r="R2180" s="10"/>
      <c r="S2180" s="10"/>
    </row>
    <row r="2181" spans="10:19">
      <c r="J2181" s="10"/>
      <c r="K2181" s="1127"/>
      <c r="L2181" s="10"/>
      <c r="M2181" s="10"/>
      <c r="N2181" s="10"/>
      <c r="O2181" s="10"/>
      <c r="P2181" s="10"/>
      <c r="Q2181" s="10"/>
      <c r="R2181" s="10"/>
      <c r="S2181" s="10"/>
    </row>
    <row r="2182" spans="10:19">
      <c r="J2182" s="10"/>
      <c r="K2182" s="1127"/>
      <c r="L2182" s="10"/>
      <c r="M2182" s="10"/>
      <c r="N2182" s="10"/>
      <c r="O2182" s="10"/>
      <c r="P2182" s="10"/>
      <c r="Q2182" s="10"/>
      <c r="R2182" s="10"/>
      <c r="S2182" s="10"/>
    </row>
    <row r="2183" spans="10:19">
      <c r="J2183" s="10"/>
      <c r="K2183" s="1127"/>
      <c r="L2183" s="10"/>
      <c r="M2183" s="10"/>
      <c r="N2183" s="10"/>
      <c r="O2183" s="10"/>
      <c r="P2183" s="10"/>
      <c r="Q2183" s="10"/>
      <c r="R2183" s="10"/>
      <c r="S2183" s="10"/>
    </row>
    <row r="2184" spans="10:19">
      <c r="J2184" s="10"/>
      <c r="K2184" s="1127"/>
      <c r="L2184" s="10"/>
      <c r="M2184" s="10"/>
      <c r="N2184" s="10"/>
      <c r="O2184" s="10"/>
      <c r="P2184" s="10"/>
      <c r="Q2184" s="10"/>
      <c r="R2184" s="10"/>
      <c r="S2184" s="10"/>
    </row>
    <row r="2185" spans="10:19">
      <c r="J2185" s="10"/>
      <c r="K2185" s="1127"/>
      <c r="L2185" s="10"/>
      <c r="M2185" s="10"/>
      <c r="N2185" s="10"/>
      <c r="O2185" s="10"/>
      <c r="P2185" s="10"/>
      <c r="Q2185" s="10"/>
      <c r="R2185" s="10"/>
      <c r="S2185" s="10"/>
    </row>
    <row r="2186" spans="10:19">
      <c r="J2186" s="10"/>
      <c r="K2186" s="1127"/>
      <c r="L2186" s="10"/>
      <c r="M2186" s="10"/>
      <c r="N2186" s="10"/>
      <c r="O2186" s="10"/>
      <c r="P2186" s="10"/>
      <c r="Q2186" s="10"/>
      <c r="R2186" s="10"/>
      <c r="S2186" s="10"/>
    </row>
    <row r="2187" spans="10:19">
      <c r="J2187" s="10"/>
      <c r="K2187" s="1127"/>
      <c r="L2187" s="10"/>
      <c r="M2187" s="10"/>
      <c r="N2187" s="10"/>
      <c r="O2187" s="10"/>
      <c r="P2187" s="10"/>
      <c r="Q2187" s="10"/>
      <c r="R2187" s="10"/>
      <c r="S2187" s="10"/>
    </row>
    <row r="2188" spans="10:19">
      <c r="J2188" s="10"/>
      <c r="K2188" s="1127"/>
      <c r="L2188" s="10"/>
      <c r="M2188" s="10"/>
      <c r="N2188" s="10"/>
      <c r="O2188" s="10"/>
      <c r="P2188" s="10"/>
      <c r="Q2188" s="10"/>
      <c r="R2188" s="10"/>
      <c r="S2188" s="10"/>
    </row>
    <row r="2189" spans="10:19">
      <c r="J2189" s="10"/>
      <c r="K2189" s="1127"/>
      <c r="L2189" s="10"/>
      <c r="M2189" s="10"/>
      <c r="N2189" s="10"/>
      <c r="O2189" s="10"/>
      <c r="P2189" s="10"/>
      <c r="Q2189" s="10"/>
      <c r="R2189" s="10"/>
      <c r="S2189" s="10"/>
    </row>
    <row r="2190" spans="10:19">
      <c r="J2190" s="10"/>
      <c r="K2190" s="1127"/>
      <c r="L2190" s="10"/>
      <c r="M2190" s="10"/>
      <c r="N2190" s="10"/>
      <c r="O2190" s="10"/>
      <c r="P2190" s="10"/>
      <c r="Q2190" s="10"/>
      <c r="R2190" s="10"/>
      <c r="S2190" s="10"/>
    </row>
    <row r="2191" spans="10:19">
      <c r="J2191" s="10"/>
      <c r="K2191" s="1127"/>
      <c r="L2191" s="10"/>
      <c r="M2191" s="10"/>
      <c r="N2191" s="10"/>
      <c r="O2191" s="10"/>
      <c r="P2191" s="10"/>
      <c r="Q2191" s="10"/>
      <c r="R2191" s="10"/>
      <c r="S2191" s="10"/>
    </row>
    <row r="2192" spans="10:19">
      <c r="J2192" s="10"/>
      <c r="K2192" s="1127"/>
      <c r="L2192" s="10"/>
      <c r="M2192" s="10"/>
      <c r="N2192" s="10"/>
      <c r="O2192" s="10"/>
      <c r="P2192" s="10"/>
      <c r="Q2192" s="10"/>
      <c r="R2192" s="10"/>
      <c r="S2192" s="10"/>
    </row>
    <row r="2193" spans="10:19">
      <c r="J2193" s="10"/>
      <c r="K2193" s="1127"/>
      <c r="L2193" s="10"/>
      <c r="M2193" s="10"/>
      <c r="N2193" s="10"/>
      <c r="O2193" s="10"/>
      <c r="P2193" s="10"/>
      <c r="Q2193" s="10"/>
      <c r="R2193" s="10"/>
      <c r="S2193" s="10"/>
    </row>
    <row r="2194" spans="10:19">
      <c r="J2194" s="10"/>
      <c r="K2194" s="1127"/>
      <c r="L2194" s="10"/>
      <c r="M2194" s="10"/>
      <c r="N2194" s="10"/>
      <c r="O2194" s="10"/>
      <c r="P2194" s="10"/>
      <c r="Q2194" s="10"/>
      <c r="R2194" s="10"/>
      <c r="S2194" s="10"/>
    </row>
    <row r="2195" spans="10:19">
      <c r="J2195" s="10"/>
      <c r="K2195" s="1127"/>
      <c r="L2195" s="10"/>
      <c r="M2195" s="10"/>
      <c r="N2195" s="10"/>
      <c r="O2195" s="10"/>
      <c r="P2195" s="10"/>
      <c r="Q2195" s="10"/>
      <c r="R2195" s="10"/>
      <c r="S2195" s="10"/>
    </row>
    <row r="2196" spans="10:19">
      <c r="J2196" s="10"/>
      <c r="K2196" s="1127"/>
      <c r="L2196" s="10"/>
      <c r="M2196" s="10"/>
      <c r="N2196" s="10"/>
      <c r="O2196" s="10"/>
      <c r="P2196" s="10"/>
      <c r="Q2196" s="10"/>
      <c r="R2196" s="10"/>
      <c r="S2196" s="10"/>
    </row>
    <row r="2197" spans="10:19">
      <c r="J2197" s="10"/>
      <c r="K2197" s="1127"/>
      <c r="L2197" s="10"/>
      <c r="M2197" s="10"/>
      <c r="N2197" s="10"/>
      <c r="O2197" s="10"/>
      <c r="P2197" s="10"/>
      <c r="Q2197" s="10"/>
      <c r="R2197" s="10"/>
      <c r="S2197" s="10"/>
    </row>
    <row r="2198" spans="10:19">
      <c r="J2198" s="10"/>
      <c r="K2198" s="1127"/>
      <c r="L2198" s="10"/>
      <c r="M2198" s="10"/>
      <c r="N2198" s="10"/>
      <c r="O2198" s="10"/>
      <c r="P2198" s="10"/>
      <c r="Q2198" s="10"/>
      <c r="R2198" s="10"/>
      <c r="S2198" s="10"/>
    </row>
    <row r="2199" spans="10:19">
      <c r="J2199" s="10"/>
      <c r="K2199" s="1127"/>
      <c r="L2199" s="10"/>
      <c r="M2199" s="10"/>
      <c r="N2199" s="10"/>
      <c r="O2199" s="10"/>
      <c r="P2199" s="10"/>
      <c r="Q2199" s="10"/>
      <c r="R2199" s="10"/>
      <c r="S2199" s="10"/>
    </row>
    <row r="2200" spans="10:19">
      <c r="J2200" s="10"/>
      <c r="K2200" s="1127"/>
      <c r="L2200" s="10"/>
      <c r="M2200" s="10"/>
      <c r="N2200" s="10"/>
      <c r="O2200" s="10"/>
      <c r="P2200" s="10"/>
      <c r="Q2200" s="10"/>
      <c r="R2200" s="10"/>
      <c r="S2200" s="10"/>
    </row>
    <row r="2201" spans="10:19">
      <c r="J2201" s="10"/>
      <c r="K2201" s="1127"/>
      <c r="L2201" s="10"/>
      <c r="M2201" s="10"/>
      <c r="N2201" s="10"/>
      <c r="O2201" s="10"/>
      <c r="P2201" s="10"/>
      <c r="Q2201" s="10"/>
      <c r="R2201" s="10"/>
      <c r="S2201" s="10"/>
    </row>
    <row r="2202" spans="10:19">
      <c r="J2202" s="10"/>
      <c r="K2202" s="1127"/>
      <c r="L2202" s="10"/>
      <c r="M2202" s="10"/>
      <c r="N2202" s="10"/>
      <c r="O2202" s="10"/>
      <c r="P2202" s="10"/>
      <c r="Q2202" s="10"/>
      <c r="R2202" s="10"/>
      <c r="S2202" s="10"/>
    </row>
    <row r="2203" spans="10:19">
      <c r="J2203" s="10"/>
      <c r="K2203" s="1127"/>
      <c r="L2203" s="10"/>
      <c r="M2203" s="10"/>
      <c r="N2203" s="10"/>
      <c r="O2203" s="10"/>
      <c r="P2203" s="10"/>
      <c r="Q2203" s="10"/>
      <c r="R2203" s="10"/>
      <c r="S2203" s="10"/>
    </row>
    <row r="2204" spans="10:19">
      <c r="J2204" s="10"/>
      <c r="K2204" s="1127"/>
      <c r="L2204" s="10"/>
      <c r="M2204" s="10"/>
      <c r="N2204" s="10"/>
      <c r="O2204" s="10"/>
      <c r="P2204" s="10"/>
      <c r="Q2204" s="10"/>
      <c r="R2204" s="10"/>
      <c r="S2204" s="10"/>
    </row>
    <row r="2205" spans="10:19">
      <c r="J2205" s="10"/>
      <c r="K2205" s="1127"/>
      <c r="L2205" s="10"/>
      <c r="M2205" s="10"/>
      <c r="N2205" s="10"/>
      <c r="O2205" s="10"/>
      <c r="P2205" s="10"/>
      <c r="Q2205" s="10"/>
      <c r="R2205" s="10"/>
      <c r="S2205" s="10"/>
    </row>
    <row r="2206" spans="10:19">
      <c r="J2206" s="10"/>
      <c r="K2206" s="1127"/>
      <c r="L2206" s="10"/>
      <c r="M2206" s="10"/>
      <c r="N2206" s="10"/>
      <c r="O2206" s="10"/>
      <c r="P2206" s="10"/>
      <c r="Q2206" s="10"/>
      <c r="R2206" s="10"/>
      <c r="S2206" s="10"/>
    </row>
    <row r="2207" spans="10:19">
      <c r="J2207" s="10"/>
      <c r="K2207" s="1127"/>
      <c r="L2207" s="10"/>
      <c r="M2207" s="10"/>
      <c r="N2207" s="10"/>
      <c r="O2207" s="10"/>
      <c r="P2207" s="10"/>
      <c r="Q2207" s="10"/>
      <c r="R2207" s="10"/>
      <c r="S2207" s="10"/>
    </row>
    <row r="2208" spans="10:19">
      <c r="J2208" s="10"/>
      <c r="K2208" s="1127"/>
      <c r="L2208" s="10"/>
      <c r="M2208" s="10"/>
      <c r="N2208" s="10"/>
      <c r="O2208" s="10"/>
      <c r="P2208" s="10"/>
      <c r="Q2208" s="10"/>
      <c r="R2208" s="10"/>
      <c r="S2208" s="10"/>
    </row>
    <row r="2209" spans="10:19">
      <c r="J2209" s="10"/>
      <c r="K2209" s="1127"/>
      <c r="L2209" s="10"/>
      <c r="M2209" s="10"/>
      <c r="N2209" s="10"/>
      <c r="O2209" s="10"/>
      <c r="P2209" s="10"/>
      <c r="Q2209" s="10"/>
      <c r="R2209" s="10"/>
      <c r="S2209" s="10"/>
    </row>
    <row r="2210" spans="10:19">
      <c r="J2210" s="10"/>
      <c r="K2210" s="1127"/>
      <c r="L2210" s="10"/>
      <c r="M2210" s="10"/>
      <c r="N2210" s="10"/>
      <c r="O2210" s="10"/>
      <c r="P2210" s="10"/>
      <c r="Q2210" s="10"/>
      <c r="R2210" s="10"/>
      <c r="S2210" s="10"/>
    </row>
    <row r="2211" spans="10:19">
      <c r="J2211" s="10"/>
      <c r="K2211" s="1127"/>
      <c r="L2211" s="10"/>
      <c r="M2211" s="10"/>
      <c r="N2211" s="10"/>
      <c r="O2211" s="10"/>
      <c r="P2211" s="10"/>
      <c r="Q2211" s="10"/>
      <c r="R2211" s="10"/>
      <c r="S2211" s="10"/>
    </row>
    <row r="2212" spans="10:19">
      <c r="J2212" s="10"/>
      <c r="K2212" s="1127"/>
      <c r="L2212" s="10"/>
      <c r="M2212" s="10"/>
      <c r="N2212" s="10"/>
      <c r="O2212" s="10"/>
      <c r="P2212" s="10"/>
      <c r="Q2212" s="10"/>
      <c r="R2212" s="10"/>
      <c r="S2212" s="10"/>
    </row>
    <row r="2213" spans="10:19">
      <c r="J2213" s="10"/>
      <c r="K2213" s="1127"/>
      <c r="L2213" s="10"/>
      <c r="M2213" s="10"/>
      <c r="N2213" s="10"/>
      <c r="O2213" s="10"/>
      <c r="P2213" s="10"/>
      <c r="Q2213" s="10"/>
      <c r="R2213" s="10"/>
      <c r="S2213" s="10"/>
    </row>
    <row r="2214" spans="10:19">
      <c r="J2214" s="10"/>
      <c r="K2214" s="1127"/>
      <c r="L2214" s="10"/>
      <c r="M2214" s="10"/>
      <c r="N2214" s="10"/>
      <c r="O2214" s="10"/>
      <c r="P2214" s="10"/>
      <c r="Q2214" s="10"/>
      <c r="R2214" s="10"/>
      <c r="S2214" s="10"/>
    </row>
    <row r="2215" spans="10:19">
      <c r="J2215" s="10"/>
      <c r="K2215" s="1127"/>
      <c r="L2215" s="10"/>
      <c r="M2215" s="10"/>
      <c r="N2215" s="10"/>
      <c r="O2215" s="10"/>
      <c r="P2215" s="10"/>
      <c r="Q2215" s="10"/>
      <c r="R2215" s="10"/>
      <c r="S2215" s="10"/>
    </row>
    <row r="2216" spans="10:19">
      <c r="J2216" s="10"/>
      <c r="K2216" s="1127"/>
      <c r="L2216" s="10"/>
      <c r="M2216" s="10"/>
      <c r="N2216" s="10"/>
      <c r="O2216" s="10"/>
      <c r="P2216" s="10"/>
      <c r="Q2216" s="10"/>
      <c r="R2216" s="10"/>
      <c r="S2216" s="10"/>
    </row>
    <row r="2217" spans="10:19">
      <c r="J2217" s="10"/>
      <c r="K2217" s="1127"/>
      <c r="L2217" s="10"/>
      <c r="M2217" s="10"/>
      <c r="N2217" s="10"/>
      <c r="O2217" s="10"/>
      <c r="P2217" s="10"/>
      <c r="Q2217" s="10"/>
      <c r="R2217" s="10"/>
      <c r="S2217" s="10"/>
    </row>
    <row r="2218" spans="10:19">
      <c r="J2218" s="10"/>
      <c r="K2218" s="1127"/>
      <c r="L2218" s="10"/>
      <c r="M2218" s="10"/>
      <c r="N2218" s="10"/>
      <c r="O2218" s="10"/>
      <c r="P2218" s="10"/>
      <c r="Q2218" s="10"/>
      <c r="R2218" s="10"/>
      <c r="S2218" s="10"/>
    </row>
    <row r="2219" spans="10:19">
      <c r="J2219" s="10"/>
      <c r="K2219" s="1127"/>
      <c r="L2219" s="10"/>
      <c r="M2219" s="10"/>
      <c r="N2219" s="10"/>
      <c r="O2219" s="10"/>
      <c r="P2219" s="10"/>
      <c r="Q2219" s="10"/>
      <c r="R2219" s="10"/>
      <c r="S2219" s="10"/>
    </row>
    <row r="2220" spans="10:19">
      <c r="J2220" s="10"/>
      <c r="K2220" s="1127"/>
      <c r="L2220" s="10"/>
      <c r="M2220" s="10"/>
      <c r="N2220" s="10"/>
      <c r="O2220" s="10"/>
      <c r="P2220" s="10"/>
      <c r="Q2220" s="10"/>
      <c r="R2220" s="10"/>
      <c r="S2220" s="10"/>
    </row>
    <row r="2221" spans="10:19">
      <c r="J2221" s="10"/>
      <c r="K2221" s="1127"/>
      <c r="L2221" s="10"/>
      <c r="M2221" s="10"/>
      <c r="N2221" s="10"/>
      <c r="O2221" s="10"/>
      <c r="P2221" s="10"/>
      <c r="Q2221" s="10"/>
      <c r="R2221" s="10"/>
      <c r="S2221" s="10"/>
    </row>
    <row r="2222" spans="10:19">
      <c r="J2222" s="10"/>
      <c r="K2222" s="1127"/>
      <c r="L2222" s="10"/>
      <c r="M2222" s="10"/>
      <c r="N2222" s="10"/>
      <c r="O2222" s="10"/>
      <c r="P2222" s="10"/>
      <c r="Q2222" s="10"/>
      <c r="R2222" s="10"/>
      <c r="S2222" s="10"/>
    </row>
    <row r="2223" spans="10:19">
      <c r="J2223" s="10"/>
      <c r="K2223" s="1127"/>
      <c r="L2223" s="10"/>
      <c r="M2223" s="10"/>
      <c r="N2223" s="10"/>
      <c r="O2223" s="10"/>
      <c r="P2223" s="10"/>
      <c r="Q2223" s="10"/>
      <c r="R2223" s="10"/>
      <c r="S2223" s="10"/>
    </row>
    <row r="2224" spans="10:19">
      <c r="J2224" s="10"/>
      <c r="K2224" s="1127"/>
      <c r="L2224" s="10"/>
      <c r="M2224" s="10"/>
      <c r="N2224" s="10"/>
      <c r="O2224" s="10"/>
      <c r="P2224" s="10"/>
      <c r="Q2224" s="10"/>
      <c r="R2224" s="10"/>
      <c r="S2224" s="10"/>
    </row>
    <row r="2225" spans="10:19">
      <c r="J2225" s="10"/>
      <c r="K2225" s="1127"/>
      <c r="L2225" s="10"/>
      <c r="M2225" s="10"/>
      <c r="N2225" s="10"/>
      <c r="O2225" s="10"/>
      <c r="P2225" s="10"/>
      <c r="Q2225" s="10"/>
      <c r="R2225" s="10"/>
      <c r="S2225" s="10"/>
    </row>
    <row r="2226" spans="10:19">
      <c r="J2226" s="10"/>
      <c r="K2226" s="1127"/>
      <c r="L2226" s="10"/>
      <c r="M2226" s="10"/>
      <c r="N2226" s="10"/>
      <c r="O2226" s="10"/>
      <c r="P2226" s="10"/>
      <c r="Q2226" s="10"/>
      <c r="R2226" s="10"/>
      <c r="S2226" s="10"/>
    </row>
    <row r="2227" spans="10:19">
      <c r="J2227" s="10"/>
      <c r="K2227" s="1127"/>
      <c r="L2227" s="10"/>
      <c r="M2227" s="10"/>
      <c r="N2227" s="10"/>
      <c r="O2227" s="10"/>
      <c r="P2227" s="10"/>
      <c r="Q2227" s="10"/>
      <c r="R2227" s="10"/>
      <c r="S2227" s="10"/>
    </row>
    <row r="2228" spans="10:19">
      <c r="J2228" s="10"/>
      <c r="K2228" s="1127"/>
      <c r="L2228" s="10"/>
      <c r="M2228" s="10"/>
      <c r="N2228" s="10"/>
      <c r="O2228" s="10"/>
      <c r="P2228" s="10"/>
      <c r="Q2228" s="10"/>
      <c r="R2228" s="10"/>
      <c r="S2228" s="10"/>
    </row>
    <row r="2229" spans="10:19">
      <c r="J2229" s="10"/>
      <c r="K2229" s="1127"/>
      <c r="L2229" s="10"/>
      <c r="M2229" s="10"/>
      <c r="N2229" s="10"/>
      <c r="O2229" s="10"/>
      <c r="P2229" s="10"/>
      <c r="Q2229" s="10"/>
      <c r="R2229" s="10"/>
      <c r="S2229" s="10"/>
    </row>
    <row r="2230" spans="10:19">
      <c r="J2230" s="10"/>
      <c r="K2230" s="1127"/>
      <c r="L2230" s="10"/>
      <c r="M2230" s="10"/>
      <c r="N2230" s="10"/>
      <c r="O2230" s="10"/>
      <c r="P2230" s="10"/>
      <c r="Q2230" s="10"/>
      <c r="R2230" s="10"/>
      <c r="S2230" s="10"/>
    </row>
    <row r="2231" spans="10:19">
      <c r="J2231" s="10"/>
      <c r="K2231" s="1127"/>
      <c r="L2231" s="10"/>
      <c r="M2231" s="10"/>
      <c r="N2231" s="10"/>
      <c r="O2231" s="10"/>
      <c r="P2231" s="10"/>
      <c r="Q2231" s="10"/>
      <c r="R2231" s="10"/>
      <c r="S2231" s="10"/>
    </row>
    <row r="2232" spans="10:19">
      <c r="J2232" s="10"/>
      <c r="K2232" s="1127"/>
      <c r="L2232" s="10"/>
      <c r="M2232" s="10"/>
      <c r="N2232" s="10"/>
      <c r="O2232" s="10"/>
      <c r="P2232" s="10"/>
      <c r="Q2232" s="10"/>
      <c r="R2232" s="10"/>
      <c r="S2232" s="10"/>
    </row>
    <row r="2233" spans="10:19">
      <c r="J2233" s="10"/>
      <c r="K2233" s="1127"/>
      <c r="L2233" s="10"/>
      <c r="M2233" s="10"/>
      <c r="N2233" s="10"/>
      <c r="O2233" s="10"/>
      <c r="P2233" s="10"/>
      <c r="Q2233" s="10"/>
      <c r="R2233" s="10"/>
      <c r="S2233" s="10"/>
    </row>
    <row r="2234" spans="10:19">
      <c r="J2234" s="10"/>
      <c r="K2234" s="1127"/>
      <c r="L2234" s="10"/>
      <c r="M2234" s="10"/>
      <c r="N2234" s="10"/>
      <c r="O2234" s="10"/>
      <c r="P2234" s="10"/>
      <c r="Q2234" s="10"/>
      <c r="R2234" s="10"/>
      <c r="S2234" s="10"/>
    </row>
    <row r="2235" spans="10:19">
      <c r="J2235" s="10"/>
      <c r="K2235" s="1127"/>
      <c r="L2235" s="10"/>
      <c r="M2235" s="10"/>
      <c r="N2235" s="10"/>
      <c r="O2235" s="10"/>
      <c r="P2235" s="10"/>
      <c r="Q2235" s="10"/>
      <c r="R2235" s="10"/>
      <c r="S2235" s="10"/>
    </row>
    <row r="2236" spans="10:19">
      <c r="J2236" s="10"/>
      <c r="K2236" s="1127"/>
      <c r="L2236" s="10"/>
      <c r="M2236" s="10"/>
      <c r="N2236" s="10"/>
      <c r="O2236" s="10"/>
      <c r="P2236" s="10"/>
      <c r="Q2236" s="10"/>
      <c r="R2236" s="10"/>
      <c r="S2236" s="10"/>
    </row>
    <row r="2237" spans="10:19">
      <c r="J2237" s="10"/>
      <c r="K2237" s="1127"/>
      <c r="L2237" s="10"/>
      <c r="M2237" s="10"/>
      <c r="N2237" s="10"/>
      <c r="O2237" s="10"/>
      <c r="P2237" s="10"/>
      <c r="Q2237" s="10"/>
      <c r="R2237" s="10"/>
      <c r="S2237" s="10"/>
    </row>
    <row r="2238" spans="10:19">
      <c r="J2238" s="10"/>
      <c r="K2238" s="1127"/>
      <c r="L2238" s="10"/>
      <c r="M2238" s="10"/>
      <c r="N2238" s="10"/>
      <c r="O2238" s="10"/>
      <c r="P2238" s="10"/>
      <c r="Q2238" s="10"/>
      <c r="R2238" s="10"/>
      <c r="S2238" s="10"/>
    </row>
    <row r="2239" spans="10:19">
      <c r="J2239" s="10"/>
      <c r="K2239" s="1127"/>
      <c r="L2239" s="10"/>
      <c r="M2239" s="10"/>
      <c r="N2239" s="10"/>
      <c r="O2239" s="10"/>
      <c r="P2239" s="10"/>
      <c r="Q2239" s="10"/>
      <c r="R2239" s="10"/>
      <c r="S2239" s="10"/>
    </row>
    <row r="2240" spans="10:19">
      <c r="J2240" s="10"/>
      <c r="K2240" s="1127"/>
      <c r="L2240" s="10"/>
      <c r="M2240" s="10"/>
      <c r="N2240" s="10"/>
      <c r="O2240" s="10"/>
      <c r="P2240" s="10"/>
      <c r="Q2240" s="10"/>
      <c r="R2240" s="10"/>
      <c r="S2240" s="10"/>
    </row>
    <row r="2241" spans="10:19">
      <c r="J2241" s="10"/>
      <c r="K2241" s="1127"/>
      <c r="L2241" s="10"/>
      <c r="M2241" s="10"/>
      <c r="N2241" s="10"/>
      <c r="O2241" s="10"/>
      <c r="P2241" s="10"/>
      <c r="Q2241" s="10"/>
      <c r="R2241" s="10"/>
      <c r="S2241" s="10"/>
    </row>
    <row r="2242" spans="10:19">
      <c r="J2242" s="10"/>
      <c r="K2242" s="1127"/>
      <c r="L2242" s="10"/>
      <c r="M2242" s="10"/>
      <c r="N2242" s="10"/>
      <c r="O2242" s="10"/>
      <c r="P2242" s="10"/>
      <c r="Q2242" s="10"/>
      <c r="R2242" s="10"/>
      <c r="S2242" s="10"/>
    </row>
    <row r="2243" spans="10:19">
      <c r="J2243" s="10"/>
      <c r="K2243" s="1127"/>
      <c r="L2243" s="10"/>
      <c r="M2243" s="10"/>
      <c r="N2243" s="10"/>
      <c r="O2243" s="10"/>
      <c r="P2243" s="10"/>
      <c r="Q2243" s="10"/>
      <c r="R2243" s="10"/>
      <c r="S2243" s="10"/>
    </row>
    <row r="2244" spans="10:19">
      <c r="J2244" s="10"/>
      <c r="K2244" s="1127"/>
      <c r="L2244" s="10"/>
      <c r="M2244" s="10"/>
      <c r="N2244" s="10"/>
      <c r="O2244" s="10"/>
      <c r="P2244" s="10"/>
      <c r="Q2244" s="10"/>
      <c r="R2244" s="10"/>
      <c r="S2244" s="10"/>
    </row>
    <row r="2245" spans="10:19">
      <c r="J2245" s="10"/>
      <c r="K2245" s="1127"/>
      <c r="L2245" s="10"/>
      <c r="M2245" s="10"/>
      <c r="N2245" s="10"/>
      <c r="O2245" s="10"/>
      <c r="P2245" s="10"/>
      <c r="Q2245" s="10"/>
      <c r="R2245" s="10"/>
      <c r="S2245" s="10"/>
    </row>
    <row r="2246" spans="10:19">
      <c r="J2246" s="10"/>
      <c r="K2246" s="1127"/>
      <c r="L2246" s="10"/>
      <c r="M2246" s="10"/>
      <c r="N2246" s="10"/>
      <c r="O2246" s="10"/>
      <c r="P2246" s="10"/>
      <c r="Q2246" s="10"/>
      <c r="R2246" s="10"/>
      <c r="S2246" s="10"/>
    </row>
    <row r="2247" spans="10:19">
      <c r="J2247" s="10"/>
      <c r="K2247" s="1127"/>
      <c r="L2247" s="10"/>
      <c r="M2247" s="10"/>
      <c r="N2247" s="10"/>
      <c r="O2247" s="10"/>
      <c r="P2247" s="10"/>
      <c r="Q2247" s="10"/>
      <c r="R2247" s="10"/>
      <c r="S2247" s="10"/>
    </row>
    <row r="2248" spans="10:19">
      <c r="J2248" s="10"/>
      <c r="K2248" s="1127"/>
      <c r="L2248" s="10"/>
      <c r="M2248" s="10"/>
      <c r="N2248" s="10"/>
      <c r="O2248" s="10"/>
      <c r="P2248" s="10"/>
      <c r="Q2248" s="10"/>
      <c r="R2248" s="10"/>
      <c r="S2248" s="10"/>
    </row>
    <row r="2249" spans="10:19">
      <c r="J2249" s="10"/>
      <c r="K2249" s="1127"/>
      <c r="L2249" s="10"/>
      <c r="M2249" s="10"/>
      <c r="N2249" s="10"/>
      <c r="O2249" s="10"/>
      <c r="P2249" s="10"/>
      <c r="Q2249" s="10"/>
      <c r="R2249" s="10"/>
      <c r="S2249" s="10"/>
    </row>
    <row r="2250" spans="10:19">
      <c r="J2250" s="10"/>
      <c r="K2250" s="1127"/>
      <c r="L2250" s="10"/>
      <c r="M2250" s="10"/>
      <c r="N2250" s="10"/>
      <c r="O2250" s="10"/>
      <c r="P2250" s="10"/>
      <c r="Q2250" s="10"/>
      <c r="R2250" s="10"/>
      <c r="S2250" s="10"/>
    </row>
    <row r="2251" spans="10:19">
      <c r="J2251" s="10"/>
      <c r="K2251" s="1127"/>
      <c r="L2251" s="10"/>
      <c r="M2251" s="10"/>
      <c r="N2251" s="10"/>
      <c r="O2251" s="10"/>
      <c r="P2251" s="10"/>
      <c r="Q2251" s="10"/>
      <c r="R2251" s="10"/>
      <c r="S2251" s="10"/>
    </row>
    <row r="2252" spans="10:19">
      <c r="J2252" s="10"/>
      <c r="K2252" s="1127"/>
      <c r="L2252" s="10"/>
      <c r="M2252" s="10"/>
      <c r="N2252" s="10"/>
      <c r="O2252" s="10"/>
      <c r="P2252" s="10"/>
      <c r="Q2252" s="10"/>
      <c r="R2252" s="10"/>
      <c r="S2252" s="10"/>
    </row>
    <row r="2253" spans="10:19">
      <c r="J2253" s="10"/>
      <c r="K2253" s="1127"/>
      <c r="L2253" s="10"/>
      <c r="M2253" s="10"/>
      <c r="N2253" s="10"/>
      <c r="O2253" s="10"/>
      <c r="P2253" s="10"/>
      <c r="Q2253" s="10"/>
      <c r="R2253" s="10"/>
      <c r="S2253" s="10"/>
    </row>
    <row r="2254" spans="10:19">
      <c r="J2254" s="10"/>
      <c r="K2254" s="1127"/>
      <c r="L2254" s="10"/>
      <c r="M2254" s="10"/>
      <c r="N2254" s="10"/>
      <c r="O2254" s="10"/>
      <c r="P2254" s="10"/>
      <c r="Q2254" s="10"/>
      <c r="R2254" s="10"/>
      <c r="S2254" s="10"/>
    </row>
    <row r="2255" spans="10:19">
      <c r="J2255" s="10"/>
      <c r="K2255" s="1127"/>
      <c r="L2255" s="10"/>
      <c r="M2255" s="10"/>
      <c r="N2255" s="10"/>
      <c r="O2255" s="10"/>
      <c r="P2255" s="10"/>
      <c r="Q2255" s="10"/>
      <c r="R2255" s="10"/>
      <c r="S2255" s="10"/>
    </row>
    <row r="2256" spans="10:19">
      <c r="J2256" s="10"/>
      <c r="K2256" s="1127"/>
      <c r="L2256" s="10"/>
      <c r="M2256" s="10"/>
      <c r="N2256" s="10"/>
      <c r="O2256" s="10"/>
      <c r="P2256" s="10"/>
      <c r="Q2256" s="10"/>
      <c r="R2256" s="10"/>
      <c r="S2256" s="10"/>
    </row>
    <row r="2257" spans="10:19">
      <c r="J2257" s="10"/>
      <c r="K2257" s="1127"/>
      <c r="L2257" s="10"/>
      <c r="M2257" s="10"/>
      <c r="N2257" s="10"/>
      <c r="O2257" s="10"/>
      <c r="P2257" s="10"/>
      <c r="Q2257" s="10"/>
      <c r="R2257" s="10"/>
      <c r="S2257" s="10"/>
    </row>
    <row r="2258" spans="10:19">
      <c r="J2258" s="10"/>
      <c r="K2258" s="1127"/>
      <c r="L2258" s="10"/>
      <c r="M2258" s="10"/>
      <c r="N2258" s="10"/>
      <c r="O2258" s="10"/>
      <c r="P2258" s="10"/>
      <c r="Q2258" s="10"/>
      <c r="R2258" s="10"/>
      <c r="S2258" s="10"/>
    </row>
    <row r="2259" spans="10:19">
      <c r="J2259" s="10"/>
      <c r="K2259" s="1127"/>
      <c r="L2259" s="10"/>
      <c r="M2259" s="10"/>
      <c r="N2259" s="10"/>
      <c r="O2259" s="10"/>
      <c r="P2259" s="10"/>
      <c r="Q2259" s="10"/>
      <c r="R2259" s="10"/>
      <c r="S2259" s="10"/>
    </row>
    <row r="2260" spans="10:19">
      <c r="J2260" s="10"/>
      <c r="K2260" s="1127"/>
      <c r="L2260" s="10"/>
      <c r="M2260" s="10"/>
      <c r="N2260" s="10"/>
      <c r="O2260" s="10"/>
      <c r="P2260" s="10"/>
      <c r="Q2260" s="10"/>
      <c r="R2260" s="10"/>
      <c r="S2260" s="10"/>
    </row>
    <row r="2261" spans="10:19">
      <c r="J2261" s="10"/>
      <c r="K2261" s="1127"/>
      <c r="L2261" s="10"/>
      <c r="M2261" s="10"/>
      <c r="N2261" s="10"/>
      <c r="O2261" s="10"/>
      <c r="P2261" s="10"/>
      <c r="Q2261" s="10"/>
      <c r="R2261" s="10"/>
      <c r="S2261" s="10"/>
    </row>
    <row r="2262" spans="10:19">
      <c r="J2262" s="10"/>
      <c r="K2262" s="1127"/>
      <c r="L2262" s="10"/>
      <c r="M2262" s="10"/>
      <c r="N2262" s="10"/>
      <c r="O2262" s="10"/>
      <c r="P2262" s="10"/>
      <c r="Q2262" s="10"/>
      <c r="R2262" s="10"/>
      <c r="S2262" s="10"/>
    </row>
    <row r="2263" spans="10:19">
      <c r="J2263" s="10"/>
      <c r="K2263" s="1127"/>
      <c r="L2263" s="10"/>
      <c r="M2263" s="10"/>
      <c r="N2263" s="10"/>
      <c r="O2263" s="10"/>
      <c r="P2263" s="10"/>
      <c r="Q2263" s="10"/>
      <c r="R2263" s="10"/>
      <c r="S2263" s="10"/>
    </row>
    <row r="2264" spans="10:19">
      <c r="J2264" s="10"/>
      <c r="K2264" s="1127"/>
      <c r="L2264" s="10"/>
      <c r="M2264" s="10"/>
      <c r="N2264" s="10"/>
      <c r="O2264" s="10"/>
      <c r="P2264" s="10"/>
      <c r="Q2264" s="10"/>
      <c r="R2264" s="10"/>
      <c r="S2264" s="10"/>
    </row>
    <row r="2265" spans="10:19">
      <c r="J2265" s="10"/>
      <c r="K2265" s="1127"/>
      <c r="L2265" s="10"/>
      <c r="M2265" s="10"/>
      <c r="N2265" s="10"/>
      <c r="O2265" s="10"/>
      <c r="P2265" s="10"/>
      <c r="Q2265" s="10"/>
      <c r="R2265" s="10"/>
      <c r="S2265" s="10"/>
    </row>
    <row r="2266" spans="10:19">
      <c r="J2266" s="10"/>
      <c r="K2266" s="1127"/>
      <c r="L2266" s="10"/>
      <c r="M2266" s="10"/>
      <c r="N2266" s="10"/>
      <c r="O2266" s="10"/>
      <c r="P2266" s="10"/>
      <c r="Q2266" s="10"/>
      <c r="R2266" s="10"/>
      <c r="S2266" s="10"/>
    </row>
    <row r="2267" spans="10:19">
      <c r="J2267" s="10"/>
      <c r="K2267" s="1127"/>
      <c r="L2267" s="10"/>
      <c r="M2267" s="10"/>
      <c r="N2267" s="10"/>
      <c r="O2267" s="10"/>
      <c r="P2267" s="10"/>
      <c r="Q2267" s="10"/>
      <c r="R2267" s="10"/>
      <c r="S2267" s="10"/>
    </row>
    <row r="2268" spans="10:19">
      <c r="J2268" s="10"/>
      <c r="K2268" s="1127"/>
      <c r="L2268" s="10"/>
      <c r="M2268" s="10"/>
      <c r="N2268" s="10"/>
      <c r="O2268" s="10"/>
      <c r="P2268" s="10"/>
      <c r="Q2268" s="10"/>
      <c r="R2268" s="10"/>
      <c r="S2268" s="10"/>
    </row>
    <row r="2269" spans="10:19">
      <c r="J2269" s="10"/>
      <c r="K2269" s="1127"/>
      <c r="L2269" s="10"/>
      <c r="M2269" s="10"/>
      <c r="N2269" s="10"/>
      <c r="O2269" s="10"/>
      <c r="P2269" s="10"/>
      <c r="Q2269" s="10"/>
      <c r="R2269" s="10"/>
      <c r="S2269" s="10"/>
    </row>
    <row r="2270" spans="10:19">
      <c r="J2270" s="10"/>
      <c r="K2270" s="1127"/>
      <c r="L2270" s="10"/>
      <c r="M2270" s="10"/>
      <c r="N2270" s="10"/>
      <c r="O2270" s="10"/>
      <c r="P2270" s="10"/>
      <c r="Q2270" s="10"/>
      <c r="R2270" s="10"/>
      <c r="S2270" s="10"/>
    </row>
    <row r="2271" spans="10:19">
      <c r="J2271" s="10"/>
      <c r="K2271" s="1127"/>
      <c r="L2271" s="10"/>
      <c r="M2271" s="10"/>
      <c r="N2271" s="10"/>
      <c r="O2271" s="10"/>
      <c r="P2271" s="10"/>
      <c r="Q2271" s="10"/>
      <c r="R2271" s="10"/>
      <c r="S2271" s="10"/>
    </row>
    <row r="2272" spans="10:19">
      <c r="J2272" s="10"/>
      <c r="K2272" s="1127"/>
      <c r="L2272" s="10"/>
      <c r="M2272" s="10"/>
      <c r="N2272" s="10"/>
      <c r="O2272" s="10"/>
      <c r="P2272" s="10"/>
      <c r="Q2272" s="10"/>
      <c r="R2272" s="10"/>
      <c r="S2272" s="10"/>
    </row>
    <row r="2273" spans="10:19">
      <c r="J2273" s="10"/>
      <c r="K2273" s="1127"/>
      <c r="L2273" s="10"/>
      <c r="M2273" s="10"/>
      <c r="N2273" s="10"/>
      <c r="O2273" s="10"/>
      <c r="P2273" s="10"/>
      <c r="Q2273" s="10"/>
      <c r="R2273" s="10"/>
      <c r="S2273" s="10"/>
    </row>
    <row r="2274" spans="10:19">
      <c r="J2274" s="10"/>
      <c r="K2274" s="1127"/>
      <c r="L2274" s="10"/>
      <c r="M2274" s="10"/>
      <c r="N2274" s="10"/>
      <c r="O2274" s="10"/>
      <c r="P2274" s="10"/>
      <c r="Q2274" s="10"/>
      <c r="R2274" s="10"/>
      <c r="S2274" s="10"/>
    </row>
    <row r="2275" spans="10:19">
      <c r="J2275" s="10"/>
      <c r="K2275" s="1127"/>
      <c r="L2275" s="10"/>
      <c r="M2275" s="10"/>
      <c r="N2275" s="10"/>
      <c r="O2275" s="10"/>
      <c r="P2275" s="10"/>
      <c r="Q2275" s="10"/>
      <c r="R2275" s="10"/>
      <c r="S2275" s="10"/>
    </row>
    <row r="2276" spans="10:19">
      <c r="J2276" s="10"/>
      <c r="K2276" s="1127"/>
      <c r="L2276" s="10"/>
      <c r="M2276" s="10"/>
      <c r="N2276" s="10"/>
      <c r="O2276" s="10"/>
      <c r="P2276" s="10"/>
      <c r="Q2276" s="10"/>
      <c r="R2276" s="10"/>
      <c r="S2276" s="10"/>
    </row>
    <row r="2277" spans="10:19">
      <c r="J2277" s="10"/>
      <c r="K2277" s="1127"/>
      <c r="L2277" s="10"/>
      <c r="M2277" s="10"/>
      <c r="N2277" s="10"/>
      <c r="O2277" s="10"/>
      <c r="P2277" s="10"/>
      <c r="Q2277" s="10"/>
      <c r="R2277" s="10"/>
      <c r="S2277" s="10"/>
    </row>
    <row r="2278" spans="10:19">
      <c r="J2278" s="10"/>
      <c r="K2278" s="1127"/>
      <c r="L2278" s="10"/>
      <c r="M2278" s="10"/>
      <c r="N2278" s="10"/>
      <c r="O2278" s="10"/>
      <c r="P2278" s="10"/>
      <c r="Q2278" s="10"/>
      <c r="R2278" s="10"/>
      <c r="S2278" s="10"/>
    </row>
    <row r="2279" spans="10:19">
      <c r="J2279" s="10"/>
      <c r="K2279" s="1127"/>
      <c r="L2279" s="10"/>
      <c r="M2279" s="10"/>
      <c r="N2279" s="10"/>
      <c r="O2279" s="10"/>
      <c r="P2279" s="10"/>
      <c r="Q2279" s="10"/>
      <c r="R2279" s="10"/>
      <c r="S2279" s="10"/>
    </row>
    <row r="2280" spans="10:19">
      <c r="J2280" s="10"/>
      <c r="K2280" s="1127"/>
      <c r="L2280" s="10"/>
      <c r="M2280" s="10"/>
      <c r="N2280" s="10"/>
      <c r="O2280" s="10"/>
      <c r="P2280" s="10"/>
      <c r="Q2280" s="10"/>
      <c r="R2280" s="10"/>
      <c r="S2280" s="10"/>
    </row>
    <row r="2281" spans="10:19">
      <c r="J2281" s="10"/>
      <c r="K2281" s="1127"/>
      <c r="L2281" s="10"/>
      <c r="M2281" s="10"/>
      <c r="N2281" s="10"/>
      <c r="O2281" s="10"/>
      <c r="P2281" s="10"/>
      <c r="Q2281" s="10"/>
      <c r="R2281" s="10"/>
      <c r="S2281" s="10"/>
    </row>
    <row r="2282" spans="10:19">
      <c r="J2282" s="10"/>
      <c r="K2282" s="1127"/>
      <c r="L2282" s="10"/>
      <c r="M2282" s="10"/>
      <c r="N2282" s="10"/>
      <c r="O2282" s="10"/>
      <c r="P2282" s="10"/>
      <c r="Q2282" s="10"/>
      <c r="R2282" s="10"/>
      <c r="S2282" s="10"/>
    </row>
    <row r="2283" spans="10:19">
      <c r="J2283" s="10"/>
      <c r="K2283" s="1127"/>
      <c r="L2283" s="10"/>
      <c r="M2283" s="10"/>
      <c r="N2283" s="10"/>
      <c r="O2283" s="10"/>
      <c r="P2283" s="10"/>
      <c r="Q2283" s="10"/>
      <c r="R2283" s="10"/>
      <c r="S2283" s="10"/>
    </row>
    <row r="2284" spans="10:19">
      <c r="J2284" s="10"/>
      <c r="K2284" s="1127"/>
      <c r="L2284" s="10"/>
      <c r="M2284" s="10"/>
      <c r="N2284" s="10"/>
      <c r="O2284" s="10"/>
      <c r="P2284" s="10"/>
      <c r="Q2284" s="10"/>
      <c r="R2284" s="10"/>
      <c r="S2284" s="10"/>
    </row>
    <row r="2285" spans="10:19">
      <c r="J2285" s="10"/>
      <c r="K2285" s="1127"/>
      <c r="L2285" s="10"/>
      <c r="M2285" s="10"/>
      <c r="N2285" s="10"/>
      <c r="O2285" s="10"/>
      <c r="P2285" s="10"/>
      <c r="Q2285" s="10"/>
      <c r="R2285" s="10"/>
      <c r="S2285" s="10"/>
    </row>
    <row r="2286" spans="10:19">
      <c r="J2286" s="10"/>
      <c r="K2286" s="1127"/>
      <c r="L2286" s="10"/>
      <c r="M2286" s="10"/>
      <c r="N2286" s="10"/>
      <c r="O2286" s="10"/>
      <c r="P2286" s="10"/>
      <c r="Q2286" s="10"/>
      <c r="R2286" s="10"/>
      <c r="S2286" s="10"/>
    </row>
    <row r="2287" spans="10:19">
      <c r="J2287" s="10"/>
      <c r="K2287" s="1127"/>
      <c r="L2287" s="10"/>
      <c r="M2287" s="10"/>
      <c r="N2287" s="10"/>
      <c r="O2287" s="10"/>
      <c r="P2287" s="10"/>
      <c r="Q2287" s="10"/>
      <c r="R2287" s="10"/>
      <c r="S2287" s="10"/>
    </row>
    <row r="2288" spans="10:19">
      <c r="J2288" s="10"/>
      <c r="K2288" s="1127"/>
      <c r="L2288" s="10"/>
      <c r="M2288" s="10"/>
      <c r="N2288" s="10"/>
      <c r="O2288" s="10"/>
      <c r="P2288" s="10"/>
      <c r="Q2288" s="10"/>
      <c r="R2288" s="10"/>
      <c r="S2288" s="10"/>
    </row>
    <row r="2289" spans="10:19">
      <c r="J2289" s="10"/>
      <c r="K2289" s="1127"/>
      <c r="L2289" s="10"/>
      <c r="M2289" s="10"/>
      <c r="N2289" s="10"/>
      <c r="O2289" s="10"/>
      <c r="P2289" s="10"/>
      <c r="Q2289" s="10"/>
      <c r="R2289" s="10"/>
      <c r="S2289" s="10"/>
    </row>
    <row r="2290" spans="10:19">
      <c r="J2290" s="10"/>
      <c r="K2290" s="1127"/>
      <c r="L2290" s="10"/>
      <c r="M2290" s="10"/>
      <c r="N2290" s="10"/>
      <c r="O2290" s="10"/>
      <c r="P2290" s="10"/>
      <c r="Q2290" s="10"/>
      <c r="R2290" s="10"/>
      <c r="S2290" s="10"/>
    </row>
    <row r="2291" spans="10:19">
      <c r="J2291" s="10"/>
      <c r="K2291" s="1127"/>
      <c r="L2291" s="10"/>
      <c r="M2291" s="10"/>
      <c r="N2291" s="10"/>
      <c r="O2291" s="10"/>
      <c r="P2291" s="10"/>
      <c r="Q2291" s="10"/>
      <c r="R2291" s="10"/>
      <c r="S2291" s="10"/>
    </row>
    <row r="2292" spans="10:19">
      <c r="J2292" s="10"/>
      <c r="K2292" s="1127"/>
      <c r="L2292" s="10"/>
      <c r="M2292" s="10"/>
      <c r="N2292" s="10"/>
      <c r="O2292" s="10"/>
      <c r="P2292" s="10"/>
      <c r="Q2292" s="10"/>
      <c r="R2292" s="10"/>
      <c r="S2292" s="10"/>
    </row>
    <row r="2293" spans="10:19">
      <c r="J2293" s="10"/>
      <c r="K2293" s="1127"/>
      <c r="L2293" s="10"/>
      <c r="M2293" s="10"/>
      <c r="N2293" s="10"/>
      <c r="O2293" s="10"/>
      <c r="P2293" s="10"/>
      <c r="Q2293" s="10"/>
      <c r="R2293" s="10"/>
      <c r="S2293" s="10"/>
    </row>
    <row r="2294" spans="10:19">
      <c r="J2294" s="10"/>
      <c r="K2294" s="1127"/>
      <c r="L2294" s="10"/>
      <c r="M2294" s="10"/>
      <c r="N2294" s="10"/>
      <c r="O2294" s="10"/>
      <c r="P2294" s="10"/>
      <c r="Q2294" s="10"/>
      <c r="R2294" s="10"/>
      <c r="S2294" s="10"/>
    </row>
    <row r="2295" spans="10:19">
      <c r="J2295" s="10"/>
      <c r="K2295" s="1127"/>
      <c r="L2295" s="10"/>
      <c r="M2295" s="10"/>
      <c r="N2295" s="10"/>
      <c r="O2295" s="10"/>
      <c r="P2295" s="10"/>
      <c r="Q2295" s="10"/>
      <c r="R2295" s="10"/>
      <c r="S2295" s="10"/>
    </row>
    <row r="2296" spans="10:19">
      <c r="J2296" s="10"/>
      <c r="K2296" s="1127"/>
      <c r="L2296" s="10"/>
      <c r="M2296" s="10"/>
      <c r="N2296" s="10"/>
      <c r="O2296" s="10"/>
      <c r="P2296" s="10"/>
      <c r="Q2296" s="10"/>
      <c r="R2296" s="10"/>
      <c r="S2296" s="10"/>
    </row>
    <row r="2297" spans="10:19">
      <c r="J2297" s="10"/>
      <c r="K2297" s="1127"/>
      <c r="L2297" s="10"/>
      <c r="M2297" s="10"/>
      <c r="N2297" s="10"/>
      <c r="O2297" s="10"/>
      <c r="P2297" s="10"/>
      <c r="Q2297" s="10"/>
      <c r="R2297" s="10"/>
      <c r="S2297" s="10"/>
    </row>
    <row r="2298" spans="10:19">
      <c r="J2298" s="10"/>
      <c r="K2298" s="1127"/>
      <c r="L2298" s="10"/>
      <c r="M2298" s="10"/>
      <c r="N2298" s="10"/>
      <c r="O2298" s="10"/>
      <c r="P2298" s="10"/>
      <c r="Q2298" s="10"/>
      <c r="R2298" s="10"/>
      <c r="S2298" s="10"/>
    </row>
    <row r="2299" spans="10:19">
      <c r="J2299" s="10"/>
      <c r="K2299" s="1127"/>
      <c r="L2299" s="10"/>
      <c r="M2299" s="10"/>
      <c r="N2299" s="10"/>
      <c r="O2299" s="10"/>
      <c r="P2299" s="10"/>
      <c r="Q2299" s="10"/>
      <c r="R2299" s="10"/>
      <c r="S2299" s="10"/>
    </row>
    <row r="2300" spans="10:19">
      <c r="J2300" s="10"/>
      <c r="K2300" s="1127"/>
      <c r="L2300" s="10"/>
      <c r="M2300" s="10"/>
      <c r="N2300" s="10"/>
      <c r="O2300" s="10"/>
      <c r="P2300" s="10"/>
      <c r="Q2300" s="10"/>
      <c r="R2300" s="10"/>
      <c r="S2300" s="10"/>
    </row>
    <row r="2301" spans="10:19">
      <c r="J2301" s="10"/>
      <c r="K2301" s="1127"/>
      <c r="L2301" s="10"/>
      <c r="M2301" s="10"/>
      <c r="N2301" s="10"/>
      <c r="O2301" s="10"/>
      <c r="P2301" s="10"/>
      <c r="Q2301" s="10"/>
      <c r="R2301" s="10"/>
      <c r="S2301" s="10"/>
    </row>
    <row r="2302" spans="10:19">
      <c r="J2302" s="10"/>
      <c r="K2302" s="1127"/>
      <c r="L2302" s="10"/>
      <c r="M2302" s="10"/>
      <c r="N2302" s="10"/>
      <c r="O2302" s="10"/>
      <c r="P2302" s="10"/>
      <c r="Q2302" s="10"/>
      <c r="R2302" s="10"/>
      <c r="S2302" s="10"/>
    </row>
    <row r="2303" spans="10:19">
      <c r="J2303" s="10"/>
      <c r="K2303" s="1127"/>
      <c r="L2303" s="10"/>
      <c r="M2303" s="10"/>
      <c r="N2303" s="10"/>
      <c r="O2303" s="10"/>
      <c r="P2303" s="10"/>
      <c r="Q2303" s="10"/>
      <c r="R2303" s="10"/>
      <c r="S2303" s="10"/>
    </row>
    <row r="2304" spans="10:19">
      <c r="J2304" s="10"/>
      <c r="K2304" s="1127"/>
      <c r="L2304" s="10"/>
      <c r="M2304" s="10"/>
      <c r="N2304" s="10"/>
      <c r="O2304" s="10"/>
      <c r="P2304" s="10"/>
      <c r="Q2304" s="10"/>
      <c r="R2304" s="10"/>
      <c r="S2304" s="10"/>
    </row>
    <row r="2305" spans="10:19">
      <c r="J2305" s="10"/>
      <c r="K2305" s="1127"/>
      <c r="L2305" s="10"/>
      <c r="M2305" s="10"/>
      <c r="N2305" s="10"/>
      <c r="O2305" s="10"/>
      <c r="P2305" s="10"/>
      <c r="Q2305" s="10"/>
      <c r="R2305" s="10"/>
      <c r="S2305" s="10"/>
    </row>
    <row r="2306" spans="10:19">
      <c r="J2306" s="10"/>
      <c r="K2306" s="1127"/>
      <c r="L2306" s="10"/>
      <c r="M2306" s="10"/>
      <c r="N2306" s="10"/>
      <c r="O2306" s="10"/>
      <c r="P2306" s="10"/>
      <c r="Q2306" s="10"/>
      <c r="R2306" s="10"/>
      <c r="S2306" s="10"/>
    </row>
    <row r="2307" spans="10:19">
      <c r="J2307" s="10"/>
      <c r="K2307" s="1127"/>
      <c r="L2307" s="10"/>
      <c r="M2307" s="10"/>
      <c r="N2307" s="10"/>
      <c r="O2307" s="10"/>
      <c r="P2307" s="10"/>
      <c r="Q2307" s="10"/>
      <c r="R2307" s="10"/>
      <c r="S2307" s="10"/>
    </row>
    <row r="2308" spans="10:19">
      <c r="J2308" s="10"/>
      <c r="K2308" s="1127"/>
      <c r="L2308" s="10"/>
      <c r="M2308" s="10"/>
      <c r="N2308" s="10"/>
      <c r="O2308" s="10"/>
      <c r="P2308" s="10"/>
      <c r="Q2308" s="10"/>
      <c r="R2308" s="10"/>
      <c r="S2308" s="10"/>
    </row>
    <row r="2309" spans="10:19">
      <c r="J2309" s="10"/>
      <c r="K2309" s="1127"/>
      <c r="L2309" s="10"/>
      <c r="M2309" s="10"/>
      <c r="N2309" s="10"/>
      <c r="O2309" s="10"/>
      <c r="P2309" s="10"/>
      <c r="Q2309" s="10"/>
      <c r="R2309" s="10"/>
      <c r="S2309" s="10"/>
    </row>
    <row r="2310" spans="10:19">
      <c r="J2310" s="10"/>
      <c r="K2310" s="1127"/>
      <c r="L2310" s="10"/>
      <c r="M2310" s="10"/>
      <c r="N2310" s="10"/>
      <c r="O2310" s="10"/>
      <c r="P2310" s="10"/>
      <c r="Q2310" s="10"/>
      <c r="R2310" s="10"/>
      <c r="S2310" s="10"/>
    </row>
    <row r="2311" spans="10:19">
      <c r="J2311" s="10"/>
      <c r="K2311" s="1127"/>
      <c r="L2311" s="10"/>
      <c r="M2311" s="10"/>
      <c r="N2311" s="10"/>
      <c r="O2311" s="10"/>
      <c r="P2311" s="10"/>
      <c r="Q2311" s="10"/>
      <c r="R2311" s="10"/>
      <c r="S2311" s="10"/>
    </row>
    <row r="2312" spans="10:19">
      <c r="J2312" s="10"/>
      <c r="K2312" s="1127"/>
      <c r="L2312" s="10"/>
      <c r="M2312" s="10"/>
      <c r="N2312" s="10"/>
      <c r="O2312" s="10"/>
      <c r="P2312" s="10"/>
      <c r="Q2312" s="10"/>
      <c r="R2312" s="10"/>
      <c r="S2312" s="10"/>
    </row>
    <row r="2313" spans="10:19">
      <c r="J2313" s="10"/>
      <c r="K2313" s="1127"/>
      <c r="L2313" s="10"/>
      <c r="M2313" s="10"/>
      <c r="N2313" s="10"/>
      <c r="O2313" s="10"/>
      <c r="P2313" s="10"/>
      <c r="Q2313" s="10"/>
      <c r="R2313" s="10"/>
      <c r="S2313" s="10"/>
    </row>
    <row r="2314" spans="10:19">
      <c r="J2314" s="10"/>
      <c r="K2314" s="1127"/>
      <c r="L2314" s="10"/>
      <c r="M2314" s="10"/>
      <c r="N2314" s="10"/>
      <c r="O2314" s="10"/>
      <c r="P2314" s="10"/>
      <c r="Q2314" s="10"/>
      <c r="R2314" s="10"/>
      <c r="S2314" s="10"/>
    </row>
    <row r="2315" spans="10:19">
      <c r="J2315" s="10"/>
      <c r="K2315" s="1127"/>
      <c r="L2315" s="10"/>
      <c r="M2315" s="10"/>
      <c r="N2315" s="10"/>
      <c r="O2315" s="10"/>
      <c r="P2315" s="10"/>
      <c r="Q2315" s="10"/>
      <c r="R2315" s="10"/>
      <c r="S2315" s="10"/>
    </row>
    <row r="2316" spans="10:19">
      <c r="J2316" s="10"/>
      <c r="K2316" s="1127"/>
      <c r="L2316" s="10"/>
      <c r="M2316" s="10"/>
      <c r="N2316" s="10"/>
      <c r="O2316" s="10"/>
      <c r="P2316" s="10"/>
      <c r="Q2316" s="10"/>
      <c r="R2316" s="10"/>
      <c r="S2316" s="10"/>
    </row>
    <row r="2317" spans="10:19">
      <c r="J2317" s="10"/>
      <c r="K2317" s="1127"/>
      <c r="L2317" s="10"/>
      <c r="M2317" s="10"/>
      <c r="N2317" s="10"/>
      <c r="O2317" s="10"/>
      <c r="P2317" s="10"/>
      <c r="Q2317" s="10"/>
      <c r="R2317" s="10"/>
      <c r="S2317" s="10"/>
    </row>
    <row r="2318" spans="10:19">
      <c r="J2318" s="10"/>
      <c r="K2318" s="1127"/>
      <c r="L2318" s="10"/>
      <c r="M2318" s="10"/>
      <c r="N2318" s="10"/>
      <c r="O2318" s="10"/>
      <c r="P2318" s="10"/>
      <c r="Q2318" s="10"/>
      <c r="R2318" s="10"/>
      <c r="S2318" s="10"/>
    </row>
    <row r="2319" spans="10:19">
      <c r="J2319" s="10"/>
      <c r="K2319" s="1127"/>
      <c r="L2319" s="10"/>
      <c r="M2319" s="10"/>
      <c r="N2319" s="10"/>
      <c r="O2319" s="10"/>
      <c r="P2319" s="10"/>
      <c r="Q2319" s="10"/>
      <c r="R2319" s="10"/>
      <c r="S2319" s="10"/>
    </row>
    <row r="2320" spans="10:19">
      <c r="J2320" s="10"/>
      <c r="K2320" s="1127"/>
      <c r="L2320" s="10"/>
      <c r="M2320" s="10"/>
      <c r="N2320" s="10"/>
      <c r="O2320" s="10"/>
      <c r="P2320" s="10"/>
      <c r="Q2320" s="10"/>
      <c r="R2320" s="10"/>
      <c r="S2320" s="10"/>
    </row>
    <row r="2321" spans="10:19">
      <c r="J2321" s="10"/>
      <c r="K2321" s="1127"/>
      <c r="L2321" s="10"/>
      <c r="M2321" s="10"/>
      <c r="N2321" s="10"/>
      <c r="O2321" s="10"/>
      <c r="P2321" s="10"/>
      <c r="Q2321" s="10"/>
      <c r="R2321" s="10"/>
      <c r="S2321" s="10"/>
    </row>
    <row r="2322" spans="10:19">
      <c r="J2322" s="10"/>
      <c r="K2322" s="1127"/>
      <c r="L2322" s="10"/>
      <c r="M2322" s="10"/>
      <c r="N2322" s="10"/>
      <c r="O2322" s="10"/>
      <c r="P2322" s="10"/>
      <c r="Q2322" s="10"/>
      <c r="R2322" s="10"/>
      <c r="S2322" s="10"/>
    </row>
    <row r="2323" spans="10:19">
      <c r="J2323" s="10"/>
      <c r="K2323" s="1127"/>
      <c r="L2323" s="10"/>
      <c r="M2323" s="10"/>
      <c r="N2323" s="10"/>
      <c r="O2323" s="10"/>
      <c r="P2323" s="10"/>
      <c r="Q2323" s="10"/>
      <c r="R2323" s="10"/>
      <c r="S2323" s="10"/>
    </row>
    <row r="2324" spans="10:19">
      <c r="J2324" s="10"/>
      <c r="K2324" s="1127"/>
      <c r="L2324" s="10"/>
      <c r="M2324" s="10"/>
      <c r="N2324" s="10"/>
      <c r="O2324" s="10"/>
      <c r="P2324" s="10"/>
      <c r="Q2324" s="10"/>
      <c r="R2324" s="10"/>
      <c r="S2324" s="10"/>
    </row>
    <row r="2325" spans="10:19">
      <c r="J2325" s="10"/>
      <c r="K2325" s="1127"/>
      <c r="L2325" s="10"/>
      <c r="M2325" s="10"/>
      <c r="N2325" s="10"/>
      <c r="O2325" s="10"/>
      <c r="P2325" s="10"/>
      <c r="Q2325" s="10"/>
      <c r="R2325" s="10"/>
      <c r="S2325" s="10"/>
    </row>
    <row r="2326" spans="10:19">
      <c r="J2326" s="10"/>
      <c r="K2326" s="1127"/>
      <c r="L2326" s="10"/>
      <c r="M2326" s="10"/>
      <c r="N2326" s="10"/>
      <c r="O2326" s="10"/>
      <c r="P2326" s="10"/>
      <c r="Q2326" s="10"/>
      <c r="R2326" s="10"/>
      <c r="S2326" s="10"/>
    </row>
    <row r="2327" spans="10:19">
      <c r="J2327" s="10"/>
      <c r="K2327" s="1127"/>
      <c r="L2327" s="10"/>
      <c r="M2327" s="10"/>
      <c r="N2327" s="10"/>
      <c r="O2327" s="10"/>
      <c r="P2327" s="10"/>
      <c r="Q2327" s="10"/>
      <c r="R2327" s="10"/>
      <c r="S2327" s="10"/>
    </row>
    <row r="2328" spans="10:19">
      <c r="J2328" s="10"/>
      <c r="K2328" s="1127"/>
      <c r="L2328" s="10"/>
      <c r="M2328" s="10"/>
      <c r="N2328" s="10"/>
      <c r="O2328" s="10"/>
      <c r="P2328" s="10"/>
      <c r="Q2328" s="10"/>
      <c r="R2328" s="10"/>
      <c r="S2328" s="10"/>
    </row>
    <row r="2329" spans="10:19">
      <c r="J2329" s="10"/>
      <c r="K2329" s="1127"/>
      <c r="L2329" s="10"/>
      <c r="M2329" s="10"/>
      <c r="N2329" s="10"/>
      <c r="O2329" s="10"/>
      <c r="P2329" s="10"/>
      <c r="Q2329" s="10"/>
      <c r="R2329" s="10"/>
      <c r="S2329" s="10"/>
    </row>
    <row r="2330" spans="10:19">
      <c r="J2330" s="10"/>
      <c r="K2330" s="1127"/>
      <c r="L2330" s="10"/>
      <c r="M2330" s="10"/>
      <c r="N2330" s="10"/>
      <c r="O2330" s="10"/>
      <c r="P2330" s="10"/>
      <c r="Q2330" s="10"/>
      <c r="R2330" s="10"/>
      <c r="S2330" s="10"/>
    </row>
    <row r="2331" spans="10:19">
      <c r="J2331" s="10"/>
      <c r="K2331" s="1127"/>
      <c r="L2331" s="10"/>
      <c r="M2331" s="10"/>
      <c r="N2331" s="10"/>
      <c r="O2331" s="10"/>
      <c r="P2331" s="10"/>
      <c r="Q2331" s="10"/>
      <c r="R2331" s="10"/>
      <c r="S2331" s="10"/>
    </row>
    <row r="2332" spans="10:19">
      <c r="J2332" s="10"/>
      <c r="K2332" s="1127"/>
      <c r="L2332" s="10"/>
      <c r="M2332" s="10"/>
      <c r="N2332" s="10"/>
      <c r="O2332" s="10"/>
      <c r="P2332" s="10"/>
      <c r="Q2332" s="10"/>
      <c r="R2332" s="10"/>
      <c r="S2332" s="10"/>
    </row>
    <row r="2333" spans="10:19">
      <c r="J2333" s="10"/>
      <c r="K2333" s="1127"/>
      <c r="L2333" s="10"/>
      <c r="M2333" s="10"/>
      <c r="N2333" s="10"/>
      <c r="O2333" s="10"/>
      <c r="P2333" s="10"/>
      <c r="Q2333" s="10"/>
      <c r="R2333" s="10"/>
      <c r="S2333" s="10"/>
    </row>
    <row r="2334" spans="10:19">
      <c r="J2334" s="10"/>
      <c r="K2334" s="1127"/>
      <c r="L2334" s="10"/>
      <c r="M2334" s="10"/>
      <c r="N2334" s="10"/>
      <c r="O2334" s="10"/>
      <c r="P2334" s="10"/>
      <c r="Q2334" s="10"/>
      <c r="R2334" s="10"/>
      <c r="S2334" s="10"/>
    </row>
    <row r="2335" spans="10:19">
      <c r="J2335" s="10"/>
      <c r="K2335" s="1127"/>
      <c r="L2335" s="10"/>
      <c r="M2335" s="10"/>
      <c r="N2335" s="10"/>
      <c r="O2335" s="10"/>
      <c r="P2335" s="10"/>
      <c r="Q2335" s="10"/>
      <c r="R2335" s="10"/>
      <c r="S2335" s="10"/>
    </row>
    <row r="2336" spans="10:19">
      <c r="J2336" s="10"/>
      <c r="K2336" s="1127"/>
      <c r="L2336" s="10"/>
      <c r="M2336" s="10"/>
      <c r="N2336" s="10"/>
      <c r="O2336" s="10"/>
      <c r="P2336" s="10"/>
      <c r="Q2336" s="10"/>
      <c r="R2336" s="10"/>
      <c r="S2336" s="10"/>
    </row>
    <row r="2337" spans="10:19">
      <c r="J2337" s="10"/>
      <c r="K2337" s="1127"/>
      <c r="L2337" s="10"/>
      <c r="M2337" s="10"/>
      <c r="N2337" s="10"/>
      <c r="O2337" s="10"/>
      <c r="P2337" s="10"/>
      <c r="Q2337" s="10"/>
      <c r="R2337" s="10"/>
      <c r="S2337" s="10"/>
    </row>
    <row r="2338" spans="10:19">
      <c r="J2338" s="10"/>
      <c r="K2338" s="1127"/>
      <c r="L2338" s="10"/>
      <c r="M2338" s="10"/>
      <c r="N2338" s="10"/>
      <c r="O2338" s="10"/>
      <c r="P2338" s="10"/>
      <c r="Q2338" s="10"/>
      <c r="R2338" s="10"/>
      <c r="S2338" s="10"/>
    </row>
    <row r="2339" spans="10:19">
      <c r="J2339" s="10"/>
      <c r="K2339" s="1127"/>
      <c r="L2339" s="10"/>
      <c r="M2339" s="10"/>
      <c r="N2339" s="10"/>
      <c r="O2339" s="10"/>
      <c r="P2339" s="10"/>
      <c r="Q2339" s="10"/>
      <c r="R2339" s="10"/>
      <c r="S2339" s="10"/>
    </row>
    <row r="2340" spans="10:19">
      <c r="J2340" s="10"/>
      <c r="K2340" s="1127"/>
      <c r="L2340" s="10"/>
      <c r="M2340" s="10"/>
      <c r="N2340" s="10"/>
      <c r="O2340" s="10"/>
      <c r="P2340" s="10"/>
      <c r="Q2340" s="10"/>
      <c r="R2340" s="10"/>
      <c r="S2340" s="10"/>
    </row>
    <row r="2341" spans="10:19">
      <c r="J2341" s="10"/>
      <c r="K2341" s="1127"/>
      <c r="L2341" s="10"/>
      <c r="M2341" s="10"/>
      <c r="N2341" s="10"/>
      <c r="O2341" s="10"/>
      <c r="P2341" s="10"/>
      <c r="Q2341" s="10"/>
      <c r="R2341" s="10"/>
      <c r="S2341" s="10"/>
    </row>
    <row r="2342" spans="10:19">
      <c r="J2342" s="10"/>
      <c r="K2342" s="1127"/>
      <c r="L2342" s="10"/>
      <c r="M2342" s="10"/>
      <c r="N2342" s="10"/>
      <c r="O2342" s="10"/>
      <c r="P2342" s="10"/>
      <c r="Q2342" s="10"/>
      <c r="R2342" s="10"/>
      <c r="S2342" s="10"/>
    </row>
    <row r="2343" spans="10:19">
      <c r="J2343" s="10"/>
      <c r="K2343" s="1127"/>
      <c r="L2343" s="10"/>
      <c r="M2343" s="10"/>
      <c r="N2343" s="10"/>
      <c r="O2343" s="10"/>
      <c r="P2343" s="10"/>
      <c r="Q2343" s="10"/>
      <c r="R2343" s="10"/>
      <c r="S2343" s="10"/>
    </row>
    <row r="2344" spans="10:19">
      <c r="J2344" s="10"/>
      <c r="K2344" s="1127"/>
      <c r="L2344" s="10"/>
      <c r="M2344" s="10"/>
      <c r="N2344" s="10"/>
      <c r="O2344" s="10"/>
      <c r="P2344" s="10"/>
      <c r="Q2344" s="10"/>
      <c r="R2344" s="10"/>
      <c r="S2344" s="10"/>
    </row>
    <row r="2345" spans="10:19">
      <c r="J2345" s="10"/>
      <c r="K2345" s="1127"/>
      <c r="L2345" s="10"/>
      <c r="M2345" s="10"/>
      <c r="N2345" s="10"/>
      <c r="O2345" s="10"/>
      <c r="P2345" s="10"/>
      <c r="Q2345" s="10"/>
      <c r="R2345" s="10"/>
      <c r="S2345" s="10"/>
    </row>
    <row r="2346" spans="10:19">
      <c r="J2346" s="10"/>
      <c r="K2346" s="1127"/>
      <c r="L2346" s="10"/>
      <c r="M2346" s="10"/>
      <c r="N2346" s="10"/>
      <c r="O2346" s="10"/>
      <c r="P2346" s="10"/>
      <c r="Q2346" s="10"/>
      <c r="R2346" s="10"/>
      <c r="S2346" s="10"/>
    </row>
    <row r="2347" spans="10:19">
      <c r="J2347" s="10"/>
      <c r="K2347" s="1127"/>
      <c r="L2347" s="10"/>
      <c r="M2347" s="10"/>
      <c r="N2347" s="10"/>
      <c r="O2347" s="10"/>
      <c r="P2347" s="10"/>
      <c r="Q2347" s="10"/>
      <c r="R2347" s="10"/>
      <c r="S2347" s="10"/>
    </row>
    <row r="2348" spans="10:19">
      <c r="J2348" s="10"/>
      <c r="K2348" s="1127"/>
      <c r="L2348" s="10"/>
      <c r="M2348" s="10"/>
      <c r="N2348" s="10"/>
      <c r="O2348" s="10"/>
      <c r="P2348" s="10"/>
      <c r="Q2348" s="10"/>
      <c r="R2348" s="10"/>
      <c r="S2348" s="10"/>
    </row>
    <row r="2349" spans="10:19">
      <c r="J2349" s="10"/>
      <c r="K2349" s="1127"/>
      <c r="L2349" s="10"/>
      <c r="M2349" s="10"/>
      <c r="N2349" s="10"/>
      <c r="O2349" s="10"/>
      <c r="P2349" s="10"/>
      <c r="Q2349" s="10"/>
      <c r="R2349" s="10"/>
      <c r="S2349" s="10"/>
    </row>
    <row r="2350" spans="10:19">
      <c r="J2350" s="10"/>
      <c r="K2350" s="1127"/>
      <c r="L2350" s="10"/>
      <c r="M2350" s="10"/>
      <c r="N2350" s="10"/>
      <c r="O2350" s="10"/>
      <c r="P2350" s="10"/>
      <c r="Q2350" s="10"/>
      <c r="R2350" s="10"/>
      <c r="S2350" s="10"/>
    </row>
    <row r="2351" spans="10:19">
      <c r="J2351" s="10"/>
      <c r="K2351" s="1127"/>
      <c r="L2351" s="10"/>
      <c r="M2351" s="10"/>
      <c r="N2351" s="10"/>
      <c r="O2351" s="10"/>
      <c r="P2351" s="10"/>
      <c r="Q2351" s="10"/>
      <c r="R2351" s="10"/>
      <c r="S2351" s="10"/>
    </row>
    <row r="2352" spans="10:19">
      <c r="J2352" s="10"/>
      <c r="K2352" s="1127"/>
      <c r="L2352" s="10"/>
      <c r="M2352" s="10"/>
      <c r="N2352" s="10"/>
      <c r="O2352" s="10"/>
      <c r="P2352" s="10"/>
      <c r="Q2352" s="10"/>
      <c r="R2352" s="10"/>
      <c r="S2352" s="10"/>
    </row>
    <row r="2353" spans="10:19">
      <c r="J2353" s="10"/>
      <c r="K2353" s="1127"/>
      <c r="L2353" s="10"/>
      <c r="M2353" s="10"/>
      <c r="N2353" s="10"/>
      <c r="O2353" s="10"/>
      <c r="P2353" s="10"/>
      <c r="Q2353" s="10"/>
      <c r="R2353" s="10"/>
      <c r="S2353" s="10"/>
    </row>
    <row r="2354" spans="10:19">
      <c r="J2354" s="10"/>
      <c r="K2354" s="1127"/>
      <c r="L2354" s="10"/>
      <c r="M2354" s="10"/>
      <c r="N2354" s="10"/>
      <c r="O2354" s="10"/>
      <c r="P2354" s="10"/>
      <c r="Q2354" s="10"/>
      <c r="R2354" s="10"/>
      <c r="S2354" s="10"/>
    </row>
    <row r="2355" spans="10:19">
      <c r="J2355" s="10"/>
      <c r="K2355" s="1127"/>
      <c r="L2355" s="10"/>
      <c r="M2355" s="10"/>
      <c r="N2355" s="10"/>
      <c r="O2355" s="10"/>
      <c r="P2355" s="10"/>
      <c r="Q2355" s="10"/>
      <c r="R2355" s="10"/>
      <c r="S2355" s="10"/>
    </row>
    <row r="2356" spans="10:19">
      <c r="J2356" s="10"/>
      <c r="K2356" s="1127"/>
      <c r="L2356" s="10"/>
      <c r="M2356" s="10"/>
      <c r="N2356" s="10"/>
      <c r="O2356" s="10"/>
      <c r="P2356" s="10"/>
      <c r="Q2356" s="10"/>
      <c r="R2356" s="10"/>
      <c r="S2356" s="10"/>
    </row>
    <row r="2357" spans="10:19">
      <c r="J2357" s="10"/>
      <c r="K2357" s="1127"/>
      <c r="L2357" s="10"/>
      <c r="M2357" s="10"/>
      <c r="N2357" s="10"/>
      <c r="O2357" s="10"/>
      <c r="P2357" s="10"/>
      <c r="Q2357" s="10"/>
      <c r="R2357" s="10"/>
      <c r="S2357" s="10"/>
    </row>
    <row r="2358" spans="10:19">
      <c r="J2358" s="10"/>
      <c r="K2358" s="1127"/>
      <c r="L2358" s="10"/>
      <c r="M2358" s="10"/>
      <c r="N2358" s="10"/>
      <c r="O2358" s="10"/>
      <c r="P2358" s="10"/>
      <c r="Q2358" s="10"/>
      <c r="R2358" s="10"/>
      <c r="S2358" s="10"/>
    </row>
    <row r="2359" spans="10:19">
      <c r="J2359" s="10"/>
      <c r="K2359" s="1127"/>
      <c r="L2359" s="10"/>
      <c r="M2359" s="10"/>
      <c r="N2359" s="10"/>
      <c r="O2359" s="10"/>
      <c r="P2359" s="10"/>
      <c r="Q2359" s="10"/>
      <c r="R2359" s="10"/>
      <c r="S2359" s="10"/>
    </row>
    <row r="2360" spans="10:19">
      <c r="J2360" s="10"/>
      <c r="K2360" s="1127"/>
      <c r="L2360" s="10"/>
      <c r="M2360" s="10"/>
      <c r="N2360" s="10"/>
      <c r="O2360" s="10"/>
      <c r="P2360" s="10"/>
      <c r="Q2360" s="10"/>
      <c r="R2360" s="10"/>
      <c r="S2360" s="10"/>
    </row>
    <row r="2361" spans="10:19">
      <c r="J2361" s="10"/>
      <c r="K2361" s="1127"/>
      <c r="L2361" s="10"/>
      <c r="M2361" s="10"/>
      <c r="N2361" s="10"/>
      <c r="O2361" s="10"/>
      <c r="P2361" s="10"/>
      <c r="Q2361" s="10"/>
      <c r="R2361" s="10"/>
      <c r="S2361" s="10"/>
    </row>
    <row r="2362" spans="10:19">
      <c r="J2362" s="10"/>
      <c r="K2362" s="1127"/>
      <c r="L2362" s="10"/>
      <c r="M2362" s="10"/>
      <c r="N2362" s="10"/>
      <c r="O2362" s="10"/>
      <c r="P2362" s="10"/>
      <c r="Q2362" s="10"/>
      <c r="R2362" s="10"/>
      <c r="S2362" s="10"/>
    </row>
    <row r="2363" spans="10:19">
      <c r="J2363" s="10"/>
      <c r="K2363" s="1127"/>
      <c r="L2363" s="10"/>
      <c r="M2363" s="10"/>
      <c r="N2363" s="10"/>
      <c r="O2363" s="10"/>
      <c r="P2363" s="10"/>
      <c r="Q2363" s="10"/>
      <c r="R2363" s="10"/>
      <c r="S2363" s="10"/>
    </row>
    <row r="2364" spans="10:19">
      <c r="J2364" s="10"/>
      <c r="K2364" s="1127"/>
      <c r="L2364" s="10"/>
      <c r="M2364" s="10"/>
      <c r="N2364" s="10"/>
      <c r="O2364" s="10"/>
      <c r="P2364" s="10"/>
      <c r="Q2364" s="10"/>
      <c r="R2364" s="10"/>
      <c r="S2364" s="10"/>
    </row>
    <row r="2365" spans="10:19">
      <c r="J2365" s="10"/>
      <c r="K2365" s="1127"/>
      <c r="L2365" s="10"/>
      <c r="M2365" s="10"/>
      <c r="N2365" s="10"/>
      <c r="O2365" s="10"/>
      <c r="P2365" s="10"/>
      <c r="Q2365" s="10"/>
      <c r="R2365" s="10"/>
      <c r="S2365" s="10"/>
    </row>
    <row r="2366" spans="10:19">
      <c r="J2366" s="10"/>
      <c r="K2366" s="1127"/>
      <c r="L2366" s="10"/>
      <c r="M2366" s="10"/>
      <c r="N2366" s="10"/>
      <c r="O2366" s="10"/>
      <c r="P2366" s="10"/>
      <c r="Q2366" s="10"/>
      <c r="R2366" s="10"/>
      <c r="S2366" s="10"/>
    </row>
    <row r="2367" spans="10:19">
      <c r="J2367" s="10"/>
      <c r="K2367" s="1127"/>
      <c r="L2367" s="10"/>
      <c r="M2367" s="10"/>
      <c r="N2367" s="10"/>
      <c r="O2367" s="10"/>
      <c r="P2367" s="10"/>
      <c r="Q2367" s="10"/>
      <c r="R2367" s="10"/>
      <c r="S2367" s="10"/>
    </row>
    <row r="2368" spans="10:19">
      <c r="J2368" s="10"/>
      <c r="K2368" s="1127"/>
      <c r="L2368" s="10"/>
      <c r="M2368" s="10"/>
      <c r="N2368" s="10"/>
      <c r="O2368" s="10"/>
      <c r="P2368" s="10"/>
      <c r="Q2368" s="10"/>
      <c r="R2368" s="10"/>
      <c r="S2368" s="10"/>
    </row>
    <row r="2369" spans="10:19">
      <c r="J2369" s="10"/>
      <c r="K2369" s="1127"/>
      <c r="L2369" s="10"/>
      <c r="M2369" s="10"/>
      <c r="N2369" s="10"/>
      <c r="O2369" s="10"/>
      <c r="P2369" s="10"/>
      <c r="Q2369" s="10"/>
      <c r="R2369" s="10"/>
      <c r="S2369" s="10"/>
    </row>
    <row r="2370" spans="10:19">
      <c r="J2370" s="10"/>
      <c r="K2370" s="1127"/>
      <c r="L2370" s="10"/>
      <c r="M2370" s="10"/>
      <c r="N2370" s="10"/>
      <c r="O2370" s="10"/>
      <c r="P2370" s="10"/>
      <c r="Q2370" s="10"/>
      <c r="R2370" s="10"/>
      <c r="S2370" s="10"/>
    </row>
    <row r="2371" spans="10:19">
      <c r="J2371" s="10"/>
      <c r="K2371" s="1127"/>
      <c r="L2371" s="10"/>
      <c r="M2371" s="10"/>
      <c r="N2371" s="10"/>
      <c r="O2371" s="10"/>
      <c r="P2371" s="10"/>
      <c r="Q2371" s="10"/>
      <c r="R2371" s="10"/>
      <c r="S2371" s="10"/>
    </row>
    <row r="2372" spans="10:19">
      <c r="J2372" s="10"/>
      <c r="K2372" s="1127"/>
      <c r="L2372" s="10"/>
      <c r="M2372" s="10"/>
      <c r="N2372" s="10"/>
      <c r="O2372" s="10"/>
      <c r="P2372" s="10"/>
      <c r="Q2372" s="10"/>
      <c r="R2372" s="10"/>
      <c r="S2372" s="10"/>
    </row>
    <row r="2373" spans="10:19">
      <c r="J2373" s="10"/>
      <c r="K2373" s="1127"/>
      <c r="L2373" s="10"/>
      <c r="M2373" s="10"/>
      <c r="N2373" s="10"/>
      <c r="O2373" s="10"/>
      <c r="P2373" s="10"/>
      <c r="Q2373" s="10"/>
      <c r="R2373" s="10"/>
      <c r="S2373" s="10"/>
    </row>
    <row r="2374" spans="10:19">
      <c r="J2374" s="10"/>
      <c r="K2374" s="1127"/>
      <c r="L2374" s="10"/>
      <c r="M2374" s="10"/>
      <c r="N2374" s="10"/>
      <c r="O2374" s="10"/>
      <c r="P2374" s="10"/>
      <c r="Q2374" s="10"/>
      <c r="R2374" s="10"/>
      <c r="S2374" s="10"/>
    </row>
    <row r="2375" spans="10:19">
      <c r="J2375" s="10"/>
      <c r="K2375" s="1127"/>
      <c r="L2375" s="10"/>
      <c r="M2375" s="10"/>
      <c r="N2375" s="10"/>
      <c r="O2375" s="10"/>
      <c r="P2375" s="10"/>
      <c r="Q2375" s="10"/>
      <c r="R2375" s="10"/>
      <c r="S2375" s="10"/>
    </row>
    <row r="2376" spans="10:19">
      <c r="J2376" s="10"/>
      <c r="K2376" s="1127"/>
      <c r="L2376" s="10"/>
      <c r="M2376" s="10"/>
      <c r="N2376" s="10"/>
      <c r="O2376" s="10"/>
      <c r="P2376" s="10"/>
      <c r="Q2376" s="10"/>
      <c r="R2376" s="10"/>
      <c r="S2376" s="10"/>
    </row>
    <row r="2377" spans="10:19">
      <c r="J2377" s="10"/>
      <c r="K2377" s="1127"/>
      <c r="L2377" s="10"/>
      <c r="M2377" s="10"/>
      <c r="N2377" s="10"/>
      <c r="O2377" s="10"/>
      <c r="P2377" s="10"/>
      <c r="Q2377" s="10"/>
      <c r="R2377" s="10"/>
      <c r="S2377" s="10"/>
    </row>
    <row r="2378" spans="10:19">
      <c r="J2378" s="10"/>
      <c r="K2378" s="1127"/>
      <c r="L2378" s="10"/>
      <c r="M2378" s="10"/>
      <c r="N2378" s="10"/>
      <c r="O2378" s="10"/>
      <c r="P2378" s="10"/>
      <c r="Q2378" s="10"/>
      <c r="R2378" s="10"/>
      <c r="S2378" s="10"/>
    </row>
    <row r="2379" spans="10:19">
      <c r="J2379" s="10"/>
      <c r="K2379" s="1127"/>
      <c r="L2379" s="10"/>
      <c r="M2379" s="10"/>
      <c r="N2379" s="10"/>
      <c r="O2379" s="10"/>
      <c r="P2379" s="10"/>
      <c r="Q2379" s="10"/>
      <c r="R2379" s="10"/>
      <c r="S2379" s="10"/>
    </row>
    <row r="2380" spans="10:19">
      <c r="J2380" s="10"/>
      <c r="K2380" s="1127"/>
      <c r="L2380" s="10"/>
      <c r="M2380" s="10"/>
      <c r="N2380" s="10"/>
      <c r="O2380" s="10"/>
      <c r="P2380" s="10"/>
      <c r="Q2380" s="10"/>
      <c r="R2380" s="10"/>
      <c r="S2380" s="10"/>
    </row>
    <row r="2381" spans="10:19">
      <c r="J2381" s="10"/>
      <c r="K2381" s="1127"/>
      <c r="L2381" s="10"/>
      <c r="M2381" s="10"/>
      <c r="N2381" s="10"/>
      <c r="O2381" s="10"/>
      <c r="P2381" s="10"/>
      <c r="Q2381" s="10"/>
      <c r="R2381" s="10"/>
      <c r="S2381" s="10"/>
    </row>
    <row r="2382" spans="10:19">
      <c r="J2382" s="10"/>
      <c r="K2382" s="1127"/>
      <c r="L2382" s="10"/>
      <c r="M2382" s="10"/>
      <c r="N2382" s="10"/>
      <c r="O2382" s="10"/>
      <c r="P2382" s="10"/>
      <c r="Q2382" s="10"/>
      <c r="R2382" s="10"/>
      <c r="S2382" s="10"/>
    </row>
    <row r="2383" spans="10:19">
      <c r="J2383" s="10"/>
      <c r="K2383" s="1127"/>
      <c r="L2383" s="10"/>
      <c r="M2383" s="10"/>
      <c r="N2383" s="10"/>
      <c r="O2383" s="10"/>
      <c r="P2383" s="10"/>
      <c r="Q2383" s="10"/>
      <c r="R2383" s="10"/>
      <c r="S2383" s="10"/>
    </row>
    <row r="2384" spans="10:19">
      <c r="J2384" s="10"/>
      <c r="K2384" s="1127"/>
      <c r="L2384" s="10"/>
      <c r="M2384" s="10"/>
      <c r="N2384" s="10"/>
      <c r="O2384" s="10"/>
      <c r="P2384" s="10"/>
      <c r="Q2384" s="10"/>
      <c r="R2384" s="10"/>
      <c r="S2384" s="10"/>
    </row>
    <row r="2385" spans="10:19">
      <c r="J2385" s="10"/>
      <c r="K2385" s="1127"/>
      <c r="L2385" s="10"/>
      <c r="M2385" s="10"/>
      <c r="N2385" s="10"/>
      <c r="O2385" s="10"/>
      <c r="P2385" s="10"/>
      <c r="Q2385" s="10"/>
      <c r="R2385" s="10"/>
      <c r="S2385" s="10"/>
    </row>
    <row r="2386" spans="10:19">
      <c r="J2386" s="10"/>
      <c r="K2386" s="1127"/>
      <c r="L2386" s="10"/>
      <c r="M2386" s="10"/>
      <c r="N2386" s="10"/>
      <c r="O2386" s="10"/>
      <c r="P2386" s="10"/>
      <c r="Q2386" s="10"/>
      <c r="R2386" s="10"/>
      <c r="S2386" s="10"/>
    </row>
    <row r="2387" spans="10:19">
      <c r="J2387" s="10"/>
      <c r="K2387" s="1127"/>
      <c r="L2387" s="10"/>
      <c r="M2387" s="10"/>
      <c r="N2387" s="10"/>
      <c r="O2387" s="10"/>
      <c r="P2387" s="10"/>
      <c r="Q2387" s="10"/>
      <c r="R2387" s="10"/>
      <c r="S2387" s="10"/>
    </row>
    <row r="2388" spans="10:19">
      <c r="J2388" s="10"/>
      <c r="K2388" s="1127"/>
      <c r="L2388" s="10"/>
      <c r="M2388" s="10"/>
      <c r="N2388" s="10"/>
      <c r="O2388" s="10"/>
      <c r="P2388" s="10"/>
      <c r="Q2388" s="10"/>
      <c r="R2388" s="10"/>
      <c r="S2388" s="10"/>
    </row>
    <row r="2389" spans="10:19">
      <c r="J2389" s="10"/>
      <c r="K2389" s="1127"/>
      <c r="L2389" s="10"/>
      <c r="M2389" s="10"/>
      <c r="N2389" s="10"/>
      <c r="O2389" s="10"/>
      <c r="P2389" s="10"/>
      <c r="Q2389" s="10"/>
      <c r="R2389" s="10"/>
      <c r="S2389" s="10"/>
    </row>
    <row r="2390" spans="10:19">
      <c r="J2390" s="10"/>
      <c r="K2390" s="1127"/>
      <c r="L2390" s="10"/>
      <c r="M2390" s="10"/>
      <c r="N2390" s="10"/>
      <c r="O2390" s="10"/>
      <c r="P2390" s="10"/>
      <c r="Q2390" s="10"/>
      <c r="R2390" s="10"/>
      <c r="S2390" s="10"/>
    </row>
    <row r="2391" spans="10:19">
      <c r="J2391" s="10"/>
      <c r="K2391" s="1127"/>
      <c r="L2391" s="10"/>
      <c r="M2391" s="10"/>
      <c r="N2391" s="10"/>
      <c r="O2391" s="10"/>
      <c r="P2391" s="10"/>
      <c r="Q2391" s="10"/>
      <c r="R2391" s="10"/>
      <c r="S2391" s="10"/>
    </row>
    <row r="2392" spans="10:19">
      <c r="J2392" s="10"/>
      <c r="K2392" s="1127"/>
      <c r="L2392" s="10"/>
      <c r="M2392" s="10"/>
      <c r="N2392" s="10"/>
      <c r="O2392" s="10"/>
      <c r="P2392" s="10"/>
      <c r="Q2392" s="10"/>
      <c r="R2392" s="10"/>
      <c r="S2392" s="10"/>
    </row>
    <row r="2393" spans="10:19">
      <c r="J2393" s="10"/>
      <c r="K2393" s="1127"/>
      <c r="L2393" s="10"/>
      <c r="M2393" s="10"/>
      <c r="N2393" s="10"/>
      <c r="O2393" s="10"/>
      <c r="P2393" s="10"/>
      <c r="Q2393" s="10"/>
      <c r="R2393" s="10"/>
      <c r="S2393" s="10"/>
    </row>
    <row r="2394" spans="10:19">
      <c r="J2394" s="10"/>
      <c r="K2394" s="1127"/>
      <c r="L2394" s="10"/>
      <c r="M2394" s="10"/>
      <c r="N2394" s="10"/>
      <c r="O2394" s="10"/>
      <c r="P2394" s="10"/>
      <c r="Q2394" s="10"/>
      <c r="R2394" s="10"/>
      <c r="S2394" s="10"/>
    </row>
    <row r="2395" spans="10:19">
      <c r="J2395" s="10"/>
      <c r="K2395" s="1127"/>
      <c r="L2395" s="10"/>
      <c r="M2395" s="10"/>
      <c r="N2395" s="10"/>
      <c r="O2395" s="10"/>
      <c r="P2395" s="10"/>
      <c r="Q2395" s="10"/>
      <c r="R2395" s="10"/>
      <c r="S2395" s="10"/>
    </row>
    <row r="2396" spans="10:19">
      <c r="J2396" s="10"/>
      <c r="K2396" s="1127"/>
      <c r="L2396" s="10"/>
      <c r="M2396" s="10"/>
      <c r="N2396" s="10"/>
      <c r="O2396" s="10"/>
      <c r="P2396" s="10"/>
      <c r="Q2396" s="10"/>
      <c r="R2396" s="10"/>
      <c r="S2396" s="10"/>
    </row>
    <row r="2397" spans="10:19">
      <c r="J2397" s="10"/>
      <c r="K2397" s="1127"/>
      <c r="L2397" s="10"/>
      <c r="M2397" s="10"/>
      <c r="N2397" s="10"/>
      <c r="O2397" s="10"/>
      <c r="P2397" s="10"/>
      <c r="Q2397" s="10"/>
      <c r="R2397" s="10"/>
      <c r="S2397" s="10"/>
    </row>
    <row r="2398" spans="10:19">
      <c r="J2398" s="10"/>
      <c r="K2398" s="1127"/>
      <c r="L2398" s="10"/>
      <c r="M2398" s="10"/>
      <c r="N2398" s="10"/>
      <c r="O2398" s="10"/>
      <c r="P2398" s="10"/>
      <c r="Q2398" s="10"/>
      <c r="R2398" s="10"/>
      <c r="S2398" s="10"/>
    </row>
    <row r="2399" spans="10:19">
      <c r="J2399" s="10"/>
      <c r="K2399" s="1127"/>
      <c r="L2399" s="10"/>
      <c r="M2399" s="10"/>
      <c r="N2399" s="10"/>
      <c r="O2399" s="10"/>
      <c r="P2399" s="10"/>
      <c r="Q2399" s="10"/>
      <c r="R2399" s="10"/>
      <c r="S2399" s="10"/>
    </row>
    <row r="2400" spans="10:19">
      <c r="J2400" s="10"/>
      <c r="K2400" s="1127"/>
      <c r="L2400" s="10"/>
      <c r="M2400" s="10"/>
      <c r="N2400" s="10"/>
      <c r="O2400" s="10"/>
      <c r="P2400" s="10"/>
      <c r="Q2400" s="10"/>
      <c r="R2400" s="10"/>
      <c r="S2400" s="10"/>
    </row>
    <row r="2401" spans="10:19">
      <c r="J2401" s="10"/>
      <c r="K2401" s="1127"/>
      <c r="L2401" s="10"/>
      <c r="M2401" s="10"/>
      <c r="N2401" s="10"/>
      <c r="O2401" s="10"/>
      <c r="P2401" s="10"/>
      <c r="Q2401" s="10"/>
      <c r="R2401" s="10"/>
      <c r="S2401" s="10"/>
    </row>
    <row r="2402" spans="10:19">
      <c r="J2402" s="10"/>
      <c r="K2402" s="1127"/>
      <c r="L2402" s="10"/>
      <c r="M2402" s="10"/>
      <c r="N2402" s="10"/>
      <c r="O2402" s="10"/>
      <c r="P2402" s="10"/>
      <c r="Q2402" s="10"/>
      <c r="R2402" s="10"/>
      <c r="S2402" s="10"/>
    </row>
    <row r="2403" spans="10:19">
      <c r="J2403" s="10"/>
      <c r="K2403" s="1127"/>
      <c r="L2403" s="10"/>
      <c r="M2403" s="10"/>
      <c r="N2403" s="10"/>
      <c r="O2403" s="10"/>
      <c r="P2403" s="10"/>
      <c r="Q2403" s="10"/>
      <c r="R2403" s="10"/>
      <c r="S2403" s="10"/>
    </row>
    <row r="2404" spans="10:19">
      <c r="J2404" s="10"/>
      <c r="K2404" s="1127"/>
      <c r="L2404" s="10"/>
      <c r="M2404" s="10"/>
      <c r="N2404" s="10"/>
      <c r="O2404" s="10"/>
      <c r="P2404" s="10"/>
      <c r="Q2404" s="10"/>
      <c r="R2404" s="10"/>
      <c r="S2404" s="10"/>
    </row>
    <row r="2405" spans="10:19">
      <c r="J2405" s="10"/>
      <c r="K2405" s="1127"/>
      <c r="L2405" s="10"/>
      <c r="M2405" s="10"/>
      <c r="N2405" s="10"/>
      <c r="O2405" s="10"/>
      <c r="P2405" s="10"/>
      <c r="Q2405" s="10"/>
      <c r="R2405" s="10"/>
      <c r="S2405" s="10"/>
    </row>
    <row r="2406" spans="10:19">
      <c r="J2406" s="10"/>
      <c r="K2406" s="1127"/>
      <c r="L2406" s="10"/>
      <c r="M2406" s="10"/>
      <c r="N2406" s="10"/>
      <c r="O2406" s="10"/>
      <c r="P2406" s="10"/>
      <c r="Q2406" s="10"/>
      <c r="R2406" s="10"/>
      <c r="S2406" s="10"/>
    </row>
    <row r="2407" spans="10:19">
      <c r="J2407" s="10"/>
      <c r="K2407" s="1127"/>
      <c r="L2407" s="10"/>
      <c r="M2407" s="10"/>
      <c r="N2407" s="10"/>
      <c r="O2407" s="10"/>
      <c r="P2407" s="10"/>
      <c r="Q2407" s="10"/>
      <c r="R2407" s="10"/>
      <c r="S2407" s="10"/>
    </row>
    <row r="2408" spans="10:19">
      <c r="J2408" s="10"/>
      <c r="K2408" s="1127"/>
      <c r="L2408" s="10"/>
      <c r="M2408" s="10"/>
      <c r="N2408" s="10"/>
      <c r="O2408" s="10"/>
      <c r="P2408" s="10"/>
      <c r="Q2408" s="10"/>
      <c r="R2408" s="10"/>
      <c r="S2408" s="10"/>
    </row>
    <row r="2409" spans="10:19">
      <c r="J2409" s="10"/>
      <c r="K2409" s="1127"/>
      <c r="L2409" s="10"/>
      <c r="M2409" s="10"/>
      <c r="N2409" s="10"/>
      <c r="O2409" s="10"/>
      <c r="P2409" s="10"/>
      <c r="Q2409" s="10"/>
      <c r="R2409" s="10"/>
      <c r="S2409" s="10"/>
    </row>
    <row r="2410" spans="10:19">
      <c r="J2410" s="10"/>
      <c r="K2410" s="1127"/>
      <c r="L2410" s="10"/>
      <c r="M2410" s="10"/>
      <c r="N2410" s="10"/>
      <c r="O2410" s="10"/>
      <c r="P2410" s="10"/>
      <c r="Q2410" s="10"/>
      <c r="R2410" s="10"/>
      <c r="S2410" s="10"/>
    </row>
    <row r="2411" spans="10:19">
      <c r="J2411" s="10"/>
      <c r="K2411" s="1127"/>
      <c r="L2411" s="10"/>
      <c r="M2411" s="10"/>
      <c r="N2411" s="10"/>
      <c r="O2411" s="10"/>
      <c r="P2411" s="10"/>
      <c r="Q2411" s="10"/>
      <c r="R2411" s="10"/>
      <c r="S2411" s="10"/>
    </row>
    <row r="2412" spans="10:19">
      <c r="J2412" s="10"/>
      <c r="K2412" s="1127"/>
      <c r="L2412" s="10"/>
      <c r="M2412" s="10"/>
      <c r="N2412" s="10"/>
      <c r="O2412" s="10"/>
      <c r="P2412" s="10"/>
      <c r="Q2412" s="10"/>
      <c r="R2412" s="10"/>
      <c r="S2412" s="10"/>
    </row>
    <row r="2413" spans="10:19">
      <c r="J2413" s="10"/>
      <c r="K2413" s="1127"/>
      <c r="L2413" s="10"/>
      <c r="M2413" s="10"/>
      <c r="N2413" s="10"/>
      <c r="O2413" s="10"/>
      <c r="P2413" s="10"/>
      <c r="Q2413" s="10"/>
      <c r="R2413" s="10"/>
      <c r="S2413" s="10"/>
    </row>
    <row r="2414" spans="10:19">
      <c r="J2414" s="10"/>
      <c r="K2414" s="1127"/>
      <c r="L2414" s="10"/>
      <c r="M2414" s="10"/>
      <c r="N2414" s="10"/>
      <c r="O2414" s="10"/>
      <c r="P2414" s="10"/>
      <c r="Q2414" s="10"/>
      <c r="R2414" s="10"/>
      <c r="S2414" s="10"/>
    </row>
    <row r="2415" spans="10:19">
      <c r="J2415" s="10"/>
      <c r="K2415" s="1127"/>
      <c r="L2415" s="10"/>
      <c r="M2415" s="10"/>
      <c r="N2415" s="10"/>
      <c r="O2415" s="10"/>
      <c r="P2415" s="10"/>
      <c r="Q2415" s="10"/>
      <c r="R2415" s="10"/>
      <c r="S2415" s="10"/>
    </row>
    <row r="2416" spans="10:19">
      <c r="J2416" s="10"/>
      <c r="K2416" s="1127"/>
      <c r="L2416" s="10"/>
      <c r="M2416" s="10"/>
      <c r="N2416" s="10"/>
      <c r="O2416" s="10"/>
      <c r="P2416" s="10"/>
      <c r="Q2416" s="10"/>
      <c r="R2416" s="10"/>
      <c r="S2416" s="10"/>
    </row>
    <row r="2417" spans="10:19">
      <c r="J2417" s="10"/>
      <c r="K2417" s="1127"/>
      <c r="L2417" s="10"/>
      <c r="M2417" s="10"/>
      <c r="N2417" s="10"/>
      <c r="O2417" s="10"/>
      <c r="P2417" s="10"/>
      <c r="Q2417" s="10"/>
      <c r="R2417" s="10"/>
      <c r="S2417" s="10"/>
    </row>
    <row r="2418" spans="10:19">
      <c r="J2418" s="10"/>
      <c r="K2418" s="1127"/>
      <c r="L2418" s="10"/>
      <c r="M2418" s="10"/>
      <c r="N2418" s="10"/>
      <c r="O2418" s="10"/>
      <c r="P2418" s="10"/>
      <c r="Q2418" s="10"/>
      <c r="R2418" s="10"/>
      <c r="S2418" s="10"/>
    </row>
    <row r="2419" spans="10:19">
      <c r="J2419" s="10"/>
      <c r="K2419" s="1127"/>
      <c r="L2419" s="10"/>
      <c r="M2419" s="10"/>
      <c r="N2419" s="10"/>
      <c r="O2419" s="10"/>
      <c r="P2419" s="10"/>
      <c r="Q2419" s="10"/>
      <c r="R2419" s="10"/>
      <c r="S2419" s="10"/>
    </row>
    <row r="2420" spans="10:19">
      <c r="J2420" s="10"/>
      <c r="K2420" s="1127"/>
      <c r="L2420" s="10"/>
      <c r="M2420" s="10"/>
      <c r="N2420" s="10"/>
      <c r="O2420" s="10"/>
      <c r="P2420" s="10"/>
      <c r="Q2420" s="10"/>
      <c r="R2420" s="10"/>
      <c r="S2420" s="10"/>
    </row>
    <row r="2421" spans="10:19">
      <c r="J2421" s="10"/>
      <c r="K2421" s="1127"/>
      <c r="L2421" s="10"/>
      <c r="M2421" s="10"/>
      <c r="N2421" s="10"/>
      <c r="O2421" s="10"/>
      <c r="P2421" s="10"/>
      <c r="Q2421" s="10"/>
      <c r="R2421" s="10"/>
      <c r="S2421" s="10"/>
    </row>
    <row r="2422" spans="10:19">
      <c r="J2422" s="10"/>
      <c r="K2422" s="1127"/>
      <c r="L2422" s="10"/>
      <c r="M2422" s="10"/>
      <c r="N2422" s="10"/>
      <c r="O2422" s="10"/>
      <c r="P2422" s="10"/>
      <c r="Q2422" s="10"/>
      <c r="R2422" s="10"/>
      <c r="S2422" s="10"/>
    </row>
    <row r="2423" spans="10:19">
      <c r="J2423" s="10"/>
      <c r="K2423" s="1127"/>
      <c r="L2423" s="10"/>
      <c r="M2423" s="10"/>
      <c r="N2423" s="10"/>
      <c r="O2423" s="10"/>
      <c r="P2423" s="10"/>
      <c r="Q2423" s="10"/>
      <c r="R2423" s="10"/>
      <c r="S2423" s="10"/>
    </row>
    <row r="2424" spans="10:19">
      <c r="J2424" s="10"/>
      <c r="K2424" s="1127"/>
      <c r="L2424" s="10"/>
      <c r="M2424" s="10"/>
      <c r="N2424" s="10"/>
      <c r="O2424" s="10"/>
      <c r="P2424" s="10"/>
      <c r="Q2424" s="10"/>
      <c r="R2424" s="10"/>
      <c r="S2424" s="10"/>
    </row>
    <row r="2425" spans="10:19">
      <c r="J2425" s="10"/>
      <c r="K2425" s="1127"/>
      <c r="L2425" s="10"/>
      <c r="M2425" s="10"/>
      <c r="N2425" s="10"/>
      <c r="O2425" s="10"/>
      <c r="P2425" s="10"/>
      <c r="Q2425" s="10"/>
      <c r="R2425" s="10"/>
      <c r="S2425" s="10"/>
    </row>
    <row r="2426" spans="10:19">
      <c r="J2426" s="10"/>
      <c r="K2426" s="1127"/>
      <c r="L2426" s="10"/>
      <c r="M2426" s="10"/>
      <c r="N2426" s="10"/>
      <c r="O2426" s="10"/>
      <c r="P2426" s="10"/>
      <c r="Q2426" s="10"/>
      <c r="R2426" s="10"/>
      <c r="S2426" s="10"/>
    </row>
    <row r="2427" spans="10:19">
      <c r="J2427" s="10"/>
      <c r="K2427" s="1127"/>
      <c r="L2427" s="10"/>
      <c r="M2427" s="10"/>
      <c r="N2427" s="10"/>
      <c r="O2427" s="10"/>
      <c r="P2427" s="10"/>
      <c r="Q2427" s="10"/>
      <c r="R2427" s="10"/>
      <c r="S2427" s="10"/>
    </row>
    <row r="2428" spans="10:19">
      <c r="J2428" s="10"/>
      <c r="K2428" s="1127"/>
      <c r="L2428" s="10"/>
      <c r="M2428" s="10"/>
      <c r="N2428" s="10"/>
      <c r="O2428" s="10"/>
      <c r="P2428" s="10"/>
      <c r="Q2428" s="10"/>
      <c r="R2428" s="10"/>
      <c r="S2428" s="10"/>
    </row>
    <row r="2429" spans="10:19">
      <c r="J2429" s="10"/>
      <c r="K2429" s="1127"/>
      <c r="L2429" s="10"/>
      <c r="M2429" s="10"/>
      <c r="N2429" s="10"/>
      <c r="O2429" s="10"/>
      <c r="P2429" s="10"/>
      <c r="Q2429" s="10"/>
      <c r="R2429" s="10"/>
      <c r="S2429" s="10"/>
    </row>
    <row r="2430" spans="10:19">
      <c r="J2430" s="10"/>
      <c r="K2430" s="1127"/>
      <c r="L2430" s="10"/>
      <c r="M2430" s="10"/>
      <c r="N2430" s="10"/>
      <c r="O2430" s="10"/>
      <c r="P2430" s="10"/>
      <c r="Q2430" s="10"/>
      <c r="R2430" s="10"/>
      <c r="S2430" s="10"/>
    </row>
    <row r="2431" spans="10:19">
      <c r="J2431" s="10"/>
      <c r="K2431" s="1127"/>
      <c r="L2431" s="10"/>
      <c r="M2431" s="10"/>
      <c r="N2431" s="10"/>
      <c r="O2431" s="10"/>
      <c r="P2431" s="10"/>
      <c r="Q2431" s="10"/>
      <c r="R2431" s="10"/>
      <c r="S2431" s="10"/>
    </row>
    <row r="2432" spans="10:19">
      <c r="J2432" s="10"/>
      <c r="K2432" s="1127"/>
      <c r="L2432" s="10"/>
      <c r="M2432" s="10"/>
      <c r="N2432" s="10"/>
      <c r="O2432" s="10"/>
      <c r="P2432" s="10"/>
      <c r="Q2432" s="10"/>
      <c r="R2432" s="10"/>
      <c r="S2432" s="10"/>
    </row>
    <row r="2433" spans="10:19">
      <c r="J2433" s="10"/>
      <c r="K2433" s="1127"/>
      <c r="L2433" s="10"/>
      <c r="M2433" s="10"/>
      <c r="N2433" s="10"/>
      <c r="O2433" s="10"/>
      <c r="P2433" s="10"/>
      <c r="Q2433" s="10"/>
      <c r="R2433" s="10"/>
      <c r="S2433" s="10"/>
    </row>
    <row r="2434" spans="10:19">
      <c r="J2434" s="10"/>
      <c r="K2434" s="1127"/>
      <c r="L2434" s="10"/>
      <c r="M2434" s="10"/>
      <c r="N2434" s="10"/>
      <c r="O2434" s="10"/>
      <c r="P2434" s="10"/>
      <c r="Q2434" s="10"/>
      <c r="R2434" s="10"/>
      <c r="S2434" s="10"/>
    </row>
    <row r="2435" spans="10:19">
      <c r="J2435" s="10"/>
      <c r="K2435" s="1127"/>
      <c r="L2435" s="10"/>
      <c r="M2435" s="10"/>
      <c r="N2435" s="10"/>
      <c r="O2435" s="10"/>
      <c r="P2435" s="10"/>
      <c r="Q2435" s="10"/>
      <c r="R2435" s="10"/>
      <c r="S2435" s="10"/>
    </row>
    <row r="2436" spans="10:19">
      <c r="J2436" s="10"/>
      <c r="K2436" s="1127"/>
      <c r="L2436" s="10"/>
      <c r="M2436" s="10"/>
      <c r="N2436" s="10"/>
      <c r="O2436" s="10"/>
      <c r="P2436" s="10"/>
      <c r="Q2436" s="10"/>
      <c r="R2436" s="10"/>
      <c r="S2436" s="10"/>
    </row>
    <row r="2437" spans="10:19">
      <c r="J2437" s="10"/>
      <c r="K2437" s="1127"/>
      <c r="L2437" s="10"/>
      <c r="M2437" s="10"/>
      <c r="N2437" s="10"/>
      <c r="O2437" s="10"/>
      <c r="P2437" s="10"/>
      <c r="Q2437" s="10"/>
      <c r="R2437" s="10"/>
      <c r="S2437" s="10"/>
    </row>
    <row r="2438" spans="10:19">
      <c r="J2438" s="10"/>
      <c r="K2438" s="1127"/>
      <c r="L2438" s="10"/>
      <c r="M2438" s="10"/>
      <c r="N2438" s="10"/>
      <c r="O2438" s="10"/>
      <c r="P2438" s="10"/>
      <c r="Q2438" s="10"/>
      <c r="R2438" s="10"/>
      <c r="S2438" s="10"/>
    </row>
    <row r="2439" spans="10:19">
      <c r="J2439" s="10"/>
      <c r="K2439" s="1127"/>
      <c r="L2439" s="10"/>
      <c r="M2439" s="10"/>
      <c r="N2439" s="10"/>
      <c r="O2439" s="10"/>
      <c r="P2439" s="10"/>
      <c r="Q2439" s="10"/>
      <c r="R2439" s="10"/>
      <c r="S2439" s="10"/>
    </row>
    <row r="2440" spans="10:19">
      <c r="J2440" s="10"/>
      <c r="K2440" s="1127"/>
      <c r="L2440" s="10"/>
      <c r="M2440" s="10"/>
      <c r="N2440" s="10"/>
      <c r="O2440" s="10"/>
      <c r="P2440" s="10"/>
      <c r="Q2440" s="10"/>
      <c r="R2440" s="10"/>
      <c r="S2440" s="10"/>
    </row>
    <row r="2441" spans="10:19">
      <c r="J2441" s="10"/>
      <c r="K2441" s="1127"/>
      <c r="L2441" s="10"/>
      <c r="M2441" s="10"/>
      <c r="N2441" s="10"/>
      <c r="O2441" s="10"/>
      <c r="P2441" s="10"/>
      <c r="Q2441" s="10"/>
      <c r="R2441" s="10"/>
      <c r="S2441" s="10"/>
    </row>
    <row r="2442" spans="10:19">
      <c r="J2442" s="10"/>
      <c r="K2442" s="1127"/>
      <c r="L2442" s="10"/>
      <c r="M2442" s="10"/>
      <c r="N2442" s="10"/>
      <c r="O2442" s="10"/>
      <c r="P2442" s="10"/>
      <c r="Q2442" s="10"/>
      <c r="R2442" s="10"/>
      <c r="S2442" s="10"/>
    </row>
    <row r="2443" spans="10:19">
      <c r="J2443" s="10"/>
      <c r="K2443" s="1127"/>
      <c r="L2443" s="10"/>
      <c r="M2443" s="10"/>
      <c r="N2443" s="10"/>
      <c r="O2443" s="10"/>
      <c r="P2443" s="10"/>
      <c r="Q2443" s="10"/>
      <c r="R2443" s="10"/>
      <c r="S2443" s="10"/>
    </row>
    <row r="2444" spans="10:19">
      <c r="J2444" s="10"/>
      <c r="K2444" s="1127"/>
      <c r="L2444" s="10"/>
      <c r="M2444" s="10"/>
      <c r="N2444" s="10"/>
      <c r="O2444" s="10"/>
      <c r="P2444" s="10"/>
      <c r="Q2444" s="10"/>
      <c r="R2444" s="10"/>
      <c r="S2444" s="10"/>
    </row>
    <row r="2445" spans="10:19">
      <c r="J2445" s="10"/>
      <c r="K2445" s="1127"/>
      <c r="L2445" s="10"/>
      <c r="M2445" s="10"/>
      <c r="N2445" s="10"/>
      <c r="O2445" s="10"/>
      <c r="P2445" s="10"/>
      <c r="Q2445" s="10"/>
      <c r="R2445" s="10"/>
      <c r="S2445" s="10"/>
    </row>
    <row r="2446" spans="10:19">
      <c r="J2446" s="10"/>
      <c r="K2446" s="1127"/>
      <c r="L2446" s="10"/>
      <c r="M2446" s="10"/>
      <c r="N2446" s="10"/>
      <c r="O2446" s="10"/>
      <c r="P2446" s="10"/>
      <c r="Q2446" s="10"/>
      <c r="R2446" s="10"/>
      <c r="S2446" s="10"/>
    </row>
    <row r="2447" spans="10:19">
      <c r="J2447" s="10"/>
      <c r="K2447" s="1127"/>
      <c r="L2447" s="10"/>
      <c r="M2447" s="10"/>
      <c r="N2447" s="10"/>
      <c r="O2447" s="10"/>
      <c r="P2447" s="10"/>
      <c r="Q2447" s="10"/>
      <c r="R2447" s="10"/>
      <c r="S2447" s="10"/>
    </row>
    <row r="2448" spans="10:19">
      <c r="J2448" s="10"/>
      <c r="K2448" s="1127"/>
      <c r="L2448" s="10"/>
      <c r="M2448" s="10"/>
      <c r="N2448" s="10"/>
      <c r="O2448" s="10"/>
      <c r="P2448" s="10"/>
      <c r="Q2448" s="10"/>
      <c r="R2448" s="10"/>
      <c r="S2448" s="10"/>
    </row>
    <row r="2449" spans="10:19">
      <c r="J2449" s="10"/>
      <c r="K2449" s="1127"/>
      <c r="L2449" s="10"/>
      <c r="M2449" s="10"/>
      <c r="N2449" s="10"/>
      <c r="O2449" s="10"/>
      <c r="P2449" s="10"/>
      <c r="Q2449" s="10"/>
      <c r="R2449" s="10"/>
      <c r="S2449" s="10"/>
    </row>
    <row r="2450" spans="10:19">
      <c r="J2450" s="10"/>
      <c r="K2450" s="1127"/>
      <c r="L2450" s="10"/>
      <c r="M2450" s="10"/>
      <c r="N2450" s="10"/>
      <c r="O2450" s="10"/>
      <c r="P2450" s="10"/>
      <c r="Q2450" s="10"/>
      <c r="R2450" s="10"/>
      <c r="S2450" s="10"/>
    </row>
    <row r="2451" spans="10:19">
      <c r="J2451" s="10"/>
      <c r="K2451" s="1127"/>
      <c r="L2451" s="10"/>
      <c r="M2451" s="10"/>
      <c r="N2451" s="10"/>
      <c r="O2451" s="10"/>
      <c r="P2451" s="10"/>
      <c r="Q2451" s="10"/>
      <c r="R2451" s="10"/>
      <c r="S2451" s="10"/>
    </row>
    <row r="2452" spans="10:19">
      <c r="J2452" s="10"/>
      <c r="K2452" s="1127"/>
      <c r="L2452" s="10"/>
      <c r="M2452" s="10"/>
      <c r="N2452" s="10"/>
      <c r="O2452" s="10"/>
      <c r="P2452" s="10"/>
      <c r="Q2452" s="10"/>
      <c r="R2452" s="10"/>
      <c r="S2452" s="10"/>
    </row>
    <row r="2453" spans="10:19">
      <c r="J2453" s="10"/>
      <c r="K2453" s="1127"/>
      <c r="L2453" s="10"/>
      <c r="M2453" s="10"/>
      <c r="N2453" s="10"/>
      <c r="O2453" s="10"/>
      <c r="P2453" s="10"/>
      <c r="Q2453" s="10"/>
      <c r="R2453" s="10"/>
      <c r="S2453" s="10"/>
    </row>
    <row r="2454" spans="10:19">
      <c r="J2454" s="10"/>
      <c r="K2454" s="1127"/>
      <c r="L2454" s="10"/>
      <c r="M2454" s="10"/>
      <c r="N2454" s="10"/>
      <c r="O2454" s="10"/>
      <c r="P2454" s="10"/>
      <c r="Q2454" s="10"/>
      <c r="R2454" s="10"/>
      <c r="S2454" s="10"/>
    </row>
    <row r="2455" spans="10:19">
      <c r="J2455" s="10"/>
      <c r="K2455" s="1127"/>
      <c r="L2455" s="10"/>
      <c r="M2455" s="10"/>
      <c r="N2455" s="10"/>
      <c r="O2455" s="10"/>
      <c r="P2455" s="10"/>
      <c r="Q2455" s="10"/>
      <c r="R2455" s="10"/>
      <c r="S2455" s="10"/>
    </row>
    <row r="2456" spans="10:19">
      <c r="J2456" s="10"/>
      <c r="K2456" s="1127"/>
      <c r="L2456" s="10"/>
      <c r="M2456" s="10"/>
      <c r="N2456" s="10"/>
      <c r="O2456" s="10"/>
      <c r="P2456" s="10"/>
      <c r="Q2456" s="10"/>
      <c r="R2456" s="10"/>
      <c r="S2456" s="10"/>
    </row>
    <row r="2457" spans="10:19">
      <c r="J2457" s="10"/>
      <c r="K2457" s="1127"/>
      <c r="L2457" s="10"/>
      <c r="M2457" s="10"/>
      <c r="N2457" s="10"/>
      <c r="O2457" s="10"/>
      <c r="P2457" s="10"/>
      <c r="Q2457" s="10"/>
      <c r="R2457" s="10"/>
      <c r="S2457" s="10"/>
    </row>
    <row r="2458" spans="10:19">
      <c r="J2458" s="10"/>
      <c r="K2458" s="1127"/>
      <c r="L2458" s="10"/>
      <c r="M2458" s="10"/>
      <c r="N2458" s="10"/>
      <c r="O2458" s="10"/>
      <c r="P2458" s="10"/>
      <c r="Q2458" s="10"/>
      <c r="R2458" s="10"/>
      <c r="S2458" s="10"/>
    </row>
    <row r="2459" spans="10:19">
      <c r="J2459" s="10"/>
      <c r="K2459" s="1127"/>
      <c r="L2459" s="10"/>
      <c r="M2459" s="10"/>
      <c r="N2459" s="10"/>
      <c r="O2459" s="10"/>
      <c r="P2459" s="10"/>
      <c r="Q2459" s="10"/>
      <c r="R2459" s="10"/>
      <c r="S2459" s="10"/>
    </row>
    <row r="2460" spans="10:19">
      <c r="J2460" s="10"/>
      <c r="K2460" s="1127"/>
      <c r="L2460" s="10"/>
      <c r="M2460" s="10"/>
      <c r="N2460" s="10"/>
      <c r="O2460" s="10"/>
      <c r="P2460" s="10"/>
      <c r="Q2460" s="10"/>
      <c r="R2460" s="10"/>
      <c r="S2460" s="10"/>
    </row>
    <row r="2461" spans="10:19">
      <c r="J2461" s="10"/>
      <c r="K2461" s="1127"/>
      <c r="L2461" s="10"/>
      <c r="M2461" s="10"/>
      <c r="N2461" s="10"/>
      <c r="O2461" s="10"/>
      <c r="P2461" s="10"/>
      <c r="Q2461" s="10"/>
      <c r="R2461" s="10"/>
      <c r="S2461" s="10"/>
    </row>
    <row r="2462" spans="10:19">
      <c r="J2462" s="10"/>
      <c r="K2462" s="1127"/>
      <c r="L2462" s="10"/>
      <c r="M2462" s="10"/>
      <c r="N2462" s="10"/>
      <c r="O2462" s="10"/>
      <c r="P2462" s="10"/>
      <c r="Q2462" s="10"/>
      <c r="R2462" s="10"/>
      <c r="S2462" s="10"/>
    </row>
    <row r="2463" spans="10:19">
      <c r="J2463" s="10"/>
      <c r="K2463" s="1127"/>
      <c r="L2463" s="10"/>
      <c r="M2463" s="10"/>
      <c r="N2463" s="10"/>
      <c r="O2463" s="10"/>
      <c r="P2463" s="10"/>
      <c r="Q2463" s="10"/>
      <c r="R2463" s="10"/>
      <c r="S2463" s="10"/>
    </row>
    <row r="2464" spans="10:19">
      <c r="J2464" s="10"/>
      <c r="K2464" s="1127"/>
      <c r="L2464" s="10"/>
      <c r="M2464" s="10"/>
      <c r="N2464" s="10"/>
      <c r="O2464" s="10"/>
      <c r="P2464" s="10"/>
      <c r="Q2464" s="10"/>
      <c r="R2464" s="10"/>
      <c r="S2464" s="10"/>
    </row>
    <row r="2465" spans="10:19">
      <c r="J2465" s="10"/>
      <c r="K2465" s="1127"/>
      <c r="L2465" s="10"/>
      <c r="M2465" s="10"/>
      <c r="N2465" s="10"/>
      <c r="O2465" s="10"/>
      <c r="P2465" s="10"/>
      <c r="Q2465" s="10"/>
      <c r="R2465" s="10"/>
      <c r="S2465" s="10"/>
    </row>
    <row r="2466" spans="10:19">
      <c r="J2466" s="10"/>
      <c r="K2466" s="1127"/>
      <c r="L2466" s="10"/>
      <c r="M2466" s="10"/>
      <c r="N2466" s="10"/>
      <c r="O2466" s="10"/>
      <c r="P2466" s="10"/>
      <c r="Q2466" s="10"/>
      <c r="R2466" s="10"/>
      <c r="S2466" s="10"/>
    </row>
    <row r="2467" spans="10:19">
      <c r="J2467" s="10"/>
      <c r="K2467" s="1127"/>
      <c r="L2467" s="10"/>
      <c r="M2467" s="10"/>
      <c r="N2467" s="10"/>
      <c r="O2467" s="10"/>
      <c r="P2467" s="10"/>
      <c r="Q2467" s="10"/>
      <c r="R2467" s="10"/>
      <c r="S2467" s="10"/>
    </row>
    <row r="2468" spans="10:19">
      <c r="J2468" s="10"/>
      <c r="K2468" s="1127"/>
      <c r="L2468" s="10"/>
      <c r="M2468" s="10"/>
      <c r="N2468" s="10"/>
      <c r="O2468" s="10"/>
      <c r="P2468" s="10"/>
      <c r="Q2468" s="10"/>
      <c r="R2468" s="10"/>
      <c r="S2468" s="10"/>
    </row>
    <row r="2469" spans="10:19">
      <c r="J2469" s="10"/>
      <c r="K2469" s="1127"/>
      <c r="L2469" s="10"/>
      <c r="M2469" s="10"/>
      <c r="N2469" s="10"/>
      <c r="O2469" s="10"/>
      <c r="P2469" s="10"/>
      <c r="Q2469" s="10"/>
      <c r="R2469" s="10"/>
      <c r="S2469" s="10"/>
    </row>
    <row r="2470" spans="10:19">
      <c r="J2470" s="10"/>
      <c r="K2470" s="1127"/>
      <c r="L2470" s="10"/>
      <c r="M2470" s="10"/>
      <c r="N2470" s="10"/>
      <c r="O2470" s="10"/>
      <c r="P2470" s="10"/>
      <c r="Q2470" s="10"/>
      <c r="R2470" s="10"/>
      <c r="S2470" s="10"/>
    </row>
    <row r="2471" spans="10:19">
      <c r="J2471" s="10"/>
      <c r="K2471" s="1127"/>
      <c r="L2471" s="10"/>
      <c r="M2471" s="10"/>
      <c r="N2471" s="10"/>
      <c r="O2471" s="10"/>
      <c r="P2471" s="10"/>
      <c r="Q2471" s="10"/>
      <c r="R2471" s="10"/>
      <c r="S2471" s="10"/>
    </row>
    <row r="2472" spans="10:19">
      <c r="J2472" s="10"/>
      <c r="K2472" s="1127"/>
      <c r="L2472" s="10"/>
      <c r="M2472" s="10"/>
      <c r="N2472" s="10"/>
      <c r="O2472" s="10"/>
      <c r="P2472" s="10"/>
      <c r="Q2472" s="10"/>
      <c r="R2472" s="10"/>
      <c r="S2472" s="10"/>
    </row>
    <row r="2473" spans="10:19">
      <c r="J2473" s="10"/>
      <c r="K2473" s="1127"/>
      <c r="L2473" s="10"/>
      <c r="M2473" s="10"/>
      <c r="N2473" s="10"/>
      <c r="O2473" s="10"/>
      <c r="P2473" s="10"/>
      <c r="Q2473" s="10"/>
      <c r="R2473" s="10"/>
      <c r="S2473" s="10"/>
    </row>
    <row r="2474" spans="10:19">
      <c r="J2474" s="10"/>
      <c r="K2474" s="1127"/>
      <c r="L2474" s="10"/>
      <c r="M2474" s="10"/>
      <c r="N2474" s="10"/>
      <c r="O2474" s="10"/>
      <c r="P2474" s="10"/>
      <c r="Q2474" s="10"/>
      <c r="R2474" s="10"/>
      <c r="S2474" s="10"/>
    </row>
    <row r="2475" spans="10:19">
      <c r="J2475" s="10"/>
      <c r="K2475" s="1127"/>
      <c r="L2475" s="10"/>
      <c r="M2475" s="10"/>
      <c r="N2475" s="10"/>
      <c r="O2475" s="10"/>
      <c r="P2475" s="10"/>
      <c r="Q2475" s="10"/>
      <c r="R2475" s="10"/>
      <c r="S2475" s="10"/>
    </row>
    <row r="2476" spans="10:19">
      <c r="J2476" s="10"/>
      <c r="K2476" s="1127"/>
      <c r="L2476" s="10"/>
      <c r="M2476" s="10"/>
      <c r="N2476" s="10"/>
      <c r="O2476" s="10"/>
      <c r="P2476" s="10"/>
      <c r="Q2476" s="10"/>
      <c r="R2476" s="10"/>
      <c r="S2476" s="10"/>
    </row>
    <row r="2477" spans="10:19">
      <c r="J2477" s="10"/>
      <c r="K2477" s="1127"/>
      <c r="L2477" s="10"/>
      <c r="M2477" s="10"/>
      <c r="N2477" s="10"/>
      <c r="O2477" s="10"/>
      <c r="P2477" s="10"/>
      <c r="Q2477" s="10"/>
      <c r="R2477" s="10"/>
      <c r="S2477" s="10"/>
    </row>
    <row r="2478" spans="10:19">
      <c r="J2478" s="10"/>
      <c r="K2478" s="1127"/>
      <c r="L2478" s="10"/>
      <c r="M2478" s="10"/>
      <c r="N2478" s="10"/>
      <c r="O2478" s="10"/>
      <c r="P2478" s="10"/>
      <c r="Q2478" s="10"/>
      <c r="R2478" s="10"/>
      <c r="S2478" s="10"/>
    </row>
    <row r="2479" spans="10:19">
      <c r="J2479" s="10"/>
      <c r="K2479" s="1127"/>
      <c r="L2479" s="10"/>
      <c r="M2479" s="10"/>
      <c r="N2479" s="10"/>
      <c r="O2479" s="10"/>
      <c r="P2479" s="10"/>
      <c r="Q2479" s="10"/>
      <c r="R2479" s="10"/>
      <c r="S2479" s="10"/>
    </row>
    <row r="2480" spans="10:19">
      <c r="J2480" s="10"/>
      <c r="K2480" s="1127"/>
      <c r="L2480" s="10"/>
      <c r="M2480" s="10"/>
      <c r="N2480" s="10"/>
      <c r="O2480" s="10"/>
      <c r="P2480" s="10"/>
      <c r="Q2480" s="10"/>
      <c r="R2480" s="10"/>
      <c r="S2480" s="10"/>
    </row>
    <row r="2481" spans="10:19">
      <c r="J2481" s="10"/>
      <c r="K2481" s="1127"/>
      <c r="L2481" s="10"/>
      <c r="M2481" s="10"/>
      <c r="N2481" s="10"/>
      <c r="O2481" s="10"/>
      <c r="P2481" s="10"/>
      <c r="Q2481" s="10"/>
      <c r="R2481" s="10"/>
      <c r="S2481" s="10"/>
    </row>
    <row r="2482" spans="10:19">
      <c r="J2482" s="10"/>
      <c r="K2482" s="1127"/>
      <c r="L2482" s="10"/>
      <c r="M2482" s="10"/>
      <c r="N2482" s="10"/>
      <c r="O2482" s="10"/>
      <c r="P2482" s="10"/>
      <c r="Q2482" s="10"/>
      <c r="R2482" s="10"/>
      <c r="S2482" s="10"/>
    </row>
    <row r="2483" spans="10:19">
      <c r="J2483" s="10"/>
      <c r="K2483" s="1127"/>
      <c r="L2483" s="10"/>
      <c r="M2483" s="10"/>
      <c r="N2483" s="10"/>
      <c r="O2483" s="10"/>
      <c r="P2483" s="10"/>
      <c r="Q2483" s="10"/>
      <c r="R2483" s="10"/>
      <c r="S2483" s="10"/>
    </row>
    <row r="2484" spans="10:19">
      <c r="J2484" s="10"/>
      <c r="K2484" s="1127"/>
      <c r="L2484" s="10"/>
      <c r="M2484" s="10"/>
      <c r="N2484" s="10"/>
      <c r="O2484" s="10"/>
      <c r="P2484" s="10"/>
      <c r="Q2484" s="10"/>
      <c r="R2484" s="10"/>
      <c r="S2484" s="10"/>
    </row>
    <row r="2485" spans="10:19">
      <c r="J2485" s="10"/>
      <c r="K2485" s="1127"/>
      <c r="L2485" s="10"/>
      <c r="M2485" s="10"/>
      <c r="N2485" s="10"/>
      <c r="O2485" s="10"/>
      <c r="P2485" s="10"/>
      <c r="Q2485" s="10"/>
      <c r="R2485" s="10"/>
      <c r="S2485" s="10"/>
    </row>
    <row r="2486" spans="10:19">
      <c r="J2486" s="10"/>
      <c r="K2486" s="1127"/>
      <c r="L2486" s="10"/>
      <c r="M2486" s="10"/>
      <c r="N2486" s="10"/>
      <c r="O2486" s="10"/>
      <c r="P2486" s="10"/>
      <c r="Q2486" s="10"/>
      <c r="R2486" s="10"/>
      <c r="S2486" s="10"/>
    </row>
    <row r="2487" spans="10:19">
      <c r="J2487" s="10"/>
      <c r="K2487" s="1127"/>
      <c r="L2487" s="10"/>
      <c r="M2487" s="10"/>
      <c r="N2487" s="10"/>
      <c r="O2487" s="10"/>
      <c r="P2487" s="10"/>
      <c r="Q2487" s="10"/>
      <c r="R2487" s="10"/>
      <c r="S2487" s="10"/>
    </row>
    <row r="2488" spans="10:19">
      <c r="J2488" s="10"/>
      <c r="K2488" s="1127"/>
      <c r="L2488" s="10"/>
      <c r="M2488" s="10"/>
      <c r="N2488" s="10"/>
      <c r="O2488" s="10"/>
      <c r="P2488" s="10"/>
      <c r="Q2488" s="10"/>
      <c r="R2488" s="10"/>
      <c r="S2488" s="10"/>
    </row>
    <row r="2489" spans="10:19">
      <c r="J2489" s="10"/>
      <c r="K2489" s="1127"/>
      <c r="L2489" s="10"/>
      <c r="M2489" s="10"/>
      <c r="N2489" s="10"/>
      <c r="O2489" s="10"/>
      <c r="P2489" s="10"/>
      <c r="Q2489" s="10"/>
      <c r="R2489" s="10"/>
      <c r="S2489" s="10"/>
    </row>
    <row r="2490" spans="10:19">
      <c r="J2490" s="10"/>
      <c r="K2490" s="1127"/>
      <c r="L2490" s="10"/>
      <c r="M2490" s="10"/>
      <c r="N2490" s="10"/>
      <c r="O2490" s="10"/>
      <c r="P2490" s="10"/>
      <c r="Q2490" s="10"/>
      <c r="R2490" s="10"/>
      <c r="S2490" s="10"/>
    </row>
    <row r="2491" spans="10:19">
      <c r="J2491" s="10"/>
      <c r="K2491" s="1127"/>
      <c r="L2491" s="10"/>
      <c r="M2491" s="10"/>
      <c r="N2491" s="10"/>
      <c r="O2491" s="10"/>
      <c r="P2491" s="10"/>
      <c r="Q2491" s="10"/>
      <c r="R2491" s="10"/>
      <c r="S2491" s="10"/>
    </row>
    <row r="2492" spans="10:19">
      <c r="J2492" s="10"/>
      <c r="K2492" s="1127"/>
      <c r="L2492" s="10"/>
      <c r="M2492" s="10"/>
      <c r="N2492" s="10"/>
      <c r="O2492" s="10"/>
      <c r="P2492" s="10"/>
      <c r="Q2492" s="10"/>
      <c r="R2492" s="10"/>
      <c r="S2492" s="10"/>
    </row>
    <row r="2493" spans="10:19">
      <c r="J2493" s="10"/>
      <c r="K2493" s="1127"/>
      <c r="L2493" s="10"/>
      <c r="M2493" s="10"/>
      <c r="N2493" s="10"/>
      <c r="O2493" s="10"/>
      <c r="P2493" s="10"/>
      <c r="Q2493" s="10"/>
      <c r="R2493" s="10"/>
      <c r="S2493" s="10"/>
    </row>
    <row r="2494" spans="10:19">
      <c r="J2494" s="10"/>
      <c r="K2494" s="1127"/>
      <c r="L2494" s="10"/>
      <c r="M2494" s="10"/>
      <c r="N2494" s="10"/>
      <c r="O2494" s="10"/>
      <c r="P2494" s="10"/>
      <c r="Q2494" s="10"/>
      <c r="R2494" s="10"/>
      <c r="S2494" s="10"/>
    </row>
    <row r="2495" spans="10:19">
      <c r="J2495" s="10"/>
      <c r="K2495" s="1127"/>
      <c r="L2495" s="10"/>
      <c r="M2495" s="10"/>
      <c r="N2495" s="10"/>
      <c r="O2495" s="10"/>
      <c r="P2495" s="10"/>
      <c r="Q2495" s="10"/>
      <c r="R2495" s="10"/>
      <c r="S2495" s="10"/>
    </row>
    <row r="2496" spans="10:19">
      <c r="J2496" s="10"/>
      <c r="K2496" s="1127"/>
      <c r="L2496" s="10"/>
      <c r="M2496" s="10"/>
      <c r="N2496" s="10"/>
      <c r="O2496" s="10"/>
      <c r="P2496" s="10"/>
      <c r="Q2496" s="10"/>
      <c r="R2496" s="10"/>
      <c r="S2496" s="10"/>
    </row>
    <row r="2497" spans="10:19">
      <c r="J2497" s="10"/>
      <c r="K2497" s="1127"/>
      <c r="L2497" s="10"/>
      <c r="M2497" s="10"/>
      <c r="N2497" s="10"/>
      <c r="O2497" s="10"/>
      <c r="P2497" s="10"/>
      <c r="Q2497" s="10"/>
      <c r="R2497" s="10"/>
      <c r="S2497" s="10"/>
    </row>
    <row r="2498" spans="10:19">
      <c r="J2498" s="10"/>
      <c r="K2498" s="1127"/>
      <c r="L2498" s="10"/>
      <c r="M2498" s="10"/>
      <c r="N2498" s="10"/>
      <c r="O2498" s="10"/>
      <c r="P2498" s="10"/>
      <c r="Q2498" s="10"/>
      <c r="R2498" s="10"/>
      <c r="S2498" s="10"/>
    </row>
    <row r="2499" spans="10:19">
      <c r="J2499" s="10"/>
      <c r="K2499" s="1127"/>
      <c r="L2499" s="10"/>
      <c r="M2499" s="10"/>
      <c r="N2499" s="10"/>
      <c r="O2499" s="10"/>
      <c r="P2499" s="10"/>
      <c r="Q2499" s="10"/>
      <c r="R2499" s="10"/>
      <c r="S2499" s="10"/>
    </row>
    <row r="2500" spans="10:19">
      <c r="J2500" s="10"/>
      <c r="K2500" s="1127"/>
      <c r="L2500" s="10"/>
      <c r="M2500" s="10"/>
      <c r="N2500" s="10"/>
      <c r="O2500" s="10"/>
      <c r="P2500" s="10"/>
      <c r="Q2500" s="10"/>
      <c r="R2500" s="10"/>
      <c r="S2500" s="10"/>
    </row>
    <row r="2501" spans="10:19">
      <c r="J2501" s="10"/>
      <c r="K2501" s="1127"/>
      <c r="L2501" s="10"/>
      <c r="M2501" s="10"/>
      <c r="N2501" s="10"/>
      <c r="O2501" s="10"/>
      <c r="P2501" s="10"/>
      <c r="Q2501" s="10"/>
      <c r="R2501" s="10"/>
      <c r="S2501" s="10"/>
    </row>
    <row r="2502" spans="10:19">
      <c r="J2502" s="10"/>
      <c r="K2502" s="1127"/>
      <c r="L2502" s="10"/>
      <c r="M2502" s="10"/>
      <c r="N2502" s="10"/>
      <c r="O2502" s="10"/>
      <c r="P2502" s="10"/>
      <c r="Q2502" s="10"/>
      <c r="R2502" s="10"/>
      <c r="S2502" s="10"/>
    </row>
    <row r="2503" spans="10:19">
      <c r="J2503" s="10"/>
      <c r="K2503" s="1127"/>
      <c r="L2503" s="10"/>
      <c r="M2503" s="10"/>
      <c r="N2503" s="10"/>
      <c r="O2503" s="10"/>
      <c r="P2503" s="10"/>
      <c r="Q2503" s="10"/>
      <c r="R2503" s="10"/>
      <c r="S2503" s="10"/>
    </row>
    <row r="2504" spans="10:19">
      <c r="J2504" s="10"/>
      <c r="K2504" s="1127"/>
      <c r="L2504" s="10"/>
      <c r="M2504" s="10"/>
      <c r="N2504" s="10"/>
      <c r="O2504" s="10"/>
      <c r="P2504" s="10"/>
      <c r="Q2504" s="10"/>
      <c r="R2504" s="10"/>
      <c r="S2504" s="10"/>
    </row>
    <row r="2505" spans="10:19">
      <c r="J2505" s="10"/>
      <c r="K2505" s="1127"/>
      <c r="L2505" s="10"/>
      <c r="M2505" s="10"/>
      <c r="N2505" s="10"/>
      <c r="O2505" s="10"/>
      <c r="P2505" s="10"/>
      <c r="Q2505" s="10"/>
      <c r="R2505" s="10"/>
      <c r="S2505" s="10"/>
    </row>
    <row r="2506" spans="10:19">
      <c r="J2506" s="10"/>
      <c r="K2506" s="1127"/>
      <c r="L2506" s="10"/>
      <c r="M2506" s="10"/>
      <c r="N2506" s="10"/>
      <c r="O2506" s="10"/>
      <c r="P2506" s="10"/>
      <c r="Q2506" s="10"/>
      <c r="R2506" s="10"/>
      <c r="S2506" s="10"/>
    </row>
    <row r="2507" spans="10:19">
      <c r="J2507" s="10"/>
      <c r="K2507" s="1127"/>
      <c r="L2507" s="10"/>
      <c r="M2507" s="10"/>
      <c r="N2507" s="10"/>
      <c r="O2507" s="10"/>
      <c r="P2507" s="10"/>
      <c r="Q2507" s="10"/>
      <c r="R2507" s="10"/>
      <c r="S2507" s="10"/>
    </row>
    <row r="2508" spans="10:19">
      <c r="J2508" s="10"/>
      <c r="K2508" s="1127"/>
      <c r="L2508" s="10"/>
      <c r="M2508" s="10"/>
      <c r="N2508" s="10"/>
      <c r="O2508" s="10"/>
      <c r="P2508" s="10"/>
      <c r="Q2508" s="10"/>
      <c r="R2508" s="10"/>
      <c r="S2508" s="10"/>
    </row>
    <row r="2509" spans="10:19">
      <c r="J2509" s="10"/>
      <c r="K2509" s="1127"/>
      <c r="L2509" s="10"/>
      <c r="M2509" s="10"/>
      <c r="N2509" s="10"/>
      <c r="O2509" s="10"/>
      <c r="P2509" s="10"/>
      <c r="Q2509" s="10"/>
      <c r="R2509" s="10"/>
      <c r="S2509" s="10"/>
    </row>
    <row r="2510" spans="10:19">
      <c r="J2510" s="10"/>
      <c r="K2510" s="1127"/>
      <c r="L2510" s="10"/>
      <c r="M2510" s="10"/>
      <c r="N2510" s="10"/>
      <c r="O2510" s="10"/>
      <c r="P2510" s="10"/>
      <c r="Q2510" s="10"/>
      <c r="R2510" s="10"/>
      <c r="S2510" s="10"/>
    </row>
    <row r="2511" spans="10:19">
      <c r="J2511" s="10"/>
      <c r="K2511" s="1127"/>
      <c r="L2511" s="10"/>
      <c r="M2511" s="10"/>
      <c r="N2511" s="10"/>
      <c r="O2511" s="10"/>
      <c r="P2511" s="10"/>
      <c r="Q2511" s="10"/>
      <c r="R2511" s="10"/>
      <c r="S2511" s="10"/>
    </row>
    <row r="2512" spans="10:19">
      <c r="J2512" s="10"/>
      <c r="K2512" s="1127"/>
      <c r="L2512" s="10"/>
      <c r="M2512" s="10"/>
      <c r="N2512" s="10"/>
      <c r="O2512" s="10"/>
      <c r="P2512" s="10"/>
      <c r="Q2512" s="10"/>
      <c r="R2512" s="10"/>
      <c r="S2512" s="10"/>
    </row>
    <row r="2513" spans="10:19">
      <c r="J2513" s="10"/>
      <c r="K2513" s="1127"/>
      <c r="L2513" s="10"/>
      <c r="M2513" s="10"/>
      <c r="N2513" s="10"/>
      <c r="O2513" s="10"/>
      <c r="P2513" s="10"/>
      <c r="Q2513" s="10"/>
      <c r="R2513" s="10"/>
      <c r="S2513" s="10"/>
    </row>
    <row r="2514" spans="10:19">
      <c r="J2514" s="10"/>
      <c r="K2514" s="1127"/>
      <c r="L2514" s="10"/>
      <c r="M2514" s="10"/>
      <c r="N2514" s="10"/>
      <c r="O2514" s="10"/>
      <c r="P2514" s="10"/>
      <c r="Q2514" s="10"/>
      <c r="R2514" s="10"/>
      <c r="S2514" s="10"/>
    </row>
    <row r="2515" spans="10:19">
      <c r="J2515" s="10"/>
      <c r="K2515" s="1127"/>
      <c r="L2515" s="10"/>
      <c r="M2515" s="10"/>
      <c r="N2515" s="10"/>
      <c r="O2515" s="10"/>
      <c r="P2515" s="10"/>
      <c r="Q2515" s="10"/>
      <c r="R2515" s="10"/>
      <c r="S2515" s="10"/>
    </row>
    <row r="2516" spans="10:19">
      <c r="J2516" s="10"/>
      <c r="K2516" s="1127"/>
      <c r="L2516" s="10"/>
      <c r="M2516" s="10"/>
      <c r="N2516" s="10"/>
      <c r="O2516" s="10"/>
      <c r="P2516" s="10"/>
      <c r="Q2516" s="10"/>
      <c r="R2516" s="10"/>
      <c r="S2516" s="10"/>
    </row>
    <row r="2517" spans="10:19">
      <c r="J2517" s="10"/>
      <c r="K2517" s="1127"/>
      <c r="L2517" s="10"/>
      <c r="M2517" s="10"/>
      <c r="N2517" s="10"/>
      <c r="O2517" s="10"/>
      <c r="P2517" s="10"/>
      <c r="Q2517" s="10"/>
      <c r="R2517" s="10"/>
      <c r="S2517" s="10"/>
    </row>
    <row r="2518" spans="10:19">
      <c r="J2518" s="10"/>
      <c r="K2518" s="1127"/>
      <c r="L2518" s="10"/>
      <c r="M2518" s="10"/>
      <c r="N2518" s="10"/>
      <c r="O2518" s="10"/>
      <c r="P2518" s="10"/>
      <c r="Q2518" s="10"/>
      <c r="R2518" s="10"/>
      <c r="S2518" s="10"/>
    </row>
    <row r="2519" spans="10:19">
      <c r="J2519" s="10"/>
      <c r="K2519" s="1127"/>
      <c r="L2519" s="10"/>
      <c r="M2519" s="10"/>
      <c r="N2519" s="10"/>
      <c r="O2519" s="10"/>
      <c r="P2519" s="10"/>
      <c r="Q2519" s="10"/>
      <c r="R2519" s="10"/>
      <c r="S2519" s="10"/>
    </row>
    <row r="2520" spans="10:19">
      <c r="J2520" s="10"/>
      <c r="K2520" s="1127"/>
      <c r="L2520" s="10"/>
      <c r="M2520" s="10"/>
      <c r="N2520" s="10"/>
      <c r="O2520" s="10"/>
      <c r="P2520" s="10"/>
      <c r="Q2520" s="10"/>
      <c r="R2520" s="10"/>
      <c r="S2520" s="10"/>
    </row>
    <row r="2521" spans="10:19">
      <c r="J2521" s="10"/>
      <c r="K2521" s="1127"/>
      <c r="L2521" s="10"/>
      <c r="M2521" s="10"/>
      <c r="N2521" s="10"/>
      <c r="O2521" s="10"/>
      <c r="P2521" s="10"/>
      <c r="Q2521" s="10"/>
      <c r="R2521" s="10"/>
      <c r="S2521" s="10"/>
    </row>
    <row r="2522" spans="10:19">
      <c r="J2522" s="10"/>
      <c r="K2522" s="1127"/>
      <c r="L2522" s="10"/>
      <c r="M2522" s="10"/>
      <c r="N2522" s="10"/>
      <c r="O2522" s="10"/>
      <c r="P2522" s="10"/>
      <c r="Q2522" s="10"/>
      <c r="R2522" s="10"/>
      <c r="S2522" s="10"/>
    </row>
    <row r="2523" spans="10:19">
      <c r="J2523" s="10"/>
      <c r="K2523" s="1127"/>
      <c r="L2523" s="10"/>
      <c r="M2523" s="10"/>
      <c r="N2523" s="10"/>
      <c r="O2523" s="10"/>
      <c r="P2523" s="10"/>
      <c r="Q2523" s="10"/>
      <c r="R2523" s="10"/>
      <c r="S2523" s="10"/>
    </row>
    <row r="2524" spans="10:19">
      <c r="J2524" s="10"/>
      <c r="K2524" s="1127"/>
      <c r="L2524" s="10"/>
      <c r="M2524" s="10"/>
      <c r="N2524" s="10"/>
      <c r="O2524" s="10"/>
      <c r="P2524" s="10"/>
      <c r="Q2524" s="10"/>
      <c r="R2524" s="10"/>
      <c r="S2524" s="10"/>
    </row>
    <row r="2525" spans="10:19">
      <c r="J2525" s="10"/>
      <c r="K2525" s="1127"/>
      <c r="L2525" s="10"/>
      <c r="M2525" s="10"/>
      <c r="N2525" s="10"/>
      <c r="O2525" s="10"/>
      <c r="P2525" s="10"/>
      <c r="Q2525" s="10"/>
      <c r="R2525" s="10"/>
      <c r="S2525" s="10"/>
    </row>
    <row r="2526" spans="10:19">
      <c r="J2526" s="10"/>
      <c r="K2526" s="1127"/>
      <c r="L2526" s="10"/>
      <c r="M2526" s="10"/>
      <c r="N2526" s="10"/>
      <c r="O2526" s="10"/>
      <c r="P2526" s="10"/>
      <c r="Q2526" s="10"/>
      <c r="R2526" s="10"/>
      <c r="S2526" s="10"/>
    </row>
    <row r="2527" spans="10:19">
      <c r="J2527" s="10"/>
      <c r="K2527" s="1127"/>
      <c r="L2527" s="10"/>
      <c r="M2527" s="10"/>
      <c r="N2527" s="10"/>
      <c r="O2527" s="10"/>
      <c r="P2527" s="10"/>
      <c r="Q2527" s="10"/>
      <c r="R2527" s="10"/>
      <c r="S2527" s="10"/>
    </row>
    <row r="2528" spans="10:19">
      <c r="J2528" s="10"/>
      <c r="K2528" s="1127"/>
      <c r="L2528" s="10"/>
      <c r="M2528" s="10"/>
      <c r="N2528" s="10"/>
      <c r="O2528" s="10"/>
      <c r="P2528" s="10"/>
      <c r="Q2528" s="10"/>
      <c r="R2528" s="10"/>
      <c r="S2528" s="10"/>
    </row>
    <row r="2529" spans="10:19">
      <c r="J2529" s="10"/>
      <c r="K2529" s="1127"/>
      <c r="L2529" s="10"/>
      <c r="M2529" s="10"/>
      <c r="N2529" s="10"/>
      <c r="O2529" s="10"/>
      <c r="P2529" s="10"/>
      <c r="Q2529" s="10"/>
      <c r="R2529" s="10"/>
      <c r="S2529" s="10"/>
    </row>
    <row r="2530" spans="10:19">
      <c r="J2530" s="10"/>
      <c r="K2530" s="1127"/>
      <c r="L2530" s="10"/>
      <c r="M2530" s="10"/>
      <c r="N2530" s="10"/>
      <c r="O2530" s="10"/>
      <c r="P2530" s="10"/>
      <c r="Q2530" s="10"/>
      <c r="R2530" s="10"/>
      <c r="S2530" s="10"/>
    </row>
    <row r="2531" spans="10:19">
      <c r="J2531" s="10"/>
      <c r="K2531" s="1127"/>
      <c r="L2531" s="10"/>
      <c r="M2531" s="10"/>
      <c r="N2531" s="10"/>
      <c r="O2531" s="10"/>
      <c r="P2531" s="10"/>
      <c r="Q2531" s="10"/>
      <c r="R2531" s="10"/>
      <c r="S2531" s="10"/>
    </row>
    <row r="2532" spans="10:19">
      <c r="J2532" s="10"/>
      <c r="K2532" s="1127"/>
      <c r="L2532" s="10"/>
      <c r="M2532" s="10"/>
      <c r="N2532" s="10"/>
      <c r="O2532" s="10"/>
      <c r="P2532" s="10"/>
      <c r="Q2532" s="10"/>
      <c r="R2532" s="10"/>
      <c r="S2532" s="10"/>
    </row>
    <row r="2533" spans="10:19">
      <c r="J2533" s="10"/>
      <c r="K2533" s="1127"/>
      <c r="L2533" s="10"/>
      <c r="M2533" s="10"/>
      <c r="N2533" s="10"/>
      <c r="O2533" s="10"/>
      <c r="P2533" s="10"/>
      <c r="Q2533" s="10"/>
      <c r="R2533" s="10"/>
      <c r="S2533" s="10"/>
    </row>
    <row r="2534" spans="10:19">
      <c r="J2534" s="10"/>
      <c r="K2534" s="1127"/>
      <c r="L2534" s="10"/>
      <c r="M2534" s="10"/>
      <c r="N2534" s="10"/>
      <c r="O2534" s="10"/>
      <c r="P2534" s="10"/>
      <c r="Q2534" s="10"/>
      <c r="R2534" s="10"/>
      <c r="S2534" s="10"/>
    </row>
    <row r="2535" spans="10:19">
      <c r="J2535" s="10"/>
      <c r="K2535" s="1127"/>
      <c r="L2535" s="10"/>
      <c r="M2535" s="10"/>
      <c r="N2535" s="10"/>
      <c r="O2535" s="10"/>
      <c r="P2535" s="10"/>
      <c r="Q2535" s="10"/>
      <c r="R2535" s="10"/>
      <c r="S2535" s="10"/>
    </row>
    <row r="2536" spans="10:19">
      <c r="J2536" s="10"/>
      <c r="K2536" s="1127"/>
      <c r="L2536" s="10"/>
      <c r="M2536" s="10"/>
      <c r="N2536" s="10"/>
      <c r="O2536" s="10"/>
      <c r="P2536" s="10"/>
      <c r="Q2536" s="10"/>
      <c r="R2536" s="10"/>
      <c r="S2536" s="10"/>
    </row>
    <row r="2537" spans="10:19">
      <c r="J2537" s="10"/>
      <c r="K2537" s="1127"/>
      <c r="L2537" s="10"/>
      <c r="M2537" s="10"/>
      <c r="N2537" s="10"/>
      <c r="O2537" s="10"/>
      <c r="P2537" s="10"/>
      <c r="Q2537" s="10"/>
      <c r="R2537" s="10"/>
      <c r="S2537" s="10"/>
    </row>
    <row r="2538" spans="10:19">
      <c r="J2538" s="10"/>
      <c r="K2538" s="1127"/>
      <c r="L2538" s="10"/>
      <c r="M2538" s="10"/>
      <c r="N2538" s="10"/>
      <c r="O2538" s="10"/>
      <c r="P2538" s="10"/>
      <c r="Q2538" s="10"/>
      <c r="R2538" s="10"/>
      <c r="S2538" s="10"/>
    </row>
    <row r="2539" spans="10:19">
      <c r="J2539" s="10"/>
      <c r="K2539" s="1127"/>
      <c r="L2539" s="10"/>
      <c r="M2539" s="10"/>
      <c r="N2539" s="10"/>
      <c r="O2539" s="10"/>
      <c r="P2539" s="10"/>
      <c r="Q2539" s="10"/>
      <c r="R2539" s="10"/>
      <c r="S2539" s="10"/>
    </row>
    <row r="2540" spans="10:19">
      <c r="J2540" s="10"/>
      <c r="K2540" s="1127"/>
      <c r="L2540" s="10"/>
      <c r="M2540" s="10"/>
      <c r="N2540" s="10"/>
      <c r="O2540" s="10"/>
      <c r="P2540" s="10"/>
      <c r="Q2540" s="10"/>
      <c r="R2540" s="10"/>
      <c r="S2540" s="10"/>
    </row>
    <row r="2541" spans="10:19">
      <c r="J2541" s="10"/>
      <c r="K2541" s="1127"/>
      <c r="L2541" s="10"/>
      <c r="M2541" s="10"/>
      <c r="N2541" s="10"/>
      <c r="O2541" s="10"/>
      <c r="P2541" s="10"/>
      <c r="Q2541" s="10"/>
      <c r="R2541" s="10"/>
      <c r="S2541" s="10"/>
    </row>
    <row r="2542" spans="10:19">
      <c r="J2542" s="10"/>
      <c r="K2542" s="1127"/>
      <c r="L2542" s="10"/>
      <c r="M2542" s="10"/>
      <c r="N2542" s="10"/>
      <c r="O2542" s="10"/>
      <c r="P2542" s="10"/>
      <c r="Q2542" s="10"/>
      <c r="R2542" s="10"/>
      <c r="S2542" s="10"/>
    </row>
    <row r="2543" spans="10:19">
      <c r="J2543" s="10"/>
      <c r="K2543" s="1127"/>
      <c r="L2543" s="10"/>
      <c r="M2543" s="10"/>
      <c r="N2543" s="10"/>
      <c r="O2543" s="10"/>
      <c r="P2543" s="10"/>
      <c r="Q2543" s="10"/>
      <c r="R2543" s="10"/>
      <c r="S2543" s="10"/>
    </row>
    <row r="2544" spans="10:19">
      <c r="J2544" s="10"/>
      <c r="K2544" s="1127"/>
      <c r="L2544" s="10"/>
      <c r="M2544" s="10"/>
      <c r="N2544" s="10"/>
      <c r="O2544" s="10"/>
      <c r="P2544" s="10"/>
      <c r="Q2544" s="10"/>
      <c r="R2544" s="10"/>
      <c r="S2544" s="10"/>
    </row>
    <row r="2545" spans="10:19">
      <c r="J2545" s="10"/>
      <c r="K2545" s="1127"/>
      <c r="L2545" s="10"/>
      <c r="M2545" s="10"/>
      <c r="N2545" s="10"/>
      <c r="O2545" s="10"/>
      <c r="P2545" s="10"/>
      <c r="Q2545" s="10"/>
      <c r="R2545" s="10"/>
      <c r="S2545" s="10"/>
    </row>
    <row r="2546" spans="10:19">
      <c r="J2546" s="10"/>
      <c r="K2546" s="1127"/>
      <c r="L2546" s="10"/>
      <c r="M2546" s="10"/>
      <c r="N2546" s="10"/>
      <c r="O2546" s="10"/>
      <c r="P2546" s="10"/>
      <c r="Q2546" s="10"/>
      <c r="R2546" s="10"/>
      <c r="S2546" s="10"/>
    </row>
    <row r="2547" spans="10:19">
      <c r="J2547" s="10"/>
      <c r="K2547" s="1127"/>
      <c r="L2547" s="10"/>
      <c r="M2547" s="10"/>
      <c r="N2547" s="10"/>
      <c r="O2547" s="10"/>
      <c r="P2547" s="10"/>
      <c r="Q2547" s="10"/>
      <c r="R2547" s="10"/>
      <c r="S2547" s="10"/>
    </row>
    <row r="2548" spans="10:19">
      <c r="J2548" s="10"/>
      <c r="K2548" s="1127"/>
      <c r="L2548" s="10"/>
      <c r="M2548" s="10"/>
      <c r="N2548" s="10"/>
      <c r="O2548" s="10"/>
      <c r="P2548" s="10"/>
      <c r="Q2548" s="10"/>
      <c r="R2548" s="10"/>
      <c r="S2548" s="10"/>
    </row>
    <row r="2549" spans="10:19">
      <c r="J2549" s="10"/>
      <c r="K2549" s="1127"/>
      <c r="L2549" s="10"/>
      <c r="M2549" s="10"/>
      <c r="N2549" s="10"/>
      <c r="O2549" s="10"/>
      <c r="P2549" s="10"/>
      <c r="Q2549" s="10"/>
      <c r="R2549" s="10"/>
      <c r="S2549" s="10"/>
    </row>
    <row r="2550" spans="10:19">
      <c r="J2550" s="10"/>
      <c r="K2550" s="1127"/>
      <c r="L2550" s="10"/>
      <c r="M2550" s="10"/>
      <c r="N2550" s="10"/>
      <c r="O2550" s="10"/>
      <c r="P2550" s="10"/>
      <c r="Q2550" s="10"/>
      <c r="R2550" s="10"/>
      <c r="S2550" s="10"/>
    </row>
    <row r="2551" spans="10:19">
      <c r="J2551" s="10"/>
      <c r="K2551" s="1127"/>
      <c r="L2551" s="10"/>
      <c r="M2551" s="10"/>
      <c r="N2551" s="10"/>
      <c r="O2551" s="10"/>
      <c r="P2551" s="10"/>
      <c r="Q2551" s="10"/>
      <c r="R2551" s="10"/>
      <c r="S2551" s="10"/>
    </row>
    <row r="2552" spans="10:19">
      <c r="J2552" s="10"/>
      <c r="K2552" s="1127"/>
      <c r="L2552" s="10"/>
      <c r="M2552" s="10"/>
      <c r="N2552" s="10"/>
      <c r="O2552" s="10"/>
      <c r="P2552" s="10"/>
      <c r="Q2552" s="10"/>
      <c r="R2552" s="10"/>
      <c r="S2552" s="10"/>
    </row>
    <row r="2553" spans="10:19">
      <c r="J2553" s="10"/>
      <c r="K2553" s="1127"/>
      <c r="L2553" s="10"/>
      <c r="M2553" s="10"/>
      <c r="N2553" s="10"/>
      <c r="O2553" s="10"/>
      <c r="P2553" s="10"/>
      <c r="Q2553" s="10"/>
      <c r="R2553" s="10"/>
      <c r="S2553" s="10"/>
    </row>
    <row r="2554" spans="10:19">
      <c r="J2554" s="10"/>
      <c r="K2554" s="1127"/>
      <c r="L2554" s="10"/>
      <c r="M2554" s="10"/>
      <c r="N2554" s="10"/>
      <c r="O2554" s="10"/>
      <c r="P2554" s="10"/>
      <c r="Q2554" s="10"/>
      <c r="R2554" s="10"/>
      <c r="S2554" s="10"/>
    </row>
    <row r="2555" spans="10:19">
      <c r="J2555" s="10"/>
      <c r="K2555" s="1127"/>
      <c r="L2555" s="10"/>
      <c r="M2555" s="10"/>
      <c r="N2555" s="10"/>
      <c r="O2555" s="10"/>
      <c r="P2555" s="10"/>
      <c r="Q2555" s="10"/>
      <c r="R2555" s="10"/>
      <c r="S2555" s="10"/>
    </row>
    <row r="2556" spans="10:19">
      <c r="J2556" s="10"/>
      <c r="K2556" s="1127"/>
      <c r="L2556" s="10"/>
      <c r="M2556" s="10"/>
      <c r="N2556" s="10"/>
      <c r="O2556" s="10"/>
      <c r="P2556" s="10"/>
      <c r="Q2556" s="10"/>
      <c r="R2556" s="10"/>
      <c r="S2556" s="10"/>
    </row>
    <row r="2557" spans="10:19">
      <c r="J2557" s="10"/>
      <c r="K2557" s="1127"/>
      <c r="L2557" s="10"/>
      <c r="M2557" s="10"/>
      <c r="N2557" s="10"/>
      <c r="O2557" s="10"/>
      <c r="P2557" s="10"/>
      <c r="Q2557" s="10"/>
      <c r="R2557" s="10"/>
      <c r="S2557" s="10"/>
    </row>
    <row r="2558" spans="10:19">
      <c r="J2558" s="10"/>
      <c r="K2558" s="1127"/>
      <c r="L2558" s="10"/>
      <c r="M2558" s="10"/>
      <c r="N2558" s="10"/>
      <c r="O2558" s="10"/>
      <c r="P2558" s="10"/>
      <c r="Q2558" s="10"/>
      <c r="R2558" s="10"/>
      <c r="S2558" s="10"/>
    </row>
    <row r="2559" spans="10:19">
      <c r="J2559" s="10"/>
      <c r="K2559" s="1127"/>
      <c r="L2559" s="10"/>
      <c r="M2559" s="10"/>
      <c r="N2559" s="10"/>
      <c r="O2559" s="10"/>
      <c r="P2559" s="10"/>
      <c r="Q2559" s="10"/>
      <c r="R2559" s="10"/>
      <c r="S2559" s="10"/>
    </row>
    <row r="2560" spans="10:19">
      <c r="J2560" s="10"/>
      <c r="K2560" s="1127"/>
      <c r="L2560" s="10"/>
      <c r="M2560" s="10"/>
      <c r="N2560" s="10"/>
      <c r="O2560" s="10"/>
      <c r="P2560" s="10"/>
      <c r="Q2560" s="10"/>
      <c r="R2560" s="10"/>
      <c r="S2560" s="10"/>
    </row>
    <row r="2561" spans="10:19">
      <c r="J2561" s="10"/>
      <c r="K2561" s="1127"/>
      <c r="L2561" s="10"/>
      <c r="M2561" s="10"/>
      <c r="N2561" s="10"/>
      <c r="O2561" s="10"/>
      <c r="P2561" s="10"/>
      <c r="Q2561" s="10"/>
      <c r="R2561" s="10"/>
      <c r="S2561" s="10"/>
    </row>
    <row r="2562" spans="10:19">
      <c r="J2562" s="10"/>
      <c r="K2562" s="1127"/>
      <c r="L2562" s="10"/>
      <c r="M2562" s="10"/>
      <c r="N2562" s="10"/>
      <c r="O2562" s="10"/>
      <c r="P2562" s="10"/>
      <c r="Q2562" s="10"/>
      <c r="R2562" s="10"/>
      <c r="S2562" s="10"/>
    </row>
    <row r="2563" spans="10:19">
      <c r="J2563" s="10"/>
      <c r="K2563" s="1127"/>
      <c r="L2563" s="10"/>
      <c r="M2563" s="10"/>
      <c r="N2563" s="10"/>
      <c r="O2563" s="10"/>
      <c r="P2563" s="10"/>
      <c r="Q2563" s="10"/>
      <c r="R2563" s="10"/>
      <c r="S2563" s="10"/>
    </row>
    <row r="2564" spans="10:19">
      <c r="J2564" s="10"/>
      <c r="K2564" s="1127"/>
      <c r="L2564" s="10"/>
      <c r="M2564" s="10"/>
      <c r="N2564" s="10"/>
      <c r="O2564" s="10"/>
      <c r="P2564" s="10"/>
      <c r="Q2564" s="10"/>
      <c r="R2564" s="10"/>
      <c r="S2564" s="10"/>
    </row>
    <row r="2565" spans="10:19">
      <c r="J2565" s="10"/>
      <c r="K2565" s="1127"/>
      <c r="L2565" s="10"/>
      <c r="M2565" s="10"/>
      <c r="N2565" s="10"/>
      <c r="O2565" s="10"/>
      <c r="P2565" s="10"/>
      <c r="Q2565" s="10"/>
      <c r="R2565" s="10"/>
      <c r="S2565" s="10"/>
    </row>
    <row r="2566" spans="10:19">
      <c r="J2566" s="10"/>
      <c r="K2566" s="1127"/>
      <c r="L2566" s="10"/>
      <c r="M2566" s="10"/>
      <c r="N2566" s="10"/>
      <c r="O2566" s="10"/>
      <c r="P2566" s="10"/>
      <c r="Q2566" s="10"/>
      <c r="R2566" s="10"/>
      <c r="S2566" s="10"/>
    </row>
    <row r="2567" spans="10:19">
      <c r="J2567" s="10"/>
      <c r="K2567" s="1127"/>
      <c r="L2567" s="10"/>
      <c r="M2567" s="10"/>
      <c r="N2567" s="10"/>
      <c r="O2567" s="10"/>
      <c r="P2567" s="10"/>
      <c r="Q2567" s="10"/>
      <c r="R2567" s="10"/>
      <c r="S2567" s="10"/>
    </row>
    <row r="2568" spans="10:19">
      <c r="J2568" s="10"/>
      <c r="K2568" s="1127"/>
      <c r="L2568" s="10"/>
      <c r="M2568" s="10"/>
      <c r="N2568" s="10"/>
      <c r="O2568" s="10"/>
      <c r="P2568" s="10"/>
      <c r="Q2568" s="10"/>
      <c r="R2568" s="10"/>
      <c r="S2568" s="10"/>
    </row>
    <row r="2569" spans="10:19">
      <c r="J2569" s="10"/>
      <c r="K2569" s="1127"/>
      <c r="L2569" s="10"/>
      <c r="M2569" s="10"/>
      <c r="N2569" s="10"/>
      <c r="O2569" s="10"/>
      <c r="P2569" s="10"/>
      <c r="Q2569" s="10"/>
      <c r="R2569" s="10"/>
      <c r="S2569" s="10"/>
    </row>
    <row r="2570" spans="10:19">
      <c r="J2570" s="10"/>
      <c r="K2570" s="1127"/>
      <c r="L2570" s="10"/>
      <c r="M2570" s="10"/>
      <c r="N2570" s="10"/>
      <c r="O2570" s="10"/>
      <c r="P2570" s="10"/>
      <c r="Q2570" s="10"/>
      <c r="R2570" s="10"/>
      <c r="S2570" s="10"/>
    </row>
    <row r="2571" spans="10:19">
      <c r="J2571" s="10"/>
      <c r="K2571" s="1127"/>
      <c r="L2571" s="10"/>
      <c r="M2571" s="10"/>
      <c r="N2571" s="10"/>
      <c r="O2571" s="10"/>
      <c r="P2571" s="10"/>
      <c r="Q2571" s="10"/>
      <c r="R2571" s="10"/>
      <c r="S2571" s="10"/>
    </row>
    <row r="2572" spans="10:19">
      <c r="J2572" s="10"/>
      <c r="K2572" s="1127"/>
      <c r="L2572" s="10"/>
      <c r="M2572" s="10"/>
      <c r="N2572" s="10"/>
      <c r="O2572" s="10"/>
      <c r="P2572" s="10"/>
      <c r="Q2572" s="10"/>
      <c r="R2572" s="10"/>
      <c r="S2572" s="10"/>
    </row>
    <row r="2573" spans="10:19">
      <c r="J2573" s="10"/>
      <c r="K2573" s="1127"/>
      <c r="L2573" s="10"/>
      <c r="M2573" s="10"/>
      <c r="N2573" s="10"/>
      <c r="O2573" s="10"/>
      <c r="P2573" s="10"/>
      <c r="Q2573" s="10"/>
      <c r="R2573" s="10"/>
      <c r="S2573" s="10"/>
    </row>
    <row r="2574" spans="10:19">
      <c r="J2574" s="10"/>
      <c r="K2574" s="1127"/>
      <c r="L2574" s="10"/>
      <c r="M2574" s="10"/>
      <c r="N2574" s="10"/>
      <c r="O2574" s="10"/>
      <c r="P2574" s="10"/>
      <c r="Q2574" s="10"/>
      <c r="R2574" s="10"/>
      <c r="S2574" s="10"/>
    </row>
    <row r="2575" spans="10:19">
      <c r="J2575" s="10"/>
      <c r="K2575" s="1127"/>
      <c r="L2575" s="10"/>
      <c r="M2575" s="10"/>
      <c r="N2575" s="10"/>
      <c r="O2575" s="10"/>
      <c r="P2575" s="10"/>
      <c r="Q2575" s="10"/>
      <c r="R2575" s="10"/>
      <c r="S2575" s="10"/>
    </row>
    <row r="2576" spans="10:19">
      <c r="J2576" s="10"/>
      <c r="K2576" s="1127"/>
      <c r="L2576" s="10"/>
      <c r="M2576" s="10"/>
      <c r="N2576" s="10"/>
      <c r="O2576" s="10"/>
      <c r="P2576" s="10"/>
      <c r="Q2576" s="10"/>
      <c r="R2576" s="10"/>
      <c r="S2576" s="10"/>
    </row>
    <row r="2577" spans="10:19">
      <c r="J2577" s="10"/>
      <c r="K2577" s="1127"/>
      <c r="L2577" s="10"/>
      <c r="M2577" s="10"/>
      <c r="N2577" s="10"/>
      <c r="O2577" s="10"/>
      <c r="P2577" s="10"/>
      <c r="Q2577" s="10"/>
      <c r="R2577" s="10"/>
      <c r="S2577" s="10"/>
    </row>
    <row r="2578" spans="10:19">
      <c r="J2578" s="10"/>
      <c r="K2578" s="1127"/>
      <c r="L2578" s="10"/>
      <c r="M2578" s="10"/>
      <c r="N2578" s="10"/>
      <c r="O2578" s="10"/>
      <c r="P2578" s="10"/>
      <c r="Q2578" s="10"/>
      <c r="R2578" s="10"/>
      <c r="S2578" s="10"/>
    </row>
    <row r="2579" spans="10:19">
      <c r="J2579" s="10"/>
      <c r="K2579" s="1127"/>
      <c r="L2579" s="10"/>
      <c r="M2579" s="10"/>
      <c r="N2579" s="10"/>
      <c r="O2579" s="10"/>
      <c r="P2579" s="10"/>
      <c r="Q2579" s="10"/>
      <c r="R2579" s="10"/>
      <c r="S2579" s="10"/>
    </row>
    <row r="2580" spans="10:19">
      <c r="J2580" s="10"/>
      <c r="K2580" s="1127"/>
      <c r="L2580" s="10"/>
      <c r="M2580" s="10"/>
      <c r="N2580" s="10"/>
      <c r="O2580" s="10"/>
      <c r="P2580" s="10"/>
      <c r="Q2580" s="10"/>
      <c r="R2580" s="10"/>
      <c r="S2580" s="10"/>
    </row>
    <row r="2581" spans="10:19">
      <c r="J2581" s="10"/>
      <c r="K2581" s="1127"/>
      <c r="L2581" s="10"/>
      <c r="M2581" s="10"/>
      <c r="N2581" s="10"/>
      <c r="O2581" s="10"/>
      <c r="P2581" s="10"/>
      <c r="Q2581" s="10"/>
      <c r="R2581" s="10"/>
      <c r="S2581" s="10"/>
    </row>
    <row r="2582" spans="10:19">
      <c r="J2582" s="10"/>
      <c r="K2582" s="1127"/>
      <c r="L2582" s="10"/>
      <c r="M2582" s="10"/>
      <c r="N2582" s="10"/>
      <c r="O2582" s="10"/>
      <c r="P2582" s="10"/>
      <c r="Q2582" s="10"/>
      <c r="R2582" s="10"/>
      <c r="S2582" s="10"/>
    </row>
    <row r="2583" spans="10:19">
      <c r="J2583" s="10"/>
      <c r="K2583" s="1127"/>
      <c r="L2583" s="10"/>
      <c r="M2583" s="10"/>
      <c r="N2583" s="10"/>
      <c r="O2583" s="10"/>
      <c r="P2583" s="10"/>
      <c r="Q2583" s="10"/>
      <c r="R2583" s="10"/>
      <c r="S2583" s="10"/>
    </row>
    <row r="2584" spans="10:19">
      <c r="J2584" s="10"/>
      <c r="K2584" s="1127"/>
      <c r="L2584" s="10"/>
      <c r="M2584" s="10"/>
      <c r="N2584" s="10"/>
      <c r="O2584" s="10"/>
      <c r="P2584" s="10"/>
      <c r="Q2584" s="10"/>
      <c r="R2584" s="10"/>
      <c r="S2584" s="10"/>
    </row>
    <row r="2585" spans="10:19">
      <c r="J2585" s="10"/>
      <c r="K2585" s="1127"/>
      <c r="L2585" s="10"/>
      <c r="M2585" s="10"/>
      <c r="N2585" s="10"/>
      <c r="O2585" s="10"/>
      <c r="P2585" s="10"/>
      <c r="Q2585" s="10"/>
      <c r="R2585" s="10"/>
      <c r="S2585" s="10"/>
    </row>
    <row r="2586" spans="10:19">
      <c r="J2586" s="10"/>
      <c r="K2586" s="1127"/>
      <c r="L2586" s="10"/>
      <c r="M2586" s="10"/>
      <c r="N2586" s="10"/>
      <c r="O2586" s="10"/>
      <c r="P2586" s="10"/>
      <c r="Q2586" s="10"/>
      <c r="R2586" s="10"/>
      <c r="S2586" s="10"/>
    </row>
    <row r="2587" spans="10:19">
      <c r="J2587" s="10"/>
      <c r="K2587" s="1127"/>
      <c r="L2587" s="10"/>
      <c r="M2587" s="10"/>
      <c r="N2587" s="10"/>
      <c r="O2587" s="10"/>
      <c r="P2587" s="10"/>
      <c r="Q2587" s="10"/>
      <c r="R2587" s="10"/>
      <c r="S2587" s="10"/>
    </row>
    <row r="2588" spans="10:19">
      <c r="J2588" s="10"/>
      <c r="K2588" s="1127"/>
      <c r="L2588" s="10"/>
      <c r="M2588" s="10"/>
      <c r="N2588" s="10"/>
      <c r="O2588" s="10"/>
      <c r="P2588" s="10"/>
      <c r="Q2588" s="10"/>
      <c r="R2588" s="10"/>
      <c r="S2588" s="10"/>
    </row>
    <row r="2589" spans="10:19">
      <c r="J2589" s="10"/>
      <c r="K2589" s="1127"/>
      <c r="L2589" s="10"/>
      <c r="M2589" s="10"/>
      <c r="N2589" s="10"/>
      <c r="O2589" s="10"/>
      <c r="P2589" s="10"/>
      <c r="Q2589" s="10"/>
      <c r="R2589" s="10"/>
      <c r="S2589" s="10"/>
    </row>
    <row r="2590" spans="10:19">
      <c r="J2590" s="10"/>
      <c r="K2590" s="1127"/>
      <c r="L2590" s="10"/>
      <c r="M2590" s="10"/>
      <c r="N2590" s="10"/>
      <c r="O2590" s="10"/>
      <c r="P2590" s="10"/>
      <c r="Q2590" s="10"/>
      <c r="R2590" s="10"/>
      <c r="S2590" s="10"/>
    </row>
    <row r="2591" spans="10:19">
      <c r="J2591" s="10"/>
      <c r="K2591" s="1127"/>
      <c r="L2591" s="10"/>
      <c r="M2591" s="10"/>
      <c r="N2591" s="10"/>
      <c r="O2591" s="10"/>
      <c r="P2591" s="10"/>
      <c r="Q2591" s="10"/>
      <c r="R2591" s="10"/>
      <c r="S2591" s="10"/>
    </row>
    <row r="2592" spans="10:19">
      <c r="J2592" s="10"/>
      <c r="K2592" s="1127"/>
      <c r="L2592" s="10"/>
      <c r="M2592" s="10"/>
      <c r="N2592" s="10"/>
      <c r="O2592" s="10"/>
      <c r="P2592" s="10"/>
      <c r="Q2592" s="10"/>
      <c r="R2592" s="10"/>
      <c r="S2592" s="10"/>
    </row>
    <row r="2593" spans="10:19">
      <c r="J2593" s="10"/>
      <c r="K2593" s="1127"/>
      <c r="L2593" s="10"/>
      <c r="M2593" s="10"/>
      <c r="N2593" s="10"/>
      <c r="O2593" s="10"/>
      <c r="P2593" s="10"/>
      <c r="Q2593" s="10"/>
      <c r="R2593" s="10"/>
      <c r="S2593" s="10"/>
    </row>
    <row r="2594" spans="10:19">
      <c r="J2594" s="10"/>
      <c r="K2594" s="1127"/>
      <c r="L2594" s="10"/>
      <c r="M2594" s="10"/>
      <c r="N2594" s="10"/>
      <c r="O2594" s="10"/>
      <c r="P2594" s="10"/>
      <c r="Q2594" s="10"/>
      <c r="R2594" s="10"/>
      <c r="S2594" s="10"/>
    </row>
    <row r="2595" spans="10:19">
      <c r="J2595" s="10"/>
      <c r="K2595" s="1127"/>
      <c r="L2595" s="10"/>
      <c r="M2595" s="10"/>
      <c r="N2595" s="10"/>
      <c r="O2595" s="10"/>
      <c r="P2595" s="10"/>
      <c r="Q2595" s="10"/>
      <c r="R2595" s="10"/>
      <c r="S2595" s="10"/>
    </row>
    <row r="2596" spans="10:19">
      <c r="J2596" s="10"/>
      <c r="K2596" s="1127"/>
      <c r="L2596" s="10"/>
      <c r="M2596" s="10"/>
      <c r="N2596" s="10"/>
      <c r="O2596" s="10"/>
      <c r="P2596" s="10"/>
      <c r="Q2596" s="10"/>
      <c r="R2596" s="10"/>
      <c r="S2596" s="10"/>
    </row>
    <row r="2597" spans="10:19">
      <c r="J2597" s="10"/>
      <c r="K2597" s="1127"/>
      <c r="L2597" s="10"/>
      <c r="M2597" s="10"/>
      <c r="N2597" s="10"/>
      <c r="O2597" s="10"/>
      <c r="P2597" s="10"/>
      <c r="Q2597" s="10"/>
      <c r="R2597" s="10"/>
      <c r="S2597" s="10"/>
    </row>
    <row r="2598" spans="10:19">
      <c r="J2598" s="10"/>
      <c r="K2598" s="1127"/>
      <c r="L2598" s="10"/>
      <c r="M2598" s="10"/>
      <c r="N2598" s="10"/>
      <c r="O2598" s="10"/>
      <c r="P2598" s="10"/>
      <c r="Q2598" s="10"/>
      <c r="R2598" s="10"/>
      <c r="S2598" s="10"/>
    </row>
    <row r="2599" spans="10:19">
      <c r="J2599" s="10"/>
      <c r="K2599" s="1127"/>
      <c r="L2599" s="10"/>
      <c r="M2599" s="10"/>
      <c r="N2599" s="10"/>
      <c r="O2599" s="10"/>
      <c r="P2599" s="10"/>
      <c r="Q2599" s="10"/>
      <c r="R2599" s="10"/>
      <c r="S2599" s="10"/>
    </row>
    <row r="2600" spans="10:19">
      <c r="J2600" s="10"/>
      <c r="K2600" s="1127"/>
      <c r="L2600" s="10"/>
      <c r="M2600" s="10"/>
      <c r="N2600" s="10"/>
      <c r="O2600" s="10"/>
      <c r="P2600" s="10"/>
      <c r="Q2600" s="10"/>
      <c r="R2600" s="10"/>
      <c r="S2600" s="10"/>
    </row>
    <row r="2601" spans="10:19">
      <c r="J2601" s="10"/>
      <c r="K2601" s="1127"/>
      <c r="L2601" s="10"/>
      <c r="M2601" s="10"/>
      <c r="N2601" s="10"/>
      <c r="O2601" s="10"/>
      <c r="P2601" s="10"/>
      <c r="Q2601" s="10"/>
      <c r="R2601" s="10"/>
      <c r="S2601" s="10"/>
    </row>
    <row r="2602" spans="10:19">
      <c r="J2602" s="10"/>
      <c r="K2602" s="1127"/>
      <c r="L2602" s="10"/>
      <c r="M2602" s="10"/>
      <c r="N2602" s="10"/>
      <c r="O2602" s="10"/>
      <c r="P2602" s="10"/>
      <c r="Q2602" s="10"/>
      <c r="R2602" s="10"/>
      <c r="S2602" s="10"/>
    </row>
    <row r="2603" spans="10:19">
      <c r="J2603" s="10"/>
      <c r="K2603" s="1127"/>
      <c r="L2603" s="10"/>
      <c r="M2603" s="10"/>
      <c r="N2603" s="10"/>
      <c r="O2603" s="10"/>
      <c r="P2603" s="10"/>
      <c r="Q2603" s="10"/>
      <c r="R2603" s="10"/>
      <c r="S2603" s="10"/>
    </row>
    <row r="2604" spans="10:19">
      <c r="J2604" s="10"/>
      <c r="K2604" s="1127"/>
      <c r="L2604" s="10"/>
      <c r="M2604" s="10"/>
      <c r="N2604" s="10"/>
      <c r="O2604" s="10"/>
      <c r="P2604" s="10"/>
      <c r="Q2604" s="10"/>
      <c r="R2604" s="10"/>
      <c r="S2604" s="10"/>
    </row>
    <row r="2605" spans="10:19">
      <c r="J2605" s="10"/>
      <c r="K2605" s="1127"/>
      <c r="L2605" s="10"/>
      <c r="M2605" s="10"/>
      <c r="N2605" s="10"/>
      <c r="O2605" s="10"/>
      <c r="P2605" s="10"/>
      <c r="Q2605" s="10"/>
      <c r="R2605" s="10"/>
      <c r="S2605" s="10"/>
    </row>
    <row r="2606" spans="10:19">
      <c r="J2606" s="10"/>
      <c r="K2606" s="1127"/>
      <c r="L2606" s="10"/>
      <c r="M2606" s="10"/>
      <c r="N2606" s="10"/>
      <c r="O2606" s="10"/>
      <c r="P2606" s="10"/>
      <c r="Q2606" s="10"/>
      <c r="R2606" s="10"/>
      <c r="S2606" s="10"/>
    </row>
    <row r="2607" spans="10:19">
      <c r="J2607" s="10"/>
      <c r="K2607" s="1127"/>
      <c r="L2607" s="10"/>
      <c r="M2607" s="10"/>
      <c r="N2607" s="10"/>
      <c r="O2607" s="10"/>
      <c r="P2607" s="10"/>
      <c r="Q2607" s="10"/>
      <c r="R2607" s="10"/>
      <c r="S2607" s="10"/>
    </row>
    <row r="2608" spans="10:19">
      <c r="J2608" s="10"/>
      <c r="K2608" s="1127"/>
      <c r="L2608" s="10"/>
      <c r="M2608" s="10"/>
      <c r="N2608" s="10"/>
      <c r="O2608" s="10"/>
      <c r="P2608" s="10"/>
      <c r="Q2608" s="10"/>
      <c r="R2608" s="10"/>
      <c r="S2608" s="10"/>
    </row>
    <row r="2609" spans="10:19">
      <c r="J2609" s="10"/>
      <c r="K2609" s="1127"/>
      <c r="L2609" s="10"/>
      <c r="M2609" s="10"/>
      <c r="N2609" s="10"/>
      <c r="O2609" s="10"/>
      <c r="P2609" s="10"/>
      <c r="Q2609" s="10"/>
      <c r="R2609" s="10"/>
      <c r="S2609" s="10"/>
    </row>
    <row r="2610" spans="10:19">
      <c r="J2610" s="10"/>
      <c r="K2610" s="1127"/>
      <c r="L2610" s="10"/>
      <c r="M2610" s="10"/>
      <c r="N2610" s="10"/>
      <c r="O2610" s="10"/>
      <c r="P2610" s="10"/>
      <c r="Q2610" s="10"/>
      <c r="R2610" s="10"/>
      <c r="S2610" s="10"/>
    </row>
    <row r="2611" spans="10:19">
      <c r="J2611" s="10"/>
      <c r="K2611" s="1127"/>
      <c r="L2611" s="10"/>
      <c r="M2611" s="10"/>
      <c r="N2611" s="10"/>
      <c r="O2611" s="10"/>
      <c r="P2611" s="10"/>
      <c r="Q2611" s="10"/>
      <c r="R2611" s="10"/>
      <c r="S2611" s="10"/>
    </row>
    <row r="2612" spans="10:19">
      <c r="J2612" s="10"/>
      <c r="K2612" s="1127"/>
      <c r="L2612" s="10"/>
      <c r="M2612" s="10"/>
      <c r="N2612" s="10"/>
      <c r="O2612" s="10"/>
      <c r="P2612" s="10"/>
      <c r="Q2612" s="10"/>
      <c r="R2612" s="10"/>
      <c r="S2612" s="10"/>
    </row>
    <row r="2613" spans="10:19">
      <c r="J2613" s="10"/>
      <c r="K2613" s="1127"/>
      <c r="L2613" s="10"/>
      <c r="M2613" s="10"/>
      <c r="N2613" s="10"/>
      <c r="O2613" s="10"/>
      <c r="P2613" s="10"/>
      <c r="Q2613" s="10"/>
      <c r="R2613" s="10"/>
      <c r="S2613" s="10"/>
    </row>
    <row r="2614" spans="10:19">
      <c r="J2614" s="10"/>
      <c r="K2614" s="1127"/>
      <c r="L2614" s="10"/>
      <c r="M2614" s="10"/>
      <c r="N2614" s="10"/>
      <c r="O2614" s="10"/>
      <c r="P2614" s="10"/>
      <c r="Q2614" s="10"/>
      <c r="R2614" s="10"/>
      <c r="S2614" s="10"/>
    </row>
    <row r="2615" spans="10:19">
      <c r="J2615" s="10"/>
      <c r="K2615" s="1127"/>
      <c r="L2615" s="10"/>
      <c r="M2615" s="10"/>
      <c r="N2615" s="10"/>
      <c r="O2615" s="10"/>
      <c r="P2615" s="10"/>
      <c r="Q2615" s="10"/>
      <c r="R2615" s="10"/>
      <c r="S2615" s="10"/>
    </row>
    <row r="2616" spans="10:19">
      <c r="J2616" s="10"/>
      <c r="K2616" s="1127"/>
      <c r="L2616" s="10"/>
      <c r="M2616" s="10"/>
      <c r="N2616" s="10"/>
      <c r="O2616" s="10"/>
      <c r="P2616" s="10"/>
      <c r="Q2616" s="10"/>
      <c r="R2616" s="10"/>
      <c r="S2616" s="10"/>
    </row>
    <row r="2617" spans="10:19">
      <c r="J2617" s="10"/>
      <c r="K2617" s="1127"/>
      <c r="L2617" s="10"/>
      <c r="M2617" s="10"/>
      <c r="N2617" s="10"/>
      <c r="O2617" s="10"/>
      <c r="P2617" s="10"/>
      <c r="Q2617" s="10"/>
      <c r="R2617" s="10"/>
      <c r="S2617" s="10"/>
    </row>
    <row r="2618" spans="10:19">
      <c r="J2618" s="10"/>
      <c r="K2618" s="1127"/>
      <c r="L2618" s="10"/>
      <c r="M2618" s="10"/>
      <c r="N2618" s="10"/>
      <c r="O2618" s="10"/>
      <c r="P2618" s="10"/>
      <c r="Q2618" s="10"/>
      <c r="R2618" s="10"/>
      <c r="S2618" s="10"/>
    </row>
    <row r="2619" spans="10:19">
      <c r="J2619" s="10"/>
      <c r="K2619" s="1127"/>
      <c r="L2619" s="10"/>
      <c r="M2619" s="10"/>
      <c r="N2619" s="10"/>
      <c r="O2619" s="10"/>
      <c r="P2619" s="10"/>
      <c r="Q2619" s="10"/>
      <c r="R2619" s="10"/>
      <c r="S2619" s="10"/>
    </row>
    <row r="2620" spans="10:19">
      <c r="J2620" s="10"/>
      <c r="K2620" s="1127"/>
      <c r="L2620" s="10"/>
      <c r="M2620" s="10"/>
      <c r="N2620" s="10"/>
      <c r="O2620" s="10"/>
      <c r="P2620" s="10"/>
      <c r="Q2620" s="10"/>
      <c r="R2620" s="10"/>
      <c r="S2620" s="10"/>
    </row>
    <row r="2621" spans="10:19">
      <c r="J2621" s="10"/>
      <c r="K2621" s="1127"/>
      <c r="L2621" s="10"/>
      <c r="M2621" s="10"/>
      <c r="N2621" s="10"/>
      <c r="O2621" s="10"/>
      <c r="P2621" s="10"/>
      <c r="Q2621" s="10"/>
      <c r="R2621" s="10"/>
      <c r="S2621" s="10"/>
    </row>
    <row r="2622" spans="10:19">
      <c r="J2622" s="10"/>
      <c r="K2622" s="1127"/>
      <c r="L2622" s="10"/>
      <c r="M2622" s="10"/>
      <c r="N2622" s="10"/>
      <c r="O2622" s="10"/>
      <c r="P2622" s="10"/>
      <c r="Q2622" s="10"/>
      <c r="R2622" s="10"/>
      <c r="S2622" s="10"/>
    </row>
    <row r="2623" spans="10:19">
      <c r="J2623" s="10"/>
      <c r="K2623" s="1127"/>
      <c r="L2623" s="10"/>
      <c r="M2623" s="10"/>
      <c r="N2623" s="10"/>
      <c r="O2623" s="10"/>
      <c r="P2623" s="10"/>
      <c r="Q2623" s="10"/>
      <c r="R2623" s="10"/>
      <c r="S2623" s="10"/>
    </row>
    <row r="2624" spans="10:19">
      <c r="J2624" s="10"/>
      <c r="K2624" s="1127"/>
      <c r="L2624" s="10"/>
      <c r="M2624" s="10"/>
      <c r="N2624" s="10"/>
      <c r="O2624" s="10"/>
      <c r="P2624" s="10"/>
      <c r="Q2624" s="10"/>
      <c r="R2624" s="10"/>
      <c r="S2624" s="10"/>
    </row>
    <row r="2625" spans="10:19">
      <c r="J2625" s="10"/>
      <c r="K2625" s="1127"/>
      <c r="L2625" s="10"/>
      <c r="M2625" s="10"/>
      <c r="N2625" s="10"/>
      <c r="O2625" s="10"/>
      <c r="P2625" s="10"/>
      <c r="Q2625" s="10"/>
      <c r="R2625" s="10"/>
      <c r="S2625" s="10"/>
    </row>
    <row r="2626" spans="10:19">
      <c r="J2626" s="10"/>
      <c r="K2626" s="1127"/>
      <c r="L2626" s="10"/>
      <c r="M2626" s="10"/>
      <c r="N2626" s="10"/>
      <c r="O2626" s="10"/>
      <c r="P2626" s="10"/>
      <c r="Q2626" s="10"/>
      <c r="R2626" s="10"/>
      <c r="S2626" s="10"/>
    </row>
    <row r="2627" spans="10:19">
      <c r="J2627" s="10"/>
      <c r="K2627" s="1127"/>
      <c r="L2627" s="10"/>
      <c r="M2627" s="10"/>
      <c r="N2627" s="10"/>
      <c r="O2627" s="10"/>
      <c r="P2627" s="10"/>
      <c r="Q2627" s="10"/>
      <c r="R2627" s="10"/>
      <c r="S2627" s="10"/>
    </row>
    <row r="2628" spans="10:19">
      <c r="J2628" s="10"/>
      <c r="K2628" s="1127"/>
      <c r="L2628" s="10"/>
      <c r="M2628" s="10"/>
      <c r="N2628" s="10"/>
      <c r="O2628" s="10"/>
      <c r="P2628" s="10"/>
      <c r="Q2628" s="10"/>
      <c r="R2628" s="10"/>
      <c r="S2628" s="10"/>
    </row>
    <row r="2629" spans="10:19">
      <c r="J2629" s="10"/>
      <c r="K2629" s="1127"/>
      <c r="L2629" s="10"/>
      <c r="M2629" s="10"/>
      <c r="N2629" s="10"/>
      <c r="O2629" s="10"/>
      <c r="P2629" s="10"/>
      <c r="Q2629" s="10"/>
      <c r="R2629" s="10"/>
      <c r="S2629" s="10"/>
    </row>
    <row r="2630" spans="10:19">
      <c r="J2630" s="10"/>
      <c r="K2630" s="1127"/>
      <c r="L2630" s="10"/>
      <c r="M2630" s="10"/>
      <c r="N2630" s="10"/>
      <c r="O2630" s="10"/>
      <c r="P2630" s="10"/>
      <c r="Q2630" s="10"/>
      <c r="R2630" s="10"/>
      <c r="S2630" s="10"/>
    </row>
    <row r="2631" spans="10:19">
      <c r="J2631" s="10"/>
      <c r="K2631" s="1127"/>
      <c r="L2631" s="10"/>
      <c r="M2631" s="10"/>
      <c r="N2631" s="10"/>
      <c r="O2631" s="10"/>
      <c r="P2631" s="10"/>
      <c r="Q2631" s="10"/>
      <c r="R2631" s="10"/>
      <c r="S2631" s="10"/>
    </row>
    <row r="2632" spans="10:19">
      <c r="J2632" s="10"/>
      <c r="K2632" s="1127"/>
      <c r="L2632" s="10"/>
      <c r="M2632" s="10"/>
      <c r="N2632" s="10"/>
      <c r="O2632" s="10"/>
      <c r="P2632" s="10"/>
      <c r="Q2632" s="10"/>
      <c r="R2632" s="10"/>
      <c r="S2632" s="10"/>
    </row>
    <row r="2633" spans="10:19">
      <c r="J2633" s="10"/>
      <c r="K2633" s="1127"/>
      <c r="L2633" s="10"/>
      <c r="M2633" s="10"/>
      <c r="N2633" s="10"/>
      <c r="O2633" s="10"/>
      <c r="P2633" s="10"/>
      <c r="Q2633" s="10"/>
      <c r="R2633" s="10"/>
      <c r="S2633" s="10"/>
    </row>
    <row r="2634" spans="10:19">
      <c r="J2634" s="10"/>
      <c r="K2634" s="1127"/>
      <c r="L2634" s="10"/>
      <c r="M2634" s="10"/>
      <c r="N2634" s="10"/>
      <c r="O2634" s="10"/>
      <c r="P2634" s="10"/>
      <c r="Q2634" s="10"/>
      <c r="R2634" s="10"/>
      <c r="S2634" s="10"/>
    </row>
    <row r="2635" spans="10:19">
      <c r="J2635" s="10"/>
      <c r="K2635" s="1127"/>
      <c r="L2635" s="10"/>
      <c r="M2635" s="10"/>
      <c r="N2635" s="10"/>
      <c r="O2635" s="10"/>
      <c r="P2635" s="10"/>
      <c r="Q2635" s="10"/>
      <c r="R2635" s="10"/>
      <c r="S2635" s="10"/>
    </row>
    <row r="2636" spans="10:19">
      <c r="J2636" s="10"/>
      <c r="K2636" s="1127"/>
      <c r="L2636" s="10"/>
      <c r="M2636" s="10"/>
      <c r="N2636" s="10"/>
      <c r="O2636" s="10"/>
      <c r="P2636" s="10"/>
      <c r="Q2636" s="10"/>
      <c r="R2636" s="10"/>
      <c r="S2636" s="10"/>
    </row>
    <row r="2637" spans="10:19">
      <c r="J2637" s="10"/>
      <c r="K2637" s="1127"/>
      <c r="L2637" s="10"/>
      <c r="M2637" s="10"/>
      <c r="N2637" s="10"/>
      <c r="O2637" s="10"/>
      <c r="P2637" s="10"/>
      <c r="Q2637" s="10"/>
      <c r="R2637" s="10"/>
      <c r="S2637" s="10"/>
    </row>
    <row r="2638" spans="10:19">
      <c r="J2638" s="10"/>
      <c r="K2638" s="1127"/>
      <c r="L2638" s="10"/>
      <c r="M2638" s="10"/>
      <c r="N2638" s="10"/>
      <c r="O2638" s="10"/>
      <c r="P2638" s="10"/>
      <c r="Q2638" s="10"/>
      <c r="R2638" s="10"/>
      <c r="S2638" s="10"/>
    </row>
    <row r="2639" spans="10:19">
      <c r="J2639" s="10"/>
      <c r="K2639" s="1127"/>
      <c r="L2639" s="10"/>
      <c r="M2639" s="10"/>
      <c r="N2639" s="10"/>
      <c r="O2639" s="10"/>
      <c r="P2639" s="10"/>
      <c r="Q2639" s="10"/>
      <c r="R2639" s="10"/>
      <c r="S2639" s="10"/>
    </row>
    <row r="2640" spans="10:19">
      <c r="J2640" s="10"/>
      <c r="K2640" s="1127"/>
      <c r="L2640" s="10"/>
      <c r="M2640" s="10"/>
      <c r="N2640" s="10"/>
      <c r="O2640" s="10"/>
      <c r="P2640" s="10"/>
      <c r="Q2640" s="10"/>
      <c r="R2640" s="10"/>
      <c r="S2640" s="10"/>
    </row>
    <row r="2641" spans="10:19">
      <c r="J2641" s="10"/>
      <c r="K2641" s="1127"/>
      <c r="L2641" s="10"/>
      <c r="M2641" s="10"/>
      <c r="N2641" s="10"/>
      <c r="O2641" s="10"/>
      <c r="P2641" s="10"/>
      <c r="Q2641" s="10"/>
      <c r="R2641" s="10"/>
      <c r="S2641" s="10"/>
    </row>
    <row r="2642" spans="10:19">
      <c r="J2642" s="10"/>
      <c r="K2642" s="1127"/>
      <c r="L2642" s="10"/>
      <c r="M2642" s="10"/>
      <c r="N2642" s="10"/>
      <c r="O2642" s="10"/>
      <c r="P2642" s="10"/>
      <c r="Q2642" s="10"/>
      <c r="R2642" s="10"/>
      <c r="S2642" s="10"/>
    </row>
    <row r="2643" spans="10:19">
      <c r="J2643" s="10"/>
      <c r="K2643" s="1127"/>
      <c r="L2643" s="10"/>
      <c r="M2643" s="10"/>
      <c r="N2643" s="10"/>
      <c r="O2643" s="10"/>
      <c r="P2643" s="10"/>
      <c r="Q2643" s="10"/>
      <c r="R2643" s="10"/>
      <c r="S2643" s="10"/>
    </row>
    <row r="2644" spans="10:19">
      <c r="J2644" s="10"/>
      <c r="K2644" s="1127"/>
      <c r="L2644" s="10"/>
      <c r="M2644" s="10"/>
      <c r="N2644" s="10"/>
      <c r="O2644" s="10"/>
      <c r="P2644" s="10"/>
      <c r="Q2644" s="10"/>
      <c r="R2644" s="10"/>
      <c r="S2644" s="10"/>
    </row>
    <row r="2645" spans="10:19">
      <c r="J2645" s="10"/>
      <c r="K2645" s="1127"/>
      <c r="L2645" s="10"/>
      <c r="M2645" s="10"/>
      <c r="N2645" s="10"/>
      <c r="O2645" s="10"/>
      <c r="P2645" s="10"/>
      <c r="Q2645" s="10"/>
      <c r="R2645" s="10"/>
      <c r="S2645" s="10"/>
    </row>
    <row r="2646" spans="10:19">
      <c r="J2646" s="10"/>
      <c r="K2646" s="1127"/>
      <c r="L2646" s="10"/>
      <c r="M2646" s="10"/>
      <c r="N2646" s="10"/>
      <c r="O2646" s="10"/>
      <c r="P2646" s="10"/>
      <c r="Q2646" s="10"/>
      <c r="R2646" s="10"/>
      <c r="S2646" s="10"/>
    </row>
    <row r="2647" spans="10:19">
      <c r="J2647" s="10"/>
      <c r="K2647" s="1127"/>
      <c r="L2647" s="10"/>
      <c r="M2647" s="10"/>
      <c r="N2647" s="10"/>
      <c r="O2647" s="10"/>
      <c r="P2647" s="10"/>
      <c r="Q2647" s="10"/>
      <c r="R2647" s="10"/>
      <c r="S2647" s="10"/>
    </row>
    <row r="2648" spans="10:19">
      <c r="J2648" s="10"/>
      <c r="K2648" s="1127"/>
      <c r="L2648" s="10"/>
      <c r="M2648" s="10"/>
      <c r="N2648" s="10"/>
      <c r="O2648" s="10"/>
      <c r="P2648" s="10"/>
      <c r="Q2648" s="10"/>
      <c r="R2648" s="10"/>
      <c r="S2648" s="10"/>
    </row>
    <row r="2649" spans="10:19">
      <c r="J2649" s="10"/>
      <c r="K2649" s="1127"/>
      <c r="L2649" s="10"/>
      <c r="M2649" s="10"/>
      <c r="N2649" s="10"/>
      <c r="O2649" s="10"/>
      <c r="P2649" s="10"/>
      <c r="Q2649" s="10"/>
      <c r="R2649" s="10"/>
      <c r="S2649" s="10"/>
    </row>
    <row r="2650" spans="10:19">
      <c r="J2650" s="10"/>
      <c r="K2650" s="1127"/>
      <c r="L2650" s="10"/>
      <c r="M2650" s="10"/>
      <c r="N2650" s="10"/>
      <c r="O2650" s="10"/>
      <c r="P2650" s="10"/>
      <c r="Q2650" s="10"/>
      <c r="R2650" s="10"/>
      <c r="S2650" s="10"/>
    </row>
    <row r="2651" spans="10:19">
      <c r="J2651" s="10"/>
      <c r="K2651" s="1127"/>
      <c r="L2651" s="10"/>
      <c r="M2651" s="10"/>
      <c r="N2651" s="10"/>
      <c r="O2651" s="10"/>
      <c r="P2651" s="10"/>
      <c r="Q2651" s="10"/>
      <c r="R2651" s="10"/>
      <c r="S2651" s="10"/>
    </row>
    <row r="2652" spans="10:19">
      <c r="J2652" s="10"/>
      <c r="K2652" s="1127"/>
      <c r="L2652" s="10"/>
      <c r="M2652" s="10"/>
      <c r="N2652" s="10"/>
      <c r="O2652" s="10"/>
      <c r="P2652" s="10"/>
      <c r="Q2652" s="10"/>
      <c r="R2652" s="10"/>
      <c r="S2652" s="10"/>
    </row>
    <row r="2653" spans="10:19">
      <c r="J2653" s="10"/>
      <c r="K2653" s="1127"/>
      <c r="L2653" s="10"/>
      <c r="M2653" s="10"/>
      <c r="N2653" s="10"/>
      <c r="O2653" s="10"/>
      <c r="P2653" s="10"/>
      <c r="Q2653" s="10"/>
      <c r="R2653" s="10"/>
      <c r="S2653" s="10"/>
    </row>
    <row r="2654" spans="10:19">
      <c r="J2654" s="10"/>
      <c r="K2654" s="1127"/>
      <c r="L2654" s="10"/>
      <c r="M2654" s="10"/>
      <c r="N2654" s="10"/>
      <c r="O2654" s="10"/>
      <c r="P2654" s="10"/>
      <c r="Q2654" s="10"/>
      <c r="R2654" s="10"/>
      <c r="S2654" s="10"/>
    </row>
    <row r="2655" spans="10:19">
      <c r="J2655" s="10"/>
      <c r="K2655" s="1127"/>
      <c r="L2655" s="10"/>
      <c r="M2655" s="10"/>
      <c r="N2655" s="10"/>
      <c r="O2655" s="10"/>
      <c r="P2655" s="10"/>
      <c r="Q2655" s="10"/>
      <c r="R2655" s="10"/>
      <c r="S2655" s="10"/>
    </row>
    <row r="2656" spans="10:19">
      <c r="J2656" s="10"/>
      <c r="K2656" s="1127"/>
      <c r="L2656" s="10"/>
      <c r="M2656" s="10"/>
      <c r="N2656" s="10"/>
      <c r="O2656" s="10"/>
      <c r="P2656" s="10"/>
      <c r="Q2656" s="10"/>
      <c r="R2656" s="10"/>
      <c r="S2656" s="10"/>
    </row>
    <row r="2657" spans="10:19">
      <c r="J2657" s="10"/>
      <c r="K2657" s="1127"/>
      <c r="L2657" s="10"/>
      <c r="M2657" s="10"/>
      <c r="N2657" s="10"/>
      <c r="O2657" s="10"/>
      <c r="P2657" s="10"/>
      <c r="Q2657" s="10"/>
      <c r="R2657" s="10"/>
      <c r="S2657" s="10"/>
    </row>
    <row r="2658" spans="10:19">
      <c r="J2658" s="10"/>
      <c r="K2658" s="1127"/>
      <c r="L2658" s="10"/>
      <c r="M2658" s="10"/>
      <c r="N2658" s="10"/>
      <c r="O2658" s="10"/>
      <c r="P2658" s="10"/>
      <c r="Q2658" s="10"/>
      <c r="R2658" s="10"/>
      <c r="S2658" s="10"/>
    </row>
    <row r="2659" spans="10:19">
      <c r="J2659" s="10"/>
      <c r="K2659" s="1127"/>
      <c r="L2659" s="10"/>
      <c r="M2659" s="10"/>
      <c r="N2659" s="10"/>
      <c r="O2659" s="10"/>
      <c r="P2659" s="10"/>
      <c r="Q2659" s="10"/>
      <c r="R2659" s="10"/>
      <c r="S2659" s="10"/>
    </row>
    <row r="2660" spans="10:19">
      <c r="J2660" s="10"/>
      <c r="K2660" s="1127"/>
      <c r="L2660" s="10"/>
      <c r="M2660" s="10"/>
      <c r="N2660" s="10"/>
      <c r="O2660" s="10"/>
      <c r="P2660" s="10"/>
      <c r="Q2660" s="10"/>
      <c r="R2660" s="10"/>
      <c r="S2660" s="10"/>
    </row>
    <row r="2661" spans="10:19">
      <c r="J2661" s="10"/>
      <c r="K2661" s="1127"/>
      <c r="L2661" s="10"/>
      <c r="M2661" s="10"/>
      <c r="N2661" s="10"/>
      <c r="O2661" s="10"/>
      <c r="P2661" s="10"/>
      <c r="Q2661" s="10"/>
      <c r="R2661" s="10"/>
      <c r="S2661" s="10"/>
    </row>
    <row r="2662" spans="10:19">
      <c r="J2662" s="10"/>
      <c r="K2662" s="1127"/>
      <c r="L2662" s="10"/>
      <c r="M2662" s="10"/>
      <c r="N2662" s="10"/>
      <c r="O2662" s="10"/>
      <c r="P2662" s="10"/>
      <c r="Q2662" s="10"/>
      <c r="R2662" s="10"/>
      <c r="S2662" s="10"/>
    </row>
    <row r="2663" spans="10:19">
      <c r="J2663" s="10"/>
      <c r="K2663" s="1127"/>
      <c r="L2663" s="10"/>
      <c r="M2663" s="10"/>
      <c r="N2663" s="10"/>
      <c r="O2663" s="10"/>
      <c r="P2663" s="10"/>
      <c r="Q2663" s="10"/>
      <c r="R2663" s="10"/>
      <c r="S2663" s="10"/>
    </row>
    <row r="2664" spans="10:19">
      <c r="J2664" s="10"/>
      <c r="K2664" s="1127"/>
      <c r="L2664" s="10"/>
      <c r="M2664" s="10"/>
      <c r="N2664" s="10"/>
      <c r="O2664" s="10"/>
      <c r="P2664" s="10"/>
      <c r="Q2664" s="10"/>
      <c r="R2664" s="10"/>
      <c r="S2664" s="10"/>
    </row>
    <row r="2665" spans="10:19">
      <c r="J2665" s="10"/>
      <c r="K2665" s="1127"/>
      <c r="L2665" s="10"/>
      <c r="M2665" s="10"/>
      <c r="N2665" s="10"/>
      <c r="O2665" s="10"/>
      <c r="P2665" s="10"/>
      <c r="Q2665" s="10"/>
      <c r="R2665" s="10"/>
      <c r="S2665" s="10"/>
    </row>
    <row r="2666" spans="10:19">
      <c r="J2666" s="10"/>
      <c r="K2666" s="1127"/>
      <c r="L2666" s="10"/>
      <c r="M2666" s="10"/>
      <c r="N2666" s="10"/>
      <c r="O2666" s="10"/>
      <c r="P2666" s="10"/>
      <c r="Q2666" s="10"/>
      <c r="R2666" s="10"/>
      <c r="S2666" s="10"/>
    </row>
    <row r="2667" spans="10:19">
      <c r="J2667" s="10"/>
      <c r="K2667" s="1127"/>
      <c r="L2667" s="10"/>
      <c r="M2667" s="10"/>
      <c r="N2667" s="10"/>
      <c r="O2667" s="10"/>
      <c r="P2667" s="10"/>
      <c r="Q2667" s="10"/>
      <c r="R2667" s="10"/>
      <c r="S2667" s="10"/>
    </row>
    <row r="2668" spans="10:19">
      <c r="J2668" s="10"/>
      <c r="K2668" s="1127"/>
      <c r="L2668" s="10"/>
      <c r="M2668" s="10"/>
      <c r="N2668" s="10"/>
      <c r="O2668" s="10"/>
      <c r="P2668" s="10"/>
      <c r="Q2668" s="10"/>
      <c r="R2668" s="10"/>
      <c r="S2668" s="10"/>
    </row>
    <row r="2669" spans="10:19">
      <c r="J2669" s="10"/>
      <c r="K2669" s="1127"/>
      <c r="L2669" s="10"/>
      <c r="M2669" s="10"/>
      <c r="N2669" s="10"/>
      <c r="O2669" s="10"/>
      <c r="P2669" s="10"/>
      <c r="Q2669" s="10"/>
      <c r="R2669" s="10"/>
      <c r="S2669" s="10"/>
    </row>
    <row r="2670" spans="10:19">
      <c r="J2670" s="10"/>
      <c r="K2670" s="1127"/>
      <c r="L2670" s="10"/>
      <c r="M2670" s="10"/>
      <c r="N2670" s="10"/>
      <c r="O2670" s="10"/>
      <c r="P2670" s="10"/>
      <c r="Q2670" s="10"/>
      <c r="R2670" s="10"/>
      <c r="S2670" s="10"/>
    </row>
    <row r="2671" spans="10:19">
      <c r="J2671" s="10"/>
      <c r="K2671" s="1127"/>
      <c r="L2671" s="10"/>
      <c r="M2671" s="10"/>
      <c r="N2671" s="10"/>
      <c r="O2671" s="10"/>
      <c r="P2671" s="10"/>
      <c r="Q2671" s="10"/>
      <c r="R2671" s="10"/>
      <c r="S2671" s="10"/>
    </row>
    <row r="2672" spans="10:19">
      <c r="J2672" s="10"/>
      <c r="K2672" s="1127"/>
      <c r="L2672" s="10"/>
      <c r="M2672" s="10"/>
      <c r="N2672" s="10"/>
      <c r="O2672" s="10"/>
      <c r="P2672" s="10"/>
      <c r="Q2672" s="10"/>
      <c r="R2672" s="10"/>
      <c r="S2672" s="10"/>
    </row>
    <row r="2673" spans="10:19">
      <c r="J2673" s="10"/>
      <c r="K2673" s="1127"/>
      <c r="L2673" s="10"/>
      <c r="M2673" s="10"/>
      <c r="N2673" s="10"/>
      <c r="O2673" s="10"/>
      <c r="P2673" s="10"/>
      <c r="Q2673" s="10"/>
      <c r="R2673" s="10"/>
      <c r="S2673" s="10"/>
    </row>
    <row r="2674" spans="10:19">
      <c r="J2674" s="10"/>
      <c r="K2674" s="1127"/>
      <c r="L2674" s="10"/>
      <c r="M2674" s="10"/>
      <c r="N2674" s="10"/>
      <c r="O2674" s="10"/>
      <c r="P2674" s="10"/>
      <c r="Q2674" s="10"/>
      <c r="R2674" s="10"/>
      <c r="S2674" s="10"/>
    </row>
    <row r="2675" spans="10:19">
      <c r="J2675" s="10"/>
      <c r="K2675" s="1127"/>
      <c r="L2675" s="10"/>
      <c r="M2675" s="10"/>
      <c r="N2675" s="10"/>
      <c r="O2675" s="10"/>
      <c r="P2675" s="10"/>
      <c r="Q2675" s="10"/>
      <c r="R2675" s="10"/>
      <c r="S2675" s="10"/>
    </row>
    <row r="2676" spans="10:19">
      <c r="J2676" s="10"/>
      <c r="K2676" s="1127"/>
      <c r="L2676" s="10"/>
      <c r="M2676" s="10"/>
      <c r="N2676" s="10"/>
      <c r="O2676" s="10"/>
      <c r="P2676" s="10"/>
      <c r="Q2676" s="10"/>
      <c r="R2676" s="10"/>
      <c r="S2676" s="10"/>
    </row>
    <row r="2677" spans="10:19">
      <c r="J2677" s="10"/>
      <c r="K2677" s="1127"/>
      <c r="L2677" s="10"/>
      <c r="M2677" s="10"/>
      <c r="N2677" s="10"/>
      <c r="O2677" s="10"/>
      <c r="P2677" s="10"/>
      <c r="Q2677" s="10"/>
      <c r="R2677" s="10"/>
      <c r="S2677" s="10"/>
    </row>
    <row r="2678" spans="10:19">
      <c r="J2678" s="10"/>
      <c r="K2678" s="1127"/>
      <c r="L2678" s="10"/>
      <c r="M2678" s="10"/>
      <c r="N2678" s="10"/>
      <c r="O2678" s="10"/>
      <c r="P2678" s="10"/>
      <c r="Q2678" s="10"/>
      <c r="R2678" s="10"/>
      <c r="S2678" s="10"/>
    </row>
    <row r="2679" spans="10:19">
      <c r="J2679" s="10"/>
      <c r="K2679" s="1127"/>
      <c r="L2679" s="10"/>
      <c r="M2679" s="10"/>
      <c r="N2679" s="10"/>
      <c r="O2679" s="10"/>
      <c r="P2679" s="10"/>
      <c r="Q2679" s="10"/>
      <c r="R2679" s="10"/>
      <c r="S2679" s="10"/>
    </row>
    <row r="2680" spans="10:19">
      <c r="J2680" s="10"/>
      <c r="K2680" s="1127"/>
      <c r="L2680" s="10"/>
      <c r="M2680" s="10"/>
      <c r="N2680" s="10"/>
      <c r="O2680" s="10"/>
      <c r="P2680" s="10"/>
      <c r="Q2680" s="10"/>
      <c r="R2680" s="10"/>
      <c r="S2680" s="10"/>
    </row>
    <row r="2681" spans="10:19">
      <c r="J2681" s="10"/>
      <c r="K2681" s="1127"/>
      <c r="L2681" s="10"/>
      <c r="M2681" s="10"/>
      <c r="N2681" s="10"/>
      <c r="O2681" s="10"/>
      <c r="P2681" s="10"/>
      <c r="Q2681" s="10"/>
      <c r="R2681" s="10"/>
      <c r="S2681" s="10"/>
    </row>
    <row r="2682" spans="10:19">
      <c r="J2682" s="10"/>
      <c r="K2682" s="1127"/>
      <c r="L2682" s="10"/>
      <c r="M2682" s="10"/>
      <c r="N2682" s="10"/>
      <c r="O2682" s="10"/>
      <c r="P2682" s="10"/>
      <c r="Q2682" s="10"/>
      <c r="R2682" s="10"/>
      <c r="S2682" s="10"/>
    </row>
    <row r="2683" spans="10:19">
      <c r="J2683" s="10"/>
      <c r="K2683" s="1127"/>
      <c r="L2683" s="10"/>
      <c r="M2683" s="10"/>
      <c r="N2683" s="10"/>
      <c r="O2683" s="10"/>
      <c r="P2683" s="10"/>
      <c r="Q2683" s="10"/>
      <c r="R2683" s="10"/>
      <c r="S2683" s="10"/>
    </row>
    <row r="2684" spans="10:19">
      <c r="J2684" s="10"/>
      <c r="K2684" s="1127"/>
      <c r="L2684" s="10"/>
      <c r="M2684" s="10"/>
      <c r="N2684" s="10"/>
      <c r="O2684" s="10"/>
      <c r="P2684" s="10"/>
      <c r="Q2684" s="10"/>
      <c r="R2684" s="10"/>
      <c r="S2684" s="10"/>
    </row>
    <row r="2685" spans="10:19">
      <c r="J2685" s="10"/>
      <c r="K2685" s="1127"/>
      <c r="L2685" s="10"/>
      <c r="M2685" s="10"/>
      <c r="N2685" s="10"/>
      <c r="O2685" s="10"/>
      <c r="P2685" s="10"/>
      <c r="Q2685" s="10"/>
      <c r="R2685" s="10"/>
      <c r="S2685" s="10"/>
    </row>
    <row r="2686" spans="10:19">
      <c r="J2686" s="10"/>
      <c r="K2686" s="1127"/>
      <c r="L2686" s="10"/>
      <c r="M2686" s="10"/>
      <c r="N2686" s="10"/>
      <c r="O2686" s="10"/>
      <c r="P2686" s="10"/>
      <c r="Q2686" s="10"/>
      <c r="R2686" s="10"/>
      <c r="S2686" s="10"/>
    </row>
    <row r="2687" spans="10:19">
      <c r="J2687" s="10"/>
      <c r="K2687" s="1127"/>
      <c r="L2687" s="10"/>
      <c r="M2687" s="10"/>
      <c r="N2687" s="10"/>
      <c r="O2687" s="10"/>
      <c r="P2687" s="10"/>
      <c r="Q2687" s="10"/>
      <c r="R2687" s="10"/>
      <c r="S2687" s="10"/>
    </row>
    <row r="2688" spans="10:19">
      <c r="J2688" s="10"/>
      <c r="K2688" s="1127"/>
      <c r="L2688" s="10"/>
      <c r="M2688" s="10"/>
      <c r="N2688" s="10"/>
      <c r="O2688" s="10"/>
      <c r="P2688" s="10"/>
      <c r="Q2688" s="10"/>
      <c r="R2688" s="10"/>
      <c r="S2688" s="10"/>
    </row>
    <row r="2689" spans="10:19">
      <c r="J2689" s="10"/>
      <c r="K2689" s="1127"/>
      <c r="L2689" s="10"/>
      <c r="M2689" s="10"/>
      <c r="N2689" s="10"/>
      <c r="O2689" s="10"/>
      <c r="P2689" s="10"/>
      <c r="Q2689" s="10"/>
      <c r="R2689" s="10"/>
      <c r="S2689" s="10"/>
    </row>
    <row r="2690" spans="10:19">
      <c r="J2690" s="10"/>
      <c r="K2690" s="1127"/>
      <c r="L2690" s="10"/>
      <c r="M2690" s="10"/>
      <c r="N2690" s="10"/>
      <c r="O2690" s="10"/>
      <c r="P2690" s="10"/>
      <c r="Q2690" s="10"/>
      <c r="R2690" s="10"/>
      <c r="S2690" s="10"/>
    </row>
    <row r="2691" spans="10:19">
      <c r="J2691" s="10"/>
      <c r="K2691" s="1127"/>
      <c r="L2691" s="10"/>
      <c r="M2691" s="10"/>
      <c r="N2691" s="10"/>
      <c r="O2691" s="10"/>
      <c r="P2691" s="10"/>
      <c r="Q2691" s="10"/>
      <c r="R2691" s="10"/>
      <c r="S2691" s="10"/>
    </row>
    <row r="2692" spans="10:19">
      <c r="J2692" s="10"/>
      <c r="K2692" s="1127"/>
      <c r="L2692" s="10"/>
      <c r="M2692" s="10"/>
      <c r="N2692" s="10"/>
      <c r="O2692" s="10"/>
      <c r="P2692" s="10"/>
      <c r="Q2692" s="10"/>
      <c r="R2692" s="10"/>
      <c r="S2692" s="10"/>
    </row>
    <row r="2693" spans="10:19">
      <c r="J2693" s="10"/>
      <c r="K2693" s="1127"/>
      <c r="L2693" s="10"/>
      <c r="M2693" s="10"/>
      <c r="N2693" s="10"/>
      <c r="O2693" s="10"/>
      <c r="P2693" s="10"/>
      <c r="Q2693" s="10"/>
      <c r="R2693" s="10"/>
      <c r="S2693" s="10"/>
    </row>
    <row r="2694" spans="10:19">
      <c r="J2694" s="10"/>
      <c r="K2694" s="1127"/>
      <c r="L2694" s="10"/>
      <c r="M2694" s="10"/>
      <c r="N2694" s="10"/>
      <c r="O2694" s="10"/>
      <c r="P2694" s="10"/>
      <c r="Q2694" s="10"/>
      <c r="R2694" s="10"/>
      <c r="S2694" s="10"/>
    </row>
    <row r="2695" spans="10:19">
      <c r="J2695" s="10"/>
      <c r="K2695" s="1127"/>
      <c r="L2695" s="10"/>
      <c r="M2695" s="10"/>
      <c r="N2695" s="10"/>
      <c r="O2695" s="10"/>
      <c r="P2695" s="10"/>
      <c r="Q2695" s="10"/>
      <c r="R2695" s="10"/>
      <c r="S2695" s="10"/>
    </row>
    <row r="2696" spans="10:19">
      <c r="J2696" s="10"/>
      <c r="K2696" s="1127"/>
      <c r="L2696" s="10"/>
      <c r="M2696" s="10"/>
      <c r="N2696" s="10"/>
      <c r="O2696" s="10"/>
      <c r="P2696" s="10"/>
      <c r="Q2696" s="10"/>
      <c r="R2696" s="10"/>
      <c r="S2696" s="10"/>
    </row>
    <row r="2697" spans="10:19">
      <c r="J2697" s="10"/>
      <c r="K2697" s="1127"/>
      <c r="L2697" s="10"/>
      <c r="M2697" s="10"/>
      <c r="N2697" s="10"/>
      <c r="O2697" s="10"/>
      <c r="P2697" s="10"/>
      <c r="Q2697" s="10"/>
      <c r="R2697" s="10"/>
      <c r="S2697" s="10"/>
    </row>
    <row r="2698" spans="10:19">
      <c r="J2698" s="10"/>
      <c r="K2698" s="1127"/>
      <c r="L2698" s="10"/>
      <c r="M2698" s="10"/>
      <c r="N2698" s="10"/>
      <c r="O2698" s="10"/>
      <c r="P2698" s="10"/>
      <c r="Q2698" s="10"/>
      <c r="R2698" s="10"/>
      <c r="S2698" s="10"/>
    </row>
    <row r="2699" spans="10:19">
      <c r="J2699" s="10"/>
      <c r="K2699" s="1127"/>
      <c r="L2699" s="10"/>
      <c r="M2699" s="10"/>
      <c r="N2699" s="10"/>
      <c r="O2699" s="10"/>
      <c r="P2699" s="10"/>
      <c r="Q2699" s="10"/>
      <c r="R2699" s="10"/>
      <c r="S2699" s="10"/>
    </row>
    <row r="2700" spans="10:19">
      <c r="J2700" s="10"/>
      <c r="K2700" s="1127"/>
      <c r="L2700" s="10"/>
      <c r="M2700" s="10"/>
      <c r="N2700" s="10"/>
      <c r="O2700" s="10"/>
      <c r="P2700" s="10"/>
      <c r="Q2700" s="10"/>
      <c r="R2700" s="10"/>
      <c r="S2700" s="10"/>
    </row>
    <row r="2701" spans="10:19">
      <c r="J2701" s="10"/>
      <c r="K2701" s="1127"/>
      <c r="L2701" s="10"/>
      <c r="M2701" s="10"/>
      <c r="N2701" s="10"/>
      <c r="O2701" s="10"/>
      <c r="P2701" s="10"/>
      <c r="Q2701" s="10"/>
      <c r="R2701" s="10"/>
      <c r="S2701" s="10"/>
    </row>
    <row r="2702" spans="10:19">
      <c r="J2702" s="10"/>
      <c r="K2702" s="1127"/>
      <c r="L2702" s="10"/>
      <c r="M2702" s="10"/>
      <c r="N2702" s="10"/>
      <c r="O2702" s="10"/>
      <c r="P2702" s="10"/>
      <c r="Q2702" s="10"/>
      <c r="R2702" s="10"/>
      <c r="S2702" s="10"/>
    </row>
    <row r="2703" spans="10:19">
      <c r="J2703" s="10"/>
      <c r="K2703" s="1127"/>
      <c r="L2703" s="10"/>
      <c r="M2703" s="10"/>
      <c r="N2703" s="10"/>
      <c r="O2703" s="10"/>
      <c r="P2703" s="10"/>
      <c r="Q2703" s="10"/>
      <c r="R2703" s="10"/>
      <c r="S2703" s="10"/>
    </row>
    <row r="2704" spans="10:19">
      <c r="J2704" s="10"/>
      <c r="K2704" s="1127"/>
      <c r="L2704" s="10"/>
      <c r="M2704" s="10"/>
      <c r="N2704" s="10"/>
      <c r="O2704" s="10"/>
      <c r="P2704" s="10"/>
      <c r="Q2704" s="10"/>
      <c r="R2704" s="10"/>
      <c r="S2704" s="10"/>
    </row>
    <row r="2705" spans="10:19">
      <c r="J2705" s="10"/>
      <c r="K2705" s="1127"/>
      <c r="L2705" s="10"/>
      <c r="M2705" s="10"/>
      <c r="N2705" s="10"/>
      <c r="O2705" s="10"/>
      <c r="P2705" s="10"/>
      <c r="Q2705" s="10"/>
      <c r="R2705" s="10"/>
      <c r="S2705" s="10"/>
    </row>
    <row r="2706" spans="10:19">
      <c r="J2706" s="10"/>
      <c r="K2706" s="1127"/>
      <c r="L2706" s="10"/>
      <c r="M2706" s="10"/>
      <c r="N2706" s="10"/>
      <c r="O2706" s="10"/>
      <c r="P2706" s="10"/>
      <c r="Q2706" s="10"/>
      <c r="R2706" s="10"/>
      <c r="S2706" s="10"/>
    </row>
    <row r="2707" spans="10:19">
      <c r="J2707" s="10"/>
      <c r="K2707" s="1127"/>
      <c r="L2707" s="10"/>
      <c r="M2707" s="10"/>
      <c r="N2707" s="10"/>
      <c r="O2707" s="10"/>
      <c r="P2707" s="10"/>
      <c r="Q2707" s="10"/>
      <c r="R2707" s="10"/>
      <c r="S2707" s="10"/>
    </row>
    <row r="2708" spans="10:19">
      <c r="J2708" s="10"/>
      <c r="K2708" s="1127"/>
      <c r="L2708" s="10"/>
      <c r="M2708" s="10"/>
      <c r="N2708" s="10"/>
      <c r="O2708" s="10"/>
      <c r="P2708" s="10"/>
      <c r="Q2708" s="10"/>
      <c r="R2708" s="10"/>
      <c r="S2708" s="10"/>
    </row>
    <row r="2709" spans="10:19">
      <c r="J2709" s="10"/>
      <c r="K2709" s="1127"/>
      <c r="L2709" s="10"/>
      <c r="M2709" s="10"/>
      <c r="N2709" s="10"/>
      <c r="O2709" s="10"/>
      <c r="P2709" s="10"/>
      <c r="Q2709" s="10"/>
      <c r="R2709" s="10"/>
      <c r="S2709" s="10"/>
    </row>
    <row r="2710" spans="10:19">
      <c r="J2710" s="10"/>
      <c r="K2710" s="1127"/>
      <c r="L2710" s="10"/>
      <c r="M2710" s="10"/>
      <c r="N2710" s="10"/>
      <c r="O2710" s="10"/>
      <c r="P2710" s="10"/>
      <c r="Q2710" s="10"/>
      <c r="R2710" s="10"/>
      <c r="S2710" s="10"/>
    </row>
    <row r="2711" spans="10:19">
      <c r="J2711" s="10"/>
      <c r="K2711" s="1127"/>
      <c r="L2711" s="10"/>
      <c r="M2711" s="10"/>
      <c r="N2711" s="10"/>
      <c r="O2711" s="10"/>
      <c r="P2711" s="10"/>
      <c r="Q2711" s="10"/>
      <c r="R2711" s="10"/>
      <c r="S2711" s="10"/>
    </row>
    <row r="2712" spans="10:19">
      <c r="J2712" s="10"/>
      <c r="K2712" s="1127"/>
      <c r="L2712" s="10"/>
      <c r="M2712" s="10"/>
      <c r="N2712" s="10"/>
      <c r="O2712" s="10"/>
      <c r="P2712" s="10"/>
      <c r="Q2712" s="10"/>
      <c r="R2712" s="10"/>
      <c r="S2712" s="10"/>
    </row>
    <row r="2713" spans="10:19">
      <c r="J2713" s="10"/>
      <c r="K2713" s="1127"/>
      <c r="L2713" s="10"/>
      <c r="M2713" s="10"/>
      <c r="N2713" s="10"/>
      <c r="O2713" s="10"/>
      <c r="P2713" s="10"/>
      <c r="Q2713" s="10"/>
      <c r="R2713" s="10"/>
      <c r="S2713" s="10"/>
    </row>
    <row r="2714" spans="10:19">
      <c r="J2714" s="10"/>
      <c r="K2714" s="1127"/>
      <c r="L2714" s="10"/>
      <c r="M2714" s="10"/>
      <c r="N2714" s="10"/>
      <c r="O2714" s="10"/>
      <c r="P2714" s="10"/>
      <c r="Q2714" s="10"/>
      <c r="R2714" s="10"/>
      <c r="S2714" s="10"/>
    </row>
    <row r="2715" spans="10:19">
      <c r="J2715" s="10"/>
      <c r="K2715" s="1127"/>
      <c r="L2715" s="10"/>
      <c r="M2715" s="10"/>
      <c r="N2715" s="10"/>
      <c r="O2715" s="10"/>
      <c r="P2715" s="10"/>
      <c r="Q2715" s="10"/>
      <c r="R2715" s="10"/>
      <c r="S2715" s="10"/>
    </row>
    <row r="2716" spans="10:19">
      <c r="J2716" s="10"/>
      <c r="K2716" s="1127"/>
      <c r="L2716" s="10"/>
      <c r="M2716" s="10"/>
      <c r="N2716" s="10"/>
      <c r="O2716" s="10"/>
      <c r="P2716" s="10"/>
      <c r="Q2716" s="10"/>
      <c r="R2716" s="10"/>
      <c r="S2716" s="10"/>
    </row>
    <row r="2717" spans="10:19">
      <c r="J2717" s="10"/>
      <c r="K2717" s="1127"/>
      <c r="L2717" s="10"/>
      <c r="M2717" s="10"/>
      <c r="N2717" s="10"/>
      <c r="O2717" s="10"/>
      <c r="P2717" s="10"/>
      <c r="Q2717" s="10"/>
      <c r="R2717" s="10"/>
      <c r="S2717" s="10"/>
    </row>
    <row r="2718" spans="10:19">
      <c r="J2718" s="10"/>
      <c r="K2718" s="1127"/>
      <c r="L2718" s="10"/>
      <c r="M2718" s="10"/>
      <c r="N2718" s="10"/>
      <c r="O2718" s="10"/>
      <c r="P2718" s="10"/>
      <c r="Q2718" s="10"/>
      <c r="R2718" s="10"/>
      <c r="S2718" s="10"/>
    </row>
    <row r="2719" spans="10:19">
      <c r="J2719" s="10"/>
      <c r="K2719" s="1127"/>
      <c r="L2719" s="10"/>
      <c r="M2719" s="10"/>
      <c r="N2719" s="10"/>
      <c r="O2719" s="10"/>
      <c r="P2719" s="10"/>
      <c r="Q2719" s="10"/>
      <c r="R2719" s="10"/>
      <c r="S2719" s="10"/>
    </row>
    <row r="2720" spans="10:19">
      <c r="J2720" s="10"/>
      <c r="K2720" s="1127"/>
      <c r="L2720" s="10"/>
      <c r="M2720" s="10"/>
      <c r="N2720" s="10"/>
      <c r="O2720" s="10"/>
      <c r="P2720" s="10"/>
      <c r="Q2720" s="10"/>
      <c r="R2720" s="10"/>
      <c r="S2720" s="10"/>
    </row>
    <row r="2721" spans="10:19">
      <c r="J2721" s="10"/>
      <c r="K2721" s="1127"/>
      <c r="L2721" s="10"/>
      <c r="M2721" s="10"/>
      <c r="N2721" s="10"/>
      <c r="O2721" s="10"/>
      <c r="P2721" s="10"/>
      <c r="Q2721" s="10"/>
      <c r="R2721" s="10"/>
      <c r="S2721" s="10"/>
    </row>
    <row r="2722" spans="10:19">
      <c r="J2722" s="10"/>
      <c r="K2722" s="1127"/>
      <c r="L2722" s="10"/>
      <c r="M2722" s="10"/>
      <c r="N2722" s="10"/>
      <c r="O2722" s="10"/>
      <c r="P2722" s="10"/>
      <c r="Q2722" s="10"/>
      <c r="R2722" s="10"/>
      <c r="S2722" s="10"/>
    </row>
    <row r="2723" spans="10:19">
      <c r="J2723" s="10"/>
      <c r="K2723" s="1127"/>
      <c r="L2723" s="10"/>
      <c r="M2723" s="10"/>
      <c r="N2723" s="10"/>
      <c r="O2723" s="10"/>
      <c r="P2723" s="10"/>
      <c r="Q2723" s="10"/>
      <c r="R2723" s="10"/>
      <c r="S2723" s="10"/>
    </row>
    <row r="2724" spans="10:19">
      <c r="J2724" s="10"/>
      <c r="K2724" s="1127"/>
      <c r="L2724" s="10"/>
      <c r="M2724" s="10"/>
      <c r="N2724" s="10"/>
      <c r="O2724" s="10"/>
      <c r="P2724" s="10"/>
      <c r="Q2724" s="10"/>
      <c r="R2724" s="10"/>
      <c r="S2724" s="10"/>
    </row>
    <row r="2725" spans="10:19">
      <c r="J2725" s="10"/>
      <c r="K2725" s="1127"/>
      <c r="L2725" s="10"/>
      <c r="M2725" s="10"/>
      <c r="N2725" s="10"/>
      <c r="O2725" s="10"/>
      <c r="P2725" s="10"/>
      <c r="Q2725" s="10"/>
      <c r="R2725" s="10"/>
      <c r="S2725" s="10"/>
    </row>
    <row r="2726" spans="10:19">
      <c r="J2726" s="10"/>
      <c r="K2726" s="1127"/>
      <c r="L2726" s="10"/>
      <c r="M2726" s="10"/>
      <c r="N2726" s="10"/>
      <c r="O2726" s="10"/>
      <c r="P2726" s="10"/>
      <c r="Q2726" s="10"/>
      <c r="R2726" s="10"/>
      <c r="S2726" s="10"/>
    </row>
    <row r="2727" spans="10:19">
      <c r="J2727" s="10"/>
      <c r="K2727" s="1127"/>
      <c r="L2727" s="10"/>
      <c r="M2727" s="10"/>
      <c r="N2727" s="10"/>
      <c r="O2727" s="10"/>
      <c r="P2727" s="10"/>
      <c r="Q2727" s="10"/>
      <c r="R2727" s="10"/>
      <c r="S2727" s="10"/>
    </row>
    <row r="2728" spans="10:19">
      <c r="J2728" s="10"/>
      <c r="K2728" s="1127"/>
      <c r="L2728" s="10"/>
      <c r="M2728" s="10"/>
      <c r="N2728" s="10"/>
      <c r="O2728" s="10"/>
      <c r="P2728" s="10"/>
      <c r="Q2728" s="10"/>
      <c r="R2728" s="10"/>
      <c r="S2728" s="10"/>
    </row>
    <row r="2729" spans="10:19">
      <c r="J2729" s="10"/>
      <c r="K2729" s="1127"/>
      <c r="L2729" s="10"/>
      <c r="M2729" s="10"/>
      <c r="N2729" s="10"/>
      <c r="O2729" s="10"/>
      <c r="P2729" s="10"/>
      <c r="Q2729" s="10"/>
      <c r="R2729" s="10"/>
      <c r="S2729" s="10"/>
    </row>
    <row r="2730" spans="10:19">
      <c r="J2730" s="10"/>
      <c r="K2730" s="1127"/>
      <c r="L2730" s="10"/>
      <c r="M2730" s="10"/>
      <c r="N2730" s="10"/>
      <c r="O2730" s="10"/>
      <c r="P2730" s="10"/>
      <c r="Q2730" s="10"/>
      <c r="R2730" s="10"/>
      <c r="S2730" s="10"/>
    </row>
    <row r="2731" spans="10:19">
      <c r="J2731" s="10"/>
      <c r="K2731" s="1127"/>
      <c r="L2731" s="10"/>
      <c r="M2731" s="10"/>
      <c r="N2731" s="10"/>
      <c r="O2731" s="10"/>
      <c r="P2731" s="10"/>
      <c r="Q2731" s="10"/>
      <c r="R2731" s="10"/>
      <c r="S2731" s="10"/>
    </row>
    <row r="2732" spans="10:19">
      <c r="J2732" s="10"/>
      <c r="K2732" s="1127"/>
      <c r="L2732" s="10"/>
      <c r="M2732" s="10"/>
      <c r="N2732" s="10"/>
      <c r="O2732" s="10"/>
      <c r="P2732" s="10"/>
      <c r="Q2732" s="10"/>
      <c r="R2732" s="10"/>
      <c r="S2732" s="10"/>
    </row>
    <row r="2733" spans="10:19">
      <c r="J2733" s="10"/>
      <c r="K2733" s="1127"/>
      <c r="L2733" s="10"/>
      <c r="M2733" s="10"/>
      <c r="N2733" s="10"/>
      <c r="O2733" s="10"/>
      <c r="P2733" s="10"/>
      <c r="Q2733" s="10"/>
      <c r="R2733" s="10"/>
      <c r="S2733" s="10"/>
    </row>
    <row r="2734" spans="10:19">
      <c r="J2734" s="10"/>
      <c r="K2734" s="1127"/>
      <c r="L2734" s="10"/>
      <c r="M2734" s="10"/>
      <c r="N2734" s="10"/>
      <c r="O2734" s="10"/>
      <c r="P2734" s="10"/>
      <c r="Q2734" s="10"/>
      <c r="R2734" s="10"/>
      <c r="S2734" s="10"/>
    </row>
    <row r="2735" spans="10:19">
      <c r="J2735" s="10"/>
      <c r="K2735" s="1127"/>
      <c r="L2735" s="10"/>
      <c r="M2735" s="10"/>
      <c r="N2735" s="10"/>
      <c r="O2735" s="10"/>
      <c r="P2735" s="10"/>
      <c r="Q2735" s="10"/>
      <c r="R2735" s="10"/>
      <c r="S2735" s="10"/>
    </row>
    <row r="2736" spans="10:19">
      <c r="J2736" s="10"/>
      <c r="K2736" s="1127"/>
      <c r="L2736" s="10"/>
      <c r="M2736" s="10"/>
      <c r="N2736" s="10"/>
      <c r="O2736" s="10"/>
      <c r="P2736" s="10"/>
      <c r="Q2736" s="10"/>
      <c r="R2736" s="10"/>
      <c r="S2736" s="10"/>
    </row>
    <row r="2737" spans="10:19">
      <c r="J2737" s="10"/>
      <c r="K2737" s="1127"/>
      <c r="L2737" s="10"/>
      <c r="M2737" s="10"/>
      <c r="N2737" s="10"/>
      <c r="O2737" s="10"/>
      <c r="P2737" s="10"/>
      <c r="Q2737" s="10"/>
      <c r="R2737" s="10"/>
      <c r="S2737" s="10"/>
    </row>
    <row r="2738" spans="10:19">
      <c r="J2738" s="10"/>
      <c r="K2738" s="1127"/>
      <c r="L2738" s="10"/>
      <c r="M2738" s="10"/>
      <c r="N2738" s="10"/>
      <c r="O2738" s="10"/>
      <c r="P2738" s="10"/>
      <c r="Q2738" s="10"/>
      <c r="R2738" s="10"/>
      <c r="S2738" s="10"/>
    </row>
    <row r="2739" spans="10:19">
      <c r="J2739" s="10"/>
      <c r="K2739" s="1127"/>
      <c r="L2739" s="10"/>
      <c r="M2739" s="10"/>
      <c r="N2739" s="10"/>
      <c r="O2739" s="10"/>
      <c r="P2739" s="10"/>
      <c r="Q2739" s="10"/>
      <c r="R2739" s="10"/>
      <c r="S2739" s="10"/>
    </row>
    <row r="2740" spans="10:19">
      <c r="J2740" s="10"/>
      <c r="K2740" s="1127"/>
      <c r="L2740" s="10"/>
      <c r="M2740" s="10"/>
      <c r="N2740" s="10"/>
      <c r="O2740" s="10"/>
      <c r="P2740" s="10"/>
      <c r="Q2740" s="10"/>
      <c r="R2740" s="10"/>
      <c r="S2740" s="10"/>
    </row>
    <row r="2741" spans="10:19">
      <c r="J2741" s="10"/>
      <c r="K2741" s="1127"/>
      <c r="L2741" s="10"/>
      <c r="M2741" s="10"/>
      <c r="N2741" s="10"/>
      <c r="O2741" s="10"/>
      <c r="P2741" s="10"/>
      <c r="Q2741" s="10"/>
      <c r="R2741" s="10"/>
      <c r="S2741" s="10"/>
    </row>
    <row r="2742" spans="10:19">
      <c r="J2742" s="10"/>
      <c r="K2742" s="1127"/>
      <c r="L2742" s="10"/>
      <c r="M2742" s="10"/>
      <c r="N2742" s="10"/>
      <c r="O2742" s="10"/>
      <c r="P2742" s="10"/>
      <c r="Q2742" s="10"/>
      <c r="R2742" s="10"/>
      <c r="S2742" s="10"/>
    </row>
    <row r="2743" spans="10:19">
      <c r="J2743" s="10"/>
      <c r="K2743" s="1127"/>
      <c r="L2743" s="10"/>
      <c r="M2743" s="10"/>
      <c r="N2743" s="10"/>
      <c r="O2743" s="10"/>
      <c r="P2743" s="10"/>
      <c r="Q2743" s="10"/>
      <c r="R2743" s="10"/>
      <c r="S2743" s="10"/>
    </row>
    <row r="2744" spans="10:19">
      <c r="J2744" s="10"/>
      <c r="K2744" s="1127"/>
      <c r="L2744" s="10"/>
      <c r="M2744" s="10"/>
      <c r="N2744" s="10"/>
      <c r="O2744" s="10"/>
      <c r="P2744" s="10"/>
      <c r="Q2744" s="10"/>
      <c r="R2744" s="10"/>
      <c r="S2744" s="10"/>
    </row>
    <row r="2745" spans="10:19">
      <c r="J2745" s="10"/>
      <c r="K2745" s="1127"/>
      <c r="L2745" s="10"/>
      <c r="M2745" s="10"/>
      <c r="N2745" s="10"/>
      <c r="O2745" s="10"/>
      <c r="P2745" s="10"/>
      <c r="Q2745" s="10"/>
      <c r="R2745" s="10"/>
      <c r="S2745" s="10"/>
    </row>
    <row r="2746" spans="10:19">
      <c r="J2746" s="10"/>
      <c r="K2746" s="1127"/>
      <c r="L2746" s="10"/>
      <c r="M2746" s="10"/>
      <c r="N2746" s="10"/>
      <c r="O2746" s="10"/>
      <c r="P2746" s="10"/>
      <c r="Q2746" s="10"/>
      <c r="R2746" s="10"/>
      <c r="S2746" s="10"/>
    </row>
    <row r="2747" spans="10:19">
      <c r="J2747" s="10"/>
      <c r="K2747" s="1127"/>
      <c r="L2747" s="10"/>
      <c r="M2747" s="10"/>
      <c r="N2747" s="10"/>
      <c r="O2747" s="10"/>
      <c r="P2747" s="10"/>
      <c r="Q2747" s="10"/>
      <c r="R2747" s="10"/>
      <c r="S2747" s="10"/>
    </row>
    <row r="2748" spans="10:19">
      <c r="J2748" s="10"/>
      <c r="K2748" s="1127"/>
      <c r="L2748" s="10"/>
      <c r="M2748" s="10"/>
      <c r="N2748" s="10"/>
      <c r="O2748" s="10"/>
      <c r="P2748" s="10"/>
      <c r="Q2748" s="10"/>
      <c r="R2748" s="10"/>
      <c r="S2748" s="10"/>
    </row>
    <row r="2749" spans="10:19">
      <c r="J2749" s="10"/>
      <c r="K2749" s="1127"/>
      <c r="L2749" s="10"/>
      <c r="M2749" s="10"/>
      <c r="N2749" s="10"/>
      <c r="O2749" s="10"/>
      <c r="P2749" s="10"/>
      <c r="Q2749" s="10"/>
      <c r="R2749" s="10"/>
      <c r="S2749" s="10"/>
    </row>
    <row r="2750" spans="10:19">
      <c r="J2750" s="10"/>
      <c r="K2750" s="1127"/>
      <c r="L2750" s="10"/>
      <c r="M2750" s="10"/>
      <c r="N2750" s="10"/>
      <c r="O2750" s="10"/>
      <c r="P2750" s="10"/>
      <c r="Q2750" s="10"/>
      <c r="R2750" s="10"/>
      <c r="S2750" s="10"/>
    </row>
    <row r="2751" spans="10:19">
      <c r="J2751" s="10"/>
      <c r="K2751" s="1127"/>
      <c r="L2751" s="10"/>
      <c r="M2751" s="10"/>
      <c r="N2751" s="10"/>
      <c r="O2751" s="10"/>
      <c r="P2751" s="10"/>
      <c r="Q2751" s="10"/>
      <c r="R2751" s="10"/>
      <c r="S2751" s="10"/>
    </row>
    <row r="2752" spans="10:19">
      <c r="J2752" s="10"/>
      <c r="K2752" s="1127"/>
      <c r="L2752" s="10"/>
      <c r="M2752" s="10"/>
      <c r="N2752" s="10"/>
      <c r="O2752" s="10"/>
      <c r="P2752" s="10"/>
      <c r="Q2752" s="10"/>
      <c r="R2752" s="10"/>
      <c r="S2752" s="10"/>
    </row>
    <row r="2753" spans="10:19">
      <c r="J2753" s="10"/>
      <c r="K2753" s="1127"/>
      <c r="L2753" s="10"/>
      <c r="M2753" s="10"/>
      <c r="N2753" s="10"/>
      <c r="O2753" s="10"/>
      <c r="P2753" s="10"/>
      <c r="Q2753" s="10"/>
      <c r="R2753" s="10"/>
      <c r="S2753" s="10"/>
    </row>
    <row r="2754" spans="10:19">
      <c r="J2754" s="10"/>
      <c r="K2754" s="1127"/>
      <c r="L2754" s="10"/>
      <c r="M2754" s="10"/>
      <c r="N2754" s="10"/>
      <c r="O2754" s="10"/>
      <c r="P2754" s="10"/>
      <c r="Q2754" s="10"/>
      <c r="R2754" s="10"/>
      <c r="S2754" s="10"/>
    </row>
    <row r="2755" spans="10:19">
      <c r="J2755" s="10"/>
      <c r="K2755" s="1127"/>
      <c r="L2755" s="10"/>
      <c r="M2755" s="10"/>
      <c r="N2755" s="10"/>
      <c r="O2755" s="10"/>
      <c r="P2755" s="10"/>
      <c r="Q2755" s="10"/>
      <c r="R2755" s="10"/>
      <c r="S2755" s="10"/>
    </row>
    <row r="2756" spans="10:19">
      <c r="J2756" s="10"/>
      <c r="K2756" s="1127"/>
      <c r="L2756" s="10"/>
      <c r="M2756" s="10"/>
      <c r="N2756" s="10"/>
      <c r="O2756" s="10"/>
      <c r="P2756" s="10"/>
      <c r="Q2756" s="10"/>
      <c r="R2756" s="10"/>
      <c r="S2756" s="10"/>
    </row>
    <row r="2757" spans="10:19">
      <c r="J2757" s="10"/>
      <c r="K2757" s="1127"/>
      <c r="L2757" s="10"/>
      <c r="M2757" s="10"/>
      <c r="N2757" s="10"/>
      <c r="O2757" s="10"/>
      <c r="P2757" s="10"/>
      <c r="Q2757" s="10"/>
      <c r="R2757" s="10"/>
      <c r="S2757" s="10"/>
    </row>
    <row r="2758" spans="10:19">
      <c r="J2758" s="10"/>
      <c r="K2758" s="1127"/>
      <c r="L2758" s="10"/>
      <c r="M2758" s="10"/>
      <c r="N2758" s="10"/>
      <c r="O2758" s="10"/>
      <c r="P2758" s="10"/>
      <c r="Q2758" s="10"/>
      <c r="R2758" s="10"/>
      <c r="S2758" s="10"/>
    </row>
    <row r="2759" spans="10:19">
      <c r="J2759" s="10"/>
      <c r="K2759" s="1127"/>
      <c r="L2759" s="10"/>
      <c r="M2759" s="10"/>
      <c r="N2759" s="10"/>
      <c r="O2759" s="10"/>
      <c r="P2759" s="10"/>
      <c r="Q2759" s="10"/>
      <c r="R2759" s="10"/>
      <c r="S2759" s="10"/>
    </row>
    <row r="2760" spans="10:19">
      <c r="J2760" s="10"/>
      <c r="K2760" s="1127"/>
      <c r="L2760" s="10"/>
      <c r="M2760" s="10"/>
      <c r="N2760" s="10"/>
      <c r="O2760" s="10"/>
      <c r="P2760" s="10"/>
      <c r="Q2760" s="10"/>
      <c r="R2760" s="10"/>
      <c r="S2760" s="10"/>
    </row>
    <row r="2761" spans="10:19">
      <c r="J2761" s="10"/>
      <c r="K2761" s="1127"/>
      <c r="L2761" s="10"/>
      <c r="M2761" s="10"/>
      <c r="N2761" s="10"/>
      <c r="O2761" s="10"/>
      <c r="P2761" s="10"/>
      <c r="Q2761" s="10"/>
      <c r="R2761" s="10"/>
      <c r="S2761" s="10"/>
    </row>
    <row r="2762" spans="10:19">
      <c r="J2762" s="10"/>
      <c r="K2762" s="1127"/>
      <c r="L2762" s="10"/>
      <c r="M2762" s="10"/>
      <c r="N2762" s="10"/>
      <c r="O2762" s="10"/>
      <c r="P2762" s="10"/>
      <c r="Q2762" s="10"/>
      <c r="R2762" s="10"/>
      <c r="S2762" s="10"/>
    </row>
    <row r="2763" spans="10:19">
      <c r="J2763" s="10"/>
      <c r="K2763" s="1127"/>
      <c r="L2763" s="10"/>
      <c r="M2763" s="10"/>
      <c r="N2763" s="10"/>
      <c r="O2763" s="10"/>
      <c r="P2763" s="10"/>
      <c r="Q2763" s="10"/>
      <c r="R2763" s="10"/>
      <c r="S2763" s="10"/>
    </row>
    <row r="2764" spans="10:19">
      <c r="J2764" s="10"/>
      <c r="K2764" s="1127"/>
      <c r="L2764" s="10"/>
      <c r="M2764" s="10"/>
      <c r="N2764" s="10"/>
      <c r="O2764" s="10"/>
      <c r="P2764" s="10"/>
      <c r="Q2764" s="10"/>
      <c r="R2764" s="10"/>
      <c r="S2764" s="10"/>
    </row>
    <row r="2765" spans="10:19">
      <c r="J2765" s="10"/>
      <c r="K2765" s="1127"/>
      <c r="L2765" s="10"/>
      <c r="M2765" s="10"/>
      <c r="N2765" s="10"/>
      <c r="O2765" s="10"/>
      <c r="P2765" s="10"/>
      <c r="Q2765" s="10"/>
      <c r="R2765" s="10"/>
      <c r="S2765" s="10"/>
    </row>
    <row r="2766" spans="10:19">
      <c r="J2766" s="10"/>
      <c r="K2766" s="1127"/>
      <c r="L2766" s="10"/>
      <c r="M2766" s="10"/>
      <c r="N2766" s="10"/>
      <c r="O2766" s="10"/>
      <c r="P2766" s="10"/>
      <c r="Q2766" s="10"/>
      <c r="R2766" s="10"/>
      <c r="S2766" s="10"/>
    </row>
    <row r="2767" spans="10:19">
      <c r="J2767" s="10"/>
      <c r="K2767" s="1127"/>
      <c r="L2767" s="10"/>
      <c r="M2767" s="10"/>
      <c r="N2767" s="10"/>
      <c r="O2767" s="10"/>
      <c r="P2767" s="10"/>
      <c r="Q2767" s="10"/>
      <c r="R2767" s="10"/>
      <c r="S2767" s="10"/>
    </row>
    <row r="2768" spans="10:19">
      <c r="J2768" s="10"/>
      <c r="K2768" s="1127"/>
      <c r="L2768" s="10"/>
      <c r="M2768" s="10"/>
      <c r="N2768" s="10"/>
      <c r="O2768" s="10"/>
      <c r="P2768" s="10"/>
      <c r="Q2768" s="10"/>
      <c r="R2768" s="10"/>
      <c r="S2768" s="10"/>
    </row>
    <row r="2769" spans="10:19">
      <c r="J2769" s="10"/>
      <c r="K2769" s="1127"/>
      <c r="L2769" s="10"/>
      <c r="M2769" s="10"/>
      <c r="N2769" s="10"/>
      <c r="O2769" s="10"/>
      <c r="P2769" s="10"/>
      <c r="Q2769" s="10"/>
      <c r="R2769" s="10"/>
      <c r="S2769" s="10"/>
    </row>
    <row r="2770" spans="10:19">
      <c r="J2770" s="10"/>
      <c r="K2770" s="1127"/>
      <c r="L2770" s="10"/>
      <c r="M2770" s="10"/>
      <c r="N2770" s="10"/>
      <c r="O2770" s="10"/>
      <c r="P2770" s="10"/>
      <c r="Q2770" s="10"/>
      <c r="R2770" s="10"/>
      <c r="S2770" s="10"/>
    </row>
    <row r="2771" spans="10:19">
      <c r="J2771" s="10"/>
      <c r="K2771" s="1127"/>
      <c r="L2771" s="10"/>
      <c r="M2771" s="10"/>
      <c r="N2771" s="10"/>
      <c r="O2771" s="10"/>
      <c r="P2771" s="10"/>
      <c r="Q2771" s="10"/>
      <c r="R2771" s="10"/>
      <c r="S2771" s="10"/>
    </row>
    <row r="2772" spans="10:19">
      <c r="J2772" s="10"/>
      <c r="K2772" s="1127"/>
      <c r="L2772" s="10"/>
      <c r="M2772" s="10"/>
      <c r="N2772" s="10"/>
      <c r="O2772" s="10"/>
      <c r="P2772" s="10"/>
      <c r="Q2772" s="10"/>
      <c r="R2772" s="10"/>
      <c r="S2772" s="10"/>
    </row>
    <row r="2773" spans="10:19">
      <c r="J2773" s="10"/>
      <c r="K2773" s="1127"/>
      <c r="L2773" s="10"/>
      <c r="M2773" s="10"/>
      <c r="N2773" s="10"/>
      <c r="O2773" s="10"/>
      <c r="P2773" s="10"/>
      <c r="Q2773" s="10"/>
      <c r="R2773" s="10"/>
      <c r="S2773" s="10"/>
    </row>
    <row r="2774" spans="10:19">
      <c r="J2774" s="10"/>
      <c r="K2774" s="1127"/>
      <c r="L2774" s="10"/>
      <c r="M2774" s="10"/>
      <c r="N2774" s="10"/>
      <c r="O2774" s="10"/>
      <c r="P2774" s="10"/>
      <c r="Q2774" s="10"/>
      <c r="R2774" s="10"/>
      <c r="S2774" s="10"/>
    </row>
    <row r="2775" spans="10:19">
      <c r="J2775" s="10"/>
      <c r="K2775" s="1127"/>
      <c r="L2775" s="10"/>
      <c r="M2775" s="10"/>
      <c r="N2775" s="10"/>
      <c r="O2775" s="10"/>
      <c r="P2775" s="10"/>
      <c r="Q2775" s="10"/>
      <c r="R2775" s="10"/>
      <c r="S2775" s="10"/>
    </row>
    <row r="2776" spans="10:19">
      <c r="J2776" s="10"/>
      <c r="K2776" s="1127"/>
      <c r="L2776" s="10"/>
      <c r="M2776" s="10"/>
      <c r="N2776" s="10"/>
      <c r="O2776" s="10"/>
      <c r="P2776" s="10"/>
      <c r="Q2776" s="10"/>
      <c r="R2776" s="10"/>
      <c r="S2776" s="10"/>
    </row>
    <row r="2777" spans="10:19">
      <c r="J2777" s="10"/>
      <c r="K2777" s="1127"/>
      <c r="L2777" s="10"/>
      <c r="M2777" s="10"/>
      <c r="N2777" s="10"/>
      <c r="O2777" s="10"/>
      <c r="P2777" s="10"/>
      <c r="Q2777" s="10"/>
      <c r="R2777" s="10"/>
      <c r="S2777" s="10"/>
    </row>
    <row r="2778" spans="10:19">
      <c r="J2778" s="10"/>
      <c r="K2778" s="1127"/>
      <c r="L2778" s="10"/>
      <c r="M2778" s="10"/>
      <c r="N2778" s="10"/>
      <c r="O2778" s="10"/>
      <c r="P2778" s="10"/>
      <c r="Q2778" s="10"/>
      <c r="R2778" s="10"/>
      <c r="S2778" s="10"/>
    </row>
    <row r="2779" spans="10:19">
      <c r="J2779" s="10"/>
      <c r="K2779" s="1127"/>
      <c r="L2779" s="10"/>
      <c r="M2779" s="10"/>
      <c r="N2779" s="10"/>
      <c r="O2779" s="10"/>
      <c r="P2779" s="10"/>
      <c r="Q2779" s="10"/>
      <c r="R2779" s="10"/>
      <c r="S2779" s="10"/>
    </row>
    <row r="2780" spans="10:19">
      <c r="J2780" s="10"/>
      <c r="K2780" s="1127"/>
      <c r="L2780" s="10"/>
      <c r="M2780" s="10"/>
      <c r="N2780" s="10"/>
      <c r="O2780" s="10"/>
      <c r="P2780" s="10"/>
      <c r="Q2780" s="10"/>
      <c r="R2780" s="10"/>
      <c r="S2780" s="10"/>
    </row>
    <row r="2781" spans="10:19">
      <c r="J2781" s="10"/>
      <c r="K2781" s="1127"/>
      <c r="L2781" s="10"/>
      <c r="M2781" s="10"/>
      <c r="N2781" s="10"/>
      <c r="O2781" s="10"/>
      <c r="P2781" s="10"/>
      <c r="Q2781" s="10"/>
      <c r="R2781" s="10"/>
      <c r="S2781" s="10"/>
    </row>
    <row r="2782" spans="10:19">
      <c r="J2782" s="10"/>
      <c r="K2782" s="1127"/>
      <c r="L2782" s="10"/>
      <c r="M2782" s="10"/>
      <c r="N2782" s="10"/>
      <c r="O2782" s="10"/>
      <c r="P2782" s="10"/>
      <c r="Q2782" s="10"/>
      <c r="R2782" s="10"/>
      <c r="S2782" s="10"/>
    </row>
    <row r="2783" spans="10:19">
      <c r="J2783" s="10"/>
      <c r="K2783" s="1127"/>
      <c r="L2783" s="10"/>
      <c r="M2783" s="10"/>
      <c r="N2783" s="10"/>
      <c r="O2783" s="10"/>
      <c r="P2783" s="10"/>
      <c r="Q2783" s="10"/>
      <c r="R2783" s="10"/>
      <c r="S2783" s="10"/>
    </row>
    <row r="2784" spans="10:19">
      <c r="J2784" s="10"/>
      <c r="K2784" s="1127"/>
      <c r="L2784" s="10"/>
      <c r="M2784" s="10"/>
      <c r="N2784" s="10"/>
      <c r="O2784" s="10"/>
      <c r="P2784" s="10"/>
      <c r="Q2784" s="10"/>
      <c r="R2784" s="10"/>
      <c r="S2784" s="10"/>
    </row>
    <row r="2785" spans="10:19">
      <c r="J2785" s="10"/>
      <c r="K2785" s="1127"/>
      <c r="L2785" s="10"/>
      <c r="M2785" s="10"/>
      <c r="N2785" s="10"/>
      <c r="O2785" s="10"/>
      <c r="P2785" s="10"/>
      <c r="Q2785" s="10"/>
      <c r="R2785" s="10"/>
      <c r="S2785" s="10"/>
    </row>
    <row r="2786" spans="10:19">
      <c r="J2786" s="10"/>
      <c r="K2786" s="1127"/>
      <c r="L2786" s="10"/>
      <c r="M2786" s="10"/>
      <c r="N2786" s="10"/>
      <c r="O2786" s="10"/>
      <c r="P2786" s="10"/>
      <c r="Q2786" s="10"/>
      <c r="R2786" s="10"/>
      <c r="S2786" s="10"/>
    </row>
    <row r="2787" spans="10:19">
      <c r="J2787" s="10"/>
      <c r="K2787" s="1127"/>
      <c r="L2787" s="10"/>
      <c r="M2787" s="10"/>
      <c r="N2787" s="10"/>
      <c r="O2787" s="10"/>
      <c r="P2787" s="10"/>
      <c r="Q2787" s="10"/>
      <c r="R2787" s="10"/>
      <c r="S2787" s="10"/>
    </row>
    <row r="2788" spans="10:19">
      <c r="J2788" s="10"/>
      <c r="K2788" s="1127"/>
      <c r="L2788" s="10"/>
      <c r="M2788" s="10"/>
      <c r="N2788" s="10"/>
      <c r="O2788" s="10"/>
      <c r="P2788" s="10"/>
      <c r="Q2788" s="10"/>
      <c r="R2788" s="10"/>
      <c r="S2788" s="10"/>
    </row>
    <row r="2789" spans="10:19">
      <c r="J2789" s="10"/>
      <c r="K2789" s="1127"/>
      <c r="L2789" s="10"/>
      <c r="M2789" s="10"/>
      <c r="N2789" s="10"/>
      <c r="O2789" s="10"/>
      <c r="P2789" s="10"/>
      <c r="Q2789" s="10"/>
      <c r="R2789" s="10"/>
      <c r="S2789" s="10"/>
    </row>
    <row r="2790" spans="10:19">
      <c r="J2790" s="10"/>
      <c r="K2790" s="1127"/>
      <c r="L2790" s="10"/>
      <c r="M2790" s="10"/>
      <c r="N2790" s="10"/>
      <c r="O2790" s="10"/>
      <c r="P2790" s="10"/>
      <c r="Q2790" s="10"/>
      <c r="R2790" s="10"/>
      <c r="S2790" s="10"/>
    </row>
    <row r="2791" spans="10:19">
      <c r="J2791" s="10"/>
      <c r="K2791" s="1127"/>
      <c r="L2791" s="10"/>
      <c r="M2791" s="10"/>
      <c r="N2791" s="10"/>
      <c r="O2791" s="10"/>
      <c r="P2791" s="10"/>
      <c r="Q2791" s="10"/>
      <c r="R2791" s="10"/>
      <c r="S2791" s="10"/>
    </row>
    <row r="2792" spans="10:19">
      <c r="J2792" s="10"/>
      <c r="K2792" s="1127"/>
      <c r="L2792" s="10"/>
      <c r="M2792" s="10"/>
      <c r="N2792" s="10"/>
      <c r="O2792" s="10"/>
      <c r="P2792" s="10"/>
      <c r="Q2792" s="10"/>
      <c r="R2792" s="10"/>
      <c r="S2792" s="10"/>
    </row>
    <row r="2793" spans="10:19">
      <c r="J2793" s="10"/>
      <c r="K2793" s="1127"/>
      <c r="L2793" s="10"/>
      <c r="M2793" s="10"/>
      <c r="N2793" s="10"/>
      <c r="O2793" s="10"/>
      <c r="P2793" s="10"/>
      <c r="Q2793" s="10"/>
      <c r="R2793" s="10"/>
      <c r="S2793" s="10"/>
    </row>
    <row r="2794" spans="10:19">
      <c r="J2794" s="10"/>
      <c r="K2794" s="1127"/>
      <c r="L2794" s="10"/>
      <c r="M2794" s="10"/>
      <c r="N2794" s="10"/>
      <c r="O2794" s="10"/>
      <c r="P2794" s="10"/>
      <c r="Q2794" s="10"/>
      <c r="R2794" s="10"/>
      <c r="S2794" s="10"/>
    </row>
    <row r="2795" spans="10:19">
      <c r="J2795" s="10"/>
      <c r="K2795" s="1127"/>
      <c r="L2795" s="10"/>
      <c r="M2795" s="10"/>
      <c r="N2795" s="10"/>
      <c r="O2795" s="10"/>
      <c r="P2795" s="10"/>
      <c r="Q2795" s="10"/>
      <c r="R2795" s="10"/>
      <c r="S2795" s="10"/>
    </row>
    <row r="2796" spans="10:19">
      <c r="J2796" s="10"/>
      <c r="K2796" s="1127"/>
      <c r="L2796" s="10"/>
      <c r="M2796" s="10"/>
      <c r="N2796" s="10"/>
      <c r="O2796" s="10"/>
      <c r="P2796" s="10"/>
      <c r="Q2796" s="10"/>
      <c r="R2796" s="10"/>
      <c r="S2796" s="10"/>
    </row>
    <row r="2797" spans="10:19">
      <c r="J2797" s="10"/>
      <c r="K2797" s="1127"/>
      <c r="L2797" s="10"/>
      <c r="M2797" s="10"/>
      <c r="N2797" s="10"/>
      <c r="O2797" s="10"/>
      <c r="P2797" s="10"/>
      <c r="Q2797" s="10"/>
      <c r="R2797" s="10"/>
      <c r="S2797" s="10"/>
    </row>
    <row r="2798" spans="10:19">
      <c r="J2798" s="10"/>
      <c r="K2798" s="1127"/>
      <c r="L2798" s="10"/>
      <c r="M2798" s="10"/>
      <c r="N2798" s="10"/>
      <c r="O2798" s="10"/>
      <c r="P2798" s="10"/>
      <c r="Q2798" s="10"/>
      <c r="R2798" s="10"/>
      <c r="S2798" s="10"/>
    </row>
    <row r="2799" spans="10:19">
      <c r="J2799" s="10"/>
      <c r="K2799" s="1127"/>
      <c r="L2799" s="10"/>
      <c r="M2799" s="10"/>
      <c r="N2799" s="10"/>
      <c r="O2799" s="10"/>
      <c r="P2799" s="10"/>
      <c r="Q2799" s="10"/>
      <c r="R2799" s="10"/>
      <c r="S2799" s="10"/>
    </row>
    <row r="2800" spans="10:19">
      <c r="J2800" s="10"/>
      <c r="K2800" s="1127"/>
      <c r="L2800" s="10"/>
      <c r="M2800" s="10"/>
      <c r="N2800" s="10"/>
      <c r="O2800" s="10"/>
      <c r="P2800" s="10"/>
      <c r="Q2800" s="10"/>
      <c r="R2800" s="10"/>
      <c r="S2800" s="10"/>
    </row>
    <row r="2801" spans="10:19">
      <c r="J2801" s="10"/>
      <c r="K2801" s="1127"/>
      <c r="L2801" s="10"/>
      <c r="M2801" s="10"/>
      <c r="N2801" s="10"/>
      <c r="O2801" s="10"/>
      <c r="P2801" s="10"/>
      <c r="Q2801" s="10"/>
      <c r="R2801" s="10"/>
      <c r="S2801" s="10"/>
    </row>
    <row r="2802" spans="10:19">
      <c r="J2802" s="10"/>
      <c r="K2802" s="1127"/>
      <c r="L2802" s="10"/>
      <c r="M2802" s="10"/>
      <c r="N2802" s="10"/>
      <c r="O2802" s="10"/>
      <c r="P2802" s="10"/>
      <c r="Q2802" s="10"/>
      <c r="R2802" s="10"/>
      <c r="S2802" s="10"/>
    </row>
    <row r="2803" spans="10:19">
      <c r="J2803" s="10"/>
      <c r="K2803" s="1127"/>
      <c r="L2803" s="10"/>
      <c r="M2803" s="10"/>
      <c r="N2803" s="10"/>
      <c r="O2803" s="10"/>
      <c r="P2803" s="10"/>
      <c r="Q2803" s="10"/>
      <c r="R2803" s="10"/>
      <c r="S2803" s="10"/>
    </row>
    <row r="2804" spans="10:19">
      <c r="J2804" s="10"/>
      <c r="K2804" s="1127"/>
      <c r="L2804" s="10"/>
      <c r="M2804" s="10"/>
      <c r="N2804" s="10"/>
      <c r="O2804" s="10"/>
      <c r="P2804" s="10"/>
      <c r="Q2804" s="10"/>
      <c r="R2804" s="10"/>
      <c r="S2804" s="10"/>
    </row>
    <row r="2805" spans="10:19">
      <c r="J2805" s="10"/>
      <c r="K2805" s="1127"/>
      <c r="L2805" s="10"/>
      <c r="M2805" s="10"/>
      <c r="N2805" s="10"/>
      <c r="O2805" s="10"/>
      <c r="P2805" s="10"/>
      <c r="Q2805" s="10"/>
      <c r="R2805" s="10"/>
      <c r="S2805" s="10"/>
    </row>
    <row r="2806" spans="10:19">
      <c r="J2806" s="10"/>
      <c r="K2806" s="1127"/>
      <c r="L2806" s="10"/>
      <c r="M2806" s="10"/>
      <c r="N2806" s="10"/>
      <c r="O2806" s="10"/>
      <c r="P2806" s="10"/>
      <c r="Q2806" s="10"/>
      <c r="R2806" s="10"/>
      <c r="S2806" s="10"/>
    </row>
    <row r="2807" spans="10:19">
      <c r="J2807" s="10"/>
      <c r="K2807" s="1127"/>
      <c r="L2807" s="10"/>
      <c r="M2807" s="10"/>
      <c r="N2807" s="10"/>
      <c r="O2807" s="10"/>
      <c r="P2807" s="10"/>
      <c r="Q2807" s="10"/>
      <c r="R2807" s="10"/>
      <c r="S2807" s="10"/>
    </row>
    <row r="2808" spans="10:19">
      <c r="J2808" s="10"/>
      <c r="K2808" s="1127"/>
      <c r="L2808" s="10"/>
      <c r="M2808" s="10"/>
      <c r="N2808" s="10"/>
      <c r="O2808" s="10"/>
      <c r="P2808" s="10"/>
      <c r="Q2808" s="10"/>
      <c r="R2808" s="10"/>
      <c r="S2808" s="10"/>
    </row>
    <row r="2809" spans="10:19">
      <c r="J2809" s="10"/>
      <c r="K2809" s="1127"/>
      <c r="L2809" s="10"/>
      <c r="M2809" s="10"/>
      <c r="N2809" s="10"/>
      <c r="O2809" s="10"/>
      <c r="P2809" s="10"/>
      <c r="Q2809" s="10"/>
      <c r="R2809" s="10"/>
      <c r="S2809" s="10"/>
    </row>
    <row r="2810" spans="10:19">
      <c r="J2810" s="10"/>
      <c r="K2810" s="1127"/>
      <c r="L2810" s="10"/>
      <c r="M2810" s="10"/>
      <c r="N2810" s="10"/>
      <c r="O2810" s="10"/>
      <c r="P2810" s="10"/>
      <c r="Q2810" s="10"/>
      <c r="R2810" s="10"/>
      <c r="S2810" s="10"/>
    </row>
    <row r="2811" spans="10:19">
      <c r="J2811" s="10"/>
      <c r="K2811" s="1127"/>
      <c r="L2811" s="10"/>
      <c r="M2811" s="10"/>
      <c r="N2811" s="10"/>
      <c r="O2811" s="10"/>
      <c r="P2811" s="10"/>
      <c r="Q2811" s="10"/>
      <c r="R2811" s="10"/>
      <c r="S2811" s="10"/>
    </row>
    <row r="2812" spans="10:19">
      <c r="J2812" s="10"/>
      <c r="K2812" s="1127"/>
      <c r="L2812" s="10"/>
      <c r="M2812" s="10"/>
      <c r="N2812" s="10"/>
      <c r="O2812" s="10"/>
      <c r="P2812" s="10"/>
      <c r="Q2812" s="10"/>
      <c r="R2812" s="10"/>
      <c r="S2812" s="10"/>
    </row>
    <row r="2813" spans="10:19">
      <c r="J2813" s="10"/>
      <c r="K2813" s="1127"/>
      <c r="L2813" s="10"/>
      <c r="M2813" s="10"/>
      <c r="N2813" s="10"/>
      <c r="O2813" s="10"/>
      <c r="P2813" s="10"/>
      <c r="Q2813" s="10"/>
      <c r="R2813" s="10"/>
      <c r="S2813" s="10"/>
    </row>
    <row r="2814" spans="10:19">
      <c r="J2814" s="10"/>
      <c r="K2814" s="1127"/>
      <c r="L2814" s="10"/>
      <c r="M2814" s="10"/>
      <c r="N2814" s="10"/>
      <c r="O2814" s="10"/>
      <c r="P2814" s="10"/>
      <c r="Q2814" s="10"/>
      <c r="R2814" s="10"/>
      <c r="S2814" s="10"/>
    </row>
    <row r="2815" spans="10:19">
      <c r="J2815" s="10"/>
      <c r="K2815" s="1127"/>
      <c r="L2815" s="10"/>
      <c r="M2815" s="10"/>
      <c r="N2815" s="10"/>
      <c r="O2815" s="10"/>
      <c r="P2815" s="10"/>
      <c r="Q2815" s="10"/>
      <c r="R2815" s="10"/>
      <c r="S2815" s="10"/>
    </row>
    <row r="2816" spans="10:19">
      <c r="J2816" s="10"/>
      <c r="K2816" s="1127"/>
      <c r="L2816" s="10"/>
      <c r="M2816" s="10"/>
      <c r="N2816" s="10"/>
      <c r="O2816" s="10"/>
      <c r="P2816" s="10"/>
      <c r="Q2816" s="10"/>
      <c r="R2816" s="10"/>
      <c r="S2816" s="10"/>
    </row>
    <row r="2817" spans="10:19">
      <c r="J2817" s="10"/>
      <c r="K2817" s="1127"/>
      <c r="L2817" s="10"/>
      <c r="M2817" s="10"/>
      <c r="N2817" s="10"/>
      <c r="O2817" s="10"/>
      <c r="P2817" s="10"/>
      <c r="Q2817" s="10"/>
      <c r="R2817" s="10"/>
      <c r="S2817" s="10"/>
    </row>
    <row r="2818" spans="10:19">
      <c r="J2818" s="10"/>
      <c r="K2818" s="1127"/>
      <c r="L2818" s="10"/>
      <c r="M2818" s="10"/>
      <c r="N2818" s="10"/>
      <c r="O2818" s="10"/>
      <c r="P2818" s="10"/>
      <c r="Q2818" s="10"/>
      <c r="R2818" s="10"/>
      <c r="S2818" s="10"/>
    </row>
    <row r="2819" spans="10:19">
      <c r="J2819" s="10"/>
      <c r="K2819" s="1127"/>
      <c r="L2819" s="10"/>
      <c r="M2819" s="10"/>
      <c r="N2819" s="10"/>
      <c r="O2819" s="10"/>
      <c r="P2819" s="10"/>
      <c r="Q2819" s="10"/>
      <c r="R2819" s="10"/>
      <c r="S2819" s="10"/>
    </row>
    <row r="2820" spans="10:19">
      <c r="J2820" s="10"/>
      <c r="K2820" s="1127"/>
      <c r="L2820" s="10"/>
      <c r="M2820" s="10"/>
      <c r="N2820" s="10"/>
      <c r="O2820" s="10"/>
      <c r="P2820" s="10"/>
      <c r="Q2820" s="10"/>
      <c r="R2820" s="10"/>
      <c r="S2820" s="10"/>
    </row>
    <row r="2821" spans="10:19">
      <c r="J2821" s="10"/>
      <c r="K2821" s="1127"/>
      <c r="L2821" s="10"/>
      <c r="M2821" s="10"/>
      <c r="N2821" s="10"/>
      <c r="O2821" s="10"/>
      <c r="P2821" s="10"/>
      <c r="Q2821" s="10"/>
      <c r="R2821" s="10"/>
      <c r="S2821" s="10"/>
    </row>
    <row r="2822" spans="10:19">
      <c r="J2822" s="10"/>
      <c r="K2822" s="1127"/>
      <c r="L2822" s="10"/>
      <c r="M2822" s="10"/>
      <c r="N2822" s="10"/>
      <c r="O2822" s="10"/>
      <c r="P2822" s="10"/>
      <c r="Q2822" s="10"/>
      <c r="R2822" s="10"/>
      <c r="S2822" s="10"/>
    </row>
    <row r="2823" spans="10:19">
      <c r="J2823" s="10"/>
      <c r="K2823" s="1127"/>
      <c r="L2823" s="10"/>
      <c r="M2823" s="10"/>
      <c r="N2823" s="10"/>
      <c r="O2823" s="10"/>
      <c r="P2823" s="10"/>
      <c r="Q2823" s="10"/>
      <c r="R2823" s="10"/>
      <c r="S2823" s="10"/>
    </row>
    <row r="2824" spans="10:19">
      <c r="J2824" s="10"/>
      <c r="K2824" s="1127"/>
      <c r="L2824" s="10"/>
      <c r="M2824" s="10"/>
      <c r="N2824" s="10"/>
      <c r="O2824" s="10"/>
      <c r="P2824" s="10"/>
      <c r="Q2824" s="10"/>
      <c r="R2824" s="10"/>
      <c r="S2824" s="10"/>
    </row>
    <row r="2825" spans="10:19">
      <c r="J2825" s="10"/>
      <c r="K2825" s="1127"/>
      <c r="L2825" s="10"/>
      <c r="M2825" s="10"/>
      <c r="N2825" s="10"/>
      <c r="O2825" s="10"/>
      <c r="P2825" s="10"/>
      <c r="Q2825" s="10"/>
      <c r="R2825" s="10"/>
      <c r="S2825" s="10"/>
    </row>
    <row r="2826" spans="10:19">
      <c r="J2826" s="10"/>
      <c r="K2826" s="1127"/>
      <c r="L2826" s="10"/>
      <c r="M2826" s="10"/>
      <c r="N2826" s="10"/>
      <c r="O2826" s="10"/>
      <c r="P2826" s="10"/>
      <c r="Q2826" s="10"/>
      <c r="R2826" s="10"/>
      <c r="S2826" s="10"/>
    </row>
    <row r="2827" spans="10:19">
      <c r="J2827" s="10"/>
      <c r="K2827" s="1127"/>
      <c r="L2827" s="10"/>
      <c r="M2827" s="10"/>
      <c r="N2827" s="10"/>
      <c r="O2827" s="10"/>
      <c r="P2827" s="10"/>
      <c r="Q2827" s="10"/>
      <c r="R2827" s="10"/>
      <c r="S2827" s="10"/>
    </row>
    <row r="2828" spans="10:19">
      <c r="J2828" s="10"/>
      <c r="K2828" s="1127"/>
      <c r="L2828" s="10"/>
      <c r="M2828" s="10"/>
      <c r="N2828" s="10"/>
      <c r="O2828" s="10"/>
      <c r="P2828" s="10"/>
      <c r="Q2828" s="10"/>
      <c r="R2828" s="10"/>
      <c r="S2828" s="10"/>
    </row>
    <row r="2829" spans="10:19">
      <c r="J2829" s="10"/>
      <c r="K2829" s="1127"/>
      <c r="L2829" s="10"/>
      <c r="M2829" s="10"/>
      <c r="N2829" s="10"/>
      <c r="O2829" s="10"/>
      <c r="P2829" s="10"/>
      <c r="Q2829" s="10"/>
      <c r="R2829" s="10"/>
      <c r="S2829" s="10"/>
    </row>
    <row r="2830" spans="10:19">
      <c r="J2830" s="10"/>
      <c r="K2830" s="1127"/>
      <c r="L2830" s="10"/>
      <c r="M2830" s="10"/>
      <c r="N2830" s="10"/>
      <c r="O2830" s="10"/>
      <c r="P2830" s="10"/>
      <c r="Q2830" s="10"/>
      <c r="R2830" s="10"/>
      <c r="S2830" s="10"/>
    </row>
    <row r="2831" spans="10:19">
      <c r="J2831" s="10"/>
      <c r="K2831" s="1127"/>
      <c r="L2831" s="10"/>
      <c r="M2831" s="10"/>
      <c r="N2831" s="10"/>
      <c r="O2831" s="10"/>
      <c r="P2831" s="10"/>
      <c r="Q2831" s="10"/>
      <c r="R2831" s="10"/>
      <c r="S2831" s="10"/>
    </row>
    <row r="2832" spans="10:19">
      <c r="J2832" s="10"/>
      <c r="K2832" s="1127"/>
      <c r="L2832" s="10"/>
      <c r="M2832" s="10"/>
      <c r="N2832" s="10"/>
      <c r="O2832" s="10"/>
      <c r="P2832" s="10"/>
      <c r="Q2832" s="10"/>
      <c r="R2832" s="10"/>
      <c r="S2832" s="10"/>
    </row>
    <row r="2833" spans="10:19">
      <c r="J2833" s="10"/>
      <c r="K2833" s="1127"/>
      <c r="L2833" s="10"/>
      <c r="M2833" s="10"/>
      <c r="N2833" s="10"/>
      <c r="O2833" s="10"/>
      <c r="P2833" s="10"/>
      <c r="Q2833" s="10"/>
      <c r="R2833" s="10"/>
      <c r="S2833" s="10"/>
    </row>
    <row r="2834" spans="10:19">
      <c r="J2834" s="10"/>
      <c r="K2834" s="1127"/>
      <c r="L2834" s="10"/>
      <c r="M2834" s="10"/>
      <c r="N2834" s="10"/>
      <c r="O2834" s="10"/>
      <c r="P2834" s="10"/>
      <c r="Q2834" s="10"/>
      <c r="R2834" s="10"/>
      <c r="S2834" s="10"/>
    </row>
    <row r="2835" spans="10:19">
      <c r="J2835" s="10"/>
      <c r="K2835" s="1127"/>
      <c r="L2835" s="10"/>
      <c r="M2835" s="10"/>
      <c r="N2835" s="10"/>
      <c r="O2835" s="10"/>
      <c r="P2835" s="10"/>
      <c r="Q2835" s="10"/>
      <c r="R2835" s="10"/>
      <c r="S2835" s="10"/>
    </row>
    <row r="2836" spans="10:19">
      <c r="J2836" s="10"/>
      <c r="K2836" s="1127"/>
      <c r="L2836" s="10"/>
      <c r="M2836" s="10"/>
      <c r="N2836" s="10"/>
      <c r="O2836" s="10"/>
      <c r="P2836" s="10"/>
      <c r="Q2836" s="10"/>
      <c r="R2836" s="10"/>
      <c r="S2836" s="10"/>
    </row>
    <row r="2837" spans="10:19">
      <c r="J2837" s="10"/>
      <c r="K2837" s="1127"/>
      <c r="L2837" s="10"/>
      <c r="M2837" s="10"/>
      <c r="N2837" s="10"/>
      <c r="O2837" s="10"/>
      <c r="P2837" s="10"/>
      <c r="Q2837" s="10"/>
      <c r="R2837" s="10"/>
      <c r="S2837" s="10"/>
    </row>
    <row r="2838" spans="10:19">
      <c r="J2838" s="10"/>
      <c r="K2838" s="1127"/>
      <c r="L2838" s="10"/>
      <c r="M2838" s="10"/>
      <c r="N2838" s="10"/>
      <c r="O2838" s="10"/>
      <c r="P2838" s="10"/>
      <c r="Q2838" s="10"/>
      <c r="R2838" s="10"/>
      <c r="S2838" s="10"/>
    </row>
    <row r="2839" spans="10:19">
      <c r="J2839" s="10"/>
      <c r="K2839" s="1127"/>
      <c r="L2839" s="10"/>
      <c r="M2839" s="10"/>
      <c r="N2839" s="10"/>
      <c r="O2839" s="10"/>
      <c r="P2839" s="10"/>
      <c r="Q2839" s="10"/>
      <c r="R2839" s="10"/>
      <c r="S2839" s="10"/>
    </row>
    <row r="2840" spans="10:19">
      <c r="J2840" s="10"/>
      <c r="K2840" s="1127"/>
      <c r="L2840" s="10"/>
      <c r="M2840" s="10"/>
      <c r="N2840" s="10"/>
      <c r="O2840" s="10"/>
      <c r="P2840" s="10"/>
      <c r="Q2840" s="10"/>
      <c r="R2840" s="10"/>
      <c r="S2840" s="10"/>
    </row>
    <row r="2841" spans="10:19">
      <c r="J2841" s="10"/>
      <c r="K2841" s="1127"/>
      <c r="L2841" s="10"/>
      <c r="M2841" s="10"/>
      <c r="N2841" s="10"/>
      <c r="O2841" s="10"/>
      <c r="P2841" s="10"/>
      <c r="Q2841" s="10"/>
      <c r="R2841" s="10"/>
      <c r="S2841" s="10"/>
    </row>
    <row r="2842" spans="10:19">
      <c r="J2842" s="10"/>
      <c r="K2842" s="1127"/>
      <c r="L2842" s="10"/>
      <c r="M2842" s="10"/>
      <c r="N2842" s="10"/>
      <c r="O2842" s="10"/>
      <c r="P2842" s="10"/>
      <c r="Q2842" s="10"/>
      <c r="R2842" s="10"/>
      <c r="S2842" s="10"/>
    </row>
    <row r="2843" spans="10:19">
      <c r="J2843" s="10"/>
      <c r="K2843" s="1127"/>
      <c r="L2843" s="10"/>
      <c r="M2843" s="10"/>
      <c r="N2843" s="10"/>
      <c r="O2843" s="10"/>
      <c r="P2843" s="10"/>
      <c r="Q2843" s="10"/>
      <c r="R2843" s="10"/>
      <c r="S2843" s="10"/>
    </row>
    <row r="2844" spans="10:19">
      <c r="J2844" s="10"/>
      <c r="K2844" s="1127"/>
      <c r="L2844" s="10"/>
      <c r="M2844" s="10"/>
      <c r="N2844" s="10"/>
      <c r="O2844" s="10"/>
      <c r="P2844" s="10"/>
      <c r="Q2844" s="10"/>
      <c r="R2844" s="10"/>
      <c r="S2844" s="10"/>
    </row>
    <row r="2845" spans="10:19">
      <c r="J2845" s="10"/>
      <c r="K2845" s="1127"/>
      <c r="L2845" s="10"/>
      <c r="M2845" s="10"/>
      <c r="N2845" s="10"/>
      <c r="O2845" s="10"/>
      <c r="P2845" s="10"/>
      <c r="Q2845" s="10"/>
      <c r="R2845" s="10"/>
      <c r="S2845" s="10"/>
    </row>
    <row r="2846" spans="10:19">
      <c r="J2846" s="10"/>
      <c r="K2846" s="1127"/>
      <c r="L2846" s="10"/>
      <c r="M2846" s="10"/>
      <c r="N2846" s="10"/>
      <c r="O2846" s="10"/>
      <c r="P2846" s="10"/>
      <c r="Q2846" s="10"/>
      <c r="R2846" s="10"/>
      <c r="S2846" s="10"/>
    </row>
    <row r="2847" spans="10:19">
      <c r="J2847" s="10"/>
      <c r="K2847" s="1127"/>
      <c r="L2847" s="10"/>
      <c r="M2847" s="10"/>
      <c r="N2847" s="10"/>
      <c r="O2847" s="10"/>
      <c r="P2847" s="10"/>
      <c r="Q2847" s="10"/>
      <c r="R2847" s="10"/>
      <c r="S2847" s="10"/>
    </row>
    <row r="2848" spans="10:19">
      <c r="J2848" s="10"/>
      <c r="K2848" s="1127"/>
      <c r="L2848" s="10"/>
      <c r="M2848" s="10"/>
      <c r="N2848" s="10"/>
      <c r="O2848" s="10"/>
      <c r="P2848" s="10"/>
      <c r="Q2848" s="10"/>
      <c r="R2848" s="10"/>
      <c r="S2848" s="10"/>
    </row>
    <row r="2849" spans="10:19">
      <c r="J2849" s="10"/>
      <c r="K2849" s="1127"/>
      <c r="L2849" s="10"/>
      <c r="M2849" s="10"/>
      <c r="N2849" s="10"/>
      <c r="O2849" s="10"/>
      <c r="P2849" s="10"/>
      <c r="Q2849" s="10"/>
      <c r="R2849" s="10"/>
      <c r="S2849" s="10"/>
    </row>
    <row r="2850" spans="10:19">
      <c r="J2850" s="10"/>
      <c r="K2850" s="1127"/>
      <c r="L2850" s="10"/>
      <c r="M2850" s="10"/>
      <c r="N2850" s="10"/>
      <c r="O2850" s="10"/>
      <c r="P2850" s="10"/>
      <c r="Q2850" s="10"/>
      <c r="R2850" s="10"/>
      <c r="S2850" s="10"/>
    </row>
    <row r="2851" spans="10:19">
      <c r="J2851" s="10"/>
      <c r="K2851" s="1127"/>
      <c r="L2851" s="10"/>
      <c r="M2851" s="10"/>
      <c r="N2851" s="10"/>
      <c r="O2851" s="10"/>
      <c r="P2851" s="10"/>
      <c r="Q2851" s="10"/>
      <c r="R2851" s="10"/>
      <c r="S2851" s="10"/>
    </row>
    <row r="2852" spans="10:19">
      <c r="J2852" s="10"/>
      <c r="K2852" s="1127"/>
      <c r="L2852" s="10"/>
      <c r="M2852" s="10"/>
      <c r="N2852" s="10"/>
      <c r="O2852" s="10"/>
      <c r="P2852" s="10"/>
      <c r="Q2852" s="10"/>
      <c r="R2852" s="10"/>
      <c r="S2852" s="10"/>
    </row>
    <row r="2853" spans="10:19">
      <c r="J2853" s="10"/>
      <c r="K2853" s="1127"/>
      <c r="L2853" s="10"/>
      <c r="M2853" s="10"/>
      <c r="N2853" s="10"/>
      <c r="O2853" s="10"/>
      <c r="P2853" s="10"/>
      <c r="Q2853" s="10"/>
      <c r="R2853" s="10"/>
      <c r="S2853" s="10"/>
    </row>
    <row r="2854" spans="10:19">
      <c r="J2854" s="10"/>
      <c r="K2854" s="1127"/>
      <c r="L2854" s="10"/>
      <c r="M2854" s="10"/>
      <c r="N2854" s="10"/>
      <c r="O2854" s="10"/>
      <c r="P2854" s="10"/>
      <c r="Q2854" s="10"/>
      <c r="R2854" s="10"/>
      <c r="S2854" s="10"/>
    </row>
    <row r="2855" spans="10:19">
      <c r="J2855" s="10"/>
      <c r="K2855" s="1127"/>
      <c r="L2855" s="10"/>
      <c r="M2855" s="10"/>
      <c r="N2855" s="10"/>
      <c r="O2855" s="10"/>
      <c r="P2855" s="10"/>
      <c r="Q2855" s="10"/>
      <c r="R2855" s="10"/>
      <c r="S2855" s="10"/>
    </row>
    <row r="2856" spans="10:19">
      <c r="J2856" s="10"/>
      <c r="K2856" s="1127"/>
      <c r="L2856" s="10"/>
      <c r="M2856" s="10"/>
      <c r="N2856" s="10"/>
      <c r="O2856" s="10"/>
      <c r="P2856" s="10"/>
      <c r="Q2856" s="10"/>
      <c r="R2856" s="10"/>
      <c r="S2856" s="10"/>
    </row>
    <row r="2857" spans="10:19">
      <c r="J2857" s="10"/>
      <c r="K2857" s="1127"/>
      <c r="L2857" s="10"/>
      <c r="M2857" s="10"/>
      <c r="N2857" s="10"/>
      <c r="O2857" s="10"/>
      <c r="P2857" s="10"/>
      <c r="Q2857" s="10"/>
      <c r="R2857" s="10"/>
      <c r="S2857" s="10"/>
    </row>
    <row r="2858" spans="10:19">
      <c r="J2858" s="10"/>
      <c r="K2858" s="1127"/>
      <c r="L2858" s="10"/>
      <c r="M2858" s="10"/>
      <c r="N2858" s="10"/>
      <c r="O2858" s="10"/>
      <c r="P2858" s="10"/>
      <c r="Q2858" s="10"/>
      <c r="R2858" s="10"/>
      <c r="S2858" s="10"/>
    </row>
    <row r="2859" spans="10:19">
      <c r="J2859" s="10"/>
      <c r="K2859" s="1127"/>
      <c r="L2859" s="10"/>
      <c r="M2859" s="10"/>
      <c r="N2859" s="10"/>
      <c r="O2859" s="10"/>
      <c r="P2859" s="10"/>
      <c r="Q2859" s="10"/>
      <c r="R2859" s="10"/>
      <c r="S2859" s="10"/>
    </row>
    <row r="2860" spans="10:19">
      <c r="J2860" s="10"/>
      <c r="K2860" s="1127"/>
      <c r="L2860" s="10"/>
      <c r="M2860" s="10"/>
      <c r="N2860" s="10"/>
      <c r="O2860" s="10"/>
      <c r="P2860" s="10"/>
      <c r="Q2860" s="10"/>
      <c r="R2860" s="10"/>
      <c r="S2860" s="10"/>
    </row>
    <row r="2861" spans="10:19">
      <c r="J2861" s="10"/>
      <c r="K2861" s="1127"/>
      <c r="L2861" s="10"/>
      <c r="M2861" s="10"/>
      <c r="N2861" s="10"/>
      <c r="O2861" s="10"/>
      <c r="P2861" s="10"/>
      <c r="Q2861" s="10"/>
      <c r="R2861" s="10"/>
      <c r="S2861" s="10"/>
    </row>
    <row r="2862" spans="10:19">
      <c r="J2862" s="10"/>
      <c r="K2862" s="1127"/>
      <c r="L2862" s="10"/>
      <c r="M2862" s="10"/>
      <c r="N2862" s="10"/>
      <c r="O2862" s="10"/>
      <c r="P2862" s="10"/>
      <c r="Q2862" s="10"/>
      <c r="R2862" s="10"/>
      <c r="S2862" s="10"/>
    </row>
    <row r="2863" spans="10:19">
      <c r="J2863" s="10"/>
      <c r="K2863" s="1127"/>
      <c r="L2863" s="10"/>
      <c r="M2863" s="10"/>
      <c r="N2863" s="10"/>
      <c r="O2863" s="10"/>
      <c r="P2863" s="10"/>
      <c r="Q2863" s="10"/>
      <c r="R2863" s="10"/>
      <c r="S2863" s="10"/>
    </row>
    <row r="2864" spans="10:19">
      <c r="J2864" s="10"/>
      <c r="K2864" s="1127"/>
      <c r="L2864" s="10"/>
      <c r="M2864" s="10"/>
      <c r="N2864" s="10"/>
      <c r="O2864" s="10"/>
      <c r="P2864" s="10"/>
      <c r="Q2864" s="10"/>
      <c r="R2864" s="10"/>
      <c r="S2864" s="10"/>
    </row>
    <row r="2865" spans="10:19">
      <c r="J2865" s="10"/>
      <c r="K2865" s="1127"/>
      <c r="L2865" s="10"/>
      <c r="M2865" s="10"/>
      <c r="N2865" s="10"/>
      <c r="O2865" s="10"/>
      <c r="P2865" s="10"/>
      <c r="Q2865" s="10"/>
      <c r="R2865" s="10"/>
      <c r="S2865" s="10"/>
    </row>
    <row r="2866" spans="10:19">
      <c r="J2866" s="10"/>
      <c r="K2866" s="1127"/>
      <c r="L2866" s="10"/>
      <c r="M2866" s="10"/>
      <c r="N2866" s="10"/>
      <c r="O2866" s="10"/>
      <c r="P2866" s="10"/>
      <c r="Q2866" s="10"/>
      <c r="R2866" s="10"/>
      <c r="S2866" s="10"/>
    </row>
    <row r="2867" spans="10:19">
      <c r="J2867" s="10"/>
      <c r="K2867" s="1127"/>
      <c r="L2867" s="10"/>
      <c r="M2867" s="10"/>
      <c r="N2867" s="10"/>
      <c r="O2867" s="10"/>
      <c r="P2867" s="10"/>
      <c r="Q2867" s="10"/>
      <c r="R2867" s="10"/>
      <c r="S2867" s="10"/>
    </row>
    <row r="2868" spans="10:19">
      <c r="J2868" s="10"/>
      <c r="K2868" s="1127"/>
      <c r="L2868" s="10"/>
      <c r="M2868" s="10"/>
      <c r="N2868" s="10"/>
      <c r="O2868" s="10"/>
      <c r="P2868" s="10"/>
      <c r="Q2868" s="10"/>
      <c r="R2868" s="10"/>
      <c r="S2868" s="10"/>
    </row>
    <row r="2869" spans="10:19">
      <c r="J2869" s="10"/>
      <c r="K2869" s="1127"/>
      <c r="L2869" s="10"/>
      <c r="M2869" s="10"/>
      <c r="N2869" s="10"/>
      <c r="O2869" s="10"/>
      <c r="P2869" s="10"/>
      <c r="Q2869" s="10"/>
      <c r="R2869" s="10"/>
      <c r="S2869" s="10"/>
    </row>
    <row r="2870" spans="10:19">
      <c r="J2870" s="10"/>
      <c r="K2870" s="1127"/>
      <c r="L2870" s="10"/>
      <c r="M2870" s="10"/>
      <c r="N2870" s="10"/>
      <c r="O2870" s="10"/>
      <c r="P2870" s="10"/>
      <c r="Q2870" s="10"/>
      <c r="R2870" s="10"/>
      <c r="S2870" s="10"/>
    </row>
    <row r="2871" spans="10:19">
      <c r="J2871" s="10"/>
      <c r="K2871" s="1127"/>
      <c r="L2871" s="10"/>
      <c r="M2871" s="10"/>
      <c r="N2871" s="10"/>
      <c r="O2871" s="10"/>
      <c r="P2871" s="10"/>
      <c r="Q2871" s="10"/>
      <c r="R2871" s="10"/>
      <c r="S2871" s="10"/>
    </row>
    <row r="2872" spans="10:19">
      <c r="J2872" s="10"/>
      <c r="K2872" s="1127"/>
      <c r="L2872" s="10"/>
      <c r="M2872" s="10"/>
      <c r="N2872" s="10"/>
      <c r="O2872" s="10"/>
      <c r="P2872" s="10"/>
      <c r="Q2872" s="10"/>
      <c r="R2872" s="10"/>
      <c r="S2872" s="10"/>
    </row>
    <row r="2873" spans="10:19">
      <c r="J2873" s="10"/>
      <c r="K2873" s="1127"/>
      <c r="L2873" s="10"/>
      <c r="M2873" s="10"/>
      <c r="N2873" s="10"/>
      <c r="O2873" s="10"/>
      <c r="P2873" s="10"/>
      <c r="Q2873" s="10"/>
      <c r="R2873" s="10"/>
      <c r="S2873" s="10"/>
    </row>
    <row r="2874" spans="10:19">
      <c r="J2874" s="10"/>
      <c r="K2874" s="1127"/>
      <c r="L2874" s="10"/>
      <c r="M2874" s="10"/>
      <c r="N2874" s="10"/>
      <c r="O2874" s="10"/>
      <c r="P2874" s="10"/>
      <c r="Q2874" s="10"/>
      <c r="R2874" s="10"/>
      <c r="S2874" s="10"/>
    </row>
    <row r="2875" spans="10:19">
      <c r="J2875" s="10"/>
      <c r="K2875" s="1127"/>
      <c r="L2875" s="10"/>
      <c r="M2875" s="10"/>
      <c r="N2875" s="10"/>
      <c r="O2875" s="10"/>
      <c r="P2875" s="10"/>
      <c r="Q2875" s="10"/>
      <c r="R2875" s="10"/>
      <c r="S2875" s="10"/>
    </row>
    <row r="2876" spans="10:19">
      <c r="J2876" s="10"/>
      <c r="K2876" s="1127"/>
      <c r="L2876" s="10"/>
      <c r="M2876" s="10"/>
      <c r="N2876" s="10"/>
      <c r="O2876" s="10"/>
      <c r="P2876" s="10"/>
      <c r="Q2876" s="10"/>
      <c r="R2876" s="10"/>
      <c r="S2876" s="10"/>
    </row>
    <row r="2877" spans="10:19">
      <c r="J2877" s="10"/>
      <c r="K2877" s="1127"/>
      <c r="L2877" s="10"/>
      <c r="M2877" s="10"/>
      <c r="N2877" s="10"/>
      <c r="O2877" s="10"/>
      <c r="P2877" s="10"/>
      <c r="Q2877" s="10"/>
      <c r="R2877" s="10"/>
      <c r="S2877" s="10"/>
    </row>
    <row r="2878" spans="10:19">
      <c r="J2878" s="10"/>
      <c r="K2878" s="1127"/>
      <c r="L2878" s="10"/>
      <c r="M2878" s="10"/>
      <c r="N2878" s="10"/>
      <c r="O2878" s="10"/>
      <c r="P2878" s="10"/>
      <c r="Q2878" s="10"/>
      <c r="R2878" s="10"/>
      <c r="S2878" s="10"/>
    </row>
    <row r="2879" spans="10:19">
      <c r="J2879" s="10"/>
      <c r="K2879" s="1127"/>
      <c r="L2879" s="10"/>
      <c r="M2879" s="10"/>
      <c r="N2879" s="10"/>
      <c r="O2879" s="10"/>
      <c r="P2879" s="10"/>
      <c r="Q2879" s="10"/>
      <c r="R2879" s="10"/>
      <c r="S2879" s="10"/>
    </row>
    <row r="2880" spans="10:19">
      <c r="J2880" s="10"/>
      <c r="K2880" s="1127"/>
      <c r="L2880" s="10"/>
      <c r="M2880" s="10"/>
      <c r="N2880" s="10"/>
      <c r="O2880" s="10"/>
      <c r="P2880" s="10"/>
      <c r="Q2880" s="10"/>
      <c r="R2880" s="10"/>
      <c r="S2880" s="10"/>
    </row>
    <row r="2881" spans="10:19">
      <c r="J2881" s="10"/>
      <c r="K2881" s="1127"/>
      <c r="L2881" s="10"/>
      <c r="M2881" s="10"/>
      <c r="N2881" s="10"/>
      <c r="O2881" s="10"/>
      <c r="P2881" s="10"/>
      <c r="Q2881" s="10"/>
      <c r="R2881" s="10"/>
      <c r="S2881" s="10"/>
    </row>
    <row r="2882" spans="10:19">
      <c r="J2882" s="10"/>
      <c r="K2882" s="1127"/>
      <c r="L2882" s="10"/>
      <c r="M2882" s="10"/>
      <c r="N2882" s="10"/>
      <c r="O2882" s="10"/>
      <c r="P2882" s="10"/>
      <c r="Q2882" s="10"/>
      <c r="R2882" s="10"/>
      <c r="S2882" s="10"/>
    </row>
    <row r="2883" spans="10:19">
      <c r="J2883" s="10"/>
      <c r="K2883" s="1127"/>
      <c r="L2883" s="10"/>
      <c r="M2883" s="10"/>
      <c r="N2883" s="10"/>
      <c r="O2883" s="10"/>
      <c r="P2883" s="10"/>
      <c r="Q2883" s="10"/>
      <c r="R2883" s="10"/>
      <c r="S2883" s="10"/>
    </row>
    <row r="2884" spans="10:19">
      <c r="J2884" s="10"/>
      <c r="K2884" s="1127"/>
      <c r="L2884" s="10"/>
      <c r="M2884" s="10"/>
      <c r="N2884" s="10"/>
      <c r="O2884" s="10"/>
      <c r="P2884" s="10"/>
      <c r="Q2884" s="10"/>
      <c r="R2884" s="10"/>
      <c r="S2884" s="10"/>
    </row>
    <row r="2885" spans="10:19">
      <c r="J2885" s="10"/>
      <c r="K2885" s="1127"/>
      <c r="L2885" s="10"/>
      <c r="M2885" s="10"/>
      <c r="N2885" s="10"/>
      <c r="O2885" s="10"/>
      <c r="P2885" s="10"/>
      <c r="Q2885" s="10"/>
      <c r="R2885" s="10"/>
      <c r="S2885" s="10"/>
    </row>
    <row r="2886" spans="10:19">
      <c r="J2886" s="10"/>
      <c r="K2886" s="1127"/>
      <c r="L2886" s="10"/>
      <c r="M2886" s="10"/>
      <c r="N2886" s="10"/>
      <c r="O2886" s="10"/>
      <c r="P2886" s="10"/>
      <c r="Q2886" s="10"/>
      <c r="R2886" s="10"/>
      <c r="S2886" s="10"/>
    </row>
    <row r="2887" spans="10:19">
      <c r="J2887" s="10"/>
      <c r="K2887" s="1127"/>
      <c r="L2887" s="10"/>
      <c r="M2887" s="10"/>
      <c r="N2887" s="10"/>
      <c r="O2887" s="10"/>
      <c r="P2887" s="10"/>
      <c r="Q2887" s="10"/>
      <c r="R2887" s="10"/>
      <c r="S2887" s="10"/>
    </row>
    <row r="2888" spans="10:19">
      <c r="J2888" s="10"/>
      <c r="K2888" s="1127"/>
      <c r="L2888" s="10"/>
      <c r="M2888" s="10"/>
      <c r="N2888" s="10"/>
      <c r="O2888" s="10"/>
      <c r="P2888" s="10"/>
      <c r="Q2888" s="10"/>
      <c r="R2888" s="10"/>
      <c r="S2888" s="10"/>
    </row>
    <row r="2889" spans="10:19">
      <c r="J2889" s="10"/>
      <c r="K2889" s="1127"/>
      <c r="L2889" s="10"/>
      <c r="M2889" s="10"/>
      <c r="N2889" s="10"/>
      <c r="O2889" s="10"/>
      <c r="P2889" s="10"/>
      <c r="Q2889" s="10"/>
      <c r="R2889" s="10"/>
      <c r="S2889" s="10"/>
    </row>
    <row r="2890" spans="10:19">
      <c r="J2890" s="10"/>
      <c r="K2890" s="1127"/>
      <c r="L2890" s="10"/>
      <c r="M2890" s="10"/>
      <c r="N2890" s="10"/>
      <c r="O2890" s="10"/>
      <c r="P2890" s="10"/>
      <c r="Q2890" s="10"/>
      <c r="R2890" s="10"/>
      <c r="S2890" s="10"/>
    </row>
    <row r="2891" spans="10:19">
      <c r="J2891" s="10"/>
      <c r="K2891" s="1127"/>
      <c r="L2891" s="10"/>
      <c r="M2891" s="10"/>
      <c r="N2891" s="10"/>
      <c r="O2891" s="10"/>
      <c r="P2891" s="10"/>
      <c r="Q2891" s="10"/>
      <c r="R2891" s="10"/>
      <c r="S2891" s="10"/>
    </row>
    <row r="2892" spans="10:19">
      <c r="J2892" s="10"/>
      <c r="K2892" s="1127"/>
      <c r="L2892" s="10"/>
      <c r="M2892" s="10"/>
      <c r="N2892" s="10"/>
      <c r="O2892" s="10"/>
      <c r="P2892" s="10"/>
      <c r="Q2892" s="10"/>
      <c r="R2892" s="10"/>
      <c r="S2892" s="10"/>
    </row>
    <row r="2893" spans="10:19">
      <c r="J2893" s="10"/>
      <c r="K2893" s="1127"/>
      <c r="L2893" s="10"/>
      <c r="M2893" s="10"/>
      <c r="N2893" s="10"/>
      <c r="O2893" s="10"/>
      <c r="P2893" s="10"/>
      <c r="Q2893" s="10"/>
      <c r="R2893" s="10"/>
      <c r="S2893" s="10"/>
    </row>
    <row r="2894" spans="10:19">
      <c r="J2894" s="10"/>
      <c r="K2894" s="1127"/>
      <c r="L2894" s="10"/>
      <c r="M2894" s="10"/>
      <c r="N2894" s="10"/>
      <c r="O2894" s="10"/>
      <c r="P2894" s="10"/>
      <c r="Q2894" s="10"/>
      <c r="R2894" s="10"/>
      <c r="S2894" s="10"/>
    </row>
    <row r="2895" spans="10:19">
      <c r="J2895" s="10"/>
      <c r="K2895" s="1127"/>
      <c r="L2895" s="10"/>
      <c r="M2895" s="10"/>
      <c r="N2895" s="10"/>
      <c r="O2895" s="10"/>
      <c r="P2895" s="10"/>
      <c r="Q2895" s="10"/>
      <c r="R2895" s="10"/>
      <c r="S2895" s="10"/>
    </row>
    <row r="2896" spans="10:19">
      <c r="J2896" s="10"/>
      <c r="K2896" s="1127"/>
      <c r="L2896" s="10"/>
      <c r="M2896" s="10"/>
      <c r="N2896" s="10"/>
      <c r="O2896" s="10"/>
      <c r="P2896" s="10"/>
      <c r="Q2896" s="10"/>
      <c r="R2896" s="10"/>
      <c r="S2896" s="10"/>
    </row>
    <row r="2897" spans="10:19">
      <c r="J2897" s="10"/>
      <c r="K2897" s="1127"/>
      <c r="L2897" s="10"/>
      <c r="M2897" s="10"/>
      <c r="N2897" s="10"/>
      <c r="O2897" s="10"/>
      <c r="P2897" s="10"/>
      <c r="Q2897" s="10"/>
      <c r="R2897" s="10"/>
      <c r="S2897" s="10"/>
    </row>
    <row r="2898" spans="10:19">
      <c r="J2898" s="10"/>
      <c r="K2898" s="1127"/>
      <c r="L2898" s="10"/>
      <c r="M2898" s="10"/>
      <c r="N2898" s="10"/>
      <c r="O2898" s="10"/>
      <c r="P2898" s="10"/>
      <c r="Q2898" s="10"/>
      <c r="R2898" s="10"/>
      <c r="S2898" s="10"/>
    </row>
    <row r="2899" spans="10:19">
      <c r="J2899" s="10"/>
      <c r="K2899" s="1127"/>
      <c r="L2899" s="10"/>
      <c r="M2899" s="10"/>
      <c r="N2899" s="10"/>
      <c r="O2899" s="10"/>
      <c r="P2899" s="10"/>
      <c r="Q2899" s="10"/>
      <c r="R2899" s="10"/>
      <c r="S2899" s="10"/>
    </row>
    <row r="2900" spans="10:19">
      <c r="J2900" s="10"/>
      <c r="K2900" s="1127"/>
      <c r="L2900" s="10"/>
      <c r="M2900" s="10"/>
      <c r="N2900" s="10"/>
      <c r="O2900" s="10"/>
      <c r="P2900" s="10"/>
      <c r="Q2900" s="10"/>
      <c r="R2900" s="10"/>
      <c r="S2900" s="10"/>
    </row>
    <row r="2901" spans="10:19">
      <c r="J2901" s="10"/>
      <c r="K2901" s="1127"/>
      <c r="L2901" s="10"/>
      <c r="M2901" s="10"/>
      <c r="N2901" s="10"/>
      <c r="O2901" s="10"/>
      <c r="P2901" s="10"/>
      <c r="Q2901" s="10"/>
      <c r="R2901" s="10"/>
      <c r="S2901" s="10"/>
    </row>
    <row r="2902" spans="10:19">
      <c r="J2902" s="10"/>
      <c r="K2902" s="1127"/>
      <c r="L2902" s="10"/>
      <c r="M2902" s="10"/>
      <c r="N2902" s="10"/>
      <c r="O2902" s="10"/>
      <c r="P2902" s="10"/>
      <c r="Q2902" s="10"/>
      <c r="R2902" s="10"/>
      <c r="S2902" s="10"/>
    </row>
    <row r="2903" spans="10:19">
      <c r="J2903" s="10"/>
      <c r="K2903" s="1127"/>
      <c r="L2903" s="10"/>
      <c r="M2903" s="10"/>
      <c r="N2903" s="10"/>
      <c r="O2903" s="10"/>
      <c r="P2903" s="10"/>
      <c r="Q2903" s="10"/>
      <c r="R2903" s="10"/>
      <c r="S2903" s="10"/>
    </row>
    <row r="2904" spans="10:19">
      <c r="J2904" s="10"/>
      <c r="K2904" s="1127"/>
      <c r="L2904" s="10"/>
      <c r="M2904" s="10"/>
      <c r="N2904" s="10"/>
      <c r="O2904" s="10"/>
      <c r="P2904" s="10"/>
      <c r="Q2904" s="10"/>
      <c r="R2904" s="10"/>
      <c r="S2904" s="10"/>
    </row>
    <row r="2905" spans="10:19">
      <c r="J2905" s="10"/>
      <c r="K2905" s="1127"/>
      <c r="L2905" s="10"/>
      <c r="M2905" s="10"/>
      <c r="N2905" s="10"/>
      <c r="O2905" s="10"/>
      <c r="P2905" s="10"/>
      <c r="Q2905" s="10"/>
      <c r="R2905" s="10"/>
      <c r="S2905" s="10"/>
    </row>
    <row r="2906" spans="10:19">
      <c r="J2906" s="10"/>
      <c r="K2906" s="1127"/>
      <c r="L2906" s="10"/>
      <c r="M2906" s="10"/>
      <c r="N2906" s="10"/>
      <c r="O2906" s="10"/>
      <c r="P2906" s="10"/>
      <c r="Q2906" s="10"/>
      <c r="R2906" s="10"/>
      <c r="S2906" s="10"/>
    </row>
    <row r="2907" spans="10:19">
      <c r="J2907" s="10"/>
      <c r="K2907" s="1127"/>
      <c r="L2907" s="10"/>
      <c r="M2907" s="10"/>
      <c r="N2907" s="10"/>
      <c r="O2907" s="10"/>
      <c r="P2907" s="10"/>
      <c r="Q2907" s="10"/>
      <c r="R2907" s="10"/>
      <c r="S2907" s="10"/>
    </row>
    <row r="2908" spans="10:19">
      <c r="J2908" s="10"/>
      <c r="K2908" s="1127"/>
      <c r="L2908" s="10"/>
      <c r="M2908" s="10"/>
      <c r="N2908" s="10"/>
      <c r="O2908" s="10"/>
      <c r="P2908" s="10"/>
      <c r="Q2908" s="10"/>
      <c r="R2908" s="10"/>
      <c r="S2908" s="10"/>
    </row>
    <row r="2909" spans="10:19">
      <c r="J2909" s="10"/>
      <c r="K2909" s="1127"/>
      <c r="L2909" s="10"/>
      <c r="M2909" s="10"/>
      <c r="N2909" s="10"/>
      <c r="O2909" s="10"/>
      <c r="P2909" s="10"/>
      <c r="Q2909" s="10"/>
      <c r="R2909" s="10"/>
      <c r="S2909" s="10"/>
    </row>
    <row r="2910" spans="10:19">
      <c r="J2910" s="10"/>
      <c r="K2910" s="1127"/>
      <c r="L2910" s="10"/>
      <c r="M2910" s="10"/>
      <c r="N2910" s="10"/>
      <c r="O2910" s="10"/>
      <c r="P2910" s="10"/>
      <c r="Q2910" s="10"/>
      <c r="R2910" s="10"/>
      <c r="S2910" s="10"/>
    </row>
    <row r="2911" spans="10:19">
      <c r="J2911" s="10"/>
      <c r="K2911" s="1127"/>
      <c r="L2911" s="10"/>
      <c r="M2911" s="10"/>
      <c r="N2911" s="10"/>
      <c r="O2911" s="10"/>
      <c r="P2911" s="10"/>
      <c r="Q2911" s="10"/>
      <c r="R2911" s="10"/>
      <c r="S2911" s="10"/>
    </row>
    <row r="2912" spans="10:19">
      <c r="J2912" s="10"/>
      <c r="K2912" s="1127"/>
      <c r="L2912" s="10"/>
      <c r="M2912" s="10"/>
      <c r="N2912" s="10"/>
      <c r="O2912" s="10"/>
      <c r="P2912" s="10"/>
      <c r="Q2912" s="10"/>
      <c r="R2912" s="10"/>
      <c r="S2912" s="10"/>
    </row>
    <row r="2913" spans="10:19">
      <c r="J2913" s="10"/>
      <c r="K2913" s="1127"/>
      <c r="L2913" s="10"/>
      <c r="M2913" s="10"/>
      <c r="N2913" s="10"/>
      <c r="O2913" s="10"/>
      <c r="P2913" s="10"/>
      <c r="Q2913" s="10"/>
      <c r="R2913" s="10"/>
      <c r="S2913" s="10"/>
    </row>
    <row r="2914" spans="10:19">
      <c r="J2914" s="10"/>
      <c r="K2914" s="1127"/>
      <c r="L2914" s="10"/>
      <c r="M2914" s="10"/>
      <c r="N2914" s="10"/>
      <c r="O2914" s="10"/>
      <c r="P2914" s="10"/>
      <c r="Q2914" s="10"/>
      <c r="R2914" s="10"/>
      <c r="S2914" s="10"/>
    </row>
    <row r="2915" spans="10:19">
      <c r="J2915" s="10"/>
      <c r="K2915" s="1127"/>
      <c r="L2915" s="10"/>
      <c r="M2915" s="10"/>
      <c r="N2915" s="10"/>
      <c r="O2915" s="10"/>
      <c r="P2915" s="10"/>
      <c r="Q2915" s="10"/>
      <c r="R2915" s="10"/>
      <c r="S2915" s="10"/>
    </row>
    <row r="2916" spans="10:19">
      <c r="J2916" s="10"/>
      <c r="K2916" s="1127"/>
      <c r="L2916" s="10"/>
      <c r="M2916" s="10"/>
      <c r="N2916" s="10"/>
      <c r="O2916" s="10"/>
      <c r="P2916" s="10"/>
      <c r="Q2916" s="10"/>
      <c r="R2916" s="10"/>
      <c r="S2916" s="10"/>
    </row>
    <row r="2917" spans="10:19">
      <c r="J2917" s="10"/>
      <c r="K2917" s="1127"/>
      <c r="L2917" s="10"/>
      <c r="M2917" s="10"/>
      <c r="N2917" s="10"/>
      <c r="O2917" s="10"/>
      <c r="P2917" s="10"/>
      <c r="Q2917" s="10"/>
      <c r="R2917" s="10"/>
      <c r="S2917" s="10"/>
    </row>
    <row r="2918" spans="10:19">
      <c r="J2918" s="10"/>
      <c r="K2918" s="1127"/>
      <c r="L2918" s="10"/>
      <c r="M2918" s="10"/>
      <c r="N2918" s="10"/>
      <c r="O2918" s="10"/>
      <c r="P2918" s="10"/>
      <c r="Q2918" s="10"/>
      <c r="R2918" s="10"/>
      <c r="S2918" s="10"/>
    </row>
    <row r="2919" spans="10:19">
      <c r="J2919" s="10"/>
      <c r="K2919" s="1127"/>
      <c r="L2919" s="10"/>
      <c r="M2919" s="10"/>
      <c r="N2919" s="10"/>
      <c r="O2919" s="10"/>
      <c r="P2919" s="10"/>
      <c r="Q2919" s="10"/>
      <c r="R2919" s="10"/>
      <c r="S2919" s="10"/>
    </row>
    <row r="2920" spans="10:19">
      <c r="J2920" s="10"/>
      <c r="K2920" s="1127"/>
      <c r="L2920" s="10"/>
      <c r="M2920" s="10"/>
      <c r="N2920" s="10"/>
      <c r="O2920" s="10"/>
      <c r="P2920" s="10"/>
      <c r="Q2920" s="10"/>
      <c r="R2920" s="10"/>
      <c r="S2920" s="10"/>
    </row>
    <row r="2921" spans="10:19">
      <c r="J2921" s="10"/>
      <c r="K2921" s="1127"/>
      <c r="L2921" s="10"/>
      <c r="M2921" s="10"/>
      <c r="N2921" s="10"/>
      <c r="O2921" s="10"/>
      <c r="P2921" s="10"/>
      <c r="Q2921" s="10"/>
      <c r="R2921" s="10"/>
      <c r="S2921" s="10"/>
    </row>
    <row r="2922" spans="10:19">
      <c r="J2922" s="10"/>
      <c r="K2922" s="1127"/>
      <c r="L2922" s="10"/>
      <c r="M2922" s="10"/>
      <c r="N2922" s="10"/>
      <c r="O2922" s="10"/>
      <c r="P2922" s="10"/>
      <c r="Q2922" s="10"/>
      <c r="R2922" s="10"/>
      <c r="S2922" s="10"/>
    </row>
    <row r="2923" spans="10:19">
      <c r="J2923" s="10"/>
      <c r="K2923" s="1127"/>
      <c r="L2923" s="10"/>
      <c r="M2923" s="10"/>
      <c r="N2923" s="10"/>
      <c r="O2923" s="10"/>
      <c r="P2923" s="10"/>
      <c r="Q2923" s="10"/>
      <c r="R2923" s="10"/>
      <c r="S2923" s="10"/>
    </row>
    <row r="2924" spans="10:19">
      <c r="J2924" s="10"/>
      <c r="K2924" s="1127"/>
      <c r="L2924" s="10"/>
      <c r="M2924" s="10"/>
      <c r="N2924" s="10"/>
      <c r="O2924" s="10"/>
      <c r="P2924" s="10"/>
      <c r="Q2924" s="10"/>
      <c r="R2924" s="10"/>
      <c r="S2924" s="10"/>
    </row>
    <row r="2925" spans="10:19">
      <c r="J2925" s="10"/>
      <c r="K2925" s="1127"/>
      <c r="L2925" s="10"/>
      <c r="M2925" s="10"/>
      <c r="N2925" s="10"/>
      <c r="O2925" s="10"/>
      <c r="P2925" s="10"/>
      <c r="Q2925" s="10"/>
      <c r="R2925" s="10"/>
      <c r="S2925" s="10"/>
    </row>
    <row r="2926" spans="10:19">
      <c r="J2926" s="10"/>
      <c r="K2926" s="1127"/>
      <c r="L2926" s="10"/>
      <c r="M2926" s="10"/>
      <c r="N2926" s="10"/>
      <c r="O2926" s="10"/>
      <c r="P2926" s="10"/>
      <c r="Q2926" s="10"/>
      <c r="R2926" s="10"/>
      <c r="S2926" s="10"/>
    </row>
    <row r="2927" spans="10:19">
      <c r="J2927" s="10"/>
      <c r="K2927" s="1127"/>
      <c r="L2927" s="10"/>
      <c r="M2927" s="10"/>
      <c r="N2927" s="10"/>
      <c r="O2927" s="10"/>
      <c r="P2927" s="10"/>
      <c r="Q2927" s="10"/>
      <c r="R2927" s="10"/>
      <c r="S2927" s="10"/>
    </row>
    <row r="2928" spans="10:19">
      <c r="J2928" s="10"/>
      <c r="K2928" s="1127"/>
      <c r="L2928" s="10"/>
      <c r="M2928" s="10"/>
      <c r="N2928" s="10"/>
      <c r="O2928" s="10"/>
      <c r="P2928" s="10"/>
      <c r="Q2928" s="10"/>
      <c r="R2928" s="10"/>
      <c r="S2928" s="10"/>
    </row>
    <row r="2929" spans="10:19">
      <c r="J2929" s="10"/>
      <c r="K2929" s="1127"/>
      <c r="L2929" s="10"/>
      <c r="M2929" s="10"/>
      <c r="N2929" s="10"/>
      <c r="O2929" s="10"/>
      <c r="P2929" s="10"/>
      <c r="Q2929" s="10"/>
      <c r="R2929" s="10"/>
      <c r="S2929" s="10"/>
    </row>
    <row r="2930" spans="10:19">
      <c r="J2930" s="10"/>
      <c r="K2930" s="1127"/>
      <c r="L2930" s="10"/>
      <c r="M2930" s="10"/>
      <c r="N2930" s="10"/>
      <c r="O2930" s="10"/>
      <c r="P2930" s="10"/>
      <c r="Q2930" s="10"/>
      <c r="R2930" s="10"/>
      <c r="S2930" s="10"/>
    </row>
    <row r="2931" spans="10:19">
      <c r="J2931" s="10"/>
      <c r="K2931" s="1127"/>
      <c r="L2931" s="10"/>
      <c r="M2931" s="10"/>
      <c r="N2931" s="10"/>
      <c r="O2931" s="10"/>
      <c r="P2931" s="10"/>
      <c r="Q2931" s="10"/>
      <c r="R2931" s="10"/>
      <c r="S2931" s="10"/>
    </row>
    <row r="2932" spans="10:19">
      <c r="J2932" s="10"/>
      <c r="K2932" s="1127"/>
      <c r="L2932" s="10"/>
      <c r="M2932" s="10"/>
      <c r="N2932" s="10"/>
      <c r="O2932" s="10"/>
      <c r="P2932" s="10"/>
      <c r="Q2932" s="10"/>
      <c r="R2932" s="10"/>
      <c r="S2932" s="10"/>
    </row>
    <row r="2933" spans="10:19">
      <c r="J2933" s="10"/>
      <c r="K2933" s="1127"/>
      <c r="L2933" s="10"/>
      <c r="M2933" s="10"/>
      <c r="N2933" s="10"/>
      <c r="O2933" s="10"/>
      <c r="P2933" s="10"/>
      <c r="Q2933" s="10"/>
      <c r="R2933" s="10"/>
      <c r="S2933" s="10"/>
    </row>
    <row r="2934" spans="10:19">
      <c r="J2934" s="10"/>
      <c r="K2934" s="1127"/>
      <c r="L2934" s="10"/>
      <c r="M2934" s="10"/>
      <c r="N2934" s="10"/>
      <c r="O2934" s="10"/>
      <c r="P2934" s="10"/>
      <c r="Q2934" s="10"/>
      <c r="R2934" s="10"/>
      <c r="S2934" s="10"/>
    </row>
    <row r="2935" spans="10:19">
      <c r="J2935" s="10"/>
      <c r="K2935" s="1127"/>
      <c r="L2935" s="10"/>
      <c r="M2935" s="10"/>
      <c r="N2935" s="10"/>
      <c r="O2935" s="10"/>
      <c r="P2935" s="10"/>
      <c r="Q2935" s="10"/>
      <c r="R2935" s="10"/>
      <c r="S2935" s="10"/>
    </row>
    <row r="2936" spans="10:19">
      <c r="J2936" s="10"/>
      <c r="K2936" s="1127"/>
      <c r="L2936" s="10"/>
      <c r="M2936" s="10"/>
      <c r="N2936" s="10"/>
      <c r="O2936" s="10"/>
      <c r="P2936" s="10"/>
      <c r="Q2936" s="10"/>
      <c r="R2936" s="10"/>
      <c r="S2936" s="10"/>
    </row>
    <row r="2937" spans="10:19">
      <c r="J2937" s="10"/>
      <c r="K2937" s="1127"/>
      <c r="L2937" s="10"/>
      <c r="M2937" s="10"/>
      <c r="N2937" s="10"/>
      <c r="O2937" s="10"/>
      <c r="P2937" s="10"/>
      <c r="Q2937" s="10"/>
      <c r="R2937" s="10"/>
      <c r="S2937" s="10"/>
    </row>
    <row r="2938" spans="10:19">
      <c r="J2938" s="10"/>
      <c r="K2938" s="1127"/>
      <c r="L2938" s="10"/>
      <c r="M2938" s="10"/>
      <c r="N2938" s="10"/>
      <c r="O2938" s="10"/>
      <c r="P2938" s="10"/>
      <c r="Q2938" s="10"/>
      <c r="R2938" s="10"/>
      <c r="S2938" s="10"/>
    </row>
    <row r="2939" spans="10:19">
      <c r="J2939" s="10"/>
      <c r="K2939" s="1127"/>
      <c r="L2939" s="10"/>
      <c r="M2939" s="10"/>
      <c r="N2939" s="10"/>
      <c r="O2939" s="10"/>
      <c r="P2939" s="10"/>
      <c r="Q2939" s="10"/>
      <c r="R2939" s="10"/>
      <c r="S2939" s="10"/>
    </row>
    <row r="2940" spans="10:19">
      <c r="J2940" s="10"/>
      <c r="K2940" s="1127"/>
      <c r="L2940" s="10"/>
      <c r="M2940" s="10"/>
      <c r="N2940" s="10"/>
      <c r="O2940" s="10"/>
      <c r="P2940" s="10"/>
      <c r="Q2940" s="10"/>
      <c r="R2940" s="10"/>
      <c r="S2940" s="10"/>
    </row>
    <row r="2941" spans="10:19">
      <c r="J2941" s="10"/>
      <c r="K2941" s="1127"/>
      <c r="L2941" s="10"/>
      <c r="M2941" s="10"/>
      <c r="N2941" s="10"/>
      <c r="O2941" s="10"/>
      <c r="P2941" s="10"/>
      <c r="Q2941" s="10"/>
      <c r="R2941" s="10"/>
      <c r="S2941" s="10"/>
    </row>
    <row r="2942" spans="10:19">
      <c r="J2942" s="10"/>
      <c r="K2942" s="1127"/>
      <c r="L2942" s="10"/>
      <c r="M2942" s="10"/>
      <c r="N2942" s="10"/>
      <c r="O2942" s="10"/>
      <c r="P2942" s="10"/>
      <c r="Q2942" s="10"/>
      <c r="R2942" s="10"/>
      <c r="S2942" s="10"/>
    </row>
    <row r="2943" spans="10:19">
      <c r="J2943" s="10"/>
      <c r="K2943" s="1127"/>
      <c r="L2943" s="10"/>
      <c r="M2943" s="10"/>
      <c r="N2943" s="10"/>
      <c r="O2943" s="10"/>
      <c r="P2943" s="10"/>
      <c r="Q2943" s="10"/>
      <c r="R2943" s="10"/>
      <c r="S2943" s="10"/>
    </row>
    <row r="2944" spans="10:19">
      <c r="J2944" s="10"/>
      <c r="K2944" s="1127"/>
      <c r="L2944" s="10"/>
      <c r="M2944" s="10"/>
      <c r="N2944" s="10"/>
      <c r="O2944" s="10"/>
      <c r="P2944" s="10"/>
      <c r="Q2944" s="10"/>
      <c r="R2944" s="10"/>
      <c r="S2944" s="10"/>
    </row>
    <row r="2945" spans="10:19">
      <c r="J2945" s="10"/>
      <c r="K2945" s="1127"/>
      <c r="L2945" s="10"/>
      <c r="M2945" s="10"/>
      <c r="N2945" s="10"/>
      <c r="O2945" s="10"/>
      <c r="P2945" s="10"/>
      <c r="Q2945" s="10"/>
      <c r="R2945" s="10"/>
      <c r="S2945" s="10"/>
    </row>
    <row r="2946" spans="10:19">
      <c r="J2946" s="10"/>
      <c r="K2946" s="1127"/>
      <c r="L2946" s="10"/>
      <c r="M2946" s="10"/>
      <c r="N2946" s="10"/>
      <c r="O2946" s="10"/>
      <c r="P2946" s="10"/>
      <c r="Q2946" s="10"/>
      <c r="R2946" s="10"/>
      <c r="S2946" s="10"/>
    </row>
    <row r="2947" spans="10:19">
      <c r="J2947" s="10"/>
      <c r="K2947" s="1127"/>
      <c r="L2947" s="10"/>
      <c r="M2947" s="10"/>
      <c r="N2947" s="10"/>
      <c r="O2947" s="10"/>
      <c r="P2947" s="10"/>
      <c r="Q2947" s="10"/>
      <c r="R2947" s="10"/>
      <c r="S2947" s="10"/>
    </row>
    <row r="2948" spans="10:19">
      <c r="J2948" s="10"/>
      <c r="K2948" s="1127"/>
      <c r="L2948" s="10"/>
      <c r="M2948" s="10"/>
      <c r="N2948" s="10"/>
      <c r="O2948" s="10"/>
      <c r="P2948" s="10"/>
      <c r="Q2948" s="10"/>
      <c r="R2948" s="10"/>
      <c r="S2948" s="10"/>
    </row>
    <row r="2949" spans="10:19">
      <c r="J2949" s="10"/>
      <c r="K2949" s="1127"/>
      <c r="L2949" s="10"/>
      <c r="M2949" s="10"/>
      <c r="N2949" s="10"/>
      <c r="O2949" s="10"/>
      <c r="P2949" s="10"/>
      <c r="Q2949" s="10"/>
      <c r="R2949" s="10"/>
      <c r="S2949" s="10"/>
    </row>
    <row r="2950" spans="10:19">
      <c r="J2950" s="10"/>
      <c r="K2950" s="1127"/>
      <c r="L2950" s="10"/>
      <c r="M2950" s="10"/>
      <c r="N2950" s="10"/>
      <c r="O2950" s="10"/>
      <c r="P2950" s="10"/>
      <c r="Q2950" s="10"/>
      <c r="R2950" s="10"/>
      <c r="S2950" s="10"/>
    </row>
    <row r="2951" spans="10:19">
      <c r="J2951" s="10"/>
      <c r="K2951" s="1127"/>
      <c r="L2951" s="10"/>
      <c r="M2951" s="10"/>
      <c r="N2951" s="10"/>
      <c r="O2951" s="10"/>
      <c r="P2951" s="10"/>
      <c r="Q2951" s="10"/>
      <c r="R2951" s="10"/>
      <c r="S2951" s="10"/>
    </row>
    <row r="2952" spans="10:19">
      <c r="J2952" s="10"/>
      <c r="K2952" s="1127"/>
      <c r="L2952" s="10"/>
      <c r="M2952" s="10"/>
      <c r="N2952" s="10"/>
      <c r="O2952" s="10"/>
      <c r="P2952" s="10"/>
      <c r="Q2952" s="10"/>
      <c r="R2952" s="10"/>
      <c r="S2952" s="10"/>
    </row>
    <row r="2953" spans="10:19">
      <c r="J2953" s="10"/>
      <c r="K2953" s="1127"/>
      <c r="L2953" s="10"/>
      <c r="M2953" s="10"/>
      <c r="N2953" s="10"/>
      <c r="O2953" s="10"/>
      <c r="P2953" s="10"/>
      <c r="Q2953" s="10"/>
      <c r="R2953" s="10"/>
      <c r="S2953" s="10"/>
    </row>
    <row r="2954" spans="10:19">
      <c r="J2954" s="10"/>
      <c r="K2954" s="1127"/>
      <c r="L2954" s="10"/>
      <c r="M2954" s="10"/>
      <c r="N2954" s="10"/>
      <c r="O2954" s="10"/>
      <c r="P2954" s="10"/>
      <c r="Q2954" s="10"/>
      <c r="R2954" s="10"/>
      <c r="S2954" s="10"/>
    </row>
    <row r="2955" spans="10:19">
      <c r="J2955" s="10"/>
      <c r="K2955" s="1127"/>
      <c r="L2955" s="10"/>
      <c r="M2955" s="10"/>
      <c r="N2955" s="10"/>
      <c r="O2955" s="10"/>
      <c r="P2955" s="10"/>
      <c r="Q2955" s="10"/>
      <c r="R2955" s="10"/>
      <c r="S2955" s="10"/>
    </row>
    <row r="2956" spans="10:19">
      <c r="J2956" s="10"/>
      <c r="K2956" s="1127"/>
      <c r="L2956" s="10"/>
      <c r="M2956" s="10"/>
      <c r="N2956" s="10"/>
      <c r="O2956" s="10"/>
      <c r="P2956" s="10"/>
      <c r="Q2956" s="10"/>
      <c r="R2956" s="10"/>
      <c r="S2956" s="10"/>
    </row>
    <row r="2957" spans="10:19">
      <c r="J2957" s="10"/>
      <c r="K2957" s="1127"/>
      <c r="L2957" s="10"/>
      <c r="M2957" s="10"/>
      <c r="N2957" s="10"/>
      <c r="O2957" s="10"/>
      <c r="P2957" s="10"/>
      <c r="Q2957" s="10"/>
      <c r="R2957" s="10"/>
      <c r="S2957" s="10"/>
    </row>
    <row r="2958" spans="10:19">
      <c r="J2958" s="10"/>
      <c r="K2958" s="1127"/>
      <c r="L2958" s="10"/>
      <c r="M2958" s="10"/>
      <c r="N2958" s="10"/>
      <c r="O2958" s="10"/>
      <c r="P2958" s="10"/>
      <c r="Q2958" s="10"/>
      <c r="R2958" s="10"/>
      <c r="S2958" s="10"/>
    </row>
    <row r="2959" spans="10:19">
      <c r="J2959" s="10"/>
      <c r="K2959" s="1127"/>
      <c r="L2959" s="10"/>
      <c r="M2959" s="10"/>
      <c r="N2959" s="10"/>
      <c r="O2959" s="10"/>
      <c r="P2959" s="10"/>
      <c r="Q2959" s="10"/>
      <c r="R2959" s="10"/>
      <c r="S2959" s="10"/>
    </row>
    <row r="2960" spans="10:19">
      <c r="J2960" s="10"/>
      <c r="K2960" s="1127"/>
      <c r="L2960" s="10"/>
      <c r="M2960" s="10"/>
      <c r="N2960" s="10"/>
      <c r="O2960" s="10"/>
      <c r="P2960" s="10"/>
      <c r="Q2960" s="10"/>
      <c r="R2960" s="10"/>
      <c r="S2960" s="10"/>
    </row>
    <row r="2961" spans="10:19">
      <c r="J2961" s="10"/>
      <c r="K2961" s="1127"/>
      <c r="L2961" s="10"/>
      <c r="M2961" s="10"/>
      <c r="N2961" s="10"/>
      <c r="O2961" s="10"/>
      <c r="P2961" s="10"/>
      <c r="Q2961" s="10"/>
      <c r="R2961" s="10"/>
      <c r="S2961" s="10"/>
    </row>
    <row r="2962" spans="10:19">
      <c r="J2962" s="10"/>
      <c r="K2962" s="1127"/>
      <c r="L2962" s="10"/>
      <c r="M2962" s="10"/>
      <c r="N2962" s="10"/>
      <c r="O2962" s="10"/>
      <c r="P2962" s="10"/>
      <c r="Q2962" s="10"/>
      <c r="R2962" s="10"/>
      <c r="S2962" s="10"/>
    </row>
    <row r="2963" spans="10:19">
      <c r="J2963" s="10"/>
      <c r="K2963" s="1127"/>
      <c r="L2963" s="10"/>
      <c r="M2963" s="10"/>
      <c r="N2963" s="10"/>
      <c r="O2963" s="10"/>
      <c r="P2963" s="10"/>
      <c r="Q2963" s="10"/>
      <c r="R2963" s="10"/>
      <c r="S2963" s="10"/>
    </row>
    <row r="2964" spans="10:19">
      <c r="J2964" s="10"/>
      <c r="K2964" s="1127"/>
      <c r="L2964" s="10"/>
      <c r="M2964" s="10"/>
      <c r="N2964" s="10"/>
      <c r="O2964" s="10"/>
      <c r="P2964" s="10"/>
      <c r="Q2964" s="10"/>
      <c r="R2964" s="10"/>
      <c r="S2964" s="10"/>
    </row>
    <row r="2965" spans="10:19">
      <c r="J2965" s="10"/>
      <c r="K2965" s="1127"/>
      <c r="L2965" s="10"/>
      <c r="M2965" s="10"/>
      <c r="N2965" s="10"/>
      <c r="O2965" s="10"/>
      <c r="P2965" s="10"/>
      <c r="Q2965" s="10"/>
      <c r="R2965" s="10"/>
      <c r="S2965" s="10"/>
    </row>
    <row r="2966" spans="10:19">
      <c r="J2966" s="10"/>
      <c r="K2966" s="1127"/>
      <c r="L2966" s="10"/>
      <c r="M2966" s="10"/>
      <c r="N2966" s="10"/>
      <c r="O2966" s="10"/>
      <c r="P2966" s="10"/>
      <c r="Q2966" s="10"/>
      <c r="R2966" s="10"/>
      <c r="S2966" s="10"/>
    </row>
    <row r="2967" spans="10:19">
      <c r="J2967" s="10"/>
      <c r="K2967" s="1127"/>
      <c r="L2967" s="10"/>
      <c r="M2967" s="10"/>
      <c r="N2967" s="10"/>
      <c r="O2967" s="10"/>
      <c r="P2967" s="10"/>
      <c r="Q2967" s="10"/>
      <c r="R2967" s="10"/>
      <c r="S2967" s="10"/>
    </row>
    <row r="2968" spans="10:19">
      <c r="J2968" s="10"/>
      <c r="K2968" s="1127"/>
      <c r="L2968" s="10"/>
      <c r="M2968" s="10"/>
      <c r="N2968" s="10"/>
      <c r="O2968" s="10"/>
      <c r="P2968" s="10"/>
      <c r="Q2968" s="10"/>
      <c r="R2968" s="10"/>
      <c r="S2968" s="10"/>
    </row>
    <row r="2969" spans="10:19">
      <c r="J2969" s="10"/>
      <c r="K2969" s="1127"/>
      <c r="L2969" s="10"/>
      <c r="M2969" s="10"/>
      <c r="N2969" s="10"/>
      <c r="O2969" s="10"/>
      <c r="P2969" s="10"/>
      <c r="Q2969" s="10"/>
      <c r="R2969" s="10"/>
      <c r="S2969" s="10"/>
    </row>
    <row r="2970" spans="10:19">
      <c r="J2970" s="10"/>
      <c r="K2970" s="1127"/>
      <c r="L2970" s="10"/>
      <c r="M2970" s="10"/>
      <c r="N2970" s="10"/>
      <c r="O2970" s="10"/>
      <c r="P2970" s="10"/>
      <c r="Q2970" s="10"/>
      <c r="R2970" s="10"/>
      <c r="S2970" s="10"/>
    </row>
    <row r="2971" spans="10:19">
      <c r="J2971" s="10"/>
      <c r="K2971" s="1127"/>
      <c r="L2971" s="10"/>
      <c r="M2971" s="10"/>
      <c r="N2971" s="10"/>
      <c r="O2971" s="10"/>
      <c r="P2971" s="10"/>
      <c r="Q2971" s="10"/>
      <c r="R2971" s="10"/>
      <c r="S2971" s="10"/>
    </row>
    <row r="2972" spans="10:19">
      <c r="J2972" s="10"/>
      <c r="K2972" s="1127"/>
      <c r="L2972" s="10"/>
      <c r="M2972" s="10"/>
      <c r="N2972" s="10"/>
      <c r="O2972" s="10"/>
      <c r="P2972" s="10"/>
      <c r="Q2972" s="10"/>
      <c r="R2972" s="10"/>
      <c r="S2972" s="10"/>
    </row>
    <row r="2973" spans="10:19">
      <c r="J2973" s="10"/>
      <c r="K2973" s="1127"/>
      <c r="L2973" s="10"/>
      <c r="M2973" s="10"/>
      <c r="N2973" s="10"/>
      <c r="O2973" s="10"/>
      <c r="P2973" s="10"/>
      <c r="Q2973" s="10"/>
      <c r="R2973" s="10"/>
      <c r="S2973" s="10"/>
    </row>
    <row r="2974" spans="10:19">
      <c r="J2974" s="10"/>
      <c r="K2974" s="1127"/>
      <c r="L2974" s="10"/>
      <c r="M2974" s="10"/>
      <c r="N2974" s="10"/>
      <c r="O2974" s="10"/>
      <c r="P2974" s="10"/>
      <c r="Q2974" s="10"/>
      <c r="R2974" s="10"/>
      <c r="S2974" s="10"/>
    </row>
    <row r="2975" spans="10:19">
      <c r="J2975" s="10"/>
      <c r="K2975" s="1127"/>
      <c r="L2975" s="10"/>
      <c r="M2975" s="10"/>
      <c r="N2975" s="10"/>
      <c r="O2975" s="10"/>
      <c r="P2975" s="10"/>
      <c r="Q2975" s="10"/>
      <c r="R2975" s="10"/>
      <c r="S2975" s="10"/>
    </row>
    <row r="2976" spans="10:19">
      <c r="J2976" s="10"/>
      <c r="K2976" s="1127"/>
      <c r="L2976" s="10"/>
      <c r="M2976" s="10"/>
      <c r="N2976" s="10"/>
      <c r="O2976" s="10"/>
      <c r="P2976" s="10"/>
      <c r="Q2976" s="10"/>
      <c r="R2976" s="10"/>
      <c r="S2976" s="10"/>
    </row>
    <row r="2977" spans="10:19">
      <c r="J2977" s="10"/>
      <c r="K2977" s="1127"/>
      <c r="L2977" s="10"/>
      <c r="M2977" s="10"/>
      <c r="N2977" s="10"/>
      <c r="O2977" s="10"/>
      <c r="P2977" s="10"/>
      <c r="Q2977" s="10"/>
      <c r="R2977" s="10"/>
      <c r="S2977" s="10"/>
    </row>
    <row r="2978" spans="10:19">
      <c r="J2978" s="10"/>
      <c r="K2978" s="1127"/>
      <c r="L2978" s="10"/>
      <c r="M2978" s="10"/>
      <c r="N2978" s="10"/>
      <c r="O2978" s="10"/>
      <c r="P2978" s="10"/>
      <c r="Q2978" s="10"/>
      <c r="R2978" s="10"/>
      <c r="S2978" s="10"/>
    </row>
    <row r="2979" spans="10:19">
      <c r="J2979" s="10"/>
      <c r="K2979" s="1127"/>
      <c r="L2979" s="10"/>
      <c r="M2979" s="10"/>
      <c r="N2979" s="10"/>
      <c r="O2979" s="10"/>
      <c r="P2979" s="10"/>
      <c r="Q2979" s="10"/>
      <c r="R2979" s="10"/>
      <c r="S2979" s="10"/>
    </row>
    <row r="2980" spans="10:19">
      <c r="J2980" s="10"/>
      <c r="K2980" s="1127"/>
      <c r="L2980" s="10"/>
      <c r="M2980" s="10"/>
      <c r="N2980" s="10"/>
      <c r="O2980" s="10"/>
      <c r="P2980" s="10"/>
      <c r="Q2980" s="10"/>
      <c r="R2980" s="10"/>
      <c r="S2980" s="10"/>
    </row>
    <row r="2981" spans="10:19">
      <c r="J2981" s="10"/>
      <c r="K2981" s="1127"/>
      <c r="L2981" s="10"/>
      <c r="M2981" s="10"/>
      <c r="N2981" s="10"/>
      <c r="O2981" s="10"/>
      <c r="P2981" s="10"/>
      <c r="Q2981" s="10"/>
      <c r="R2981" s="10"/>
      <c r="S2981" s="10"/>
    </row>
    <row r="2982" spans="10:19">
      <c r="J2982" s="10"/>
      <c r="K2982" s="1127"/>
      <c r="L2982" s="10"/>
      <c r="M2982" s="10"/>
      <c r="N2982" s="10"/>
      <c r="O2982" s="10"/>
      <c r="P2982" s="10"/>
      <c r="Q2982" s="10"/>
      <c r="R2982" s="10"/>
      <c r="S2982" s="10"/>
    </row>
    <row r="2983" spans="10:19">
      <c r="J2983" s="10"/>
      <c r="K2983" s="1127"/>
      <c r="L2983" s="10"/>
      <c r="M2983" s="10"/>
      <c r="N2983" s="10"/>
      <c r="O2983" s="10"/>
      <c r="P2983" s="10"/>
      <c r="Q2983" s="10"/>
      <c r="R2983" s="10"/>
      <c r="S2983" s="10"/>
    </row>
    <row r="2984" spans="10:19">
      <c r="J2984" s="10"/>
      <c r="K2984" s="1127"/>
      <c r="L2984" s="10"/>
      <c r="M2984" s="10"/>
      <c r="N2984" s="10"/>
      <c r="O2984" s="10"/>
      <c r="P2984" s="10"/>
      <c r="Q2984" s="10"/>
      <c r="R2984" s="10"/>
      <c r="S2984" s="10"/>
    </row>
    <row r="2985" spans="10:19">
      <c r="J2985" s="10"/>
      <c r="K2985" s="1127"/>
      <c r="L2985" s="10"/>
      <c r="M2985" s="10"/>
      <c r="N2985" s="10"/>
      <c r="O2985" s="10"/>
      <c r="P2985" s="10"/>
      <c r="Q2985" s="10"/>
      <c r="R2985" s="10"/>
      <c r="S2985" s="10"/>
    </row>
    <row r="2986" spans="10:19">
      <c r="J2986" s="10"/>
      <c r="K2986" s="1127"/>
      <c r="L2986" s="10"/>
      <c r="M2986" s="10"/>
      <c r="N2986" s="10"/>
      <c r="O2986" s="10"/>
      <c r="P2986" s="10"/>
      <c r="Q2986" s="10"/>
      <c r="R2986" s="10"/>
      <c r="S2986" s="10"/>
    </row>
    <row r="2987" spans="10:19">
      <c r="J2987" s="10"/>
      <c r="K2987" s="1127"/>
      <c r="L2987" s="10"/>
      <c r="M2987" s="10"/>
      <c r="N2987" s="10"/>
      <c r="O2987" s="10"/>
      <c r="P2987" s="10"/>
      <c r="Q2987" s="10"/>
      <c r="R2987" s="10"/>
      <c r="S2987" s="10"/>
    </row>
    <row r="2988" spans="10:19">
      <c r="J2988" s="10"/>
      <c r="K2988" s="1127"/>
      <c r="L2988" s="10"/>
      <c r="M2988" s="10"/>
      <c r="N2988" s="10"/>
      <c r="O2988" s="10"/>
      <c r="P2988" s="10"/>
      <c r="Q2988" s="10"/>
      <c r="R2988" s="10"/>
      <c r="S2988" s="10"/>
    </row>
    <row r="2989" spans="10:19">
      <c r="J2989" s="10"/>
      <c r="K2989" s="1127"/>
      <c r="L2989" s="10"/>
      <c r="M2989" s="10"/>
      <c r="N2989" s="10"/>
      <c r="O2989" s="10"/>
      <c r="P2989" s="10"/>
      <c r="Q2989" s="10"/>
      <c r="R2989" s="10"/>
      <c r="S2989" s="10"/>
    </row>
    <row r="2990" spans="10:19">
      <c r="J2990" s="10"/>
      <c r="K2990" s="1127"/>
      <c r="L2990" s="10"/>
      <c r="M2990" s="10"/>
      <c r="N2990" s="10"/>
      <c r="O2990" s="10"/>
      <c r="P2990" s="10"/>
      <c r="Q2990" s="10"/>
      <c r="R2990" s="10"/>
      <c r="S2990" s="10"/>
    </row>
    <row r="2991" spans="10:19">
      <c r="J2991" s="10"/>
      <c r="K2991" s="1127"/>
      <c r="L2991" s="10"/>
      <c r="M2991" s="10"/>
      <c r="N2991" s="10"/>
      <c r="O2991" s="10"/>
      <c r="P2991" s="10"/>
      <c r="Q2991" s="10"/>
      <c r="R2991" s="10"/>
      <c r="S2991" s="10"/>
    </row>
    <row r="2992" spans="10:19">
      <c r="J2992" s="10"/>
      <c r="K2992" s="1127"/>
      <c r="L2992" s="10"/>
      <c r="M2992" s="10"/>
      <c r="N2992" s="10"/>
      <c r="O2992" s="10"/>
      <c r="P2992" s="10"/>
      <c r="Q2992" s="10"/>
      <c r="R2992" s="10"/>
      <c r="S2992" s="10"/>
    </row>
    <row r="2993" spans="10:19">
      <c r="J2993" s="10"/>
      <c r="K2993" s="1127"/>
      <c r="L2993" s="10"/>
      <c r="M2993" s="10"/>
      <c r="N2993" s="10"/>
      <c r="O2993" s="10"/>
      <c r="P2993" s="10"/>
      <c r="Q2993" s="10"/>
      <c r="R2993" s="10"/>
      <c r="S2993" s="10"/>
    </row>
    <row r="2994" spans="10:19">
      <c r="J2994" s="10"/>
      <c r="K2994" s="1127"/>
      <c r="L2994" s="10"/>
      <c r="M2994" s="10"/>
      <c r="N2994" s="10"/>
      <c r="O2994" s="10"/>
      <c r="P2994" s="10"/>
      <c r="Q2994" s="10"/>
      <c r="R2994" s="10"/>
      <c r="S2994" s="10"/>
    </row>
    <row r="2995" spans="10:19">
      <c r="J2995" s="10"/>
      <c r="K2995" s="1127"/>
      <c r="L2995" s="10"/>
      <c r="M2995" s="10"/>
      <c r="N2995" s="10"/>
      <c r="O2995" s="10"/>
      <c r="P2995" s="10"/>
      <c r="Q2995" s="10"/>
      <c r="R2995" s="10"/>
      <c r="S2995" s="10"/>
    </row>
    <row r="2996" spans="10:19">
      <c r="J2996" s="10"/>
      <c r="K2996" s="1127"/>
      <c r="L2996" s="10"/>
      <c r="M2996" s="10"/>
      <c r="N2996" s="10"/>
      <c r="O2996" s="10"/>
      <c r="P2996" s="10"/>
      <c r="Q2996" s="10"/>
      <c r="R2996" s="10"/>
      <c r="S2996" s="10"/>
    </row>
    <row r="2997" spans="10:19">
      <c r="J2997" s="10"/>
      <c r="K2997" s="1127"/>
      <c r="L2997" s="10"/>
      <c r="M2997" s="10"/>
      <c r="N2997" s="10"/>
      <c r="O2997" s="10"/>
      <c r="P2997" s="10"/>
      <c r="Q2997" s="10"/>
      <c r="R2997" s="10"/>
      <c r="S2997" s="10"/>
    </row>
    <row r="2998" spans="10:19">
      <c r="J2998" s="10"/>
      <c r="K2998" s="1127"/>
      <c r="L2998" s="10"/>
      <c r="M2998" s="10"/>
      <c r="N2998" s="10"/>
      <c r="O2998" s="10"/>
      <c r="P2998" s="10"/>
      <c r="Q2998" s="10"/>
      <c r="R2998" s="10"/>
      <c r="S2998" s="10"/>
    </row>
    <row r="2999" spans="10:19">
      <c r="J2999" s="10"/>
      <c r="K2999" s="1127"/>
      <c r="L2999" s="10"/>
      <c r="M2999" s="10"/>
      <c r="N2999" s="10"/>
      <c r="O2999" s="10"/>
      <c r="P2999" s="10"/>
      <c r="Q2999" s="10"/>
      <c r="R2999" s="10"/>
      <c r="S2999" s="10"/>
    </row>
    <row r="3000" spans="10:19">
      <c r="J3000" s="10"/>
      <c r="K3000" s="1127"/>
      <c r="L3000" s="10"/>
      <c r="M3000" s="10"/>
      <c r="N3000" s="10"/>
      <c r="O3000" s="10"/>
      <c r="P3000" s="10"/>
      <c r="Q3000" s="10"/>
      <c r="R3000" s="10"/>
      <c r="S3000" s="10"/>
    </row>
    <row r="3001" spans="10:19">
      <c r="J3001" s="10"/>
      <c r="K3001" s="1127"/>
      <c r="L3001" s="10"/>
      <c r="M3001" s="10"/>
      <c r="N3001" s="10"/>
      <c r="O3001" s="10"/>
      <c r="P3001" s="10"/>
      <c r="Q3001" s="10"/>
      <c r="R3001" s="10"/>
      <c r="S3001" s="10"/>
    </row>
    <row r="3002" spans="10:19">
      <c r="J3002" s="10"/>
      <c r="K3002" s="1127"/>
      <c r="L3002" s="10"/>
      <c r="M3002" s="10"/>
      <c r="N3002" s="10"/>
      <c r="O3002" s="10"/>
      <c r="P3002" s="10"/>
      <c r="Q3002" s="10"/>
      <c r="R3002" s="10"/>
      <c r="S3002" s="10"/>
    </row>
    <row r="3003" spans="10:19">
      <c r="J3003" s="10"/>
      <c r="K3003" s="1127"/>
      <c r="L3003" s="10"/>
      <c r="M3003" s="10"/>
      <c r="N3003" s="10"/>
      <c r="O3003" s="10"/>
      <c r="P3003" s="10"/>
      <c r="Q3003" s="10"/>
      <c r="R3003" s="10"/>
      <c r="S3003" s="10"/>
    </row>
    <row r="3004" spans="10:19">
      <c r="J3004" s="10"/>
      <c r="K3004" s="1127"/>
      <c r="L3004" s="10"/>
      <c r="M3004" s="10"/>
      <c r="N3004" s="10"/>
      <c r="O3004" s="10"/>
      <c r="P3004" s="10"/>
      <c r="Q3004" s="10"/>
      <c r="R3004" s="10"/>
      <c r="S3004" s="10"/>
    </row>
    <row r="3005" spans="10:19">
      <c r="J3005" s="10"/>
      <c r="K3005" s="1127"/>
      <c r="L3005" s="10"/>
      <c r="M3005" s="10"/>
      <c r="N3005" s="10"/>
      <c r="O3005" s="10"/>
      <c r="P3005" s="10"/>
      <c r="Q3005" s="10"/>
      <c r="R3005" s="10"/>
      <c r="S3005" s="10"/>
    </row>
    <row r="3006" spans="10:19">
      <c r="J3006" s="10"/>
      <c r="K3006" s="1127"/>
      <c r="L3006" s="10"/>
      <c r="M3006" s="10"/>
      <c r="N3006" s="10"/>
      <c r="O3006" s="10"/>
      <c r="P3006" s="10"/>
      <c r="Q3006" s="10"/>
      <c r="R3006" s="10"/>
      <c r="S3006" s="10"/>
    </row>
    <row r="3007" spans="10:19">
      <c r="J3007" s="10"/>
      <c r="K3007" s="1127"/>
      <c r="L3007" s="10"/>
      <c r="M3007" s="10"/>
      <c r="N3007" s="10"/>
      <c r="O3007" s="10"/>
      <c r="P3007" s="10"/>
      <c r="Q3007" s="10"/>
      <c r="R3007" s="10"/>
      <c r="S3007" s="10"/>
    </row>
    <row r="3008" spans="10:19">
      <c r="J3008" s="10"/>
      <c r="K3008" s="1127"/>
      <c r="L3008" s="10"/>
      <c r="M3008" s="10"/>
      <c r="N3008" s="10"/>
      <c r="O3008" s="10"/>
      <c r="P3008" s="10"/>
      <c r="Q3008" s="10"/>
      <c r="R3008" s="10"/>
      <c r="S3008" s="10"/>
    </row>
    <row r="3009" spans="10:19">
      <c r="J3009" s="10"/>
      <c r="K3009" s="1127"/>
      <c r="L3009" s="10"/>
      <c r="M3009" s="10"/>
      <c r="N3009" s="10"/>
      <c r="O3009" s="10"/>
      <c r="P3009" s="10"/>
      <c r="Q3009" s="10"/>
      <c r="R3009" s="10"/>
      <c r="S3009" s="10"/>
    </row>
    <row r="3010" spans="10:19">
      <c r="J3010" s="10"/>
      <c r="K3010" s="1127"/>
      <c r="L3010" s="10"/>
      <c r="M3010" s="10"/>
      <c r="N3010" s="10"/>
      <c r="O3010" s="10"/>
      <c r="P3010" s="10"/>
      <c r="Q3010" s="10"/>
      <c r="R3010" s="10"/>
      <c r="S3010" s="10"/>
    </row>
    <row r="3011" spans="10:19">
      <c r="J3011" s="10"/>
      <c r="K3011" s="1127"/>
      <c r="L3011" s="10"/>
      <c r="M3011" s="10"/>
      <c r="N3011" s="10"/>
      <c r="O3011" s="10"/>
      <c r="P3011" s="10"/>
      <c r="Q3011" s="10"/>
      <c r="R3011" s="10"/>
      <c r="S3011" s="10"/>
    </row>
    <row r="3012" spans="10:19">
      <c r="J3012" s="10"/>
      <c r="K3012" s="1127"/>
      <c r="L3012" s="10"/>
      <c r="M3012" s="10"/>
      <c r="N3012" s="10"/>
      <c r="O3012" s="10"/>
      <c r="P3012" s="10"/>
      <c r="Q3012" s="10"/>
      <c r="R3012" s="10"/>
      <c r="S3012" s="10"/>
    </row>
    <row r="3013" spans="10:19">
      <c r="J3013" s="10"/>
      <c r="K3013" s="1127"/>
      <c r="L3013" s="10"/>
      <c r="M3013" s="10"/>
      <c r="N3013" s="10"/>
      <c r="O3013" s="10"/>
      <c r="P3013" s="10"/>
      <c r="Q3013" s="10"/>
      <c r="R3013" s="10"/>
      <c r="S3013" s="10"/>
    </row>
    <row r="3014" spans="10:19">
      <c r="J3014" s="10"/>
      <c r="K3014" s="1127"/>
      <c r="L3014" s="10"/>
      <c r="M3014" s="10"/>
      <c r="N3014" s="10"/>
      <c r="O3014" s="10"/>
      <c r="P3014" s="10"/>
      <c r="Q3014" s="10"/>
      <c r="R3014" s="10"/>
      <c r="S3014" s="10"/>
    </row>
    <row r="3015" spans="10:19">
      <c r="J3015" s="10"/>
      <c r="K3015" s="1127"/>
      <c r="L3015" s="10"/>
      <c r="M3015" s="10"/>
      <c r="N3015" s="10"/>
      <c r="O3015" s="10"/>
      <c r="P3015" s="10"/>
      <c r="Q3015" s="10"/>
      <c r="R3015" s="10"/>
      <c r="S3015" s="10"/>
    </row>
    <row r="3016" spans="10:19">
      <c r="J3016" s="10"/>
      <c r="K3016" s="1127"/>
      <c r="L3016" s="10"/>
      <c r="M3016" s="10"/>
      <c r="N3016" s="10"/>
      <c r="O3016" s="10"/>
      <c r="P3016" s="10"/>
      <c r="Q3016" s="10"/>
      <c r="R3016" s="10"/>
      <c r="S3016" s="10"/>
    </row>
    <row r="3017" spans="10:19">
      <c r="J3017" s="10"/>
      <c r="K3017" s="1127"/>
      <c r="L3017" s="10"/>
      <c r="M3017" s="10"/>
      <c r="N3017" s="10"/>
      <c r="O3017" s="10"/>
      <c r="P3017" s="10"/>
      <c r="Q3017" s="10"/>
      <c r="R3017" s="10"/>
      <c r="S3017" s="10"/>
    </row>
    <row r="3018" spans="10:19">
      <c r="J3018" s="10"/>
      <c r="K3018" s="1127"/>
      <c r="L3018" s="10"/>
      <c r="M3018" s="10"/>
      <c r="N3018" s="10"/>
      <c r="O3018" s="10"/>
      <c r="P3018" s="10"/>
      <c r="Q3018" s="10"/>
      <c r="R3018" s="10"/>
      <c r="S3018" s="10"/>
    </row>
    <row r="3019" spans="10:19">
      <c r="J3019" s="10"/>
      <c r="K3019" s="1127"/>
      <c r="L3019" s="10"/>
      <c r="M3019" s="10"/>
      <c r="N3019" s="10"/>
      <c r="O3019" s="10"/>
      <c r="P3019" s="10"/>
      <c r="Q3019" s="10"/>
      <c r="R3019" s="10"/>
      <c r="S3019" s="10"/>
    </row>
    <row r="3020" spans="10:19">
      <c r="J3020" s="10"/>
      <c r="K3020" s="1127"/>
      <c r="L3020" s="10"/>
      <c r="M3020" s="10"/>
      <c r="N3020" s="10"/>
      <c r="O3020" s="10"/>
      <c r="P3020" s="10"/>
      <c r="Q3020" s="10"/>
      <c r="R3020" s="10"/>
      <c r="S3020" s="10"/>
    </row>
    <row r="3021" spans="10:19">
      <c r="J3021" s="10"/>
      <c r="K3021" s="1127"/>
      <c r="L3021" s="10"/>
      <c r="M3021" s="10"/>
      <c r="N3021" s="10"/>
      <c r="O3021" s="10"/>
      <c r="P3021" s="10"/>
      <c r="Q3021" s="10"/>
      <c r="R3021" s="10"/>
      <c r="S3021" s="10"/>
    </row>
    <row r="3022" spans="10:19">
      <c r="J3022" s="10"/>
      <c r="K3022" s="1127"/>
      <c r="L3022" s="10"/>
      <c r="M3022" s="10"/>
      <c r="N3022" s="10"/>
      <c r="O3022" s="10"/>
      <c r="P3022" s="10"/>
      <c r="Q3022" s="10"/>
      <c r="R3022" s="10"/>
      <c r="S3022" s="10"/>
    </row>
    <row r="3023" spans="10:19">
      <c r="J3023" s="10"/>
      <c r="K3023" s="1127"/>
      <c r="L3023" s="10"/>
      <c r="M3023" s="10"/>
      <c r="N3023" s="10"/>
      <c r="O3023" s="10"/>
      <c r="P3023" s="10"/>
      <c r="Q3023" s="10"/>
      <c r="R3023" s="10"/>
      <c r="S3023" s="10"/>
    </row>
    <row r="3024" spans="10:19">
      <c r="J3024" s="10"/>
      <c r="K3024" s="1127"/>
      <c r="L3024" s="10"/>
      <c r="M3024" s="10"/>
      <c r="N3024" s="10"/>
      <c r="O3024" s="10"/>
      <c r="P3024" s="10"/>
      <c r="Q3024" s="10"/>
      <c r="R3024" s="10"/>
      <c r="S3024" s="10"/>
    </row>
    <row r="3025" spans="10:19">
      <c r="J3025" s="10"/>
      <c r="K3025" s="1127"/>
      <c r="L3025" s="10"/>
      <c r="M3025" s="10"/>
      <c r="N3025" s="10"/>
      <c r="O3025" s="10"/>
      <c r="P3025" s="10"/>
      <c r="Q3025" s="10"/>
      <c r="R3025" s="10"/>
      <c r="S3025" s="10"/>
    </row>
    <row r="3026" spans="10:19">
      <c r="J3026" s="10"/>
      <c r="K3026" s="1127"/>
      <c r="L3026" s="10"/>
      <c r="M3026" s="10"/>
      <c r="N3026" s="10"/>
      <c r="O3026" s="10"/>
      <c r="P3026" s="10"/>
      <c r="Q3026" s="10"/>
      <c r="R3026" s="10"/>
      <c r="S3026" s="10"/>
    </row>
    <row r="3027" spans="10:19">
      <c r="J3027" s="10"/>
      <c r="K3027" s="1127"/>
      <c r="L3027" s="10"/>
      <c r="M3027" s="10"/>
      <c r="N3027" s="10"/>
      <c r="O3027" s="10"/>
      <c r="P3027" s="10"/>
      <c r="Q3027" s="10"/>
      <c r="R3027" s="10"/>
      <c r="S3027" s="10"/>
    </row>
    <row r="3028" spans="10:19">
      <c r="J3028" s="10"/>
      <c r="K3028" s="1127"/>
      <c r="L3028" s="10"/>
      <c r="M3028" s="10"/>
      <c r="N3028" s="10"/>
      <c r="O3028" s="10"/>
      <c r="P3028" s="10"/>
      <c r="Q3028" s="10"/>
      <c r="R3028" s="10"/>
      <c r="S3028" s="10"/>
    </row>
    <row r="3029" spans="10:19">
      <c r="J3029" s="10"/>
      <c r="K3029" s="1127"/>
      <c r="L3029" s="10"/>
      <c r="M3029" s="10"/>
      <c r="N3029" s="10"/>
      <c r="O3029" s="10"/>
      <c r="P3029" s="10"/>
      <c r="Q3029" s="10"/>
      <c r="R3029" s="10"/>
      <c r="S3029" s="10"/>
    </row>
    <row r="3030" spans="10:19">
      <c r="J3030" s="10"/>
      <c r="K3030" s="1127"/>
      <c r="L3030" s="10"/>
      <c r="M3030" s="10"/>
      <c r="N3030" s="10"/>
      <c r="O3030" s="10"/>
      <c r="P3030" s="10"/>
      <c r="Q3030" s="10"/>
      <c r="R3030" s="10"/>
      <c r="S3030" s="10"/>
    </row>
    <row r="3031" spans="10:19">
      <c r="J3031" s="10"/>
      <c r="K3031" s="1127"/>
      <c r="L3031" s="10"/>
      <c r="M3031" s="10"/>
      <c r="N3031" s="10"/>
      <c r="O3031" s="10"/>
      <c r="P3031" s="10"/>
      <c r="Q3031" s="10"/>
      <c r="R3031" s="10"/>
      <c r="S3031" s="10"/>
    </row>
    <row r="3032" spans="10:19">
      <c r="J3032" s="10"/>
      <c r="K3032" s="1127"/>
      <c r="L3032" s="10"/>
      <c r="M3032" s="10"/>
      <c r="N3032" s="10"/>
      <c r="O3032" s="10"/>
      <c r="P3032" s="10"/>
      <c r="Q3032" s="10"/>
      <c r="R3032" s="10"/>
      <c r="S3032" s="10"/>
    </row>
    <row r="3033" spans="10:19">
      <c r="J3033" s="10"/>
      <c r="K3033" s="1127"/>
      <c r="L3033" s="10"/>
      <c r="M3033" s="10"/>
      <c r="N3033" s="10"/>
      <c r="O3033" s="10"/>
      <c r="P3033" s="10"/>
      <c r="Q3033" s="10"/>
      <c r="R3033" s="10"/>
      <c r="S3033" s="10"/>
    </row>
    <row r="3034" spans="10:19">
      <c r="J3034" s="10"/>
      <c r="K3034" s="1127"/>
      <c r="L3034" s="10"/>
      <c r="M3034" s="10"/>
      <c r="N3034" s="10"/>
      <c r="O3034" s="10"/>
      <c r="P3034" s="10"/>
      <c r="Q3034" s="10"/>
      <c r="R3034" s="10"/>
      <c r="S3034" s="10"/>
    </row>
    <row r="3035" spans="10:19">
      <c r="J3035" s="10"/>
      <c r="K3035" s="1127"/>
      <c r="L3035" s="10"/>
      <c r="M3035" s="10"/>
      <c r="N3035" s="10"/>
      <c r="O3035" s="10"/>
      <c r="P3035" s="10"/>
      <c r="Q3035" s="10"/>
      <c r="R3035" s="10"/>
      <c r="S3035" s="10"/>
    </row>
    <row r="3036" spans="10:19">
      <c r="J3036" s="10"/>
      <c r="K3036" s="1127"/>
      <c r="L3036" s="10"/>
      <c r="M3036" s="10"/>
      <c r="N3036" s="10"/>
      <c r="O3036" s="10"/>
      <c r="P3036" s="10"/>
      <c r="Q3036" s="10"/>
      <c r="R3036" s="10"/>
      <c r="S3036" s="10"/>
    </row>
    <row r="3037" spans="10:19">
      <c r="J3037" s="10"/>
      <c r="K3037" s="1127"/>
      <c r="L3037" s="10"/>
      <c r="M3037" s="10"/>
      <c r="N3037" s="10"/>
      <c r="O3037" s="10"/>
      <c r="P3037" s="10"/>
      <c r="Q3037" s="10"/>
      <c r="R3037" s="10"/>
      <c r="S3037" s="10"/>
    </row>
    <row r="3038" spans="10:19">
      <c r="J3038" s="10"/>
      <c r="K3038" s="1127"/>
      <c r="L3038" s="10"/>
      <c r="M3038" s="10"/>
      <c r="N3038" s="10"/>
      <c r="O3038" s="10"/>
      <c r="P3038" s="10"/>
      <c r="Q3038" s="10"/>
      <c r="R3038" s="10"/>
      <c r="S3038" s="10"/>
    </row>
    <row r="3039" spans="10:19">
      <c r="J3039" s="10"/>
      <c r="K3039" s="1127"/>
      <c r="L3039" s="10"/>
      <c r="M3039" s="10"/>
      <c r="N3039" s="10"/>
      <c r="O3039" s="10"/>
      <c r="P3039" s="10"/>
      <c r="Q3039" s="10"/>
      <c r="R3039" s="10"/>
      <c r="S3039" s="10"/>
    </row>
    <row r="3040" spans="10:19">
      <c r="J3040" s="10"/>
      <c r="K3040" s="1127"/>
      <c r="L3040" s="10"/>
      <c r="M3040" s="10"/>
      <c r="N3040" s="10"/>
      <c r="O3040" s="10"/>
      <c r="P3040" s="10"/>
      <c r="Q3040" s="10"/>
      <c r="R3040" s="10"/>
      <c r="S3040" s="10"/>
    </row>
    <row r="3041" spans="10:19">
      <c r="J3041" s="10"/>
      <c r="K3041" s="1127"/>
      <c r="L3041" s="10"/>
      <c r="M3041" s="10"/>
      <c r="N3041" s="10"/>
      <c r="O3041" s="10"/>
      <c r="P3041" s="10"/>
      <c r="Q3041" s="10"/>
      <c r="R3041" s="10"/>
      <c r="S3041" s="10"/>
    </row>
    <row r="3042" spans="10:19">
      <c r="J3042" s="10"/>
      <c r="K3042" s="1127"/>
      <c r="L3042" s="10"/>
      <c r="M3042" s="10"/>
      <c r="N3042" s="10"/>
      <c r="O3042" s="10"/>
      <c r="P3042" s="10"/>
      <c r="Q3042" s="10"/>
      <c r="R3042" s="10"/>
      <c r="S3042" s="10"/>
    </row>
    <row r="3043" spans="10:19">
      <c r="J3043" s="10"/>
      <c r="K3043" s="1127"/>
      <c r="L3043" s="10"/>
      <c r="M3043" s="10"/>
      <c r="N3043" s="10"/>
      <c r="O3043" s="10"/>
      <c r="P3043" s="10"/>
      <c r="Q3043" s="10"/>
      <c r="R3043" s="10"/>
      <c r="S3043" s="10"/>
    </row>
    <row r="3044" spans="10:19">
      <c r="J3044" s="10"/>
      <c r="K3044" s="1127"/>
      <c r="L3044" s="10"/>
      <c r="M3044" s="10"/>
      <c r="N3044" s="10"/>
      <c r="O3044" s="10"/>
      <c r="P3044" s="10"/>
      <c r="Q3044" s="10"/>
      <c r="R3044" s="10"/>
      <c r="S3044" s="10"/>
    </row>
    <row r="3045" spans="10:19">
      <c r="J3045" s="10"/>
      <c r="K3045" s="1127"/>
      <c r="L3045" s="10"/>
      <c r="M3045" s="10"/>
      <c r="N3045" s="10"/>
      <c r="O3045" s="10"/>
      <c r="P3045" s="10"/>
      <c r="Q3045" s="10"/>
      <c r="R3045" s="10"/>
      <c r="S3045" s="10"/>
    </row>
    <row r="3046" spans="10:19">
      <c r="J3046" s="10"/>
      <c r="K3046" s="1127"/>
      <c r="L3046" s="10"/>
      <c r="M3046" s="10"/>
      <c r="N3046" s="10"/>
      <c r="O3046" s="10"/>
      <c r="P3046" s="10"/>
      <c r="Q3046" s="10"/>
      <c r="R3046" s="10"/>
      <c r="S3046" s="10"/>
    </row>
    <row r="3047" spans="10:19">
      <c r="J3047" s="10"/>
      <c r="K3047" s="1127"/>
      <c r="L3047" s="10"/>
      <c r="M3047" s="10"/>
      <c r="N3047" s="10"/>
      <c r="O3047" s="10"/>
      <c r="P3047" s="10"/>
      <c r="Q3047" s="10"/>
      <c r="R3047" s="10"/>
      <c r="S3047" s="10"/>
    </row>
    <row r="3048" spans="10:19">
      <c r="J3048" s="10"/>
      <c r="K3048" s="1127"/>
      <c r="L3048" s="10"/>
      <c r="M3048" s="10"/>
      <c r="N3048" s="10"/>
      <c r="O3048" s="10"/>
      <c r="P3048" s="10"/>
      <c r="Q3048" s="10"/>
      <c r="R3048" s="10"/>
      <c r="S3048" s="10"/>
    </row>
    <row r="3049" spans="10:19">
      <c r="J3049" s="10"/>
      <c r="K3049" s="1127"/>
      <c r="L3049" s="10"/>
      <c r="M3049" s="10"/>
      <c r="N3049" s="10"/>
      <c r="O3049" s="10"/>
      <c r="P3049" s="10"/>
      <c r="Q3049" s="10"/>
      <c r="R3049" s="10"/>
      <c r="S3049" s="10"/>
    </row>
    <row r="3050" spans="10:19">
      <c r="J3050" s="10"/>
      <c r="K3050" s="1127"/>
      <c r="L3050" s="10"/>
      <c r="M3050" s="10"/>
      <c r="N3050" s="10"/>
      <c r="O3050" s="10"/>
      <c r="P3050" s="10"/>
      <c r="Q3050" s="10"/>
      <c r="R3050" s="10"/>
      <c r="S3050" s="10"/>
    </row>
    <row r="3051" spans="10:19">
      <c r="J3051" s="10"/>
      <c r="K3051" s="1127"/>
      <c r="L3051" s="10"/>
      <c r="M3051" s="10"/>
      <c r="N3051" s="10"/>
      <c r="O3051" s="10"/>
      <c r="P3051" s="10"/>
      <c r="Q3051" s="10"/>
      <c r="R3051" s="10"/>
      <c r="S3051" s="10"/>
    </row>
    <row r="3052" spans="10:19">
      <c r="J3052" s="10"/>
      <c r="K3052" s="1127"/>
      <c r="L3052" s="10"/>
      <c r="M3052" s="10"/>
      <c r="N3052" s="10"/>
      <c r="O3052" s="10"/>
      <c r="P3052" s="10"/>
      <c r="Q3052" s="10"/>
      <c r="R3052" s="10"/>
      <c r="S3052" s="10"/>
    </row>
    <row r="3053" spans="10:19">
      <c r="J3053" s="10"/>
      <c r="K3053" s="1127"/>
      <c r="L3053" s="10"/>
      <c r="M3053" s="10"/>
      <c r="N3053" s="10"/>
      <c r="O3053" s="10"/>
      <c r="P3053" s="10"/>
      <c r="Q3053" s="10"/>
      <c r="R3053" s="10"/>
      <c r="S3053" s="10"/>
    </row>
    <row r="3054" spans="10:19">
      <c r="J3054" s="10"/>
      <c r="K3054" s="1127"/>
      <c r="L3054" s="10"/>
      <c r="M3054" s="10"/>
      <c r="N3054" s="10"/>
      <c r="O3054" s="10"/>
      <c r="P3054" s="10"/>
      <c r="Q3054" s="10"/>
      <c r="R3054" s="10"/>
      <c r="S3054" s="10"/>
    </row>
    <row r="3055" spans="10:19">
      <c r="J3055" s="10"/>
      <c r="K3055" s="1127"/>
      <c r="L3055" s="10"/>
      <c r="M3055" s="10"/>
      <c r="N3055" s="10"/>
      <c r="O3055" s="10"/>
      <c r="P3055" s="10"/>
      <c r="Q3055" s="10"/>
      <c r="R3055" s="10"/>
      <c r="S3055" s="10"/>
    </row>
    <row r="3056" spans="10:19">
      <c r="J3056" s="10"/>
      <c r="K3056" s="1127"/>
      <c r="L3056" s="10"/>
      <c r="M3056" s="10"/>
      <c r="N3056" s="10"/>
      <c r="O3056" s="10"/>
      <c r="P3056" s="10"/>
      <c r="Q3056" s="10"/>
      <c r="R3056" s="10"/>
      <c r="S3056" s="10"/>
    </row>
    <row r="3057" spans="10:19">
      <c r="J3057" s="10"/>
      <c r="K3057" s="1127"/>
      <c r="L3057" s="10"/>
      <c r="M3057" s="10"/>
      <c r="N3057" s="10"/>
      <c r="O3057" s="10"/>
      <c r="P3057" s="10"/>
      <c r="Q3057" s="10"/>
      <c r="R3057" s="10"/>
      <c r="S3057" s="10"/>
    </row>
    <row r="3058" spans="10:19">
      <c r="J3058" s="10"/>
      <c r="K3058" s="1127"/>
      <c r="L3058" s="10"/>
      <c r="M3058" s="10"/>
      <c r="N3058" s="10"/>
      <c r="O3058" s="10"/>
      <c r="P3058" s="10"/>
      <c r="Q3058" s="10"/>
      <c r="R3058" s="10"/>
      <c r="S3058" s="10"/>
    </row>
    <row r="3059" spans="10:19">
      <c r="J3059" s="10"/>
      <c r="K3059" s="1127"/>
      <c r="L3059" s="10"/>
      <c r="M3059" s="10"/>
      <c r="N3059" s="10"/>
      <c r="O3059" s="10"/>
      <c r="P3059" s="10"/>
      <c r="Q3059" s="10"/>
      <c r="R3059" s="10"/>
      <c r="S3059" s="10"/>
    </row>
    <row r="3060" spans="10:19">
      <c r="J3060" s="10"/>
      <c r="K3060" s="1127"/>
      <c r="L3060" s="10"/>
      <c r="M3060" s="10"/>
      <c r="N3060" s="10"/>
      <c r="O3060" s="10"/>
      <c r="P3060" s="10"/>
      <c r="Q3060" s="10"/>
      <c r="R3060" s="10"/>
      <c r="S3060" s="10"/>
    </row>
    <row r="3061" spans="10:19">
      <c r="J3061" s="10"/>
      <c r="K3061" s="1127"/>
      <c r="L3061" s="10"/>
      <c r="M3061" s="10"/>
      <c r="N3061" s="10"/>
      <c r="O3061" s="10"/>
      <c r="P3061" s="10"/>
      <c r="Q3061" s="10"/>
      <c r="R3061" s="10"/>
      <c r="S3061" s="10"/>
    </row>
    <row r="3062" spans="10:19">
      <c r="J3062" s="10"/>
      <c r="K3062" s="1127"/>
      <c r="L3062" s="10"/>
      <c r="M3062" s="10"/>
      <c r="N3062" s="10"/>
      <c r="O3062" s="10"/>
      <c r="P3062" s="10"/>
      <c r="Q3062" s="10"/>
      <c r="R3062" s="10"/>
      <c r="S3062" s="10"/>
    </row>
    <row r="3063" spans="10:19">
      <c r="J3063" s="10"/>
      <c r="K3063" s="1127"/>
      <c r="L3063" s="10"/>
      <c r="M3063" s="10"/>
      <c r="N3063" s="10"/>
      <c r="O3063" s="10"/>
      <c r="P3063" s="10"/>
      <c r="Q3063" s="10"/>
      <c r="R3063" s="10"/>
      <c r="S3063" s="10"/>
    </row>
    <row r="3064" spans="10:19">
      <c r="J3064" s="10"/>
      <c r="K3064" s="1127"/>
      <c r="L3064" s="10"/>
      <c r="M3064" s="10"/>
      <c r="N3064" s="10"/>
      <c r="O3064" s="10"/>
      <c r="P3064" s="10"/>
      <c r="Q3064" s="10"/>
      <c r="R3064" s="10"/>
      <c r="S3064" s="10"/>
    </row>
    <row r="3065" spans="10:19">
      <c r="J3065" s="10"/>
      <c r="K3065" s="1127"/>
      <c r="L3065" s="10"/>
      <c r="M3065" s="10"/>
      <c r="N3065" s="10"/>
      <c r="O3065" s="10"/>
      <c r="P3065" s="10"/>
      <c r="Q3065" s="10"/>
      <c r="R3065" s="10"/>
      <c r="S3065" s="10"/>
    </row>
    <row r="3066" spans="10:19">
      <c r="J3066" s="10"/>
      <c r="K3066" s="1127"/>
      <c r="L3066" s="10"/>
      <c r="M3066" s="10"/>
      <c r="N3066" s="10"/>
      <c r="O3066" s="10"/>
      <c r="P3066" s="10"/>
      <c r="Q3066" s="10"/>
      <c r="R3066" s="10"/>
      <c r="S3066" s="10"/>
    </row>
    <row r="3067" spans="10:19">
      <c r="J3067" s="10"/>
      <c r="K3067" s="1127"/>
      <c r="L3067" s="10"/>
      <c r="M3067" s="10"/>
      <c r="N3067" s="10"/>
      <c r="O3067" s="10"/>
      <c r="P3067" s="10"/>
      <c r="Q3067" s="10"/>
      <c r="R3067" s="10"/>
      <c r="S3067" s="10"/>
    </row>
    <row r="3068" spans="10:19">
      <c r="J3068" s="10"/>
      <c r="K3068" s="1127"/>
      <c r="L3068" s="10"/>
      <c r="M3068" s="10"/>
      <c r="N3068" s="10"/>
      <c r="O3068" s="10"/>
      <c r="P3068" s="10"/>
      <c r="Q3068" s="10"/>
      <c r="R3068" s="10"/>
      <c r="S3068" s="10"/>
    </row>
    <row r="3069" spans="10:19">
      <c r="J3069" s="10"/>
      <c r="K3069" s="1127"/>
      <c r="L3069" s="10"/>
      <c r="M3069" s="10"/>
      <c r="N3069" s="10"/>
      <c r="O3069" s="10"/>
      <c r="P3069" s="10"/>
      <c r="Q3069" s="10"/>
      <c r="R3069" s="10"/>
      <c r="S3069" s="10"/>
    </row>
    <row r="3070" spans="10:19">
      <c r="J3070" s="10"/>
      <c r="K3070" s="1127"/>
      <c r="L3070" s="10"/>
      <c r="M3070" s="10"/>
      <c r="N3070" s="10"/>
      <c r="O3070" s="10"/>
      <c r="P3070" s="10"/>
      <c r="Q3070" s="10"/>
      <c r="R3070" s="10"/>
      <c r="S3070" s="10"/>
    </row>
    <row r="3071" spans="10:19">
      <c r="J3071" s="10"/>
      <c r="K3071" s="1127"/>
      <c r="L3071" s="10"/>
      <c r="M3071" s="10"/>
      <c r="N3071" s="10"/>
      <c r="O3071" s="10"/>
      <c r="P3071" s="10"/>
      <c r="Q3071" s="10"/>
      <c r="R3071" s="10"/>
      <c r="S3071" s="10"/>
    </row>
    <row r="3072" spans="10:19">
      <c r="J3072" s="10"/>
      <c r="K3072" s="1127"/>
      <c r="L3072" s="10"/>
      <c r="M3072" s="10"/>
      <c r="N3072" s="10"/>
      <c r="O3072" s="10"/>
      <c r="P3072" s="10"/>
      <c r="Q3072" s="10"/>
      <c r="R3072" s="10"/>
      <c r="S3072" s="10"/>
    </row>
    <row r="3073" spans="10:19">
      <c r="J3073" s="10"/>
      <c r="K3073" s="1127"/>
      <c r="L3073" s="10"/>
      <c r="M3073" s="10"/>
      <c r="N3073" s="10"/>
      <c r="O3073" s="10"/>
      <c r="P3073" s="10"/>
      <c r="Q3073" s="10"/>
      <c r="R3073" s="10"/>
      <c r="S3073" s="10"/>
    </row>
    <row r="3074" spans="10:19">
      <c r="J3074" s="10"/>
      <c r="K3074" s="1127"/>
      <c r="L3074" s="10"/>
      <c r="M3074" s="10"/>
      <c r="N3074" s="10"/>
      <c r="O3074" s="10"/>
      <c r="P3074" s="10"/>
      <c r="Q3074" s="10"/>
      <c r="R3074" s="10"/>
      <c r="S3074" s="10"/>
    </row>
    <row r="3075" spans="10:19">
      <c r="J3075" s="10"/>
      <c r="K3075" s="1127"/>
      <c r="L3075" s="10"/>
      <c r="M3075" s="10"/>
      <c r="N3075" s="10"/>
      <c r="O3075" s="10"/>
      <c r="P3075" s="10"/>
      <c r="Q3075" s="10"/>
      <c r="R3075" s="10"/>
      <c r="S3075" s="10"/>
    </row>
    <row r="3076" spans="10:19">
      <c r="J3076" s="10"/>
      <c r="K3076" s="1127"/>
      <c r="L3076" s="10"/>
      <c r="M3076" s="10"/>
      <c r="N3076" s="10"/>
      <c r="O3076" s="10"/>
      <c r="P3076" s="10"/>
      <c r="Q3076" s="10"/>
      <c r="R3076" s="10"/>
      <c r="S3076" s="10"/>
    </row>
    <row r="3077" spans="10:19">
      <c r="J3077" s="10"/>
      <c r="K3077" s="1127"/>
      <c r="L3077" s="10"/>
      <c r="M3077" s="10"/>
      <c r="N3077" s="10"/>
      <c r="O3077" s="10"/>
      <c r="P3077" s="10"/>
      <c r="Q3077" s="10"/>
      <c r="R3077" s="10"/>
      <c r="S3077" s="10"/>
    </row>
    <row r="3078" spans="10:19">
      <c r="J3078" s="10"/>
      <c r="K3078" s="1127"/>
      <c r="L3078" s="10"/>
      <c r="M3078" s="10"/>
      <c r="N3078" s="10"/>
      <c r="O3078" s="10"/>
      <c r="P3078" s="10"/>
      <c r="Q3078" s="10"/>
      <c r="R3078" s="10"/>
      <c r="S3078" s="10"/>
    </row>
    <row r="3079" spans="10:19">
      <c r="J3079" s="10"/>
      <c r="K3079" s="1127"/>
      <c r="L3079" s="10"/>
      <c r="M3079" s="10"/>
      <c r="N3079" s="10"/>
      <c r="O3079" s="10"/>
      <c r="P3079" s="10"/>
      <c r="Q3079" s="10"/>
      <c r="R3079" s="10"/>
      <c r="S3079" s="10"/>
    </row>
    <row r="3080" spans="10:19">
      <c r="J3080" s="10"/>
      <c r="K3080" s="1127"/>
      <c r="L3080" s="10"/>
      <c r="M3080" s="10"/>
      <c r="N3080" s="10"/>
      <c r="O3080" s="10"/>
      <c r="P3080" s="10"/>
      <c r="Q3080" s="10"/>
      <c r="R3080" s="10"/>
      <c r="S3080" s="10"/>
    </row>
    <row r="3081" spans="10:19">
      <c r="J3081" s="10"/>
      <c r="K3081" s="1127"/>
      <c r="L3081" s="10"/>
      <c r="M3081" s="10"/>
      <c r="N3081" s="10"/>
      <c r="O3081" s="10"/>
      <c r="P3081" s="10"/>
      <c r="Q3081" s="10"/>
      <c r="R3081" s="10"/>
      <c r="S3081" s="10"/>
    </row>
    <row r="3082" spans="10:19">
      <c r="J3082" s="10"/>
      <c r="K3082" s="1127"/>
      <c r="L3082" s="10"/>
      <c r="M3082" s="10"/>
      <c r="N3082" s="10"/>
      <c r="O3082" s="10"/>
      <c r="P3082" s="10"/>
      <c r="Q3082" s="10"/>
      <c r="R3082" s="10"/>
      <c r="S3082" s="10"/>
    </row>
    <row r="3083" spans="10:19">
      <c r="J3083" s="10"/>
      <c r="K3083" s="1127"/>
      <c r="L3083" s="10"/>
      <c r="M3083" s="10"/>
      <c r="N3083" s="10"/>
      <c r="O3083" s="10"/>
      <c r="P3083" s="10"/>
      <c r="Q3083" s="10"/>
      <c r="R3083" s="10"/>
      <c r="S3083" s="10"/>
    </row>
    <row r="3084" spans="10:19">
      <c r="J3084" s="10"/>
      <c r="K3084" s="1127"/>
      <c r="L3084" s="10"/>
      <c r="M3084" s="10"/>
      <c r="N3084" s="10"/>
      <c r="O3084" s="10"/>
      <c r="P3084" s="10"/>
      <c r="Q3084" s="10"/>
      <c r="R3084" s="10"/>
      <c r="S3084" s="10"/>
    </row>
    <row r="3085" spans="10:19">
      <c r="J3085" s="10"/>
      <c r="K3085" s="1127"/>
      <c r="L3085" s="10"/>
      <c r="M3085" s="10"/>
      <c r="N3085" s="10"/>
      <c r="O3085" s="10"/>
      <c r="P3085" s="10"/>
      <c r="Q3085" s="10"/>
      <c r="R3085" s="10"/>
      <c r="S3085" s="10"/>
    </row>
    <row r="3086" spans="10:19">
      <c r="J3086" s="10"/>
      <c r="K3086" s="1127"/>
      <c r="L3086" s="10"/>
      <c r="M3086" s="10"/>
      <c r="N3086" s="10"/>
      <c r="O3086" s="10"/>
      <c r="P3086" s="10"/>
      <c r="Q3086" s="10"/>
      <c r="R3086" s="10"/>
      <c r="S3086" s="10"/>
    </row>
    <row r="3087" spans="10:19">
      <c r="J3087" s="10"/>
      <c r="K3087" s="1127"/>
      <c r="L3087" s="10"/>
      <c r="M3087" s="10"/>
      <c r="N3087" s="10"/>
      <c r="O3087" s="10"/>
      <c r="P3087" s="10"/>
      <c r="Q3087" s="10"/>
      <c r="R3087" s="10"/>
      <c r="S3087" s="10"/>
    </row>
    <row r="3088" spans="10:19">
      <c r="J3088" s="10"/>
      <c r="K3088" s="1127"/>
      <c r="L3088" s="10"/>
      <c r="M3088" s="10"/>
      <c r="N3088" s="10"/>
      <c r="O3088" s="10"/>
      <c r="P3088" s="10"/>
      <c r="Q3088" s="10"/>
      <c r="R3088" s="10"/>
      <c r="S3088" s="10"/>
    </row>
    <row r="3089" spans="10:19">
      <c r="J3089" s="10"/>
      <c r="K3089" s="1127"/>
      <c r="L3089" s="10"/>
      <c r="M3089" s="10"/>
      <c r="N3089" s="10"/>
      <c r="O3089" s="10"/>
      <c r="P3089" s="10"/>
      <c r="Q3089" s="10"/>
      <c r="R3089" s="10"/>
      <c r="S3089" s="10"/>
    </row>
    <row r="3090" spans="10:19">
      <c r="J3090" s="10"/>
      <c r="K3090" s="1127"/>
      <c r="L3090" s="10"/>
      <c r="M3090" s="10"/>
      <c r="N3090" s="10"/>
      <c r="O3090" s="10"/>
      <c r="P3090" s="10"/>
      <c r="Q3090" s="10"/>
      <c r="R3090" s="10"/>
      <c r="S3090" s="10"/>
    </row>
    <row r="3091" spans="10:19">
      <c r="J3091" s="10"/>
      <c r="K3091" s="1127"/>
      <c r="L3091" s="10"/>
      <c r="M3091" s="10"/>
      <c r="N3091" s="10"/>
      <c r="O3091" s="10"/>
      <c r="P3091" s="10"/>
      <c r="Q3091" s="10"/>
      <c r="R3091" s="10"/>
      <c r="S3091" s="10"/>
    </row>
    <row r="3092" spans="10:19">
      <c r="J3092" s="10"/>
      <c r="K3092" s="1127"/>
      <c r="L3092" s="10"/>
      <c r="M3092" s="10"/>
      <c r="N3092" s="10"/>
      <c r="O3092" s="10"/>
      <c r="P3092" s="10"/>
      <c r="Q3092" s="10"/>
      <c r="R3092" s="10"/>
      <c r="S3092" s="10"/>
    </row>
    <row r="3093" spans="10:19">
      <c r="J3093" s="10"/>
      <c r="K3093" s="1127"/>
      <c r="L3093" s="10"/>
      <c r="M3093" s="10"/>
      <c r="N3093" s="10"/>
      <c r="O3093" s="10"/>
      <c r="P3093" s="10"/>
      <c r="Q3093" s="10"/>
      <c r="R3093" s="10"/>
      <c r="S3093" s="10"/>
    </row>
    <row r="3094" spans="10:19">
      <c r="J3094" s="10"/>
      <c r="K3094" s="1127"/>
      <c r="L3094" s="10"/>
      <c r="M3094" s="10"/>
      <c r="N3094" s="10"/>
      <c r="O3094" s="10"/>
      <c r="P3094" s="10"/>
      <c r="Q3094" s="10"/>
      <c r="R3094" s="10"/>
      <c r="S3094" s="10"/>
    </row>
    <row r="3095" spans="10:19">
      <c r="J3095" s="10"/>
      <c r="K3095" s="1127"/>
      <c r="L3095" s="10"/>
      <c r="M3095" s="10"/>
      <c r="N3095" s="10"/>
      <c r="O3095" s="10"/>
      <c r="P3095" s="10"/>
      <c r="Q3095" s="10"/>
      <c r="R3095" s="10"/>
      <c r="S3095" s="10"/>
    </row>
    <row r="3096" spans="10:19">
      <c r="J3096" s="10"/>
      <c r="K3096" s="1127"/>
      <c r="L3096" s="10"/>
      <c r="M3096" s="10"/>
      <c r="N3096" s="10"/>
      <c r="O3096" s="10"/>
      <c r="P3096" s="10"/>
      <c r="Q3096" s="10"/>
      <c r="R3096" s="10"/>
      <c r="S3096" s="10"/>
    </row>
    <row r="3097" spans="10:19">
      <c r="J3097" s="10"/>
      <c r="K3097" s="1127"/>
      <c r="L3097" s="10"/>
      <c r="M3097" s="10"/>
      <c r="N3097" s="10"/>
      <c r="O3097" s="10"/>
      <c r="P3097" s="10"/>
      <c r="Q3097" s="10"/>
      <c r="R3097" s="10"/>
      <c r="S3097" s="10"/>
    </row>
    <row r="3098" spans="10:19">
      <c r="J3098" s="10"/>
      <c r="K3098" s="1127"/>
      <c r="L3098" s="10"/>
      <c r="M3098" s="10"/>
      <c r="N3098" s="10"/>
      <c r="O3098" s="10"/>
      <c r="P3098" s="10"/>
      <c r="Q3098" s="10"/>
      <c r="R3098" s="10"/>
      <c r="S3098" s="10"/>
    </row>
    <row r="3099" spans="10:19">
      <c r="J3099" s="10"/>
      <c r="K3099" s="1127"/>
      <c r="L3099" s="10"/>
      <c r="M3099" s="10"/>
      <c r="N3099" s="10"/>
      <c r="O3099" s="10"/>
      <c r="P3099" s="10"/>
      <c r="Q3099" s="10"/>
      <c r="R3099" s="10"/>
      <c r="S3099" s="10"/>
    </row>
    <row r="3100" spans="10:19">
      <c r="J3100" s="10"/>
      <c r="K3100" s="1127"/>
      <c r="L3100" s="10"/>
      <c r="M3100" s="10"/>
      <c r="N3100" s="10"/>
      <c r="O3100" s="10"/>
      <c r="P3100" s="10"/>
      <c r="Q3100" s="10"/>
      <c r="R3100" s="10"/>
      <c r="S3100" s="10"/>
    </row>
    <row r="3101" spans="10:19">
      <c r="J3101" s="10"/>
      <c r="K3101" s="1127"/>
      <c r="L3101" s="10"/>
      <c r="M3101" s="10"/>
      <c r="N3101" s="10"/>
      <c r="O3101" s="10"/>
      <c r="P3101" s="10"/>
      <c r="Q3101" s="10"/>
      <c r="R3101" s="10"/>
      <c r="S3101" s="10"/>
    </row>
    <row r="3102" spans="10:19">
      <c r="J3102" s="10"/>
      <c r="K3102" s="1127"/>
      <c r="L3102" s="10"/>
      <c r="M3102" s="10"/>
      <c r="N3102" s="10"/>
      <c r="O3102" s="10"/>
      <c r="P3102" s="10"/>
      <c r="Q3102" s="10"/>
      <c r="R3102" s="10"/>
      <c r="S3102" s="10"/>
    </row>
    <row r="3103" spans="10:19">
      <c r="J3103" s="10"/>
      <c r="K3103" s="1127"/>
      <c r="L3103" s="10"/>
      <c r="M3103" s="10"/>
      <c r="N3103" s="10"/>
      <c r="O3103" s="10"/>
      <c r="P3103" s="10"/>
      <c r="Q3103" s="10"/>
      <c r="R3103" s="10"/>
      <c r="S3103" s="10"/>
    </row>
    <row r="3104" spans="10:19">
      <c r="J3104" s="10"/>
      <c r="K3104" s="1127"/>
      <c r="L3104" s="10"/>
      <c r="M3104" s="10"/>
      <c r="N3104" s="10"/>
      <c r="O3104" s="10"/>
      <c r="P3104" s="10"/>
      <c r="Q3104" s="10"/>
      <c r="R3104" s="10"/>
      <c r="S3104" s="10"/>
    </row>
    <row r="3105" spans="10:19">
      <c r="J3105" s="10"/>
      <c r="K3105" s="1127"/>
      <c r="L3105" s="10"/>
      <c r="M3105" s="10"/>
      <c r="N3105" s="10"/>
      <c r="O3105" s="10"/>
      <c r="P3105" s="10"/>
      <c r="Q3105" s="10"/>
      <c r="R3105" s="10"/>
      <c r="S3105" s="10"/>
    </row>
    <row r="3106" spans="10:19">
      <c r="J3106" s="10"/>
      <c r="K3106" s="1127"/>
      <c r="L3106" s="10"/>
      <c r="M3106" s="10"/>
      <c r="N3106" s="10"/>
      <c r="O3106" s="10"/>
      <c r="P3106" s="10"/>
      <c r="Q3106" s="10"/>
      <c r="R3106" s="10"/>
      <c r="S3106" s="10"/>
    </row>
    <row r="3107" spans="10:19">
      <c r="J3107" s="10"/>
      <c r="K3107" s="1127"/>
      <c r="L3107" s="10"/>
      <c r="M3107" s="10"/>
      <c r="N3107" s="10"/>
      <c r="O3107" s="10"/>
      <c r="P3107" s="10"/>
      <c r="Q3107" s="10"/>
      <c r="R3107" s="10"/>
      <c r="S3107" s="10"/>
    </row>
    <row r="3108" spans="10:19">
      <c r="J3108" s="10"/>
      <c r="K3108" s="1127"/>
      <c r="L3108" s="10"/>
      <c r="M3108" s="10"/>
      <c r="N3108" s="10"/>
      <c r="O3108" s="10"/>
      <c r="P3108" s="10"/>
      <c r="Q3108" s="10"/>
      <c r="R3108" s="10"/>
      <c r="S3108" s="10"/>
    </row>
    <row r="3109" spans="10:19">
      <c r="J3109" s="10"/>
      <c r="K3109" s="1127"/>
      <c r="L3109" s="10"/>
      <c r="M3109" s="10"/>
      <c r="N3109" s="10"/>
      <c r="O3109" s="10"/>
      <c r="P3109" s="10"/>
      <c r="Q3109" s="10"/>
      <c r="R3109" s="10"/>
      <c r="S3109" s="10"/>
    </row>
    <row r="3110" spans="10:19">
      <c r="J3110" s="10"/>
      <c r="K3110" s="1127"/>
      <c r="L3110" s="10"/>
      <c r="M3110" s="10"/>
      <c r="N3110" s="10"/>
      <c r="O3110" s="10"/>
      <c r="P3110" s="10"/>
      <c r="Q3110" s="10"/>
      <c r="R3110" s="10"/>
      <c r="S3110" s="10"/>
    </row>
    <row r="3111" spans="10:19">
      <c r="J3111" s="10"/>
      <c r="K3111" s="1127"/>
      <c r="L3111" s="10"/>
      <c r="M3111" s="10"/>
      <c r="N3111" s="10"/>
      <c r="O3111" s="10"/>
      <c r="P3111" s="10"/>
      <c r="Q3111" s="10"/>
      <c r="R3111" s="10"/>
      <c r="S3111" s="10"/>
    </row>
    <row r="3112" spans="10:19">
      <c r="J3112" s="10"/>
      <c r="K3112" s="1127"/>
      <c r="L3112" s="10"/>
      <c r="M3112" s="10"/>
      <c r="N3112" s="10"/>
      <c r="O3112" s="10"/>
      <c r="P3112" s="10"/>
      <c r="Q3112" s="10"/>
      <c r="R3112" s="10"/>
      <c r="S3112" s="10"/>
    </row>
    <row r="3113" spans="10:19">
      <c r="J3113" s="10"/>
      <c r="K3113" s="1127"/>
      <c r="L3113" s="10"/>
      <c r="M3113" s="10"/>
      <c r="N3113" s="10"/>
      <c r="O3113" s="10"/>
      <c r="P3113" s="10"/>
      <c r="Q3113" s="10"/>
      <c r="R3113" s="10"/>
      <c r="S3113" s="10"/>
    </row>
    <row r="3114" spans="10:19">
      <c r="J3114" s="10"/>
      <c r="K3114" s="1127"/>
      <c r="L3114" s="10"/>
      <c r="M3114" s="10"/>
      <c r="N3114" s="10"/>
      <c r="O3114" s="10"/>
      <c r="P3114" s="10"/>
      <c r="Q3114" s="10"/>
      <c r="R3114" s="10"/>
      <c r="S3114" s="10"/>
    </row>
    <row r="3115" spans="10:19">
      <c r="J3115" s="10"/>
      <c r="K3115" s="1127"/>
      <c r="L3115" s="10"/>
      <c r="M3115" s="10"/>
      <c r="N3115" s="10"/>
      <c r="O3115" s="10"/>
      <c r="P3115" s="10"/>
      <c r="Q3115" s="10"/>
      <c r="R3115" s="10"/>
      <c r="S3115" s="10"/>
    </row>
    <row r="3116" spans="10:19">
      <c r="J3116" s="10"/>
      <c r="K3116" s="1127"/>
      <c r="L3116" s="10"/>
      <c r="M3116" s="10"/>
      <c r="N3116" s="10"/>
      <c r="O3116" s="10"/>
      <c r="P3116" s="10"/>
      <c r="Q3116" s="10"/>
      <c r="R3116" s="10"/>
      <c r="S3116" s="10"/>
    </row>
    <row r="3117" spans="10:19">
      <c r="J3117" s="10"/>
      <c r="K3117" s="1127"/>
      <c r="L3117" s="10"/>
      <c r="M3117" s="10"/>
      <c r="N3117" s="10"/>
      <c r="O3117" s="10"/>
      <c r="P3117" s="10"/>
      <c r="Q3117" s="10"/>
      <c r="R3117" s="10"/>
      <c r="S3117" s="10"/>
    </row>
    <row r="3118" spans="10:19">
      <c r="J3118" s="10"/>
      <c r="K3118" s="1127"/>
      <c r="L3118" s="10"/>
      <c r="M3118" s="10"/>
      <c r="N3118" s="10"/>
      <c r="O3118" s="10"/>
      <c r="P3118" s="10"/>
      <c r="Q3118" s="10"/>
      <c r="R3118" s="10"/>
      <c r="S3118" s="10"/>
    </row>
    <row r="3119" spans="10:19">
      <c r="J3119" s="10"/>
      <c r="K3119" s="1127"/>
      <c r="L3119" s="10"/>
      <c r="M3119" s="10"/>
      <c r="N3119" s="10"/>
      <c r="O3119" s="10"/>
      <c r="P3119" s="10"/>
      <c r="Q3119" s="10"/>
      <c r="R3119" s="10"/>
      <c r="S3119" s="10"/>
    </row>
    <row r="3120" spans="10:19">
      <c r="J3120" s="10"/>
      <c r="K3120" s="1127"/>
      <c r="L3120" s="10"/>
      <c r="M3120" s="10"/>
      <c r="N3120" s="10"/>
      <c r="O3120" s="10"/>
      <c r="P3120" s="10"/>
      <c r="Q3120" s="10"/>
      <c r="R3120" s="10"/>
      <c r="S3120" s="10"/>
    </row>
    <row r="3121" spans="10:19">
      <c r="J3121" s="10"/>
      <c r="K3121" s="1127"/>
      <c r="L3121" s="10"/>
      <c r="M3121" s="10"/>
      <c r="N3121" s="10"/>
      <c r="O3121" s="10"/>
      <c r="P3121" s="10"/>
      <c r="Q3121" s="10"/>
      <c r="R3121" s="10"/>
      <c r="S3121" s="10"/>
    </row>
    <row r="3122" spans="10:19">
      <c r="J3122" s="10"/>
      <c r="K3122" s="1127"/>
      <c r="L3122" s="10"/>
      <c r="M3122" s="10"/>
      <c r="N3122" s="10"/>
      <c r="O3122" s="10"/>
      <c r="P3122" s="10"/>
      <c r="Q3122" s="10"/>
      <c r="R3122" s="10"/>
      <c r="S3122" s="10"/>
    </row>
    <row r="3123" spans="10:19">
      <c r="J3123" s="10"/>
      <c r="K3123" s="1127"/>
      <c r="L3123" s="10"/>
      <c r="M3123" s="10"/>
      <c r="N3123" s="10"/>
      <c r="O3123" s="10"/>
      <c r="P3123" s="10"/>
      <c r="Q3123" s="10"/>
      <c r="R3123" s="10"/>
      <c r="S3123" s="10"/>
    </row>
    <row r="3124" spans="10:19">
      <c r="J3124" s="10"/>
      <c r="K3124" s="1127"/>
      <c r="L3124" s="10"/>
      <c r="M3124" s="10"/>
      <c r="N3124" s="10"/>
      <c r="O3124" s="10"/>
      <c r="P3124" s="10"/>
      <c r="Q3124" s="10"/>
      <c r="R3124" s="10"/>
      <c r="S3124" s="10"/>
    </row>
    <row r="3125" spans="10:19">
      <c r="J3125" s="10"/>
      <c r="K3125" s="1127"/>
      <c r="L3125" s="10"/>
      <c r="M3125" s="10"/>
      <c r="N3125" s="10"/>
      <c r="O3125" s="10"/>
      <c r="P3125" s="10"/>
      <c r="Q3125" s="10"/>
      <c r="R3125" s="10"/>
      <c r="S3125" s="10"/>
    </row>
    <row r="3126" spans="10:19">
      <c r="J3126" s="10"/>
      <c r="K3126" s="1127"/>
      <c r="L3126" s="10"/>
      <c r="M3126" s="10"/>
      <c r="N3126" s="10"/>
      <c r="O3126" s="10"/>
      <c r="P3126" s="10"/>
      <c r="Q3126" s="10"/>
      <c r="R3126" s="10"/>
      <c r="S3126" s="10"/>
    </row>
    <row r="3127" spans="10:19">
      <c r="J3127" s="10"/>
      <c r="K3127" s="1127"/>
      <c r="L3127" s="10"/>
      <c r="M3127" s="10"/>
      <c r="N3127" s="10"/>
      <c r="O3127" s="10"/>
      <c r="P3127" s="10"/>
      <c r="Q3127" s="10"/>
      <c r="R3127" s="10"/>
      <c r="S3127" s="10"/>
    </row>
    <row r="3128" spans="10:19">
      <c r="J3128" s="10"/>
      <c r="K3128" s="1127"/>
      <c r="L3128" s="10"/>
      <c r="M3128" s="10"/>
      <c r="N3128" s="10"/>
      <c r="O3128" s="10"/>
      <c r="P3128" s="10"/>
      <c r="Q3128" s="10"/>
      <c r="R3128" s="10"/>
      <c r="S3128" s="10"/>
    </row>
    <row r="3129" spans="10:19">
      <c r="J3129" s="10"/>
      <c r="K3129" s="1127"/>
      <c r="L3129" s="10"/>
      <c r="M3129" s="10"/>
      <c r="N3129" s="10"/>
      <c r="O3129" s="10"/>
      <c r="P3129" s="10"/>
      <c r="Q3129" s="10"/>
      <c r="R3129" s="10"/>
      <c r="S3129" s="10"/>
    </row>
    <row r="3130" spans="10:19">
      <c r="J3130" s="10"/>
      <c r="K3130" s="1127"/>
      <c r="L3130" s="10"/>
      <c r="M3130" s="10"/>
      <c r="N3130" s="10"/>
      <c r="O3130" s="10"/>
      <c r="P3130" s="10"/>
      <c r="Q3130" s="10"/>
      <c r="R3130" s="10"/>
      <c r="S3130" s="10"/>
    </row>
    <row r="3131" spans="10:19">
      <c r="J3131" s="10"/>
      <c r="K3131" s="1127"/>
      <c r="L3131" s="10"/>
      <c r="M3131" s="10"/>
      <c r="N3131" s="10"/>
      <c r="O3131" s="10"/>
      <c r="P3131" s="10"/>
      <c r="Q3131" s="10"/>
      <c r="R3131" s="10"/>
      <c r="S3131" s="10"/>
    </row>
    <row r="3132" spans="10:19">
      <c r="J3132" s="10"/>
      <c r="K3132" s="1127"/>
      <c r="L3132" s="10"/>
      <c r="M3132" s="10"/>
      <c r="N3132" s="10"/>
      <c r="O3132" s="10"/>
      <c r="P3132" s="10"/>
      <c r="Q3132" s="10"/>
      <c r="R3132" s="10"/>
      <c r="S3132" s="10"/>
    </row>
    <row r="3133" spans="10:19">
      <c r="J3133" s="10"/>
      <c r="K3133" s="1127"/>
      <c r="L3133" s="10"/>
      <c r="M3133" s="10"/>
      <c r="N3133" s="10"/>
      <c r="O3133" s="10"/>
      <c r="P3133" s="10"/>
      <c r="Q3133" s="10"/>
      <c r="R3133" s="10"/>
      <c r="S3133" s="10"/>
    </row>
    <row r="3134" spans="10:19">
      <c r="J3134" s="10"/>
      <c r="K3134" s="1127"/>
      <c r="L3134" s="10"/>
      <c r="M3134" s="10"/>
      <c r="N3134" s="10"/>
      <c r="O3134" s="10"/>
      <c r="P3134" s="10"/>
      <c r="Q3134" s="10"/>
      <c r="R3134" s="10"/>
      <c r="S3134" s="10"/>
    </row>
    <row r="3135" spans="10:19">
      <c r="J3135" s="10"/>
      <c r="K3135" s="1127"/>
      <c r="L3135" s="10"/>
      <c r="M3135" s="10"/>
      <c r="N3135" s="10"/>
      <c r="O3135" s="10"/>
      <c r="P3135" s="10"/>
      <c r="Q3135" s="10"/>
      <c r="R3135" s="10"/>
      <c r="S3135" s="10"/>
    </row>
    <row r="3136" spans="10:19">
      <c r="J3136" s="10"/>
      <c r="K3136" s="1127"/>
      <c r="L3136" s="10"/>
      <c r="M3136" s="10"/>
      <c r="N3136" s="10"/>
      <c r="O3136" s="10"/>
      <c r="P3136" s="10"/>
      <c r="Q3136" s="10"/>
      <c r="R3136" s="10"/>
      <c r="S3136" s="10"/>
    </row>
    <row r="3137" spans="10:19">
      <c r="J3137" s="10"/>
      <c r="K3137" s="1127"/>
      <c r="L3137" s="10"/>
      <c r="M3137" s="10"/>
      <c r="N3137" s="10"/>
      <c r="O3137" s="10"/>
      <c r="P3137" s="10"/>
      <c r="Q3137" s="10"/>
      <c r="R3137" s="10"/>
      <c r="S3137" s="10"/>
    </row>
    <row r="3138" spans="10:19">
      <c r="J3138" s="10"/>
      <c r="K3138" s="1127"/>
      <c r="L3138" s="10"/>
      <c r="M3138" s="10"/>
      <c r="N3138" s="10"/>
      <c r="O3138" s="10"/>
      <c r="P3138" s="10"/>
      <c r="Q3138" s="10"/>
      <c r="R3138" s="10"/>
      <c r="S3138" s="10"/>
    </row>
    <row r="3139" spans="10:19">
      <c r="J3139" s="10"/>
      <c r="K3139" s="1127"/>
      <c r="L3139" s="10"/>
      <c r="M3139" s="10"/>
      <c r="N3139" s="10"/>
      <c r="O3139" s="10"/>
      <c r="P3139" s="10"/>
      <c r="Q3139" s="10"/>
      <c r="R3139" s="10"/>
      <c r="S3139" s="10"/>
    </row>
    <row r="3140" spans="10:19">
      <c r="J3140" s="10"/>
      <c r="K3140" s="1127"/>
      <c r="L3140" s="10"/>
      <c r="M3140" s="10"/>
      <c r="N3140" s="10"/>
      <c r="O3140" s="10"/>
      <c r="P3140" s="10"/>
      <c r="Q3140" s="10"/>
      <c r="R3140" s="10"/>
      <c r="S3140" s="10"/>
    </row>
    <row r="3141" spans="10:19">
      <c r="J3141" s="10"/>
      <c r="K3141" s="1127"/>
      <c r="L3141" s="10"/>
      <c r="M3141" s="10"/>
      <c r="N3141" s="10"/>
      <c r="O3141" s="10"/>
      <c r="P3141" s="10"/>
      <c r="Q3141" s="10"/>
      <c r="R3141" s="10"/>
      <c r="S3141" s="10"/>
    </row>
    <row r="3142" spans="10:19">
      <c r="J3142" s="10"/>
      <c r="K3142" s="1127"/>
      <c r="L3142" s="10"/>
      <c r="M3142" s="10"/>
      <c r="N3142" s="10"/>
      <c r="O3142" s="10"/>
      <c r="P3142" s="10"/>
      <c r="Q3142" s="10"/>
      <c r="R3142" s="10"/>
      <c r="S3142" s="10"/>
    </row>
    <row r="3143" spans="10:19">
      <c r="J3143" s="10"/>
      <c r="K3143" s="1127"/>
      <c r="L3143" s="10"/>
      <c r="M3143" s="10"/>
      <c r="N3143" s="10"/>
      <c r="O3143" s="10"/>
      <c r="P3143" s="10"/>
      <c r="Q3143" s="10"/>
      <c r="R3143" s="10"/>
      <c r="S3143" s="10"/>
    </row>
    <row r="3144" spans="10:19">
      <c r="J3144" s="10"/>
      <c r="K3144" s="1127"/>
      <c r="L3144" s="10"/>
      <c r="M3144" s="10"/>
      <c r="N3144" s="10"/>
      <c r="O3144" s="10"/>
      <c r="P3144" s="10"/>
      <c r="Q3144" s="10"/>
      <c r="R3144" s="10"/>
      <c r="S3144" s="10"/>
    </row>
    <row r="3145" spans="10:19">
      <c r="J3145" s="10"/>
      <c r="K3145" s="1127"/>
      <c r="L3145" s="10"/>
      <c r="M3145" s="10"/>
      <c r="N3145" s="10"/>
      <c r="O3145" s="10"/>
      <c r="P3145" s="10"/>
      <c r="Q3145" s="10"/>
      <c r="R3145" s="10"/>
      <c r="S3145" s="10"/>
    </row>
    <row r="3146" spans="10:19">
      <c r="J3146" s="10"/>
      <c r="K3146" s="1127"/>
      <c r="L3146" s="10"/>
      <c r="M3146" s="10"/>
      <c r="N3146" s="10"/>
      <c r="O3146" s="10"/>
      <c r="P3146" s="10"/>
      <c r="Q3146" s="10"/>
      <c r="R3146" s="10"/>
      <c r="S3146" s="10"/>
    </row>
    <row r="3147" spans="10:19">
      <c r="J3147" s="10"/>
      <c r="K3147" s="1127"/>
      <c r="L3147" s="10"/>
      <c r="M3147" s="10"/>
      <c r="N3147" s="10"/>
      <c r="O3147" s="10"/>
      <c r="P3147" s="10"/>
      <c r="Q3147" s="10"/>
      <c r="R3147" s="10"/>
      <c r="S3147" s="10"/>
    </row>
    <row r="3148" spans="10:19">
      <c r="J3148" s="10"/>
      <c r="K3148" s="1127"/>
      <c r="L3148" s="10"/>
      <c r="M3148" s="10"/>
      <c r="N3148" s="10"/>
      <c r="O3148" s="10"/>
      <c r="P3148" s="10"/>
      <c r="Q3148" s="10"/>
      <c r="R3148" s="10"/>
      <c r="S3148" s="10"/>
    </row>
    <row r="3149" spans="10:19">
      <c r="J3149" s="10"/>
      <c r="K3149" s="1127"/>
      <c r="L3149" s="10"/>
      <c r="M3149" s="10"/>
      <c r="N3149" s="10"/>
      <c r="O3149" s="10"/>
      <c r="P3149" s="10"/>
      <c r="Q3149" s="10"/>
      <c r="R3149" s="10"/>
      <c r="S3149" s="10"/>
    </row>
    <row r="3150" spans="10:19">
      <c r="J3150" s="10"/>
      <c r="K3150" s="1127"/>
      <c r="L3150" s="10"/>
      <c r="M3150" s="10"/>
      <c r="N3150" s="10"/>
      <c r="O3150" s="10"/>
      <c r="P3150" s="10"/>
      <c r="Q3150" s="10"/>
      <c r="R3150" s="10"/>
      <c r="S3150" s="10"/>
    </row>
    <row r="3151" spans="10:19">
      <c r="J3151" s="10"/>
      <c r="K3151" s="1127"/>
      <c r="L3151" s="10"/>
      <c r="M3151" s="10"/>
      <c r="N3151" s="10"/>
      <c r="O3151" s="10"/>
      <c r="P3151" s="10"/>
      <c r="Q3151" s="10"/>
      <c r="R3151" s="10"/>
      <c r="S3151" s="10"/>
    </row>
    <row r="3152" spans="10:19">
      <c r="J3152" s="10"/>
      <c r="K3152" s="1127"/>
      <c r="L3152" s="10"/>
      <c r="M3152" s="10"/>
      <c r="N3152" s="10"/>
      <c r="O3152" s="10"/>
      <c r="P3152" s="10"/>
      <c r="Q3152" s="10"/>
      <c r="R3152" s="10"/>
      <c r="S3152" s="10"/>
    </row>
    <row r="3153" spans="10:19">
      <c r="J3153" s="10"/>
      <c r="K3153" s="1127"/>
      <c r="L3153" s="10"/>
      <c r="M3153" s="10"/>
      <c r="N3153" s="10"/>
      <c r="O3153" s="10"/>
      <c r="P3153" s="10"/>
      <c r="Q3153" s="10"/>
      <c r="R3153" s="10"/>
      <c r="S3153" s="10"/>
    </row>
    <row r="3154" spans="10:19">
      <c r="J3154" s="10"/>
      <c r="K3154" s="1127"/>
      <c r="L3154" s="10"/>
      <c r="M3154" s="10"/>
      <c r="N3154" s="10"/>
      <c r="O3154" s="10"/>
      <c r="P3154" s="10"/>
      <c r="Q3154" s="10"/>
      <c r="R3154" s="10"/>
      <c r="S3154" s="10"/>
    </row>
    <row r="3155" spans="10:19">
      <c r="J3155" s="10"/>
      <c r="K3155" s="1127"/>
      <c r="L3155" s="10"/>
      <c r="M3155" s="10"/>
      <c r="N3155" s="10"/>
      <c r="O3155" s="10"/>
      <c r="P3155" s="10"/>
      <c r="Q3155" s="10"/>
      <c r="R3155" s="10"/>
      <c r="S3155" s="10"/>
    </row>
    <row r="3156" spans="10:19">
      <c r="J3156" s="10"/>
      <c r="K3156" s="1127"/>
      <c r="L3156" s="10"/>
      <c r="M3156" s="10"/>
      <c r="N3156" s="10"/>
      <c r="O3156" s="10"/>
      <c r="P3156" s="10"/>
      <c r="Q3156" s="10"/>
      <c r="R3156" s="10"/>
      <c r="S3156" s="10"/>
    </row>
    <row r="3157" spans="10:19">
      <c r="J3157" s="10"/>
      <c r="K3157" s="1127"/>
      <c r="L3157" s="10"/>
      <c r="M3157" s="10"/>
      <c r="N3157" s="10"/>
      <c r="O3157" s="10"/>
      <c r="P3157" s="10"/>
      <c r="Q3157" s="10"/>
      <c r="R3157" s="10"/>
      <c r="S3157" s="10"/>
    </row>
    <row r="3158" spans="10:19">
      <c r="J3158" s="10"/>
      <c r="K3158" s="1127"/>
      <c r="L3158" s="10"/>
      <c r="M3158" s="10"/>
      <c r="N3158" s="10"/>
      <c r="O3158" s="10"/>
      <c r="P3158" s="10"/>
      <c r="Q3158" s="10"/>
      <c r="R3158" s="10"/>
      <c r="S3158" s="10"/>
    </row>
    <row r="3159" spans="10:19">
      <c r="J3159" s="10"/>
      <c r="K3159" s="1127"/>
      <c r="L3159" s="10"/>
      <c r="M3159" s="10"/>
      <c r="N3159" s="10"/>
      <c r="O3159" s="10"/>
      <c r="P3159" s="10"/>
      <c r="Q3159" s="10"/>
      <c r="R3159" s="10"/>
      <c r="S3159" s="10"/>
    </row>
    <row r="3160" spans="10:19">
      <c r="J3160" s="10"/>
      <c r="K3160" s="1127"/>
      <c r="L3160" s="10"/>
      <c r="M3160" s="10"/>
      <c r="N3160" s="10"/>
      <c r="O3160" s="10"/>
      <c r="P3160" s="10"/>
      <c r="Q3160" s="10"/>
      <c r="R3160" s="10"/>
      <c r="S3160" s="10"/>
    </row>
    <row r="3161" spans="10:19">
      <c r="J3161" s="10"/>
      <c r="K3161" s="1127"/>
      <c r="L3161" s="10"/>
      <c r="M3161" s="10"/>
      <c r="N3161" s="10"/>
      <c r="O3161" s="10"/>
      <c r="P3161" s="10"/>
      <c r="Q3161" s="10"/>
      <c r="R3161" s="10"/>
      <c r="S3161" s="10"/>
    </row>
    <row r="3162" spans="10:19">
      <c r="J3162" s="10"/>
      <c r="K3162" s="1127"/>
      <c r="L3162" s="10"/>
      <c r="M3162" s="10"/>
      <c r="N3162" s="10"/>
      <c r="O3162" s="10"/>
      <c r="P3162" s="10"/>
      <c r="Q3162" s="10"/>
      <c r="R3162" s="10"/>
      <c r="S3162" s="10"/>
    </row>
    <row r="3163" spans="10:19">
      <c r="J3163" s="10"/>
      <c r="K3163" s="1127"/>
      <c r="L3163" s="10"/>
      <c r="M3163" s="10"/>
      <c r="N3163" s="10"/>
      <c r="O3163" s="10"/>
      <c r="P3163" s="10"/>
      <c r="Q3163" s="10"/>
      <c r="R3163" s="10"/>
      <c r="S3163" s="10"/>
    </row>
    <row r="3164" spans="10:19">
      <c r="J3164" s="10"/>
      <c r="K3164" s="1127"/>
      <c r="L3164" s="10"/>
      <c r="M3164" s="10"/>
      <c r="N3164" s="10"/>
      <c r="O3164" s="10"/>
      <c r="P3164" s="10"/>
      <c r="Q3164" s="10"/>
      <c r="R3164" s="10"/>
      <c r="S3164" s="10"/>
    </row>
    <row r="3165" spans="10:19">
      <c r="J3165" s="10"/>
      <c r="K3165" s="1127"/>
      <c r="L3165" s="10"/>
      <c r="M3165" s="10"/>
      <c r="N3165" s="10"/>
      <c r="O3165" s="10"/>
      <c r="P3165" s="10"/>
      <c r="Q3165" s="10"/>
      <c r="R3165" s="10"/>
      <c r="S3165" s="10"/>
    </row>
    <row r="3166" spans="10:19">
      <c r="J3166" s="10"/>
      <c r="K3166" s="1127"/>
      <c r="L3166" s="10"/>
      <c r="M3166" s="10"/>
      <c r="N3166" s="10"/>
      <c r="O3166" s="10"/>
      <c r="P3166" s="10"/>
      <c r="Q3166" s="10"/>
      <c r="R3166" s="10"/>
      <c r="S3166" s="10"/>
    </row>
    <row r="3167" spans="10:19">
      <c r="J3167" s="10"/>
      <c r="K3167" s="1127"/>
      <c r="L3167" s="10"/>
      <c r="M3167" s="10"/>
      <c r="N3167" s="10"/>
      <c r="O3167" s="10"/>
      <c r="P3167" s="10"/>
      <c r="Q3167" s="10"/>
      <c r="R3167" s="10"/>
      <c r="S3167" s="10"/>
    </row>
    <row r="3168" spans="10:19">
      <c r="J3168" s="10"/>
      <c r="K3168" s="1127"/>
      <c r="L3168" s="10"/>
      <c r="M3168" s="10"/>
      <c r="N3168" s="10"/>
      <c r="O3168" s="10"/>
      <c r="P3168" s="10"/>
      <c r="Q3168" s="10"/>
      <c r="R3168" s="10"/>
      <c r="S3168" s="10"/>
    </row>
    <row r="3169" spans="10:19">
      <c r="J3169" s="10"/>
      <c r="K3169" s="1127"/>
      <c r="L3169" s="10"/>
      <c r="M3169" s="10"/>
      <c r="N3169" s="10"/>
      <c r="O3169" s="10"/>
      <c r="P3169" s="10"/>
      <c r="Q3169" s="10"/>
      <c r="R3169" s="10"/>
      <c r="S3169" s="10"/>
    </row>
    <row r="3170" spans="10:19">
      <c r="J3170" s="10"/>
      <c r="K3170" s="1127"/>
      <c r="L3170" s="10"/>
      <c r="M3170" s="10"/>
      <c r="N3170" s="10"/>
      <c r="O3170" s="10"/>
      <c r="P3170" s="10"/>
      <c r="Q3170" s="10"/>
      <c r="R3170" s="10"/>
      <c r="S3170" s="10"/>
    </row>
    <row r="3171" spans="10:19">
      <c r="J3171" s="10"/>
      <c r="K3171" s="1127"/>
      <c r="L3171" s="10"/>
      <c r="M3171" s="10"/>
      <c r="N3171" s="10"/>
      <c r="O3171" s="10"/>
      <c r="P3171" s="10"/>
      <c r="Q3171" s="10"/>
      <c r="R3171" s="10"/>
      <c r="S3171" s="10"/>
    </row>
    <row r="3172" spans="10:19">
      <c r="J3172" s="10"/>
      <c r="K3172" s="1127"/>
      <c r="L3172" s="10"/>
      <c r="M3172" s="10"/>
      <c r="N3172" s="10"/>
      <c r="O3172" s="10"/>
      <c r="P3172" s="10"/>
      <c r="Q3172" s="10"/>
      <c r="R3172" s="10"/>
      <c r="S3172" s="10"/>
    </row>
    <row r="3173" spans="10:19">
      <c r="J3173" s="10"/>
      <c r="K3173" s="1127"/>
      <c r="L3173" s="10"/>
      <c r="M3173" s="10"/>
      <c r="N3173" s="10"/>
      <c r="O3173" s="10"/>
      <c r="P3173" s="10"/>
      <c r="Q3173" s="10"/>
      <c r="R3173" s="10"/>
      <c r="S3173" s="10"/>
    </row>
    <row r="3174" spans="10:19">
      <c r="J3174" s="10"/>
      <c r="K3174" s="1127"/>
      <c r="L3174" s="10"/>
      <c r="M3174" s="10"/>
      <c r="N3174" s="10"/>
      <c r="O3174" s="10"/>
      <c r="P3174" s="10"/>
      <c r="Q3174" s="10"/>
      <c r="R3174" s="10"/>
      <c r="S3174" s="10"/>
    </row>
    <row r="3175" spans="10:19">
      <c r="J3175" s="10"/>
      <c r="K3175" s="1127"/>
      <c r="L3175" s="10"/>
      <c r="M3175" s="10"/>
      <c r="N3175" s="10"/>
      <c r="O3175" s="10"/>
      <c r="P3175" s="10"/>
      <c r="Q3175" s="10"/>
      <c r="R3175" s="10"/>
      <c r="S3175" s="10"/>
    </row>
    <row r="3176" spans="10:19">
      <c r="J3176" s="10"/>
      <c r="K3176" s="1127"/>
      <c r="L3176" s="10"/>
      <c r="M3176" s="10"/>
      <c r="N3176" s="10"/>
      <c r="O3176" s="10"/>
      <c r="P3176" s="10"/>
      <c r="Q3176" s="10"/>
      <c r="R3176" s="10"/>
      <c r="S3176" s="10"/>
    </row>
    <row r="3177" spans="10:19">
      <c r="J3177" s="10"/>
      <c r="K3177" s="1127"/>
      <c r="L3177" s="10"/>
      <c r="M3177" s="10"/>
      <c r="N3177" s="10"/>
      <c r="O3177" s="10"/>
      <c r="P3177" s="10"/>
      <c r="Q3177" s="10"/>
      <c r="R3177" s="10"/>
      <c r="S3177" s="10"/>
    </row>
    <row r="3178" spans="10:19">
      <c r="J3178" s="10"/>
      <c r="K3178" s="1127"/>
      <c r="L3178" s="10"/>
      <c r="M3178" s="10"/>
      <c r="N3178" s="10"/>
      <c r="O3178" s="10"/>
      <c r="P3178" s="10"/>
      <c r="Q3178" s="10"/>
      <c r="R3178" s="10"/>
      <c r="S3178" s="10"/>
    </row>
    <row r="3179" spans="10:19">
      <c r="J3179" s="10"/>
      <c r="K3179" s="1127"/>
      <c r="L3179" s="10"/>
      <c r="M3179" s="10"/>
      <c r="N3179" s="10"/>
      <c r="O3179" s="10"/>
      <c r="P3179" s="10"/>
      <c r="Q3179" s="10"/>
      <c r="R3179" s="10"/>
      <c r="S3179" s="10"/>
    </row>
    <row r="3180" spans="10:19">
      <c r="J3180" s="10"/>
      <c r="K3180" s="1127"/>
      <c r="L3180" s="10"/>
      <c r="M3180" s="10"/>
      <c r="N3180" s="10"/>
      <c r="O3180" s="10"/>
      <c r="P3180" s="10"/>
      <c r="Q3180" s="10"/>
      <c r="R3180" s="10"/>
      <c r="S3180" s="10"/>
    </row>
    <row r="3181" spans="10:19">
      <c r="J3181" s="10"/>
      <c r="K3181" s="1127"/>
      <c r="L3181" s="10"/>
      <c r="M3181" s="10"/>
      <c r="N3181" s="10"/>
      <c r="O3181" s="10"/>
      <c r="P3181" s="10"/>
      <c r="Q3181" s="10"/>
      <c r="R3181" s="10"/>
      <c r="S3181" s="10"/>
    </row>
    <row r="3182" spans="10:19">
      <c r="J3182" s="10"/>
      <c r="K3182" s="1127"/>
      <c r="L3182" s="10"/>
      <c r="M3182" s="10"/>
      <c r="N3182" s="10"/>
      <c r="O3182" s="10"/>
      <c r="P3182" s="10"/>
      <c r="Q3182" s="10"/>
      <c r="R3182" s="10"/>
      <c r="S3182" s="10"/>
    </row>
    <row r="3183" spans="10:19">
      <c r="J3183" s="10"/>
      <c r="K3183" s="1127"/>
      <c r="L3183" s="10"/>
      <c r="M3183" s="10"/>
      <c r="N3183" s="10"/>
      <c r="O3183" s="10"/>
      <c r="P3183" s="10"/>
      <c r="Q3183" s="10"/>
      <c r="R3183" s="10"/>
      <c r="S3183" s="10"/>
    </row>
    <row r="3184" spans="10:19">
      <c r="J3184" s="10"/>
      <c r="K3184" s="1127"/>
      <c r="L3184" s="10"/>
      <c r="M3184" s="10"/>
      <c r="N3184" s="10"/>
      <c r="O3184" s="10"/>
      <c r="P3184" s="10"/>
      <c r="Q3184" s="10"/>
      <c r="R3184" s="10"/>
      <c r="S3184" s="10"/>
    </row>
    <row r="3185" spans="10:19">
      <c r="J3185" s="10"/>
      <c r="K3185" s="1127"/>
      <c r="L3185" s="10"/>
      <c r="M3185" s="10"/>
      <c r="N3185" s="10"/>
      <c r="O3185" s="10"/>
      <c r="P3185" s="10"/>
      <c r="Q3185" s="10"/>
      <c r="R3185" s="10"/>
      <c r="S3185" s="10"/>
    </row>
    <row r="3186" spans="10:19">
      <c r="J3186" s="10"/>
      <c r="K3186" s="1127"/>
      <c r="L3186" s="10"/>
      <c r="M3186" s="10"/>
      <c r="N3186" s="10"/>
      <c r="O3186" s="10"/>
      <c r="P3186" s="10"/>
      <c r="Q3186" s="10"/>
      <c r="R3186" s="10"/>
      <c r="S3186" s="10"/>
    </row>
    <row r="3187" spans="10:19">
      <c r="J3187" s="10"/>
      <c r="K3187" s="1127"/>
      <c r="L3187" s="10"/>
      <c r="M3187" s="10"/>
      <c r="N3187" s="10"/>
      <c r="O3187" s="10"/>
      <c r="P3187" s="10"/>
      <c r="Q3187" s="10"/>
      <c r="R3187" s="10"/>
      <c r="S3187" s="10"/>
    </row>
    <row r="3188" spans="10:19">
      <c r="J3188" s="10"/>
      <c r="K3188" s="1127"/>
      <c r="L3188" s="10"/>
      <c r="M3188" s="10"/>
      <c r="N3188" s="10"/>
      <c r="O3188" s="10"/>
      <c r="P3188" s="10"/>
      <c r="Q3188" s="10"/>
      <c r="R3188" s="10"/>
      <c r="S3188" s="10"/>
    </row>
    <row r="3189" spans="10:19">
      <c r="J3189" s="10"/>
      <c r="K3189" s="1127"/>
      <c r="L3189" s="10"/>
      <c r="M3189" s="10"/>
      <c r="N3189" s="10"/>
      <c r="O3189" s="10"/>
      <c r="P3189" s="10"/>
      <c r="Q3189" s="10"/>
      <c r="R3189" s="10"/>
      <c r="S3189" s="10"/>
    </row>
    <row r="3190" spans="10:19">
      <c r="J3190" s="10"/>
      <c r="K3190" s="1127"/>
      <c r="L3190" s="10"/>
      <c r="M3190" s="10"/>
      <c r="N3190" s="10"/>
      <c r="O3190" s="10"/>
      <c r="P3190" s="10"/>
      <c r="Q3190" s="10"/>
      <c r="R3190" s="10"/>
      <c r="S3190" s="10"/>
    </row>
    <row r="3191" spans="10:19">
      <c r="J3191" s="10"/>
      <c r="K3191" s="1127"/>
      <c r="L3191" s="10"/>
      <c r="M3191" s="10"/>
      <c r="N3191" s="10"/>
      <c r="O3191" s="10"/>
      <c r="P3191" s="10"/>
      <c r="Q3191" s="10"/>
      <c r="R3191" s="10"/>
      <c r="S3191" s="10"/>
    </row>
    <row r="3192" spans="10:19">
      <c r="J3192" s="10"/>
      <c r="K3192" s="1127"/>
      <c r="L3192" s="10"/>
      <c r="M3192" s="10"/>
      <c r="N3192" s="10"/>
      <c r="O3192" s="10"/>
      <c r="P3192" s="10"/>
      <c r="Q3192" s="10"/>
      <c r="R3192" s="10"/>
      <c r="S3192" s="10"/>
    </row>
    <row r="3193" spans="10:19">
      <c r="J3193" s="10"/>
      <c r="K3193" s="1127"/>
      <c r="L3193" s="10"/>
      <c r="M3193" s="10"/>
      <c r="N3193" s="10"/>
      <c r="O3193" s="10"/>
      <c r="P3193" s="10"/>
      <c r="Q3193" s="10"/>
      <c r="R3193" s="10"/>
      <c r="S3193" s="10"/>
    </row>
    <row r="3194" spans="10:19">
      <c r="J3194" s="10"/>
      <c r="K3194" s="1127"/>
      <c r="L3194" s="10"/>
      <c r="M3194" s="10"/>
      <c r="N3194" s="10"/>
      <c r="O3194" s="10"/>
      <c r="P3194" s="10"/>
      <c r="Q3194" s="10"/>
      <c r="R3194" s="10"/>
      <c r="S3194" s="10"/>
    </row>
    <row r="3195" spans="10:19">
      <c r="J3195" s="10"/>
      <c r="K3195" s="1127"/>
      <c r="L3195" s="10"/>
      <c r="M3195" s="10"/>
      <c r="N3195" s="10"/>
      <c r="O3195" s="10"/>
      <c r="P3195" s="10"/>
      <c r="Q3195" s="10"/>
      <c r="R3195" s="10"/>
      <c r="S3195" s="10"/>
    </row>
    <row r="3196" spans="10:19">
      <c r="J3196" s="10"/>
      <c r="K3196" s="1127"/>
      <c r="L3196" s="10"/>
      <c r="M3196" s="10"/>
      <c r="N3196" s="10"/>
      <c r="O3196" s="10"/>
      <c r="P3196" s="10"/>
      <c r="Q3196" s="10"/>
      <c r="R3196" s="10"/>
      <c r="S3196" s="10"/>
    </row>
    <row r="3197" spans="10:19">
      <c r="J3197" s="10"/>
      <c r="K3197" s="1127"/>
      <c r="L3197" s="10"/>
      <c r="M3197" s="10"/>
      <c r="N3197" s="10"/>
      <c r="O3197" s="10"/>
      <c r="P3197" s="10"/>
      <c r="Q3197" s="10"/>
      <c r="R3197" s="10"/>
      <c r="S3197" s="10"/>
    </row>
    <row r="3198" spans="10:19">
      <c r="J3198" s="10"/>
      <c r="K3198" s="1127"/>
      <c r="L3198" s="10"/>
      <c r="M3198" s="10"/>
      <c r="N3198" s="10"/>
      <c r="O3198" s="10"/>
      <c r="P3198" s="10"/>
      <c r="Q3198" s="10"/>
      <c r="R3198" s="10"/>
      <c r="S3198" s="10"/>
    </row>
    <row r="3199" spans="10:19">
      <c r="J3199" s="10"/>
      <c r="K3199" s="1127"/>
      <c r="L3199" s="10"/>
      <c r="M3199" s="10"/>
      <c r="N3199" s="10"/>
      <c r="O3199" s="10"/>
      <c r="P3199" s="10"/>
      <c r="Q3199" s="10"/>
      <c r="R3199" s="10"/>
      <c r="S3199" s="10"/>
    </row>
    <row r="3200" spans="10:19">
      <c r="J3200" s="10"/>
      <c r="K3200" s="1127"/>
      <c r="L3200" s="10"/>
      <c r="M3200" s="10"/>
      <c r="N3200" s="10"/>
      <c r="O3200" s="10"/>
      <c r="P3200" s="10"/>
      <c r="Q3200" s="10"/>
      <c r="R3200" s="10"/>
      <c r="S3200" s="10"/>
    </row>
    <row r="3201" spans="10:19">
      <c r="J3201" s="10"/>
      <c r="K3201" s="1127"/>
      <c r="L3201" s="10"/>
      <c r="M3201" s="10"/>
      <c r="N3201" s="10"/>
      <c r="O3201" s="10"/>
      <c r="P3201" s="10"/>
      <c r="Q3201" s="10"/>
      <c r="R3201" s="10"/>
      <c r="S3201" s="10"/>
    </row>
    <row r="3202" spans="10:19">
      <c r="J3202" s="10"/>
      <c r="K3202" s="1127"/>
      <c r="L3202" s="10"/>
      <c r="M3202" s="10"/>
      <c r="N3202" s="10"/>
      <c r="O3202" s="10"/>
      <c r="P3202" s="10"/>
      <c r="Q3202" s="10"/>
      <c r="R3202" s="10"/>
      <c r="S3202" s="10"/>
    </row>
    <row r="3203" spans="10:19">
      <c r="J3203" s="10"/>
      <c r="K3203" s="1127"/>
      <c r="L3203" s="10"/>
      <c r="M3203" s="10"/>
      <c r="N3203" s="10"/>
      <c r="O3203" s="10"/>
      <c r="P3203" s="10"/>
      <c r="Q3203" s="10"/>
      <c r="R3203" s="10"/>
      <c r="S3203" s="10"/>
    </row>
    <row r="3204" spans="10:19">
      <c r="J3204" s="10"/>
      <c r="K3204" s="1127"/>
      <c r="L3204" s="10"/>
      <c r="M3204" s="10"/>
      <c r="N3204" s="10"/>
      <c r="O3204" s="10"/>
      <c r="P3204" s="10"/>
      <c r="Q3204" s="10"/>
      <c r="R3204" s="10"/>
      <c r="S3204" s="10"/>
    </row>
    <row r="3205" spans="10:19">
      <c r="J3205" s="10"/>
      <c r="K3205" s="1127"/>
      <c r="L3205" s="10"/>
      <c r="M3205" s="10"/>
      <c r="N3205" s="10"/>
      <c r="O3205" s="10"/>
      <c r="P3205" s="10"/>
      <c r="Q3205" s="10"/>
      <c r="R3205" s="10"/>
      <c r="S3205" s="10"/>
    </row>
    <row r="3206" spans="10:19">
      <c r="J3206" s="10"/>
      <c r="K3206" s="1127"/>
      <c r="L3206" s="10"/>
      <c r="M3206" s="10"/>
      <c r="N3206" s="10"/>
      <c r="O3206" s="10"/>
      <c r="P3206" s="10"/>
      <c r="Q3206" s="10"/>
      <c r="R3206" s="10"/>
      <c r="S3206" s="10"/>
    </row>
    <row r="3207" spans="10:19">
      <c r="J3207" s="10"/>
      <c r="K3207" s="1127"/>
      <c r="L3207" s="10"/>
      <c r="M3207" s="10"/>
      <c r="N3207" s="10"/>
      <c r="O3207" s="10"/>
      <c r="P3207" s="10"/>
      <c r="Q3207" s="10"/>
      <c r="R3207" s="10"/>
      <c r="S3207" s="10"/>
    </row>
    <row r="3208" spans="10:19">
      <c r="J3208" s="10"/>
      <c r="K3208" s="1127"/>
      <c r="L3208" s="10"/>
      <c r="M3208" s="10"/>
      <c r="N3208" s="10"/>
      <c r="O3208" s="10"/>
      <c r="P3208" s="10"/>
      <c r="Q3208" s="10"/>
      <c r="R3208" s="10"/>
      <c r="S3208" s="10"/>
    </row>
    <row r="3209" spans="10:19">
      <c r="J3209" s="10"/>
      <c r="K3209" s="1127"/>
      <c r="L3209" s="10"/>
      <c r="M3209" s="10"/>
      <c r="N3209" s="10"/>
      <c r="O3209" s="10"/>
      <c r="P3209" s="10"/>
      <c r="Q3209" s="10"/>
      <c r="R3209" s="10"/>
      <c r="S3209" s="10"/>
    </row>
    <row r="3210" spans="10:19">
      <c r="J3210" s="10"/>
      <c r="K3210" s="1127"/>
      <c r="L3210" s="10"/>
      <c r="M3210" s="10"/>
      <c r="N3210" s="10"/>
      <c r="O3210" s="10"/>
      <c r="P3210" s="10"/>
      <c r="Q3210" s="10"/>
      <c r="R3210" s="10"/>
      <c r="S3210" s="10"/>
    </row>
    <row r="3211" spans="10:19">
      <c r="J3211" s="10"/>
      <c r="K3211" s="1127"/>
      <c r="L3211" s="10"/>
      <c r="M3211" s="10"/>
      <c r="N3211" s="10"/>
      <c r="O3211" s="10"/>
      <c r="P3211" s="10"/>
      <c r="Q3211" s="10"/>
      <c r="R3211" s="10"/>
      <c r="S3211" s="10"/>
    </row>
    <row r="3212" spans="10:19">
      <c r="J3212" s="10"/>
      <c r="K3212" s="1127"/>
      <c r="L3212" s="10"/>
      <c r="M3212" s="10"/>
      <c r="N3212" s="10"/>
      <c r="O3212" s="10"/>
      <c r="P3212" s="10"/>
      <c r="Q3212" s="10"/>
      <c r="R3212" s="10"/>
      <c r="S3212" s="10"/>
    </row>
    <row r="3213" spans="10:19">
      <c r="J3213" s="10"/>
      <c r="K3213" s="1127"/>
      <c r="L3213" s="10"/>
      <c r="M3213" s="10"/>
      <c r="N3213" s="10"/>
      <c r="O3213" s="10"/>
      <c r="P3213" s="10"/>
      <c r="Q3213" s="10"/>
      <c r="R3213" s="10"/>
      <c r="S3213" s="10"/>
    </row>
    <row r="3214" spans="10:19">
      <c r="J3214" s="10"/>
      <c r="K3214" s="1127"/>
      <c r="L3214" s="10"/>
      <c r="M3214" s="10"/>
      <c r="N3214" s="10"/>
      <c r="O3214" s="10"/>
      <c r="P3214" s="10"/>
      <c r="Q3214" s="10"/>
      <c r="R3214" s="10"/>
      <c r="S3214" s="10"/>
    </row>
    <row r="3215" spans="10:19">
      <c r="J3215" s="10"/>
      <c r="K3215" s="1127"/>
      <c r="L3215" s="10"/>
      <c r="M3215" s="10"/>
      <c r="N3215" s="10"/>
      <c r="O3215" s="10"/>
      <c r="P3215" s="10"/>
      <c r="Q3215" s="10"/>
      <c r="R3215" s="10"/>
      <c r="S3215" s="10"/>
    </row>
    <row r="3216" spans="10:19">
      <c r="J3216" s="10"/>
      <c r="K3216" s="1127"/>
      <c r="L3216" s="10"/>
      <c r="M3216" s="10"/>
      <c r="N3216" s="10"/>
      <c r="O3216" s="10"/>
      <c r="P3216" s="10"/>
      <c r="Q3216" s="10"/>
      <c r="R3216" s="10"/>
      <c r="S3216" s="10"/>
    </row>
    <row r="3217" spans="10:19">
      <c r="J3217" s="10"/>
      <c r="K3217" s="1127"/>
      <c r="L3217" s="10"/>
      <c r="M3217" s="10"/>
      <c r="N3217" s="10"/>
      <c r="O3217" s="10"/>
      <c r="P3217" s="10"/>
      <c r="Q3217" s="10"/>
      <c r="R3217" s="10"/>
      <c r="S3217" s="10"/>
    </row>
    <row r="3218" spans="10:19">
      <c r="J3218" s="10"/>
      <c r="K3218" s="1127"/>
      <c r="L3218" s="10"/>
      <c r="M3218" s="10"/>
      <c r="N3218" s="10"/>
      <c r="O3218" s="10"/>
      <c r="P3218" s="10"/>
      <c r="Q3218" s="10"/>
      <c r="R3218" s="10"/>
      <c r="S3218" s="10"/>
    </row>
    <row r="3219" spans="10:19">
      <c r="J3219" s="10"/>
      <c r="K3219" s="1127"/>
      <c r="L3219" s="10"/>
      <c r="M3219" s="10"/>
      <c r="N3219" s="10"/>
      <c r="O3219" s="10"/>
      <c r="P3219" s="10"/>
      <c r="Q3219" s="10"/>
      <c r="R3219" s="10"/>
      <c r="S3219" s="10"/>
    </row>
    <row r="3220" spans="10:19">
      <c r="J3220" s="10"/>
      <c r="K3220" s="1127"/>
      <c r="L3220" s="10"/>
      <c r="M3220" s="10"/>
      <c r="N3220" s="10"/>
      <c r="O3220" s="10"/>
      <c r="P3220" s="10"/>
      <c r="Q3220" s="10"/>
      <c r="R3220" s="10"/>
      <c r="S3220" s="10"/>
    </row>
    <row r="3221" spans="10:19">
      <c r="J3221" s="10"/>
      <c r="K3221" s="1127"/>
      <c r="L3221" s="10"/>
      <c r="M3221" s="10"/>
      <c r="N3221" s="10"/>
      <c r="O3221" s="10"/>
      <c r="P3221" s="10"/>
      <c r="Q3221" s="10"/>
      <c r="R3221" s="10"/>
      <c r="S3221" s="10"/>
    </row>
    <row r="3222" spans="10:19">
      <c r="J3222" s="10"/>
      <c r="K3222" s="1127"/>
      <c r="L3222" s="10"/>
      <c r="M3222" s="10"/>
      <c r="N3222" s="10"/>
      <c r="O3222" s="10"/>
      <c r="P3222" s="10"/>
      <c r="Q3222" s="10"/>
      <c r="R3222" s="10"/>
      <c r="S3222" s="10"/>
    </row>
    <row r="3223" spans="10:19">
      <c r="J3223" s="10"/>
      <c r="K3223" s="1127"/>
      <c r="L3223" s="10"/>
      <c r="M3223" s="10"/>
      <c r="N3223" s="10"/>
      <c r="O3223" s="10"/>
      <c r="P3223" s="10"/>
      <c r="Q3223" s="10"/>
      <c r="R3223" s="10"/>
      <c r="S3223" s="10"/>
    </row>
    <row r="3224" spans="10:19">
      <c r="J3224" s="10"/>
      <c r="K3224" s="1127"/>
      <c r="L3224" s="10"/>
      <c r="M3224" s="10"/>
      <c r="N3224" s="10"/>
      <c r="O3224" s="10"/>
      <c r="P3224" s="10"/>
      <c r="Q3224" s="10"/>
      <c r="R3224" s="10"/>
      <c r="S3224" s="10"/>
    </row>
    <row r="3225" spans="10:19">
      <c r="J3225" s="10"/>
      <c r="K3225" s="1127"/>
      <c r="L3225" s="10"/>
      <c r="M3225" s="10"/>
      <c r="N3225" s="10"/>
      <c r="O3225" s="10"/>
      <c r="P3225" s="10"/>
      <c r="Q3225" s="10"/>
      <c r="R3225" s="10"/>
      <c r="S3225" s="10"/>
    </row>
    <row r="3226" spans="10:19">
      <c r="J3226" s="10"/>
      <c r="K3226" s="1127"/>
      <c r="L3226" s="10"/>
      <c r="M3226" s="10"/>
      <c r="N3226" s="10"/>
      <c r="O3226" s="10"/>
      <c r="P3226" s="10"/>
      <c r="Q3226" s="10"/>
      <c r="R3226" s="10"/>
      <c r="S3226" s="10"/>
    </row>
    <row r="3227" spans="10:19">
      <c r="J3227" s="10"/>
      <c r="K3227" s="1127"/>
      <c r="L3227" s="10"/>
      <c r="M3227" s="10"/>
      <c r="N3227" s="10"/>
      <c r="O3227" s="10"/>
      <c r="P3227" s="10"/>
      <c r="Q3227" s="10"/>
      <c r="R3227" s="10"/>
      <c r="S3227" s="10"/>
    </row>
    <row r="3228" spans="10:19">
      <c r="J3228" s="10"/>
      <c r="K3228" s="1127"/>
      <c r="L3228" s="10"/>
      <c r="M3228" s="10"/>
      <c r="N3228" s="10"/>
      <c r="O3228" s="10"/>
      <c r="P3228" s="10"/>
      <c r="Q3228" s="10"/>
      <c r="R3228" s="10"/>
      <c r="S3228" s="10"/>
    </row>
    <row r="3229" spans="10:19">
      <c r="J3229" s="10"/>
      <c r="K3229" s="1127"/>
      <c r="L3229" s="10"/>
      <c r="M3229" s="10"/>
      <c r="N3229" s="10"/>
      <c r="O3229" s="10"/>
      <c r="P3229" s="10"/>
      <c r="Q3229" s="10"/>
      <c r="R3229" s="10"/>
      <c r="S3229" s="10"/>
    </row>
    <row r="3230" spans="10:19">
      <c r="J3230" s="10"/>
      <c r="K3230" s="1127"/>
      <c r="L3230" s="10"/>
      <c r="M3230" s="10"/>
      <c r="N3230" s="10"/>
      <c r="O3230" s="10"/>
      <c r="P3230" s="10"/>
      <c r="Q3230" s="10"/>
      <c r="R3230" s="10"/>
      <c r="S3230" s="10"/>
    </row>
    <row r="3231" spans="10:19">
      <c r="J3231" s="10"/>
      <c r="K3231" s="1127"/>
      <c r="L3231" s="10"/>
      <c r="M3231" s="10"/>
      <c r="N3231" s="10"/>
      <c r="O3231" s="10"/>
      <c r="P3231" s="10"/>
      <c r="Q3231" s="10"/>
      <c r="R3231" s="10"/>
      <c r="S3231" s="10"/>
    </row>
    <row r="3232" spans="10:19">
      <c r="J3232" s="10"/>
      <c r="K3232" s="1127"/>
      <c r="L3232" s="10"/>
      <c r="M3232" s="10"/>
      <c r="N3232" s="10"/>
      <c r="O3232" s="10"/>
      <c r="P3232" s="10"/>
      <c r="Q3232" s="10"/>
      <c r="R3232" s="10"/>
      <c r="S3232" s="10"/>
    </row>
    <row r="3233" spans="10:19">
      <c r="J3233" s="10"/>
      <c r="K3233" s="1127"/>
      <c r="L3233" s="10"/>
      <c r="M3233" s="10"/>
      <c r="N3233" s="10"/>
      <c r="O3233" s="10"/>
      <c r="P3233" s="10"/>
      <c r="Q3233" s="10"/>
      <c r="R3233" s="10"/>
      <c r="S3233" s="10"/>
    </row>
    <row r="3234" spans="10:19">
      <c r="J3234" s="10"/>
      <c r="K3234" s="1127"/>
      <c r="L3234" s="10"/>
      <c r="M3234" s="10"/>
      <c r="N3234" s="10"/>
      <c r="O3234" s="10"/>
      <c r="P3234" s="10"/>
      <c r="Q3234" s="10"/>
      <c r="R3234" s="10"/>
      <c r="S3234" s="10"/>
    </row>
    <row r="3235" spans="10:19">
      <c r="J3235" s="10"/>
      <c r="K3235" s="1127"/>
      <c r="L3235" s="10"/>
      <c r="M3235" s="10"/>
      <c r="N3235" s="10"/>
      <c r="O3235" s="10"/>
      <c r="P3235" s="10"/>
      <c r="Q3235" s="10"/>
      <c r="R3235" s="10"/>
      <c r="S3235" s="10"/>
    </row>
    <row r="3236" spans="10:19">
      <c r="J3236" s="10"/>
      <c r="K3236" s="1127"/>
      <c r="L3236" s="10"/>
      <c r="M3236" s="10"/>
      <c r="N3236" s="10"/>
      <c r="O3236" s="10"/>
      <c r="P3236" s="10"/>
      <c r="Q3236" s="10"/>
      <c r="R3236" s="10"/>
      <c r="S3236" s="10"/>
    </row>
    <row r="3237" spans="10:19">
      <c r="J3237" s="10"/>
      <c r="K3237" s="1127"/>
      <c r="L3237" s="10"/>
      <c r="M3237" s="10"/>
      <c r="N3237" s="10"/>
      <c r="O3237" s="10"/>
      <c r="P3237" s="10"/>
      <c r="Q3237" s="10"/>
      <c r="R3237" s="10"/>
      <c r="S3237" s="10"/>
    </row>
    <row r="3238" spans="10:19">
      <c r="J3238" s="10"/>
      <c r="K3238" s="1127"/>
      <c r="L3238" s="10"/>
      <c r="M3238" s="10"/>
      <c r="N3238" s="10"/>
      <c r="O3238" s="10"/>
      <c r="P3238" s="10"/>
      <c r="Q3238" s="10"/>
      <c r="R3238" s="10"/>
      <c r="S3238" s="10"/>
    </row>
    <row r="3239" spans="10:19">
      <c r="J3239" s="10"/>
      <c r="K3239" s="1127"/>
      <c r="L3239" s="10"/>
      <c r="M3239" s="10"/>
      <c r="N3239" s="10"/>
      <c r="O3239" s="10"/>
      <c r="P3239" s="10"/>
      <c r="Q3239" s="10"/>
      <c r="R3239" s="10"/>
      <c r="S3239" s="10"/>
    </row>
    <row r="3240" spans="10:19">
      <c r="J3240" s="10"/>
      <c r="K3240" s="1127"/>
      <c r="L3240" s="10"/>
      <c r="M3240" s="10"/>
      <c r="N3240" s="10"/>
      <c r="O3240" s="10"/>
      <c r="P3240" s="10"/>
      <c r="Q3240" s="10"/>
      <c r="R3240" s="10"/>
      <c r="S3240" s="10"/>
    </row>
    <row r="3241" spans="10:19">
      <c r="J3241" s="10"/>
      <c r="K3241" s="1127"/>
      <c r="L3241" s="10"/>
      <c r="M3241" s="10"/>
      <c r="N3241" s="10"/>
      <c r="O3241" s="10"/>
      <c r="P3241" s="10"/>
      <c r="Q3241" s="10"/>
      <c r="R3241" s="10"/>
      <c r="S3241" s="10"/>
    </row>
    <row r="3242" spans="10:19">
      <c r="J3242" s="10"/>
      <c r="K3242" s="1127"/>
      <c r="L3242" s="10"/>
      <c r="M3242" s="10"/>
      <c r="N3242" s="10"/>
      <c r="O3242" s="10"/>
      <c r="P3242" s="10"/>
      <c r="Q3242" s="10"/>
      <c r="R3242" s="10"/>
      <c r="S3242" s="10"/>
    </row>
    <row r="3243" spans="10:19">
      <c r="J3243" s="10"/>
      <c r="K3243" s="1127"/>
      <c r="L3243" s="10"/>
      <c r="M3243" s="10"/>
      <c r="N3243" s="10"/>
      <c r="O3243" s="10"/>
      <c r="P3243" s="10"/>
      <c r="Q3243" s="10"/>
      <c r="R3243" s="10"/>
      <c r="S3243" s="10"/>
    </row>
    <row r="3244" spans="10:19">
      <c r="J3244" s="10"/>
      <c r="K3244" s="1127"/>
      <c r="L3244" s="10"/>
      <c r="M3244" s="10"/>
      <c r="N3244" s="10"/>
      <c r="O3244" s="10"/>
      <c r="P3244" s="10"/>
      <c r="Q3244" s="10"/>
      <c r="R3244" s="10"/>
      <c r="S3244" s="10"/>
    </row>
    <row r="3245" spans="10:19">
      <c r="J3245" s="10"/>
      <c r="K3245" s="1127"/>
      <c r="L3245" s="10"/>
      <c r="M3245" s="10"/>
      <c r="N3245" s="10"/>
      <c r="O3245" s="10"/>
      <c r="P3245" s="10"/>
      <c r="Q3245" s="10"/>
      <c r="R3245" s="10"/>
      <c r="S3245" s="10"/>
    </row>
    <row r="3246" spans="10:19">
      <c r="J3246" s="10"/>
      <c r="K3246" s="1127"/>
      <c r="L3246" s="10"/>
      <c r="M3246" s="10"/>
      <c r="N3246" s="10"/>
      <c r="O3246" s="10"/>
      <c r="P3246" s="10"/>
      <c r="Q3246" s="10"/>
      <c r="R3246" s="10"/>
      <c r="S3246" s="10"/>
    </row>
    <row r="3247" spans="10:19">
      <c r="J3247" s="10"/>
      <c r="K3247" s="1127"/>
      <c r="L3247" s="10"/>
      <c r="M3247" s="10"/>
      <c r="N3247" s="10"/>
      <c r="O3247" s="10"/>
      <c r="P3247" s="10"/>
      <c r="Q3247" s="10"/>
      <c r="R3247" s="10"/>
      <c r="S3247" s="10"/>
    </row>
    <row r="3248" spans="10:19">
      <c r="J3248" s="10"/>
      <c r="K3248" s="1127"/>
      <c r="L3248" s="10"/>
      <c r="M3248" s="10"/>
      <c r="N3248" s="10"/>
      <c r="O3248" s="10"/>
      <c r="P3248" s="10"/>
      <c r="Q3248" s="10"/>
      <c r="R3248" s="10"/>
      <c r="S3248" s="10"/>
    </row>
    <row r="3249" spans="10:19">
      <c r="J3249" s="10"/>
      <c r="K3249" s="1127"/>
      <c r="L3249" s="10"/>
      <c r="M3249" s="10"/>
      <c r="N3249" s="10"/>
      <c r="O3249" s="10"/>
      <c r="P3249" s="10"/>
      <c r="Q3249" s="10"/>
      <c r="R3249" s="10"/>
      <c r="S3249" s="10"/>
    </row>
    <row r="3250" spans="10:19">
      <c r="J3250" s="10"/>
      <c r="K3250" s="1127"/>
      <c r="L3250" s="10"/>
      <c r="M3250" s="10"/>
      <c r="N3250" s="10"/>
      <c r="O3250" s="10"/>
      <c r="P3250" s="10"/>
      <c r="Q3250" s="10"/>
      <c r="R3250" s="10"/>
      <c r="S3250" s="10"/>
    </row>
    <row r="3251" spans="10:19">
      <c r="J3251" s="10"/>
      <c r="K3251" s="1127"/>
      <c r="L3251" s="10"/>
      <c r="M3251" s="10"/>
      <c r="N3251" s="10"/>
      <c r="O3251" s="10"/>
      <c r="P3251" s="10"/>
      <c r="Q3251" s="10"/>
      <c r="R3251" s="10"/>
      <c r="S3251" s="10"/>
    </row>
    <row r="3252" spans="10:19">
      <c r="J3252" s="10"/>
      <c r="K3252" s="1127"/>
      <c r="L3252" s="10"/>
      <c r="M3252" s="10"/>
      <c r="N3252" s="10"/>
      <c r="O3252" s="10"/>
      <c r="P3252" s="10"/>
      <c r="Q3252" s="10"/>
      <c r="R3252" s="10"/>
      <c r="S3252" s="10"/>
    </row>
    <row r="3253" spans="10:19">
      <c r="J3253" s="10"/>
      <c r="K3253" s="1127"/>
      <c r="L3253" s="10"/>
      <c r="M3253" s="10"/>
      <c r="N3253" s="10"/>
      <c r="O3253" s="10"/>
      <c r="P3253" s="10"/>
      <c r="Q3253" s="10"/>
      <c r="R3253" s="10"/>
      <c r="S3253" s="10"/>
    </row>
    <row r="3254" spans="10:19">
      <c r="J3254" s="10"/>
      <c r="K3254" s="1127"/>
      <c r="L3254" s="10"/>
      <c r="M3254" s="10"/>
      <c r="N3254" s="10"/>
      <c r="O3254" s="10"/>
      <c r="P3254" s="10"/>
      <c r="Q3254" s="10"/>
      <c r="R3254" s="10"/>
      <c r="S3254" s="10"/>
    </row>
    <row r="3255" spans="10:19">
      <c r="J3255" s="10"/>
      <c r="K3255" s="1127"/>
      <c r="L3255" s="10"/>
      <c r="M3255" s="10"/>
      <c r="N3255" s="10"/>
      <c r="O3255" s="10"/>
      <c r="P3255" s="10"/>
      <c r="Q3255" s="10"/>
      <c r="R3255" s="10"/>
      <c r="S3255" s="10"/>
    </row>
    <row r="3256" spans="10:19">
      <c r="J3256" s="10"/>
      <c r="K3256" s="1127"/>
      <c r="L3256" s="10"/>
      <c r="M3256" s="10"/>
      <c r="N3256" s="10"/>
      <c r="O3256" s="10"/>
      <c r="P3256" s="10"/>
      <c r="Q3256" s="10"/>
      <c r="R3256" s="10"/>
      <c r="S3256" s="10"/>
    </row>
    <row r="3257" spans="10:19">
      <c r="J3257" s="10"/>
      <c r="K3257" s="1127"/>
      <c r="L3257" s="10"/>
      <c r="M3257" s="10"/>
      <c r="N3257" s="10"/>
      <c r="O3257" s="10"/>
      <c r="P3257" s="10"/>
      <c r="Q3257" s="10"/>
      <c r="R3257" s="10"/>
      <c r="S3257" s="10"/>
    </row>
    <row r="3258" spans="10:19">
      <c r="J3258" s="10"/>
      <c r="K3258" s="1127"/>
      <c r="L3258" s="10"/>
      <c r="M3258" s="10"/>
      <c r="N3258" s="10"/>
      <c r="O3258" s="10"/>
      <c r="P3258" s="10"/>
      <c r="Q3258" s="10"/>
      <c r="R3258" s="10"/>
      <c r="S3258" s="10"/>
    </row>
    <row r="3259" spans="10:19">
      <c r="J3259" s="10"/>
      <c r="K3259" s="1127"/>
      <c r="L3259" s="10"/>
      <c r="M3259" s="10"/>
      <c r="N3259" s="10"/>
      <c r="O3259" s="10"/>
      <c r="P3259" s="10"/>
      <c r="Q3259" s="10"/>
      <c r="R3259" s="10"/>
      <c r="S3259" s="10"/>
    </row>
    <row r="3260" spans="10:19">
      <c r="J3260" s="10"/>
      <c r="K3260" s="1127"/>
      <c r="L3260" s="10"/>
      <c r="M3260" s="10"/>
      <c r="N3260" s="10"/>
      <c r="O3260" s="10"/>
      <c r="P3260" s="10"/>
      <c r="Q3260" s="10"/>
      <c r="R3260" s="10"/>
      <c r="S3260" s="10"/>
    </row>
    <row r="3261" spans="10:19">
      <c r="J3261" s="10"/>
      <c r="K3261" s="1127"/>
      <c r="L3261" s="10"/>
      <c r="M3261" s="10"/>
      <c r="N3261" s="10"/>
      <c r="O3261" s="10"/>
      <c r="P3261" s="10"/>
      <c r="Q3261" s="10"/>
      <c r="R3261" s="10"/>
      <c r="S3261" s="10"/>
    </row>
    <row r="3262" spans="10:19">
      <c r="J3262" s="10"/>
      <c r="K3262" s="1127"/>
      <c r="L3262" s="10"/>
      <c r="M3262" s="10"/>
      <c r="N3262" s="10"/>
      <c r="O3262" s="10"/>
      <c r="P3262" s="10"/>
      <c r="Q3262" s="10"/>
      <c r="R3262" s="10"/>
      <c r="S3262" s="10"/>
    </row>
    <row r="3263" spans="10:19">
      <c r="J3263" s="10"/>
      <c r="K3263" s="1127"/>
      <c r="L3263" s="10"/>
      <c r="M3263" s="10"/>
      <c r="N3263" s="10"/>
      <c r="O3263" s="10"/>
      <c r="P3263" s="10"/>
      <c r="Q3263" s="10"/>
      <c r="R3263" s="10"/>
      <c r="S3263" s="10"/>
    </row>
    <row r="3264" spans="10:19">
      <c r="J3264" s="10"/>
      <c r="K3264" s="1127"/>
      <c r="L3264" s="10"/>
      <c r="M3264" s="10"/>
      <c r="N3264" s="10"/>
      <c r="O3264" s="10"/>
      <c r="P3264" s="10"/>
      <c r="Q3264" s="10"/>
      <c r="R3264" s="10"/>
      <c r="S3264" s="10"/>
    </row>
    <row r="3265" spans="10:19">
      <c r="J3265" s="10"/>
      <c r="K3265" s="1127"/>
      <c r="L3265" s="10"/>
      <c r="M3265" s="10"/>
      <c r="N3265" s="10"/>
      <c r="O3265" s="10"/>
      <c r="P3265" s="10"/>
      <c r="Q3265" s="10"/>
      <c r="R3265" s="10"/>
      <c r="S3265" s="10"/>
    </row>
    <row r="3266" spans="10:19">
      <c r="J3266" s="10"/>
      <c r="K3266" s="1127"/>
      <c r="L3266" s="10"/>
      <c r="M3266" s="10"/>
      <c r="N3266" s="10"/>
      <c r="O3266" s="10"/>
      <c r="P3266" s="10"/>
      <c r="Q3266" s="10"/>
      <c r="R3266" s="10"/>
      <c r="S3266" s="10"/>
    </row>
    <row r="3267" spans="10:19">
      <c r="J3267" s="10"/>
      <c r="K3267" s="1127"/>
      <c r="L3267" s="10"/>
      <c r="M3267" s="10"/>
      <c r="N3267" s="10"/>
      <c r="O3267" s="10"/>
      <c r="P3267" s="10"/>
      <c r="Q3267" s="10"/>
      <c r="R3267" s="10"/>
      <c r="S3267" s="10"/>
    </row>
    <row r="3268" spans="10:19">
      <c r="J3268" s="10"/>
      <c r="K3268" s="1127"/>
      <c r="L3268" s="10"/>
      <c r="M3268" s="10"/>
      <c r="N3268" s="10"/>
      <c r="O3268" s="10"/>
      <c r="P3268" s="10"/>
      <c r="Q3268" s="10"/>
      <c r="R3268" s="10"/>
      <c r="S3268" s="10"/>
    </row>
    <row r="3269" spans="10:19">
      <c r="J3269" s="10"/>
      <c r="K3269" s="1127"/>
      <c r="L3269" s="10"/>
      <c r="M3269" s="10"/>
      <c r="N3269" s="10"/>
      <c r="O3269" s="10"/>
      <c r="P3269" s="10"/>
      <c r="Q3269" s="10"/>
      <c r="R3269" s="10"/>
      <c r="S3269" s="10"/>
    </row>
    <row r="3270" spans="10:19">
      <c r="J3270" s="10"/>
      <c r="K3270" s="1127"/>
      <c r="L3270" s="10"/>
      <c r="M3270" s="10"/>
      <c r="N3270" s="10"/>
      <c r="O3270" s="10"/>
      <c r="P3270" s="10"/>
      <c r="Q3270" s="10"/>
      <c r="R3270" s="10"/>
      <c r="S3270" s="10"/>
    </row>
    <row r="3271" spans="10:19">
      <c r="J3271" s="10"/>
      <c r="K3271" s="1127"/>
      <c r="L3271" s="10"/>
      <c r="M3271" s="10"/>
      <c r="N3271" s="10"/>
      <c r="O3271" s="10"/>
      <c r="P3271" s="10"/>
      <c r="Q3271" s="10"/>
      <c r="R3271" s="10"/>
      <c r="S3271" s="10"/>
    </row>
    <row r="3272" spans="10:19">
      <c r="J3272" s="10"/>
      <c r="K3272" s="1127"/>
      <c r="L3272" s="10"/>
      <c r="M3272" s="10"/>
      <c r="N3272" s="10"/>
      <c r="O3272" s="10"/>
      <c r="P3272" s="10"/>
      <c r="Q3272" s="10"/>
      <c r="R3272" s="10"/>
      <c r="S3272" s="10"/>
    </row>
    <row r="3273" spans="10:19">
      <c r="J3273" s="10"/>
      <c r="K3273" s="1127"/>
      <c r="L3273" s="10"/>
      <c r="M3273" s="10"/>
      <c r="N3273" s="10"/>
      <c r="O3273" s="10"/>
      <c r="P3273" s="10"/>
      <c r="Q3273" s="10"/>
      <c r="R3273" s="10"/>
      <c r="S3273" s="10"/>
    </row>
    <row r="3274" spans="10:19">
      <c r="J3274" s="10"/>
      <c r="K3274" s="1127"/>
      <c r="L3274" s="10"/>
      <c r="M3274" s="10"/>
      <c r="N3274" s="10"/>
      <c r="O3274" s="10"/>
      <c r="P3274" s="10"/>
      <c r="Q3274" s="10"/>
      <c r="R3274" s="10"/>
      <c r="S3274" s="10"/>
    </row>
    <row r="3275" spans="10:19">
      <c r="J3275" s="10"/>
      <c r="K3275" s="1127"/>
      <c r="L3275" s="10"/>
      <c r="M3275" s="10"/>
      <c r="N3275" s="10"/>
      <c r="O3275" s="10"/>
      <c r="P3275" s="10"/>
      <c r="Q3275" s="10"/>
      <c r="R3275" s="10"/>
      <c r="S3275" s="10"/>
    </row>
    <row r="3276" spans="10:19">
      <c r="J3276" s="10"/>
      <c r="K3276" s="1127"/>
      <c r="L3276" s="10"/>
      <c r="M3276" s="10"/>
      <c r="N3276" s="10"/>
      <c r="O3276" s="10"/>
      <c r="P3276" s="10"/>
      <c r="Q3276" s="10"/>
      <c r="R3276" s="10"/>
      <c r="S3276" s="10"/>
    </row>
    <row r="3277" spans="10:19">
      <c r="J3277" s="10"/>
      <c r="K3277" s="1127"/>
      <c r="L3277" s="10"/>
      <c r="M3277" s="10"/>
      <c r="N3277" s="10"/>
      <c r="O3277" s="10"/>
      <c r="P3277" s="10"/>
      <c r="Q3277" s="10"/>
      <c r="R3277" s="10"/>
      <c r="S3277" s="10"/>
    </row>
    <row r="3278" spans="10:19">
      <c r="J3278" s="10"/>
      <c r="K3278" s="1127"/>
      <c r="L3278" s="10"/>
      <c r="M3278" s="10"/>
      <c r="N3278" s="10"/>
      <c r="O3278" s="10"/>
      <c r="P3278" s="10"/>
      <c r="Q3278" s="10"/>
      <c r="R3278" s="10"/>
      <c r="S3278" s="10"/>
    </row>
    <row r="3279" spans="10:19">
      <c r="J3279" s="10"/>
      <c r="K3279" s="1127"/>
      <c r="L3279" s="10"/>
      <c r="M3279" s="10"/>
      <c r="N3279" s="10"/>
      <c r="O3279" s="10"/>
      <c r="P3279" s="10"/>
      <c r="Q3279" s="10"/>
      <c r="R3279" s="10"/>
      <c r="S3279" s="10"/>
    </row>
    <row r="3280" spans="10:19">
      <c r="J3280" s="10"/>
      <c r="K3280" s="1127"/>
      <c r="L3280" s="10"/>
      <c r="M3280" s="10"/>
      <c r="N3280" s="10"/>
      <c r="O3280" s="10"/>
      <c r="P3280" s="10"/>
      <c r="Q3280" s="10"/>
      <c r="R3280" s="10"/>
      <c r="S3280" s="10"/>
    </row>
    <row r="3281" spans="10:19">
      <c r="J3281" s="10"/>
      <c r="K3281" s="1127"/>
      <c r="L3281" s="10"/>
      <c r="M3281" s="10"/>
      <c r="N3281" s="10"/>
      <c r="O3281" s="10"/>
      <c r="P3281" s="10"/>
      <c r="Q3281" s="10"/>
      <c r="R3281" s="10"/>
      <c r="S3281" s="10"/>
    </row>
    <row r="3282" spans="10:19">
      <c r="J3282" s="10"/>
      <c r="K3282" s="1127"/>
      <c r="L3282" s="10"/>
      <c r="M3282" s="10"/>
      <c r="N3282" s="10"/>
      <c r="O3282" s="10"/>
      <c r="P3282" s="10"/>
      <c r="Q3282" s="10"/>
      <c r="R3282" s="10"/>
      <c r="S3282" s="10"/>
    </row>
    <row r="3283" spans="10:19">
      <c r="J3283" s="10"/>
      <c r="K3283" s="1127"/>
      <c r="L3283" s="10"/>
      <c r="M3283" s="10"/>
      <c r="N3283" s="10"/>
      <c r="O3283" s="10"/>
      <c r="P3283" s="10"/>
      <c r="Q3283" s="10"/>
      <c r="R3283" s="10"/>
      <c r="S3283" s="10"/>
    </row>
    <row r="3284" spans="10:19">
      <c r="J3284" s="10"/>
      <c r="K3284" s="1127"/>
      <c r="L3284" s="10"/>
      <c r="M3284" s="10"/>
      <c r="N3284" s="10"/>
      <c r="O3284" s="10"/>
      <c r="P3284" s="10"/>
      <c r="Q3284" s="10"/>
      <c r="R3284" s="10"/>
      <c r="S3284" s="10"/>
    </row>
    <row r="3285" spans="10:19">
      <c r="J3285" s="10"/>
      <c r="K3285" s="1127"/>
      <c r="L3285" s="10"/>
      <c r="M3285" s="10"/>
      <c r="N3285" s="10"/>
      <c r="O3285" s="10"/>
      <c r="P3285" s="10"/>
      <c r="Q3285" s="10"/>
      <c r="R3285" s="10"/>
      <c r="S3285" s="10"/>
    </row>
    <row r="3286" spans="10:19">
      <c r="J3286" s="10"/>
      <c r="K3286" s="1127"/>
      <c r="L3286" s="10"/>
      <c r="M3286" s="10"/>
      <c r="N3286" s="10"/>
      <c r="O3286" s="10"/>
      <c r="P3286" s="10"/>
      <c r="Q3286" s="10"/>
      <c r="R3286" s="10"/>
      <c r="S3286" s="10"/>
    </row>
    <row r="3287" spans="10:19">
      <c r="J3287" s="10"/>
      <c r="K3287" s="1127"/>
      <c r="L3287" s="10"/>
      <c r="M3287" s="10"/>
      <c r="N3287" s="10"/>
      <c r="O3287" s="10"/>
      <c r="P3287" s="10"/>
      <c r="Q3287" s="10"/>
      <c r="R3287" s="10"/>
      <c r="S3287" s="10"/>
    </row>
    <row r="3288" spans="10:19">
      <c r="J3288" s="10"/>
      <c r="K3288" s="1127"/>
      <c r="L3288" s="10"/>
      <c r="M3288" s="10"/>
      <c r="N3288" s="10"/>
      <c r="O3288" s="10"/>
      <c r="P3288" s="10"/>
      <c r="Q3288" s="10"/>
      <c r="R3288" s="10"/>
      <c r="S3288" s="10"/>
    </row>
    <row r="3289" spans="10:19">
      <c r="J3289" s="10"/>
      <c r="K3289" s="1127"/>
      <c r="L3289" s="10"/>
      <c r="M3289" s="10"/>
      <c r="N3289" s="10"/>
      <c r="O3289" s="10"/>
      <c r="P3289" s="10"/>
      <c r="Q3289" s="10"/>
      <c r="R3289" s="10"/>
      <c r="S3289" s="10"/>
    </row>
    <row r="3290" spans="10:19">
      <c r="J3290" s="10"/>
      <c r="K3290" s="1127"/>
      <c r="L3290" s="10"/>
      <c r="M3290" s="10"/>
      <c r="N3290" s="10"/>
      <c r="O3290" s="10"/>
      <c r="P3290" s="10"/>
      <c r="Q3290" s="10"/>
      <c r="R3290" s="10"/>
      <c r="S3290" s="10"/>
    </row>
    <row r="3291" spans="10:19">
      <c r="J3291" s="10"/>
      <c r="K3291" s="1127"/>
      <c r="L3291" s="10"/>
      <c r="M3291" s="10"/>
      <c r="N3291" s="10"/>
      <c r="O3291" s="10"/>
      <c r="P3291" s="10"/>
      <c r="Q3291" s="10"/>
      <c r="R3291" s="10"/>
      <c r="S3291" s="10"/>
    </row>
    <row r="3292" spans="10:19">
      <c r="J3292" s="10"/>
      <c r="K3292" s="1127"/>
      <c r="L3292" s="10"/>
      <c r="M3292" s="10"/>
      <c r="N3292" s="10"/>
      <c r="O3292" s="10"/>
      <c r="P3292" s="10"/>
      <c r="Q3292" s="10"/>
      <c r="R3292" s="10"/>
      <c r="S3292" s="10"/>
    </row>
    <row r="3293" spans="10:19">
      <c r="J3293" s="10"/>
      <c r="K3293" s="1127"/>
      <c r="L3293" s="10"/>
      <c r="M3293" s="10"/>
      <c r="N3293" s="10"/>
      <c r="O3293" s="10"/>
      <c r="P3293" s="10"/>
      <c r="Q3293" s="10"/>
      <c r="R3293" s="10"/>
      <c r="S3293" s="10"/>
    </row>
    <row r="3294" spans="10:19">
      <c r="J3294" s="10"/>
      <c r="K3294" s="1127"/>
      <c r="L3294" s="10"/>
      <c r="M3294" s="10"/>
      <c r="N3294" s="10"/>
      <c r="O3294" s="10"/>
      <c r="P3294" s="10"/>
      <c r="Q3294" s="10"/>
      <c r="R3294" s="10"/>
      <c r="S3294" s="10"/>
    </row>
    <row r="3295" spans="10:19">
      <c r="J3295" s="10"/>
      <c r="K3295" s="1127"/>
      <c r="L3295" s="10"/>
      <c r="M3295" s="10"/>
      <c r="N3295" s="10"/>
      <c r="O3295" s="10"/>
      <c r="P3295" s="10"/>
      <c r="Q3295" s="10"/>
      <c r="R3295" s="10"/>
      <c r="S3295" s="10"/>
    </row>
    <row r="3296" spans="10:19">
      <c r="J3296" s="10"/>
      <c r="K3296" s="1127"/>
      <c r="L3296" s="10"/>
      <c r="M3296" s="10"/>
      <c r="N3296" s="10"/>
      <c r="O3296" s="10"/>
      <c r="P3296" s="10"/>
      <c r="Q3296" s="10"/>
      <c r="R3296" s="10"/>
      <c r="S3296" s="10"/>
    </row>
    <row r="3297" spans="10:19">
      <c r="J3297" s="10"/>
      <c r="K3297" s="1127"/>
      <c r="L3297" s="10"/>
      <c r="M3297" s="10"/>
      <c r="N3297" s="10"/>
      <c r="O3297" s="10"/>
      <c r="P3297" s="10"/>
      <c r="Q3297" s="10"/>
      <c r="R3297" s="10"/>
      <c r="S3297" s="10"/>
    </row>
    <row r="3298" spans="10:19">
      <c r="J3298" s="10"/>
      <c r="K3298" s="1127"/>
      <c r="L3298" s="10"/>
      <c r="M3298" s="10"/>
      <c r="N3298" s="10"/>
      <c r="O3298" s="10"/>
      <c r="P3298" s="10"/>
      <c r="Q3298" s="10"/>
      <c r="R3298" s="10"/>
      <c r="S3298" s="10"/>
    </row>
    <row r="3299" spans="10:19">
      <c r="J3299" s="10"/>
      <c r="K3299" s="1127"/>
      <c r="L3299" s="10"/>
      <c r="M3299" s="10"/>
      <c r="N3299" s="10"/>
      <c r="O3299" s="10"/>
      <c r="P3299" s="10"/>
      <c r="Q3299" s="10"/>
      <c r="R3299" s="10"/>
      <c r="S3299" s="10"/>
    </row>
    <row r="3300" spans="10:19">
      <c r="J3300" s="10"/>
      <c r="K3300" s="1127"/>
      <c r="L3300" s="10"/>
      <c r="M3300" s="10"/>
      <c r="N3300" s="10"/>
      <c r="O3300" s="10"/>
      <c r="P3300" s="10"/>
      <c r="Q3300" s="10"/>
      <c r="R3300" s="10"/>
      <c r="S3300" s="10"/>
    </row>
    <row r="3301" spans="10:19">
      <c r="J3301" s="10"/>
      <c r="K3301" s="1127"/>
      <c r="L3301" s="10"/>
      <c r="M3301" s="10"/>
      <c r="N3301" s="10"/>
      <c r="O3301" s="10"/>
      <c r="P3301" s="10"/>
      <c r="Q3301" s="10"/>
      <c r="R3301" s="10"/>
      <c r="S3301" s="10"/>
    </row>
    <row r="3302" spans="10:19">
      <c r="J3302" s="10"/>
      <c r="K3302" s="1127"/>
      <c r="L3302" s="10"/>
      <c r="M3302" s="10"/>
      <c r="N3302" s="10"/>
      <c r="O3302" s="10"/>
      <c r="P3302" s="10"/>
      <c r="Q3302" s="10"/>
      <c r="R3302" s="10"/>
      <c r="S3302" s="10"/>
    </row>
    <row r="3303" spans="10:19">
      <c r="J3303" s="10"/>
      <c r="K3303" s="1127"/>
      <c r="L3303" s="10"/>
      <c r="M3303" s="10"/>
      <c r="N3303" s="10"/>
      <c r="O3303" s="10"/>
      <c r="P3303" s="10"/>
      <c r="Q3303" s="10"/>
      <c r="R3303" s="10"/>
      <c r="S3303" s="10"/>
    </row>
    <row r="3304" spans="10:19">
      <c r="J3304" s="10"/>
      <c r="K3304" s="1127"/>
      <c r="L3304" s="10"/>
      <c r="M3304" s="10"/>
      <c r="N3304" s="10"/>
      <c r="O3304" s="10"/>
      <c r="P3304" s="10"/>
      <c r="Q3304" s="10"/>
      <c r="R3304" s="10"/>
      <c r="S3304" s="10"/>
    </row>
    <row r="3305" spans="10:19">
      <c r="J3305" s="10"/>
      <c r="K3305" s="1127"/>
      <c r="L3305" s="10"/>
      <c r="M3305" s="10"/>
      <c r="N3305" s="10"/>
      <c r="O3305" s="10"/>
      <c r="P3305" s="10"/>
      <c r="Q3305" s="10"/>
      <c r="R3305" s="10"/>
      <c r="S3305" s="10"/>
    </row>
    <row r="3306" spans="10:19">
      <c r="J3306" s="10"/>
      <c r="K3306" s="1127"/>
      <c r="L3306" s="10"/>
      <c r="M3306" s="10"/>
      <c r="N3306" s="10"/>
      <c r="O3306" s="10"/>
      <c r="P3306" s="10"/>
      <c r="Q3306" s="10"/>
      <c r="R3306" s="10"/>
      <c r="S3306" s="10"/>
    </row>
    <row r="3307" spans="10:19">
      <c r="J3307" s="10"/>
      <c r="K3307" s="1127"/>
      <c r="L3307" s="10"/>
      <c r="M3307" s="10"/>
      <c r="N3307" s="10"/>
      <c r="O3307" s="10"/>
      <c r="P3307" s="10"/>
      <c r="Q3307" s="10"/>
      <c r="R3307" s="10"/>
      <c r="S3307" s="10"/>
    </row>
    <row r="3308" spans="10:19">
      <c r="J3308" s="10"/>
      <c r="K3308" s="1127"/>
      <c r="L3308" s="10"/>
      <c r="M3308" s="10"/>
      <c r="N3308" s="10"/>
      <c r="O3308" s="10"/>
      <c r="P3308" s="10"/>
      <c r="Q3308" s="10"/>
      <c r="R3308" s="10"/>
      <c r="S3308" s="10"/>
    </row>
    <row r="3309" spans="10:19">
      <c r="J3309" s="10"/>
      <c r="K3309" s="1127"/>
      <c r="L3309" s="10"/>
      <c r="M3309" s="10"/>
      <c r="N3309" s="10"/>
      <c r="O3309" s="10"/>
      <c r="P3309" s="10"/>
      <c r="Q3309" s="10"/>
      <c r="R3309" s="10"/>
      <c r="S3309" s="10"/>
    </row>
    <row r="3310" spans="10:19">
      <c r="J3310" s="10"/>
      <c r="K3310" s="1127"/>
      <c r="L3310" s="10"/>
      <c r="M3310" s="10"/>
      <c r="N3310" s="10"/>
      <c r="O3310" s="10"/>
      <c r="P3310" s="10"/>
      <c r="Q3310" s="10"/>
      <c r="R3310" s="10"/>
      <c r="S3310" s="10"/>
    </row>
    <row r="3311" spans="10:19">
      <c r="J3311" s="10"/>
      <c r="K3311" s="1127"/>
      <c r="L3311" s="10"/>
      <c r="M3311" s="10"/>
      <c r="N3311" s="10"/>
      <c r="O3311" s="10"/>
      <c r="P3311" s="10"/>
      <c r="Q3311" s="10"/>
      <c r="R3311" s="10"/>
      <c r="S3311" s="10"/>
    </row>
    <row r="3312" spans="10:19">
      <c r="J3312" s="10"/>
      <c r="K3312" s="1127"/>
      <c r="L3312" s="10"/>
      <c r="M3312" s="10"/>
      <c r="N3312" s="10"/>
      <c r="O3312" s="10"/>
      <c r="P3312" s="10"/>
      <c r="Q3312" s="10"/>
      <c r="R3312" s="10"/>
      <c r="S3312" s="10"/>
    </row>
    <row r="3313" spans="10:19">
      <c r="J3313" s="10"/>
      <c r="K3313" s="1127"/>
      <c r="L3313" s="10"/>
      <c r="M3313" s="10"/>
      <c r="N3313" s="10"/>
      <c r="O3313" s="10"/>
      <c r="P3313" s="10"/>
      <c r="Q3313" s="10"/>
      <c r="R3313" s="10"/>
      <c r="S3313" s="10"/>
    </row>
    <row r="3314" spans="10:19">
      <c r="J3314" s="10"/>
      <c r="K3314" s="1127"/>
      <c r="L3314" s="10"/>
      <c r="M3314" s="10"/>
      <c r="N3314" s="10"/>
      <c r="O3314" s="10"/>
      <c r="P3314" s="10"/>
      <c r="Q3314" s="10"/>
      <c r="R3314" s="10"/>
      <c r="S3314" s="10"/>
    </row>
    <row r="3315" spans="10:19">
      <c r="J3315" s="10"/>
      <c r="K3315" s="1127"/>
      <c r="L3315" s="10"/>
      <c r="M3315" s="10"/>
      <c r="N3315" s="10"/>
      <c r="O3315" s="10"/>
      <c r="P3315" s="10"/>
      <c r="Q3315" s="10"/>
      <c r="R3315" s="10"/>
      <c r="S3315" s="10"/>
    </row>
    <row r="3316" spans="10:19">
      <c r="J3316" s="10"/>
      <c r="K3316" s="1127"/>
      <c r="L3316" s="10"/>
      <c r="M3316" s="10"/>
      <c r="N3316" s="10"/>
      <c r="O3316" s="10"/>
      <c r="P3316" s="10"/>
      <c r="Q3316" s="10"/>
      <c r="R3316" s="10"/>
      <c r="S3316" s="10"/>
    </row>
    <row r="3317" spans="10:19">
      <c r="J3317" s="10"/>
      <c r="K3317" s="1127"/>
      <c r="L3317" s="10"/>
      <c r="M3317" s="10"/>
      <c r="N3317" s="10"/>
      <c r="O3317" s="10"/>
      <c r="P3317" s="10"/>
      <c r="Q3317" s="10"/>
      <c r="R3317" s="10"/>
      <c r="S3317" s="10"/>
    </row>
    <row r="3318" spans="10:19">
      <c r="J3318" s="10"/>
      <c r="K3318" s="1127"/>
      <c r="L3318" s="10"/>
      <c r="M3318" s="10"/>
      <c r="N3318" s="10"/>
      <c r="O3318" s="10"/>
      <c r="P3318" s="10"/>
      <c r="Q3318" s="10"/>
      <c r="R3318" s="10"/>
      <c r="S3318" s="10"/>
    </row>
    <row r="3319" spans="10:19">
      <c r="J3319" s="10"/>
      <c r="K3319" s="1127"/>
      <c r="L3319" s="10"/>
      <c r="M3319" s="10"/>
      <c r="N3319" s="10"/>
      <c r="O3319" s="10"/>
      <c r="P3319" s="10"/>
      <c r="Q3319" s="10"/>
      <c r="R3319" s="10"/>
      <c r="S3319" s="10"/>
    </row>
    <row r="3320" spans="10:19">
      <c r="J3320" s="10"/>
      <c r="K3320" s="1127"/>
      <c r="L3320" s="10"/>
      <c r="M3320" s="10"/>
      <c r="N3320" s="10"/>
      <c r="O3320" s="10"/>
      <c r="P3320" s="10"/>
      <c r="Q3320" s="10"/>
      <c r="R3320" s="10"/>
      <c r="S3320" s="10"/>
    </row>
    <row r="3321" spans="10:19">
      <c r="J3321" s="10"/>
      <c r="K3321" s="1127"/>
      <c r="L3321" s="10"/>
      <c r="M3321" s="10"/>
      <c r="N3321" s="10"/>
      <c r="O3321" s="10"/>
      <c r="P3321" s="10"/>
      <c r="Q3321" s="10"/>
      <c r="R3321" s="10"/>
      <c r="S3321" s="10"/>
    </row>
    <row r="3322" spans="10:19">
      <c r="J3322" s="10"/>
      <c r="K3322" s="1127"/>
      <c r="L3322" s="10"/>
      <c r="M3322" s="10"/>
      <c r="N3322" s="10"/>
      <c r="O3322" s="10"/>
      <c r="P3322" s="10"/>
      <c r="Q3322" s="10"/>
      <c r="R3322" s="10"/>
      <c r="S3322" s="10"/>
    </row>
    <row r="3323" spans="10:19">
      <c r="J3323" s="10"/>
      <c r="K3323" s="1127"/>
      <c r="L3323" s="10"/>
      <c r="M3323" s="10"/>
      <c r="N3323" s="10"/>
      <c r="O3323" s="10"/>
      <c r="P3323" s="10"/>
      <c r="Q3323" s="10"/>
      <c r="R3323" s="10"/>
      <c r="S3323" s="10"/>
    </row>
    <row r="3324" spans="10:19">
      <c r="J3324" s="10"/>
      <c r="K3324" s="1127"/>
      <c r="L3324" s="10"/>
      <c r="M3324" s="10"/>
      <c r="N3324" s="10"/>
      <c r="O3324" s="10"/>
      <c r="P3324" s="10"/>
      <c r="Q3324" s="10"/>
      <c r="R3324" s="10"/>
      <c r="S3324" s="10"/>
    </row>
    <row r="3325" spans="10:19">
      <c r="J3325" s="10"/>
      <c r="K3325" s="1127"/>
      <c r="L3325" s="10"/>
      <c r="M3325" s="10"/>
      <c r="N3325" s="10"/>
      <c r="O3325" s="10"/>
      <c r="P3325" s="10"/>
      <c r="Q3325" s="10"/>
      <c r="R3325" s="10"/>
      <c r="S3325" s="10"/>
    </row>
    <row r="3326" spans="10:19">
      <c r="J3326" s="10"/>
      <c r="K3326" s="1127"/>
      <c r="L3326" s="10"/>
      <c r="M3326" s="10"/>
      <c r="N3326" s="10"/>
      <c r="O3326" s="10"/>
      <c r="P3326" s="10"/>
      <c r="Q3326" s="10"/>
      <c r="R3326" s="10"/>
      <c r="S3326" s="10"/>
    </row>
    <row r="3327" spans="10:19">
      <c r="J3327" s="10"/>
      <c r="K3327" s="1127"/>
      <c r="L3327" s="10"/>
      <c r="M3327" s="10"/>
      <c r="N3327" s="10"/>
      <c r="O3327" s="10"/>
      <c r="P3327" s="10"/>
      <c r="Q3327" s="10"/>
      <c r="R3327" s="10"/>
      <c r="S3327" s="10"/>
    </row>
    <row r="3328" spans="10:19">
      <c r="J3328" s="10"/>
      <c r="K3328" s="1127"/>
      <c r="L3328" s="10"/>
      <c r="M3328" s="10"/>
      <c r="N3328" s="10"/>
      <c r="O3328" s="10"/>
      <c r="P3328" s="10"/>
      <c r="Q3328" s="10"/>
      <c r="R3328" s="10"/>
      <c r="S3328" s="10"/>
    </row>
    <row r="3329" spans="10:19">
      <c r="J3329" s="10"/>
      <c r="K3329" s="1127"/>
      <c r="L3329" s="10"/>
      <c r="M3329" s="10"/>
      <c r="N3329" s="10"/>
      <c r="O3329" s="10"/>
      <c r="P3329" s="10"/>
      <c r="Q3329" s="10"/>
      <c r="R3329" s="10"/>
      <c r="S3329" s="10"/>
    </row>
    <row r="3330" spans="10:19">
      <c r="J3330" s="10"/>
      <c r="K3330" s="1127"/>
      <c r="L3330" s="10"/>
      <c r="M3330" s="10"/>
      <c r="N3330" s="10"/>
      <c r="O3330" s="10"/>
      <c r="P3330" s="10"/>
      <c r="Q3330" s="10"/>
      <c r="R3330" s="10"/>
      <c r="S3330" s="10"/>
    </row>
    <row r="3331" spans="10:19">
      <c r="J3331" s="10"/>
      <c r="K3331" s="1127"/>
      <c r="L3331" s="10"/>
      <c r="M3331" s="10"/>
      <c r="N3331" s="10"/>
      <c r="O3331" s="10"/>
      <c r="P3331" s="10"/>
      <c r="Q3331" s="10"/>
      <c r="R3331" s="10"/>
      <c r="S3331" s="10"/>
    </row>
    <row r="3332" spans="10:19">
      <c r="J3332" s="10"/>
      <c r="K3332" s="1127"/>
      <c r="L3332" s="10"/>
      <c r="M3332" s="10"/>
      <c r="N3332" s="10"/>
      <c r="O3332" s="10"/>
      <c r="P3332" s="10"/>
      <c r="Q3332" s="10"/>
      <c r="R3332" s="10"/>
      <c r="S3332" s="10"/>
    </row>
    <row r="3333" spans="10:19">
      <c r="J3333" s="10"/>
      <c r="K3333" s="1127"/>
      <c r="L3333" s="10"/>
      <c r="M3333" s="10"/>
      <c r="N3333" s="10"/>
      <c r="O3333" s="10"/>
      <c r="P3333" s="10"/>
      <c r="Q3333" s="10"/>
      <c r="R3333" s="10"/>
      <c r="S3333" s="10"/>
    </row>
    <row r="3334" spans="10:19">
      <c r="J3334" s="10"/>
      <c r="K3334" s="1127"/>
      <c r="L3334" s="10"/>
      <c r="M3334" s="10"/>
      <c r="N3334" s="10"/>
      <c r="O3334" s="10"/>
      <c r="P3334" s="10"/>
      <c r="Q3334" s="10"/>
      <c r="R3334" s="10"/>
      <c r="S3334" s="10"/>
    </row>
    <row r="3335" spans="10:19">
      <c r="J3335" s="10"/>
      <c r="K3335" s="1127"/>
      <c r="L3335" s="10"/>
      <c r="M3335" s="10"/>
      <c r="N3335" s="10"/>
      <c r="O3335" s="10"/>
      <c r="P3335" s="10"/>
      <c r="Q3335" s="10"/>
      <c r="R3335" s="10"/>
      <c r="S3335" s="10"/>
    </row>
    <row r="3336" spans="10:19">
      <c r="J3336" s="10"/>
      <c r="K3336" s="1127"/>
      <c r="L3336" s="10"/>
      <c r="M3336" s="10"/>
      <c r="N3336" s="10"/>
      <c r="O3336" s="10"/>
      <c r="P3336" s="10"/>
      <c r="Q3336" s="10"/>
      <c r="R3336" s="10"/>
      <c r="S3336" s="10"/>
    </row>
    <row r="3337" spans="10:19">
      <c r="J3337" s="10"/>
      <c r="K3337" s="1127"/>
      <c r="L3337" s="10"/>
      <c r="M3337" s="10"/>
      <c r="N3337" s="10"/>
      <c r="O3337" s="10"/>
      <c r="P3337" s="10"/>
      <c r="Q3337" s="10"/>
      <c r="R3337" s="10"/>
      <c r="S3337" s="10"/>
    </row>
    <row r="3338" spans="10:19">
      <c r="J3338" s="10"/>
      <c r="K3338" s="1127"/>
      <c r="L3338" s="10"/>
      <c r="M3338" s="10"/>
      <c r="N3338" s="10"/>
      <c r="O3338" s="10"/>
      <c r="P3338" s="10"/>
      <c r="Q3338" s="10"/>
      <c r="R3338" s="10"/>
      <c r="S3338" s="10"/>
    </row>
    <row r="3339" spans="10:19">
      <c r="J3339" s="10"/>
      <c r="K3339" s="1127"/>
      <c r="L3339" s="10"/>
      <c r="M3339" s="10"/>
      <c r="N3339" s="10"/>
      <c r="O3339" s="10"/>
      <c r="P3339" s="10"/>
      <c r="Q3339" s="10"/>
      <c r="R3339" s="10"/>
      <c r="S3339" s="10"/>
    </row>
    <row r="3340" spans="10:19">
      <c r="J3340" s="10"/>
      <c r="K3340" s="1127"/>
      <c r="L3340" s="10"/>
      <c r="M3340" s="10"/>
      <c r="N3340" s="10"/>
      <c r="O3340" s="10"/>
      <c r="P3340" s="10"/>
      <c r="Q3340" s="10"/>
      <c r="R3340" s="10"/>
      <c r="S3340" s="10"/>
    </row>
    <row r="3341" spans="10:19">
      <c r="J3341" s="10"/>
      <c r="K3341" s="1127"/>
      <c r="L3341" s="10"/>
      <c r="M3341" s="10"/>
      <c r="N3341" s="10"/>
      <c r="O3341" s="10"/>
      <c r="P3341" s="10"/>
      <c r="Q3341" s="10"/>
      <c r="R3341" s="10"/>
      <c r="S3341" s="10"/>
    </row>
    <row r="3342" spans="10:19">
      <c r="J3342" s="10"/>
      <c r="K3342" s="1127"/>
      <c r="L3342" s="10"/>
      <c r="M3342" s="10"/>
      <c r="N3342" s="10"/>
      <c r="O3342" s="10"/>
      <c r="P3342" s="10"/>
      <c r="Q3342" s="10"/>
      <c r="R3342" s="10"/>
      <c r="S3342" s="10"/>
    </row>
    <row r="3343" spans="10:19">
      <c r="J3343" s="10"/>
      <c r="K3343" s="1127"/>
      <c r="L3343" s="10"/>
      <c r="M3343" s="10"/>
      <c r="N3343" s="10"/>
      <c r="O3343" s="10"/>
      <c r="P3343" s="10"/>
      <c r="Q3343" s="10"/>
      <c r="R3343" s="10"/>
      <c r="S3343" s="10"/>
    </row>
    <row r="3344" spans="10:19">
      <c r="J3344" s="10"/>
      <c r="K3344" s="1127"/>
      <c r="L3344" s="10"/>
      <c r="M3344" s="10"/>
      <c r="N3344" s="10"/>
      <c r="O3344" s="10"/>
      <c r="P3344" s="10"/>
      <c r="Q3344" s="10"/>
      <c r="R3344" s="10"/>
      <c r="S3344" s="10"/>
    </row>
    <row r="3345" spans="10:19">
      <c r="J3345" s="10"/>
      <c r="K3345" s="1127"/>
      <c r="L3345" s="10"/>
      <c r="M3345" s="10"/>
      <c r="N3345" s="10"/>
      <c r="O3345" s="10"/>
      <c r="P3345" s="10"/>
      <c r="Q3345" s="10"/>
      <c r="R3345" s="10"/>
      <c r="S3345" s="10"/>
    </row>
    <row r="3346" spans="10:19">
      <c r="J3346" s="10"/>
      <c r="K3346" s="1127"/>
      <c r="L3346" s="10"/>
      <c r="M3346" s="10"/>
      <c r="N3346" s="10"/>
      <c r="O3346" s="10"/>
      <c r="P3346" s="10"/>
      <c r="Q3346" s="10"/>
      <c r="R3346" s="10"/>
      <c r="S3346" s="10"/>
    </row>
    <row r="3347" spans="10:19">
      <c r="J3347" s="10"/>
      <c r="K3347" s="1127"/>
      <c r="L3347" s="10"/>
      <c r="M3347" s="10"/>
      <c r="N3347" s="10"/>
      <c r="O3347" s="10"/>
      <c r="P3347" s="10"/>
      <c r="Q3347" s="10"/>
      <c r="R3347" s="10"/>
      <c r="S3347" s="10"/>
    </row>
    <row r="3348" spans="10:19">
      <c r="J3348" s="10"/>
      <c r="K3348" s="1127"/>
      <c r="L3348" s="10"/>
      <c r="M3348" s="10"/>
      <c r="N3348" s="10"/>
      <c r="O3348" s="10"/>
      <c r="P3348" s="10"/>
      <c r="Q3348" s="10"/>
      <c r="R3348" s="10"/>
      <c r="S3348" s="10"/>
    </row>
    <row r="3349" spans="10:19">
      <c r="J3349" s="10"/>
      <c r="K3349" s="1127"/>
      <c r="L3349" s="10"/>
      <c r="M3349" s="10"/>
      <c r="N3349" s="10"/>
      <c r="O3349" s="10"/>
      <c r="P3349" s="10"/>
      <c r="Q3349" s="10"/>
      <c r="R3349" s="10"/>
      <c r="S3349" s="10"/>
    </row>
    <row r="3350" spans="10:19">
      <c r="J3350" s="10"/>
      <c r="K3350" s="1127"/>
      <c r="L3350" s="10"/>
      <c r="M3350" s="10"/>
      <c r="N3350" s="10"/>
      <c r="O3350" s="10"/>
      <c r="P3350" s="10"/>
      <c r="Q3350" s="10"/>
      <c r="R3350" s="10"/>
      <c r="S3350" s="10"/>
    </row>
    <row r="3351" spans="10:19">
      <c r="J3351" s="10"/>
      <c r="K3351" s="1127"/>
      <c r="L3351" s="10"/>
      <c r="M3351" s="10"/>
      <c r="N3351" s="10"/>
      <c r="O3351" s="10"/>
      <c r="P3351" s="10"/>
      <c r="Q3351" s="10"/>
      <c r="R3351" s="10"/>
      <c r="S3351" s="10"/>
    </row>
    <row r="3352" spans="10:19">
      <c r="J3352" s="10"/>
      <c r="K3352" s="1127"/>
      <c r="L3352" s="10"/>
      <c r="M3352" s="10"/>
      <c r="N3352" s="10"/>
      <c r="O3352" s="10"/>
      <c r="P3352" s="10"/>
      <c r="Q3352" s="10"/>
      <c r="R3352" s="10"/>
      <c r="S3352" s="10"/>
    </row>
    <row r="3353" spans="10:19">
      <c r="J3353" s="10"/>
      <c r="K3353" s="1127"/>
      <c r="L3353" s="10"/>
      <c r="M3353" s="10"/>
      <c r="N3353" s="10"/>
      <c r="O3353" s="10"/>
      <c r="P3353" s="10"/>
      <c r="Q3353" s="10"/>
      <c r="R3353" s="10"/>
      <c r="S3353" s="10"/>
    </row>
    <row r="3354" spans="10:19">
      <c r="J3354" s="10"/>
      <c r="K3354" s="1127"/>
      <c r="L3354" s="10"/>
      <c r="M3354" s="10"/>
      <c r="N3354" s="10"/>
      <c r="O3354" s="10"/>
      <c r="P3354" s="10"/>
      <c r="Q3354" s="10"/>
      <c r="R3354" s="10"/>
      <c r="S3354" s="10"/>
    </row>
    <row r="3355" spans="10:19">
      <c r="J3355" s="10"/>
      <c r="K3355" s="1127"/>
      <c r="L3355" s="10"/>
      <c r="M3355" s="10"/>
      <c r="N3355" s="10"/>
      <c r="O3355" s="10"/>
      <c r="P3355" s="10"/>
      <c r="Q3355" s="10"/>
      <c r="R3355" s="10"/>
      <c r="S3355" s="10"/>
    </row>
    <row r="3356" spans="10:19">
      <c r="J3356" s="10"/>
      <c r="K3356" s="1127"/>
      <c r="L3356" s="10"/>
      <c r="M3356" s="10"/>
      <c r="N3356" s="10"/>
      <c r="O3356" s="10"/>
      <c r="P3356" s="10"/>
      <c r="Q3356" s="10"/>
      <c r="R3356" s="10"/>
      <c r="S3356" s="10"/>
    </row>
    <row r="3357" spans="10:19">
      <c r="J3357" s="10"/>
      <c r="K3357" s="1127"/>
      <c r="L3357" s="10"/>
      <c r="M3357" s="10"/>
      <c r="N3357" s="10"/>
      <c r="O3357" s="10"/>
      <c r="P3357" s="10"/>
      <c r="Q3357" s="10"/>
      <c r="R3357" s="10"/>
      <c r="S3357" s="10"/>
    </row>
    <row r="3358" spans="10:19">
      <c r="J3358" s="10"/>
      <c r="K3358" s="1127"/>
      <c r="L3358" s="10"/>
      <c r="M3358" s="10"/>
      <c r="N3358" s="10"/>
      <c r="O3358" s="10"/>
      <c r="P3358" s="10"/>
      <c r="Q3358" s="10"/>
      <c r="R3358" s="10"/>
      <c r="S3358" s="10"/>
    </row>
    <row r="3359" spans="10:19">
      <c r="J3359" s="10"/>
      <c r="K3359" s="1127"/>
      <c r="L3359" s="10"/>
      <c r="M3359" s="10"/>
      <c r="N3359" s="10"/>
      <c r="O3359" s="10"/>
      <c r="P3359" s="10"/>
      <c r="Q3359" s="10"/>
      <c r="R3359" s="10"/>
      <c r="S3359" s="10"/>
    </row>
    <row r="3360" spans="10:19">
      <c r="J3360" s="10"/>
      <c r="K3360" s="1127"/>
      <c r="L3360" s="10"/>
      <c r="M3360" s="10"/>
      <c r="N3360" s="10"/>
      <c r="O3360" s="10"/>
      <c r="P3360" s="10"/>
      <c r="Q3360" s="10"/>
      <c r="R3360" s="10"/>
      <c r="S3360" s="10"/>
    </row>
    <row r="3361" spans="10:19">
      <c r="J3361" s="10"/>
      <c r="K3361" s="1127"/>
      <c r="L3361" s="10"/>
      <c r="M3361" s="10"/>
      <c r="N3361" s="10"/>
      <c r="O3361" s="10"/>
      <c r="P3361" s="10"/>
      <c r="Q3361" s="10"/>
      <c r="R3361" s="10"/>
      <c r="S3361" s="10"/>
    </row>
    <row r="3362" spans="10:19">
      <c r="J3362" s="10"/>
      <c r="K3362" s="1127"/>
      <c r="L3362" s="10"/>
      <c r="M3362" s="10"/>
      <c r="N3362" s="10"/>
      <c r="O3362" s="10"/>
      <c r="P3362" s="10"/>
      <c r="Q3362" s="10"/>
      <c r="R3362" s="10"/>
      <c r="S3362" s="10"/>
    </row>
    <row r="3363" spans="10:19">
      <c r="J3363" s="10"/>
      <c r="K3363" s="1127"/>
      <c r="L3363" s="10"/>
      <c r="M3363" s="10"/>
      <c r="N3363" s="10"/>
      <c r="O3363" s="10"/>
      <c r="P3363" s="10"/>
      <c r="Q3363" s="10"/>
      <c r="R3363" s="10"/>
      <c r="S3363" s="10"/>
    </row>
    <row r="3364" spans="10:19">
      <c r="J3364" s="10"/>
      <c r="K3364" s="1127"/>
      <c r="L3364" s="10"/>
      <c r="M3364" s="10"/>
      <c r="N3364" s="10"/>
      <c r="O3364" s="10"/>
      <c r="P3364" s="10"/>
      <c r="Q3364" s="10"/>
      <c r="R3364" s="10"/>
      <c r="S3364" s="10"/>
    </row>
    <row r="3365" spans="10:19">
      <c r="J3365" s="10"/>
      <c r="K3365" s="1127"/>
      <c r="L3365" s="10"/>
      <c r="M3365" s="10"/>
      <c r="N3365" s="10"/>
      <c r="O3365" s="10"/>
      <c r="P3365" s="10"/>
      <c r="Q3365" s="10"/>
      <c r="R3365" s="10"/>
      <c r="S3365" s="10"/>
    </row>
    <row r="3366" spans="10:19">
      <c r="J3366" s="10"/>
      <c r="K3366" s="1127"/>
      <c r="L3366" s="10"/>
      <c r="M3366" s="10"/>
      <c r="N3366" s="10"/>
      <c r="O3366" s="10"/>
      <c r="P3366" s="10"/>
      <c r="Q3366" s="10"/>
      <c r="R3366" s="10"/>
      <c r="S3366" s="10"/>
    </row>
    <row r="3367" spans="10:19">
      <c r="J3367" s="10"/>
      <c r="K3367" s="1127"/>
      <c r="L3367" s="10"/>
      <c r="M3367" s="10"/>
      <c r="N3367" s="10"/>
      <c r="O3367" s="10"/>
      <c r="P3367" s="10"/>
      <c r="Q3367" s="10"/>
      <c r="R3367" s="10"/>
      <c r="S3367" s="10"/>
    </row>
    <row r="3368" spans="10:19">
      <c r="J3368" s="10"/>
      <c r="K3368" s="1127"/>
      <c r="L3368" s="10"/>
      <c r="M3368" s="10"/>
      <c r="N3368" s="10"/>
      <c r="O3368" s="10"/>
      <c r="P3368" s="10"/>
      <c r="Q3368" s="10"/>
      <c r="R3368" s="10"/>
      <c r="S3368" s="10"/>
    </row>
    <row r="3369" spans="10:19">
      <c r="J3369" s="10"/>
      <c r="K3369" s="1127"/>
      <c r="L3369" s="10"/>
      <c r="M3369" s="10"/>
      <c r="N3369" s="10"/>
      <c r="O3369" s="10"/>
      <c r="P3369" s="10"/>
      <c r="Q3369" s="10"/>
      <c r="R3369" s="10"/>
      <c r="S3369" s="10"/>
    </row>
    <row r="3370" spans="10:19">
      <c r="J3370" s="10"/>
      <c r="K3370" s="1127"/>
      <c r="L3370" s="10"/>
      <c r="M3370" s="10"/>
      <c r="N3370" s="10"/>
      <c r="O3370" s="10"/>
      <c r="P3370" s="10"/>
      <c r="Q3370" s="10"/>
      <c r="R3370" s="10"/>
      <c r="S3370" s="10"/>
    </row>
    <row r="3371" spans="10:19">
      <c r="J3371" s="10"/>
      <c r="K3371" s="1127"/>
      <c r="L3371" s="10"/>
      <c r="M3371" s="10"/>
      <c r="N3371" s="10"/>
      <c r="O3371" s="10"/>
      <c r="P3371" s="10"/>
      <c r="Q3371" s="10"/>
      <c r="R3371" s="10"/>
      <c r="S3371" s="10"/>
    </row>
    <row r="3372" spans="10:19">
      <c r="J3372" s="10"/>
      <c r="K3372" s="1127"/>
      <c r="L3372" s="10"/>
      <c r="M3372" s="10"/>
      <c r="N3372" s="10"/>
      <c r="O3372" s="10"/>
      <c r="P3372" s="10"/>
      <c r="Q3372" s="10"/>
      <c r="R3372" s="10"/>
      <c r="S3372" s="10"/>
    </row>
    <row r="3373" spans="10:19">
      <c r="J3373" s="10"/>
      <c r="K3373" s="1127"/>
      <c r="L3373" s="10"/>
      <c r="M3373" s="10"/>
      <c r="N3373" s="10"/>
      <c r="O3373" s="10"/>
      <c r="P3373" s="10"/>
      <c r="Q3373" s="10"/>
      <c r="R3373" s="10"/>
      <c r="S3373" s="10"/>
    </row>
    <row r="3374" spans="10:19">
      <c r="J3374" s="10"/>
      <c r="K3374" s="1127"/>
      <c r="L3374" s="10"/>
      <c r="M3374" s="10"/>
      <c r="N3374" s="10"/>
      <c r="O3374" s="10"/>
      <c r="P3374" s="10"/>
      <c r="Q3374" s="10"/>
      <c r="R3374" s="10"/>
      <c r="S3374" s="10"/>
    </row>
    <row r="3375" spans="10:19">
      <c r="J3375" s="10"/>
      <c r="K3375" s="1127"/>
      <c r="L3375" s="10"/>
      <c r="M3375" s="10"/>
      <c r="N3375" s="10"/>
      <c r="O3375" s="10"/>
      <c r="P3375" s="10"/>
      <c r="Q3375" s="10"/>
      <c r="R3375" s="10"/>
      <c r="S3375" s="10"/>
    </row>
    <row r="3376" spans="10:19">
      <c r="J3376" s="10"/>
      <c r="K3376" s="1127"/>
      <c r="L3376" s="10"/>
      <c r="M3376" s="10"/>
      <c r="N3376" s="10"/>
      <c r="O3376" s="10"/>
      <c r="P3376" s="10"/>
      <c r="Q3376" s="10"/>
      <c r="R3376" s="10"/>
      <c r="S3376" s="10"/>
    </row>
    <row r="3377" spans="10:19">
      <c r="J3377" s="10"/>
      <c r="K3377" s="1127"/>
      <c r="L3377" s="10"/>
      <c r="M3377" s="10"/>
      <c r="N3377" s="10"/>
      <c r="O3377" s="10"/>
      <c r="P3377" s="10"/>
      <c r="Q3377" s="10"/>
      <c r="R3377" s="10"/>
      <c r="S3377" s="10"/>
    </row>
    <row r="3378" spans="10:19">
      <c r="J3378" s="10"/>
      <c r="K3378" s="1127"/>
      <c r="L3378" s="10"/>
      <c r="M3378" s="10"/>
      <c r="N3378" s="10"/>
      <c r="O3378" s="10"/>
      <c r="P3378" s="10"/>
      <c r="Q3378" s="10"/>
      <c r="R3378" s="10"/>
      <c r="S3378" s="10"/>
    </row>
    <row r="3379" spans="10:19">
      <c r="J3379" s="10"/>
      <c r="K3379" s="1127"/>
      <c r="L3379" s="10"/>
      <c r="M3379" s="10"/>
      <c r="N3379" s="10"/>
      <c r="O3379" s="10"/>
      <c r="P3379" s="10"/>
      <c r="Q3379" s="10"/>
      <c r="R3379" s="10"/>
      <c r="S3379" s="10"/>
    </row>
    <row r="3380" spans="10:19">
      <c r="J3380" s="10"/>
      <c r="K3380" s="1127"/>
      <c r="L3380" s="10"/>
      <c r="M3380" s="10"/>
      <c r="N3380" s="10"/>
      <c r="O3380" s="10"/>
      <c r="P3380" s="10"/>
      <c r="Q3380" s="10"/>
      <c r="R3380" s="10"/>
      <c r="S3380" s="10"/>
    </row>
    <row r="3381" spans="10:19">
      <c r="J3381" s="10"/>
      <c r="K3381" s="1127"/>
      <c r="L3381" s="10"/>
      <c r="M3381" s="10"/>
      <c r="N3381" s="10"/>
      <c r="O3381" s="10"/>
      <c r="P3381" s="10"/>
      <c r="Q3381" s="10"/>
      <c r="R3381" s="10"/>
      <c r="S3381" s="10"/>
    </row>
    <row r="3382" spans="10:19">
      <c r="J3382" s="10"/>
      <c r="K3382" s="1127"/>
      <c r="L3382" s="10"/>
      <c r="M3382" s="10"/>
      <c r="N3382" s="10"/>
      <c r="O3382" s="10"/>
      <c r="P3382" s="10"/>
      <c r="Q3382" s="10"/>
      <c r="R3382" s="10"/>
      <c r="S3382" s="10"/>
    </row>
    <row r="3383" spans="10:19">
      <c r="J3383" s="10"/>
      <c r="K3383" s="1127"/>
      <c r="L3383" s="10"/>
      <c r="M3383" s="10"/>
      <c r="N3383" s="10"/>
      <c r="O3383" s="10"/>
      <c r="P3383" s="10"/>
      <c r="Q3383" s="10"/>
      <c r="R3383" s="10"/>
      <c r="S3383" s="10"/>
    </row>
    <row r="3384" spans="10:19">
      <c r="J3384" s="10"/>
      <c r="K3384" s="1127"/>
      <c r="L3384" s="10"/>
      <c r="M3384" s="10"/>
      <c r="N3384" s="10"/>
      <c r="O3384" s="10"/>
      <c r="P3384" s="10"/>
      <c r="Q3384" s="10"/>
      <c r="R3384" s="10"/>
      <c r="S3384" s="10"/>
    </row>
    <row r="3385" spans="10:19">
      <c r="J3385" s="10"/>
      <c r="K3385" s="1127"/>
      <c r="L3385" s="10"/>
      <c r="M3385" s="10"/>
      <c r="N3385" s="10"/>
      <c r="O3385" s="10"/>
      <c r="P3385" s="10"/>
      <c r="Q3385" s="10"/>
      <c r="R3385" s="10"/>
      <c r="S3385" s="10"/>
    </row>
    <row r="3386" spans="10:19">
      <c r="J3386" s="10"/>
      <c r="K3386" s="1127"/>
      <c r="L3386" s="10"/>
      <c r="M3386" s="10"/>
      <c r="N3386" s="10"/>
      <c r="O3386" s="10"/>
      <c r="P3386" s="10"/>
      <c r="Q3386" s="10"/>
      <c r="R3386" s="10"/>
      <c r="S3386" s="10"/>
    </row>
    <row r="3387" spans="10:19">
      <c r="J3387" s="10"/>
      <c r="K3387" s="1127"/>
      <c r="L3387" s="10"/>
      <c r="M3387" s="10"/>
      <c r="N3387" s="10"/>
      <c r="O3387" s="10"/>
      <c r="P3387" s="10"/>
      <c r="Q3387" s="10"/>
      <c r="R3387" s="10"/>
      <c r="S3387" s="10"/>
    </row>
    <row r="3388" spans="10:19">
      <c r="J3388" s="10"/>
      <c r="K3388" s="1127"/>
      <c r="L3388" s="10"/>
      <c r="M3388" s="10"/>
      <c r="N3388" s="10"/>
      <c r="O3388" s="10"/>
      <c r="P3388" s="10"/>
      <c r="Q3388" s="10"/>
      <c r="R3388" s="10"/>
      <c r="S3388" s="10"/>
    </row>
    <row r="3389" spans="10:19">
      <c r="J3389" s="10"/>
      <c r="K3389" s="1127"/>
      <c r="L3389" s="10"/>
      <c r="M3389" s="10"/>
      <c r="N3389" s="10"/>
      <c r="O3389" s="10"/>
      <c r="P3389" s="10"/>
      <c r="Q3389" s="10"/>
      <c r="R3389" s="10"/>
      <c r="S3389" s="10"/>
    </row>
    <row r="3390" spans="10:19">
      <c r="J3390" s="10"/>
      <c r="K3390" s="1127"/>
      <c r="L3390" s="10"/>
      <c r="M3390" s="10"/>
      <c r="N3390" s="10"/>
      <c r="O3390" s="10"/>
      <c r="P3390" s="10"/>
      <c r="Q3390" s="10"/>
      <c r="R3390" s="10"/>
      <c r="S3390" s="10"/>
    </row>
    <row r="3391" spans="10:19">
      <c r="J3391" s="10"/>
      <c r="K3391" s="1127"/>
      <c r="L3391" s="10"/>
      <c r="M3391" s="10"/>
      <c r="N3391" s="10"/>
      <c r="O3391" s="10"/>
      <c r="P3391" s="10"/>
      <c r="Q3391" s="10"/>
      <c r="R3391" s="10"/>
      <c r="S3391" s="10"/>
    </row>
    <row r="3392" spans="10:19">
      <c r="J3392" s="10"/>
      <c r="K3392" s="1127"/>
      <c r="L3392" s="10"/>
      <c r="M3392" s="10"/>
      <c r="N3392" s="10"/>
      <c r="O3392" s="10"/>
      <c r="P3392" s="10"/>
      <c r="Q3392" s="10"/>
      <c r="R3392" s="10"/>
      <c r="S3392" s="10"/>
    </row>
    <row r="3393" spans="10:19">
      <c r="J3393" s="10"/>
      <c r="K3393" s="1127"/>
      <c r="L3393" s="10"/>
      <c r="M3393" s="10"/>
      <c r="N3393" s="10"/>
      <c r="O3393" s="10"/>
      <c r="P3393" s="10"/>
      <c r="Q3393" s="10"/>
      <c r="R3393" s="10"/>
      <c r="S3393" s="10"/>
    </row>
    <row r="3394" spans="10:19">
      <c r="J3394" s="10"/>
      <c r="K3394" s="1127"/>
      <c r="L3394" s="10"/>
      <c r="M3394" s="10"/>
      <c r="N3394" s="10"/>
      <c r="O3394" s="10"/>
      <c r="P3394" s="10"/>
      <c r="Q3394" s="10"/>
      <c r="R3394" s="10"/>
      <c r="S3394" s="10"/>
    </row>
    <row r="3395" spans="10:19">
      <c r="J3395" s="10"/>
      <c r="K3395" s="1127"/>
      <c r="L3395" s="10"/>
      <c r="M3395" s="10"/>
      <c r="N3395" s="10"/>
      <c r="O3395" s="10"/>
      <c r="P3395" s="10"/>
      <c r="Q3395" s="10"/>
      <c r="R3395" s="10"/>
      <c r="S3395" s="10"/>
    </row>
    <row r="3396" spans="10:19">
      <c r="J3396" s="10"/>
      <c r="K3396" s="1127"/>
      <c r="L3396" s="10"/>
      <c r="M3396" s="10"/>
      <c r="N3396" s="10"/>
      <c r="O3396" s="10"/>
      <c r="P3396" s="10"/>
      <c r="Q3396" s="10"/>
      <c r="R3396" s="10"/>
      <c r="S3396" s="10"/>
    </row>
    <row r="3397" spans="10:19">
      <c r="J3397" s="10"/>
      <c r="K3397" s="1127"/>
      <c r="L3397" s="10"/>
      <c r="M3397" s="10"/>
      <c r="N3397" s="10"/>
      <c r="O3397" s="10"/>
      <c r="P3397" s="10"/>
      <c r="Q3397" s="10"/>
      <c r="R3397" s="10"/>
      <c r="S3397" s="10"/>
    </row>
    <row r="3398" spans="10:19">
      <c r="J3398" s="10"/>
      <c r="K3398" s="1127"/>
      <c r="L3398" s="10"/>
      <c r="M3398" s="10"/>
      <c r="N3398" s="10"/>
      <c r="O3398" s="10"/>
      <c r="P3398" s="10"/>
      <c r="Q3398" s="10"/>
      <c r="R3398" s="10"/>
      <c r="S3398" s="10"/>
    </row>
    <row r="3399" spans="10:19">
      <c r="J3399" s="10"/>
      <c r="K3399" s="1127"/>
      <c r="L3399" s="10"/>
      <c r="M3399" s="10"/>
      <c r="N3399" s="10"/>
      <c r="O3399" s="10"/>
      <c r="P3399" s="10"/>
      <c r="Q3399" s="10"/>
      <c r="R3399" s="10"/>
      <c r="S3399" s="10"/>
    </row>
    <row r="3400" spans="10:19">
      <c r="J3400" s="10"/>
      <c r="K3400" s="1127"/>
      <c r="L3400" s="10"/>
      <c r="M3400" s="10"/>
      <c r="N3400" s="10"/>
      <c r="O3400" s="10"/>
      <c r="P3400" s="10"/>
      <c r="Q3400" s="10"/>
      <c r="R3400" s="10"/>
      <c r="S3400" s="10"/>
    </row>
    <row r="3401" spans="10:19">
      <c r="J3401" s="10"/>
      <c r="K3401" s="1127"/>
      <c r="L3401" s="10"/>
      <c r="M3401" s="10"/>
      <c r="N3401" s="10"/>
      <c r="O3401" s="10"/>
      <c r="P3401" s="10"/>
      <c r="Q3401" s="10"/>
      <c r="R3401" s="10"/>
      <c r="S3401" s="10"/>
    </row>
    <row r="3402" spans="10:19">
      <c r="J3402" s="10"/>
      <c r="K3402" s="1127"/>
      <c r="L3402" s="10"/>
      <c r="M3402" s="10"/>
      <c r="N3402" s="10"/>
      <c r="O3402" s="10"/>
      <c r="P3402" s="10"/>
      <c r="Q3402" s="10"/>
      <c r="R3402" s="10"/>
      <c r="S3402" s="10"/>
    </row>
    <row r="3403" spans="10:19">
      <c r="J3403" s="10"/>
      <c r="K3403" s="1127"/>
      <c r="L3403" s="10"/>
      <c r="M3403" s="10"/>
      <c r="N3403" s="10"/>
      <c r="O3403" s="10"/>
      <c r="P3403" s="10"/>
      <c r="Q3403" s="10"/>
      <c r="R3403" s="10"/>
      <c r="S3403" s="10"/>
    </row>
    <row r="3404" spans="10:19">
      <c r="J3404" s="10"/>
      <c r="K3404" s="1127"/>
      <c r="L3404" s="10"/>
      <c r="M3404" s="10"/>
      <c r="N3404" s="10"/>
      <c r="O3404" s="10"/>
      <c r="P3404" s="10"/>
      <c r="Q3404" s="10"/>
      <c r="R3404" s="10"/>
      <c r="S3404" s="10"/>
    </row>
    <row r="3405" spans="10:19">
      <c r="J3405" s="10"/>
      <c r="K3405" s="1127"/>
      <c r="L3405" s="10"/>
      <c r="M3405" s="10"/>
      <c r="N3405" s="10"/>
      <c r="O3405" s="10"/>
      <c r="P3405" s="10"/>
      <c r="Q3405" s="10"/>
      <c r="R3405" s="10"/>
      <c r="S3405" s="10"/>
    </row>
    <row r="3406" spans="10:19">
      <c r="J3406" s="10"/>
      <c r="K3406" s="1127"/>
      <c r="L3406" s="10"/>
      <c r="M3406" s="10"/>
      <c r="N3406" s="10"/>
      <c r="O3406" s="10"/>
      <c r="P3406" s="10"/>
      <c r="Q3406" s="10"/>
      <c r="R3406" s="10"/>
      <c r="S3406" s="10"/>
    </row>
    <row r="3407" spans="10:19">
      <c r="J3407" s="10"/>
      <c r="K3407" s="1127"/>
      <c r="L3407" s="10"/>
      <c r="M3407" s="10"/>
      <c r="N3407" s="10"/>
      <c r="O3407" s="10"/>
      <c r="P3407" s="10"/>
      <c r="Q3407" s="10"/>
      <c r="R3407" s="10"/>
      <c r="S3407" s="10"/>
    </row>
    <row r="3408" spans="10:19">
      <c r="J3408" s="10"/>
      <c r="K3408" s="1127"/>
      <c r="L3408" s="10"/>
      <c r="M3408" s="10"/>
      <c r="N3408" s="10"/>
      <c r="O3408" s="10"/>
      <c r="P3408" s="10"/>
      <c r="Q3408" s="10"/>
      <c r="R3408" s="10"/>
      <c r="S3408" s="10"/>
    </row>
    <row r="3409" spans="10:19">
      <c r="J3409" s="10"/>
      <c r="K3409" s="1127"/>
      <c r="L3409" s="10"/>
      <c r="M3409" s="10"/>
      <c r="N3409" s="10"/>
      <c r="O3409" s="10"/>
      <c r="P3409" s="10"/>
      <c r="Q3409" s="10"/>
      <c r="R3409" s="10"/>
      <c r="S3409" s="10"/>
    </row>
    <row r="3410" spans="10:19">
      <c r="J3410" s="10"/>
      <c r="K3410" s="1127"/>
      <c r="L3410" s="10"/>
      <c r="M3410" s="10"/>
      <c r="N3410" s="10"/>
      <c r="O3410" s="10"/>
      <c r="P3410" s="10"/>
      <c r="Q3410" s="10"/>
      <c r="R3410" s="10"/>
      <c r="S3410" s="10"/>
    </row>
    <row r="3411" spans="10:19">
      <c r="J3411" s="10"/>
      <c r="K3411" s="1127"/>
      <c r="L3411" s="10"/>
      <c r="M3411" s="10"/>
      <c r="N3411" s="10"/>
      <c r="O3411" s="10"/>
      <c r="P3411" s="10"/>
      <c r="Q3411" s="10"/>
      <c r="R3411" s="10"/>
      <c r="S3411" s="10"/>
    </row>
    <row r="3412" spans="10:19">
      <c r="J3412" s="10"/>
      <c r="K3412" s="1127"/>
      <c r="L3412" s="10"/>
      <c r="M3412" s="10"/>
      <c r="N3412" s="10"/>
      <c r="O3412" s="10"/>
      <c r="P3412" s="10"/>
      <c r="Q3412" s="10"/>
      <c r="R3412" s="10"/>
      <c r="S3412" s="10"/>
    </row>
    <row r="3413" spans="10:19">
      <c r="J3413" s="10"/>
      <c r="K3413" s="1127"/>
      <c r="L3413" s="10"/>
      <c r="M3413" s="10"/>
      <c r="N3413" s="10"/>
      <c r="O3413" s="10"/>
      <c r="P3413" s="10"/>
      <c r="Q3413" s="10"/>
      <c r="R3413" s="10"/>
      <c r="S3413" s="10"/>
    </row>
    <row r="3414" spans="10:19">
      <c r="J3414" s="10"/>
      <c r="K3414" s="1127"/>
      <c r="L3414" s="10"/>
      <c r="M3414" s="10"/>
      <c r="N3414" s="10"/>
      <c r="O3414" s="10"/>
      <c r="P3414" s="10"/>
      <c r="Q3414" s="10"/>
      <c r="R3414" s="10"/>
      <c r="S3414" s="10"/>
    </row>
    <row r="3415" spans="10:19">
      <c r="J3415" s="10"/>
      <c r="K3415" s="1127"/>
      <c r="L3415" s="10"/>
      <c r="M3415" s="10"/>
      <c r="N3415" s="10"/>
      <c r="O3415" s="10"/>
      <c r="P3415" s="10"/>
      <c r="Q3415" s="10"/>
      <c r="R3415" s="10"/>
      <c r="S3415" s="10"/>
    </row>
    <row r="3416" spans="10:19">
      <c r="J3416" s="10"/>
      <c r="K3416" s="1127"/>
      <c r="L3416" s="10"/>
      <c r="M3416" s="10"/>
      <c r="N3416" s="10"/>
      <c r="O3416" s="10"/>
      <c r="P3416" s="10"/>
      <c r="Q3416" s="10"/>
      <c r="R3416" s="10"/>
      <c r="S3416" s="10"/>
    </row>
    <row r="3417" spans="10:19">
      <c r="J3417" s="10"/>
      <c r="K3417" s="1127"/>
      <c r="L3417" s="10"/>
      <c r="M3417" s="10"/>
      <c r="N3417" s="10"/>
      <c r="O3417" s="10"/>
      <c r="P3417" s="10"/>
      <c r="Q3417" s="10"/>
      <c r="R3417" s="10"/>
      <c r="S3417" s="10"/>
    </row>
    <row r="3418" spans="10:19">
      <c r="J3418" s="10"/>
      <c r="K3418" s="1127"/>
      <c r="L3418" s="10"/>
      <c r="M3418" s="10"/>
      <c r="N3418" s="10"/>
      <c r="O3418" s="10"/>
      <c r="P3418" s="10"/>
      <c r="Q3418" s="10"/>
      <c r="R3418" s="10"/>
      <c r="S3418" s="10"/>
    </row>
    <row r="3419" spans="10:19">
      <c r="J3419" s="10"/>
      <c r="K3419" s="1127"/>
      <c r="L3419" s="10"/>
      <c r="M3419" s="10"/>
      <c r="N3419" s="10"/>
      <c r="O3419" s="10"/>
      <c r="P3419" s="10"/>
      <c r="Q3419" s="10"/>
      <c r="R3419" s="10"/>
      <c r="S3419" s="10"/>
    </row>
    <row r="3420" spans="10:19">
      <c r="J3420" s="10"/>
      <c r="K3420" s="1127"/>
      <c r="L3420" s="10"/>
      <c r="M3420" s="10"/>
      <c r="N3420" s="10"/>
      <c r="O3420" s="10"/>
      <c r="P3420" s="10"/>
      <c r="Q3420" s="10"/>
      <c r="R3420" s="10"/>
      <c r="S3420" s="10"/>
    </row>
    <row r="3421" spans="10:19">
      <c r="J3421" s="10"/>
      <c r="K3421" s="1127"/>
      <c r="L3421" s="10"/>
      <c r="M3421" s="10"/>
      <c r="N3421" s="10"/>
      <c r="O3421" s="10"/>
      <c r="P3421" s="10"/>
      <c r="Q3421" s="10"/>
      <c r="R3421" s="10"/>
      <c r="S3421" s="10"/>
    </row>
    <row r="3422" spans="10:19">
      <c r="J3422" s="10"/>
      <c r="K3422" s="1127"/>
      <c r="L3422" s="10"/>
      <c r="M3422" s="10"/>
      <c r="N3422" s="10"/>
      <c r="O3422" s="10"/>
      <c r="P3422" s="10"/>
      <c r="Q3422" s="10"/>
      <c r="R3422" s="10"/>
      <c r="S3422" s="10"/>
    </row>
    <row r="3423" spans="10:19">
      <c r="J3423" s="10"/>
      <c r="K3423" s="1127"/>
      <c r="L3423" s="10"/>
      <c r="M3423" s="10"/>
      <c r="N3423" s="10"/>
      <c r="O3423" s="10"/>
      <c r="P3423" s="10"/>
      <c r="Q3423" s="10"/>
      <c r="R3423" s="10"/>
      <c r="S3423" s="10"/>
    </row>
    <row r="3424" spans="10:19">
      <c r="J3424" s="10"/>
      <c r="K3424" s="1127"/>
      <c r="L3424" s="10"/>
      <c r="M3424" s="10"/>
      <c r="N3424" s="10"/>
      <c r="O3424" s="10"/>
      <c r="P3424" s="10"/>
      <c r="Q3424" s="10"/>
      <c r="R3424" s="10"/>
      <c r="S3424" s="10"/>
    </row>
    <row r="3425" spans="10:19">
      <c r="J3425" s="10"/>
      <c r="K3425" s="1127"/>
      <c r="L3425" s="10"/>
      <c r="M3425" s="10"/>
      <c r="N3425" s="10"/>
      <c r="O3425" s="10"/>
      <c r="P3425" s="10"/>
      <c r="Q3425" s="10"/>
      <c r="R3425" s="10"/>
      <c r="S3425" s="10"/>
    </row>
    <row r="3426" spans="10:19">
      <c r="J3426" s="10"/>
      <c r="K3426" s="1127"/>
      <c r="L3426" s="10"/>
      <c r="M3426" s="10"/>
      <c r="N3426" s="10"/>
      <c r="O3426" s="10"/>
      <c r="P3426" s="10"/>
      <c r="Q3426" s="10"/>
      <c r="R3426" s="10"/>
      <c r="S3426" s="10"/>
    </row>
    <row r="3427" spans="10:19">
      <c r="J3427" s="10"/>
      <c r="K3427" s="1127"/>
      <c r="L3427" s="10"/>
      <c r="M3427" s="10"/>
      <c r="N3427" s="10"/>
      <c r="O3427" s="10"/>
      <c r="P3427" s="10"/>
      <c r="Q3427" s="10"/>
      <c r="R3427" s="10"/>
      <c r="S3427" s="10"/>
    </row>
    <row r="3428" spans="10:19">
      <c r="J3428" s="10"/>
      <c r="K3428" s="1127"/>
      <c r="L3428" s="10"/>
      <c r="M3428" s="10"/>
      <c r="N3428" s="10"/>
      <c r="O3428" s="10"/>
      <c r="P3428" s="10"/>
      <c r="Q3428" s="10"/>
      <c r="R3428" s="10"/>
      <c r="S3428" s="10"/>
    </row>
    <row r="3429" spans="10:19">
      <c r="J3429" s="10"/>
      <c r="K3429" s="1127"/>
      <c r="L3429" s="10"/>
      <c r="M3429" s="10"/>
      <c r="N3429" s="10"/>
      <c r="O3429" s="10"/>
      <c r="P3429" s="10"/>
      <c r="Q3429" s="10"/>
      <c r="R3429" s="10"/>
      <c r="S3429" s="10"/>
    </row>
    <row r="3430" spans="10:19">
      <c r="J3430" s="10"/>
      <c r="K3430" s="1127"/>
      <c r="L3430" s="10"/>
      <c r="M3430" s="10"/>
      <c r="N3430" s="10"/>
      <c r="O3430" s="10"/>
      <c r="P3430" s="10"/>
      <c r="Q3430" s="10"/>
      <c r="R3430" s="10"/>
      <c r="S3430" s="10"/>
    </row>
    <row r="3431" spans="10:19">
      <c r="J3431" s="10"/>
      <c r="K3431" s="1127"/>
      <c r="L3431" s="10"/>
      <c r="M3431" s="10"/>
      <c r="N3431" s="10"/>
      <c r="O3431" s="10"/>
      <c r="P3431" s="10"/>
      <c r="Q3431" s="10"/>
      <c r="R3431" s="10"/>
      <c r="S3431" s="10"/>
    </row>
    <row r="3432" spans="10:19">
      <c r="J3432" s="10"/>
      <c r="K3432" s="1127"/>
      <c r="L3432" s="10"/>
      <c r="M3432" s="10"/>
      <c r="N3432" s="10"/>
      <c r="O3432" s="10"/>
      <c r="P3432" s="10"/>
      <c r="Q3432" s="10"/>
      <c r="R3432" s="10"/>
      <c r="S3432" s="10"/>
    </row>
    <row r="3433" spans="10:19">
      <c r="J3433" s="10"/>
      <c r="K3433" s="1127"/>
      <c r="L3433" s="10"/>
      <c r="M3433" s="10"/>
      <c r="N3433" s="10"/>
      <c r="O3433" s="10"/>
      <c r="P3433" s="10"/>
      <c r="Q3433" s="10"/>
      <c r="R3433" s="10"/>
      <c r="S3433" s="10"/>
    </row>
    <row r="3434" spans="10:19">
      <c r="J3434" s="10"/>
      <c r="K3434" s="1127"/>
      <c r="L3434" s="10"/>
      <c r="M3434" s="10"/>
      <c r="N3434" s="10"/>
      <c r="O3434" s="10"/>
      <c r="P3434" s="10"/>
      <c r="Q3434" s="10"/>
      <c r="R3434" s="10"/>
      <c r="S3434" s="10"/>
    </row>
    <row r="3435" spans="10:19">
      <c r="J3435" s="10"/>
      <c r="K3435" s="1127"/>
      <c r="L3435" s="10"/>
      <c r="M3435" s="10"/>
      <c r="N3435" s="10"/>
      <c r="O3435" s="10"/>
      <c r="P3435" s="10"/>
      <c r="Q3435" s="10"/>
      <c r="R3435" s="10"/>
      <c r="S3435" s="10"/>
    </row>
    <row r="3436" spans="10:19">
      <c r="J3436" s="10"/>
      <c r="K3436" s="1127"/>
      <c r="L3436" s="10"/>
      <c r="M3436" s="10"/>
      <c r="N3436" s="10"/>
      <c r="O3436" s="10"/>
      <c r="P3436" s="10"/>
      <c r="Q3436" s="10"/>
      <c r="R3436" s="10"/>
      <c r="S3436" s="10"/>
    </row>
    <row r="3437" spans="10:19">
      <c r="J3437" s="10"/>
      <c r="K3437" s="1127"/>
      <c r="L3437" s="10"/>
      <c r="M3437" s="10"/>
      <c r="N3437" s="10"/>
      <c r="O3437" s="10"/>
      <c r="P3437" s="10"/>
      <c r="Q3437" s="10"/>
      <c r="R3437" s="10"/>
      <c r="S3437" s="10"/>
    </row>
    <row r="3438" spans="10:19">
      <c r="J3438" s="10"/>
      <c r="K3438" s="1127"/>
      <c r="L3438" s="10"/>
      <c r="M3438" s="10"/>
      <c r="N3438" s="10"/>
      <c r="O3438" s="10"/>
      <c r="P3438" s="10"/>
      <c r="Q3438" s="10"/>
      <c r="R3438" s="10"/>
      <c r="S3438" s="10"/>
    </row>
    <row r="3439" spans="10:19">
      <c r="J3439" s="10"/>
      <c r="K3439" s="1127"/>
      <c r="L3439" s="10"/>
      <c r="M3439" s="10"/>
      <c r="N3439" s="10"/>
      <c r="O3439" s="10"/>
      <c r="P3439" s="10"/>
      <c r="Q3439" s="10"/>
      <c r="R3439" s="10"/>
      <c r="S3439" s="10"/>
    </row>
    <row r="3440" spans="10:19">
      <c r="J3440" s="10"/>
      <c r="K3440" s="1127"/>
      <c r="L3440" s="10"/>
      <c r="M3440" s="10"/>
      <c r="N3440" s="10"/>
      <c r="O3440" s="10"/>
      <c r="P3440" s="10"/>
      <c r="Q3440" s="10"/>
      <c r="R3440" s="10"/>
      <c r="S3440" s="10"/>
    </row>
    <row r="3441" spans="10:19">
      <c r="J3441" s="10"/>
      <c r="K3441" s="1127"/>
      <c r="L3441" s="10"/>
      <c r="M3441" s="10"/>
      <c r="N3441" s="10"/>
      <c r="O3441" s="10"/>
      <c r="P3441" s="10"/>
      <c r="Q3441" s="10"/>
      <c r="R3441" s="10"/>
      <c r="S3441" s="10"/>
    </row>
    <row r="3442" spans="10:19">
      <c r="J3442" s="10"/>
      <c r="K3442" s="1127"/>
      <c r="L3442" s="10"/>
      <c r="M3442" s="10"/>
      <c r="N3442" s="10"/>
      <c r="O3442" s="10"/>
      <c r="P3442" s="10"/>
      <c r="Q3442" s="10"/>
      <c r="R3442" s="10"/>
      <c r="S3442" s="10"/>
    </row>
    <row r="3443" spans="10:19">
      <c r="J3443" s="10"/>
      <c r="K3443" s="1127"/>
      <c r="L3443" s="10"/>
      <c r="M3443" s="10"/>
      <c r="N3443" s="10"/>
      <c r="O3443" s="10"/>
      <c r="P3443" s="10"/>
      <c r="Q3443" s="10"/>
      <c r="R3443" s="10"/>
      <c r="S3443" s="10"/>
    </row>
    <row r="3444" spans="10:19">
      <c r="J3444" s="10"/>
      <c r="K3444" s="1127"/>
      <c r="L3444" s="10"/>
      <c r="M3444" s="10"/>
      <c r="N3444" s="10"/>
      <c r="O3444" s="10"/>
      <c r="P3444" s="10"/>
      <c r="Q3444" s="10"/>
      <c r="R3444" s="10"/>
      <c r="S3444" s="10"/>
    </row>
    <row r="3445" spans="10:19">
      <c r="J3445" s="10"/>
      <c r="K3445" s="1127"/>
      <c r="L3445" s="10"/>
      <c r="M3445" s="10"/>
      <c r="N3445" s="10"/>
      <c r="O3445" s="10"/>
      <c r="P3445" s="10"/>
      <c r="Q3445" s="10"/>
      <c r="R3445" s="10"/>
      <c r="S3445" s="10"/>
    </row>
    <row r="3446" spans="10:19">
      <c r="J3446" s="10"/>
      <c r="K3446" s="1127"/>
      <c r="L3446" s="10"/>
      <c r="M3446" s="10"/>
      <c r="N3446" s="10"/>
      <c r="O3446" s="10"/>
      <c r="P3446" s="10"/>
      <c r="Q3446" s="10"/>
      <c r="R3446" s="10"/>
      <c r="S3446" s="10"/>
    </row>
    <row r="3447" spans="10:19">
      <c r="J3447" s="10"/>
      <c r="K3447" s="1127"/>
      <c r="L3447" s="10"/>
      <c r="M3447" s="10"/>
      <c r="N3447" s="10"/>
      <c r="O3447" s="10"/>
      <c r="P3447" s="10"/>
      <c r="Q3447" s="10"/>
      <c r="R3447" s="10"/>
      <c r="S3447" s="10"/>
    </row>
    <row r="3448" spans="10:19">
      <c r="J3448" s="10"/>
      <c r="K3448" s="1127"/>
      <c r="L3448" s="10"/>
      <c r="M3448" s="10"/>
      <c r="N3448" s="10"/>
      <c r="O3448" s="10"/>
      <c r="P3448" s="10"/>
      <c r="Q3448" s="10"/>
      <c r="R3448" s="10"/>
      <c r="S3448" s="10"/>
    </row>
    <row r="3449" spans="10:19">
      <c r="J3449" s="10"/>
      <c r="K3449" s="1127"/>
      <c r="L3449" s="10"/>
      <c r="M3449" s="10"/>
      <c r="N3449" s="10"/>
      <c r="O3449" s="10"/>
      <c r="P3449" s="10"/>
      <c r="Q3449" s="10"/>
      <c r="R3449" s="10"/>
      <c r="S3449" s="10"/>
    </row>
    <row r="3450" spans="10:19">
      <c r="J3450" s="10"/>
      <c r="K3450" s="1127"/>
      <c r="L3450" s="10"/>
      <c r="M3450" s="10"/>
      <c r="N3450" s="10"/>
      <c r="O3450" s="10"/>
      <c r="P3450" s="10"/>
      <c r="Q3450" s="10"/>
      <c r="R3450" s="10"/>
      <c r="S3450" s="10"/>
    </row>
    <row r="3451" spans="10:19">
      <c r="J3451" s="10"/>
      <c r="K3451" s="1127"/>
      <c r="L3451" s="10"/>
      <c r="M3451" s="10"/>
      <c r="N3451" s="10"/>
      <c r="O3451" s="10"/>
      <c r="P3451" s="10"/>
      <c r="Q3451" s="10"/>
      <c r="R3451" s="10"/>
      <c r="S3451" s="10"/>
    </row>
    <row r="3452" spans="10:19">
      <c r="J3452" s="10"/>
      <c r="K3452" s="1127"/>
      <c r="L3452" s="10"/>
      <c r="M3452" s="10"/>
      <c r="N3452" s="10"/>
      <c r="O3452" s="10"/>
      <c r="P3452" s="10"/>
      <c r="Q3452" s="10"/>
      <c r="R3452" s="10"/>
      <c r="S3452" s="10"/>
    </row>
    <row r="3453" spans="10:19">
      <c r="J3453" s="10"/>
      <c r="K3453" s="1127"/>
      <c r="L3453" s="10"/>
      <c r="M3453" s="10"/>
      <c r="N3453" s="10"/>
      <c r="O3453" s="10"/>
      <c r="P3453" s="10"/>
      <c r="Q3453" s="10"/>
      <c r="R3453" s="10"/>
      <c r="S3453" s="10"/>
    </row>
    <row r="3454" spans="10:19">
      <c r="J3454" s="10"/>
      <c r="K3454" s="1127"/>
      <c r="L3454" s="10"/>
      <c r="M3454" s="10"/>
      <c r="N3454" s="10"/>
      <c r="O3454" s="10"/>
      <c r="P3454" s="10"/>
      <c r="Q3454" s="10"/>
      <c r="R3454" s="10"/>
      <c r="S3454" s="10"/>
    </row>
    <row r="3455" spans="10:19">
      <c r="J3455" s="10"/>
      <c r="K3455" s="1127"/>
      <c r="L3455" s="10"/>
      <c r="M3455" s="10"/>
      <c r="N3455" s="10"/>
      <c r="O3455" s="10"/>
      <c r="P3455" s="10"/>
      <c r="Q3455" s="10"/>
      <c r="R3455" s="10"/>
      <c r="S3455" s="10"/>
    </row>
    <row r="3456" spans="10:19">
      <c r="J3456" s="10"/>
      <c r="K3456" s="1127"/>
      <c r="L3456" s="10"/>
      <c r="M3456" s="10"/>
      <c r="N3456" s="10"/>
      <c r="O3456" s="10"/>
      <c r="P3456" s="10"/>
      <c r="Q3456" s="10"/>
      <c r="R3456" s="10"/>
      <c r="S3456" s="10"/>
    </row>
    <row r="3457" spans="10:19">
      <c r="J3457" s="10"/>
      <c r="K3457" s="1127"/>
      <c r="L3457" s="10"/>
      <c r="M3457" s="10"/>
      <c r="N3457" s="10"/>
      <c r="O3457" s="10"/>
      <c r="P3457" s="10"/>
      <c r="Q3457" s="10"/>
      <c r="R3457" s="10"/>
      <c r="S3457" s="10"/>
    </row>
    <row r="3458" spans="10:19">
      <c r="J3458" s="10"/>
      <c r="K3458" s="1127"/>
      <c r="L3458" s="10"/>
      <c r="M3458" s="10"/>
      <c r="N3458" s="10"/>
      <c r="O3458" s="10"/>
      <c r="P3458" s="10"/>
      <c r="Q3458" s="10"/>
      <c r="R3458" s="10"/>
      <c r="S3458" s="10"/>
    </row>
    <row r="3459" spans="10:19">
      <c r="J3459" s="10"/>
      <c r="K3459" s="1127"/>
      <c r="L3459" s="10"/>
      <c r="M3459" s="10"/>
      <c r="N3459" s="10"/>
      <c r="O3459" s="10"/>
      <c r="P3459" s="10"/>
      <c r="Q3459" s="10"/>
      <c r="R3459" s="10"/>
      <c r="S3459" s="10"/>
    </row>
    <row r="3460" spans="10:19">
      <c r="J3460" s="10"/>
      <c r="K3460" s="1127"/>
      <c r="L3460" s="10"/>
      <c r="M3460" s="10"/>
      <c r="N3460" s="10"/>
      <c r="O3460" s="10"/>
      <c r="P3460" s="10"/>
      <c r="Q3460" s="10"/>
      <c r="R3460" s="10"/>
      <c r="S3460" s="10"/>
    </row>
    <row r="3461" spans="10:19">
      <c r="J3461" s="10"/>
      <c r="K3461" s="1127"/>
      <c r="L3461" s="10"/>
      <c r="M3461" s="10"/>
      <c r="N3461" s="10"/>
      <c r="O3461" s="10"/>
      <c r="P3461" s="10"/>
      <c r="Q3461" s="10"/>
      <c r="R3461" s="10"/>
      <c r="S3461" s="10"/>
    </row>
    <row r="3462" spans="10:19">
      <c r="J3462" s="10"/>
      <c r="K3462" s="1127"/>
      <c r="L3462" s="10"/>
      <c r="M3462" s="10"/>
      <c r="N3462" s="10"/>
      <c r="O3462" s="10"/>
      <c r="P3462" s="10"/>
      <c r="Q3462" s="10"/>
      <c r="R3462" s="10"/>
      <c r="S3462" s="10"/>
    </row>
    <row r="3463" spans="10:19">
      <c r="J3463" s="10"/>
      <c r="K3463" s="1127"/>
      <c r="L3463" s="10"/>
      <c r="M3463" s="10"/>
      <c r="N3463" s="10"/>
      <c r="O3463" s="10"/>
      <c r="P3463" s="10"/>
      <c r="Q3463" s="10"/>
      <c r="R3463" s="10"/>
      <c r="S3463" s="10"/>
    </row>
    <row r="3464" spans="10:19">
      <c r="J3464" s="10"/>
      <c r="K3464" s="1127"/>
      <c r="L3464" s="10"/>
      <c r="M3464" s="10"/>
      <c r="N3464" s="10"/>
      <c r="O3464" s="10"/>
      <c r="P3464" s="10"/>
      <c r="Q3464" s="10"/>
      <c r="R3464" s="10"/>
      <c r="S3464" s="10"/>
    </row>
    <row r="3465" spans="10:19">
      <c r="J3465" s="10"/>
      <c r="K3465" s="1127"/>
      <c r="L3465" s="10"/>
      <c r="M3465" s="10"/>
      <c r="N3465" s="10"/>
      <c r="O3465" s="10"/>
      <c r="P3465" s="10"/>
      <c r="Q3465" s="10"/>
      <c r="R3465" s="10"/>
      <c r="S3465" s="10"/>
    </row>
    <row r="3466" spans="10:19">
      <c r="J3466" s="10"/>
      <c r="K3466" s="1127"/>
      <c r="L3466" s="10"/>
      <c r="M3466" s="10"/>
      <c r="N3466" s="10"/>
      <c r="O3466" s="10"/>
      <c r="P3466" s="10"/>
      <c r="Q3466" s="10"/>
      <c r="R3466" s="10"/>
      <c r="S3466" s="10"/>
    </row>
    <row r="3467" spans="10:19">
      <c r="J3467" s="10"/>
      <c r="K3467" s="1127"/>
      <c r="L3467" s="10"/>
      <c r="M3467" s="10"/>
      <c r="N3467" s="10"/>
      <c r="O3467" s="10"/>
      <c r="P3467" s="10"/>
      <c r="Q3467" s="10"/>
      <c r="R3467" s="10"/>
      <c r="S3467" s="10"/>
    </row>
    <row r="3468" spans="10:19">
      <c r="J3468" s="10"/>
      <c r="K3468" s="1127"/>
      <c r="L3468" s="10"/>
      <c r="M3468" s="10"/>
      <c r="N3468" s="10"/>
      <c r="O3468" s="10"/>
      <c r="P3468" s="10"/>
      <c r="Q3468" s="10"/>
      <c r="R3468" s="10"/>
      <c r="S3468" s="10"/>
    </row>
    <row r="3469" spans="10:19">
      <c r="J3469" s="10"/>
      <c r="K3469" s="1127"/>
      <c r="L3469" s="10"/>
      <c r="M3469" s="10"/>
      <c r="N3469" s="10"/>
      <c r="O3469" s="10"/>
      <c r="P3469" s="10"/>
      <c r="Q3469" s="10"/>
      <c r="R3469" s="10"/>
      <c r="S3469" s="10"/>
    </row>
    <row r="3470" spans="10:19">
      <c r="J3470" s="10"/>
      <c r="K3470" s="1127"/>
      <c r="L3470" s="10"/>
      <c r="M3470" s="10"/>
      <c r="N3470" s="10"/>
      <c r="O3470" s="10"/>
      <c r="P3470" s="10"/>
      <c r="Q3470" s="10"/>
      <c r="R3470" s="10"/>
      <c r="S3470" s="10"/>
    </row>
    <row r="3471" spans="10:19">
      <c r="J3471" s="10"/>
      <c r="K3471" s="1127"/>
      <c r="L3471" s="10"/>
      <c r="M3471" s="10"/>
      <c r="N3471" s="10"/>
      <c r="O3471" s="10"/>
      <c r="P3471" s="10"/>
      <c r="Q3471" s="10"/>
      <c r="R3471" s="10"/>
      <c r="S3471" s="10"/>
    </row>
    <row r="3472" spans="10:19">
      <c r="J3472" s="10"/>
      <c r="K3472" s="1127"/>
      <c r="L3472" s="10"/>
      <c r="M3472" s="10"/>
      <c r="N3472" s="10"/>
      <c r="O3472" s="10"/>
      <c r="P3472" s="10"/>
      <c r="Q3472" s="10"/>
      <c r="R3472" s="10"/>
      <c r="S3472" s="10"/>
    </row>
    <row r="3473" spans="10:19">
      <c r="J3473" s="10"/>
      <c r="K3473" s="1127"/>
      <c r="L3473" s="10"/>
      <c r="M3473" s="10"/>
      <c r="N3473" s="10"/>
      <c r="O3473" s="10"/>
      <c r="P3473" s="10"/>
      <c r="Q3473" s="10"/>
      <c r="R3473" s="10"/>
      <c r="S3473" s="10"/>
    </row>
    <row r="3474" spans="10:19">
      <c r="J3474" s="10"/>
      <c r="K3474" s="1127"/>
      <c r="L3474" s="10"/>
      <c r="M3474" s="10"/>
      <c r="N3474" s="10"/>
      <c r="O3474" s="10"/>
      <c r="P3474" s="10"/>
      <c r="Q3474" s="10"/>
      <c r="R3474" s="10"/>
      <c r="S3474" s="10"/>
    </row>
    <row r="3475" spans="10:19">
      <c r="J3475" s="10"/>
      <c r="K3475" s="1127"/>
      <c r="L3475" s="10"/>
      <c r="M3475" s="10"/>
      <c r="N3475" s="10"/>
      <c r="O3475" s="10"/>
      <c r="P3475" s="10"/>
      <c r="Q3475" s="10"/>
      <c r="R3475" s="10"/>
      <c r="S3475" s="10"/>
    </row>
    <row r="3476" spans="10:19">
      <c r="J3476" s="10"/>
      <c r="K3476" s="1127"/>
      <c r="L3476" s="10"/>
      <c r="M3476" s="10"/>
      <c r="N3476" s="10"/>
      <c r="O3476" s="10"/>
      <c r="P3476" s="10"/>
      <c r="Q3476" s="10"/>
      <c r="R3476" s="10"/>
      <c r="S3476" s="10"/>
    </row>
    <row r="3477" spans="10:19">
      <c r="J3477" s="10"/>
      <c r="K3477" s="1127"/>
      <c r="L3477" s="10"/>
      <c r="M3477" s="10"/>
      <c r="N3477" s="10"/>
      <c r="O3477" s="10"/>
      <c r="P3477" s="10"/>
      <c r="Q3477" s="10"/>
      <c r="R3477" s="10"/>
      <c r="S3477" s="10"/>
    </row>
    <row r="3478" spans="10:19">
      <c r="J3478" s="10"/>
      <c r="K3478" s="1127"/>
      <c r="L3478" s="10"/>
      <c r="M3478" s="10"/>
      <c r="N3478" s="10"/>
      <c r="O3478" s="10"/>
      <c r="P3478" s="10"/>
      <c r="Q3478" s="10"/>
      <c r="R3478" s="10"/>
      <c r="S3478" s="10"/>
    </row>
    <row r="3479" spans="10:19">
      <c r="J3479" s="10"/>
      <c r="K3479" s="1127"/>
      <c r="L3479" s="10"/>
      <c r="M3479" s="10"/>
      <c r="N3479" s="10"/>
      <c r="O3479" s="10"/>
      <c r="P3479" s="10"/>
      <c r="Q3479" s="10"/>
      <c r="R3479" s="10"/>
      <c r="S3479" s="10"/>
    </row>
    <row r="3480" spans="10:19">
      <c r="J3480" s="10"/>
      <c r="K3480" s="1127"/>
      <c r="L3480" s="10"/>
      <c r="M3480" s="10"/>
      <c r="N3480" s="10"/>
      <c r="O3480" s="10"/>
      <c r="P3480" s="10"/>
      <c r="Q3480" s="10"/>
      <c r="R3480" s="10"/>
      <c r="S3480" s="10"/>
    </row>
    <row r="3481" spans="10:19">
      <c r="J3481" s="10"/>
      <c r="K3481" s="1127"/>
      <c r="L3481" s="10"/>
      <c r="M3481" s="10"/>
      <c r="N3481" s="10"/>
      <c r="O3481" s="10"/>
      <c r="P3481" s="10"/>
      <c r="Q3481" s="10"/>
      <c r="R3481" s="10"/>
      <c r="S3481" s="10"/>
    </row>
    <row r="3482" spans="10:19">
      <c r="J3482" s="10"/>
      <c r="K3482" s="1127"/>
      <c r="L3482" s="10"/>
      <c r="M3482" s="10"/>
      <c r="N3482" s="10"/>
      <c r="O3482" s="10"/>
      <c r="P3482" s="10"/>
      <c r="Q3482" s="10"/>
      <c r="R3482" s="10"/>
      <c r="S3482" s="10"/>
    </row>
    <row r="3483" spans="10:19">
      <c r="J3483" s="10"/>
      <c r="K3483" s="1127"/>
      <c r="L3483" s="10"/>
      <c r="M3483" s="10"/>
      <c r="N3483" s="10"/>
      <c r="O3483" s="10"/>
      <c r="P3483" s="10"/>
      <c r="Q3483" s="10"/>
      <c r="R3483" s="10"/>
      <c r="S3483" s="10"/>
    </row>
    <row r="3484" spans="10:19">
      <c r="J3484" s="10"/>
      <c r="K3484" s="1127"/>
      <c r="L3484" s="10"/>
      <c r="M3484" s="10"/>
      <c r="N3484" s="10"/>
      <c r="O3484" s="10"/>
      <c r="P3484" s="10"/>
      <c r="Q3484" s="10"/>
      <c r="R3484" s="10"/>
      <c r="S3484" s="10"/>
    </row>
    <row r="3485" spans="10:19">
      <c r="J3485" s="10"/>
      <c r="K3485" s="1127"/>
      <c r="L3485" s="10"/>
      <c r="M3485" s="10"/>
      <c r="N3485" s="10"/>
      <c r="O3485" s="10"/>
      <c r="P3485" s="10"/>
      <c r="Q3485" s="10"/>
      <c r="R3485" s="10"/>
      <c r="S3485" s="10"/>
    </row>
    <row r="3486" spans="10:19">
      <c r="J3486" s="10"/>
      <c r="K3486" s="1127"/>
      <c r="L3486" s="10"/>
      <c r="M3486" s="10"/>
      <c r="N3486" s="10"/>
      <c r="O3486" s="10"/>
      <c r="P3486" s="10"/>
      <c r="Q3486" s="10"/>
      <c r="R3486" s="10"/>
      <c r="S3486" s="10"/>
    </row>
    <row r="3487" spans="10:19">
      <c r="J3487" s="10"/>
      <c r="K3487" s="1127"/>
      <c r="L3487" s="10"/>
      <c r="M3487" s="10"/>
      <c r="N3487" s="10"/>
      <c r="O3487" s="10"/>
      <c r="P3487" s="10"/>
      <c r="Q3487" s="10"/>
      <c r="R3487" s="10"/>
      <c r="S3487" s="10"/>
    </row>
    <row r="3488" spans="10:19">
      <c r="J3488" s="10"/>
      <c r="K3488" s="1127"/>
      <c r="L3488" s="10"/>
      <c r="M3488" s="10"/>
      <c r="N3488" s="10"/>
      <c r="O3488" s="10"/>
      <c r="P3488" s="10"/>
      <c r="Q3488" s="10"/>
      <c r="R3488" s="10"/>
      <c r="S3488" s="10"/>
    </row>
    <row r="3489" spans="10:19">
      <c r="J3489" s="10"/>
      <c r="K3489" s="1127"/>
      <c r="L3489" s="10"/>
      <c r="M3489" s="10"/>
      <c r="N3489" s="10"/>
      <c r="O3489" s="10"/>
      <c r="P3489" s="10"/>
      <c r="Q3489" s="10"/>
      <c r="R3489" s="10"/>
      <c r="S3489" s="10"/>
    </row>
    <row r="3490" spans="10:19">
      <c r="J3490" s="10"/>
      <c r="K3490" s="1127"/>
      <c r="L3490" s="10"/>
      <c r="M3490" s="10"/>
      <c r="N3490" s="10"/>
      <c r="O3490" s="10"/>
      <c r="P3490" s="10"/>
      <c r="Q3490" s="10"/>
      <c r="R3490" s="10"/>
      <c r="S3490" s="10"/>
    </row>
    <row r="3491" spans="10:19">
      <c r="J3491" s="10"/>
      <c r="K3491" s="1127"/>
      <c r="L3491" s="10"/>
      <c r="M3491" s="10"/>
      <c r="N3491" s="10"/>
      <c r="O3491" s="10"/>
      <c r="P3491" s="10"/>
      <c r="Q3491" s="10"/>
      <c r="R3491" s="10"/>
      <c r="S3491" s="10"/>
    </row>
    <row r="3492" spans="10:19">
      <c r="J3492" s="10"/>
      <c r="K3492" s="1127"/>
      <c r="L3492" s="10"/>
      <c r="M3492" s="10"/>
      <c r="N3492" s="10"/>
      <c r="O3492" s="10"/>
      <c r="P3492" s="10"/>
      <c r="Q3492" s="10"/>
      <c r="R3492" s="10"/>
      <c r="S3492" s="10"/>
    </row>
    <row r="3493" spans="10:19">
      <c r="J3493" s="10"/>
      <c r="K3493" s="1127"/>
      <c r="L3493" s="10"/>
      <c r="M3493" s="10"/>
      <c r="N3493" s="10"/>
      <c r="O3493" s="10"/>
      <c r="P3493" s="10"/>
      <c r="Q3493" s="10"/>
      <c r="R3493" s="10"/>
      <c r="S3493" s="10"/>
    </row>
    <row r="3494" spans="10:19">
      <c r="J3494" s="10"/>
      <c r="K3494" s="1127"/>
      <c r="L3494" s="10"/>
      <c r="M3494" s="10"/>
      <c r="N3494" s="10"/>
      <c r="O3494" s="10"/>
      <c r="P3494" s="10"/>
      <c r="Q3494" s="10"/>
      <c r="R3494" s="10"/>
      <c r="S3494" s="10"/>
    </row>
    <row r="3495" spans="10:19">
      <c r="J3495" s="10"/>
      <c r="K3495" s="1127"/>
      <c r="L3495" s="10"/>
      <c r="M3495" s="10"/>
      <c r="N3495" s="10"/>
      <c r="O3495" s="10"/>
      <c r="P3495" s="10"/>
      <c r="Q3495" s="10"/>
      <c r="R3495" s="10"/>
      <c r="S3495" s="10"/>
    </row>
    <row r="3496" spans="10:19">
      <c r="J3496" s="10"/>
      <c r="K3496" s="1127"/>
      <c r="L3496" s="10"/>
      <c r="M3496" s="10"/>
      <c r="N3496" s="10"/>
      <c r="O3496" s="10"/>
      <c r="P3496" s="10"/>
      <c r="Q3496" s="10"/>
      <c r="R3496" s="10"/>
      <c r="S3496" s="10"/>
    </row>
    <row r="3497" spans="10:19">
      <c r="J3497" s="10"/>
      <c r="K3497" s="1127"/>
      <c r="L3497" s="10"/>
      <c r="M3497" s="10"/>
      <c r="N3497" s="10"/>
      <c r="O3497" s="10"/>
      <c r="P3497" s="10"/>
      <c r="Q3497" s="10"/>
      <c r="R3497" s="10"/>
      <c r="S3497" s="10"/>
    </row>
    <row r="3498" spans="10:19">
      <c r="J3498" s="10"/>
      <c r="K3498" s="1127"/>
      <c r="L3498" s="10"/>
      <c r="M3498" s="10"/>
      <c r="N3498" s="10"/>
      <c r="O3498" s="10"/>
      <c r="P3498" s="10"/>
      <c r="Q3498" s="10"/>
      <c r="R3498" s="10"/>
      <c r="S3498" s="10"/>
    </row>
    <row r="3499" spans="10:19">
      <c r="J3499" s="10"/>
      <c r="K3499" s="1127"/>
      <c r="L3499" s="10"/>
      <c r="M3499" s="10"/>
      <c r="N3499" s="10"/>
      <c r="O3499" s="10"/>
      <c r="P3499" s="10"/>
      <c r="Q3499" s="10"/>
      <c r="R3499" s="10"/>
      <c r="S3499" s="10"/>
    </row>
    <row r="3500" spans="10:19">
      <c r="J3500" s="10"/>
      <c r="K3500" s="1127"/>
      <c r="L3500" s="10"/>
      <c r="M3500" s="10"/>
      <c r="N3500" s="10"/>
      <c r="O3500" s="10"/>
      <c r="P3500" s="10"/>
      <c r="Q3500" s="10"/>
      <c r="R3500" s="10"/>
      <c r="S3500" s="10"/>
    </row>
    <row r="3501" spans="10:19">
      <c r="J3501" s="10"/>
      <c r="K3501" s="1127"/>
      <c r="L3501" s="10"/>
      <c r="M3501" s="10"/>
      <c r="N3501" s="10"/>
      <c r="O3501" s="10"/>
      <c r="P3501" s="10"/>
      <c r="Q3501" s="10"/>
      <c r="R3501" s="10"/>
      <c r="S3501" s="10"/>
    </row>
    <row r="3502" spans="10:19">
      <c r="J3502" s="10"/>
      <c r="K3502" s="1127"/>
      <c r="L3502" s="10"/>
      <c r="M3502" s="10"/>
      <c r="N3502" s="10"/>
      <c r="O3502" s="10"/>
      <c r="P3502" s="10"/>
      <c r="Q3502" s="10"/>
      <c r="R3502" s="10"/>
      <c r="S3502" s="10"/>
    </row>
    <row r="3503" spans="10:19">
      <c r="J3503" s="10"/>
      <c r="K3503" s="1127"/>
      <c r="L3503" s="10"/>
      <c r="M3503" s="10"/>
      <c r="N3503" s="10"/>
      <c r="O3503" s="10"/>
      <c r="P3503" s="10"/>
      <c r="Q3503" s="10"/>
      <c r="R3503" s="10"/>
      <c r="S3503" s="10"/>
    </row>
    <row r="3504" spans="10:19">
      <c r="J3504" s="10"/>
      <c r="K3504" s="1127"/>
      <c r="L3504" s="10"/>
      <c r="M3504" s="10"/>
      <c r="N3504" s="10"/>
      <c r="O3504" s="10"/>
      <c r="P3504" s="10"/>
      <c r="Q3504" s="10"/>
      <c r="R3504" s="10"/>
      <c r="S3504" s="10"/>
    </row>
    <row r="3505" spans="10:19">
      <c r="J3505" s="10"/>
      <c r="K3505" s="1127"/>
      <c r="L3505" s="10"/>
      <c r="M3505" s="10"/>
      <c r="N3505" s="10"/>
      <c r="O3505" s="10"/>
      <c r="P3505" s="10"/>
      <c r="Q3505" s="10"/>
      <c r="R3505" s="10"/>
      <c r="S3505" s="10"/>
    </row>
    <row r="3506" spans="10:19">
      <c r="J3506" s="10"/>
      <c r="K3506" s="1127"/>
      <c r="L3506" s="10"/>
      <c r="M3506" s="10"/>
      <c r="N3506" s="10"/>
      <c r="O3506" s="10"/>
      <c r="P3506" s="10"/>
      <c r="Q3506" s="10"/>
      <c r="R3506" s="10"/>
      <c r="S3506" s="10"/>
    </row>
    <row r="3507" spans="10:19">
      <c r="J3507" s="10"/>
      <c r="K3507" s="1127"/>
      <c r="L3507" s="10"/>
      <c r="M3507" s="10"/>
      <c r="N3507" s="10"/>
      <c r="O3507" s="10"/>
      <c r="P3507" s="10"/>
      <c r="Q3507" s="10"/>
      <c r="R3507" s="10"/>
      <c r="S3507" s="10"/>
    </row>
    <row r="3508" spans="10:19">
      <c r="J3508" s="10"/>
      <c r="K3508" s="1127"/>
      <c r="L3508" s="10"/>
      <c r="M3508" s="10"/>
      <c r="N3508" s="10"/>
      <c r="O3508" s="10"/>
      <c r="P3508" s="10"/>
      <c r="Q3508" s="10"/>
      <c r="R3508" s="10"/>
      <c r="S3508" s="10"/>
    </row>
    <row r="3509" spans="10:19">
      <c r="J3509" s="10"/>
      <c r="K3509" s="1127"/>
      <c r="L3509" s="10"/>
      <c r="M3509" s="10"/>
      <c r="N3509" s="10"/>
      <c r="O3509" s="10"/>
      <c r="P3509" s="10"/>
      <c r="Q3509" s="10"/>
      <c r="R3509" s="10"/>
      <c r="S3509" s="10"/>
    </row>
    <row r="3510" spans="10:19">
      <c r="J3510" s="10"/>
      <c r="K3510" s="1127"/>
      <c r="L3510" s="10"/>
      <c r="M3510" s="10"/>
      <c r="N3510" s="10"/>
      <c r="O3510" s="10"/>
      <c r="P3510" s="10"/>
      <c r="Q3510" s="10"/>
      <c r="R3510" s="10"/>
      <c r="S3510" s="10"/>
    </row>
    <row r="3511" spans="10:19">
      <c r="J3511" s="10"/>
      <c r="K3511" s="1127"/>
      <c r="L3511" s="10"/>
      <c r="M3511" s="10"/>
      <c r="N3511" s="10"/>
      <c r="O3511" s="10"/>
      <c r="P3511" s="10"/>
      <c r="Q3511" s="10"/>
      <c r="R3511" s="10"/>
      <c r="S3511" s="10"/>
    </row>
    <row r="3512" spans="10:19">
      <c r="J3512" s="10"/>
      <c r="K3512" s="1127"/>
      <c r="L3512" s="10"/>
      <c r="M3512" s="10"/>
      <c r="N3512" s="10"/>
      <c r="O3512" s="10"/>
      <c r="P3512" s="10"/>
      <c r="Q3512" s="10"/>
      <c r="R3512" s="10"/>
      <c r="S3512" s="10"/>
    </row>
    <row r="3513" spans="10:19">
      <c r="J3513" s="10"/>
      <c r="K3513" s="1127"/>
      <c r="L3513" s="10"/>
      <c r="M3513" s="10"/>
      <c r="N3513" s="10"/>
      <c r="O3513" s="10"/>
      <c r="P3513" s="10"/>
      <c r="Q3513" s="10"/>
      <c r="R3513" s="10"/>
      <c r="S3513" s="10"/>
    </row>
    <row r="3514" spans="10:19">
      <c r="J3514" s="10"/>
      <c r="K3514" s="1127"/>
      <c r="L3514" s="10"/>
      <c r="M3514" s="10"/>
      <c r="N3514" s="10"/>
      <c r="O3514" s="10"/>
      <c r="P3514" s="10"/>
      <c r="Q3514" s="10"/>
      <c r="R3514" s="10"/>
      <c r="S3514" s="10"/>
    </row>
    <row r="3515" spans="10:19">
      <c r="J3515" s="10"/>
      <c r="K3515" s="1127"/>
      <c r="L3515" s="10"/>
      <c r="M3515" s="10"/>
      <c r="N3515" s="10"/>
      <c r="O3515" s="10"/>
      <c r="P3515" s="10"/>
      <c r="Q3515" s="10"/>
      <c r="R3515" s="10"/>
      <c r="S3515" s="10"/>
    </row>
    <row r="3516" spans="10:19">
      <c r="J3516" s="10"/>
      <c r="K3516" s="1127"/>
      <c r="L3516" s="10"/>
      <c r="M3516" s="10"/>
      <c r="N3516" s="10"/>
      <c r="O3516" s="10"/>
      <c r="P3516" s="10"/>
      <c r="Q3516" s="10"/>
      <c r="R3516" s="10"/>
      <c r="S3516" s="10"/>
    </row>
    <row r="3517" spans="10:19">
      <c r="J3517" s="10"/>
      <c r="K3517" s="1127"/>
      <c r="L3517" s="10"/>
      <c r="M3517" s="10"/>
      <c r="N3517" s="10"/>
      <c r="O3517" s="10"/>
      <c r="P3517" s="10"/>
      <c r="Q3517" s="10"/>
      <c r="R3517" s="10"/>
      <c r="S3517" s="10"/>
    </row>
    <row r="3518" spans="10:19">
      <c r="J3518" s="10"/>
      <c r="K3518" s="1127"/>
      <c r="L3518" s="10"/>
      <c r="M3518" s="10"/>
      <c r="N3518" s="10"/>
      <c r="O3518" s="10"/>
      <c r="P3518" s="10"/>
      <c r="Q3518" s="10"/>
      <c r="R3518" s="10"/>
      <c r="S3518" s="10"/>
    </row>
    <row r="3519" spans="10:19">
      <c r="J3519" s="10"/>
      <c r="K3519" s="1127"/>
      <c r="L3519" s="10"/>
      <c r="M3519" s="10"/>
      <c r="N3519" s="10"/>
      <c r="O3519" s="10"/>
      <c r="P3519" s="10"/>
      <c r="Q3519" s="10"/>
      <c r="R3519" s="10"/>
      <c r="S3519" s="10"/>
    </row>
    <row r="3520" spans="10:19">
      <c r="J3520" s="10"/>
      <c r="K3520" s="1127"/>
      <c r="L3520" s="10"/>
      <c r="M3520" s="10"/>
      <c r="N3520" s="10"/>
      <c r="O3520" s="10"/>
      <c r="P3520" s="10"/>
      <c r="Q3520" s="10"/>
      <c r="R3520" s="10"/>
      <c r="S3520" s="10"/>
    </row>
    <row r="3521" spans="10:19">
      <c r="J3521" s="10"/>
      <c r="K3521" s="1127"/>
      <c r="L3521" s="10"/>
      <c r="M3521" s="10"/>
      <c r="N3521" s="10"/>
      <c r="O3521" s="10"/>
      <c r="P3521" s="10"/>
      <c r="Q3521" s="10"/>
      <c r="R3521" s="10"/>
      <c r="S3521" s="10"/>
    </row>
    <row r="3522" spans="10:19">
      <c r="J3522" s="10"/>
      <c r="K3522" s="1127"/>
      <c r="L3522" s="10"/>
      <c r="M3522" s="10"/>
      <c r="N3522" s="10"/>
      <c r="O3522" s="10"/>
      <c r="P3522" s="10"/>
      <c r="Q3522" s="10"/>
      <c r="R3522" s="10"/>
      <c r="S3522" s="10"/>
    </row>
    <row r="3523" spans="10:19">
      <c r="J3523" s="10"/>
      <c r="K3523" s="1127"/>
      <c r="L3523" s="10"/>
      <c r="M3523" s="10"/>
      <c r="N3523" s="10"/>
      <c r="O3523" s="10"/>
      <c r="P3523" s="10"/>
      <c r="Q3523" s="10"/>
      <c r="R3523" s="10"/>
      <c r="S3523" s="10"/>
    </row>
    <row r="3524" spans="10:19">
      <c r="J3524" s="10"/>
      <c r="K3524" s="1127"/>
      <c r="L3524" s="10"/>
      <c r="M3524" s="10"/>
      <c r="N3524" s="10"/>
      <c r="O3524" s="10"/>
      <c r="P3524" s="10"/>
      <c r="Q3524" s="10"/>
      <c r="R3524" s="10"/>
      <c r="S3524" s="10"/>
    </row>
    <row r="3525" spans="10:19">
      <c r="J3525" s="10"/>
      <c r="K3525" s="1127"/>
      <c r="L3525" s="10"/>
      <c r="M3525" s="10"/>
      <c r="N3525" s="10"/>
      <c r="O3525" s="10"/>
      <c r="P3525" s="10"/>
      <c r="Q3525" s="10"/>
      <c r="R3525" s="10"/>
      <c r="S3525" s="10"/>
    </row>
    <row r="3526" spans="10:19">
      <c r="J3526" s="10"/>
      <c r="K3526" s="1127"/>
      <c r="L3526" s="10"/>
      <c r="M3526" s="10"/>
      <c r="N3526" s="10"/>
      <c r="O3526" s="10"/>
      <c r="P3526" s="10"/>
      <c r="Q3526" s="10"/>
      <c r="R3526" s="10"/>
      <c r="S3526" s="10"/>
    </row>
    <row r="3527" spans="10:19">
      <c r="J3527" s="10"/>
      <c r="K3527" s="1127"/>
      <c r="L3527" s="10"/>
      <c r="M3527" s="10"/>
      <c r="N3527" s="10"/>
      <c r="O3527" s="10"/>
      <c r="P3527" s="10"/>
      <c r="Q3527" s="10"/>
      <c r="R3527" s="10"/>
      <c r="S3527" s="10"/>
    </row>
    <row r="3528" spans="10:19">
      <c r="J3528" s="10"/>
      <c r="K3528" s="1127"/>
      <c r="L3528" s="10"/>
      <c r="M3528" s="10"/>
      <c r="N3528" s="10"/>
      <c r="O3528" s="10"/>
      <c r="P3528" s="10"/>
      <c r="Q3528" s="10"/>
      <c r="R3528" s="10"/>
      <c r="S3528" s="10"/>
    </row>
    <row r="3529" spans="10:19">
      <c r="J3529" s="10"/>
      <c r="K3529" s="1127"/>
      <c r="L3529" s="10"/>
      <c r="M3529" s="10"/>
      <c r="N3529" s="10"/>
      <c r="O3529" s="10"/>
      <c r="P3529" s="10"/>
      <c r="Q3529" s="10"/>
      <c r="R3529" s="10"/>
      <c r="S3529" s="10"/>
    </row>
    <row r="3530" spans="10:19">
      <c r="J3530" s="10"/>
      <c r="K3530" s="1127"/>
      <c r="L3530" s="10"/>
      <c r="M3530" s="10"/>
      <c r="N3530" s="10"/>
      <c r="O3530" s="10"/>
      <c r="P3530" s="10"/>
      <c r="Q3530" s="10"/>
      <c r="R3530" s="10"/>
      <c r="S3530" s="10"/>
    </row>
    <row r="3531" spans="10:19">
      <c r="J3531" s="10"/>
      <c r="K3531" s="1127"/>
      <c r="L3531" s="10"/>
      <c r="M3531" s="10"/>
      <c r="N3531" s="10"/>
      <c r="O3531" s="10"/>
      <c r="P3531" s="10"/>
      <c r="Q3531" s="10"/>
      <c r="R3531" s="10"/>
      <c r="S3531" s="10"/>
    </row>
    <row r="3532" spans="10:19">
      <c r="J3532" s="10"/>
      <c r="K3532" s="1127"/>
      <c r="L3532" s="10"/>
      <c r="M3532" s="10"/>
      <c r="N3532" s="10"/>
      <c r="O3532" s="10"/>
      <c r="P3532" s="10"/>
      <c r="Q3532" s="10"/>
      <c r="R3532" s="10"/>
      <c r="S3532" s="10"/>
    </row>
    <row r="3533" spans="10:19">
      <c r="J3533" s="10"/>
      <c r="K3533" s="1127"/>
      <c r="L3533" s="10"/>
      <c r="M3533" s="10"/>
      <c r="N3533" s="10"/>
      <c r="O3533" s="10"/>
      <c r="P3533" s="10"/>
      <c r="Q3533" s="10"/>
      <c r="R3533" s="10"/>
      <c r="S3533" s="10"/>
    </row>
    <row r="3534" spans="10:19">
      <c r="J3534" s="10"/>
      <c r="K3534" s="1127"/>
      <c r="L3534" s="10"/>
      <c r="M3534" s="10"/>
      <c r="N3534" s="10"/>
      <c r="O3534" s="10"/>
      <c r="P3534" s="10"/>
      <c r="Q3534" s="10"/>
      <c r="R3534" s="10"/>
      <c r="S3534" s="10"/>
    </row>
    <row r="3535" spans="10:19">
      <c r="J3535" s="10"/>
      <c r="K3535" s="1127"/>
      <c r="L3535" s="10"/>
      <c r="M3535" s="10"/>
      <c r="N3535" s="10"/>
      <c r="O3535" s="10"/>
      <c r="P3535" s="10"/>
      <c r="Q3535" s="10"/>
      <c r="R3535" s="10"/>
      <c r="S3535" s="10"/>
    </row>
    <row r="3536" spans="10:19">
      <c r="J3536" s="10"/>
      <c r="K3536" s="1127"/>
      <c r="L3536" s="10"/>
      <c r="M3536" s="10"/>
      <c r="N3536" s="10"/>
      <c r="O3536" s="10"/>
      <c r="P3536" s="10"/>
      <c r="Q3536" s="10"/>
      <c r="R3536" s="10"/>
      <c r="S3536" s="10"/>
    </row>
    <row r="3537" spans="10:19">
      <c r="J3537" s="10"/>
      <c r="K3537" s="1127"/>
      <c r="L3537" s="10"/>
      <c r="M3537" s="10"/>
      <c r="N3537" s="10"/>
      <c r="O3537" s="10"/>
      <c r="P3537" s="10"/>
      <c r="Q3537" s="10"/>
      <c r="R3537" s="10"/>
      <c r="S3537" s="10"/>
    </row>
    <row r="3538" spans="10:19">
      <c r="J3538" s="10"/>
      <c r="K3538" s="1127"/>
      <c r="L3538" s="10"/>
      <c r="M3538" s="10"/>
      <c r="N3538" s="10"/>
      <c r="O3538" s="10"/>
      <c r="P3538" s="10"/>
      <c r="Q3538" s="10"/>
      <c r="R3538" s="10"/>
      <c r="S3538" s="10"/>
    </row>
    <row r="3539" spans="10:19">
      <c r="J3539" s="10"/>
      <c r="K3539" s="1127"/>
      <c r="L3539" s="10"/>
      <c r="M3539" s="10"/>
      <c r="N3539" s="10"/>
      <c r="O3539" s="10"/>
      <c r="P3539" s="10"/>
      <c r="Q3539" s="10"/>
      <c r="R3539" s="10"/>
      <c r="S3539" s="10"/>
    </row>
    <row r="3540" spans="10:19">
      <c r="J3540" s="10"/>
      <c r="K3540" s="1127"/>
      <c r="L3540" s="10"/>
      <c r="M3540" s="10"/>
      <c r="N3540" s="10"/>
      <c r="O3540" s="10"/>
      <c r="P3540" s="10"/>
      <c r="Q3540" s="10"/>
      <c r="R3540" s="10"/>
      <c r="S3540" s="10"/>
    </row>
    <row r="3541" spans="10:19">
      <c r="J3541" s="10"/>
      <c r="K3541" s="1127"/>
      <c r="L3541" s="10"/>
      <c r="M3541" s="10"/>
      <c r="N3541" s="10"/>
      <c r="O3541" s="10"/>
      <c r="P3541" s="10"/>
      <c r="Q3541" s="10"/>
      <c r="R3541" s="10"/>
      <c r="S3541" s="10"/>
    </row>
    <row r="3542" spans="10:19">
      <c r="J3542" s="10"/>
      <c r="K3542" s="1127"/>
      <c r="L3542" s="10"/>
      <c r="M3542" s="10"/>
      <c r="N3542" s="10"/>
      <c r="O3542" s="10"/>
      <c r="P3542" s="10"/>
      <c r="Q3542" s="10"/>
      <c r="R3542" s="10"/>
      <c r="S3542" s="10"/>
    </row>
    <row r="3543" spans="10:19">
      <c r="J3543" s="10"/>
      <c r="K3543" s="1127"/>
      <c r="L3543" s="10"/>
      <c r="M3543" s="10"/>
      <c r="N3543" s="10"/>
      <c r="O3543" s="10"/>
      <c r="P3543" s="10"/>
      <c r="Q3543" s="10"/>
      <c r="R3543" s="10"/>
      <c r="S3543" s="10"/>
    </row>
    <row r="3544" spans="10:19">
      <c r="J3544" s="10"/>
      <c r="K3544" s="1127"/>
      <c r="L3544" s="10"/>
      <c r="M3544" s="10"/>
      <c r="N3544" s="10"/>
      <c r="O3544" s="10"/>
      <c r="P3544" s="10"/>
      <c r="Q3544" s="10"/>
      <c r="R3544" s="10"/>
      <c r="S3544" s="10"/>
    </row>
    <row r="3545" spans="10:19">
      <c r="J3545" s="10"/>
      <c r="K3545" s="1127"/>
      <c r="L3545" s="10"/>
      <c r="M3545" s="10"/>
      <c r="N3545" s="10"/>
      <c r="O3545" s="10"/>
      <c r="P3545" s="10"/>
      <c r="Q3545" s="10"/>
      <c r="R3545" s="10"/>
      <c r="S3545" s="10"/>
    </row>
    <row r="3546" spans="10:19">
      <c r="J3546" s="10"/>
      <c r="K3546" s="1127"/>
      <c r="L3546" s="10"/>
      <c r="M3546" s="10"/>
      <c r="N3546" s="10"/>
      <c r="O3546" s="10"/>
      <c r="P3546" s="10"/>
      <c r="Q3546" s="10"/>
      <c r="R3546" s="10"/>
      <c r="S3546" s="10"/>
    </row>
    <row r="3547" spans="10:19">
      <c r="J3547" s="10"/>
      <c r="K3547" s="1127"/>
      <c r="L3547" s="10"/>
      <c r="M3547" s="10"/>
      <c r="N3547" s="10"/>
      <c r="O3547" s="10"/>
      <c r="P3547" s="10"/>
      <c r="Q3547" s="10"/>
      <c r="R3547" s="10"/>
      <c r="S3547" s="10"/>
    </row>
    <row r="3548" spans="10:19">
      <c r="J3548" s="10"/>
      <c r="K3548" s="1127"/>
      <c r="L3548" s="10"/>
      <c r="M3548" s="10"/>
      <c r="N3548" s="10"/>
      <c r="O3548" s="10"/>
      <c r="P3548" s="10"/>
      <c r="Q3548" s="10"/>
      <c r="R3548" s="10"/>
      <c r="S3548" s="10"/>
    </row>
    <row r="3549" spans="10:19">
      <c r="J3549" s="10"/>
      <c r="K3549" s="1127"/>
      <c r="L3549" s="10"/>
      <c r="M3549" s="10"/>
      <c r="N3549" s="10"/>
      <c r="O3549" s="10"/>
      <c r="P3549" s="10"/>
      <c r="Q3549" s="10"/>
      <c r="R3549" s="10"/>
      <c r="S3549" s="10"/>
    </row>
    <row r="3550" spans="10:19">
      <c r="J3550" s="10"/>
      <c r="K3550" s="1127"/>
      <c r="L3550" s="10"/>
      <c r="M3550" s="10"/>
      <c r="N3550" s="10"/>
      <c r="O3550" s="10"/>
      <c r="P3550" s="10"/>
      <c r="Q3550" s="10"/>
      <c r="R3550" s="10"/>
      <c r="S3550" s="10"/>
    </row>
    <row r="3551" spans="10:19">
      <c r="J3551" s="10"/>
      <c r="K3551" s="1127"/>
      <c r="L3551" s="10"/>
      <c r="M3551" s="10"/>
      <c r="N3551" s="10"/>
      <c r="O3551" s="10"/>
      <c r="P3551" s="10"/>
      <c r="Q3551" s="10"/>
      <c r="R3551" s="10"/>
      <c r="S3551" s="10"/>
    </row>
    <row r="3552" spans="10:19">
      <c r="J3552" s="10"/>
      <c r="K3552" s="1127"/>
      <c r="L3552" s="10"/>
      <c r="M3552" s="10"/>
      <c r="N3552" s="10"/>
      <c r="O3552" s="10"/>
      <c r="P3552" s="10"/>
      <c r="Q3552" s="10"/>
      <c r="R3552" s="10"/>
      <c r="S3552" s="10"/>
    </row>
    <row r="3553" spans="10:19">
      <c r="J3553" s="10"/>
      <c r="K3553" s="1127"/>
      <c r="L3553" s="10"/>
      <c r="M3553" s="10"/>
      <c r="N3553" s="10"/>
      <c r="O3553" s="10"/>
      <c r="P3553" s="10"/>
      <c r="Q3553" s="10"/>
      <c r="R3553" s="10"/>
      <c r="S3553" s="10"/>
    </row>
    <row r="3554" spans="10:19">
      <c r="J3554" s="10"/>
      <c r="K3554" s="1127"/>
      <c r="L3554" s="10"/>
      <c r="M3554" s="10"/>
      <c r="N3554" s="10"/>
      <c r="O3554" s="10"/>
      <c r="P3554" s="10"/>
      <c r="Q3554" s="10"/>
      <c r="R3554" s="10"/>
      <c r="S3554" s="10"/>
    </row>
    <row r="3555" spans="10:19">
      <c r="J3555" s="10"/>
      <c r="K3555" s="1127"/>
      <c r="L3555" s="10"/>
      <c r="M3555" s="10"/>
      <c r="N3555" s="10"/>
      <c r="O3555" s="10"/>
      <c r="P3555" s="10"/>
      <c r="Q3555" s="10"/>
      <c r="R3555" s="10"/>
      <c r="S3555" s="10"/>
    </row>
    <row r="3556" spans="10:19">
      <c r="J3556" s="10"/>
      <c r="K3556" s="1127"/>
      <c r="L3556" s="10"/>
      <c r="M3556" s="10"/>
      <c r="N3556" s="10"/>
      <c r="O3556" s="10"/>
      <c r="P3556" s="10"/>
      <c r="Q3556" s="10"/>
      <c r="R3556" s="10"/>
      <c r="S3556" s="10"/>
    </row>
    <row r="3557" spans="10:19">
      <c r="J3557" s="10"/>
      <c r="K3557" s="1127"/>
      <c r="L3557" s="10"/>
      <c r="M3557" s="10"/>
      <c r="N3557" s="10"/>
      <c r="O3557" s="10"/>
      <c r="P3557" s="10"/>
      <c r="Q3557" s="10"/>
      <c r="R3557" s="10"/>
      <c r="S3557" s="10"/>
    </row>
    <row r="3558" spans="10:19">
      <c r="J3558" s="10"/>
      <c r="K3558" s="1127"/>
      <c r="L3558" s="10"/>
      <c r="M3558" s="10"/>
      <c r="N3558" s="10"/>
      <c r="O3558" s="10"/>
      <c r="P3558" s="10"/>
      <c r="Q3558" s="10"/>
      <c r="R3558" s="10"/>
      <c r="S3558" s="10"/>
    </row>
    <row r="3559" spans="10:19">
      <c r="J3559" s="10"/>
      <c r="K3559" s="1127"/>
      <c r="L3559" s="10"/>
      <c r="M3559" s="10"/>
      <c r="N3559" s="10"/>
      <c r="O3559" s="10"/>
      <c r="P3559" s="10"/>
      <c r="Q3559" s="10"/>
      <c r="R3559" s="10"/>
      <c r="S3559" s="10"/>
    </row>
    <row r="3560" spans="10:19">
      <c r="J3560" s="10"/>
      <c r="K3560" s="1127"/>
      <c r="L3560" s="10"/>
      <c r="M3560" s="10"/>
      <c r="N3560" s="10"/>
      <c r="O3560" s="10"/>
      <c r="P3560" s="10"/>
      <c r="Q3560" s="10"/>
      <c r="R3560" s="10"/>
      <c r="S3560" s="10"/>
    </row>
    <row r="3561" spans="10:19">
      <c r="J3561" s="10"/>
      <c r="K3561" s="1127"/>
      <c r="L3561" s="10"/>
      <c r="M3561" s="10"/>
      <c r="N3561" s="10"/>
      <c r="O3561" s="10"/>
      <c r="P3561" s="10"/>
      <c r="Q3561" s="10"/>
      <c r="R3561" s="10"/>
      <c r="S3561" s="10"/>
    </row>
    <row r="3562" spans="10:19">
      <c r="J3562" s="10"/>
      <c r="K3562" s="1127"/>
      <c r="L3562" s="10"/>
      <c r="M3562" s="10"/>
      <c r="N3562" s="10"/>
      <c r="O3562" s="10"/>
      <c r="P3562" s="10"/>
      <c r="Q3562" s="10"/>
      <c r="R3562" s="10"/>
      <c r="S3562" s="10"/>
    </row>
    <row r="3563" spans="10:19">
      <c r="J3563" s="10"/>
      <c r="K3563" s="1127"/>
      <c r="L3563" s="10"/>
      <c r="M3563" s="10"/>
      <c r="N3563" s="10"/>
      <c r="O3563" s="10"/>
      <c r="P3563" s="10"/>
      <c r="Q3563" s="10"/>
      <c r="R3563" s="10"/>
      <c r="S3563" s="10"/>
    </row>
    <row r="3564" spans="10:19">
      <c r="J3564" s="10"/>
      <c r="K3564" s="1127"/>
      <c r="L3564" s="10"/>
      <c r="M3564" s="10"/>
      <c r="N3564" s="10"/>
      <c r="O3564" s="10"/>
      <c r="P3564" s="10"/>
      <c r="Q3564" s="10"/>
      <c r="R3564" s="10"/>
      <c r="S3564" s="10"/>
    </row>
    <row r="3565" spans="10:19">
      <c r="J3565" s="10"/>
      <c r="K3565" s="1127"/>
      <c r="L3565" s="10"/>
      <c r="M3565" s="10"/>
      <c r="N3565" s="10"/>
      <c r="O3565" s="10"/>
      <c r="P3565" s="10"/>
      <c r="Q3565" s="10"/>
      <c r="R3565" s="10"/>
      <c r="S3565" s="10"/>
    </row>
    <row r="3566" spans="10:19">
      <c r="J3566" s="10"/>
      <c r="K3566" s="1127"/>
      <c r="L3566" s="10"/>
      <c r="M3566" s="10"/>
      <c r="N3566" s="10"/>
      <c r="O3566" s="10"/>
      <c r="P3566" s="10"/>
      <c r="Q3566" s="10"/>
      <c r="R3566" s="10"/>
      <c r="S3566" s="10"/>
    </row>
    <row r="3567" spans="10:19">
      <c r="J3567" s="10"/>
      <c r="K3567" s="1127"/>
      <c r="L3567" s="10"/>
      <c r="M3567" s="10"/>
      <c r="N3567" s="10"/>
      <c r="O3567" s="10"/>
      <c r="P3567" s="10"/>
      <c r="Q3567" s="10"/>
      <c r="R3567" s="10"/>
      <c r="S3567" s="10"/>
    </row>
    <row r="3568" spans="10:19">
      <c r="J3568" s="10"/>
      <c r="K3568" s="1127"/>
      <c r="L3568" s="10"/>
      <c r="M3568" s="10"/>
      <c r="N3568" s="10"/>
      <c r="O3568" s="10"/>
      <c r="P3568" s="10"/>
      <c r="Q3568" s="10"/>
      <c r="R3568" s="10"/>
      <c r="S3568" s="10"/>
    </row>
    <row r="3569" spans="10:19">
      <c r="J3569" s="10"/>
      <c r="K3569" s="1127"/>
      <c r="L3569" s="10"/>
      <c r="M3569" s="10"/>
      <c r="N3569" s="10"/>
      <c r="O3569" s="10"/>
      <c r="P3569" s="10"/>
      <c r="Q3569" s="10"/>
      <c r="R3569" s="10"/>
      <c r="S3569" s="10"/>
    </row>
    <row r="3570" spans="10:19">
      <c r="J3570" s="10"/>
      <c r="K3570" s="1127"/>
      <c r="L3570" s="10"/>
      <c r="M3570" s="10"/>
      <c r="N3570" s="10"/>
      <c r="O3570" s="10"/>
      <c r="P3570" s="10"/>
      <c r="Q3570" s="10"/>
      <c r="R3570" s="10"/>
      <c r="S3570" s="10"/>
    </row>
    <row r="3571" spans="10:19">
      <c r="J3571" s="10"/>
      <c r="K3571" s="1127"/>
      <c r="L3571" s="10"/>
      <c r="M3571" s="10"/>
      <c r="N3571" s="10"/>
      <c r="O3571" s="10"/>
      <c r="P3571" s="10"/>
      <c r="Q3571" s="10"/>
      <c r="R3571" s="10"/>
      <c r="S3571" s="10"/>
    </row>
    <row r="3572" spans="10:19">
      <c r="J3572" s="10"/>
      <c r="K3572" s="1127"/>
      <c r="L3572" s="10"/>
      <c r="M3572" s="10"/>
      <c r="N3572" s="10"/>
      <c r="O3572" s="10"/>
      <c r="P3572" s="10"/>
      <c r="Q3572" s="10"/>
      <c r="R3572" s="10"/>
      <c r="S3572" s="10"/>
    </row>
    <row r="3573" spans="10:19">
      <c r="J3573" s="10"/>
      <c r="K3573" s="1127"/>
      <c r="L3573" s="10"/>
      <c r="M3573" s="10"/>
      <c r="N3573" s="10"/>
      <c r="O3573" s="10"/>
      <c r="P3573" s="10"/>
      <c r="Q3573" s="10"/>
      <c r="R3573" s="10"/>
      <c r="S3573" s="10"/>
    </row>
    <row r="3574" spans="10:19">
      <c r="J3574" s="10"/>
      <c r="K3574" s="1127"/>
      <c r="L3574" s="10"/>
      <c r="M3574" s="10"/>
      <c r="N3574" s="10"/>
      <c r="O3574" s="10"/>
      <c r="P3574" s="10"/>
      <c r="Q3574" s="10"/>
      <c r="R3574" s="10"/>
      <c r="S3574" s="10"/>
    </row>
  </sheetData>
  <sheetProtection algorithmName="SHA-512" hashValue="TKjAjAgY6TI/AZ0EK0Ey9IfO9cNU1PrSE26m2fs6AFgHJU3Td591IWgoTUvccnNxTvf5neaRojEmGeYz66hp/g==" saltValue="AUByYzyAHm11heAuut7h8g==" spinCount="100000" sheet="1" objects="1" scenarios="1"/>
  <mergeCells count="34">
    <mergeCell ref="D2:J2"/>
    <mergeCell ref="B65:B67"/>
    <mergeCell ref="A56:A57"/>
    <mergeCell ref="B68:B69"/>
    <mergeCell ref="A52:A53"/>
    <mergeCell ref="A54:A55"/>
    <mergeCell ref="A58:A61"/>
    <mergeCell ref="A62:A64"/>
    <mergeCell ref="A35:A37"/>
    <mergeCell ref="B63:B64"/>
    <mergeCell ref="A17:A18"/>
    <mergeCell ref="A4:D4"/>
    <mergeCell ref="A28:D28"/>
    <mergeCell ref="A6:A7"/>
    <mergeCell ref="A9:A11"/>
    <mergeCell ref="A65:A67"/>
    <mergeCell ref="F78:F79"/>
    <mergeCell ref="R42:T42"/>
    <mergeCell ref="R49:T49"/>
    <mergeCell ref="R70:R72"/>
    <mergeCell ref="F49:Q49"/>
    <mergeCell ref="F42:Q42"/>
    <mergeCell ref="A42:D42"/>
    <mergeCell ref="A49:D49"/>
    <mergeCell ref="R4:T4"/>
    <mergeCell ref="R28:T28"/>
    <mergeCell ref="A30:A32"/>
    <mergeCell ref="A12:A14"/>
    <mergeCell ref="A19:A20"/>
    <mergeCell ref="A23:A24"/>
    <mergeCell ref="A21:A22"/>
    <mergeCell ref="A15:A16"/>
    <mergeCell ref="F4:Q4"/>
    <mergeCell ref="F28:Q28"/>
  </mergeCells>
  <hyperlinks>
    <hyperlink ref="C30" location="I.21.!U84" display="Mide el porcentaje de profesores inscritos en el S N I en relación al Personal Académico Definitivo de Tiempo Completo" xr:uid="{00000000-0004-0000-0100-000000000000}"/>
    <hyperlink ref="C31" location="I.22.!U84" display="Mide el porcentaje de Profesores en el  S N I en relación al Personal Académico Definitivo de Tiempo Completo con Doctorado" xr:uid="{00000000-0004-0000-0100-000001000000}"/>
    <hyperlink ref="C33" location="I.24.!A1" display="Mide el número de citas promedio por artículo publicado." xr:uid="{00000000-0004-0000-0100-000002000000}"/>
    <hyperlink ref="C34" location="I.25!A1" display="Mide la proporción del financiamiento externo a proyectos de investigación en relación con el  presupuesto aprobado en Otros Gastos de Operación e Inversión del año (n)." xr:uid="{00000000-0004-0000-0100-000003000000}"/>
    <hyperlink ref="C35" location="I.26.!A1" display="Mide la proporción de los artículos especializados de investigación en relación al  Personal Académico Definitivo de tiempo completo" xr:uid="{00000000-0004-0000-0100-000004000000}"/>
    <hyperlink ref="C36" location="I.27.!A1" display="Mide la proporción de los artículos especializados con puntaje de 3300 en relación al  Personal Académico Definitivo de tiempo completo" xr:uid="{00000000-0004-0000-0100-000005000000}"/>
    <hyperlink ref="C37" location="I.28.!A1" display="Mide la proporción de los artículos especializados con puntaje de 3300 en relación con el total de los artículos especializados de investigación" xr:uid="{00000000-0004-0000-0100-000006000000}"/>
    <hyperlink ref="C39" location="I.30.!AK37" display="Mide la proporción de Cuerpos Académicos consolidados respecto al total de cuerpos académicos reconocidos" xr:uid="{00000000-0004-0000-0100-000007000000}"/>
    <hyperlink ref="C38" location="I.29.!R82" display="Mide la tasa de crecimiento del Puntaje  acumulado de las actividades académicas evaluables" xr:uid="{00000000-0004-0000-0100-000008000000}"/>
    <hyperlink ref="C44" location="C.31.!A1" display="Mide el porcentaje del tiempo de transmisión radiofónica en programas hablados." xr:uid="{00000000-0004-0000-0100-000009000000}"/>
    <hyperlink ref="C45" location="C.32.!A1" display="Mide el número de libros editados por la Universidad en el año (n)." xr:uid="{00000000-0004-0000-0100-00000A000000}"/>
    <hyperlink ref="C46" location="C.33.!A1" display="Mide la tasa de crecimiento de las actividades artísticas y culturales" xr:uid="{00000000-0004-0000-0100-00000B000000}"/>
    <hyperlink ref="C6" location="D.1.!R5" display="Mide el porcentaje de alumnos de licenciatura que terminó con éxito sus estudios por cohorte generacional (no considera alumnos con cero créditos)." xr:uid="{00000000-0004-0000-0100-00000C000000}"/>
    <hyperlink ref="C7" location="D.2.!A1" display="Mide el porcentaje de alumnos de licenciatura que terminó con éxito sus estudios  dentro del plazo que permite el Reglamento de Estudios Superiores (entre 4 y 10 años)." xr:uid="{00000000-0004-0000-0100-00000D000000}"/>
    <hyperlink ref="C8" location="D.3.!V101" display="Mide el tiempo promedio que excede en trimestres la conclusión de los planes de estudio de licenciatura en relación con la duración normal establecida." xr:uid="{00000000-0004-0000-0100-00000E000000}"/>
    <hyperlink ref="C9" location="D.4.!A1" display="Mide el porcentaje de alumnos de especialización que terminó con éxito sus estudios por cohorte generacional." xr:uid="{00000000-0004-0000-0100-00000F000000}"/>
    <hyperlink ref="C10" location="D.5.!I78" display="Mide el porcentaje de alumnos de maestría que terminó con éxito sus estudios por cohorte generacional." xr:uid="{00000000-0004-0000-0100-000010000000}"/>
    <hyperlink ref="C11" location="D.6.!I49" display="Mide el porcentaje de alumnos de doctorado que terminó con éxito sus estudios por cohorte generacional." xr:uid="{00000000-0004-0000-0100-000011000000}"/>
    <hyperlink ref="C12" location="D.7.!A1" display="Mide el tiempo promedio que excede en trimestres la conclusión de los planes de estudio de especialización en relación con la duración normal establecida." xr:uid="{00000000-0004-0000-0100-000012000000}"/>
    <hyperlink ref="C13" location="D.8.!I73" display="Mide el tiempo promedio que excede en trimestres la conclusión de los planes de estudio de maestría en relación con la duración normal establecida." xr:uid="{00000000-0004-0000-0100-000013000000}"/>
    <hyperlink ref="C14" location="D.9.!I52" display="Mide el tiempo promedio que excede en trimestres la conclusión de los planes de estudio de doctorado en relación con la duración normal establecida." xr:uid="{00000000-0004-0000-0100-000014000000}"/>
    <hyperlink ref="C17" location="D.12.!A1" display="Mide el porcentaje de los planes de estudio de licenciatura considerados de calidad, respecto del total de los planes evaluables." xr:uid="{00000000-0004-0000-0100-000015000000}"/>
    <hyperlink ref="C19" location="D.14.!A1" display="Mide el grado en el que se actualizan los planes de estudio de licenciatura. " xr:uid="{00000000-0004-0000-0100-000016000000}"/>
    <hyperlink ref="C20" location="D.15.!A1" display="Mide el grado en el que se actualizan los planes de estudio de posgrado." xr:uid="{00000000-0004-0000-0100-000017000000}"/>
    <hyperlink ref="C23" location="'D.18 y 19'!S33" display="Mide la matrícula de alumnos inscritos y reinscritos de licenciatura y posgrado en el año (n)." xr:uid="{00000000-0004-0000-0100-000018000000}"/>
    <hyperlink ref="C24" location="'D.18 y 19'!T33" display="Mide la proporción de alumnos de posgrado respecto del total de la matrícula." xr:uid="{00000000-0004-0000-0100-000019000000}"/>
    <hyperlink ref="C25" location="D.20.!F72" display="Mide el porcentaje de alumnos con más de 75% de créditos aprobados en su plan de estudios de licenciatura que poseen al menos el nivel intermedio B1 del Marco Común Europeo (MCE) de Referencia para las Lenguas, recomendado para estudiantes egresados del n" xr:uid="{00000000-0004-0000-0100-00001A000000}"/>
    <hyperlink ref="C21" location="'D.16. y 17'!A2" display="Mide la capacidad académica de los profesores definitivos de tiempo completo." xr:uid="{00000000-0004-0000-0100-00001B000000}"/>
    <hyperlink ref="C22" location="'D.16. y 17'!AX33" display="Mide la capacidad académica de los profesores definitivos de tiempo completo con doctorado." xr:uid="{00000000-0004-0000-0100-00001C000000}"/>
    <hyperlink ref="C15" location="D.10.!D78" display="Mide la tasa de inserción laboral al tercer y quinto año de egreso." xr:uid="{00000000-0004-0000-0100-00001D000000}"/>
    <hyperlink ref="C16" location="D.11.!A1" display="Mide la tasa de inserción laboral al tercer y quinto año de egreso." xr:uid="{00000000-0004-0000-0100-00001E000000}"/>
    <hyperlink ref="C52" location="A.34.!A1" display="Mide el crecimiento real del subsidio federal en relación con el periodo inmediato anterior." xr:uid="{00000000-0004-0000-0100-00001F000000}"/>
    <hyperlink ref="C53" location="A.35.!A1" display="Mide el total de ingresos adicionales al subsidio federal." xr:uid="{00000000-0004-0000-0100-000020000000}"/>
    <hyperlink ref="C54" location="A.36.!A1" display="Mide las horas que se destinan para cada trabajador al año a programas de capacitación." xr:uid="{00000000-0004-0000-0100-000021000000}"/>
    <hyperlink ref="C55" location="A.37.!A1" display="Mide la relación entre el personal que colabora en los procesos sustantivos en relación con el personal en los procesos de apoyo." xr:uid="{00000000-0004-0000-0100-000022000000}"/>
    <hyperlink ref="C56" location="A.38.!A1" display="Mide la proporción del presupuesto ejercido en equipamiento." xr:uid="{00000000-0004-0000-0100-000023000000}"/>
    <hyperlink ref="C57" location="A.39.!A1" display="Mide la proporción del presupuesto ejercido en mantenimiento." xr:uid="{00000000-0004-0000-0100-000024000000}"/>
    <hyperlink ref="C58" location="'A.40.-42.'!AT3" display="Alumnos por computadora." xr:uid="{00000000-0004-0000-0100-000025000000}"/>
    <hyperlink ref="C59" location="'A.40.-42.'!AF44" display="Personal académico por computadora." xr:uid="{00000000-0004-0000-0100-000026000000}"/>
    <hyperlink ref="C60" location="'A.40.-42.'!AF45" display="Personal administrativo por computadora." xr:uid="{00000000-0004-0000-0100-000027000000}"/>
    <hyperlink ref="C61" location="A.43.!A1" display="Ancho de banda en red." xr:uid="{00000000-0004-0000-0100-000028000000}"/>
    <hyperlink ref="C62" location="A.44.!A1" display="Mide el número de miembros de la comunidad que participan en programas de salud." xr:uid="{00000000-0004-0000-0100-000029000000}"/>
    <hyperlink ref="C63" location="A.45.!F30" display="Mide el número de torneos y actividades organizados para la práctica del deporte." xr:uid="{00000000-0004-0000-0100-00002A000000}"/>
    <hyperlink ref="C64" location="A.45.!B66" display="Mide el número de servicios proporcionados para la práctica diaria." xr:uid="{00000000-0004-0000-0100-00002B000000}"/>
    <hyperlink ref="C65" location="A.46.1!A1" display="Webometrics." xr:uid="{00000000-0004-0000-0100-00002C000000}"/>
    <hyperlink ref="C66" location="A.46.2!A1" display="SIR latinoamericano." xr:uid="{00000000-0004-0000-0100-00002D000000}"/>
    <hyperlink ref="C67" location="A.46.3!A1" display="SIR universidades mexicanas." xr:uid="{00000000-0004-0000-0100-00002E000000}"/>
    <hyperlink ref="C68" location="A.47.1!U18" display="Mide la tasa de crecimiento de solicitudes de transparencia." xr:uid="{00000000-0004-0000-0100-00002F000000}"/>
    <hyperlink ref="C18" location="D.13.!A1" display="Mide el porcentaje de los planes de estudio de posgrado considerados de calidad, respecto del total de los planes." xr:uid="{00000000-0004-0000-0100-000030000000}"/>
    <hyperlink ref="C32" location="I.23.!AM84" display="Mide el porcentaje de Profesores en el S N I nivel 2 y 3 en relación con profesores S N I nivel 1 y Candidato" xr:uid="{00000000-0004-0000-0100-000031000000}"/>
    <hyperlink ref="C69" location="A.47.2!AF1" display="Mide la tasa de crecimiento  de consultas de la información institucional." xr:uid="{00000000-0004-0000-0100-000032000000}"/>
  </hyperlinks>
  <pageMargins left="0.70866141732283472" right="0.70866141732283472" top="0.51181102362204722" bottom="0.51181102362204722" header="0.31496062992125984" footer="0.31496062992125984"/>
  <pageSetup scale="37" orientation="portrait" r:id="rId1"/>
  <rowBreaks count="3" manualBreakCount="3">
    <brk id="26" max="16383" man="1"/>
    <brk id="40" max="16383" man="1"/>
    <brk id="47" max="16" man="1"/>
  </rowBreaks>
  <colBreaks count="1" manualBreakCount="1">
    <brk id="20" max="1048575"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CP503"/>
  <sheetViews>
    <sheetView topLeftCell="A37" workbookViewId="0">
      <selection activeCell="F52" sqref="F52"/>
    </sheetView>
  </sheetViews>
  <sheetFormatPr baseColWidth="10" defaultRowHeight="14.4"/>
  <cols>
    <col min="1" max="1" width="9.88671875" style="5504" customWidth="1"/>
    <col min="2" max="2" width="6.33203125" style="5504" bestFit="1" customWidth="1"/>
    <col min="3" max="3" width="50.33203125" style="5504" customWidth="1"/>
    <col min="4" max="4" width="9.21875" style="5504" bestFit="1" customWidth="1"/>
    <col min="5" max="5" width="5.5546875" style="5504" customWidth="1"/>
    <col min="6" max="6" width="11.5546875" style="5504"/>
    <col min="7" max="7" width="11.5546875" style="107"/>
    <col min="8" max="8" width="11.5546875" style="5504"/>
    <col min="9" max="9" width="9.44140625" style="4689" customWidth="1"/>
    <col min="10" max="10" width="6.21875" style="4689" bestFit="1" customWidth="1"/>
    <col min="11" max="11" width="42.77734375" style="4689" bestFit="1" customWidth="1"/>
    <col min="12" max="12" width="9.21875" style="4689" bestFit="1" customWidth="1"/>
    <col min="13" max="13" width="4.5546875" style="4689" customWidth="1"/>
    <col min="14" max="14" width="7.77734375" style="4689" bestFit="1" customWidth="1"/>
    <col min="15" max="15" width="10.77734375" style="4689" bestFit="1" customWidth="1"/>
    <col min="16" max="16" width="10.77734375" style="4689"/>
    <col min="17" max="17" width="9.21875" style="37" customWidth="1"/>
    <col min="18" max="18" width="5.5546875" style="37" bestFit="1" customWidth="1"/>
    <col min="19" max="19" width="38.5546875" style="37" bestFit="1" customWidth="1"/>
    <col min="20" max="20" width="8.21875" style="37" bestFit="1" customWidth="1"/>
    <col min="21" max="21" width="2.77734375" style="37" bestFit="1" customWidth="1"/>
    <col min="22" max="22" width="6.77734375" style="4243" bestFit="1" customWidth="1"/>
    <col min="23" max="23" width="7.44140625" style="4243" bestFit="1" customWidth="1"/>
    <col min="24" max="24" width="11.44140625" style="4577"/>
    <col min="25" max="25" width="11.44140625" style="2481"/>
    <col min="26" max="26" width="6.77734375" style="2481" bestFit="1" customWidth="1"/>
    <col min="27" max="27" width="51.77734375" style="2481" bestFit="1" customWidth="1"/>
    <col min="28" max="29" width="11.44140625" style="2481"/>
    <col min="30" max="30" width="8.21875" style="167" bestFit="1" customWidth="1"/>
    <col min="31" max="31" width="9.5546875" style="2481" customWidth="1"/>
    <col min="32" max="32" width="11.44140625" style="2481"/>
    <col min="35" max="35" width="51.44140625" bestFit="1" customWidth="1"/>
    <col min="37" max="37" width="5.21875" customWidth="1"/>
    <col min="38" max="38" width="8.21875" bestFit="1" customWidth="1"/>
    <col min="41" max="41" width="7.21875" style="129" bestFit="1" customWidth="1"/>
    <col min="42" max="42" width="44.77734375" bestFit="1" customWidth="1"/>
    <col min="43" max="43" width="8.21875" bestFit="1" customWidth="1"/>
    <col min="44" max="44" width="7.21875" customWidth="1"/>
    <col min="45" max="45" width="8.21875" bestFit="1" customWidth="1"/>
    <col min="49" max="49" width="37.77734375" bestFit="1" customWidth="1"/>
    <col min="50" max="50" width="8.77734375" customWidth="1"/>
    <col min="51" max="51" width="9.21875" customWidth="1"/>
    <col min="52" max="52" width="8.21875" bestFit="1" customWidth="1"/>
    <col min="53" max="53" width="6.5546875" customWidth="1"/>
    <col min="54" max="54" width="10.44140625" style="129" customWidth="1"/>
    <col min="55" max="55" width="10.77734375" style="129" customWidth="1"/>
    <col min="56" max="56" width="37.77734375" bestFit="1" customWidth="1"/>
    <col min="57" max="58" width="8.77734375" customWidth="1"/>
    <col min="59" max="59" width="8.21875" bestFit="1" customWidth="1"/>
    <col min="60" max="60" width="5.77734375" customWidth="1"/>
    <col min="61" max="61" width="7" style="129" customWidth="1"/>
    <col min="62" max="62" width="11" style="129" bestFit="1" customWidth="1"/>
    <col min="63" max="63" width="6.77734375" style="129" bestFit="1" customWidth="1"/>
    <col min="64" max="64" width="33.77734375" bestFit="1" customWidth="1"/>
    <col min="65" max="65" width="9.77734375" customWidth="1"/>
    <col min="66" max="66" width="5.77734375" customWidth="1"/>
    <col min="67" max="67" width="7.77734375" bestFit="1" customWidth="1"/>
    <col min="68" max="68" width="8.21875" bestFit="1" customWidth="1"/>
    <col min="69" max="69" width="8.77734375" customWidth="1"/>
    <col min="70" max="70" width="11" bestFit="1" customWidth="1"/>
    <col min="71" max="71" width="8.77734375" customWidth="1"/>
    <col min="72" max="72" width="33.77734375" bestFit="1" customWidth="1"/>
    <col min="73" max="74" width="8.77734375" hidden="1" customWidth="1"/>
    <col min="75" max="75" width="8.77734375" customWidth="1"/>
    <col min="76" max="76" width="9.77734375" customWidth="1"/>
    <col min="77" max="78" width="8.77734375" customWidth="1"/>
    <col min="79" max="79" width="11.21875" bestFit="1" customWidth="1"/>
    <col min="80" max="80" width="7" bestFit="1" customWidth="1"/>
    <col min="81" max="81" width="36.44140625" customWidth="1"/>
    <col min="82" max="82" width="5.77734375" customWidth="1"/>
    <col min="83" max="83" width="17.5546875" bestFit="1" customWidth="1"/>
    <col min="84" max="84" width="11.77734375" bestFit="1" customWidth="1"/>
    <col min="85" max="85" width="8.77734375" bestFit="1" customWidth="1"/>
    <col min="86" max="86" width="0" hidden="1" customWidth="1"/>
    <col min="89" max="89" width="7.5546875" bestFit="1" customWidth="1"/>
    <col min="90" max="90" width="36.77734375" bestFit="1" customWidth="1"/>
    <col min="91" max="91" width="7" customWidth="1"/>
    <col min="92" max="92" width="9.21875" bestFit="1" customWidth="1"/>
    <col min="93" max="94" width="10" bestFit="1" customWidth="1"/>
    <col min="334" max="334" width="3.77734375" customWidth="1"/>
    <col min="335" max="335" width="15.5546875" customWidth="1"/>
    <col min="337" max="337" width="42.44140625" bestFit="1" customWidth="1"/>
    <col min="339" max="339" width="19.5546875" customWidth="1"/>
    <col min="340" max="340" width="15.77734375" customWidth="1"/>
    <col min="590" max="590" width="3.77734375" customWidth="1"/>
    <col min="591" max="591" width="15.5546875" customWidth="1"/>
    <col min="593" max="593" width="42.44140625" bestFit="1" customWidth="1"/>
    <col min="595" max="595" width="19.5546875" customWidth="1"/>
    <col min="596" max="596" width="15.77734375" customWidth="1"/>
    <col min="846" max="846" width="3.77734375" customWidth="1"/>
    <col min="847" max="847" width="15.5546875" customWidth="1"/>
    <col min="849" max="849" width="42.44140625" bestFit="1" customWidth="1"/>
    <col min="851" max="851" width="19.5546875" customWidth="1"/>
    <col min="852" max="852" width="15.77734375" customWidth="1"/>
    <col min="1102" max="1102" width="3.77734375" customWidth="1"/>
    <col min="1103" max="1103" width="15.5546875" customWidth="1"/>
    <col min="1105" max="1105" width="42.44140625" bestFit="1" customWidth="1"/>
    <col min="1107" max="1107" width="19.5546875" customWidth="1"/>
    <col min="1108" max="1108" width="15.77734375" customWidth="1"/>
    <col min="1358" max="1358" width="3.77734375" customWidth="1"/>
    <col min="1359" max="1359" width="15.5546875" customWidth="1"/>
    <col min="1361" max="1361" width="42.44140625" bestFit="1" customWidth="1"/>
    <col min="1363" max="1363" width="19.5546875" customWidth="1"/>
    <col min="1364" max="1364" width="15.77734375" customWidth="1"/>
    <col min="1614" max="1614" width="3.77734375" customWidth="1"/>
    <col min="1615" max="1615" width="15.5546875" customWidth="1"/>
    <col min="1617" max="1617" width="42.44140625" bestFit="1" customWidth="1"/>
    <col min="1619" max="1619" width="19.5546875" customWidth="1"/>
    <col min="1620" max="1620" width="15.77734375" customWidth="1"/>
    <col min="1870" max="1870" width="3.77734375" customWidth="1"/>
    <col min="1871" max="1871" width="15.5546875" customWidth="1"/>
    <col min="1873" max="1873" width="42.44140625" bestFit="1" customWidth="1"/>
    <col min="1875" max="1875" width="19.5546875" customWidth="1"/>
    <col min="1876" max="1876" width="15.77734375" customWidth="1"/>
    <col min="2126" max="2126" width="3.77734375" customWidth="1"/>
    <col min="2127" max="2127" width="15.5546875" customWidth="1"/>
    <col min="2129" max="2129" width="42.44140625" bestFit="1" customWidth="1"/>
    <col min="2131" max="2131" width="19.5546875" customWidth="1"/>
    <col min="2132" max="2132" width="15.77734375" customWidth="1"/>
    <col min="2382" max="2382" width="3.77734375" customWidth="1"/>
    <col min="2383" max="2383" width="15.5546875" customWidth="1"/>
    <col min="2385" max="2385" width="42.44140625" bestFit="1" customWidth="1"/>
    <col min="2387" max="2387" width="19.5546875" customWidth="1"/>
    <col min="2388" max="2388" width="15.77734375" customWidth="1"/>
    <col min="2638" max="2638" width="3.77734375" customWidth="1"/>
    <col min="2639" max="2639" width="15.5546875" customWidth="1"/>
    <col min="2641" max="2641" width="42.44140625" bestFit="1" customWidth="1"/>
    <col min="2643" max="2643" width="19.5546875" customWidth="1"/>
    <col min="2644" max="2644" width="15.77734375" customWidth="1"/>
    <col min="2894" max="2894" width="3.77734375" customWidth="1"/>
    <col min="2895" max="2895" width="15.5546875" customWidth="1"/>
    <col min="2897" max="2897" width="42.44140625" bestFit="1" customWidth="1"/>
    <col min="2899" max="2899" width="19.5546875" customWidth="1"/>
    <col min="2900" max="2900" width="15.77734375" customWidth="1"/>
    <col min="3150" max="3150" width="3.77734375" customWidth="1"/>
    <col min="3151" max="3151" width="15.5546875" customWidth="1"/>
    <col min="3153" max="3153" width="42.44140625" bestFit="1" customWidth="1"/>
    <col min="3155" max="3155" width="19.5546875" customWidth="1"/>
    <col min="3156" max="3156" width="15.77734375" customWidth="1"/>
    <col min="3406" max="3406" width="3.77734375" customWidth="1"/>
    <col min="3407" max="3407" width="15.5546875" customWidth="1"/>
    <col min="3409" max="3409" width="42.44140625" bestFit="1" customWidth="1"/>
    <col min="3411" max="3411" width="19.5546875" customWidth="1"/>
    <col min="3412" max="3412" width="15.77734375" customWidth="1"/>
    <col min="3662" max="3662" width="3.77734375" customWidth="1"/>
    <col min="3663" max="3663" width="15.5546875" customWidth="1"/>
    <col min="3665" max="3665" width="42.44140625" bestFit="1" customWidth="1"/>
    <col min="3667" max="3667" width="19.5546875" customWidth="1"/>
    <col min="3668" max="3668" width="15.77734375" customWidth="1"/>
    <col min="3918" max="3918" width="3.77734375" customWidth="1"/>
    <col min="3919" max="3919" width="15.5546875" customWidth="1"/>
    <col min="3921" max="3921" width="42.44140625" bestFit="1" customWidth="1"/>
    <col min="3923" max="3923" width="19.5546875" customWidth="1"/>
    <col min="3924" max="3924" width="15.77734375" customWidth="1"/>
    <col min="4174" max="4174" width="3.77734375" customWidth="1"/>
    <col min="4175" max="4175" width="15.5546875" customWidth="1"/>
    <col min="4177" max="4177" width="42.44140625" bestFit="1" customWidth="1"/>
    <col min="4179" max="4179" width="19.5546875" customWidth="1"/>
    <col min="4180" max="4180" width="15.77734375" customWidth="1"/>
    <col min="4430" max="4430" width="3.77734375" customWidth="1"/>
    <col min="4431" max="4431" width="15.5546875" customWidth="1"/>
    <col min="4433" max="4433" width="42.44140625" bestFit="1" customWidth="1"/>
    <col min="4435" max="4435" width="19.5546875" customWidth="1"/>
    <col min="4436" max="4436" width="15.77734375" customWidth="1"/>
    <col min="4686" max="4686" width="3.77734375" customWidth="1"/>
    <col min="4687" max="4687" width="15.5546875" customWidth="1"/>
    <col min="4689" max="4689" width="42.44140625" bestFit="1" customWidth="1"/>
    <col min="4691" max="4691" width="19.5546875" customWidth="1"/>
    <col min="4692" max="4692" width="15.77734375" customWidth="1"/>
    <col min="4942" max="4942" width="3.77734375" customWidth="1"/>
    <col min="4943" max="4943" width="15.5546875" customWidth="1"/>
    <col min="4945" max="4945" width="42.44140625" bestFit="1" customWidth="1"/>
    <col min="4947" max="4947" width="19.5546875" customWidth="1"/>
    <col min="4948" max="4948" width="15.77734375" customWidth="1"/>
    <col min="5198" max="5198" width="3.77734375" customWidth="1"/>
    <col min="5199" max="5199" width="15.5546875" customWidth="1"/>
    <col min="5201" max="5201" width="42.44140625" bestFit="1" customWidth="1"/>
    <col min="5203" max="5203" width="19.5546875" customWidth="1"/>
    <col min="5204" max="5204" width="15.77734375" customWidth="1"/>
    <col min="5454" max="5454" width="3.77734375" customWidth="1"/>
    <col min="5455" max="5455" width="15.5546875" customWidth="1"/>
    <col min="5457" max="5457" width="42.44140625" bestFit="1" customWidth="1"/>
    <col min="5459" max="5459" width="19.5546875" customWidth="1"/>
    <col min="5460" max="5460" width="15.77734375" customWidth="1"/>
    <col min="5710" max="5710" width="3.77734375" customWidth="1"/>
    <col min="5711" max="5711" width="15.5546875" customWidth="1"/>
    <col min="5713" max="5713" width="42.44140625" bestFit="1" customWidth="1"/>
    <col min="5715" max="5715" width="19.5546875" customWidth="1"/>
    <col min="5716" max="5716" width="15.77734375" customWidth="1"/>
    <col min="5966" max="5966" width="3.77734375" customWidth="1"/>
    <col min="5967" max="5967" width="15.5546875" customWidth="1"/>
    <col min="5969" max="5969" width="42.44140625" bestFit="1" customWidth="1"/>
    <col min="5971" max="5971" width="19.5546875" customWidth="1"/>
    <col min="5972" max="5972" width="15.77734375" customWidth="1"/>
    <col min="6222" max="6222" width="3.77734375" customWidth="1"/>
    <col min="6223" max="6223" width="15.5546875" customWidth="1"/>
    <col min="6225" max="6225" width="42.44140625" bestFit="1" customWidth="1"/>
    <col min="6227" max="6227" width="19.5546875" customWidth="1"/>
    <col min="6228" max="6228" width="15.77734375" customWidth="1"/>
    <col min="6478" max="6478" width="3.77734375" customWidth="1"/>
    <col min="6479" max="6479" width="15.5546875" customWidth="1"/>
    <col min="6481" max="6481" width="42.44140625" bestFit="1" customWidth="1"/>
    <col min="6483" max="6483" width="19.5546875" customWidth="1"/>
    <col min="6484" max="6484" width="15.77734375" customWidth="1"/>
    <col min="6734" max="6734" width="3.77734375" customWidth="1"/>
    <col min="6735" max="6735" width="15.5546875" customWidth="1"/>
    <col min="6737" max="6737" width="42.44140625" bestFit="1" customWidth="1"/>
    <col min="6739" max="6739" width="19.5546875" customWidth="1"/>
    <col min="6740" max="6740" width="15.77734375" customWidth="1"/>
    <col min="6990" max="6990" width="3.77734375" customWidth="1"/>
    <col min="6991" max="6991" width="15.5546875" customWidth="1"/>
    <col min="6993" max="6993" width="42.44140625" bestFit="1" customWidth="1"/>
    <col min="6995" max="6995" width="19.5546875" customWidth="1"/>
    <col min="6996" max="6996" width="15.77734375" customWidth="1"/>
    <col min="7246" max="7246" width="3.77734375" customWidth="1"/>
    <col min="7247" max="7247" width="15.5546875" customWidth="1"/>
    <col min="7249" max="7249" width="42.44140625" bestFit="1" customWidth="1"/>
    <col min="7251" max="7251" width="19.5546875" customWidth="1"/>
    <col min="7252" max="7252" width="15.77734375" customWidth="1"/>
    <col min="7502" max="7502" width="3.77734375" customWidth="1"/>
    <col min="7503" max="7503" width="15.5546875" customWidth="1"/>
    <col min="7505" max="7505" width="42.44140625" bestFit="1" customWidth="1"/>
    <col min="7507" max="7507" width="19.5546875" customWidth="1"/>
    <col min="7508" max="7508" width="15.77734375" customWidth="1"/>
    <col min="7758" max="7758" width="3.77734375" customWidth="1"/>
    <col min="7759" max="7759" width="15.5546875" customWidth="1"/>
    <col min="7761" max="7761" width="42.44140625" bestFit="1" customWidth="1"/>
    <col min="7763" max="7763" width="19.5546875" customWidth="1"/>
    <col min="7764" max="7764" width="15.77734375" customWidth="1"/>
    <col min="8014" max="8014" width="3.77734375" customWidth="1"/>
    <col min="8015" max="8015" width="15.5546875" customWidth="1"/>
    <col min="8017" max="8017" width="42.44140625" bestFit="1" customWidth="1"/>
    <col min="8019" max="8019" width="19.5546875" customWidth="1"/>
    <col min="8020" max="8020" width="15.77734375" customWidth="1"/>
    <col min="8270" max="8270" width="3.77734375" customWidth="1"/>
    <col min="8271" max="8271" width="15.5546875" customWidth="1"/>
    <col min="8273" max="8273" width="42.44140625" bestFit="1" customWidth="1"/>
    <col min="8275" max="8275" width="19.5546875" customWidth="1"/>
    <col min="8276" max="8276" width="15.77734375" customWidth="1"/>
    <col min="8526" max="8526" width="3.77734375" customWidth="1"/>
    <col min="8527" max="8527" width="15.5546875" customWidth="1"/>
    <col min="8529" max="8529" width="42.44140625" bestFit="1" customWidth="1"/>
    <col min="8531" max="8531" width="19.5546875" customWidth="1"/>
    <col min="8532" max="8532" width="15.77734375" customWidth="1"/>
    <col min="8782" max="8782" width="3.77734375" customWidth="1"/>
    <col min="8783" max="8783" width="15.5546875" customWidth="1"/>
    <col min="8785" max="8785" width="42.44140625" bestFit="1" customWidth="1"/>
    <col min="8787" max="8787" width="19.5546875" customWidth="1"/>
    <col min="8788" max="8788" width="15.77734375" customWidth="1"/>
    <col min="9038" max="9038" width="3.77734375" customWidth="1"/>
    <col min="9039" max="9039" width="15.5546875" customWidth="1"/>
    <col min="9041" max="9041" width="42.44140625" bestFit="1" customWidth="1"/>
    <col min="9043" max="9043" width="19.5546875" customWidth="1"/>
    <col min="9044" max="9044" width="15.77734375" customWidth="1"/>
    <col min="9294" max="9294" width="3.77734375" customWidth="1"/>
    <col min="9295" max="9295" width="15.5546875" customWidth="1"/>
    <col min="9297" max="9297" width="42.44140625" bestFit="1" customWidth="1"/>
    <col min="9299" max="9299" width="19.5546875" customWidth="1"/>
    <col min="9300" max="9300" width="15.77734375" customWidth="1"/>
    <col min="9550" max="9550" width="3.77734375" customWidth="1"/>
    <col min="9551" max="9551" width="15.5546875" customWidth="1"/>
    <col min="9553" max="9553" width="42.44140625" bestFit="1" customWidth="1"/>
    <col min="9555" max="9555" width="19.5546875" customWidth="1"/>
    <col min="9556" max="9556" width="15.77734375" customWidth="1"/>
    <col min="9806" max="9806" width="3.77734375" customWidth="1"/>
    <col min="9807" max="9807" width="15.5546875" customWidth="1"/>
    <col min="9809" max="9809" width="42.44140625" bestFit="1" customWidth="1"/>
    <col min="9811" max="9811" width="19.5546875" customWidth="1"/>
    <col min="9812" max="9812" width="15.77734375" customWidth="1"/>
    <col min="10062" max="10062" width="3.77734375" customWidth="1"/>
    <col min="10063" max="10063" width="15.5546875" customWidth="1"/>
    <col min="10065" max="10065" width="42.44140625" bestFit="1" customWidth="1"/>
    <col min="10067" max="10067" width="19.5546875" customWidth="1"/>
    <col min="10068" max="10068" width="15.77734375" customWidth="1"/>
    <col min="10318" max="10318" width="3.77734375" customWidth="1"/>
    <col min="10319" max="10319" width="15.5546875" customWidth="1"/>
    <col min="10321" max="10321" width="42.44140625" bestFit="1" customWidth="1"/>
    <col min="10323" max="10323" width="19.5546875" customWidth="1"/>
    <col min="10324" max="10324" width="15.77734375" customWidth="1"/>
    <col min="10574" max="10574" width="3.77734375" customWidth="1"/>
    <col min="10575" max="10575" width="15.5546875" customWidth="1"/>
    <col min="10577" max="10577" width="42.44140625" bestFit="1" customWidth="1"/>
    <col min="10579" max="10579" width="19.5546875" customWidth="1"/>
    <col min="10580" max="10580" width="15.77734375" customWidth="1"/>
    <col min="10830" max="10830" width="3.77734375" customWidth="1"/>
    <col min="10831" max="10831" width="15.5546875" customWidth="1"/>
    <col min="10833" max="10833" width="42.44140625" bestFit="1" customWidth="1"/>
    <col min="10835" max="10835" width="19.5546875" customWidth="1"/>
    <col min="10836" max="10836" width="15.77734375" customWidth="1"/>
    <col min="11086" max="11086" width="3.77734375" customWidth="1"/>
    <col min="11087" max="11087" width="15.5546875" customWidth="1"/>
    <col min="11089" max="11089" width="42.44140625" bestFit="1" customWidth="1"/>
    <col min="11091" max="11091" width="19.5546875" customWidth="1"/>
    <col min="11092" max="11092" width="15.77734375" customWidth="1"/>
    <col min="11342" max="11342" width="3.77734375" customWidth="1"/>
    <col min="11343" max="11343" width="15.5546875" customWidth="1"/>
    <col min="11345" max="11345" width="42.44140625" bestFit="1" customWidth="1"/>
    <col min="11347" max="11347" width="19.5546875" customWidth="1"/>
    <col min="11348" max="11348" width="15.77734375" customWidth="1"/>
    <col min="11598" max="11598" width="3.77734375" customWidth="1"/>
    <col min="11599" max="11599" width="15.5546875" customWidth="1"/>
    <col min="11601" max="11601" width="42.44140625" bestFit="1" customWidth="1"/>
    <col min="11603" max="11603" width="19.5546875" customWidth="1"/>
    <col min="11604" max="11604" width="15.77734375" customWidth="1"/>
    <col min="11854" max="11854" width="3.77734375" customWidth="1"/>
    <col min="11855" max="11855" width="15.5546875" customWidth="1"/>
    <col min="11857" max="11857" width="42.44140625" bestFit="1" customWidth="1"/>
    <col min="11859" max="11859" width="19.5546875" customWidth="1"/>
    <col min="11860" max="11860" width="15.77734375" customWidth="1"/>
    <col min="12110" max="12110" width="3.77734375" customWidth="1"/>
    <col min="12111" max="12111" width="15.5546875" customWidth="1"/>
    <col min="12113" max="12113" width="42.44140625" bestFit="1" customWidth="1"/>
    <col min="12115" max="12115" width="19.5546875" customWidth="1"/>
    <col min="12116" max="12116" width="15.77734375" customWidth="1"/>
    <col min="12366" max="12366" width="3.77734375" customWidth="1"/>
    <col min="12367" max="12367" width="15.5546875" customWidth="1"/>
    <col min="12369" max="12369" width="42.44140625" bestFit="1" customWidth="1"/>
    <col min="12371" max="12371" width="19.5546875" customWidth="1"/>
    <col min="12372" max="12372" width="15.77734375" customWidth="1"/>
    <col min="12622" max="12622" width="3.77734375" customWidth="1"/>
    <col min="12623" max="12623" width="15.5546875" customWidth="1"/>
    <col min="12625" max="12625" width="42.44140625" bestFit="1" customWidth="1"/>
    <col min="12627" max="12627" width="19.5546875" customWidth="1"/>
    <col min="12628" max="12628" width="15.77734375" customWidth="1"/>
    <col min="12878" max="12878" width="3.77734375" customWidth="1"/>
    <col min="12879" max="12879" width="15.5546875" customWidth="1"/>
    <col min="12881" max="12881" width="42.44140625" bestFit="1" customWidth="1"/>
    <col min="12883" max="12883" width="19.5546875" customWidth="1"/>
    <col min="12884" max="12884" width="15.77734375" customWidth="1"/>
    <col min="13134" max="13134" width="3.77734375" customWidth="1"/>
    <col min="13135" max="13135" width="15.5546875" customWidth="1"/>
    <col min="13137" max="13137" width="42.44140625" bestFit="1" customWidth="1"/>
    <col min="13139" max="13139" width="19.5546875" customWidth="1"/>
    <col min="13140" max="13140" width="15.77734375" customWidth="1"/>
    <col min="13390" max="13390" width="3.77734375" customWidth="1"/>
    <col min="13391" max="13391" width="15.5546875" customWidth="1"/>
    <col min="13393" max="13393" width="42.44140625" bestFit="1" customWidth="1"/>
    <col min="13395" max="13395" width="19.5546875" customWidth="1"/>
    <col min="13396" max="13396" width="15.77734375" customWidth="1"/>
    <col min="13646" max="13646" width="3.77734375" customWidth="1"/>
    <col min="13647" max="13647" width="15.5546875" customWidth="1"/>
    <col min="13649" max="13649" width="42.44140625" bestFit="1" customWidth="1"/>
    <col min="13651" max="13651" width="19.5546875" customWidth="1"/>
    <col min="13652" max="13652" width="15.77734375" customWidth="1"/>
    <col min="13902" max="13902" width="3.77734375" customWidth="1"/>
    <col min="13903" max="13903" width="15.5546875" customWidth="1"/>
    <col min="13905" max="13905" width="42.44140625" bestFit="1" customWidth="1"/>
    <col min="13907" max="13907" width="19.5546875" customWidth="1"/>
    <col min="13908" max="13908" width="15.77734375" customWidth="1"/>
    <col min="14158" max="14158" width="3.77734375" customWidth="1"/>
    <col min="14159" max="14159" width="15.5546875" customWidth="1"/>
    <col min="14161" max="14161" width="42.44140625" bestFit="1" customWidth="1"/>
    <col min="14163" max="14163" width="19.5546875" customWidth="1"/>
    <col min="14164" max="14164" width="15.77734375" customWidth="1"/>
    <col min="14414" max="14414" width="3.77734375" customWidth="1"/>
    <col min="14415" max="14415" width="15.5546875" customWidth="1"/>
    <col min="14417" max="14417" width="42.44140625" bestFit="1" customWidth="1"/>
    <col min="14419" max="14419" width="19.5546875" customWidth="1"/>
    <col min="14420" max="14420" width="15.77734375" customWidth="1"/>
    <col min="14670" max="14670" width="3.77734375" customWidth="1"/>
    <col min="14671" max="14671" width="15.5546875" customWidth="1"/>
    <col min="14673" max="14673" width="42.44140625" bestFit="1" customWidth="1"/>
    <col min="14675" max="14675" width="19.5546875" customWidth="1"/>
    <col min="14676" max="14676" width="15.77734375" customWidth="1"/>
    <col min="14926" max="14926" width="3.77734375" customWidth="1"/>
    <col min="14927" max="14927" width="15.5546875" customWidth="1"/>
    <col min="14929" max="14929" width="42.44140625" bestFit="1" customWidth="1"/>
    <col min="14931" max="14931" width="19.5546875" customWidth="1"/>
    <col min="14932" max="14932" width="15.77734375" customWidth="1"/>
    <col min="15182" max="15182" width="3.77734375" customWidth="1"/>
    <col min="15183" max="15183" width="15.5546875" customWidth="1"/>
    <col min="15185" max="15185" width="42.44140625" bestFit="1" customWidth="1"/>
    <col min="15187" max="15187" width="19.5546875" customWidth="1"/>
    <col min="15188" max="15188" width="15.77734375" customWidth="1"/>
    <col min="15438" max="15438" width="3.77734375" customWidth="1"/>
    <col min="15439" max="15439" width="15.5546875" customWidth="1"/>
    <col min="15441" max="15441" width="42.44140625" bestFit="1" customWidth="1"/>
    <col min="15443" max="15443" width="19.5546875" customWidth="1"/>
    <col min="15444" max="15444" width="15.77734375" customWidth="1"/>
    <col min="15694" max="15694" width="3.77734375" customWidth="1"/>
    <col min="15695" max="15695" width="15.5546875" customWidth="1"/>
    <col min="15697" max="15697" width="42.44140625" bestFit="1" customWidth="1"/>
    <col min="15699" max="15699" width="19.5546875" customWidth="1"/>
    <col min="15700" max="15700" width="15.77734375" customWidth="1"/>
    <col min="15950" max="15950" width="3.77734375" customWidth="1"/>
    <col min="15951" max="15951" width="15.5546875" customWidth="1"/>
    <col min="15953" max="15953" width="42.44140625" bestFit="1" customWidth="1"/>
    <col min="15955" max="15955" width="19.5546875" customWidth="1"/>
    <col min="15956" max="15956" width="15.77734375" customWidth="1"/>
    <col min="16206" max="16206" width="3.77734375" customWidth="1"/>
    <col min="16207" max="16207" width="15.5546875" customWidth="1"/>
    <col min="16209" max="16209" width="42.44140625" bestFit="1" customWidth="1"/>
    <col min="16211" max="16211" width="19.5546875" customWidth="1"/>
    <col min="16212" max="16212" width="15.77734375" customWidth="1"/>
  </cols>
  <sheetData>
    <row r="2" spans="1:94" ht="15.6">
      <c r="A2" s="32" t="s">
        <v>3927</v>
      </c>
      <c r="I2" s="588" t="s">
        <v>3924</v>
      </c>
      <c r="J2" s="41"/>
      <c r="K2" s="41"/>
      <c r="L2" s="41"/>
      <c r="M2" s="41"/>
      <c r="N2" s="107"/>
      <c r="O2" s="107"/>
      <c r="P2" s="107"/>
      <c r="Q2" s="1793" t="s">
        <v>3923</v>
      </c>
      <c r="Y2" s="32" t="s">
        <v>2711</v>
      </c>
      <c r="AG2" s="32" t="s">
        <v>2554</v>
      </c>
      <c r="AN2" s="484" t="s">
        <v>1947</v>
      </c>
      <c r="AU2" s="930" t="s">
        <v>1876</v>
      </c>
      <c r="BA2" s="24"/>
      <c r="BB2" s="930" t="s">
        <v>1381</v>
      </c>
      <c r="BD2" s="24"/>
      <c r="BE2" s="24"/>
      <c r="BF2" s="24"/>
      <c r="BG2" s="24"/>
      <c r="BH2" s="24"/>
      <c r="BI2" s="931" t="s">
        <v>1357</v>
      </c>
      <c r="BJ2" s="932"/>
      <c r="BK2" s="932"/>
      <c r="BL2" s="828"/>
      <c r="BM2" s="829"/>
      <c r="BN2" s="830"/>
      <c r="BO2" s="831"/>
      <c r="BP2" s="831"/>
      <c r="BR2" s="744" t="s">
        <v>1358</v>
      </c>
      <c r="BS2" s="744"/>
      <c r="BT2" s="744"/>
      <c r="BU2" s="744"/>
      <c r="BV2" s="744"/>
      <c r="CA2" s="744" t="s">
        <v>1359</v>
      </c>
      <c r="CB2" s="744"/>
      <c r="CC2" s="744"/>
      <c r="CD2" s="744"/>
      <c r="CE2" s="744"/>
      <c r="CF2" s="744"/>
      <c r="CG2" s="744"/>
    </row>
    <row r="3" spans="1:94" ht="15.6">
      <c r="D3" s="5534" t="s">
        <v>3926</v>
      </c>
      <c r="I3" s="588" t="s">
        <v>2961</v>
      </c>
      <c r="J3" s="41"/>
      <c r="K3" s="41"/>
      <c r="L3" s="41"/>
      <c r="M3" s="41"/>
      <c r="N3" s="107"/>
      <c r="O3" s="107"/>
      <c r="P3" s="107"/>
      <c r="Q3" s="1793" t="s">
        <v>2960</v>
      </c>
      <c r="Y3" s="32" t="s">
        <v>2712</v>
      </c>
      <c r="AG3" s="32" t="s">
        <v>2543</v>
      </c>
      <c r="AN3" s="1679" t="s">
        <v>1942</v>
      </c>
      <c r="AO3" s="1642"/>
      <c r="AP3" s="1010"/>
      <c r="AQ3" s="1010"/>
      <c r="AR3" s="1010"/>
      <c r="AS3" s="1010"/>
      <c r="AU3" s="1470" t="s">
        <v>1871</v>
      </c>
      <c r="BB3" s="1471" t="s">
        <v>1364</v>
      </c>
      <c r="BC3" s="107"/>
      <c r="BD3" s="47"/>
      <c r="BE3" s="47"/>
      <c r="BF3" s="47"/>
      <c r="BI3" s="933" t="s">
        <v>1382</v>
      </c>
      <c r="BJ3" s="932"/>
      <c r="BK3" s="932"/>
      <c r="BL3" s="828"/>
      <c r="BM3" s="829"/>
      <c r="BN3" s="830"/>
      <c r="BO3" s="831"/>
      <c r="BP3" s="831"/>
      <c r="BR3" s="744" t="s">
        <v>1383</v>
      </c>
      <c r="BS3" s="744"/>
      <c r="BT3" s="744"/>
      <c r="BU3" s="744"/>
      <c r="BV3" s="744"/>
      <c r="CA3" s="744" t="s">
        <v>1384</v>
      </c>
      <c r="CB3" s="744"/>
      <c r="CC3" s="744"/>
      <c r="CD3" s="744"/>
      <c r="CE3" s="744"/>
      <c r="CF3" s="744"/>
      <c r="CG3" s="744"/>
      <c r="CJ3" s="68"/>
    </row>
    <row r="4" spans="1:94">
      <c r="I4" s="41"/>
      <c r="J4" s="41"/>
      <c r="K4" s="41"/>
      <c r="L4" s="41"/>
      <c r="M4" s="41"/>
      <c r="N4" s="107"/>
      <c r="O4" s="107"/>
      <c r="P4" s="107"/>
      <c r="AG4" s="42" t="s">
        <v>2553</v>
      </c>
      <c r="AH4" s="42"/>
      <c r="AI4" s="42"/>
      <c r="AJ4" s="42"/>
      <c r="AK4" s="42"/>
      <c r="BC4" s="934"/>
      <c r="BD4" s="935"/>
      <c r="BE4" s="935"/>
      <c r="BF4" s="935"/>
      <c r="BI4" s="1472" t="s">
        <v>1365</v>
      </c>
      <c r="BJ4" s="932"/>
      <c r="BK4" s="932"/>
      <c r="BL4" s="828"/>
      <c r="BM4" s="829"/>
      <c r="BN4" s="830"/>
      <c r="BO4" s="831"/>
      <c r="BP4" s="831"/>
      <c r="CA4" s="839"/>
      <c r="CB4" s="839"/>
      <c r="CC4" s="839"/>
      <c r="CD4" s="839"/>
      <c r="CE4" s="839"/>
      <c r="CF4" s="839"/>
      <c r="CG4" s="68"/>
      <c r="CJ4" s="68"/>
    </row>
    <row r="5" spans="1:94" ht="16.2" thickBot="1">
      <c r="I5" s="41"/>
      <c r="J5" s="41"/>
      <c r="K5" s="41"/>
      <c r="L5" s="41"/>
      <c r="M5" s="41"/>
      <c r="N5" s="107"/>
      <c r="O5" s="107"/>
      <c r="P5" s="107"/>
      <c r="AG5" s="42"/>
      <c r="AH5" s="42"/>
      <c r="AI5" s="42"/>
      <c r="AJ5" s="42"/>
      <c r="AK5" s="42"/>
      <c r="AN5" s="1010"/>
      <c r="AO5" s="1642"/>
      <c r="AP5" s="1010"/>
      <c r="AQ5" s="5693">
        <v>2016</v>
      </c>
      <c r="AR5" s="5693"/>
      <c r="AS5" s="5693"/>
      <c r="AX5" s="5693">
        <v>2015</v>
      </c>
      <c r="AY5" s="5693"/>
      <c r="AZ5" s="5693"/>
      <c r="BB5" s="107"/>
      <c r="BC5" s="936"/>
      <c r="BD5" s="937"/>
      <c r="BE5" s="5688">
        <v>2014</v>
      </c>
      <c r="BF5" s="5688"/>
      <c r="BG5" s="5688"/>
      <c r="BI5" s="932"/>
      <c r="BJ5" s="932"/>
      <c r="BK5" s="932"/>
      <c r="BL5" s="828"/>
      <c r="BM5" s="5688">
        <v>2013</v>
      </c>
      <c r="BN5" s="5688"/>
      <c r="BO5" s="5688"/>
      <c r="BP5" s="5688"/>
      <c r="BU5" s="5639">
        <v>2012</v>
      </c>
      <c r="BV5" s="5639"/>
      <c r="BW5" s="5639"/>
      <c r="BX5" s="5639"/>
      <c r="BY5" s="5639"/>
      <c r="CA5" s="58"/>
      <c r="CB5" s="58"/>
      <c r="CC5" s="58"/>
      <c r="CD5" s="5639">
        <v>2011</v>
      </c>
      <c r="CE5" s="5639"/>
      <c r="CF5" s="5639"/>
      <c r="CG5" s="5639"/>
      <c r="CH5" s="58"/>
      <c r="CI5" s="58"/>
      <c r="CJ5" s="58"/>
      <c r="CK5" s="58"/>
      <c r="CL5" s="58"/>
      <c r="CM5" s="5639">
        <v>2010</v>
      </c>
      <c r="CN5" s="5639"/>
      <c r="CO5" s="5639"/>
      <c r="CP5" s="5639"/>
    </row>
    <row r="6" spans="1:94" ht="37.200000000000003" thickBot="1">
      <c r="A6" s="466" t="s">
        <v>0</v>
      </c>
      <c r="B6" s="466" t="s">
        <v>1</v>
      </c>
      <c r="C6" s="466" t="s">
        <v>2</v>
      </c>
      <c r="D6" s="466" t="s">
        <v>1368</v>
      </c>
      <c r="E6" s="466" t="s">
        <v>1366</v>
      </c>
      <c r="F6" s="843" t="s">
        <v>1302</v>
      </c>
      <c r="G6" s="728" t="s">
        <v>1371</v>
      </c>
      <c r="I6" s="465" t="s">
        <v>0</v>
      </c>
      <c r="J6" s="465" t="s">
        <v>1</v>
      </c>
      <c r="K6" s="465" t="s">
        <v>2</v>
      </c>
      <c r="L6" s="466" t="s">
        <v>2936</v>
      </c>
      <c r="M6" s="466" t="s">
        <v>1366</v>
      </c>
      <c r="N6" s="843" t="s">
        <v>1302</v>
      </c>
      <c r="O6" s="728" t="s">
        <v>1371</v>
      </c>
      <c r="P6" s="107"/>
      <c r="Q6" s="4698" t="s">
        <v>0</v>
      </c>
      <c r="R6" s="4698" t="s">
        <v>1</v>
      </c>
      <c r="S6" s="4698" t="s">
        <v>2</v>
      </c>
      <c r="T6" s="4697" t="s">
        <v>2936</v>
      </c>
      <c r="U6" s="4697" t="s">
        <v>1366</v>
      </c>
      <c r="V6" s="4770" t="s">
        <v>1302</v>
      </c>
      <c r="W6" s="4751" t="s">
        <v>1371</v>
      </c>
      <c r="Y6" s="466" t="s">
        <v>0</v>
      </c>
      <c r="Z6" s="466" t="s">
        <v>1</v>
      </c>
      <c r="AA6" s="466" t="s">
        <v>2</v>
      </c>
      <c r="AB6" s="466" t="s">
        <v>1155</v>
      </c>
      <c r="AC6" s="466" t="s">
        <v>1366</v>
      </c>
      <c r="AD6" s="2507" t="s">
        <v>1302</v>
      </c>
      <c r="AE6" s="1643" t="s">
        <v>1371</v>
      </c>
      <c r="AG6" s="491" t="s">
        <v>0</v>
      </c>
      <c r="AH6" s="491" t="s">
        <v>1</v>
      </c>
      <c r="AI6" s="491" t="s">
        <v>2</v>
      </c>
      <c r="AJ6" s="491" t="s">
        <v>2545</v>
      </c>
      <c r="AK6" s="491" t="s">
        <v>1366</v>
      </c>
      <c r="AL6" s="843" t="s">
        <v>1302</v>
      </c>
      <c r="AN6" s="466" t="s">
        <v>0</v>
      </c>
      <c r="AO6" s="466" t="s">
        <v>1</v>
      </c>
      <c r="AP6" s="466" t="s">
        <v>2</v>
      </c>
      <c r="AQ6" s="466" t="s">
        <v>1943</v>
      </c>
      <c r="AR6" s="466" t="s">
        <v>1366</v>
      </c>
      <c r="AS6" s="843" t="s">
        <v>1302</v>
      </c>
      <c r="AU6" s="558" t="s">
        <v>0</v>
      </c>
      <c r="AV6" s="558" t="s">
        <v>1</v>
      </c>
      <c r="AW6" s="1454" t="s">
        <v>2</v>
      </c>
      <c r="AX6" s="1421" t="s">
        <v>1872</v>
      </c>
      <c r="AY6" s="1421" t="s">
        <v>1366</v>
      </c>
      <c r="AZ6" s="843" t="s">
        <v>1302</v>
      </c>
      <c r="BB6" s="842" t="s">
        <v>0</v>
      </c>
      <c r="BC6" s="842" t="s">
        <v>1</v>
      </c>
      <c r="BD6" s="842" t="s">
        <v>2</v>
      </c>
      <c r="BE6" s="842" t="s">
        <v>1155</v>
      </c>
      <c r="BF6" s="842" t="s">
        <v>1366</v>
      </c>
      <c r="BG6" s="843" t="s">
        <v>1302</v>
      </c>
      <c r="BI6" s="938" t="s">
        <v>1009</v>
      </c>
      <c r="BJ6" s="938" t="s">
        <v>0</v>
      </c>
      <c r="BK6" s="938" t="s">
        <v>1</v>
      </c>
      <c r="BL6" s="938" t="s">
        <v>2</v>
      </c>
      <c r="BM6" s="938" t="s">
        <v>1155</v>
      </c>
      <c r="BN6" s="938" t="s">
        <v>1366</v>
      </c>
      <c r="BO6" s="938" t="s">
        <v>1367</v>
      </c>
      <c r="BP6" s="843" t="s">
        <v>1302</v>
      </c>
      <c r="BQ6" s="41"/>
      <c r="BR6" s="939" t="s">
        <v>0</v>
      </c>
      <c r="BS6" s="939" t="s">
        <v>1</v>
      </c>
      <c r="BT6" s="939" t="s">
        <v>2</v>
      </c>
      <c r="BU6" s="754" t="s">
        <v>1368</v>
      </c>
      <c r="BV6" s="754" t="s">
        <v>1302</v>
      </c>
      <c r="BW6" s="940" t="s">
        <v>1366</v>
      </c>
      <c r="BX6" s="754" t="s">
        <v>1369</v>
      </c>
      <c r="BY6" s="755" t="s">
        <v>1302</v>
      </c>
      <c r="BZ6" s="41"/>
      <c r="CA6" s="941" t="s">
        <v>0</v>
      </c>
      <c r="CB6" s="941" t="s">
        <v>1</v>
      </c>
      <c r="CC6" s="941" t="s">
        <v>2</v>
      </c>
      <c r="CD6" s="456" t="s">
        <v>1366</v>
      </c>
      <c r="CE6" s="728" t="s">
        <v>1370</v>
      </c>
      <c r="CF6" s="728" t="s">
        <v>1371</v>
      </c>
      <c r="CG6" s="942" t="s">
        <v>1302</v>
      </c>
      <c r="CH6" s="47"/>
      <c r="CI6" s="47"/>
      <c r="CJ6" s="943" t="s">
        <v>0</v>
      </c>
      <c r="CK6" s="943" t="s">
        <v>1</v>
      </c>
      <c r="CL6" s="943" t="s">
        <v>2</v>
      </c>
      <c r="CM6" s="943" t="s">
        <v>1155</v>
      </c>
      <c r="CN6" s="943" t="s">
        <v>1301</v>
      </c>
      <c r="CO6" s="944" t="s">
        <v>1303</v>
      </c>
      <c r="CP6" s="945" t="s">
        <v>1304</v>
      </c>
    </row>
    <row r="7" spans="1:94">
      <c r="A7" s="41" t="s">
        <v>3</v>
      </c>
      <c r="B7" s="41" t="s">
        <v>4</v>
      </c>
      <c r="C7" s="41" t="s">
        <v>116</v>
      </c>
      <c r="D7" s="1496">
        <v>13.5</v>
      </c>
      <c r="E7" s="105">
        <v>2</v>
      </c>
      <c r="F7" s="1431">
        <f>D7-G7</f>
        <v>1.5</v>
      </c>
      <c r="G7" s="107">
        <v>12</v>
      </c>
      <c r="I7" s="41" t="s">
        <v>3</v>
      </c>
      <c r="J7" s="41" t="s">
        <v>4</v>
      </c>
      <c r="K7" s="41" t="s">
        <v>116</v>
      </c>
      <c r="L7" s="1496">
        <v>16.5</v>
      </c>
      <c r="M7" s="105">
        <v>2</v>
      </c>
      <c r="N7" s="1431">
        <f>L7-O7</f>
        <v>4.5</v>
      </c>
      <c r="O7" s="107">
        <v>12</v>
      </c>
      <c r="P7" s="107"/>
      <c r="Q7" s="37" t="s">
        <v>3</v>
      </c>
      <c r="R7" s="37" t="s">
        <v>4</v>
      </c>
      <c r="S7" s="37" t="s">
        <v>116</v>
      </c>
      <c r="T7" s="1788">
        <v>17</v>
      </c>
      <c r="U7" s="1788">
        <v>1</v>
      </c>
      <c r="V7" s="4243">
        <f>T7-W7</f>
        <v>5</v>
      </c>
      <c r="W7" s="4243">
        <v>12</v>
      </c>
      <c r="Y7" s="41" t="s">
        <v>3</v>
      </c>
      <c r="Z7" s="41" t="s">
        <v>4</v>
      </c>
      <c r="AA7" s="2457"/>
      <c r="AB7" s="2459"/>
      <c r="AC7" s="2459"/>
      <c r="AE7" s="107"/>
      <c r="AF7" s="107"/>
      <c r="AG7" s="58" t="s">
        <v>3</v>
      </c>
      <c r="AH7" s="95" t="s">
        <v>4</v>
      </c>
      <c r="AI7" s="58" t="s">
        <v>115</v>
      </c>
      <c r="AJ7" s="912">
        <v>9</v>
      </c>
      <c r="AK7" s="95">
        <v>1</v>
      </c>
      <c r="AL7" s="1456">
        <f>AJ7-9</f>
        <v>0</v>
      </c>
      <c r="AN7" s="107" t="s">
        <v>3</v>
      </c>
      <c r="AO7" s="107" t="s">
        <v>4</v>
      </c>
      <c r="AP7" s="47" t="s">
        <v>115</v>
      </c>
      <c r="AQ7" s="144">
        <v>11.57</v>
      </c>
      <c r="AR7" s="107">
        <v>7</v>
      </c>
      <c r="AS7" s="1456">
        <f>AQ7-6</f>
        <v>5.57</v>
      </c>
      <c r="AU7" s="1359" t="s">
        <v>3</v>
      </c>
      <c r="AV7" s="1359" t="s">
        <v>4</v>
      </c>
      <c r="AW7" s="1455" t="s">
        <v>115</v>
      </c>
      <c r="AX7" s="1456">
        <v>9.3333333333333339</v>
      </c>
      <c r="AY7" s="1457">
        <v>3</v>
      </c>
      <c r="AZ7" s="1456">
        <f>AX7-6</f>
        <v>3.3333333333333339</v>
      </c>
      <c r="BB7" s="946" t="s">
        <v>3</v>
      </c>
      <c r="BC7" s="946" t="s">
        <v>4</v>
      </c>
      <c r="BD7" s="947" t="s">
        <v>115</v>
      </c>
      <c r="BE7" s="948">
        <v>9.1999999999999993</v>
      </c>
      <c r="BF7" s="949">
        <v>5</v>
      </c>
      <c r="BG7" s="853">
        <f>BE7-6</f>
        <v>3.1999999999999993</v>
      </c>
      <c r="BI7" s="689" t="s">
        <v>1385</v>
      </c>
      <c r="BJ7" s="689" t="s">
        <v>3</v>
      </c>
      <c r="BK7" s="689" t="s">
        <v>4</v>
      </c>
      <c r="BL7" s="457" t="s">
        <v>115</v>
      </c>
      <c r="BM7" s="459">
        <v>11.272727272727272</v>
      </c>
      <c r="BN7" s="458">
        <v>11</v>
      </c>
      <c r="BO7" s="765">
        <v>2.3702704103502237</v>
      </c>
      <c r="BP7" s="458">
        <f>BM7-6</f>
        <v>5.2727272727272716</v>
      </c>
      <c r="BQ7" s="41"/>
      <c r="BR7" s="950" t="s">
        <v>3</v>
      </c>
      <c r="BS7" s="950" t="s">
        <v>4</v>
      </c>
      <c r="BT7" s="951" t="s">
        <v>115</v>
      </c>
      <c r="BU7" s="952">
        <v>10</v>
      </c>
      <c r="BV7" s="952">
        <f>BU7-CF7</f>
        <v>4</v>
      </c>
      <c r="BW7" s="953">
        <v>5</v>
      </c>
      <c r="BX7" s="954">
        <v>13</v>
      </c>
      <c r="BY7" s="955">
        <f>BX7-CF7</f>
        <v>7</v>
      </c>
      <c r="BZ7" s="41"/>
      <c r="CA7" s="47" t="s">
        <v>3</v>
      </c>
      <c r="CB7" s="47" t="s">
        <v>4</v>
      </c>
      <c r="CC7" s="47" t="s">
        <v>115</v>
      </c>
      <c r="CD7" s="107">
        <v>10</v>
      </c>
      <c r="CE7" s="144">
        <v>13.6</v>
      </c>
      <c r="CF7" s="107">
        <v>6</v>
      </c>
      <c r="CG7" s="144">
        <f>+CE7-CF7</f>
        <v>7.6</v>
      </c>
      <c r="CH7" s="47"/>
      <c r="CI7" s="47"/>
      <c r="CJ7" s="956" t="s">
        <v>3</v>
      </c>
      <c r="CK7" s="957" t="s">
        <v>4</v>
      </c>
      <c r="CL7" s="956" t="s">
        <v>115</v>
      </c>
      <c r="CM7" s="958">
        <v>11</v>
      </c>
      <c r="CN7" s="957">
        <v>4</v>
      </c>
      <c r="CO7" s="959">
        <v>6</v>
      </c>
      <c r="CP7" s="958">
        <f>CM7-CO7</f>
        <v>5</v>
      </c>
    </row>
    <row r="8" spans="1:94">
      <c r="A8" s="41"/>
      <c r="B8" s="41"/>
      <c r="C8" s="41" t="s">
        <v>669</v>
      </c>
      <c r="D8" s="1496">
        <v>14</v>
      </c>
      <c r="E8" s="105">
        <v>1</v>
      </c>
      <c r="F8" s="1431">
        <f>D8-G8</f>
        <v>2</v>
      </c>
      <c r="G8" s="107">
        <v>12</v>
      </c>
      <c r="I8" s="41"/>
      <c r="J8" s="41"/>
      <c r="K8" s="41"/>
      <c r="L8" s="1496"/>
      <c r="M8" s="105"/>
      <c r="N8" s="1431"/>
      <c r="O8" s="107"/>
      <c r="P8" s="107"/>
      <c r="T8" s="1788"/>
      <c r="U8" s="1788"/>
      <c r="Y8" s="41"/>
      <c r="Z8" s="41"/>
      <c r="AA8" s="2457"/>
      <c r="AB8" s="2459"/>
      <c r="AC8" s="2459"/>
      <c r="AE8" s="107"/>
      <c r="AF8" s="107"/>
      <c r="AG8" s="58"/>
      <c r="AH8" s="95"/>
      <c r="AI8" s="58" t="s">
        <v>116</v>
      </c>
      <c r="AJ8" s="912">
        <v>22</v>
      </c>
      <c r="AK8" s="95">
        <v>1</v>
      </c>
      <c r="AL8" s="1456">
        <f>AJ8-12</f>
        <v>10</v>
      </c>
      <c r="AN8" s="107"/>
      <c r="AO8" s="107"/>
      <c r="AP8" s="47"/>
      <c r="AQ8" s="144"/>
      <c r="AR8" s="107"/>
      <c r="AS8" s="1456"/>
      <c r="AU8" s="1359"/>
      <c r="AV8" s="1359"/>
      <c r="AW8" s="1455" t="s">
        <v>116</v>
      </c>
      <c r="AX8" s="1456">
        <v>18</v>
      </c>
      <c r="AY8" s="1457">
        <v>1</v>
      </c>
      <c r="AZ8" s="1456">
        <f>AX8-9</f>
        <v>9</v>
      </c>
      <c r="BB8" s="946"/>
      <c r="BC8" s="946"/>
      <c r="BD8" s="960" t="s">
        <v>544</v>
      </c>
      <c r="BE8" s="961">
        <v>9.1999999999999993</v>
      </c>
      <c r="BF8" s="962">
        <v>5</v>
      </c>
      <c r="BG8" s="875">
        <f t="shared" ref="BG8:BG13" si="0">BE8-6</f>
        <v>3.1999999999999993</v>
      </c>
      <c r="BI8" s="689"/>
      <c r="BJ8" s="689"/>
      <c r="BK8" s="689"/>
      <c r="BL8" s="457" t="s">
        <v>116</v>
      </c>
      <c r="BM8" s="459">
        <v>21.5</v>
      </c>
      <c r="BN8" s="458">
        <v>2</v>
      </c>
      <c r="BO8" s="765">
        <v>2.1213203435596424</v>
      </c>
      <c r="BP8" s="458">
        <f>BM8-9</f>
        <v>12.5</v>
      </c>
      <c r="BQ8" s="41"/>
      <c r="BR8" s="950"/>
      <c r="BS8" s="950"/>
      <c r="BT8" s="951" t="s">
        <v>116</v>
      </c>
      <c r="BU8" s="952">
        <v>13</v>
      </c>
      <c r="BV8" s="952">
        <f t="shared" ref="BV8:BV41" si="1">BU8-CF8</f>
        <v>4</v>
      </c>
      <c r="BW8" s="953">
        <v>1</v>
      </c>
      <c r="BX8" s="954">
        <v>13</v>
      </c>
      <c r="BY8" s="955">
        <f t="shared" ref="BY8:BY41" si="2">BX8-CF8</f>
        <v>4</v>
      </c>
      <c r="BZ8" s="41"/>
      <c r="CA8" s="47"/>
      <c r="CB8" s="47"/>
      <c r="CC8" s="47" t="s">
        <v>116</v>
      </c>
      <c r="CD8" s="107">
        <v>1</v>
      </c>
      <c r="CE8" s="144">
        <v>18</v>
      </c>
      <c r="CF8" s="107">
        <v>9</v>
      </c>
      <c r="CG8" s="144">
        <f>+CE8-CF8</f>
        <v>9</v>
      </c>
      <c r="CH8" s="47"/>
      <c r="CI8" s="47"/>
      <c r="CJ8" s="956"/>
      <c r="CK8" s="957"/>
      <c r="CL8" s="956" t="s">
        <v>116</v>
      </c>
      <c r="CM8" s="958">
        <v>14</v>
      </c>
      <c r="CN8" s="957">
        <v>2</v>
      </c>
      <c r="CO8" s="959">
        <v>9</v>
      </c>
      <c r="CP8" s="958">
        <f>CM8-CO8</f>
        <v>5</v>
      </c>
    </row>
    <row r="9" spans="1:94">
      <c r="A9" s="41"/>
      <c r="B9" s="41"/>
      <c r="C9" s="41" t="s">
        <v>2537</v>
      </c>
      <c r="D9" s="1496">
        <v>11</v>
      </c>
      <c r="E9" s="105">
        <v>1</v>
      </c>
      <c r="F9" s="1431">
        <f>D9-G9</f>
        <v>2</v>
      </c>
      <c r="G9" s="107">
        <v>9</v>
      </c>
      <c r="I9" s="41"/>
      <c r="J9" s="41"/>
      <c r="K9" s="41" t="s">
        <v>669</v>
      </c>
      <c r="L9" s="1496">
        <v>13</v>
      </c>
      <c r="M9" s="105">
        <v>1</v>
      </c>
      <c r="N9" s="1431">
        <f>L9-O9</f>
        <v>1</v>
      </c>
      <c r="O9" s="107">
        <v>12</v>
      </c>
      <c r="P9" s="107"/>
      <c r="S9" s="37" t="s">
        <v>669</v>
      </c>
      <c r="T9" s="1788">
        <v>13</v>
      </c>
      <c r="U9" s="1788">
        <v>1</v>
      </c>
      <c r="V9" s="4243">
        <f t="shared" ref="V9:V18" si="3">T9-W9</f>
        <v>1</v>
      </c>
      <c r="W9" s="4243">
        <v>12</v>
      </c>
      <c r="Y9" s="41"/>
      <c r="Z9" s="41"/>
      <c r="AA9" s="41" t="s">
        <v>669</v>
      </c>
      <c r="AB9" s="1495">
        <v>11</v>
      </c>
      <c r="AC9" s="105">
        <v>1</v>
      </c>
      <c r="AD9" s="144">
        <f>AB9-AE9</f>
        <v>-1</v>
      </c>
      <c r="AE9" s="107">
        <v>12</v>
      </c>
      <c r="AF9" s="107"/>
      <c r="AG9" s="58"/>
      <c r="AH9" s="95"/>
      <c r="AI9" s="58" t="s">
        <v>669</v>
      </c>
      <c r="AJ9" s="912">
        <v>9</v>
      </c>
      <c r="AK9" s="95">
        <v>1</v>
      </c>
      <c r="AL9" s="1456">
        <f>AJ9-12</f>
        <v>-3</v>
      </c>
      <c r="AN9" s="107"/>
      <c r="AO9" s="107"/>
      <c r="AP9" s="968" t="s">
        <v>544</v>
      </c>
      <c r="AQ9" s="969">
        <v>11.57</v>
      </c>
      <c r="AR9" s="145">
        <v>7</v>
      </c>
      <c r="AS9" s="875">
        <f>+(AR7*AS7+AR8*AS8)/AR9</f>
        <v>5.57</v>
      </c>
      <c r="AU9" s="1359"/>
      <c r="AV9" s="1359"/>
      <c r="AW9" s="1458" t="s">
        <v>544</v>
      </c>
      <c r="AX9" s="1459">
        <v>11.5</v>
      </c>
      <c r="AY9" s="1460">
        <v>4</v>
      </c>
      <c r="AZ9" s="875">
        <f>+(AY7*AZ7+AY8*AZ8)/AY9</f>
        <v>4.75</v>
      </c>
      <c r="BB9" s="946"/>
      <c r="BC9" s="946" t="s">
        <v>16</v>
      </c>
      <c r="BD9" s="947" t="s">
        <v>118</v>
      </c>
      <c r="BE9" s="948">
        <v>9.8571428571428577</v>
      </c>
      <c r="BF9" s="949">
        <v>7</v>
      </c>
      <c r="BG9" s="853">
        <f>BE9-9</f>
        <v>0.85714285714285765</v>
      </c>
      <c r="BI9" s="689"/>
      <c r="BJ9" s="689"/>
      <c r="BK9" s="689"/>
      <c r="BL9" s="784" t="s">
        <v>544</v>
      </c>
      <c r="BM9" s="462">
        <v>12.846153846153847</v>
      </c>
      <c r="BN9" s="463">
        <v>13</v>
      </c>
      <c r="BO9" s="785">
        <v>4.4505833671207986</v>
      </c>
      <c r="BP9" s="963">
        <f>+(BN7*BP7+BN8*BP8)/BN9</f>
        <v>6.3846153846153832</v>
      </c>
      <c r="BQ9" s="41"/>
      <c r="BR9" s="950"/>
      <c r="BS9" s="950"/>
      <c r="BT9" s="964" t="s">
        <v>544</v>
      </c>
      <c r="BU9" s="963">
        <v>10.5</v>
      </c>
      <c r="BV9" s="963">
        <f>+(BW7*BV7+BW8*BV8)/BW9</f>
        <v>4</v>
      </c>
      <c r="BW9" s="965">
        <v>6</v>
      </c>
      <c r="BX9" s="966">
        <v>13</v>
      </c>
      <c r="BY9" s="967">
        <f>+(BW7*BY7+BW8*BY8)/BW9</f>
        <v>6.5</v>
      </c>
      <c r="BZ9" s="41"/>
      <c r="CA9" s="47"/>
      <c r="CB9" s="47"/>
      <c r="CC9" s="968" t="s">
        <v>15</v>
      </c>
      <c r="CD9" s="145">
        <v>11</v>
      </c>
      <c r="CE9" s="969">
        <v>13.999999999999998</v>
      </c>
      <c r="CF9" s="145"/>
      <c r="CG9" s="969">
        <f>+(CD7*CG7+CD8*CG8)/CD9</f>
        <v>7.7272727272727275</v>
      </c>
      <c r="CH9" s="970">
        <f>AVERAGE(CG7:CG8)</f>
        <v>8.3000000000000007</v>
      </c>
      <c r="CI9" s="47"/>
      <c r="CJ9" s="956"/>
      <c r="CK9" s="957"/>
      <c r="CL9" s="957" t="s">
        <v>15</v>
      </c>
      <c r="CM9" s="958">
        <v>12</v>
      </c>
      <c r="CN9" s="957">
        <v>6</v>
      </c>
      <c r="CO9" s="959"/>
      <c r="CP9" s="971">
        <f>AVERAGE(CP7:CP8)</f>
        <v>5</v>
      </c>
    </row>
    <row r="10" spans="1:94">
      <c r="A10" s="41"/>
      <c r="B10" s="41"/>
      <c r="C10" s="461" t="s">
        <v>544</v>
      </c>
      <c r="D10" s="1511">
        <v>13</v>
      </c>
      <c r="E10" s="5501">
        <v>4</v>
      </c>
      <c r="F10" s="1989">
        <f>+(E7*F7+E8*F8+E9*F9)/E10</f>
        <v>1.75</v>
      </c>
      <c r="I10" s="41"/>
      <c r="J10" s="41"/>
      <c r="K10" s="41" t="s">
        <v>2537</v>
      </c>
      <c r="L10" s="1496">
        <v>10</v>
      </c>
      <c r="M10" s="105">
        <v>4</v>
      </c>
      <c r="N10" s="1431">
        <f>L10-O10</f>
        <v>1</v>
      </c>
      <c r="O10" s="107">
        <v>9</v>
      </c>
      <c r="P10" s="107"/>
      <c r="S10" s="37" t="s">
        <v>2537</v>
      </c>
      <c r="T10" s="1788">
        <v>9.67</v>
      </c>
      <c r="U10" s="1788">
        <v>3</v>
      </c>
      <c r="V10" s="4243">
        <f t="shared" si="3"/>
        <v>0.66999999999999993</v>
      </c>
      <c r="W10" s="4243">
        <v>9</v>
      </c>
      <c r="Y10" s="41"/>
      <c r="Z10" s="41"/>
      <c r="AA10" s="41" t="s">
        <v>668</v>
      </c>
      <c r="AB10" s="1495">
        <v>11</v>
      </c>
      <c r="AC10" s="105">
        <v>1</v>
      </c>
      <c r="AD10" s="144">
        <f t="shared" ref="AD10:AD54" si="4">AB10-AE10</f>
        <v>2</v>
      </c>
      <c r="AE10" s="107">
        <v>9</v>
      </c>
      <c r="AF10" s="107"/>
      <c r="AG10" s="58"/>
      <c r="AH10" s="95"/>
      <c r="AI10" s="58" t="s">
        <v>668</v>
      </c>
      <c r="AJ10" s="912">
        <v>12</v>
      </c>
      <c r="AK10" s="95">
        <v>2</v>
      </c>
      <c r="AL10" s="1456">
        <f>AJ10-9</f>
        <v>3</v>
      </c>
      <c r="AN10" s="107"/>
      <c r="AO10" s="107"/>
      <c r="AP10" s="968"/>
      <c r="AQ10" s="969"/>
      <c r="AR10" s="145"/>
      <c r="AS10" s="1456"/>
      <c r="AU10" s="1359"/>
      <c r="AV10" s="1359" t="s">
        <v>16</v>
      </c>
      <c r="AW10" s="1455" t="s">
        <v>128</v>
      </c>
      <c r="AX10" s="1456">
        <v>11</v>
      </c>
      <c r="AY10" s="1457">
        <v>1</v>
      </c>
      <c r="AZ10" s="1456">
        <f>AX10-9</f>
        <v>2</v>
      </c>
      <c r="BB10" s="946"/>
      <c r="BC10" s="946"/>
      <c r="BD10" s="947" t="s">
        <v>119</v>
      </c>
      <c r="BE10" s="948">
        <v>12.2</v>
      </c>
      <c r="BF10" s="949">
        <v>5</v>
      </c>
      <c r="BG10" s="853">
        <f>BE10-12</f>
        <v>0.19999999999999929</v>
      </c>
      <c r="BI10" s="689"/>
      <c r="BJ10" s="689"/>
      <c r="BK10" s="689" t="s">
        <v>16</v>
      </c>
      <c r="BL10" s="457" t="s">
        <v>118</v>
      </c>
      <c r="BM10" s="459">
        <v>9.7499999999999982</v>
      </c>
      <c r="BN10" s="458">
        <v>8</v>
      </c>
      <c r="BO10" s="870">
        <v>0.70710678118654746</v>
      </c>
      <c r="BP10" s="458">
        <f>BM10-9</f>
        <v>0.74999999999999822</v>
      </c>
      <c r="BQ10" s="41"/>
      <c r="BR10" s="950"/>
      <c r="BS10" s="950" t="s">
        <v>16</v>
      </c>
      <c r="BT10" s="951" t="s">
        <v>118</v>
      </c>
      <c r="BU10" s="952">
        <v>9.5</v>
      </c>
      <c r="BV10" s="952">
        <f t="shared" si="1"/>
        <v>0.5</v>
      </c>
      <c r="BW10" s="953">
        <v>4</v>
      </c>
      <c r="BX10" s="954">
        <v>10.5</v>
      </c>
      <c r="BY10" s="955">
        <f t="shared" si="2"/>
        <v>1.5</v>
      </c>
      <c r="BZ10" s="41"/>
      <c r="CA10" s="47"/>
      <c r="CB10" s="47" t="s">
        <v>16</v>
      </c>
      <c r="CC10" s="47" t="s">
        <v>118</v>
      </c>
      <c r="CD10" s="107">
        <v>1</v>
      </c>
      <c r="CE10" s="144">
        <v>9</v>
      </c>
      <c r="CF10" s="107">
        <v>9</v>
      </c>
      <c r="CG10" s="144">
        <f>+CE10-CF10</f>
        <v>0</v>
      </c>
      <c r="CH10" s="47"/>
      <c r="CI10" s="47"/>
      <c r="CJ10" s="956"/>
      <c r="CK10" s="957" t="s">
        <v>16</v>
      </c>
      <c r="CL10" s="956" t="s">
        <v>128</v>
      </c>
      <c r="CM10" s="958">
        <v>9</v>
      </c>
      <c r="CN10" s="957">
        <v>1</v>
      </c>
      <c r="CO10" s="959">
        <v>12</v>
      </c>
      <c r="CP10" s="958">
        <f>CM10-CO10</f>
        <v>-3</v>
      </c>
    </row>
    <row r="11" spans="1:94">
      <c r="A11" s="41"/>
      <c r="B11" s="41" t="s">
        <v>16</v>
      </c>
      <c r="C11" s="41" t="s">
        <v>119</v>
      </c>
      <c r="D11" s="1496">
        <v>11.5</v>
      </c>
      <c r="E11" s="105">
        <v>2</v>
      </c>
      <c r="F11" s="1431">
        <f>D11-G11</f>
        <v>-0.5</v>
      </c>
      <c r="G11" s="107">
        <v>12</v>
      </c>
      <c r="I11" s="41"/>
      <c r="J11" s="41"/>
      <c r="K11" s="461" t="s">
        <v>544</v>
      </c>
      <c r="L11" s="1511">
        <v>12.29</v>
      </c>
      <c r="M11" s="4686">
        <v>7</v>
      </c>
      <c r="N11" s="1989">
        <f>+(M7*N7+M9*N9+M10*N10)/M11</f>
        <v>2</v>
      </c>
      <c r="O11" s="107"/>
      <c r="P11" s="107"/>
      <c r="S11" s="1793" t="s">
        <v>544</v>
      </c>
      <c r="T11" s="4702">
        <v>11.8</v>
      </c>
      <c r="U11" s="4702">
        <v>5</v>
      </c>
      <c r="V11" s="4771">
        <f>+(U7*V7+U8*V8+U9*V9+U10*V10)/U11</f>
        <v>1.6019999999999999</v>
      </c>
      <c r="Y11" s="41"/>
      <c r="Z11" s="41" t="s">
        <v>16</v>
      </c>
      <c r="AA11" s="41" t="s">
        <v>2537</v>
      </c>
      <c r="AB11" s="1495">
        <v>8.5</v>
      </c>
      <c r="AC11" s="105">
        <v>2</v>
      </c>
      <c r="AD11" s="144">
        <f t="shared" si="4"/>
        <v>-0.5</v>
      </c>
      <c r="AE11" s="107">
        <v>9</v>
      </c>
      <c r="AF11" s="107"/>
      <c r="AG11" s="58"/>
      <c r="AH11" s="95"/>
      <c r="AI11" s="58" t="s">
        <v>2537</v>
      </c>
      <c r="AJ11" s="912">
        <v>9.4</v>
      </c>
      <c r="AK11" s="95">
        <v>5</v>
      </c>
      <c r="AL11" s="1456">
        <f>AJ11-9</f>
        <v>0.40000000000000036</v>
      </c>
      <c r="AN11" s="107"/>
      <c r="AO11" s="107" t="s">
        <v>16</v>
      </c>
      <c r="AP11" s="47" t="s">
        <v>118</v>
      </c>
      <c r="AQ11" s="144">
        <v>10.33</v>
      </c>
      <c r="AR11" s="107">
        <v>6</v>
      </c>
      <c r="AS11" s="1456">
        <f t="shared" ref="AS11:AS17" si="5">AQ11-9</f>
        <v>1.33</v>
      </c>
      <c r="AU11" s="1359"/>
      <c r="AV11" s="1359"/>
      <c r="AW11" s="1455" t="s">
        <v>118</v>
      </c>
      <c r="AX11" s="1456">
        <v>11</v>
      </c>
      <c r="AY11" s="1457">
        <v>2</v>
      </c>
      <c r="AZ11" s="1456">
        <f>AX11-9</f>
        <v>2</v>
      </c>
      <c r="BB11" s="946"/>
      <c r="BC11" s="946"/>
      <c r="BD11" s="960" t="s">
        <v>545</v>
      </c>
      <c r="BE11" s="961">
        <v>10.833333333333334</v>
      </c>
      <c r="BF11" s="962">
        <v>12</v>
      </c>
      <c r="BG11" s="875">
        <f>+(BF9*BG9+BF10*BG10)/BF11</f>
        <v>0.58333333333333337</v>
      </c>
      <c r="BI11" s="689"/>
      <c r="BJ11" s="689"/>
      <c r="BK11" s="689"/>
      <c r="BL11" s="784" t="s">
        <v>545</v>
      </c>
      <c r="BM11" s="462">
        <v>9.7499999999999982</v>
      </c>
      <c r="BN11" s="463">
        <v>8</v>
      </c>
      <c r="BO11" s="877">
        <v>0.70710678118654746</v>
      </c>
      <c r="BP11" s="963">
        <f>+(BN10*BP10)/BN11</f>
        <v>0.74999999999999822</v>
      </c>
      <c r="BQ11" s="41"/>
      <c r="BR11" s="950"/>
      <c r="BS11" s="950"/>
      <c r="BT11" s="951" t="s">
        <v>119</v>
      </c>
      <c r="BU11" s="952">
        <v>9</v>
      </c>
      <c r="BV11" s="952">
        <f t="shared" si="1"/>
        <v>0</v>
      </c>
      <c r="BW11" s="953">
        <v>2</v>
      </c>
      <c r="BX11" s="954">
        <v>9</v>
      </c>
      <c r="BY11" s="955">
        <f t="shared" si="2"/>
        <v>0</v>
      </c>
      <c r="BZ11" s="41"/>
      <c r="CA11" s="47"/>
      <c r="CB11" s="47"/>
      <c r="CC11" s="47" t="s">
        <v>119</v>
      </c>
      <c r="CD11" s="107">
        <v>5</v>
      </c>
      <c r="CE11" s="144">
        <v>8.8000000000000007</v>
      </c>
      <c r="CF11" s="107">
        <v>9</v>
      </c>
      <c r="CG11" s="144">
        <f>+CE11-CF11</f>
        <v>-0.19999999999999929</v>
      </c>
      <c r="CH11" s="47"/>
      <c r="CI11" s="47"/>
      <c r="CJ11" s="956"/>
      <c r="CK11" s="957"/>
      <c r="CL11" s="956" t="s">
        <v>118</v>
      </c>
      <c r="CM11" s="958">
        <v>9</v>
      </c>
      <c r="CN11" s="957">
        <v>2</v>
      </c>
      <c r="CO11" s="959">
        <v>9</v>
      </c>
      <c r="CP11" s="958">
        <f>CM11-CO11</f>
        <v>0</v>
      </c>
    </row>
    <row r="12" spans="1:94" ht="15.75" customHeight="1">
      <c r="A12" s="41"/>
      <c r="B12" s="41"/>
      <c r="C12" s="461" t="s">
        <v>545</v>
      </c>
      <c r="D12" s="1511">
        <v>11.5</v>
      </c>
      <c r="E12" s="5501">
        <v>2</v>
      </c>
      <c r="F12" s="1989">
        <f>D12-G12</f>
        <v>-0.5</v>
      </c>
      <c r="G12" s="107">
        <v>12</v>
      </c>
      <c r="I12" s="41"/>
      <c r="J12" s="41" t="s">
        <v>16</v>
      </c>
      <c r="K12" s="41" t="s">
        <v>118</v>
      </c>
      <c r="L12" s="1496">
        <v>13.67</v>
      </c>
      <c r="M12" s="105">
        <v>3</v>
      </c>
      <c r="N12" s="1431">
        <f>L12-O12</f>
        <v>1.67</v>
      </c>
      <c r="O12" s="107">
        <v>12</v>
      </c>
      <c r="P12" s="107"/>
      <c r="R12" s="37" t="s">
        <v>16</v>
      </c>
      <c r="S12" s="37" t="s">
        <v>118</v>
      </c>
      <c r="T12" s="1788">
        <v>13.67</v>
      </c>
      <c r="U12" s="1788">
        <v>3</v>
      </c>
      <c r="V12" s="4243">
        <f t="shared" si="3"/>
        <v>1.67</v>
      </c>
      <c r="W12" s="4243">
        <v>12</v>
      </c>
      <c r="Y12" s="41"/>
      <c r="Z12" s="41"/>
      <c r="AA12" s="461" t="s">
        <v>544</v>
      </c>
      <c r="AB12" s="1510">
        <v>9.75</v>
      </c>
      <c r="AC12" s="2480">
        <v>4</v>
      </c>
      <c r="AD12" s="875">
        <f>+(AC7*AD7+AC8*AD8+AC9*AD9+AC10*AD10+AC11*AD11)/AC12</f>
        <v>0</v>
      </c>
      <c r="AE12" s="107"/>
      <c r="AF12" s="107"/>
      <c r="AG12" s="58"/>
      <c r="AH12" s="95"/>
      <c r="AI12" s="2009" t="s">
        <v>544</v>
      </c>
      <c r="AJ12" s="2010">
        <v>11.1</v>
      </c>
      <c r="AK12" s="2011">
        <v>10</v>
      </c>
      <c r="AL12" s="875">
        <f>+(AK7*AL7+AK8*AL8+AK9*AL9+AK10*AL10+AK11*AL11)/AK12</f>
        <v>1.5000000000000002</v>
      </c>
      <c r="AN12" s="107"/>
      <c r="AO12" s="107"/>
      <c r="AP12" s="47" t="s">
        <v>119</v>
      </c>
      <c r="AQ12" s="144">
        <v>12.8</v>
      </c>
      <c r="AR12" s="107">
        <v>5</v>
      </c>
      <c r="AS12" s="1456">
        <f t="shared" si="5"/>
        <v>3.8000000000000007</v>
      </c>
      <c r="AU12" s="1359"/>
      <c r="AV12" s="1359"/>
      <c r="AW12" s="1455" t="s">
        <v>119</v>
      </c>
      <c r="AX12" s="1456">
        <v>11.75</v>
      </c>
      <c r="AY12" s="1457">
        <v>4</v>
      </c>
      <c r="AZ12" s="1456">
        <f>AX12-9</f>
        <v>2.75</v>
      </c>
      <c r="BB12" s="946"/>
      <c r="BC12" s="946" t="s">
        <v>104</v>
      </c>
      <c r="BD12" s="947" t="s">
        <v>105</v>
      </c>
      <c r="BE12" s="948">
        <v>9.8888888888888893</v>
      </c>
      <c r="BF12" s="949">
        <v>9</v>
      </c>
      <c r="BG12" s="853">
        <f t="shared" si="0"/>
        <v>3.8888888888888893</v>
      </c>
      <c r="BI12" s="689"/>
      <c r="BJ12" s="689"/>
      <c r="BK12" s="689" t="s">
        <v>104</v>
      </c>
      <c r="BL12" s="457" t="s">
        <v>105</v>
      </c>
      <c r="BM12" s="459">
        <v>8.3333333333333339</v>
      </c>
      <c r="BN12" s="458">
        <v>9</v>
      </c>
      <c r="BO12" s="765">
        <v>2</v>
      </c>
      <c r="BP12" s="458">
        <f>BM12-6</f>
        <v>2.3333333333333339</v>
      </c>
      <c r="BQ12" s="41"/>
      <c r="BR12" s="950"/>
      <c r="BS12" s="950"/>
      <c r="BT12" s="964" t="s">
        <v>545</v>
      </c>
      <c r="BU12" s="963">
        <v>9.3333333333333321</v>
      </c>
      <c r="BV12" s="963">
        <f>+(BW10*BV10+BW11*BV11)/BW12</f>
        <v>0.33333333333333331</v>
      </c>
      <c r="BW12" s="965">
        <v>6</v>
      </c>
      <c r="BX12" s="966">
        <v>10</v>
      </c>
      <c r="BY12" s="967">
        <f>+(BW10*BY10+BW11*BY11)/BW12</f>
        <v>1</v>
      </c>
      <c r="BZ12" s="41"/>
      <c r="CA12" s="47"/>
      <c r="CB12" s="47"/>
      <c r="CC12" s="968" t="s">
        <v>15</v>
      </c>
      <c r="CD12" s="145">
        <v>6</v>
      </c>
      <c r="CE12" s="969">
        <v>8.8333333333333339</v>
      </c>
      <c r="CF12" s="145"/>
      <c r="CG12" s="969">
        <f>+(CD10*CG10+CD11*CG11)/CD12</f>
        <v>-0.16666666666666607</v>
      </c>
      <c r="CH12" s="970">
        <f>AVERAGE(CG10:CG11)</f>
        <v>-9.9999999999999645E-2</v>
      </c>
      <c r="CI12" s="47"/>
      <c r="CJ12" s="956"/>
      <c r="CK12" s="957"/>
      <c r="CL12" s="957" t="s">
        <v>15</v>
      </c>
      <c r="CM12" s="958">
        <v>9</v>
      </c>
      <c r="CN12" s="957">
        <v>3</v>
      </c>
      <c r="CO12" s="959"/>
      <c r="CP12" s="971">
        <f>CM12-9+AVERAGE(CP10:CP11)</f>
        <v>-1.5</v>
      </c>
    </row>
    <row r="13" spans="1:94">
      <c r="A13" s="41"/>
      <c r="B13" s="41" t="s">
        <v>21</v>
      </c>
      <c r="C13" s="41" t="s">
        <v>1639</v>
      </c>
      <c r="D13" s="1496">
        <v>12</v>
      </c>
      <c r="E13" s="105">
        <v>1</v>
      </c>
      <c r="F13" s="1431">
        <f>D13-G13</f>
        <v>3</v>
      </c>
      <c r="G13" s="107">
        <v>9</v>
      </c>
      <c r="I13" s="41"/>
      <c r="J13" s="41"/>
      <c r="K13" s="41" t="s">
        <v>119</v>
      </c>
      <c r="L13" s="1496">
        <v>12.25</v>
      </c>
      <c r="M13" s="105">
        <v>4</v>
      </c>
      <c r="N13" s="1431">
        <f>L13-O13</f>
        <v>0.25</v>
      </c>
      <c r="O13" s="107">
        <v>12</v>
      </c>
      <c r="P13" s="107"/>
      <c r="S13" s="37" t="s">
        <v>119</v>
      </c>
      <c r="T13" s="1788">
        <v>13</v>
      </c>
      <c r="U13" s="1788">
        <v>2</v>
      </c>
      <c r="V13" s="4243">
        <f t="shared" si="3"/>
        <v>1</v>
      </c>
      <c r="W13" s="4243">
        <v>12</v>
      </c>
      <c r="Y13" s="41"/>
      <c r="Z13" s="41"/>
      <c r="AA13" s="41" t="s">
        <v>118</v>
      </c>
      <c r="AB13" s="1495">
        <v>13.67</v>
      </c>
      <c r="AC13" s="105">
        <v>3</v>
      </c>
      <c r="AD13" s="144">
        <f t="shared" si="4"/>
        <v>1.67</v>
      </c>
      <c r="AE13" s="107">
        <v>12</v>
      </c>
      <c r="AF13" s="107"/>
      <c r="AG13" s="58"/>
      <c r="AH13" s="95" t="s">
        <v>16</v>
      </c>
      <c r="AI13" s="58" t="s">
        <v>128</v>
      </c>
      <c r="AJ13" s="912">
        <v>9</v>
      </c>
      <c r="AK13" s="95">
        <v>1</v>
      </c>
      <c r="AL13" s="1456">
        <f t="shared" ref="AL13:AL19" si="6">AJ13-9</f>
        <v>0</v>
      </c>
      <c r="AN13" s="107"/>
      <c r="AO13" s="107"/>
      <c r="AP13" s="968" t="s">
        <v>545</v>
      </c>
      <c r="AQ13" s="969">
        <v>11.45</v>
      </c>
      <c r="AR13" s="145">
        <v>11</v>
      </c>
      <c r="AS13" s="875">
        <f>+(AR10*AS10+AR11*AS11+AR12*AS12)/AR13</f>
        <v>2.4527272727272731</v>
      </c>
      <c r="AU13" s="1359"/>
      <c r="AV13" s="1359"/>
      <c r="AW13" s="1458" t="s">
        <v>545</v>
      </c>
      <c r="AX13" s="1459">
        <v>11.428571428571427</v>
      </c>
      <c r="AY13" s="1460">
        <v>7</v>
      </c>
      <c r="AZ13" s="875">
        <f>+(AY10*AZ10+AY11*AZ11+AY12*AZ12)/AY13</f>
        <v>2.4285714285714284</v>
      </c>
      <c r="BB13" s="946"/>
      <c r="BC13" s="946"/>
      <c r="BD13" s="960" t="s">
        <v>844</v>
      </c>
      <c r="BE13" s="961">
        <v>9.8888888888888893</v>
      </c>
      <c r="BF13" s="962">
        <v>9</v>
      </c>
      <c r="BG13" s="875">
        <f t="shared" si="0"/>
        <v>3.8888888888888893</v>
      </c>
      <c r="BI13" s="689"/>
      <c r="BJ13" s="689"/>
      <c r="BK13" s="689"/>
      <c r="BL13" s="784" t="s">
        <v>844</v>
      </c>
      <c r="BM13" s="462">
        <v>8.3333333333333339</v>
      </c>
      <c r="BN13" s="463">
        <v>9</v>
      </c>
      <c r="BO13" s="785">
        <v>2</v>
      </c>
      <c r="BP13" s="963">
        <f>+(BN12*BP12)/BN13</f>
        <v>2.3333333333333339</v>
      </c>
      <c r="BQ13" s="41"/>
      <c r="BR13" s="950"/>
      <c r="BS13" s="950" t="s">
        <v>104</v>
      </c>
      <c r="BT13" s="951" t="s">
        <v>105</v>
      </c>
      <c r="BU13" s="952">
        <v>6</v>
      </c>
      <c r="BV13" s="952">
        <f t="shared" si="1"/>
        <v>0</v>
      </c>
      <c r="BW13" s="953">
        <v>2</v>
      </c>
      <c r="BX13" s="954">
        <v>6</v>
      </c>
      <c r="BY13" s="955">
        <f t="shared" si="2"/>
        <v>0</v>
      </c>
      <c r="BZ13" s="41"/>
      <c r="CA13" s="47"/>
      <c r="CB13" s="47" t="s">
        <v>104</v>
      </c>
      <c r="CC13" s="47" t="s">
        <v>105</v>
      </c>
      <c r="CD13" s="107">
        <v>7</v>
      </c>
      <c r="CE13" s="144">
        <v>7.5714285714285712</v>
      </c>
      <c r="CF13" s="107">
        <v>6</v>
      </c>
      <c r="CG13" s="144">
        <f>+CE13-CF13</f>
        <v>1.5714285714285712</v>
      </c>
      <c r="CH13" s="47"/>
      <c r="CI13" s="47"/>
      <c r="CJ13" s="956"/>
      <c r="CK13" s="957" t="s">
        <v>104</v>
      </c>
      <c r="CL13" s="956" t="s">
        <v>105</v>
      </c>
      <c r="CM13" s="958">
        <v>8.4</v>
      </c>
      <c r="CN13" s="957">
        <v>5</v>
      </c>
      <c r="CO13" s="959">
        <v>6</v>
      </c>
      <c r="CP13" s="958">
        <f>CM13-6</f>
        <v>2.4000000000000004</v>
      </c>
    </row>
    <row r="14" spans="1:94">
      <c r="A14" s="41"/>
      <c r="B14" s="41"/>
      <c r="C14" s="41" t="s">
        <v>1640</v>
      </c>
      <c r="D14" s="1496">
        <v>13.33</v>
      </c>
      <c r="E14" s="105">
        <v>3</v>
      </c>
      <c r="F14" s="1431">
        <f>D14-G14</f>
        <v>4.33</v>
      </c>
      <c r="G14" s="107">
        <v>9</v>
      </c>
      <c r="I14" s="41"/>
      <c r="J14" s="41"/>
      <c r="K14" s="461" t="s">
        <v>545</v>
      </c>
      <c r="L14" s="1511">
        <v>12.86</v>
      </c>
      <c r="M14" s="4686">
        <v>7</v>
      </c>
      <c r="N14" s="1989">
        <f>+(M12*N12+M13*N13)/M14</f>
        <v>0.85857142857142854</v>
      </c>
      <c r="O14" s="107"/>
      <c r="P14" s="107"/>
      <c r="S14" s="1793" t="s">
        <v>545</v>
      </c>
      <c r="T14" s="4702">
        <v>13.4</v>
      </c>
      <c r="U14" s="4702">
        <v>5</v>
      </c>
      <c r="V14" s="4771">
        <f>+(U12*V12+U13*V13)/U14</f>
        <v>1.4019999999999999</v>
      </c>
      <c r="Y14" s="41"/>
      <c r="Z14" s="41" t="s">
        <v>21</v>
      </c>
      <c r="AA14" s="41" t="s">
        <v>119</v>
      </c>
      <c r="AB14" s="1495">
        <v>13.67</v>
      </c>
      <c r="AC14" s="105">
        <v>3</v>
      </c>
      <c r="AD14" s="144">
        <f t="shared" si="4"/>
        <v>1.67</v>
      </c>
      <c r="AE14" s="107">
        <v>12</v>
      </c>
      <c r="AF14" s="107"/>
      <c r="AG14" s="58"/>
      <c r="AH14" s="95"/>
      <c r="AI14" s="58" t="s">
        <v>118</v>
      </c>
      <c r="AJ14" s="912">
        <v>15</v>
      </c>
      <c r="AK14" s="95">
        <v>1</v>
      </c>
      <c r="AL14" s="1456">
        <f t="shared" si="6"/>
        <v>6</v>
      </c>
      <c r="AN14" s="107"/>
      <c r="AO14" s="107"/>
      <c r="AP14" s="968"/>
      <c r="AQ14" s="969"/>
      <c r="AR14" s="145"/>
      <c r="AS14" s="1456"/>
      <c r="AU14" s="1359"/>
      <c r="AV14" s="1359" t="s">
        <v>104</v>
      </c>
      <c r="AW14" s="1455" t="s">
        <v>105</v>
      </c>
      <c r="AX14" s="1456">
        <v>13</v>
      </c>
      <c r="AY14" s="1457">
        <v>2</v>
      </c>
      <c r="AZ14" s="1456">
        <f>AX14-9</f>
        <v>4</v>
      </c>
      <c r="BB14" s="946"/>
      <c r="BC14" s="946"/>
      <c r="BD14" s="972" t="s">
        <v>106</v>
      </c>
      <c r="BE14" s="973">
        <v>10.192307692307693</v>
      </c>
      <c r="BF14" s="974">
        <v>26</v>
      </c>
      <c r="BG14" s="899">
        <f>+(BF8*BG8+BF11*BG11+BF13*BG13)/BF14</f>
        <v>2.2307692307692308</v>
      </c>
      <c r="BI14" s="689"/>
      <c r="BJ14" s="689"/>
      <c r="BK14" s="689"/>
      <c r="BL14" s="878" t="s">
        <v>106</v>
      </c>
      <c r="BM14" s="879">
        <v>10.666666666666666</v>
      </c>
      <c r="BN14" s="880">
        <v>30</v>
      </c>
      <c r="BO14" s="881">
        <v>3.6703221068206111</v>
      </c>
      <c r="BP14" s="975">
        <f>+(BN9*BP9+BN11*BP11+BN13*BP13)/BN14</f>
        <v>3.6666666666666656</v>
      </c>
      <c r="BQ14" s="41"/>
      <c r="BR14" s="950"/>
      <c r="BS14" s="950"/>
      <c r="BT14" s="964" t="s">
        <v>844</v>
      </c>
      <c r="BU14" s="963">
        <v>6</v>
      </c>
      <c r="BV14" s="963">
        <f>+(BW13*BV13)/BW14</f>
        <v>0</v>
      </c>
      <c r="BW14" s="965">
        <v>2</v>
      </c>
      <c r="BX14" s="966">
        <v>6</v>
      </c>
      <c r="BY14" s="967">
        <f>+(BW13*BY13)/BW14</f>
        <v>0</v>
      </c>
      <c r="BZ14" s="41"/>
      <c r="CA14" s="47"/>
      <c r="CB14" s="47"/>
      <c r="CC14" s="968" t="s">
        <v>15</v>
      </c>
      <c r="CD14" s="145">
        <v>7</v>
      </c>
      <c r="CE14" s="969">
        <v>7.5714285714285712</v>
      </c>
      <c r="CF14" s="145"/>
      <c r="CG14" s="969">
        <f>+CG13</f>
        <v>1.5714285714285712</v>
      </c>
      <c r="CH14" s="968">
        <v>0.86</v>
      </c>
      <c r="CI14" s="47"/>
      <c r="CJ14" s="956"/>
      <c r="CK14" s="957"/>
      <c r="CL14" s="957" t="s">
        <v>15</v>
      </c>
      <c r="CM14" s="958">
        <v>8.4</v>
      </c>
      <c r="CN14" s="957">
        <v>5</v>
      </c>
      <c r="CO14" s="959"/>
      <c r="CP14" s="971">
        <f>CM14-6</f>
        <v>2.4000000000000004</v>
      </c>
    </row>
    <row r="15" spans="1:94">
      <c r="A15" s="41"/>
      <c r="B15" s="41"/>
      <c r="C15" s="41" t="s">
        <v>2538</v>
      </c>
      <c r="D15" s="1496">
        <v>10</v>
      </c>
      <c r="E15" s="105">
        <v>1</v>
      </c>
      <c r="F15" s="1431">
        <f>D15-G15</f>
        <v>1</v>
      </c>
      <c r="G15" s="107">
        <v>9</v>
      </c>
      <c r="I15" s="41"/>
      <c r="J15" s="41" t="s">
        <v>21</v>
      </c>
      <c r="K15" s="41" t="s">
        <v>1638</v>
      </c>
      <c r="L15" s="1496">
        <v>9</v>
      </c>
      <c r="M15" s="105">
        <v>2</v>
      </c>
      <c r="N15" s="1431">
        <f>L15-O15</f>
        <v>0</v>
      </c>
      <c r="O15" s="107">
        <v>9</v>
      </c>
      <c r="P15" s="107"/>
      <c r="R15" s="37" t="s">
        <v>21</v>
      </c>
      <c r="S15" s="37" t="s">
        <v>1638</v>
      </c>
      <c r="T15" s="1788">
        <v>9</v>
      </c>
      <c r="U15" s="1788">
        <v>2</v>
      </c>
      <c r="V15" s="4243">
        <f t="shared" si="3"/>
        <v>0</v>
      </c>
      <c r="W15" s="4243">
        <v>9</v>
      </c>
      <c r="Y15" s="41"/>
      <c r="Z15" s="41"/>
      <c r="AA15" s="461" t="s">
        <v>545</v>
      </c>
      <c r="AB15" s="1510">
        <v>13.67</v>
      </c>
      <c r="AC15" s="2480">
        <v>6</v>
      </c>
      <c r="AD15" s="875">
        <f>+(AC13*AD13+AC14*AD14)/AC15</f>
        <v>1.67</v>
      </c>
      <c r="AE15" s="107"/>
      <c r="AF15" s="107"/>
      <c r="AG15" s="58"/>
      <c r="AH15" s="95"/>
      <c r="AI15" s="58" t="s">
        <v>119</v>
      </c>
      <c r="AJ15" s="912">
        <v>11.5</v>
      </c>
      <c r="AK15" s="95">
        <v>2</v>
      </c>
      <c r="AL15" s="1456">
        <f t="shared" si="6"/>
        <v>2.5</v>
      </c>
      <c r="AN15" s="107"/>
      <c r="AO15" s="107"/>
      <c r="AP15" s="968"/>
      <c r="AQ15" s="969"/>
      <c r="AR15" s="145"/>
      <c r="AS15" s="1456"/>
      <c r="AU15" s="1359"/>
      <c r="AV15" s="1359"/>
      <c r="AW15" s="1455" t="s">
        <v>1638</v>
      </c>
      <c r="AX15" s="1456">
        <v>9</v>
      </c>
      <c r="AY15" s="1457">
        <v>1</v>
      </c>
      <c r="AZ15" s="1456">
        <f>AX15-9</f>
        <v>0</v>
      </c>
      <c r="BB15" s="946" t="s">
        <v>25</v>
      </c>
      <c r="BC15" s="946" t="s">
        <v>4</v>
      </c>
      <c r="BD15" s="947" t="s">
        <v>120</v>
      </c>
      <c r="BE15" s="948">
        <v>20.714285714285712</v>
      </c>
      <c r="BF15" s="949">
        <v>7</v>
      </c>
      <c r="BG15" s="853">
        <f t="shared" ref="BG15:BG21" si="7">BE15-12</f>
        <v>8.7142857142857117</v>
      </c>
      <c r="BI15" s="689"/>
      <c r="BJ15" s="689" t="s">
        <v>25</v>
      </c>
      <c r="BK15" s="689" t="s">
        <v>4</v>
      </c>
      <c r="BL15" s="457" t="s">
        <v>120</v>
      </c>
      <c r="BM15" s="459">
        <v>15.333333333333334</v>
      </c>
      <c r="BN15" s="458">
        <v>3</v>
      </c>
      <c r="BO15" s="765">
        <v>1.1547005383792515</v>
      </c>
      <c r="BP15" s="458">
        <f>BM15-12</f>
        <v>3.3333333333333339</v>
      </c>
      <c r="BQ15" s="41"/>
      <c r="BR15" s="976"/>
      <c r="BS15" s="976"/>
      <c r="BT15" s="977"/>
      <c r="BU15" s="977"/>
      <c r="BV15" s="977"/>
      <c r="BW15" s="977"/>
      <c r="BX15" s="977"/>
      <c r="BY15" s="977"/>
      <c r="BZ15" s="41"/>
      <c r="CA15" s="978"/>
      <c r="CB15" s="978"/>
      <c r="CC15" s="979"/>
      <c r="CD15" s="980"/>
      <c r="CE15" s="981"/>
      <c r="CF15" s="980"/>
      <c r="CG15" s="981"/>
      <c r="CH15" s="47"/>
      <c r="CI15" s="47"/>
      <c r="CJ15" s="956"/>
      <c r="CK15" s="957"/>
      <c r="CL15" s="982" t="s">
        <v>106</v>
      </c>
      <c r="CM15" s="971">
        <v>10.071428571428573</v>
      </c>
      <c r="CN15" s="983">
        <v>14</v>
      </c>
      <c r="CO15" s="959"/>
      <c r="CP15" s="971">
        <f>AVERAGE(CP9,CP12,CP14)</f>
        <v>1.9666666666666668</v>
      </c>
    </row>
    <row r="16" spans="1:94">
      <c r="A16" s="41"/>
      <c r="B16" s="41"/>
      <c r="C16" s="461" t="s">
        <v>546</v>
      </c>
      <c r="D16" s="1511">
        <v>12.4</v>
      </c>
      <c r="E16" s="5501">
        <v>5</v>
      </c>
      <c r="F16" s="1989">
        <f>+(E13*F13+E14*F14+E15*F15)/E16</f>
        <v>3.3980000000000006</v>
      </c>
      <c r="I16" s="41"/>
      <c r="J16" s="41"/>
      <c r="K16" s="41" t="s">
        <v>1639</v>
      </c>
      <c r="L16" s="1496">
        <v>10</v>
      </c>
      <c r="M16" s="105">
        <v>1</v>
      </c>
      <c r="N16" s="1431">
        <f>L16-O16</f>
        <v>1</v>
      </c>
      <c r="O16" s="107">
        <v>9</v>
      </c>
      <c r="P16" s="107"/>
      <c r="S16" s="37" t="s">
        <v>1639</v>
      </c>
      <c r="T16" s="1788">
        <v>10</v>
      </c>
      <c r="U16" s="1788">
        <v>1</v>
      </c>
      <c r="V16" s="4243">
        <f t="shared" si="3"/>
        <v>1</v>
      </c>
      <c r="W16" s="4243">
        <v>9</v>
      </c>
      <c r="Y16" s="41"/>
      <c r="Z16" s="41"/>
      <c r="AA16" s="41" t="s">
        <v>1638</v>
      </c>
      <c r="AB16" s="1495">
        <v>8</v>
      </c>
      <c r="AC16" s="105">
        <v>1</v>
      </c>
      <c r="AD16" s="144">
        <f t="shared" si="4"/>
        <v>-1</v>
      </c>
      <c r="AE16" s="107">
        <v>9</v>
      </c>
      <c r="AF16" s="107"/>
      <c r="AG16" s="58"/>
      <c r="AH16" s="95"/>
      <c r="AI16" s="2009" t="s">
        <v>545</v>
      </c>
      <c r="AJ16" s="2010">
        <v>11.75</v>
      </c>
      <c r="AK16" s="2011">
        <v>4</v>
      </c>
      <c r="AL16" s="875">
        <f>+(AK13*AL13+AK14*AL14+AK15*AL15)/AK16</f>
        <v>2.75</v>
      </c>
      <c r="AN16" s="107"/>
      <c r="AO16" s="107" t="s">
        <v>104</v>
      </c>
      <c r="AP16" s="47" t="s">
        <v>1640</v>
      </c>
      <c r="AQ16" s="144">
        <v>9</v>
      </c>
      <c r="AR16" s="107">
        <v>5</v>
      </c>
      <c r="AS16" s="1456">
        <f t="shared" si="5"/>
        <v>0</v>
      </c>
      <c r="AU16" s="1359"/>
      <c r="AV16" s="1359"/>
      <c r="AW16" s="1455" t="s">
        <v>1639</v>
      </c>
      <c r="AX16" s="1456">
        <v>6</v>
      </c>
      <c r="AY16" s="1457">
        <v>1</v>
      </c>
      <c r="AZ16" s="1456">
        <f>AX16-6</f>
        <v>0</v>
      </c>
      <c r="BB16" s="946"/>
      <c r="BC16" s="946"/>
      <c r="BD16" s="947" t="s">
        <v>121</v>
      </c>
      <c r="BE16" s="948">
        <v>17.2</v>
      </c>
      <c r="BF16" s="949">
        <v>5</v>
      </c>
      <c r="BG16" s="853">
        <f t="shared" si="7"/>
        <v>5.1999999999999993</v>
      </c>
      <c r="BI16" s="689"/>
      <c r="BJ16" s="689"/>
      <c r="BK16" s="689"/>
      <c r="BL16" s="457" t="s">
        <v>121</v>
      </c>
      <c r="BM16" s="459">
        <v>16.999999999999996</v>
      </c>
      <c r="BN16" s="458">
        <v>7</v>
      </c>
      <c r="BO16" s="765">
        <v>3.0550504633038926</v>
      </c>
      <c r="BP16" s="458">
        <f>BM16-12</f>
        <v>4.9999999999999964</v>
      </c>
      <c r="BQ16" s="41"/>
      <c r="BR16" s="950" t="s">
        <v>25</v>
      </c>
      <c r="BS16" s="950" t="s">
        <v>4</v>
      </c>
      <c r="BT16" s="951" t="s">
        <v>120</v>
      </c>
      <c r="BU16" s="952">
        <v>19</v>
      </c>
      <c r="BV16" s="952">
        <f t="shared" si="1"/>
        <v>7</v>
      </c>
      <c r="BW16" s="953">
        <v>2</v>
      </c>
      <c r="BX16" s="954">
        <v>24.5</v>
      </c>
      <c r="BY16" s="955">
        <f t="shared" si="2"/>
        <v>12.5</v>
      </c>
      <c r="BZ16" s="41"/>
      <c r="CA16" s="47" t="s">
        <v>25</v>
      </c>
      <c r="CB16" s="47" t="s">
        <v>4</v>
      </c>
      <c r="CC16" s="47" t="s">
        <v>120</v>
      </c>
      <c r="CD16" s="107">
        <v>4</v>
      </c>
      <c r="CE16" s="144">
        <v>14</v>
      </c>
      <c r="CF16" s="107">
        <v>12</v>
      </c>
      <c r="CG16" s="144">
        <f>+CE16-CF16</f>
        <v>2</v>
      </c>
      <c r="CH16" s="47"/>
      <c r="CI16" s="47"/>
      <c r="CJ16" s="956" t="s">
        <v>25</v>
      </c>
      <c r="CK16" s="957" t="s">
        <v>4</v>
      </c>
      <c r="CL16" s="956" t="s">
        <v>1386</v>
      </c>
      <c r="CM16" s="958">
        <v>23.454545454545457</v>
      </c>
      <c r="CN16" s="957">
        <v>11</v>
      </c>
      <c r="CO16" s="959">
        <v>12</v>
      </c>
      <c r="CP16" s="958">
        <f>CM16-CO16</f>
        <v>11.454545454545457</v>
      </c>
    </row>
    <row r="17" spans="1:94">
      <c r="A17" s="5527"/>
      <c r="B17" s="5527"/>
      <c r="C17" s="5488" t="s">
        <v>106</v>
      </c>
      <c r="D17" s="5528">
        <v>12.45</v>
      </c>
      <c r="E17" s="5489">
        <v>11</v>
      </c>
      <c r="F17" s="5490">
        <f>+(E10*F10+E12*F12+E16*F16)/E17</f>
        <v>2.0900000000000003</v>
      </c>
      <c r="G17" s="5529"/>
      <c r="I17" s="41"/>
      <c r="J17" s="41"/>
      <c r="K17" s="41" t="s">
        <v>1640</v>
      </c>
      <c r="L17" s="1496">
        <v>10.8</v>
      </c>
      <c r="M17" s="105">
        <v>5</v>
      </c>
      <c r="N17" s="1431">
        <f>L17-O17</f>
        <v>1.8000000000000007</v>
      </c>
      <c r="O17" s="107">
        <v>9</v>
      </c>
      <c r="P17" s="107"/>
      <c r="S17" s="37" t="s">
        <v>1640</v>
      </c>
      <c r="T17" s="1788">
        <v>12</v>
      </c>
      <c r="U17" s="1788">
        <v>4</v>
      </c>
      <c r="V17" s="4243">
        <f t="shared" si="3"/>
        <v>3</v>
      </c>
      <c r="W17" s="4243">
        <v>9</v>
      </c>
      <c r="Y17" s="41"/>
      <c r="Z17" s="41"/>
      <c r="AA17" s="41" t="s">
        <v>1640</v>
      </c>
      <c r="AB17" s="1495">
        <v>10.199999999999999</v>
      </c>
      <c r="AC17" s="105">
        <v>5</v>
      </c>
      <c r="AD17" s="144">
        <f t="shared" si="4"/>
        <v>1.1999999999999993</v>
      </c>
      <c r="AE17" s="107">
        <v>9</v>
      </c>
      <c r="AF17" s="107"/>
      <c r="AG17" s="58"/>
      <c r="AH17" s="95" t="s">
        <v>21</v>
      </c>
      <c r="AI17" s="58" t="s">
        <v>1639</v>
      </c>
      <c r="AJ17" s="912">
        <v>7</v>
      </c>
      <c r="AK17" s="95">
        <v>1</v>
      </c>
      <c r="AL17" s="1456">
        <f t="shared" si="6"/>
        <v>-2</v>
      </c>
      <c r="AN17" s="107"/>
      <c r="AO17" s="107"/>
      <c r="AP17" s="47" t="s">
        <v>1641</v>
      </c>
      <c r="AQ17" s="144">
        <v>9.5</v>
      </c>
      <c r="AR17" s="107">
        <v>2</v>
      </c>
      <c r="AS17" s="1456">
        <f t="shared" si="5"/>
        <v>0.5</v>
      </c>
      <c r="AU17" s="1359"/>
      <c r="AV17" s="1359"/>
      <c r="AW17" s="1455" t="s">
        <v>1640</v>
      </c>
      <c r="AX17" s="1456">
        <v>9</v>
      </c>
      <c r="AY17" s="1457">
        <v>1</v>
      </c>
      <c r="AZ17" s="1456">
        <f>AX17-9</f>
        <v>0</v>
      </c>
      <c r="BB17" s="946"/>
      <c r="BC17" s="946"/>
      <c r="BD17" s="947" t="s">
        <v>122</v>
      </c>
      <c r="BE17" s="948">
        <v>17.3125</v>
      </c>
      <c r="BF17" s="949">
        <v>16</v>
      </c>
      <c r="BG17" s="853">
        <f t="shared" si="7"/>
        <v>5.3125</v>
      </c>
      <c r="BI17" s="689"/>
      <c r="BJ17" s="689"/>
      <c r="BK17" s="689"/>
      <c r="BL17" s="457" t="s">
        <v>122</v>
      </c>
      <c r="BM17" s="459">
        <v>14.285714285714285</v>
      </c>
      <c r="BN17" s="458">
        <v>7</v>
      </c>
      <c r="BO17" s="765">
        <v>4.7509397566616824</v>
      </c>
      <c r="BP17" s="458">
        <f>BM17-12</f>
        <v>2.2857142857142847</v>
      </c>
      <c r="BQ17" s="41"/>
      <c r="BR17" s="950"/>
      <c r="BS17" s="950"/>
      <c r="BT17" s="951" t="s">
        <v>121</v>
      </c>
      <c r="BU17" s="952">
        <v>16.333333333333332</v>
      </c>
      <c r="BV17" s="952">
        <f t="shared" si="1"/>
        <v>4.3333333333333321</v>
      </c>
      <c r="BW17" s="953">
        <v>6</v>
      </c>
      <c r="BX17" s="954">
        <v>16.333333333333332</v>
      </c>
      <c r="BY17" s="955">
        <f t="shared" si="2"/>
        <v>4.3333333333333321</v>
      </c>
      <c r="BZ17" s="41"/>
      <c r="CA17" s="47"/>
      <c r="CB17" s="47"/>
      <c r="CC17" s="47" t="s">
        <v>121</v>
      </c>
      <c r="CD17" s="107">
        <v>2</v>
      </c>
      <c r="CE17" s="144">
        <v>17.5</v>
      </c>
      <c r="CF17" s="107">
        <v>12</v>
      </c>
      <c r="CG17" s="144">
        <f>+CE17-CF17</f>
        <v>5.5</v>
      </c>
      <c r="CH17" s="47"/>
      <c r="CI17" s="47"/>
      <c r="CJ17" s="956"/>
      <c r="CK17" s="957"/>
      <c r="CL17" s="956" t="s">
        <v>120</v>
      </c>
      <c r="CM17" s="958">
        <v>14</v>
      </c>
      <c r="CN17" s="957">
        <v>1</v>
      </c>
      <c r="CO17" s="959">
        <v>12</v>
      </c>
      <c r="CP17" s="958">
        <f t="shared" ref="CP17:CP31" si="8">CM17-CO17</f>
        <v>2</v>
      </c>
    </row>
    <row r="18" spans="1:94">
      <c r="A18" s="41" t="s">
        <v>25</v>
      </c>
      <c r="B18" s="41" t="s">
        <v>4</v>
      </c>
      <c r="C18" s="41" t="s">
        <v>120</v>
      </c>
      <c r="D18" s="1496">
        <v>19</v>
      </c>
      <c r="E18" s="105">
        <v>1</v>
      </c>
      <c r="F18" s="1431">
        <f>D18-G18</f>
        <v>7</v>
      </c>
      <c r="G18" s="107">
        <v>12</v>
      </c>
      <c r="I18" s="41"/>
      <c r="J18" s="41"/>
      <c r="K18" s="41" t="s">
        <v>1641</v>
      </c>
      <c r="L18" s="1496">
        <v>10.33</v>
      </c>
      <c r="M18" s="105">
        <v>3</v>
      </c>
      <c r="N18" s="1431">
        <f>L18-O18</f>
        <v>1.33</v>
      </c>
      <c r="O18" s="107">
        <v>9</v>
      </c>
      <c r="P18" s="107"/>
      <c r="S18" s="37" t="s">
        <v>1641</v>
      </c>
      <c r="T18" s="1788">
        <v>10.33</v>
      </c>
      <c r="U18" s="1788">
        <v>3</v>
      </c>
      <c r="V18" s="4243">
        <f t="shared" si="3"/>
        <v>1.33</v>
      </c>
      <c r="W18" s="4243">
        <v>9</v>
      </c>
      <c r="Y18" s="41"/>
      <c r="Z18" s="41"/>
      <c r="AA18" s="41" t="s">
        <v>1641</v>
      </c>
      <c r="AB18" s="1495">
        <v>9</v>
      </c>
      <c r="AC18" s="105">
        <v>3</v>
      </c>
      <c r="AD18" s="144">
        <f t="shared" si="4"/>
        <v>0</v>
      </c>
      <c r="AE18" s="107">
        <v>9</v>
      </c>
      <c r="AF18" s="107"/>
      <c r="AG18" s="58"/>
      <c r="AH18" s="95"/>
      <c r="AI18" s="58" t="s">
        <v>1640</v>
      </c>
      <c r="AJ18" s="912">
        <v>17</v>
      </c>
      <c r="AK18" s="95">
        <v>1</v>
      </c>
      <c r="AL18" s="1456">
        <f t="shared" si="6"/>
        <v>8</v>
      </c>
      <c r="AN18" s="107"/>
      <c r="AO18" s="107"/>
      <c r="AP18" s="968" t="s">
        <v>844</v>
      </c>
      <c r="AQ18" s="969">
        <v>9.14</v>
      </c>
      <c r="AR18" s="145">
        <v>7</v>
      </c>
      <c r="AS18" s="875">
        <f>+(AR14*AS14+AR15*AS15+AR16*AS16+AR17*AS17)/AR18</f>
        <v>0.14285714285714285</v>
      </c>
      <c r="AU18" s="1359"/>
      <c r="AV18" s="1359"/>
      <c r="AW18" s="1458" t="s">
        <v>844</v>
      </c>
      <c r="AX18" s="1459">
        <v>10</v>
      </c>
      <c r="AY18" s="1460">
        <v>5</v>
      </c>
      <c r="AZ18" s="875">
        <f>+(AY15*AZ15+AY16*AZ16+AY17*AZ17)/AY18</f>
        <v>0</v>
      </c>
      <c r="BB18" s="946"/>
      <c r="BC18" s="946"/>
      <c r="BD18" s="947" t="s">
        <v>123</v>
      </c>
      <c r="BE18" s="948">
        <v>15.2</v>
      </c>
      <c r="BF18" s="949">
        <v>5</v>
      </c>
      <c r="BG18" s="853">
        <f t="shared" si="7"/>
        <v>3.1999999999999993</v>
      </c>
      <c r="BI18" s="689"/>
      <c r="BJ18" s="689"/>
      <c r="BK18" s="689"/>
      <c r="BL18" s="457" t="s">
        <v>123</v>
      </c>
      <c r="BM18" s="459">
        <v>20.166666666666668</v>
      </c>
      <c r="BN18" s="458">
        <v>6</v>
      </c>
      <c r="BO18" s="765">
        <v>5.3072277760302198</v>
      </c>
      <c r="BP18" s="458">
        <f>BM18-12</f>
        <v>8.1666666666666679</v>
      </c>
      <c r="BQ18" s="41"/>
      <c r="BR18" s="950"/>
      <c r="BS18" s="950"/>
      <c r="BT18" s="951" t="s">
        <v>122</v>
      </c>
      <c r="BU18" s="952">
        <v>17.333333333333336</v>
      </c>
      <c r="BV18" s="952">
        <f t="shared" si="1"/>
        <v>5.3333333333333357</v>
      </c>
      <c r="BW18" s="953">
        <v>6</v>
      </c>
      <c r="BX18" s="954">
        <v>17.333333333333336</v>
      </c>
      <c r="BY18" s="955">
        <f t="shared" si="2"/>
        <v>5.3333333333333357</v>
      </c>
      <c r="BZ18" s="41"/>
      <c r="CA18" s="47"/>
      <c r="CB18" s="47"/>
      <c r="CC18" s="47" t="s">
        <v>122</v>
      </c>
      <c r="CD18" s="107">
        <v>14</v>
      </c>
      <c r="CE18" s="144">
        <v>19.642857142857139</v>
      </c>
      <c r="CF18" s="107">
        <v>12</v>
      </c>
      <c r="CG18" s="144">
        <f>+CE18-CF18</f>
        <v>7.6428571428571388</v>
      </c>
      <c r="CH18" s="47"/>
      <c r="CI18" s="47"/>
      <c r="CJ18" s="956"/>
      <c r="CK18" s="957"/>
      <c r="CL18" s="956" t="s">
        <v>121</v>
      </c>
      <c r="CM18" s="958">
        <v>16</v>
      </c>
      <c r="CN18" s="957">
        <v>5</v>
      </c>
      <c r="CO18" s="959">
        <v>12</v>
      </c>
      <c r="CP18" s="958">
        <f t="shared" si="8"/>
        <v>4</v>
      </c>
    </row>
    <row r="19" spans="1:94">
      <c r="A19" s="41"/>
      <c r="B19" s="41"/>
      <c r="C19" s="41" t="s">
        <v>121</v>
      </c>
      <c r="D19" s="1496">
        <v>20.67</v>
      </c>
      <c r="E19" s="105">
        <v>3</v>
      </c>
      <c r="F19" s="1431">
        <f t="shared" ref="F19:F24" si="9">D19-G19</f>
        <v>8.6700000000000017</v>
      </c>
      <c r="G19" s="107">
        <v>12</v>
      </c>
      <c r="I19" s="41"/>
      <c r="J19" s="41"/>
      <c r="K19" s="461" t="s">
        <v>546</v>
      </c>
      <c r="L19" s="1511">
        <v>10.27</v>
      </c>
      <c r="M19" s="4686">
        <v>11</v>
      </c>
      <c r="N19" s="1989">
        <f>+(M15*N15+M16*N16+M17*N17+M18*N18)/M19</f>
        <v>1.2718181818181822</v>
      </c>
      <c r="O19" s="107"/>
      <c r="P19" s="107"/>
      <c r="S19" s="1793" t="s">
        <v>546</v>
      </c>
      <c r="T19" s="4702">
        <v>10.7</v>
      </c>
      <c r="U19" s="4702">
        <v>10</v>
      </c>
      <c r="V19" s="4771">
        <f>+(U15*V15+U16*V16+U17*V17+U18*V18)/U19</f>
        <v>1.6990000000000003</v>
      </c>
      <c r="Y19" s="41"/>
      <c r="Z19" s="41"/>
      <c r="AA19" s="461" t="s">
        <v>546</v>
      </c>
      <c r="AB19" s="1510">
        <v>9.56</v>
      </c>
      <c r="AC19" s="2480">
        <v>9</v>
      </c>
      <c r="AD19" s="875">
        <f>+(AC16*AD16+AC17*AD17+AC18*AD18)/AC19</f>
        <v>0.55555555555555514</v>
      </c>
      <c r="AE19" s="107"/>
      <c r="AF19" s="107"/>
      <c r="AG19" s="58"/>
      <c r="AH19" s="95"/>
      <c r="AI19" s="58" t="s">
        <v>1641</v>
      </c>
      <c r="AJ19" s="912">
        <v>10.33</v>
      </c>
      <c r="AK19" s="95">
        <v>3</v>
      </c>
      <c r="AL19" s="1456">
        <f t="shared" si="6"/>
        <v>1.33</v>
      </c>
      <c r="AN19" s="1676"/>
      <c r="AO19" s="1676"/>
      <c r="AP19" s="1673" t="s">
        <v>106</v>
      </c>
      <c r="AQ19" s="1674">
        <v>10.84</v>
      </c>
      <c r="AR19" s="1675">
        <v>25</v>
      </c>
      <c r="AS19" s="875">
        <f>+(AR9*AS9+AR13*AS13+AR18*AS18)/AR19</f>
        <v>2.6787999999999998</v>
      </c>
      <c r="AU19" s="1359"/>
      <c r="AV19" s="1359"/>
      <c r="AW19" s="1458" t="s">
        <v>106</v>
      </c>
      <c r="AX19" s="1459">
        <v>11</v>
      </c>
      <c r="AY19" s="1460">
        <v>16</v>
      </c>
      <c r="AZ19" s="875">
        <f>+(AY9*AZ9+AY13*AZ13+AY18*AZ18)/AY19</f>
        <v>2.25</v>
      </c>
      <c r="BB19" s="946"/>
      <c r="BC19" s="946"/>
      <c r="BD19" s="947" t="s">
        <v>124</v>
      </c>
      <c r="BE19" s="948">
        <v>14.25</v>
      </c>
      <c r="BF19" s="949">
        <v>4</v>
      </c>
      <c r="BG19" s="853">
        <f t="shared" si="7"/>
        <v>2.25</v>
      </c>
      <c r="BI19" s="689"/>
      <c r="BJ19" s="689"/>
      <c r="BK19" s="689"/>
      <c r="BL19" s="457" t="s">
        <v>124</v>
      </c>
      <c r="BM19" s="459">
        <v>9</v>
      </c>
      <c r="BN19" s="458">
        <v>1</v>
      </c>
      <c r="BO19" s="689"/>
      <c r="BP19" s="458">
        <f>BM19-12</f>
        <v>-3</v>
      </c>
      <c r="BQ19" s="41"/>
      <c r="BR19" s="950"/>
      <c r="BS19" s="950"/>
      <c r="BT19" s="951" t="s">
        <v>123</v>
      </c>
      <c r="BU19" s="952">
        <v>20.333333333333332</v>
      </c>
      <c r="BV19" s="952">
        <f t="shared" si="1"/>
        <v>8.3333333333333321</v>
      </c>
      <c r="BW19" s="953">
        <v>6</v>
      </c>
      <c r="BX19" s="954">
        <v>22.833333333333332</v>
      </c>
      <c r="BY19" s="955">
        <f t="shared" si="2"/>
        <v>10.833333333333332</v>
      </c>
      <c r="BZ19" s="41"/>
      <c r="CA19" s="47"/>
      <c r="CB19" s="47"/>
      <c r="CC19" s="47" t="s">
        <v>123</v>
      </c>
      <c r="CD19" s="107">
        <v>3</v>
      </c>
      <c r="CE19" s="144">
        <v>10.333333333333334</v>
      </c>
      <c r="CF19" s="107">
        <v>12</v>
      </c>
      <c r="CG19" s="144">
        <f>+CE19-CF19</f>
        <v>-1.6666666666666661</v>
      </c>
      <c r="CH19" s="970">
        <f>AVERAGE(CG16:CG19)</f>
        <v>3.3690476190476182</v>
      </c>
      <c r="CI19" s="47"/>
      <c r="CJ19" s="956"/>
      <c r="CK19" s="957"/>
      <c r="CL19" s="956" t="s">
        <v>122</v>
      </c>
      <c r="CM19" s="958">
        <v>17.25</v>
      </c>
      <c r="CN19" s="957">
        <v>8</v>
      </c>
      <c r="CO19" s="959">
        <v>12</v>
      </c>
      <c r="CP19" s="958">
        <f t="shared" si="8"/>
        <v>5.25</v>
      </c>
    </row>
    <row r="20" spans="1:94">
      <c r="A20" s="41"/>
      <c r="B20" s="41"/>
      <c r="C20" s="41" t="s">
        <v>122</v>
      </c>
      <c r="D20" s="1496">
        <v>20</v>
      </c>
      <c r="E20" s="105">
        <v>2</v>
      </c>
      <c r="F20" s="1431">
        <f t="shared" si="9"/>
        <v>8</v>
      </c>
      <c r="G20" s="107">
        <v>12</v>
      </c>
      <c r="I20" s="4637"/>
      <c r="J20" s="4637"/>
      <c r="K20" s="4638" t="s">
        <v>106</v>
      </c>
      <c r="L20" s="4795">
        <v>11.56</v>
      </c>
      <c r="M20" s="4636">
        <v>25</v>
      </c>
      <c r="N20" s="1990">
        <f>+(M11*N11+M14*N14+M19*N19)/M20</f>
        <v>1.36</v>
      </c>
      <c r="O20" s="4639"/>
      <c r="P20" s="107"/>
      <c r="Q20" s="4754"/>
      <c r="R20" s="4754"/>
      <c r="S20" s="4755" t="s">
        <v>106</v>
      </c>
      <c r="T20" s="4756">
        <v>11.65</v>
      </c>
      <c r="U20" s="4756">
        <v>20</v>
      </c>
      <c r="V20" s="4790">
        <f>+(U11*V11+U14*V14+U19*V19)/U20</f>
        <v>1.6005000000000003</v>
      </c>
      <c r="W20" s="4777"/>
      <c r="Y20" s="2460"/>
      <c r="Z20" s="2460"/>
      <c r="AA20" s="2461" t="s">
        <v>106</v>
      </c>
      <c r="AB20" s="2462">
        <v>10.89</v>
      </c>
      <c r="AC20" s="2463">
        <v>19</v>
      </c>
      <c r="AD20" s="1677">
        <f>+(AC12*AD12+AC15*AD15+AC19*AD19)/AC20</f>
        <v>0.79052631578947352</v>
      </c>
      <c r="AE20" s="107"/>
      <c r="AF20" s="107"/>
      <c r="AG20" s="58"/>
      <c r="AH20" s="95"/>
      <c r="AI20" s="2009" t="s">
        <v>546</v>
      </c>
      <c r="AJ20" s="2010">
        <v>11</v>
      </c>
      <c r="AK20" s="2011">
        <v>5</v>
      </c>
      <c r="AL20" s="875">
        <f>+(AK17*AL17+AK18*AL18+AK19*AL19)/AK20</f>
        <v>1.998</v>
      </c>
      <c r="AN20" s="107" t="s">
        <v>25</v>
      </c>
      <c r="AO20" s="107" t="s">
        <v>4</v>
      </c>
      <c r="AP20" s="47" t="s">
        <v>120</v>
      </c>
      <c r="AQ20" s="144">
        <v>17</v>
      </c>
      <c r="AR20" s="107">
        <v>3</v>
      </c>
      <c r="AS20" s="1463">
        <f t="shared" ref="AS20:AS25" si="10">AQ20-12</f>
        <v>5</v>
      </c>
      <c r="AU20" s="1461" t="s">
        <v>25</v>
      </c>
      <c r="AV20" s="1461" t="s">
        <v>4</v>
      </c>
      <c r="AW20" s="1462" t="s">
        <v>120</v>
      </c>
      <c r="AX20" s="1463">
        <v>20</v>
      </c>
      <c r="AY20" s="1464">
        <v>2</v>
      </c>
      <c r="AZ20" s="1463">
        <f>AX20-12</f>
        <v>8</v>
      </c>
      <c r="BB20" s="946"/>
      <c r="BC20" s="946"/>
      <c r="BD20" s="960" t="s">
        <v>544</v>
      </c>
      <c r="BE20" s="961">
        <v>17.324324324324323</v>
      </c>
      <c r="BF20" s="962">
        <v>37</v>
      </c>
      <c r="BG20" s="875">
        <f t="shared" si="7"/>
        <v>5.3243243243243228</v>
      </c>
      <c r="BI20" s="689"/>
      <c r="BJ20" s="689"/>
      <c r="BK20" s="689"/>
      <c r="BL20" s="784" t="s">
        <v>544</v>
      </c>
      <c r="BM20" s="462">
        <v>16.458333333333332</v>
      </c>
      <c r="BN20" s="463">
        <v>24</v>
      </c>
      <c r="BO20" s="785">
        <v>4.7179506113369278</v>
      </c>
      <c r="BP20" s="963">
        <f>+(BN15*BP15+BN16*BP16+BN17*BP17+BN18*BP18+BN19*BP19)/BN20</f>
        <v>4.4583333333333321</v>
      </c>
      <c r="BQ20" s="41"/>
      <c r="BR20" s="950"/>
      <c r="BS20" s="950"/>
      <c r="BT20" s="951" t="s">
        <v>124</v>
      </c>
      <c r="BU20" s="952">
        <v>12</v>
      </c>
      <c r="BV20" s="952">
        <f t="shared" si="1"/>
        <v>0</v>
      </c>
      <c r="BW20" s="953">
        <v>2</v>
      </c>
      <c r="BX20" s="954">
        <v>12</v>
      </c>
      <c r="BY20" s="955">
        <f t="shared" si="2"/>
        <v>0</v>
      </c>
      <c r="BZ20" s="41"/>
      <c r="CA20" s="47"/>
      <c r="CB20" s="47"/>
      <c r="CC20" s="956" t="s">
        <v>124</v>
      </c>
      <c r="CD20" s="107"/>
      <c r="CE20" s="144"/>
      <c r="CF20" s="107">
        <v>12</v>
      </c>
      <c r="CG20" s="144"/>
      <c r="CH20" s="47"/>
      <c r="CI20" s="47"/>
      <c r="CJ20" s="956"/>
      <c r="CK20" s="957"/>
      <c r="CL20" s="956" t="s">
        <v>123</v>
      </c>
      <c r="CM20" s="958">
        <v>16.875</v>
      </c>
      <c r="CN20" s="957">
        <v>8</v>
      </c>
      <c r="CO20" s="959">
        <v>12</v>
      </c>
      <c r="CP20" s="958">
        <f t="shared" si="8"/>
        <v>4.875</v>
      </c>
    </row>
    <row r="21" spans="1:94">
      <c r="A21" s="41"/>
      <c r="B21" s="41"/>
      <c r="C21" s="41" t="s">
        <v>123</v>
      </c>
      <c r="D21" s="1496">
        <v>16.8</v>
      </c>
      <c r="E21" s="105">
        <v>5</v>
      </c>
      <c r="F21" s="1431">
        <f t="shared" si="9"/>
        <v>4.8000000000000007</v>
      </c>
      <c r="G21" s="107">
        <v>12</v>
      </c>
      <c r="I21" s="41" t="s">
        <v>25</v>
      </c>
      <c r="J21" s="41" t="s">
        <v>4</v>
      </c>
      <c r="K21" s="41" t="s">
        <v>120</v>
      </c>
      <c r="L21" s="1496">
        <v>15.8</v>
      </c>
      <c r="M21" s="105">
        <v>5</v>
      </c>
      <c r="N21" s="1431">
        <f>L21-O21</f>
        <v>3.8000000000000007</v>
      </c>
      <c r="O21" s="107">
        <v>12</v>
      </c>
      <c r="P21" s="107"/>
      <c r="Q21" s="37" t="s">
        <v>25</v>
      </c>
      <c r="R21" s="37" t="s">
        <v>4</v>
      </c>
      <c r="S21" s="37" t="s">
        <v>120</v>
      </c>
      <c r="T21" s="1788">
        <v>15</v>
      </c>
      <c r="U21" s="1788">
        <v>4</v>
      </c>
      <c r="V21" s="4243">
        <f>T21-W21</f>
        <v>3</v>
      </c>
      <c r="W21" s="4243">
        <v>12</v>
      </c>
      <c r="Y21" s="41" t="s">
        <v>25</v>
      </c>
      <c r="Z21" s="41" t="s">
        <v>4</v>
      </c>
      <c r="AA21" s="41" t="s">
        <v>120</v>
      </c>
      <c r="AB21" s="1495">
        <v>13.25</v>
      </c>
      <c r="AC21" s="105">
        <v>4</v>
      </c>
      <c r="AD21" s="144">
        <f t="shared" si="4"/>
        <v>1.25</v>
      </c>
      <c r="AE21" s="107">
        <v>12</v>
      </c>
      <c r="AF21" s="107"/>
      <c r="AG21" s="2012"/>
      <c r="AH21" s="2008"/>
      <c r="AI21" s="2013" t="s">
        <v>106</v>
      </c>
      <c r="AJ21" s="2014">
        <v>11.21</v>
      </c>
      <c r="AK21" s="2015">
        <v>19</v>
      </c>
      <c r="AL21" s="1677">
        <f>+(AK12*AL12+AK16*AL16+AK20*AL20)/AK21</f>
        <v>1.8942105263157896</v>
      </c>
      <c r="AN21" s="107"/>
      <c r="AO21" s="107"/>
      <c r="AP21" s="47" t="s">
        <v>121</v>
      </c>
      <c r="AQ21" s="144">
        <v>15.67</v>
      </c>
      <c r="AR21" s="107">
        <v>9</v>
      </c>
      <c r="AS21" s="1456">
        <f t="shared" si="10"/>
        <v>3.67</v>
      </c>
      <c r="AU21" s="1359"/>
      <c r="AV21" s="1359"/>
      <c r="AW21" s="1455" t="s">
        <v>121</v>
      </c>
      <c r="AX21" s="1456">
        <v>18</v>
      </c>
      <c r="AY21" s="1457">
        <v>3</v>
      </c>
      <c r="AZ21" s="1456">
        <f>AX21-12</f>
        <v>6</v>
      </c>
      <c r="BB21" s="946"/>
      <c r="BC21" s="946" t="s">
        <v>16</v>
      </c>
      <c r="BD21" s="947" t="s">
        <v>107</v>
      </c>
      <c r="BE21" s="948">
        <v>15.166666666666668</v>
      </c>
      <c r="BF21" s="949">
        <v>12</v>
      </c>
      <c r="BG21" s="853">
        <f t="shared" si="7"/>
        <v>3.1666666666666679</v>
      </c>
      <c r="BI21" s="689"/>
      <c r="BJ21" s="689"/>
      <c r="BK21" s="689" t="s">
        <v>16</v>
      </c>
      <c r="BL21" s="457" t="s">
        <v>107</v>
      </c>
      <c r="BM21" s="459">
        <v>12.777777777777779</v>
      </c>
      <c r="BN21" s="458">
        <v>9</v>
      </c>
      <c r="BO21" s="765">
        <v>2.8625940062196116</v>
      </c>
      <c r="BP21" s="458">
        <f>BM21-12</f>
        <v>0.77777777777777857</v>
      </c>
      <c r="BQ21" s="41"/>
      <c r="BR21" s="950"/>
      <c r="BS21" s="950"/>
      <c r="BT21" s="964" t="s">
        <v>544</v>
      </c>
      <c r="BU21" s="963">
        <v>17.54545454545455</v>
      </c>
      <c r="BV21" s="963">
        <f>+(BW16*BV16+BW17*BV17+BW18*BV18+BW19*BV19+BW20*BV20)/BW21</f>
        <v>5.5454545454545459</v>
      </c>
      <c r="BW21" s="965">
        <v>22</v>
      </c>
      <c r="BX21" s="966">
        <v>18.72727272727273</v>
      </c>
      <c r="BY21" s="967">
        <f>+(BW16*BY16+BW17*BY17+BW18*BY18+BW19*BY19+BW20*BY20)/BW21</f>
        <v>6.7272727272727275</v>
      </c>
      <c r="BZ21" s="41"/>
      <c r="CA21" s="47"/>
      <c r="CB21" s="47"/>
      <c r="CC21" s="968" t="s">
        <v>15</v>
      </c>
      <c r="CD21" s="145">
        <v>23</v>
      </c>
      <c r="CE21" s="969">
        <v>17.260869565217394</v>
      </c>
      <c r="CF21" s="145"/>
      <c r="CG21" s="969">
        <f>+(CD16*CG16+CD17*CG17+CD18*CG18+CD19*CG19)/CD21</f>
        <v>5.2608695652173889</v>
      </c>
      <c r="CH21" s="47"/>
      <c r="CI21" s="47"/>
      <c r="CJ21" s="956"/>
      <c r="CK21" s="957"/>
      <c r="CL21" s="956" t="s">
        <v>124</v>
      </c>
      <c r="CM21" s="958">
        <v>14.333333333333334</v>
      </c>
      <c r="CN21" s="957">
        <v>3</v>
      </c>
      <c r="CO21" s="959">
        <v>12</v>
      </c>
      <c r="CP21" s="958">
        <f t="shared" si="8"/>
        <v>2.3333333333333339</v>
      </c>
    </row>
    <row r="22" spans="1:94">
      <c r="A22" s="41"/>
      <c r="B22" s="41"/>
      <c r="C22" s="41" t="s">
        <v>124</v>
      </c>
      <c r="D22" s="1496">
        <v>23</v>
      </c>
      <c r="E22" s="105">
        <v>1</v>
      </c>
      <c r="F22" s="1431">
        <f t="shared" si="9"/>
        <v>11</v>
      </c>
      <c r="G22" s="107">
        <v>12</v>
      </c>
      <c r="I22" s="41"/>
      <c r="J22" s="41"/>
      <c r="K22" s="41" t="s">
        <v>121</v>
      </c>
      <c r="L22" s="1496">
        <v>17.29</v>
      </c>
      <c r="M22" s="105">
        <v>7</v>
      </c>
      <c r="N22" s="1431">
        <f t="shared" ref="N22:N27" si="11">L22-O22</f>
        <v>5.2899999999999991</v>
      </c>
      <c r="O22" s="107">
        <v>12</v>
      </c>
      <c r="P22" s="107"/>
      <c r="S22" s="37" t="s">
        <v>121</v>
      </c>
      <c r="T22" s="1788">
        <v>14.75</v>
      </c>
      <c r="U22" s="1788">
        <v>4</v>
      </c>
      <c r="V22" s="4243">
        <f t="shared" ref="V22:V37" si="12">T22-W22</f>
        <v>2.75</v>
      </c>
      <c r="W22" s="4243">
        <v>12</v>
      </c>
      <c r="Y22" s="41"/>
      <c r="Z22" s="41"/>
      <c r="AA22" s="41" t="s">
        <v>121</v>
      </c>
      <c r="AB22" s="1495">
        <v>15.89</v>
      </c>
      <c r="AC22" s="105">
        <v>9</v>
      </c>
      <c r="AD22" s="144">
        <f t="shared" si="4"/>
        <v>3.8900000000000006</v>
      </c>
      <c r="AE22" s="107">
        <v>12</v>
      </c>
      <c r="AF22" s="107"/>
      <c r="AG22" s="58" t="s">
        <v>25</v>
      </c>
      <c r="AH22" s="95" t="s">
        <v>4</v>
      </c>
      <c r="AI22" s="58" t="s">
        <v>121</v>
      </c>
      <c r="AJ22" s="912">
        <v>18.670000000000002</v>
      </c>
      <c r="AK22" s="95">
        <v>6</v>
      </c>
      <c r="AL22" s="1456">
        <f>AJ22-12</f>
        <v>6.6700000000000017</v>
      </c>
      <c r="AN22" s="107"/>
      <c r="AO22" s="107"/>
      <c r="AP22" s="47" t="s">
        <v>122</v>
      </c>
      <c r="AQ22" s="144">
        <v>15.5</v>
      </c>
      <c r="AR22" s="107">
        <v>10</v>
      </c>
      <c r="AS22" s="1456">
        <f t="shared" si="10"/>
        <v>3.5</v>
      </c>
      <c r="AU22" s="1359"/>
      <c r="AV22" s="1359"/>
      <c r="AW22" s="1455" t="s">
        <v>122</v>
      </c>
      <c r="AX22" s="1456">
        <v>18</v>
      </c>
      <c r="AY22" s="1457">
        <v>12</v>
      </c>
      <c r="AZ22" s="1456">
        <f>AX22-12</f>
        <v>6</v>
      </c>
      <c r="BB22" s="946"/>
      <c r="BC22" s="946"/>
      <c r="BD22" s="947" t="s">
        <v>125</v>
      </c>
      <c r="BE22" s="948">
        <v>13</v>
      </c>
      <c r="BF22" s="949">
        <v>26</v>
      </c>
      <c r="BG22" s="853">
        <f t="shared" ref="BG22:BG40" si="13">BE22-12</f>
        <v>1</v>
      </c>
      <c r="BI22" s="689"/>
      <c r="BJ22" s="689"/>
      <c r="BK22" s="689"/>
      <c r="BL22" s="457" t="s">
        <v>125</v>
      </c>
      <c r="BM22" s="459">
        <v>12.727272727272728</v>
      </c>
      <c r="BN22" s="458">
        <v>11</v>
      </c>
      <c r="BO22" s="765">
        <v>1.6180796699117808</v>
      </c>
      <c r="BP22" s="458">
        <f>BM22-12</f>
        <v>0.7272727272727284</v>
      </c>
      <c r="BQ22" s="41"/>
      <c r="BR22" s="950"/>
      <c r="BS22" s="950"/>
      <c r="BT22" s="964"/>
      <c r="BU22" s="963"/>
      <c r="BV22" s="963"/>
      <c r="BW22" s="965"/>
      <c r="BX22" s="966"/>
      <c r="BY22" s="967"/>
      <c r="BZ22" s="41"/>
      <c r="CA22" s="47"/>
      <c r="CB22" s="47"/>
      <c r="CC22" s="968"/>
      <c r="CD22" s="145"/>
      <c r="CE22" s="969"/>
      <c r="CF22" s="145"/>
      <c r="CG22" s="969"/>
      <c r="CH22" s="47"/>
      <c r="CI22" s="47"/>
      <c r="CJ22" s="956"/>
      <c r="CK22" s="957"/>
      <c r="CL22" s="957" t="s">
        <v>15</v>
      </c>
      <c r="CM22" s="958">
        <v>18.555555555555557</v>
      </c>
      <c r="CN22" s="957">
        <v>36</v>
      </c>
      <c r="CO22" s="959"/>
      <c r="CP22" s="971">
        <f>AVERAGE(CP16:CP21)</f>
        <v>4.9854797979797985</v>
      </c>
    </row>
    <row r="23" spans="1:94">
      <c r="A23" s="41"/>
      <c r="B23" s="41"/>
      <c r="C23" s="41" t="s">
        <v>417</v>
      </c>
      <c r="D23" s="1496">
        <v>12</v>
      </c>
      <c r="E23" s="105">
        <v>2</v>
      </c>
      <c r="F23" s="1431">
        <f t="shared" si="9"/>
        <v>0</v>
      </c>
      <c r="G23" s="107">
        <v>12</v>
      </c>
      <c r="I23" s="41"/>
      <c r="J23" s="41"/>
      <c r="K23" s="41" t="s">
        <v>122</v>
      </c>
      <c r="L23" s="1496">
        <v>18.559999999999999</v>
      </c>
      <c r="M23" s="105">
        <v>9</v>
      </c>
      <c r="N23" s="1431">
        <f t="shared" si="11"/>
        <v>6.5599999999999987</v>
      </c>
      <c r="O23" s="107">
        <v>12</v>
      </c>
      <c r="P23" s="107"/>
      <c r="S23" s="37" t="s">
        <v>122</v>
      </c>
      <c r="T23" s="1788">
        <v>18.13</v>
      </c>
      <c r="U23" s="1788">
        <v>8</v>
      </c>
      <c r="V23" s="4243">
        <f t="shared" si="12"/>
        <v>6.129999999999999</v>
      </c>
      <c r="W23" s="4243">
        <v>12</v>
      </c>
      <c r="Y23" s="41"/>
      <c r="Z23" s="41"/>
      <c r="AA23" s="41" t="s">
        <v>122</v>
      </c>
      <c r="AB23" s="1495">
        <v>18.13</v>
      </c>
      <c r="AC23" s="105">
        <v>16</v>
      </c>
      <c r="AD23" s="144">
        <f t="shared" si="4"/>
        <v>6.129999999999999</v>
      </c>
      <c r="AE23" s="107">
        <v>12</v>
      </c>
      <c r="AF23" s="107"/>
      <c r="AG23" s="58"/>
      <c r="AH23" s="95"/>
      <c r="AI23" s="58" t="s">
        <v>122</v>
      </c>
      <c r="AJ23" s="912">
        <v>16.399999999999999</v>
      </c>
      <c r="AK23" s="95">
        <v>15</v>
      </c>
      <c r="AL23" s="1456">
        <f>AJ23-12</f>
        <v>4.3999999999999986</v>
      </c>
      <c r="AN23" s="107"/>
      <c r="AO23" s="107"/>
      <c r="AP23" s="47" t="s">
        <v>123</v>
      </c>
      <c r="AQ23" s="144">
        <v>17.440000000000001</v>
      </c>
      <c r="AR23" s="107">
        <v>9</v>
      </c>
      <c r="AS23" s="1456">
        <f t="shared" si="10"/>
        <v>5.4400000000000013</v>
      </c>
      <c r="AU23" s="1359"/>
      <c r="AV23" s="1359"/>
      <c r="AW23" s="1455" t="s">
        <v>123</v>
      </c>
      <c r="AX23" s="1456">
        <v>14.333333333333334</v>
      </c>
      <c r="AY23" s="1457">
        <v>3</v>
      </c>
      <c r="AZ23" s="1456">
        <f>AX23-12</f>
        <v>2.3333333333333339</v>
      </c>
      <c r="BB23" s="946"/>
      <c r="BC23" s="946"/>
      <c r="BD23" s="947" t="s">
        <v>126</v>
      </c>
      <c r="BE23" s="948">
        <v>10.96</v>
      </c>
      <c r="BF23" s="949">
        <v>25</v>
      </c>
      <c r="BG23" s="853">
        <f t="shared" si="13"/>
        <v>-1.0399999999999991</v>
      </c>
      <c r="BI23" s="689"/>
      <c r="BJ23" s="689"/>
      <c r="BK23" s="689"/>
      <c r="BL23" s="457" t="s">
        <v>126</v>
      </c>
      <c r="BM23" s="459">
        <v>11.035714285714288</v>
      </c>
      <c r="BN23" s="458">
        <v>28</v>
      </c>
      <c r="BO23" s="765">
        <v>2.8736625598591972</v>
      </c>
      <c r="BP23" s="458">
        <f>BM23-12</f>
        <v>-0.96428571428571175</v>
      </c>
      <c r="BQ23" s="41"/>
      <c r="BR23" s="950"/>
      <c r="BS23" s="950" t="s">
        <v>16</v>
      </c>
      <c r="BT23" s="951" t="s">
        <v>107</v>
      </c>
      <c r="BU23" s="952">
        <v>11.461538461538462</v>
      </c>
      <c r="BV23" s="952">
        <f t="shared" si="1"/>
        <v>-0.53846153846153832</v>
      </c>
      <c r="BW23" s="953">
        <v>13</v>
      </c>
      <c r="BX23" s="954">
        <v>12.076923076923078</v>
      </c>
      <c r="BY23" s="955">
        <f t="shared" si="2"/>
        <v>7.6923076923078426E-2</v>
      </c>
      <c r="BZ23" s="41"/>
      <c r="CA23" s="47"/>
      <c r="CB23" s="47" t="s">
        <v>16</v>
      </c>
      <c r="CC23" s="47" t="s">
        <v>107</v>
      </c>
      <c r="CD23" s="107">
        <v>12</v>
      </c>
      <c r="CE23" s="144">
        <v>14.583333333333334</v>
      </c>
      <c r="CF23" s="107">
        <v>12</v>
      </c>
      <c r="CG23" s="144">
        <f>+CE23-CF23</f>
        <v>2.5833333333333339</v>
      </c>
      <c r="CH23" s="47"/>
      <c r="CI23" s="47"/>
      <c r="CJ23" s="956"/>
      <c r="CK23" s="957" t="s">
        <v>16</v>
      </c>
      <c r="CL23" s="956" t="s">
        <v>107</v>
      </c>
      <c r="CM23" s="958">
        <v>12.933333333333334</v>
      </c>
      <c r="CN23" s="957">
        <v>15</v>
      </c>
      <c r="CO23" s="959">
        <v>12</v>
      </c>
      <c r="CP23" s="958">
        <f t="shared" si="8"/>
        <v>0.93333333333333357</v>
      </c>
    </row>
    <row r="24" spans="1:94">
      <c r="A24" s="41"/>
      <c r="B24" s="41"/>
      <c r="C24" s="41" t="s">
        <v>795</v>
      </c>
      <c r="D24" s="1496">
        <v>23</v>
      </c>
      <c r="E24" s="105">
        <v>1</v>
      </c>
      <c r="F24" s="1431">
        <f t="shared" si="9"/>
        <v>11</v>
      </c>
      <c r="G24" s="107">
        <v>12</v>
      </c>
      <c r="I24" s="41"/>
      <c r="J24" s="41"/>
      <c r="K24" s="41" t="s">
        <v>123</v>
      </c>
      <c r="L24" s="1496">
        <v>17.25</v>
      </c>
      <c r="M24" s="105">
        <v>8</v>
      </c>
      <c r="N24" s="1431">
        <f t="shared" si="11"/>
        <v>5.25</v>
      </c>
      <c r="O24" s="107">
        <v>12</v>
      </c>
      <c r="P24" s="107"/>
      <c r="S24" s="37" t="s">
        <v>123</v>
      </c>
      <c r="T24" s="1788">
        <v>17</v>
      </c>
      <c r="U24" s="1788">
        <v>4</v>
      </c>
      <c r="V24" s="4243">
        <f t="shared" si="12"/>
        <v>5</v>
      </c>
      <c r="W24" s="4243">
        <v>12</v>
      </c>
      <c r="Y24" s="41"/>
      <c r="Z24" s="41"/>
      <c r="AA24" s="41" t="s">
        <v>123</v>
      </c>
      <c r="AB24" s="1495">
        <v>17.399999999999999</v>
      </c>
      <c r="AC24" s="105">
        <v>5</v>
      </c>
      <c r="AD24" s="144">
        <f t="shared" si="4"/>
        <v>5.3999999999999986</v>
      </c>
      <c r="AE24" s="107">
        <v>12</v>
      </c>
      <c r="AF24" s="107"/>
      <c r="AG24" s="58"/>
      <c r="AH24" s="95"/>
      <c r="AI24" s="58" t="s">
        <v>123</v>
      </c>
      <c r="AJ24" s="912">
        <v>14.25</v>
      </c>
      <c r="AK24" s="95">
        <v>4</v>
      </c>
      <c r="AL24" s="1456">
        <f>AJ24-12</f>
        <v>2.25</v>
      </c>
      <c r="AN24" s="107"/>
      <c r="AO24" s="107"/>
      <c r="AP24" s="47" t="s">
        <v>124</v>
      </c>
      <c r="AQ24" s="144">
        <v>15</v>
      </c>
      <c r="AR24" s="107">
        <v>3</v>
      </c>
      <c r="AS24" s="1456">
        <f t="shared" si="10"/>
        <v>3</v>
      </c>
      <c r="AU24" s="1359"/>
      <c r="AV24" s="1359"/>
      <c r="AW24" s="1455" t="s">
        <v>124</v>
      </c>
      <c r="AX24" s="1456">
        <v>16.333333333333332</v>
      </c>
      <c r="AY24" s="1457">
        <v>3</v>
      </c>
      <c r="AZ24" s="1456">
        <f>AX24-12</f>
        <v>4.3333333333333321</v>
      </c>
      <c r="BB24" s="946"/>
      <c r="BC24" s="946"/>
      <c r="BD24" s="947" t="s">
        <v>127</v>
      </c>
      <c r="BE24" s="948">
        <v>12.909090909090908</v>
      </c>
      <c r="BF24" s="949">
        <v>11</v>
      </c>
      <c r="BG24" s="853">
        <f t="shared" si="13"/>
        <v>0.90909090909090828</v>
      </c>
      <c r="BI24" s="689"/>
      <c r="BJ24" s="689"/>
      <c r="BK24" s="689"/>
      <c r="BL24" s="457" t="s">
        <v>127</v>
      </c>
      <c r="BM24" s="459">
        <v>12.428571428571429</v>
      </c>
      <c r="BN24" s="458">
        <v>7</v>
      </c>
      <c r="BO24" s="765">
        <v>1.511857892036909</v>
      </c>
      <c r="BP24" s="458">
        <f>BM24-12</f>
        <v>0.42857142857142883</v>
      </c>
      <c r="BQ24" s="41"/>
      <c r="BR24" s="950"/>
      <c r="BS24" s="950"/>
      <c r="BT24" s="951" t="s">
        <v>125</v>
      </c>
      <c r="BU24" s="952">
        <v>13.5</v>
      </c>
      <c r="BV24" s="952">
        <f t="shared" si="1"/>
        <v>1.5</v>
      </c>
      <c r="BW24" s="953">
        <v>4</v>
      </c>
      <c r="BX24" s="954">
        <v>21</v>
      </c>
      <c r="BY24" s="955">
        <f t="shared" si="2"/>
        <v>9</v>
      </c>
      <c r="BZ24" s="41"/>
      <c r="CA24" s="47"/>
      <c r="CB24" s="47"/>
      <c r="CC24" s="47" t="s">
        <v>125</v>
      </c>
      <c r="CD24" s="107">
        <v>15</v>
      </c>
      <c r="CE24" s="144">
        <v>13.2</v>
      </c>
      <c r="CF24" s="107">
        <v>12</v>
      </c>
      <c r="CG24" s="144">
        <f>+CE24-CF24</f>
        <v>1.1999999999999993</v>
      </c>
      <c r="CH24" s="47"/>
      <c r="CI24" s="47"/>
      <c r="CJ24" s="956"/>
      <c r="CK24" s="957"/>
      <c r="CL24" s="956" t="s">
        <v>125</v>
      </c>
      <c r="CM24" s="958">
        <v>13.125</v>
      </c>
      <c r="CN24" s="957">
        <v>8</v>
      </c>
      <c r="CO24" s="959">
        <v>12</v>
      </c>
      <c r="CP24" s="958">
        <f t="shared" si="8"/>
        <v>1.125</v>
      </c>
    </row>
    <row r="25" spans="1:94">
      <c r="A25" s="41"/>
      <c r="B25" s="41"/>
      <c r="C25" s="461" t="s">
        <v>544</v>
      </c>
      <c r="D25" s="1511">
        <v>18.329999999999998</v>
      </c>
      <c r="E25" s="5501">
        <v>15</v>
      </c>
      <c r="F25" s="1989">
        <f>+(E18*F18+E19*F19+E20*F20+E21*F21+E22*F22+E23*F23+E24*F24)/E25</f>
        <v>6.3340000000000005</v>
      </c>
      <c r="I25" s="41"/>
      <c r="J25" s="41"/>
      <c r="K25" s="41" t="s">
        <v>124</v>
      </c>
      <c r="L25" s="1496">
        <v>17.5</v>
      </c>
      <c r="M25" s="105">
        <v>2</v>
      </c>
      <c r="N25" s="1431">
        <f t="shared" si="11"/>
        <v>5.5</v>
      </c>
      <c r="O25" s="107">
        <v>12</v>
      </c>
      <c r="P25" s="107"/>
      <c r="S25" s="37" t="s">
        <v>124</v>
      </c>
      <c r="T25" s="1788">
        <v>12</v>
      </c>
      <c r="U25" s="1788">
        <v>1</v>
      </c>
      <c r="V25" s="4243">
        <f t="shared" si="12"/>
        <v>0</v>
      </c>
      <c r="W25" s="4243">
        <v>12</v>
      </c>
      <c r="Y25" s="41"/>
      <c r="Z25" s="41"/>
      <c r="AA25" s="41" t="s">
        <v>124</v>
      </c>
      <c r="AB25" s="1495">
        <v>21.33</v>
      </c>
      <c r="AC25" s="105">
        <v>3</v>
      </c>
      <c r="AD25" s="144">
        <f t="shared" si="4"/>
        <v>9.3299999999999983</v>
      </c>
      <c r="AE25" s="107">
        <v>12</v>
      </c>
      <c r="AF25" s="107"/>
      <c r="AG25" s="58"/>
      <c r="AH25" s="95"/>
      <c r="AI25" s="58" t="s">
        <v>124</v>
      </c>
      <c r="AJ25" s="912">
        <v>16.170000000000002</v>
      </c>
      <c r="AK25" s="95">
        <v>6</v>
      </c>
      <c r="AL25" s="1456">
        <f>AJ25-12</f>
        <v>4.1700000000000017</v>
      </c>
      <c r="AN25" s="107"/>
      <c r="AO25" s="107"/>
      <c r="AP25" s="47" t="s">
        <v>417</v>
      </c>
      <c r="AQ25" s="144">
        <v>13</v>
      </c>
      <c r="AR25" s="107">
        <v>2</v>
      </c>
      <c r="AS25" s="1456">
        <f t="shared" si="10"/>
        <v>1</v>
      </c>
      <c r="AU25" s="1359"/>
      <c r="AV25" s="1359"/>
      <c r="AW25" s="1455"/>
      <c r="AX25" s="1456"/>
      <c r="AY25" s="1457"/>
      <c r="AZ25" s="1456"/>
      <c r="BB25" s="946"/>
      <c r="BC25" s="946"/>
      <c r="BD25" s="947" t="s">
        <v>128</v>
      </c>
      <c r="BE25" s="948">
        <v>14.333333333333334</v>
      </c>
      <c r="BF25" s="949">
        <v>3</v>
      </c>
      <c r="BG25" s="853">
        <f t="shared" si="13"/>
        <v>2.3333333333333339</v>
      </c>
      <c r="BI25" s="689"/>
      <c r="BJ25" s="689"/>
      <c r="BK25" s="689"/>
      <c r="BL25" s="457" t="s">
        <v>128</v>
      </c>
      <c r="BM25" s="459">
        <v>14.333333333333334</v>
      </c>
      <c r="BN25" s="458">
        <v>3</v>
      </c>
      <c r="BO25" s="765">
        <v>1.1547005383792515</v>
      </c>
      <c r="BP25" s="458">
        <f>BM25-12</f>
        <v>2.3333333333333339</v>
      </c>
      <c r="BQ25" s="41"/>
      <c r="BR25" s="950"/>
      <c r="BS25" s="950"/>
      <c r="BT25" s="951" t="s">
        <v>126</v>
      </c>
      <c r="BU25" s="952">
        <v>10.176470588235295</v>
      </c>
      <c r="BV25" s="952">
        <f t="shared" si="1"/>
        <v>-1.8235294117647047</v>
      </c>
      <c r="BW25" s="953">
        <v>17</v>
      </c>
      <c r="BX25" s="954">
        <v>11.352941176470587</v>
      </c>
      <c r="BY25" s="955">
        <f t="shared" si="2"/>
        <v>-0.64705882352941302</v>
      </c>
      <c r="BZ25" s="41"/>
      <c r="CA25" s="47"/>
      <c r="CB25" s="47"/>
      <c r="CC25" s="47" t="s">
        <v>126</v>
      </c>
      <c r="CD25" s="107">
        <v>17</v>
      </c>
      <c r="CE25" s="144">
        <v>12.176470588235293</v>
      </c>
      <c r="CF25" s="107">
        <v>12</v>
      </c>
      <c r="CG25" s="144">
        <f>+CE25-CF25</f>
        <v>0.17647058823529349</v>
      </c>
      <c r="CH25" s="970">
        <f>AVERAGE(CG23:CG27)</f>
        <v>0.4086274509803921</v>
      </c>
      <c r="CI25" s="47"/>
      <c r="CJ25" s="956"/>
      <c r="CK25" s="957"/>
      <c r="CL25" s="956" t="s">
        <v>126</v>
      </c>
      <c r="CM25" s="958">
        <v>16.333333333333336</v>
      </c>
      <c r="CN25" s="957">
        <v>12</v>
      </c>
      <c r="CO25" s="959">
        <v>12</v>
      </c>
      <c r="CP25" s="958">
        <f t="shared" si="8"/>
        <v>4.3333333333333357</v>
      </c>
    </row>
    <row r="26" spans="1:94">
      <c r="A26" s="41"/>
      <c r="B26" s="41" t="s">
        <v>16</v>
      </c>
      <c r="C26" s="41" t="s">
        <v>125</v>
      </c>
      <c r="D26" s="1496">
        <v>12</v>
      </c>
      <c r="E26" s="105">
        <v>1</v>
      </c>
      <c r="F26" s="1431">
        <f>D26-G26</f>
        <v>0</v>
      </c>
      <c r="G26" s="107">
        <v>12</v>
      </c>
      <c r="I26" s="41"/>
      <c r="J26" s="41"/>
      <c r="K26" s="41" t="s">
        <v>417</v>
      </c>
      <c r="L26" s="1496">
        <v>15.33</v>
      </c>
      <c r="M26" s="105">
        <v>3</v>
      </c>
      <c r="N26" s="1431">
        <f t="shared" si="11"/>
        <v>3.33</v>
      </c>
      <c r="O26" s="107">
        <v>12</v>
      </c>
      <c r="P26" s="107"/>
      <c r="S26" s="37" t="s">
        <v>417</v>
      </c>
      <c r="T26" s="1788">
        <v>22</v>
      </c>
      <c r="U26" s="1788">
        <v>1</v>
      </c>
      <c r="V26" s="4243">
        <f t="shared" si="12"/>
        <v>10</v>
      </c>
      <c r="W26" s="4243">
        <v>12</v>
      </c>
      <c r="Y26" s="41"/>
      <c r="Z26" s="41"/>
      <c r="AA26" s="41" t="s">
        <v>417</v>
      </c>
      <c r="AB26" s="1495">
        <v>15</v>
      </c>
      <c r="AC26" s="105">
        <v>2</v>
      </c>
      <c r="AD26" s="144">
        <f t="shared" si="4"/>
        <v>3</v>
      </c>
      <c r="AE26" s="107">
        <v>12</v>
      </c>
      <c r="AF26" s="107"/>
      <c r="AG26" s="58"/>
      <c r="AH26" s="95"/>
      <c r="AI26" s="58" t="s">
        <v>417</v>
      </c>
      <c r="AJ26" s="912">
        <v>15.2</v>
      </c>
      <c r="AK26" s="95">
        <v>5</v>
      </c>
      <c r="AL26" s="1456">
        <f>AJ26-12</f>
        <v>3.1999999999999993</v>
      </c>
      <c r="AN26" s="107"/>
      <c r="AO26" s="107"/>
      <c r="AP26" s="968" t="s">
        <v>544</v>
      </c>
      <c r="AQ26" s="969">
        <v>15.97</v>
      </c>
      <c r="AR26" s="145">
        <v>36</v>
      </c>
      <c r="AS26" s="875">
        <f>+(AR20*AS20+AR21*AS21+AR22*AS22+AR23*AS23+AR24*AS24+AR25*AS25)/AR26</f>
        <v>3.9719444444444445</v>
      </c>
      <c r="AU26" s="1359"/>
      <c r="AV26" s="1359"/>
      <c r="AW26" s="1458" t="s">
        <v>544</v>
      </c>
      <c r="AX26" s="1459">
        <v>17.478260869565215</v>
      </c>
      <c r="AY26" s="1460">
        <v>23</v>
      </c>
      <c r="AZ26" s="875">
        <f>+(AY20*AZ20+AY21*AZ21+AY22*AZ22+AY23*AZ23+AY24*AZ24)/AY26</f>
        <v>5.4782608695652177</v>
      </c>
      <c r="BB26" s="946"/>
      <c r="BC26" s="946"/>
      <c r="BD26" s="960" t="s">
        <v>545</v>
      </c>
      <c r="BE26" s="961">
        <v>12.714285714285714</v>
      </c>
      <c r="BF26" s="962">
        <v>77</v>
      </c>
      <c r="BG26" s="875">
        <f t="shared" si="13"/>
        <v>0.71428571428571352</v>
      </c>
      <c r="BI26" s="689"/>
      <c r="BJ26" s="689"/>
      <c r="BK26" s="689"/>
      <c r="BL26" s="784" t="s">
        <v>545</v>
      </c>
      <c r="BM26" s="462">
        <v>11.965517241379311</v>
      </c>
      <c r="BN26" s="463">
        <v>58</v>
      </c>
      <c r="BO26" s="785">
        <v>2.6020607032131853</v>
      </c>
      <c r="BP26" s="963">
        <f>+(BN21*BP21+BN22*BP22+BN23*BP23+BN24*BP24+BN25*BP25)/BN26</f>
        <v>-3.4482758620688031E-2</v>
      </c>
      <c r="BQ26" s="41"/>
      <c r="BR26" s="950"/>
      <c r="BS26" s="950"/>
      <c r="BT26" s="951" t="s">
        <v>127</v>
      </c>
      <c r="BU26" s="952">
        <v>11.928571428571429</v>
      </c>
      <c r="BV26" s="952">
        <f t="shared" si="1"/>
        <v>-7.1428571428571175E-2</v>
      </c>
      <c r="BW26" s="953">
        <v>14</v>
      </c>
      <c r="BX26" s="954">
        <v>11.928571428571429</v>
      </c>
      <c r="BY26" s="955">
        <f t="shared" si="2"/>
        <v>-7.1428571428571175E-2</v>
      </c>
      <c r="BZ26" s="41"/>
      <c r="CA26" s="47"/>
      <c r="CB26" s="47"/>
      <c r="CC26" s="47" t="s">
        <v>127</v>
      </c>
      <c r="CD26" s="107">
        <v>12</v>
      </c>
      <c r="CE26" s="144">
        <v>11.083333333333334</v>
      </c>
      <c r="CF26" s="107">
        <v>12</v>
      </c>
      <c r="CG26" s="144">
        <f>+CE26-CF26</f>
        <v>-0.91666666666666607</v>
      </c>
      <c r="CH26" s="47"/>
      <c r="CI26" s="47"/>
      <c r="CJ26" s="956"/>
      <c r="CK26" s="957"/>
      <c r="CL26" s="956" t="s">
        <v>127</v>
      </c>
      <c r="CM26" s="958">
        <v>11.545454545454545</v>
      </c>
      <c r="CN26" s="957">
        <v>11</v>
      </c>
      <c r="CO26" s="959">
        <v>12</v>
      </c>
      <c r="CP26" s="958">
        <f t="shared" si="8"/>
        <v>-0.45454545454545503</v>
      </c>
    </row>
    <row r="27" spans="1:94">
      <c r="A27" s="41"/>
      <c r="B27" s="41"/>
      <c r="C27" s="41" t="s">
        <v>126</v>
      </c>
      <c r="D27" s="1496">
        <v>12.87</v>
      </c>
      <c r="E27" s="105">
        <v>15</v>
      </c>
      <c r="F27" s="1431">
        <f>D27-G27</f>
        <v>0.86999999999999922</v>
      </c>
      <c r="G27" s="107">
        <v>12</v>
      </c>
      <c r="I27" s="41"/>
      <c r="J27" s="41"/>
      <c r="K27" s="41" t="s">
        <v>795</v>
      </c>
      <c r="L27" s="1496">
        <v>12</v>
      </c>
      <c r="M27" s="105">
        <v>2</v>
      </c>
      <c r="N27" s="1431">
        <f t="shared" si="11"/>
        <v>0</v>
      </c>
      <c r="O27" s="107">
        <v>12</v>
      </c>
      <c r="P27" s="107"/>
      <c r="S27" s="37" t="s">
        <v>795</v>
      </c>
      <c r="T27" s="1788">
        <v>12</v>
      </c>
      <c r="U27" s="1788">
        <v>2</v>
      </c>
      <c r="V27" s="4243">
        <f t="shared" si="12"/>
        <v>0</v>
      </c>
      <c r="W27" s="4243">
        <v>12</v>
      </c>
      <c r="Y27" s="41"/>
      <c r="Z27" s="41"/>
      <c r="AA27" s="41" t="s">
        <v>795</v>
      </c>
      <c r="AB27" s="1495">
        <v>15.5</v>
      </c>
      <c r="AC27" s="105">
        <v>2</v>
      </c>
      <c r="AD27" s="144">
        <f t="shared" si="4"/>
        <v>3.5</v>
      </c>
      <c r="AE27" s="107">
        <v>12</v>
      </c>
      <c r="AF27" s="107"/>
      <c r="AG27" s="58"/>
      <c r="AH27" s="95"/>
      <c r="AI27" s="2009" t="s">
        <v>544</v>
      </c>
      <c r="AJ27" s="2010">
        <v>16.329999999999998</v>
      </c>
      <c r="AK27" s="2011">
        <v>36</v>
      </c>
      <c r="AL27" s="875">
        <f>+(AK22*AL22+AK23*AL23+AK24*AL24+AK25*AL25+AK26*AL26)/AK27</f>
        <v>4.3344444444444443</v>
      </c>
      <c r="AN27" s="107"/>
      <c r="AO27" s="107" t="s">
        <v>16</v>
      </c>
      <c r="AP27" s="47" t="s">
        <v>107</v>
      </c>
      <c r="AQ27" s="144">
        <v>15.58</v>
      </c>
      <c r="AR27" s="107">
        <v>12</v>
      </c>
      <c r="AS27" s="1456">
        <f>AQ27-12</f>
        <v>3.58</v>
      </c>
      <c r="AU27" s="1359"/>
      <c r="AV27" s="1359" t="s">
        <v>16</v>
      </c>
      <c r="AW27" s="1455" t="s">
        <v>107</v>
      </c>
      <c r="AX27" s="1456">
        <v>14.555555555555555</v>
      </c>
      <c r="AY27" s="1457">
        <v>9</v>
      </c>
      <c r="AZ27" s="1456">
        <f>AX27-12</f>
        <v>2.5555555555555554</v>
      </c>
      <c r="BB27" s="946"/>
      <c r="BC27" s="946" t="s">
        <v>41</v>
      </c>
      <c r="BD27" s="947" t="s">
        <v>129</v>
      </c>
      <c r="BE27" s="948">
        <v>13.772727272727273</v>
      </c>
      <c r="BF27" s="949">
        <v>22</v>
      </c>
      <c r="BG27" s="853">
        <f t="shared" si="13"/>
        <v>1.7727272727272734</v>
      </c>
      <c r="BI27" s="689"/>
      <c r="BJ27" s="689"/>
      <c r="BK27" s="689" t="s">
        <v>41</v>
      </c>
      <c r="BL27" s="457" t="s">
        <v>129</v>
      </c>
      <c r="BM27" s="459">
        <v>14.769230769230768</v>
      </c>
      <c r="BN27" s="458">
        <v>13</v>
      </c>
      <c r="BO27" s="765">
        <v>3.4678006035008733</v>
      </c>
      <c r="BP27" s="458">
        <f>BM27-12</f>
        <v>2.7692307692307683</v>
      </c>
      <c r="BQ27" s="41"/>
      <c r="BR27" s="950"/>
      <c r="BS27" s="950"/>
      <c r="BT27" s="951" t="s">
        <v>128</v>
      </c>
      <c r="BU27" s="952">
        <v>13</v>
      </c>
      <c r="BV27" s="952">
        <f t="shared" si="1"/>
        <v>1</v>
      </c>
      <c r="BW27" s="953">
        <v>1</v>
      </c>
      <c r="BX27" s="954">
        <v>13</v>
      </c>
      <c r="BY27" s="955">
        <f t="shared" si="2"/>
        <v>1</v>
      </c>
      <c r="BZ27" s="41"/>
      <c r="CA27" s="47"/>
      <c r="CB27" s="47"/>
      <c r="CC27" s="47" t="s">
        <v>128</v>
      </c>
      <c r="CD27" s="107">
        <v>4</v>
      </c>
      <c r="CE27" s="144">
        <v>11</v>
      </c>
      <c r="CF27" s="107">
        <v>12</v>
      </c>
      <c r="CG27" s="144">
        <f>+CE27-CF27</f>
        <v>-1</v>
      </c>
      <c r="CH27" s="47"/>
      <c r="CI27" s="47"/>
      <c r="CJ27" s="956"/>
      <c r="CK27" s="957"/>
      <c r="CL27" s="956" t="s">
        <v>128</v>
      </c>
      <c r="CM27" s="958">
        <v>12</v>
      </c>
      <c r="CN27" s="957">
        <v>1</v>
      </c>
      <c r="CO27" s="959">
        <v>12</v>
      </c>
      <c r="CP27" s="958">
        <f t="shared" si="8"/>
        <v>0</v>
      </c>
    </row>
    <row r="28" spans="1:94">
      <c r="A28" s="41"/>
      <c r="B28" s="41"/>
      <c r="C28" s="41" t="s">
        <v>127</v>
      </c>
      <c r="D28" s="1496">
        <v>18.5</v>
      </c>
      <c r="E28" s="105">
        <v>2</v>
      </c>
      <c r="F28" s="1431">
        <f>D28-G28</f>
        <v>6.5</v>
      </c>
      <c r="G28" s="107">
        <v>12</v>
      </c>
      <c r="I28" s="41"/>
      <c r="J28" s="41"/>
      <c r="K28" s="461" t="s">
        <v>544</v>
      </c>
      <c r="L28" s="1511">
        <v>16.940000000000001</v>
      </c>
      <c r="M28" s="4686">
        <v>36</v>
      </c>
      <c r="N28" s="1989">
        <f>+(M21*N21+M22*N22+M23*N23+M24*N24+M25*N25+M26*N26+M27*N27)/M28</f>
        <v>4.9461111111111116</v>
      </c>
      <c r="O28" s="107"/>
      <c r="P28" s="107"/>
      <c r="S28" s="1793" t="s">
        <v>544</v>
      </c>
      <c r="T28" s="4702">
        <v>16.25</v>
      </c>
      <c r="U28" s="4702">
        <v>24</v>
      </c>
      <c r="V28" s="4771">
        <f>+(U21*V21+U22*V22+U23*V23+U24*V24+U25*V25+U26*V26+U27*V27)/U28</f>
        <v>4.251666666666666</v>
      </c>
      <c r="Y28" s="41"/>
      <c r="Z28" s="41"/>
      <c r="AA28" s="461" t="s">
        <v>544</v>
      </c>
      <c r="AB28" s="1510">
        <v>17.02</v>
      </c>
      <c r="AC28" s="2480">
        <v>41</v>
      </c>
      <c r="AD28" s="875">
        <f>+(AC21*AD21+AC22*AD22+AC23*AD23+AC24*AD24+AC25*AD25+AC26*AD26+AC27*AD27)/AC28</f>
        <v>5.0263414634146342</v>
      </c>
      <c r="AE28" s="107"/>
      <c r="AF28" s="107"/>
      <c r="AG28" s="58"/>
      <c r="AH28" s="95" t="s">
        <v>16</v>
      </c>
      <c r="AI28" s="58" t="s">
        <v>107</v>
      </c>
      <c r="AJ28" s="912">
        <v>14.83</v>
      </c>
      <c r="AK28" s="95">
        <v>6</v>
      </c>
      <c r="AL28" s="1456">
        <f>AJ28-12</f>
        <v>2.83</v>
      </c>
      <c r="AN28" s="107"/>
      <c r="AO28" s="107"/>
      <c r="AP28" s="47" t="s">
        <v>125</v>
      </c>
      <c r="AQ28" s="144">
        <v>13.62</v>
      </c>
      <c r="AR28" s="107">
        <v>13</v>
      </c>
      <c r="AS28" s="1456">
        <f>AQ28-12</f>
        <v>1.6199999999999992</v>
      </c>
      <c r="AU28" s="1359"/>
      <c r="AV28" s="1359"/>
      <c r="AW28" s="1455" t="s">
        <v>125</v>
      </c>
      <c r="AX28" s="1456">
        <v>15.333333333333336</v>
      </c>
      <c r="AY28" s="1457">
        <v>9</v>
      </c>
      <c r="AZ28" s="1456">
        <f>AX28-12</f>
        <v>3.3333333333333357</v>
      </c>
      <c r="BB28" s="946"/>
      <c r="BC28" s="946"/>
      <c r="BD28" s="947" t="s">
        <v>130</v>
      </c>
      <c r="BE28" s="948">
        <v>13</v>
      </c>
      <c r="BF28" s="949">
        <v>8</v>
      </c>
      <c r="BG28" s="853">
        <f t="shared" si="13"/>
        <v>1</v>
      </c>
      <c r="BI28" s="689"/>
      <c r="BJ28" s="689"/>
      <c r="BK28" s="689"/>
      <c r="BL28" s="457" t="s">
        <v>130</v>
      </c>
      <c r="BM28" s="459">
        <v>16.444444444444443</v>
      </c>
      <c r="BN28" s="458">
        <v>9</v>
      </c>
      <c r="BO28" s="765">
        <v>4.585605497399202</v>
      </c>
      <c r="BP28" s="458">
        <f>BM28-12</f>
        <v>4.4444444444444429</v>
      </c>
      <c r="BQ28" s="41"/>
      <c r="BR28" s="950"/>
      <c r="BS28" s="950"/>
      <c r="BT28" s="964" t="s">
        <v>545</v>
      </c>
      <c r="BU28" s="963">
        <v>11.346938775510205</v>
      </c>
      <c r="BV28" s="963">
        <f>+(BW23*BV23+BW24*BV24+BW25*BV25+BW26*BV26+BW27*BV27)/BW28</f>
        <v>-0.65306122448979531</v>
      </c>
      <c r="BW28" s="965">
        <v>49</v>
      </c>
      <c r="BX28" s="966">
        <v>12.530612244897961</v>
      </c>
      <c r="BY28" s="967">
        <f>+(BW23*BY23+BW24*BY24+BW25*BY25+BW26*BY26+BW27*BY27)/BW28</f>
        <v>0.53061224489795922</v>
      </c>
      <c r="BZ28" s="41"/>
      <c r="CA28" s="47"/>
      <c r="CB28" s="47"/>
      <c r="CC28" s="968" t="s">
        <v>15</v>
      </c>
      <c r="CD28" s="145">
        <v>60</v>
      </c>
      <c r="CE28" s="969">
        <v>12.616666666666664</v>
      </c>
      <c r="CF28" s="145"/>
      <c r="CG28" s="969">
        <f>+(CD23*CG23+CD24*CG24+CD25*CG25+CD26*CG26+CD27*CG27)/CD28</f>
        <v>0.61666666666666659</v>
      </c>
      <c r="CH28" s="47"/>
      <c r="CI28" s="47"/>
      <c r="CJ28" s="956"/>
      <c r="CK28" s="957"/>
      <c r="CL28" s="957" t="s">
        <v>15</v>
      </c>
      <c r="CM28" s="958">
        <v>13.489361702127658</v>
      </c>
      <c r="CN28" s="957">
        <v>47</v>
      </c>
      <c r="CO28" s="959"/>
      <c r="CP28" s="971">
        <f>AVERAGE(CP23:CP27)</f>
        <v>1.1874242424242429</v>
      </c>
    </row>
    <row r="29" spans="1:94">
      <c r="A29" s="41"/>
      <c r="B29" s="41"/>
      <c r="C29" s="41" t="s">
        <v>128</v>
      </c>
      <c r="D29" s="1496">
        <v>14</v>
      </c>
      <c r="E29" s="105">
        <v>6</v>
      </c>
      <c r="F29" s="1431">
        <f>D29-G29</f>
        <v>2</v>
      </c>
      <c r="G29" s="107">
        <v>12</v>
      </c>
      <c r="I29" s="41"/>
      <c r="J29" s="41" t="s">
        <v>16</v>
      </c>
      <c r="K29" s="41" t="s">
        <v>107</v>
      </c>
      <c r="L29" s="1496">
        <v>14.69</v>
      </c>
      <c r="M29" s="105">
        <v>13</v>
      </c>
      <c r="N29" s="1431">
        <f>L29-O29</f>
        <v>2.6899999999999995</v>
      </c>
      <c r="O29" s="107">
        <v>12</v>
      </c>
      <c r="P29" s="107"/>
      <c r="R29" s="37" t="s">
        <v>16</v>
      </c>
      <c r="S29" s="37" t="s">
        <v>107</v>
      </c>
      <c r="T29" s="1788">
        <v>14.69</v>
      </c>
      <c r="U29" s="1788">
        <v>13</v>
      </c>
      <c r="V29" s="4243">
        <f t="shared" si="12"/>
        <v>2.6899999999999995</v>
      </c>
      <c r="W29" s="4243">
        <v>12</v>
      </c>
      <c r="Y29" s="41"/>
      <c r="Z29" s="41" t="s">
        <v>16</v>
      </c>
      <c r="AA29" s="41" t="s">
        <v>107</v>
      </c>
      <c r="AB29" s="1495">
        <v>14</v>
      </c>
      <c r="AC29" s="105">
        <v>8</v>
      </c>
      <c r="AD29" s="144">
        <f t="shared" si="4"/>
        <v>2</v>
      </c>
      <c r="AE29" s="107">
        <v>12</v>
      </c>
      <c r="AF29" s="107"/>
      <c r="AG29" s="58"/>
      <c r="AH29" s="95"/>
      <c r="AI29" s="58" t="s">
        <v>125</v>
      </c>
      <c r="AJ29" s="912">
        <v>16.8</v>
      </c>
      <c r="AK29" s="95">
        <v>5</v>
      </c>
      <c r="AL29" s="1456">
        <f>AJ29-12</f>
        <v>4.8000000000000007</v>
      </c>
      <c r="AN29" s="107"/>
      <c r="AO29" s="107"/>
      <c r="AP29" s="47" t="s">
        <v>126</v>
      </c>
      <c r="AQ29" s="144">
        <v>13.22</v>
      </c>
      <c r="AR29" s="107">
        <v>23</v>
      </c>
      <c r="AS29" s="1456">
        <f>AQ29-9</f>
        <v>4.2200000000000006</v>
      </c>
      <c r="AU29" s="1359"/>
      <c r="AV29" s="1359"/>
      <c r="AW29" s="1455" t="s">
        <v>126</v>
      </c>
      <c r="AX29" s="1456">
        <v>12.411764705882353</v>
      </c>
      <c r="AY29" s="1457">
        <v>17</v>
      </c>
      <c r="AZ29" s="1456">
        <f>AX29-9</f>
        <v>3.4117647058823533</v>
      </c>
      <c r="BB29" s="946"/>
      <c r="BC29" s="946"/>
      <c r="BD29" s="947" t="s">
        <v>333</v>
      </c>
      <c r="BE29" s="948">
        <v>15.125</v>
      </c>
      <c r="BF29" s="949">
        <v>8</v>
      </c>
      <c r="BG29" s="853">
        <f t="shared" si="13"/>
        <v>3.125</v>
      </c>
      <c r="BI29" s="689"/>
      <c r="BJ29" s="689"/>
      <c r="BK29" s="689"/>
      <c r="BL29" s="457" t="s">
        <v>333</v>
      </c>
      <c r="BM29" s="459">
        <v>14</v>
      </c>
      <c r="BN29" s="458">
        <v>11</v>
      </c>
      <c r="BO29" s="765">
        <v>2.7568097504180447</v>
      </c>
      <c r="BP29" s="458">
        <f>BM29-9</f>
        <v>5</v>
      </c>
      <c r="BQ29" s="41"/>
      <c r="BR29" s="950"/>
      <c r="BS29" s="950" t="s">
        <v>41</v>
      </c>
      <c r="BT29" s="951" t="s">
        <v>129</v>
      </c>
      <c r="BU29" s="952">
        <v>14.666666666666666</v>
      </c>
      <c r="BV29" s="952">
        <f t="shared" si="1"/>
        <v>2.6666666666666661</v>
      </c>
      <c r="BW29" s="953">
        <v>15</v>
      </c>
      <c r="BX29" s="954">
        <v>14.866666666666669</v>
      </c>
      <c r="BY29" s="955">
        <f t="shared" si="2"/>
        <v>2.8666666666666689</v>
      </c>
      <c r="BZ29" s="41"/>
      <c r="CA29" s="47"/>
      <c r="CB29" s="47" t="s">
        <v>41</v>
      </c>
      <c r="CC29" s="47" t="s">
        <v>129</v>
      </c>
      <c r="CD29" s="107">
        <v>17</v>
      </c>
      <c r="CE29" s="144">
        <v>15.588235294117643</v>
      </c>
      <c r="CF29" s="107">
        <v>12</v>
      </c>
      <c r="CG29" s="144">
        <f>+CE29-CF29</f>
        <v>3.5882352941176432</v>
      </c>
      <c r="CH29" s="970">
        <f>AVERAGE(CG29:CG31)</f>
        <v>7.1405228758169912</v>
      </c>
      <c r="CI29" s="47"/>
      <c r="CJ29" s="956"/>
      <c r="CK29" s="957" t="s">
        <v>41</v>
      </c>
      <c r="CL29" s="956" t="s">
        <v>129</v>
      </c>
      <c r="CM29" s="958">
        <v>13.263157894736844</v>
      </c>
      <c r="CN29" s="957">
        <v>19</v>
      </c>
      <c r="CO29" s="959">
        <v>12</v>
      </c>
      <c r="CP29" s="958">
        <f t="shared" si="8"/>
        <v>1.2631578947368443</v>
      </c>
    </row>
    <row r="30" spans="1:94">
      <c r="A30" s="41"/>
      <c r="B30" s="41"/>
      <c r="C30" s="461" t="s">
        <v>545</v>
      </c>
      <c r="D30" s="1511">
        <v>13.58</v>
      </c>
      <c r="E30" s="5501">
        <v>24</v>
      </c>
      <c r="F30" s="1989">
        <f>+(E26*F26+E27*F27+E28*F28+E29*F29)/E30</f>
        <v>1.5854166666666663</v>
      </c>
      <c r="I30" s="41"/>
      <c r="J30" s="41"/>
      <c r="K30" s="41" t="s">
        <v>125</v>
      </c>
      <c r="L30" s="1496">
        <v>13</v>
      </c>
      <c r="M30" s="105">
        <v>2</v>
      </c>
      <c r="N30" s="1431">
        <f>L30-O30</f>
        <v>1</v>
      </c>
      <c r="O30" s="107">
        <v>12</v>
      </c>
      <c r="P30" s="107"/>
      <c r="S30" s="37" t="s">
        <v>125</v>
      </c>
      <c r="T30" s="1788">
        <v>13</v>
      </c>
      <c r="U30" s="1788">
        <v>2</v>
      </c>
      <c r="V30" s="4243">
        <f t="shared" si="12"/>
        <v>1</v>
      </c>
      <c r="W30" s="4243">
        <v>12</v>
      </c>
      <c r="Y30" s="41"/>
      <c r="Z30" s="41"/>
      <c r="AA30" s="41" t="s">
        <v>125</v>
      </c>
      <c r="AB30" s="1495">
        <v>11.88</v>
      </c>
      <c r="AC30" s="105">
        <v>25</v>
      </c>
      <c r="AD30" s="144">
        <f t="shared" si="4"/>
        <v>-0.11999999999999922</v>
      </c>
      <c r="AE30" s="107">
        <v>12</v>
      </c>
      <c r="AF30" s="107"/>
      <c r="AG30" s="58"/>
      <c r="AH30" s="95"/>
      <c r="AI30" s="58" t="s">
        <v>126</v>
      </c>
      <c r="AJ30" s="912">
        <v>13.93</v>
      </c>
      <c r="AK30" s="95">
        <v>15</v>
      </c>
      <c r="AL30" s="1456">
        <f>AJ30-12</f>
        <v>1.9299999999999997</v>
      </c>
      <c r="AN30" s="107"/>
      <c r="AO30" s="107"/>
      <c r="AP30" s="47" t="s">
        <v>127</v>
      </c>
      <c r="AQ30" s="144">
        <v>12.2</v>
      </c>
      <c r="AR30" s="107">
        <v>15</v>
      </c>
      <c r="AS30" s="1456">
        <f>AQ30-12</f>
        <v>0.19999999999999929</v>
      </c>
      <c r="AU30" s="1359"/>
      <c r="AV30" s="1359"/>
      <c r="AW30" s="1455" t="s">
        <v>127</v>
      </c>
      <c r="AX30" s="1456">
        <v>14.5</v>
      </c>
      <c r="AY30" s="1457">
        <v>2</v>
      </c>
      <c r="AZ30" s="1456">
        <f>AX30-12</f>
        <v>2.5</v>
      </c>
      <c r="BB30" s="946"/>
      <c r="BC30" s="946"/>
      <c r="BD30" s="960" t="s">
        <v>547</v>
      </c>
      <c r="BE30" s="961">
        <v>13.894736842105264</v>
      </c>
      <c r="BF30" s="962">
        <v>38</v>
      </c>
      <c r="BG30" s="875">
        <f t="shared" si="13"/>
        <v>1.8947368421052637</v>
      </c>
      <c r="BI30" s="689"/>
      <c r="BJ30" s="689"/>
      <c r="BK30" s="689"/>
      <c r="BL30" s="784" t="s">
        <v>547</v>
      </c>
      <c r="BM30" s="462">
        <v>14.969696969696971</v>
      </c>
      <c r="BN30" s="463">
        <v>33</v>
      </c>
      <c r="BO30" s="785">
        <v>3.6183978540651172</v>
      </c>
      <c r="BP30" s="963">
        <f>+(BN27*BP27+BN28*BP28+BN29*BP29)/BN30</f>
        <v>3.9696969696969688</v>
      </c>
      <c r="BQ30" s="41"/>
      <c r="BR30" s="950"/>
      <c r="BS30" s="950"/>
      <c r="BT30" s="951" t="s">
        <v>130</v>
      </c>
      <c r="BU30" s="952">
        <v>15.333333333333334</v>
      </c>
      <c r="BV30" s="952">
        <f t="shared" si="1"/>
        <v>3.3333333333333339</v>
      </c>
      <c r="BW30" s="953">
        <v>9</v>
      </c>
      <c r="BX30" s="954">
        <v>15.333333333333334</v>
      </c>
      <c r="BY30" s="955">
        <f t="shared" si="2"/>
        <v>3.3333333333333339</v>
      </c>
      <c r="BZ30" s="41"/>
      <c r="CA30" s="47"/>
      <c r="CB30" s="47"/>
      <c r="CC30" s="47" t="s">
        <v>130</v>
      </c>
      <c r="CD30" s="107">
        <v>4</v>
      </c>
      <c r="CE30" s="144">
        <v>16.5</v>
      </c>
      <c r="CF30" s="107">
        <v>12</v>
      </c>
      <c r="CG30" s="144">
        <f>+CE30-CF30</f>
        <v>4.5</v>
      </c>
      <c r="CH30" s="47"/>
      <c r="CI30" s="47"/>
      <c r="CJ30" s="956"/>
      <c r="CK30" s="957"/>
      <c r="CL30" s="956" t="s">
        <v>846</v>
      </c>
      <c r="CM30" s="958">
        <v>19</v>
      </c>
      <c r="CN30" s="957">
        <v>8</v>
      </c>
      <c r="CO30" s="959">
        <v>9</v>
      </c>
      <c r="CP30" s="958">
        <f t="shared" si="8"/>
        <v>10</v>
      </c>
    </row>
    <row r="31" spans="1:94">
      <c r="A31" s="41"/>
      <c r="B31" s="41" t="s">
        <v>41</v>
      </c>
      <c r="C31" s="41" t="s">
        <v>129</v>
      </c>
      <c r="D31" s="1496">
        <v>12.83</v>
      </c>
      <c r="E31" s="105">
        <v>6</v>
      </c>
      <c r="F31" s="1431">
        <f>D31-G31</f>
        <v>0.83000000000000007</v>
      </c>
      <c r="G31" s="107">
        <v>12</v>
      </c>
      <c r="I31" s="41"/>
      <c r="J31" s="41"/>
      <c r="K31" s="41" t="s">
        <v>126</v>
      </c>
      <c r="L31" s="1496">
        <v>13.35</v>
      </c>
      <c r="M31" s="105">
        <v>26</v>
      </c>
      <c r="N31" s="1431">
        <f>L31-O31</f>
        <v>1.3499999999999996</v>
      </c>
      <c r="O31" s="107">
        <v>12</v>
      </c>
      <c r="P31" s="107"/>
      <c r="S31" s="37" t="s">
        <v>126</v>
      </c>
      <c r="T31" s="1788">
        <v>13.64</v>
      </c>
      <c r="U31" s="1788">
        <v>14</v>
      </c>
      <c r="V31" s="4243">
        <f t="shared" si="12"/>
        <v>1.6400000000000006</v>
      </c>
      <c r="W31" s="4243">
        <v>12</v>
      </c>
      <c r="Y31" s="41"/>
      <c r="Z31" s="41"/>
      <c r="AA31" s="41" t="s">
        <v>126</v>
      </c>
      <c r="AB31" s="1495">
        <v>13.36</v>
      </c>
      <c r="AC31" s="105">
        <v>14</v>
      </c>
      <c r="AD31" s="144">
        <f t="shared" si="4"/>
        <v>1.3599999999999994</v>
      </c>
      <c r="AE31" s="107">
        <v>12</v>
      </c>
      <c r="AF31" s="107"/>
      <c r="AG31" s="58"/>
      <c r="AH31" s="95"/>
      <c r="AI31" s="58" t="s">
        <v>127</v>
      </c>
      <c r="AJ31" s="912">
        <v>12.86</v>
      </c>
      <c r="AK31" s="95">
        <v>7</v>
      </c>
      <c r="AL31" s="1456">
        <f>AJ31-12</f>
        <v>0.85999999999999943</v>
      </c>
      <c r="AN31" s="107"/>
      <c r="AO31" s="107"/>
      <c r="AP31" s="47" t="s">
        <v>128</v>
      </c>
      <c r="AQ31" s="144">
        <v>14.75</v>
      </c>
      <c r="AR31" s="107">
        <v>4</v>
      </c>
      <c r="AS31" s="1456">
        <f>AQ31-12</f>
        <v>2.75</v>
      </c>
      <c r="AU31" s="1359"/>
      <c r="AV31" s="1359"/>
      <c r="AW31" s="1455" t="s">
        <v>128</v>
      </c>
      <c r="AX31" s="1456">
        <v>15</v>
      </c>
      <c r="AY31" s="1457">
        <v>3</v>
      </c>
      <c r="AZ31" s="1456">
        <f>AX31-12</f>
        <v>3</v>
      </c>
      <c r="BB31" s="946"/>
      <c r="BC31" s="946"/>
      <c r="BD31" s="972" t="s">
        <v>110</v>
      </c>
      <c r="BE31" s="973">
        <v>14.131578947368416</v>
      </c>
      <c r="BF31" s="974">
        <v>152</v>
      </c>
      <c r="BG31" s="899">
        <f t="shared" si="13"/>
        <v>2.1315789473684159</v>
      </c>
      <c r="BI31" s="689"/>
      <c r="BJ31" s="689"/>
      <c r="BK31" s="689"/>
      <c r="BL31" s="878" t="s">
        <v>110</v>
      </c>
      <c r="BM31" s="879">
        <v>13.765217391304342</v>
      </c>
      <c r="BN31" s="880">
        <v>115</v>
      </c>
      <c r="BO31" s="881">
        <v>3.8918052339039564</v>
      </c>
      <c r="BP31" s="975">
        <f>+(BN20*BP20+BN26*BP26+BN30*BP30)/BN31</f>
        <v>2.0521739130434788</v>
      </c>
      <c r="BQ31" s="41"/>
      <c r="BR31" s="950"/>
      <c r="BS31" s="950"/>
      <c r="BT31" s="951" t="s">
        <v>333</v>
      </c>
      <c r="BU31" s="952">
        <v>13.875</v>
      </c>
      <c r="BV31" s="952">
        <f t="shared" si="1"/>
        <v>4.875</v>
      </c>
      <c r="BW31" s="953">
        <v>8</v>
      </c>
      <c r="BX31" s="954">
        <v>15.375</v>
      </c>
      <c r="BY31" s="955">
        <f t="shared" si="2"/>
        <v>6.375</v>
      </c>
      <c r="BZ31" s="41"/>
      <c r="CA31" s="47"/>
      <c r="CB31" s="47"/>
      <c r="CC31" s="47" t="s">
        <v>333</v>
      </c>
      <c r="CD31" s="107">
        <v>9</v>
      </c>
      <c r="CE31" s="144">
        <v>22.333333333333332</v>
      </c>
      <c r="CF31" s="107">
        <v>9</v>
      </c>
      <c r="CG31" s="144">
        <f>+CE31-CF31</f>
        <v>13.333333333333332</v>
      </c>
      <c r="CH31" s="47"/>
      <c r="CI31" s="47"/>
      <c r="CJ31" s="956"/>
      <c r="CK31" s="957"/>
      <c r="CL31" s="956" t="s">
        <v>130</v>
      </c>
      <c r="CM31" s="958">
        <v>16</v>
      </c>
      <c r="CN31" s="957">
        <v>4</v>
      </c>
      <c r="CO31" s="959">
        <v>12</v>
      </c>
      <c r="CP31" s="958">
        <f t="shared" si="8"/>
        <v>4</v>
      </c>
    </row>
    <row r="32" spans="1:94">
      <c r="A32" s="41"/>
      <c r="B32" s="41"/>
      <c r="C32" s="41" t="s">
        <v>130</v>
      </c>
      <c r="D32" s="1496">
        <v>11</v>
      </c>
      <c r="E32" s="105">
        <v>1</v>
      </c>
      <c r="F32" s="1431">
        <f>D32-G32</f>
        <v>-1</v>
      </c>
      <c r="G32" s="107">
        <v>12</v>
      </c>
      <c r="I32" s="41"/>
      <c r="J32" s="41"/>
      <c r="K32" s="41" t="s">
        <v>127</v>
      </c>
      <c r="L32" s="1496">
        <v>14.29</v>
      </c>
      <c r="M32" s="105">
        <v>7</v>
      </c>
      <c r="N32" s="1431">
        <f>L32-O32</f>
        <v>2.2899999999999991</v>
      </c>
      <c r="O32" s="107">
        <v>12</v>
      </c>
      <c r="P32" s="107"/>
      <c r="S32" s="37" t="s">
        <v>127</v>
      </c>
      <c r="T32" s="1788">
        <v>14.17</v>
      </c>
      <c r="U32" s="1788">
        <v>6</v>
      </c>
      <c r="V32" s="4243">
        <f t="shared" si="12"/>
        <v>2.17</v>
      </c>
      <c r="W32" s="4243">
        <v>12</v>
      </c>
      <c r="Y32" s="41"/>
      <c r="Z32" s="41"/>
      <c r="AA32" s="41" t="s">
        <v>127</v>
      </c>
      <c r="AB32" s="1495">
        <v>13.94</v>
      </c>
      <c r="AC32" s="105">
        <v>18</v>
      </c>
      <c r="AD32" s="144">
        <f t="shared" si="4"/>
        <v>1.9399999999999995</v>
      </c>
      <c r="AE32" s="107">
        <v>12</v>
      </c>
      <c r="AF32" s="107"/>
      <c r="AG32" s="58"/>
      <c r="AH32" s="95"/>
      <c r="AI32" s="58" t="s">
        <v>128</v>
      </c>
      <c r="AJ32" s="912">
        <v>16.670000000000002</v>
      </c>
      <c r="AK32" s="95">
        <v>12</v>
      </c>
      <c r="AL32" s="1456">
        <f>AJ32-12</f>
        <v>4.6700000000000017</v>
      </c>
      <c r="AN32" s="107"/>
      <c r="AO32" s="107"/>
      <c r="AP32" s="968" t="s">
        <v>545</v>
      </c>
      <c r="AQ32" s="969">
        <v>13.58</v>
      </c>
      <c r="AR32" s="145">
        <v>67</v>
      </c>
      <c r="AS32" s="875">
        <f>+(AR27*AS27+AR28*AS28+AR29*AS29+AR30*AS30+AR31*AS31)/AR32</f>
        <v>2.6131343283582087</v>
      </c>
      <c r="AU32" s="1359"/>
      <c r="AV32" s="1359"/>
      <c r="AW32" s="1458" t="s">
        <v>545</v>
      </c>
      <c r="AX32" s="1459">
        <v>13.850000000000003</v>
      </c>
      <c r="AY32" s="1460">
        <v>40</v>
      </c>
      <c r="AZ32" s="875">
        <f>+(AY27*AZ27+AY28*AZ28+AY29*AZ29+AY30*AZ30+AY31*AZ31)/AY32</f>
        <v>3.1250000000000009</v>
      </c>
      <c r="BB32" s="946" t="s">
        <v>48</v>
      </c>
      <c r="BC32" s="946" t="s">
        <v>16</v>
      </c>
      <c r="BD32" s="947" t="s">
        <v>144</v>
      </c>
      <c r="BE32" s="948">
        <v>13.111111111111112</v>
      </c>
      <c r="BF32" s="949">
        <v>18</v>
      </c>
      <c r="BG32" s="853">
        <f t="shared" si="13"/>
        <v>1.1111111111111125</v>
      </c>
      <c r="BI32" s="689"/>
      <c r="BJ32" s="689" t="s">
        <v>48</v>
      </c>
      <c r="BK32" s="689" t="s">
        <v>16</v>
      </c>
      <c r="BL32" s="457" t="s">
        <v>144</v>
      </c>
      <c r="BM32" s="459">
        <v>13.136363636363635</v>
      </c>
      <c r="BN32" s="458">
        <v>22</v>
      </c>
      <c r="BO32" s="765">
        <v>2.7132032473576064</v>
      </c>
      <c r="BP32" s="458">
        <f>BM32-12</f>
        <v>1.1363636363636349</v>
      </c>
      <c r="BQ32" s="41"/>
      <c r="BR32" s="950"/>
      <c r="BS32" s="950"/>
      <c r="BT32" s="964" t="s">
        <v>547</v>
      </c>
      <c r="BU32" s="963">
        <v>14.656249999999998</v>
      </c>
      <c r="BV32" s="963">
        <f>+(BW29*BV29+BW30*BV30+BW31*BV31)/BW32</f>
        <v>3.40625</v>
      </c>
      <c r="BW32" s="965">
        <v>32</v>
      </c>
      <c r="BX32" s="966">
        <v>15.125</v>
      </c>
      <c r="BY32" s="967">
        <f>+(BW29*BY29+BW30*BY30+BW31*BY31)/BW32</f>
        <v>3.8750000000000013</v>
      </c>
      <c r="BZ32" s="41"/>
      <c r="CA32" s="47"/>
      <c r="CB32" s="47"/>
      <c r="CC32" s="968" t="s">
        <v>15</v>
      </c>
      <c r="CD32" s="145">
        <v>30</v>
      </c>
      <c r="CE32" s="969">
        <v>17.733333333333331</v>
      </c>
      <c r="CF32" s="145"/>
      <c r="CG32" s="969">
        <f>+(CD29*CG29+CD30*CG30+CD31*CG31)/CD32</f>
        <v>6.6333333333333311</v>
      </c>
      <c r="CH32" s="47"/>
      <c r="CI32" s="47"/>
      <c r="CJ32" s="956"/>
      <c r="CK32" s="957"/>
      <c r="CL32" s="957" t="s">
        <v>15</v>
      </c>
      <c r="CM32" s="958">
        <v>15.096774193548388</v>
      </c>
      <c r="CN32" s="957">
        <v>31</v>
      </c>
      <c r="CO32" s="959"/>
      <c r="CP32" s="971">
        <f>AVERAGE(CP29:CP31)</f>
        <v>5.0877192982456148</v>
      </c>
    </row>
    <row r="33" spans="1:94">
      <c r="A33" s="41"/>
      <c r="B33" s="41"/>
      <c r="C33" s="41" t="s">
        <v>333</v>
      </c>
      <c r="D33" s="1496">
        <v>17.5</v>
      </c>
      <c r="E33" s="105">
        <v>4</v>
      </c>
      <c r="F33" s="1431">
        <f>D33-G33</f>
        <v>5.5</v>
      </c>
      <c r="G33" s="107">
        <v>12</v>
      </c>
      <c r="I33" s="41"/>
      <c r="J33" s="41"/>
      <c r="K33" s="41" t="s">
        <v>128</v>
      </c>
      <c r="L33" s="1496">
        <v>14.5</v>
      </c>
      <c r="M33" s="105">
        <v>8</v>
      </c>
      <c r="N33" s="1431">
        <f>L33-O33</f>
        <v>2.5</v>
      </c>
      <c r="O33" s="107">
        <v>12</v>
      </c>
      <c r="P33" s="107"/>
      <c r="S33" s="37" t="s">
        <v>128</v>
      </c>
      <c r="T33" s="1788">
        <v>16.329999999999998</v>
      </c>
      <c r="U33" s="1788">
        <v>3</v>
      </c>
      <c r="V33" s="4243">
        <f t="shared" si="12"/>
        <v>4.3299999999999983</v>
      </c>
      <c r="W33" s="4243">
        <v>12</v>
      </c>
      <c r="Y33" s="41"/>
      <c r="Z33" s="41"/>
      <c r="AA33" s="41" t="s">
        <v>128</v>
      </c>
      <c r="AB33" s="1495">
        <v>12.33</v>
      </c>
      <c r="AC33" s="105">
        <v>3</v>
      </c>
      <c r="AD33" s="144">
        <f t="shared" si="4"/>
        <v>0.33000000000000007</v>
      </c>
      <c r="AE33" s="107">
        <v>12</v>
      </c>
      <c r="AF33" s="107"/>
      <c r="AG33" s="58"/>
      <c r="AH33" s="95"/>
      <c r="AI33" s="2009" t="s">
        <v>545</v>
      </c>
      <c r="AJ33" s="2010">
        <v>14.93</v>
      </c>
      <c r="AK33" s="2011">
        <v>45</v>
      </c>
      <c r="AL33" s="875">
        <f>+(AK28*AL28+AK29*AL29+AK30*AL30+AK31*AL31+AK32*AL32)/AK33</f>
        <v>2.9331111111111112</v>
      </c>
      <c r="AN33" s="107"/>
      <c r="AO33" s="107" t="s">
        <v>41</v>
      </c>
      <c r="AP33" s="47" t="s">
        <v>129</v>
      </c>
      <c r="AQ33" s="144">
        <v>14.5</v>
      </c>
      <c r="AR33" s="107">
        <v>14</v>
      </c>
      <c r="AS33" s="1456">
        <f>AQ33-12</f>
        <v>2.5</v>
      </c>
      <c r="AU33" s="1359"/>
      <c r="AV33" s="1359" t="s">
        <v>41</v>
      </c>
      <c r="AW33" s="1455" t="s">
        <v>129</v>
      </c>
      <c r="AX33" s="1456">
        <v>13.714285714285714</v>
      </c>
      <c r="AY33" s="1457">
        <v>14</v>
      </c>
      <c r="AZ33" s="1456">
        <f>AX33-12</f>
        <v>1.7142857142857135</v>
      </c>
      <c r="BB33" s="946"/>
      <c r="BC33" s="946"/>
      <c r="BD33" s="947" t="s">
        <v>128</v>
      </c>
      <c r="BE33" s="948">
        <v>12</v>
      </c>
      <c r="BF33" s="949">
        <v>2</v>
      </c>
      <c r="BG33" s="853">
        <f t="shared" si="13"/>
        <v>0</v>
      </c>
      <c r="BI33" s="689"/>
      <c r="BJ33" s="689"/>
      <c r="BK33" s="689"/>
      <c r="BL33" s="457" t="s">
        <v>128</v>
      </c>
      <c r="BM33" s="459">
        <v>13.75</v>
      </c>
      <c r="BN33" s="458">
        <v>4</v>
      </c>
      <c r="BO33" s="765">
        <v>2.8722813232690143</v>
      </c>
      <c r="BP33" s="458">
        <f>BM33-12</f>
        <v>1.75</v>
      </c>
      <c r="BQ33" s="41"/>
      <c r="BR33" s="976"/>
      <c r="BS33" s="976"/>
      <c r="BT33" s="977"/>
      <c r="BU33" s="977"/>
      <c r="BV33" s="977"/>
      <c r="BW33" s="977"/>
      <c r="BX33" s="977"/>
      <c r="BY33" s="977"/>
      <c r="BZ33" s="41"/>
      <c r="CA33" s="978"/>
      <c r="CB33" s="978"/>
      <c r="CC33" s="979"/>
      <c r="CD33" s="980"/>
      <c r="CE33" s="981"/>
      <c r="CF33" s="980"/>
      <c r="CG33" s="981"/>
      <c r="CH33" s="970">
        <f>AVERAGE(CG34:CG36)</f>
        <v>5.7142857142859311E-3</v>
      </c>
      <c r="CI33" s="47"/>
      <c r="CJ33" s="956"/>
      <c r="CK33" s="957"/>
      <c r="CL33" s="982" t="s">
        <v>110</v>
      </c>
      <c r="CM33" s="971">
        <v>15.52631578947369</v>
      </c>
      <c r="CN33" s="983">
        <v>114</v>
      </c>
      <c r="CO33" s="959"/>
      <c r="CP33" s="971">
        <f>AVERAGE(CP22,CP28,CP32)</f>
        <v>3.753541112883219</v>
      </c>
    </row>
    <row r="34" spans="1:94">
      <c r="A34" s="41"/>
      <c r="B34" s="41"/>
      <c r="C34" s="461" t="s">
        <v>547</v>
      </c>
      <c r="D34" s="1511">
        <v>14.36</v>
      </c>
      <c r="E34" s="5501">
        <v>11</v>
      </c>
      <c r="F34" s="1989">
        <f>+(E31*F31+E32*F32+E33*F33)/E34</f>
        <v>2.3618181818181818</v>
      </c>
      <c r="I34" s="41"/>
      <c r="J34" s="41"/>
      <c r="K34" s="461" t="s">
        <v>545</v>
      </c>
      <c r="L34" s="1511">
        <v>13.93</v>
      </c>
      <c r="M34" s="4686">
        <v>56</v>
      </c>
      <c r="N34" s="1989">
        <f>+(M29*N29+M30*N30+M31*N31+M32*N32+M33*N33)/M34</f>
        <v>1.9303571428571427</v>
      </c>
      <c r="O34" s="107"/>
      <c r="P34" s="107"/>
      <c r="S34" s="1793" t="s">
        <v>545</v>
      </c>
      <c r="T34" s="4702">
        <v>14.26</v>
      </c>
      <c r="U34" s="4702">
        <v>38</v>
      </c>
      <c r="V34" s="4771">
        <f>+(U29*V29+U30*V30+U31*V31+U32*V32+U33*V33)/U34</f>
        <v>2.2615789473684211</v>
      </c>
      <c r="Y34" s="41"/>
      <c r="Z34" s="41"/>
      <c r="AA34" s="461" t="s">
        <v>545</v>
      </c>
      <c r="AB34" s="1510">
        <v>13</v>
      </c>
      <c r="AC34" s="2480">
        <v>68</v>
      </c>
      <c r="AD34" s="875">
        <f>+(AC29*AD29+AC30*AD30+AC31*AD31+AC32*AD32+AC33*AD33)/AC34</f>
        <v>0.99926470588235294</v>
      </c>
      <c r="AE34" s="107"/>
      <c r="AF34" s="107"/>
      <c r="AG34" s="58"/>
      <c r="AH34" s="95" t="s">
        <v>41</v>
      </c>
      <c r="AI34" s="58" t="s">
        <v>129</v>
      </c>
      <c r="AJ34" s="912">
        <v>16.07</v>
      </c>
      <c r="AK34" s="95">
        <v>14</v>
      </c>
      <c r="AL34" s="1456">
        <f>AJ34-12</f>
        <v>4.07</v>
      </c>
      <c r="AN34" s="107"/>
      <c r="AO34" s="107"/>
      <c r="AP34" s="47" t="s">
        <v>130</v>
      </c>
      <c r="AQ34" s="144">
        <v>13.33</v>
      </c>
      <c r="AR34" s="107">
        <v>12</v>
      </c>
      <c r="AS34" s="1456">
        <f>AQ34-12</f>
        <v>1.33</v>
      </c>
      <c r="AU34" s="1359"/>
      <c r="AV34" s="1359"/>
      <c r="AW34" s="1455" t="s">
        <v>130</v>
      </c>
      <c r="AX34" s="1456">
        <v>16.642857142857142</v>
      </c>
      <c r="AY34" s="1457">
        <v>14</v>
      </c>
      <c r="AZ34" s="1456">
        <f>AX34-12</f>
        <v>4.6428571428571423</v>
      </c>
      <c r="BB34" s="946"/>
      <c r="BC34" s="946"/>
      <c r="BD34" s="947" t="s">
        <v>111</v>
      </c>
      <c r="BE34" s="948">
        <v>11.833333333333334</v>
      </c>
      <c r="BF34" s="949">
        <v>6</v>
      </c>
      <c r="BG34" s="853">
        <f t="shared" si="13"/>
        <v>-0.16666666666666607</v>
      </c>
      <c r="BI34" s="689"/>
      <c r="BJ34" s="689"/>
      <c r="BK34" s="689"/>
      <c r="BL34" s="457" t="s">
        <v>111</v>
      </c>
      <c r="BM34" s="459">
        <v>11</v>
      </c>
      <c r="BN34" s="458">
        <v>4</v>
      </c>
      <c r="BO34" s="765">
        <v>2</v>
      </c>
      <c r="BP34" s="458">
        <f>BM34-12</f>
        <v>-1</v>
      </c>
      <c r="BQ34" s="41"/>
      <c r="BR34" s="950" t="s">
        <v>48</v>
      </c>
      <c r="BS34" s="950" t="s">
        <v>16</v>
      </c>
      <c r="BT34" s="951" t="s">
        <v>144</v>
      </c>
      <c r="BU34" s="952">
        <v>12.375000000000002</v>
      </c>
      <c r="BV34" s="952">
        <f t="shared" si="1"/>
        <v>0.37500000000000178</v>
      </c>
      <c r="BW34" s="953">
        <v>16</v>
      </c>
      <c r="BX34" s="954">
        <v>12.8125</v>
      </c>
      <c r="BY34" s="955">
        <f t="shared" si="2"/>
        <v>0.8125</v>
      </c>
      <c r="BZ34" s="41"/>
      <c r="CA34" s="47" t="s">
        <v>48</v>
      </c>
      <c r="CB34" s="47" t="s">
        <v>16</v>
      </c>
      <c r="CC34" s="47" t="s">
        <v>144</v>
      </c>
      <c r="CD34" s="107">
        <v>25</v>
      </c>
      <c r="CE34" s="144">
        <v>13.16</v>
      </c>
      <c r="CF34" s="107">
        <v>12</v>
      </c>
      <c r="CG34" s="144">
        <f>+CE34-CF34</f>
        <v>1.1600000000000001</v>
      </c>
      <c r="CH34" s="47"/>
      <c r="CI34" s="47"/>
      <c r="CJ34" s="956" t="s">
        <v>48</v>
      </c>
      <c r="CK34" s="957" t="s">
        <v>16</v>
      </c>
      <c r="CL34" s="956" t="s">
        <v>144</v>
      </c>
      <c r="CM34" s="958">
        <v>13.256410256410255</v>
      </c>
      <c r="CN34" s="957">
        <v>39</v>
      </c>
      <c r="CO34" s="959">
        <v>12</v>
      </c>
      <c r="CP34" s="958">
        <f t="shared" ref="CP34:CP39" si="14">CM34-CO34</f>
        <v>1.2564102564102555</v>
      </c>
    </row>
    <row r="35" spans="1:94">
      <c r="A35" s="5527"/>
      <c r="B35" s="5527"/>
      <c r="C35" s="5488" t="s">
        <v>110</v>
      </c>
      <c r="D35" s="5528">
        <v>15.18</v>
      </c>
      <c r="E35" s="5489">
        <v>50</v>
      </c>
      <c r="F35" s="4793">
        <f>+(E25*F25+E30*F30+E34*F34)/E35</f>
        <v>3.1807999999999996</v>
      </c>
      <c r="G35" s="4639"/>
      <c r="I35" s="41"/>
      <c r="J35" s="41" t="s">
        <v>41</v>
      </c>
      <c r="K35" s="41" t="s">
        <v>129</v>
      </c>
      <c r="L35" s="1496">
        <v>15.67</v>
      </c>
      <c r="M35" s="105">
        <v>12</v>
      </c>
      <c r="N35" s="1431">
        <f>L35-O35</f>
        <v>3.67</v>
      </c>
      <c r="O35" s="107">
        <v>12</v>
      </c>
      <c r="P35" s="107"/>
      <c r="R35" s="37" t="s">
        <v>41</v>
      </c>
      <c r="S35" s="37" t="s">
        <v>129</v>
      </c>
      <c r="T35" s="1788">
        <v>16.78</v>
      </c>
      <c r="U35" s="1788">
        <v>9</v>
      </c>
      <c r="V35" s="4243">
        <f t="shared" si="12"/>
        <v>4.7800000000000011</v>
      </c>
      <c r="W35" s="4243">
        <v>12</v>
      </c>
      <c r="Y35" s="41"/>
      <c r="Z35" s="41" t="s">
        <v>41</v>
      </c>
      <c r="AA35" s="41" t="s">
        <v>129</v>
      </c>
      <c r="AB35" s="1495">
        <v>14.55</v>
      </c>
      <c r="AC35" s="105">
        <v>20</v>
      </c>
      <c r="AD35" s="144">
        <f t="shared" si="4"/>
        <v>2.5500000000000007</v>
      </c>
      <c r="AE35" s="107">
        <v>12</v>
      </c>
      <c r="AF35" s="107"/>
      <c r="AG35" s="58"/>
      <c r="AH35" s="95"/>
      <c r="AI35" s="58" t="s">
        <v>130</v>
      </c>
      <c r="AJ35" s="912">
        <v>16</v>
      </c>
      <c r="AK35" s="95">
        <v>15</v>
      </c>
      <c r="AL35" s="1456">
        <f>AJ35-12</f>
        <v>4</v>
      </c>
      <c r="AN35" s="107"/>
      <c r="AO35" s="107"/>
      <c r="AP35" s="47" t="s">
        <v>333</v>
      </c>
      <c r="AQ35" s="144">
        <v>14.57</v>
      </c>
      <c r="AR35" s="107">
        <v>7</v>
      </c>
      <c r="AS35" s="1456">
        <f>AQ35-12</f>
        <v>2.5700000000000003</v>
      </c>
      <c r="AU35" s="1359"/>
      <c r="AV35" s="1359"/>
      <c r="AW35" s="1455" t="s">
        <v>333</v>
      </c>
      <c r="AX35" s="1456">
        <v>13.916666666666668</v>
      </c>
      <c r="AY35" s="1457">
        <v>12</v>
      </c>
      <c r="AZ35" s="1456">
        <f>AX35-12</f>
        <v>1.9166666666666679</v>
      </c>
      <c r="BB35" s="946"/>
      <c r="BC35" s="946"/>
      <c r="BD35" s="960" t="s">
        <v>545</v>
      </c>
      <c r="BE35" s="961">
        <v>12.730769230769226</v>
      </c>
      <c r="BF35" s="962">
        <v>26</v>
      </c>
      <c r="BG35" s="875">
        <f t="shared" si="13"/>
        <v>0.7307692307692264</v>
      </c>
      <c r="BI35" s="689"/>
      <c r="BJ35" s="689"/>
      <c r="BK35" s="689"/>
      <c r="BL35" s="784" t="s">
        <v>545</v>
      </c>
      <c r="BM35" s="462">
        <v>12.933333333333332</v>
      </c>
      <c r="BN35" s="463">
        <v>30</v>
      </c>
      <c r="BO35" s="785">
        <v>2.6901266901756502</v>
      </c>
      <c r="BP35" s="963">
        <f>+(BN32*BP32+BN33*BP33+BN34*BP34)/BN35</f>
        <v>0.93333333333333224</v>
      </c>
      <c r="BQ35" s="41"/>
      <c r="BR35" s="950"/>
      <c r="BS35" s="950"/>
      <c r="BT35" s="951" t="s">
        <v>128</v>
      </c>
      <c r="BU35" s="952">
        <v>10</v>
      </c>
      <c r="BV35" s="952">
        <f t="shared" si="1"/>
        <v>-2</v>
      </c>
      <c r="BW35" s="953">
        <v>2</v>
      </c>
      <c r="BX35" s="954">
        <v>10</v>
      </c>
      <c r="BY35" s="955">
        <f t="shared" si="2"/>
        <v>-2</v>
      </c>
      <c r="BZ35" s="41"/>
      <c r="CA35" s="47"/>
      <c r="CB35" s="47"/>
      <c r="CC35" s="47" t="s">
        <v>128</v>
      </c>
      <c r="CD35" s="107">
        <v>1</v>
      </c>
      <c r="CE35" s="144">
        <v>12</v>
      </c>
      <c r="CF35" s="107">
        <v>12</v>
      </c>
      <c r="CG35" s="144">
        <f>+CE35-CF35</f>
        <v>0</v>
      </c>
      <c r="CH35" s="47"/>
      <c r="CI35" s="47"/>
      <c r="CJ35" s="956"/>
      <c r="CK35" s="957"/>
      <c r="CL35" s="956" t="s">
        <v>111</v>
      </c>
      <c r="CM35" s="958">
        <v>10.625</v>
      </c>
      <c r="CN35" s="957">
        <v>8</v>
      </c>
      <c r="CO35" s="959">
        <v>12</v>
      </c>
      <c r="CP35" s="958">
        <f t="shared" si="14"/>
        <v>-1.375</v>
      </c>
    </row>
    <row r="36" spans="1:94">
      <c r="A36" s="41" t="s">
        <v>48</v>
      </c>
      <c r="B36" s="41" t="s">
        <v>16</v>
      </c>
      <c r="C36" s="41" t="s">
        <v>144</v>
      </c>
      <c r="D36" s="1496">
        <v>14.2</v>
      </c>
      <c r="E36" s="105">
        <v>10</v>
      </c>
      <c r="F36" s="1431">
        <f>D36-G36</f>
        <v>2.1999999999999993</v>
      </c>
      <c r="G36" s="107">
        <v>12</v>
      </c>
      <c r="I36" s="41"/>
      <c r="J36" s="41"/>
      <c r="K36" s="41" t="s">
        <v>130</v>
      </c>
      <c r="L36" s="1496">
        <v>13.6</v>
      </c>
      <c r="M36" s="105">
        <v>10</v>
      </c>
      <c r="N36" s="1431">
        <f>L36-O36</f>
        <v>1.5999999999999996</v>
      </c>
      <c r="O36" s="107">
        <v>12</v>
      </c>
      <c r="P36" s="107"/>
      <c r="S36" s="37" t="s">
        <v>130</v>
      </c>
      <c r="T36" s="1788">
        <v>13.6</v>
      </c>
      <c r="U36" s="1788">
        <v>10</v>
      </c>
      <c r="V36" s="4243">
        <f t="shared" si="12"/>
        <v>1.5999999999999996</v>
      </c>
      <c r="W36" s="4243">
        <v>12</v>
      </c>
      <c r="Y36" s="41"/>
      <c r="Z36" s="41"/>
      <c r="AA36" s="41" t="s">
        <v>130</v>
      </c>
      <c r="AB36" s="1495">
        <v>13.75</v>
      </c>
      <c r="AC36" s="105">
        <v>8</v>
      </c>
      <c r="AD36" s="144">
        <f t="shared" si="4"/>
        <v>1.75</v>
      </c>
      <c r="AE36" s="107">
        <v>12</v>
      </c>
      <c r="AF36" s="107"/>
      <c r="AG36" s="58"/>
      <c r="AH36" s="95"/>
      <c r="AI36" s="58" t="s">
        <v>333</v>
      </c>
      <c r="AJ36" s="912">
        <v>16</v>
      </c>
      <c r="AK36" s="95">
        <v>4</v>
      </c>
      <c r="AL36" s="1456">
        <f>AJ36-12</f>
        <v>4</v>
      </c>
      <c r="AN36" s="107"/>
      <c r="AO36" s="107"/>
      <c r="AP36" s="968" t="s">
        <v>547</v>
      </c>
      <c r="AQ36" s="969">
        <v>14.09</v>
      </c>
      <c r="AR36" s="145">
        <v>33</v>
      </c>
      <c r="AS36" s="875">
        <f>+(AR33*AS33+AR34*AS34+AR35*AS35)/AR36</f>
        <v>2.0893939393939394</v>
      </c>
      <c r="AU36" s="1359"/>
      <c r="AV36" s="1359"/>
      <c r="AW36" s="1458" t="s">
        <v>547</v>
      </c>
      <c r="AX36" s="1459">
        <v>14.800000000000004</v>
      </c>
      <c r="AY36" s="1460">
        <v>40</v>
      </c>
      <c r="AZ36" s="875">
        <f>+(AY33*AZ33+AY34*AZ34+AY35*AZ35)/AY36</f>
        <v>2.8</v>
      </c>
      <c r="BB36" s="946"/>
      <c r="BC36" s="946" t="s">
        <v>41</v>
      </c>
      <c r="BD36" s="947" t="s">
        <v>145</v>
      </c>
      <c r="BE36" s="948">
        <v>12.5</v>
      </c>
      <c r="BF36" s="949">
        <v>6</v>
      </c>
      <c r="BG36" s="853">
        <f>BE36-9</f>
        <v>3.5</v>
      </c>
      <c r="BI36" s="689"/>
      <c r="BJ36" s="689"/>
      <c r="BK36" s="689" t="s">
        <v>41</v>
      </c>
      <c r="BL36" s="457" t="s">
        <v>145</v>
      </c>
      <c r="BM36" s="459">
        <v>10.4</v>
      </c>
      <c r="BN36" s="458">
        <v>5</v>
      </c>
      <c r="BO36" s="765">
        <v>2.0736441353327724</v>
      </c>
      <c r="BP36" s="458">
        <f>BM36-8</f>
        <v>2.4000000000000004</v>
      </c>
      <c r="BQ36" s="41"/>
      <c r="BR36" s="950"/>
      <c r="BS36" s="950"/>
      <c r="BT36" s="951" t="s">
        <v>111</v>
      </c>
      <c r="BU36" s="952">
        <v>12</v>
      </c>
      <c r="BV36" s="952">
        <f t="shared" si="1"/>
        <v>0</v>
      </c>
      <c r="BW36" s="953">
        <v>6</v>
      </c>
      <c r="BX36" s="954">
        <v>12.166666666666666</v>
      </c>
      <c r="BY36" s="955">
        <f t="shared" si="2"/>
        <v>0.16666666666666607</v>
      </c>
      <c r="BZ36" s="41"/>
      <c r="CA36" s="47"/>
      <c r="CB36" s="47"/>
      <c r="CC36" s="47" t="s">
        <v>111</v>
      </c>
      <c r="CD36" s="107">
        <v>7</v>
      </c>
      <c r="CE36" s="144">
        <v>10.857142857142858</v>
      </c>
      <c r="CF36" s="107">
        <v>12</v>
      </c>
      <c r="CG36" s="144">
        <f>+CE36-CF36</f>
        <v>-1.1428571428571423</v>
      </c>
      <c r="CH36" s="970">
        <f>AVERAGE(CG38:CG39)</f>
        <v>6.125</v>
      </c>
      <c r="CI36" s="47"/>
      <c r="CJ36" s="956"/>
      <c r="CK36" s="957"/>
      <c r="CL36" s="957" t="s">
        <v>15</v>
      </c>
      <c r="CM36" s="958">
        <v>12.808510638297872</v>
      </c>
      <c r="CN36" s="957">
        <v>47</v>
      </c>
      <c r="CO36" s="959"/>
      <c r="CP36" s="971">
        <f>AVERAGE(CP34:CP35)</f>
        <v>-5.929487179487225E-2</v>
      </c>
    </row>
    <row r="37" spans="1:94">
      <c r="A37" s="41"/>
      <c r="B37" s="41"/>
      <c r="C37" s="41" t="s">
        <v>128</v>
      </c>
      <c r="D37" s="1496">
        <v>20</v>
      </c>
      <c r="E37" s="105">
        <v>1</v>
      </c>
      <c r="F37" s="1431">
        <f>D37-G37</f>
        <v>8</v>
      </c>
      <c r="G37" s="107">
        <v>12</v>
      </c>
      <c r="I37" s="41"/>
      <c r="J37" s="41"/>
      <c r="K37" s="41" t="s">
        <v>333</v>
      </c>
      <c r="L37" s="1496">
        <v>15.6</v>
      </c>
      <c r="M37" s="105">
        <v>15</v>
      </c>
      <c r="N37" s="1431">
        <f>L37-O37</f>
        <v>3.5999999999999996</v>
      </c>
      <c r="O37" s="107">
        <v>12</v>
      </c>
      <c r="P37" s="107"/>
      <c r="S37" s="37" t="s">
        <v>333</v>
      </c>
      <c r="T37" s="1788">
        <v>15.69</v>
      </c>
      <c r="U37" s="1788">
        <v>13</v>
      </c>
      <c r="V37" s="4243">
        <f t="shared" si="12"/>
        <v>3.6899999999999995</v>
      </c>
      <c r="W37" s="4243">
        <v>12</v>
      </c>
      <c r="Y37" s="41"/>
      <c r="Z37" s="41"/>
      <c r="AA37" s="41" t="s">
        <v>333</v>
      </c>
      <c r="AB37" s="1495">
        <v>14.3</v>
      </c>
      <c r="AC37" s="105">
        <v>10</v>
      </c>
      <c r="AD37" s="144">
        <f t="shared" si="4"/>
        <v>2.3000000000000007</v>
      </c>
      <c r="AE37" s="107">
        <v>12</v>
      </c>
      <c r="AF37" s="107"/>
      <c r="AG37" s="58"/>
      <c r="AH37" s="95"/>
      <c r="AI37" s="2009" t="s">
        <v>547</v>
      </c>
      <c r="AJ37" s="2010">
        <v>16.03</v>
      </c>
      <c r="AK37" s="2011">
        <v>33</v>
      </c>
      <c r="AL37" s="875">
        <f>+(AK34*AL34+AK35*AL35+AK36*AL36)/AK37</f>
        <v>4.0296969696969702</v>
      </c>
      <c r="AN37" s="1676"/>
      <c r="AO37" s="1676"/>
      <c r="AP37" s="1673" t="s">
        <v>110</v>
      </c>
      <c r="AQ37" s="1674">
        <v>14.34</v>
      </c>
      <c r="AR37" s="1675">
        <v>136</v>
      </c>
      <c r="AS37" s="1677">
        <f>+(AR26*AS26+AR32*AS32+AR36*AS36)/AR37</f>
        <v>2.845735294117647</v>
      </c>
      <c r="AU37" s="1359"/>
      <c r="AV37" s="1359"/>
      <c r="AW37" s="1458" t="s">
        <v>110</v>
      </c>
      <c r="AX37" s="1459">
        <v>15.029126213592232</v>
      </c>
      <c r="AY37" s="1460">
        <v>103</v>
      </c>
      <c r="AZ37" s="875">
        <f>+(AY26*AZ26+AY32*AZ32+AY36*AZ36)/AY37</f>
        <v>3.5242718446601948</v>
      </c>
      <c r="BB37" s="946"/>
      <c r="BC37" s="946"/>
      <c r="BD37" s="947" t="s">
        <v>333</v>
      </c>
      <c r="BE37" s="948">
        <v>14.142857142857142</v>
      </c>
      <c r="BF37" s="949">
        <v>7</v>
      </c>
      <c r="BG37" s="853">
        <f t="shared" si="13"/>
        <v>2.1428571428571423</v>
      </c>
      <c r="BI37" s="689"/>
      <c r="BJ37" s="689"/>
      <c r="BK37" s="689"/>
      <c r="BL37" s="457" t="s">
        <v>333</v>
      </c>
      <c r="BM37" s="459">
        <v>13.714285714285714</v>
      </c>
      <c r="BN37" s="458">
        <v>7</v>
      </c>
      <c r="BO37" s="765">
        <v>4.8550415622761216</v>
      </c>
      <c r="BP37" s="458">
        <f>BM37-9</f>
        <v>4.7142857142857135</v>
      </c>
      <c r="BQ37" s="41"/>
      <c r="BR37" s="950"/>
      <c r="BS37" s="950"/>
      <c r="BT37" s="964" t="s">
        <v>545</v>
      </c>
      <c r="BU37" s="963">
        <v>12.083333333333334</v>
      </c>
      <c r="BV37" s="963">
        <f>+(BW34*BV34+BW35*BV35+BW36*BV36)/BW37</f>
        <v>8.3333333333334522E-2</v>
      </c>
      <c r="BW37" s="965">
        <v>24</v>
      </c>
      <c r="BX37" s="966">
        <v>12.416666666666666</v>
      </c>
      <c r="BY37" s="967">
        <f>+(BW34*BY34+BW35*BY35+BW36*BY36)/BW37</f>
        <v>0.41666666666666652</v>
      </c>
      <c r="BZ37" s="41"/>
      <c r="CA37" s="47"/>
      <c r="CB37" s="47"/>
      <c r="CC37" s="968" t="s">
        <v>15</v>
      </c>
      <c r="CD37" s="145">
        <v>33</v>
      </c>
      <c r="CE37" s="969">
        <v>12.636363636363637</v>
      </c>
      <c r="CF37" s="145"/>
      <c r="CG37" s="969">
        <f>+(CD34*CG34+CD35*CG35+CD36*CG36)/CD37</f>
        <v>0.63636363636363658</v>
      </c>
      <c r="CH37" s="47"/>
      <c r="CI37" s="47"/>
      <c r="CJ37" s="956"/>
      <c r="CK37" s="957"/>
      <c r="CL37" s="957"/>
      <c r="CM37" s="958"/>
      <c r="CN37" s="957"/>
      <c r="CO37" s="959"/>
      <c r="CP37" s="971"/>
    </row>
    <row r="38" spans="1:94">
      <c r="A38" s="41"/>
      <c r="B38" s="41"/>
      <c r="C38" s="41" t="s">
        <v>111</v>
      </c>
      <c r="D38" s="1496">
        <v>11.57</v>
      </c>
      <c r="E38" s="105">
        <v>14</v>
      </c>
      <c r="F38" s="1431">
        <f>D38-G38</f>
        <v>-0.42999999999999972</v>
      </c>
      <c r="G38" s="107">
        <v>12</v>
      </c>
      <c r="I38" s="41"/>
      <c r="J38" s="41"/>
      <c r="K38" s="461" t="s">
        <v>547</v>
      </c>
      <c r="L38" s="1511">
        <v>15.08</v>
      </c>
      <c r="M38" s="4686">
        <v>37</v>
      </c>
      <c r="N38" s="1989">
        <f>+(M35*N35+M36*N36+M37*N37)/M38</f>
        <v>3.0821621621621618</v>
      </c>
      <c r="O38" s="107"/>
      <c r="P38" s="107"/>
      <c r="S38" s="1793" t="s">
        <v>547</v>
      </c>
      <c r="T38" s="4702">
        <v>15.34</v>
      </c>
      <c r="U38" s="4702">
        <v>32</v>
      </c>
      <c r="V38" s="4771">
        <f>+(U35*V35+U36*V36+U37*V37)/U38</f>
        <v>3.3434375000000003</v>
      </c>
      <c r="Y38" s="41"/>
      <c r="Z38" s="41"/>
      <c r="AA38" s="461" t="s">
        <v>547</v>
      </c>
      <c r="AB38" s="1510">
        <v>14.32</v>
      </c>
      <c r="AC38" s="2480">
        <v>38</v>
      </c>
      <c r="AD38" s="875">
        <f>+(AC35*AD35+AC36*AD36+AC37*AD37)/AC38</f>
        <v>2.3157894736842111</v>
      </c>
      <c r="AE38" s="107"/>
      <c r="AF38" s="107"/>
      <c r="AG38" s="2012"/>
      <c r="AH38" s="2008"/>
      <c r="AI38" s="2013" t="s">
        <v>110</v>
      </c>
      <c r="AJ38" s="2014">
        <v>15.69</v>
      </c>
      <c r="AK38" s="2015">
        <v>114</v>
      </c>
      <c r="AL38" s="1677">
        <f>+(AK27*AL27+AK33*AL33+AK37*AL37)/AK38</f>
        <v>3.6930701754385966</v>
      </c>
      <c r="AN38" s="107" t="s">
        <v>48</v>
      </c>
      <c r="AO38" s="107" t="s">
        <v>16</v>
      </c>
      <c r="AP38" s="47" t="s">
        <v>144</v>
      </c>
      <c r="AQ38" s="144">
        <v>12.14</v>
      </c>
      <c r="AR38" s="107">
        <v>14</v>
      </c>
      <c r="AS38" s="1463">
        <f>AQ38-12</f>
        <v>0.14000000000000057</v>
      </c>
      <c r="AU38" s="1461" t="s">
        <v>48</v>
      </c>
      <c r="AV38" s="1461" t="s">
        <v>16</v>
      </c>
      <c r="AW38" s="1462" t="s">
        <v>144</v>
      </c>
      <c r="AX38" s="1463">
        <v>12.772727272727273</v>
      </c>
      <c r="AY38" s="1464">
        <v>22</v>
      </c>
      <c r="AZ38" s="1463">
        <f>AX38-12</f>
        <v>0.77272727272727337</v>
      </c>
      <c r="BB38" s="946"/>
      <c r="BC38" s="946"/>
      <c r="BD38" s="960" t="s">
        <v>547</v>
      </c>
      <c r="BE38" s="961">
        <v>13.384615384615383</v>
      </c>
      <c r="BF38" s="962">
        <v>13</v>
      </c>
      <c r="BG38" s="875">
        <f>+(BF36*BG36+BF37*BG37)/BF38</f>
        <v>2.7692307692307692</v>
      </c>
      <c r="BI38" s="689"/>
      <c r="BJ38" s="689"/>
      <c r="BK38" s="689"/>
      <c r="BL38" s="784" t="s">
        <v>547</v>
      </c>
      <c r="BM38" s="462">
        <v>12.333333333333334</v>
      </c>
      <c r="BN38" s="463">
        <v>12</v>
      </c>
      <c r="BO38" s="785">
        <v>4.1633319989322652</v>
      </c>
      <c r="BP38" s="963">
        <f>+(BN36*BP36+BN37*BP37)/BN38</f>
        <v>3.7499999999999996</v>
      </c>
      <c r="BQ38" s="41"/>
      <c r="BR38" s="950"/>
      <c r="BS38" s="950" t="s">
        <v>41</v>
      </c>
      <c r="BT38" s="951" t="s">
        <v>145</v>
      </c>
      <c r="BU38" s="952">
        <v>10.5</v>
      </c>
      <c r="BV38" s="952">
        <f t="shared" si="1"/>
        <v>2.5</v>
      </c>
      <c r="BW38" s="953">
        <v>2</v>
      </c>
      <c r="BX38" s="954">
        <v>14.5</v>
      </c>
      <c r="BY38" s="955">
        <f t="shared" si="2"/>
        <v>6.5</v>
      </c>
      <c r="BZ38" s="41"/>
      <c r="CA38" s="47"/>
      <c r="CB38" s="47" t="s">
        <v>41</v>
      </c>
      <c r="CC38" s="47" t="s">
        <v>145</v>
      </c>
      <c r="CD38" s="107">
        <v>4</v>
      </c>
      <c r="CE38" s="144">
        <v>9.25</v>
      </c>
      <c r="CF38" s="107">
        <v>8</v>
      </c>
      <c r="CG38" s="144">
        <f>+CE38-CF38</f>
        <v>1.25</v>
      </c>
      <c r="CH38" s="970">
        <f>+CG42</f>
        <v>5</v>
      </c>
      <c r="CI38" s="47"/>
      <c r="CJ38" s="956"/>
      <c r="CK38" s="957" t="s">
        <v>41</v>
      </c>
      <c r="CL38" s="956" t="s">
        <v>846</v>
      </c>
      <c r="CM38" s="958">
        <v>11.636363636363637</v>
      </c>
      <c r="CN38" s="957">
        <v>11</v>
      </c>
      <c r="CO38" s="959">
        <v>9</v>
      </c>
      <c r="CP38" s="958">
        <f t="shared" si="14"/>
        <v>2.6363636363636367</v>
      </c>
    </row>
    <row r="39" spans="1:94">
      <c r="A39" s="41"/>
      <c r="B39" s="41"/>
      <c r="C39" s="461" t="s">
        <v>545</v>
      </c>
      <c r="D39" s="1511">
        <v>12.96</v>
      </c>
      <c r="E39" s="5501">
        <v>25</v>
      </c>
      <c r="F39" s="1989">
        <f>+(E36*F36+E37*F37+E38*F38)/E39</f>
        <v>0.95919999999999983</v>
      </c>
      <c r="I39" s="4637"/>
      <c r="J39" s="4637"/>
      <c r="K39" s="4638" t="s">
        <v>110</v>
      </c>
      <c r="L39" s="4795">
        <v>15.1</v>
      </c>
      <c r="M39" s="4636">
        <v>129</v>
      </c>
      <c r="N39" s="4793">
        <f>+(M28*N28+M34*N34+M38*N38)/M39</f>
        <v>3.1023255813953483</v>
      </c>
      <c r="O39" s="4639"/>
      <c r="P39" s="107"/>
      <c r="Q39" s="4754"/>
      <c r="R39" s="4754"/>
      <c r="S39" s="4755" t="s">
        <v>110</v>
      </c>
      <c r="T39" s="4756">
        <v>15.14</v>
      </c>
      <c r="U39" s="4756">
        <v>94</v>
      </c>
      <c r="V39" s="4791">
        <f>+(U28*V28+U34*V34+U38*V38)/U39</f>
        <v>3.1379787234042555</v>
      </c>
      <c r="W39" s="4777"/>
      <c r="Y39" s="2460"/>
      <c r="Z39" s="2460"/>
      <c r="AA39" s="2461" t="s">
        <v>110</v>
      </c>
      <c r="AB39" s="2462">
        <v>14.46</v>
      </c>
      <c r="AC39" s="2463">
        <v>147</v>
      </c>
      <c r="AD39" s="2505">
        <f>+(AC28*AD28+AC34*AD34+AC38*AD38)/AC39</f>
        <v>2.4627891156462587</v>
      </c>
      <c r="AE39" s="2506"/>
      <c r="AF39" s="107"/>
      <c r="AG39" s="58" t="s">
        <v>48</v>
      </c>
      <c r="AH39" s="95" t="s">
        <v>16</v>
      </c>
      <c r="AI39" s="58" t="s">
        <v>144</v>
      </c>
      <c r="AJ39" s="912">
        <v>12.96</v>
      </c>
      <c r="AK39" s="95">
        <v>23</v>
      </c>
      <c r="AL39" s="1456">
        <f>AJ39-9</f>
        <v>3.9600000000000009</v>
      </c>
      <c r="AN39" s="107"/>
      <c r="AO39" s="107"/>
      <c r="AP39" s="47" t="s">
        <v>111</v>
      </c>
      <c r="AQ39" s="144">
        <v>11.75</v>
      </c>
      <c r="AR39" s="107">
        <v>4</v>
      </c>
      <c r="AS39" s="1456">
        <f>AQ39-9</f>
        <v>2.75</v>
      </c>
      <c r="AU39" s="1359"/>
      <c r="AV39" s="1359"/>
      <c r="AW39" s="1455" t="s">
        <v>111</v>
      </c>
      <c r="AX39" s="1456">
        <v>11.555555555555555</v>
      </c>
      <c r="AY39" s="1457">
        <v>9</v>
      </c>
      <c r="AZ39" s="1456">
        <f>AX39-9</f>
        <v>2.5555555555555554</v>
      </c>
      <c r="BB39" s="946"/>
      <c r="BC39" s="946" t="s">
        <v>104</v>
      </c>
      <c r="BD39" s="947" t="s">
        <v>146</v>
      </c>
      <c r="BE39" s="948">
        <v>16.166666666666668</v>
      </c>
      <c r="BF39" s="949">
        <v>6</v>
      </c>
      <c r="BG39" s="853">
        <f t="shared" si="13"/>
        <v>4.1666666666666679</v>
      </c>
      <c r="BI39" s="689"/>
      <c r="BJ39" s="689"/>
      <c r="BK39" s="689" t="s">
        <v>104</v>
      </c>
      <c r="BL39" s="457" t="s">
        <v>146</v>
      </c>
      <c r="BM39" s="459">
        <v>14.5</v>
      </c>
      <c r="BN39" s="458">
        <v>2</v>
      </c>
      <c r="BO39" s="765">
        <v>3.5355339059327378</v>
      </c>
      <c r="BP39" s="458">
        <f>BM39-8</f>
        <v>6.5</v>
      </c>
      <c r="BQ39" s="41"/>
      <c r="BR39" s="950"/>
      <c r="BS39" s="950"/>
      <c r="BT39" s="951" t="s">
        <v>333</v>
      </c>
      <c r="BU39" s="952">
        <v>14.799999999999997</v>
      </c>
      <c r="BV39" s="952">
        <f t="shared" si="1"/>
        <v>5.7999999999999972</v>
      </c>
      <c r="BW39" s="953">
        <v>15</v>
      </c>
      <c r="BX39" s="954">
        <v>17.266666666666662</v>
      </c>
      <c r="BY39" s="955">
        <f t="shared" si="2"/>
        <v>8.2666666666666622</v>
      </c>
      <c r="BZ39" s="41"/>
      <c r="CA39" s="47"/>
      <c r="CB39" s="47"/>
      <c r="CC39" s="47" t="s">
        <v>333</v>
      </c>
      <c r="CD39" s="107">
        <v>14</v>
      </c>
      <c r="CE39" s="144">
        <v>20</v>
      </c>
      <c r="CF39" s="107">
        <v>9</v>
      </c>
      <c r="CG39" s="144">
        <f>+CE39-CF39</f>
        <v>11</v>
      </c>
      <c r="CH39" s="47"/>
      <c r="CI39" s="47"/>
      <c r="CJ39" s="956"/>
      <c r="CK39" s="957"/>
      <c r="CL39" s="956" t="s">
        <v>145</v>
      </c>
      <c r="CM39" s="958">
        <v>11.4</v>
      </c>
      <c r="CN39" s="957">
        <v>5</v>
      </c>
      <c r="CO39" s="959">
        <v>8</v>
      </c>
      <c r="CP39" s="958">
        <f t="shared" si="14"/>
        <v>3.4000000000000004</v>
      </c>
    </row>
    <row r="40" spans="1:94">
      <c r="A40" s="41"/>
      <c r="B40" s="41" t="s">
        <v>41</v>
      </c>
      <c r="C40" s="41" t="s">
        <v>145</v>
      </c>
      <c r="D40" s="1496">
        <v>9.5</v>
      </c>
      <c r="E40" s="105">
        <v>4</v>
      </c>
      <c r="F40" s="1431">
        <f>D40-G40</f>
        <v>0.5</v>
      </c>
      <c r="G40" s="107">
        <v>9</v>
      </c>
      <c r="I40" s="41" t="s">
        <v>48</v>
      </c>
      <c r="J40" s="41" t="s">
        <v>16</v>
      </c>
      <c r="K40" s="41" t="s">
        <v>144</v>
      </c>
      <c r="L40" s="1496">
        <v>13.17</v>
      </c>
      <c r="M40" s="105">
        <v>18</v>
      </c>
      <c r="N40" s="1431">
        <f>L40-O40</f>
        <v>1.17</v>
      </c>
      <c r="O40" s="107">
        <v>12</v>
      </c>
      <c r="P40" s="107"/>
      <c r="Q40" s="37" t="s">
        <v>48</v>
      </c>
      <c r="R40" s="37" t="s">
        <v>16</v>
      </c>
      <c r="S40" s="37" t="s">
        <v>144</v>
      </c>
      <c r="T40" s="1788">
        <v>12.83</v>
      </c>
      <c r="U40" s="1788">
        <v>12</v>
      </c>
      <c r="V40" s="4243">
        <f>T40-W40</f>
        <v>0.83000000000000007</v>
      </c>
      <c r="W40" s="4243">
        <v>12</v>
      </c>
      <c r="Y40" s="41" t="s">
        <v>48</v>
      </c>
      <c r="Z40" s="41" t="s">
        <v>16</v>
      </c>
      <c r="AA40" s="41" t="s">
        <v>144</v>
      </c>
      <c r="AB40" s="1495">
        <v>13.33</v>
      </c>
      <c r="AC40" s="105">
        <v>18</v>
      </c>
      <c r="AD40" s="144">
        <f t="shared" si="4"/>
        <v>1.33</v>
      </c>
      <c r="AE40" s="107">
        <v>12</v>
      </c>
      <c r="AF40" s="107"/>
      <c r="AG40" s="58"/>
      <c r="AH40" s="95"/>
      <c r="AI40" s="58" t="s">
        <v>111</v>
      </c>
      <c r="AJ40" s="912">
        <v>11.25</v>
      </c>
      <c r="AK40" s="95">
        <v>8</v>
      </c>
      <c r="AL40" s="1456">
        <f>AJ40-9</f>
        <v>2.25</v>
      </c>
      <c r="AN40" s="107"/>
      <c r="AO40" s="107"/>
      <c r="AP40" s="968" t="s">
        <v>545</v>
      </c>
      <c r="AQ40" s="969">
        <v>12.06</v>
      </c>
      <c r="AR40" s="145">
        <v>18</v>
      </c>
      <c r="AS40" s="875">
        <f>+(AR38*AS38+AR39*AS39)/AR40</f>
        <v>0.72000000000000042</v>
      </c>
      <c r="AU40" s="1359"/>
      <c r="AV40" s="1359"/>
      <c r="AW40" s="1458" t="s">
        <v>545</v>
      </c>
      <c r="AX40" s="1459">
        <v>12.419354838709676</v>
      </c>
      <c r="AY40" s="1460">
        <v>31</v>
      </c>
      <c r="AZ40" s="875">
        <f>+(AY38*AZ38+AY39*AZ39)/AY40</f>
        <v>1.2903225806451617</v>
      </c>
      <c r="BB40" s="946"/>
      <c r="BC40" s="946"/>
      <c r="BD40" s="960" t="s">
        <v>844</v>
      </c>
      <c r="BE40" s="961">
        <v>16.166666666666668</v>
      </c>
      <c r="BF40" s="962">
        <v>6</v>
      </c>
      <c r="BG40" s="875">
        <f t="shared" si="13"/>
        <v>4.1666666666666679</v>
      </c>
      <c r="BI40" s="689"/>
      <c r="BJ40" s="689"/>
      <c r="BK40" s="689"/>
      <c r="BL40" s="784" t="s">
        <v>844</v>
      </c>
      <c r="BM40" s="462">
        <v>14.5</v>
      </c>
      <c r="BN40" s="463">
        <v>2</v>
      </c>
      <c r="BO40" s="785">
        <v>3.5355339059327378</v>
      </c>
      <c r="BP40" s="963">
        <f>+(BN39*BP39)/BN40</f>
        <v>6.5</v>
      </c>
      <c r="BQ40" s="41"/>
      <c r="BR40" s="950"/>
      <c r="BS40" s="950"/>
      <c r="BT40" s="964" t="s">
        <v>547</v>
      </c>
      <c r="BU40" s="963">
        <v>14.294117647058822</v>
      </c>
      <c r="BV40" s="963">
        <f>+(BW38*BV38+BW39*BV39)/BW40</f>
        <v>5.4117647058823506</v>
      </c>
      <c r="BW40" s="965">
        <v>17</v>
      </c>
      <c r="BX40" s="966">
        <v>16.941176470588236</v>
      </c>
      <c r="BY40" s="967">
        <f>+(BW38*BY38+BW39*BY39)/BW40</f>
        <v>8.0588235294117609</v>
      </c>
      <c r="BZ40" s="41"/>
      <c r="CA40" s="47"/>
      <c r="CB40" s="47"/>
      <c r="CC40" s="968" t="s">
        <v>15</v>
      </c>
      <c r="CD40" s="145">
        <v>18</v>
      </c>
      <c r="CE40" s="969">
        <v>17.611111111111111</v>
      </c>
      <c r="CF40" s="145"/>
      <c r="CG40" s="969">
        <f>+(CD38*CG38+CD39*CG39)/CD40</f>
        <v>8.8333333333333339</v>
      </c>
      <c r="CH40" s="47"/>
      <c r="CI40" s="47"/>
      <c r="CJ40" s="956"/>
      <c r="CK40" s="957"/>
      <c r="CL40" s="957" t="s">
        <v>15</v>
      </c>
      <c r="CM40" s="958">
        <v>11.5625</v>
      </c>
      <c r="CN40" s="957">
        <v>16</v>
      </c>
      <c r="CO40" s="959"/>
      <c r="CP40" s="971">
        <f>AVERAGE(CP38:CP39)</f>
        <v>3.0181818181818185</v>
      </c>
    </row>
    <row r="41" spans="1:94">
      <c r="A41" s="41"/>
      <c r="B41" s="41"/>
      <c r="C41" s="41" t="s">
        <v>333</v>
      </c>
      <c r="D41" s="1496">
        <v>14.67</v>
      </c>
      <c r="E41" s="105">
        <v>9</v>
      </c>
      <c r="F41" s="1431">
        <f>D41-G41</f>
        <v>2.67</v>
      </c>
      <c r="G41" s="107">
        <v>12</v>
      </c>
      <c r="I41" s="41"/>
      <c r="J41" s="41"/>
      <c r="K41" s="41" t="s">
        <v>128</v>
      </c>
      <c r="L41" s="1496">
        <v>16</v>
      </c>
      <c r="M41" s="105">
        <v>2</v>
      </c>
      <c r="N41" s="1431">
        <f>L41-O41</f>
        <v>4</v>
      </c>
      <c r="O41" s="107">
        <v>12</v>
      </c>
      <c r="P41" s="107"/>
      <c r="S41" s="37" t="s">
        <v>128</v>
      </c>
      <c r="T41" s="1788">
        <v>12</v>
      </c>
      <c r="U41" s="1788">
        <v>1</v>
      </c>
      <c r="V41" s="4243">
        <f t="shared" ref="V41:V53" si="15">T41-W41</f>
        <v>0</v>
      </c>
      <c r="W41" s="4243">
        <v>12</v>
      </c>
      <c r="Y41" s="41"/>
      <c r="Z41" s="41"/>
      <c r="AA41" s="41" t="s">
        <v>128</v>
      </c>
      <c r="AB41" s="1495">
        <v>12.75</v>
      </c>
      <c r="AC41" s="105">
        <v>4</v>
      </c>
      <c r="AD41" s="144">
        <f t="shared" si="4"/>
        <v>0.75</v>
      </c>
      <c r="AE41" s="107">
        <v>12</v>
      </c>
      <c r="AF41" s="107"/>
      <c r="AG41" s="58"/>
      <c r="AH41" s="95"/>
      <c r="AI41" s="2009" t="s">
        <v>545</v>
      </c>
      <c r="AJ41" s="2010">
        <v>12.52</v>
      </c>
      <c r="AK41" s="2011">
        <v>31</v>
      </c>
      <c r="AL41" s="875">
        <f>+(AK39*AL39+AK40*AL40)/AK41</f>
        <v>3.5187096774193551</v>
      </c>
      <c r="AN41" s="107"/>
      <c r="AO41" s="107" t="s">
        <v>41</v>
      </c>
      <c r="AP41" s="47" t="s">
        <v>145</v>
      </c>
      <c r="AQ41" s="144">
        <v>11</v>
      </c>
      <c r="AR41" s="107">
        <v>4</v>
      </c>
      <c r="AS41" s="1456">
        <f>AQ41-9</f>
        <v>2</v>
      </c>
      <c r="AU41" s="1359"/>
      <c r="AV41" s="1359" t="s">
        <v>41</v>
      </c>
      <c r="AW41" s="1455" t="s">
        <v>145</v>
      </c>
      <c r="AX41" s="1456">
        <v>10</v>
      </c>
      <c r="AY41" s="1457">
        <v>1</v>
      </c>
      <c r="AZ41" s="1456">
        <f>AX41-9</f>
        <v>1</v>
      </c>
      <c r="BB41" s="946"/>
      <c r="BC41" s="946"/>
      <c r="BD41" s="972" t="s">
        <v>442</v>
      </c>
      <c r="BE41" s="973">
        <v>13.37777777777778</v>
      </c>
      <c r="BF41" s="974">
        <v>45</v>
      </c>
      <c r="BG41" s="899">
        <f>+(BF35*BG35+BF38*BG38+BF40*BG40)/BF41</f>
        <v>1.7777777777777752</v>
      </c>
      <c r="BI41" s="689"/>
      <c r="BJ41" s="689"/>
      <c r="BK41" s="689"/>
      <c r="BL41" s="784" t="s">
        <v>442</v>
      </c>
      <c r="BM41" s="462">
        <v>12.84090909090909</v>
      </c>
      <c r="BN41" s="463">
        <v>44</v>
      </c>
      <c r="BO41" s="785">
        <v>3.1323011959645606</v>
      </c>
      <c r="BP41" s="963">
        <f>+(BN35*BP35+BN38*BP38+BN40*BP40)/BN41</f>
        <v>1.9545454545454535</v>
      </c>
      <c r="BQ41" s="41"/>
      <c r="BR41" s="950"/>
      <c r="BS41" s="950" t="s">
        <v>104</v>
      </c>
      <c r="BT41" s="951" t="s">
        <v>146</v>
      </c>
      <c r="BU41" s="952">
        <v>14.5</v>
      </c>
      <c r="BV41" s="952">
        <f t="shared" si="1"/>
        <v>6.5</v>
      </c>
      <c r="BW41" s="953">
        <v>6</v>
      </c>
      <c r="BX41" s="954">
        <v>15.5</v>
      </c>
      <c r="BY41" s="955">
        <f t="shared" si="2"/>
        <v>7.5</v>
      </c>
      <c r="BZ41" s="41"/>
      <c r="CA41" s="47"/>
      <c r="CB41" s="47" t="s">
        <v>104</v>
      </c>
      <c r="CC41" s="47" t="s">
        <v>146</v>
      </c>
      <c r="CD41" s="107">
        <v>3</v>
      </c>
      <c r="CE41" s="144">
        <v>13</v>
      </c>
      <c r="CF41" s="107">
        <v>8</v>
      </c>
      <c r="CG41" s="144">
        <f>+CE41-CF41</f>
        <v>5</v>
      </c>
      <c r="CH41" s="47"/>
      <c r="CI41" s="47"/>
      <c r="CJ41" s="956"/>
      <c r="CK41" s="957" t="s">
        <v>104</v>
      </c>
      <c r="CL41" s="956" t="s">
        <v>146</v>
      </c>
      <c r="CM41" s="958">
        <v>12</v>
      </c>
      <c r="CN41" s="957">
        <v>3</v>
      </c>
      <c r="CO41" s="959">
        <v>8</v>
      </c>
      <c r="CP41" s="958">
        <f>CM41-8</f>
        <v>4</v>
      </c>
    </row>
    <row r="42" spans="1:94" ht="15" thickBot="1">
      <c r="A42" s="41"/>
      <c r="B42" s="41"/>
      <c r="C42" s="41" t="s">
        <v>1948</v>
      </c>
      <c r="D42" s="1496">
        <v>11.75</v>
      </c>
      <c r="E42" s="105">
        <v>4</v>
      </c>
      <c r="F42" s="1431">
        <f>D42-G42</f>
        <v>-0.25</v>
      </c>
      <c r="G42" s="107">
        <v>12</v>
      </c>
      <c r="I42" s="41"/>
      <c r="J42" s="41"/>
      <c r="K42" s="41" t="s">
        <v>111</v>
      </c>
      <c r="L42" s="1496">
        <v>11.71</v>
      </c>
      <c r="M42" s="105">
        <v>14</v>
      </c>
      <c r="N42" s="1431">
        <f>L42-O42</f>
        <v>-0.28999999999999915</v>
      </c>
      <c r="O42" s="107">
        <v>12</v>
      </c>
      <c r="P42" s="107"/>
      <c r="S42" s="37" t="s">
        <v>111</v>
      </c>
      <c r="T42" s="1788">
        <v>11</v>
      </c>
      <c r="U42" s="1788">
        <v>2</v>
      </c>
      <c r="V42" s="4243">
        <f t="shared" si="15"/>
        <v>-1</v>
      </c>
      <c r="W42" s="4243">
        <v>12</v>
      </c>
      <c r="Y42" s="41"/>
      <c r="Z42" s="41"/>
      <c r="AA42" s="41" t="s">
        <v>111</v>
      </c>
      <c r="AB42" s="1495">
        <v>10.75</v>
      </c>
      <c r="AC42" s="105">
        <v>4</v>
      </c>
      <c r="AD42" s="144">
        <f t="shared" si="4"/>
        <v>-1.25</v>
      </c>
      <c r="AE42" s="107">
        <v>12</v>
      </c>
      <c r="AF42" s="107"/>
      <c r="AG42" s="58"/>
      <c r="AH42" s="95" t="s">
        <v>41</v>
      </c>
      <c r="AI42" s="58" t="s">
        <v>145</v>
      </c>
      <c r="AJ42" s="912">
        <v>10.25</v>
      </c>
      <c r="AK42" s="95">
        <v>4</v>
      </c>
      <c r="AL42" s="1456">
        <f>AJ42-9</f>
        <v>1.25</v>
      </c>
      <c r="AN42" s="107"/>
      <c r="AO42" s="107"/>
      <c r="AP42" s="47" t="s">
        <v>333</v>
      </c>
      <c r="AQ42" s="144">
        <v>12.82</v>
      </c>
      <c r="AR42" s="107">
        <v>11</v>
      </c>
      <c r="AS42" s="1456">
        <f>AQ42-12</f>
        <v>0.82000000000000028</v>
      </c>
      <c r="AU42" s="1359"/>
      <c r="AV42" s="1359"/>
      <c r="AW42" s="1455" t="s">
        <v>333</v>
      </c>
      <c r="AX42" s="1456">
        <v>12.916666666666668</v>
      </c>
      <c r="AY42" s="1457">
        <v>12</v>
      </c>
      <c r="AZ42" s="1456">
        <f>AX42-12</f>
        <v>0.91666666666666785</v>
      </c>
      <c r="BB42" s="946" t="s">
        <v>59</v>
      </c>
      <c r="BC42" s="946" t="s">
        <v>16</v>
      </c>
      <c r="BD42" s="947" t="s">
        <v>670</v>
      </c>
      <c r="BE42" s="948">
        <v>9</v>
      </c>
      <c r="BF42" s="949">
        <v>2</v>
      </c>
      <c r="BG42" s="853">
        <f>BE42-9</f>
        <v>0</v>
      </c>
      <c r="BI42" s="984"/>
      <c r="BJ42" s="984"/>
      <c r="BK42" s="984"/>
      <c r="BL42" s="794" t="s">
        <v>113</v>
      </c>
      <c r="BM42" s="468">
        <v>13.058201058201057</v>
      </c>
      <c r="BN42" s="467">
        <v>189</v>
      </c>
      <c r="BO42" s="795">
        <v>3.8387441072651254</v>
      </c>
      <c r="BP42" s="985">
        <f>+(BN14*BP14+BN31*BP31+BN41*BP41)/BN42</f>
        <v>2.2857142857142856</v>
      </c>
      <c r="BQ42" s="41"/>
      <c r="BR42" s="986"/>
      <c r="BS42" s="986"/>
      <c r="BT42" s="987" t="s">
        <v>844</v>
      </c>
      <c r="BU42" s="985">
        <v>14.5</v>
      </c>
      <c r="BV42" s="985">
        <f>+(BW41*BV41)/BW42</f>
        <v>6.5</v>
      </c>
      <c r="BW42" s="988">
        <v>6</v>
      </c>
      <c r="BX42" s="989">
        <v>15.5</v>
      </c>
      <c r="BY42" s="990">
        <f>+(BW41*BY41)/BW42</f>
        <v>7.5</v>
      </c>
      <c r="BZ42" s="41"/>
      <c r="CA42" s="991"/>
      <c r="CB42" s="991"/>
      <c r="CC42" s="941" t="s">
        <v>15</v>
      </c>
      <c r="CD42" s="456">
        <v>3</v>
      </c>
      <c r="CE42" s="992">
        <v>13</v>
      </c>
      <c r="CF42" s="456"/>
      <c r="CG42" s="992">
        <f>+CG41</f>
        <v>5</v>
      </c>
      <c r="CH42" s="970">
        <f>AVERAGE(CG9,CG21)</f>
        <v>6.4940711462450587</v>
      </c>
      <c r="CI42" s="47"/>
      <c r="CJ42" s="956"/>
      <c r="CK42" s="957"/>
      <c r="CL42" s="957" t="s">
        <v>15</v>
      </c>
      <c r="CM42" s="958">
        <v>12</v>
      </c>
      <c r="CN42" s="957">
        <v>3</v>
      </c>
      <c r="CO42" s="959"/>
      <c r="CP42" s="971">
        <f>CM42-8</f>
        <v>4</v>
      </c>
    </row>
    <row r="43" spans="1:94">
      <c r="A43" s="41"/>
      <c r="B43" s="41"/>
      <c r="C43" s="461" t="s">
        <v>547</v>
      </c>
      <c r="D43" s="1511">
        <v>12.76</v>
      </c>
      <c r="E43" s="5501">
        <v>17</v>
      </c>
      <c r="F43" s="1989">
        <f>+(E40*F40+E41*F41+E42*F42)/E43</f>
        <v>1.4723529411764706</v>
      </c>
      <c r="I43" s="41"/>
      <c r="J43" s="41"/>
      <c r="K43" s="461" t="s">
        <v>545</v>
      </c>
      <c r="L43" s="1511">
        <v>12.74</v>
      </c>
      <c r="M43" s="4686">
        <v>34</v>
      </c>
      <c r="N43" s="1989">
        <f>+(M40*N40+M41*N41+M42*N42)/M43</f>
        <v>0.7352941176470591</v>
      </c>
      <c r="O43" s="107"/>
      <c r="P43" s="107"/>
      <c r="S43" s="1793" t="s">
        <v>545</v>
      </c>
      <c r="T43" s="4702">
        <v>12.53</v>
      </c>
      <c r="U43" s="4702">
        <v>15</v>
      </c>
      <c r="V43" s="4771">
        <f>+(U40*V40+U41*V41+U42*V42)/U43</f>
        <v>0.53066666666666673</v>
      </c>
      <c r="Y43" s="41"/>
      <c r="Z43" s="41"/>
      <c r="AA43" s="461" t="s">
        <v>545</v>
      </c>
      <c r="AB43" s="1510">
        <v>12.85</v>
      </c>
      <c r="AC43" s="2480">
        <v>26</v>
      </c>
      <c r="AD43" s="875">
        <f>+(AC40*AD40+AC41*AD41+AC42*AD42)/AC43</f>
        <v>0.84384615384615391</v>
      </c>
      <c r="AE43" s="107"/>
      <c r="AF43" s="107"/>
      <c r="AG43" s="58"/>
      <c r="AH43" s="95"/>
      <c r="AI43" s="58" t="s">
        <v>333</v>
      </c>
      <c r="AJ43" s="912">
        <v>15.56</v>
      </c>
      <c r="AK43" s="95">
        <v>9</v>
      </c>
      <c r="AL43" s="1456">
        <f>AJ43-12</f>
        <v>3.5600000000000005</v>
      </c>
      <c r="AN43" s="107"/>
      <c r="AO43" s="107"/>
      <c r="AP43" s="47" t="s">
        <v>1948</v>
      </c>
      <c r="AQ43" s="144">
        <v>12</v>
      </c>
      <c r="AR43" s="107">
        <v>1</v>
      </c>
      <c r="AS43" s="1456">
        <f>AQ43-12</f>
        <v>0</v>
      </c>
      <c r="AU43" s="1359"/>
      <c r="AV43" s="1359"/>
      <c r="AW43" s="1455"/>
      <c r="AX43" s="1456"/>
      <c r="AY43" s="1457"/>
      <c r="AZ43" s="1456"/>
      <c r="BB43" s="946"/>
      <c r="BC43" s="946"/>
      <c r="BD43" s="960" t="s">
        <v>545</v>
      </c>
      <c r="BE43" s="961">
        <v>9</v>
      </c>
      <c r="BF43" s="962">
        <v>2</v>
      </c>
      <c r="BG43" s="875">
        <f>BE43-9</f>
        <v>0</v>
      </c>
      <c r="BI43" s="689"/>
      <c r="BJ43" s="689"/>
      <c r="BK43" s="689"/>
      <c r="BL43" s="457"/>
      <c r="BM43" s="797"/>
      <c r="BN43" s="798"/>
      <c r="BO43" s="799"/>
      <c r="BP43" s="458"/>
      <c r="BQ43" s="41"/>
      <c r="BR43" s="41"/>
      <c r="BS43" s="41"/>
      <c r="BT43" s="41"/>
      <c r="BU43" s="41"/>
      <c r="BV43" s="41"/>
      <c r="BW43" s="41"/>
      <c r="BX43" s="41"/>
      <c r="BY43" s="41"/>
      <c r="BZ43" s="41"/>
      <c r="CA43" s="47"/>
      <c r="CB43" s="47"/>
      <c r="CC43" s="47"/>
      <c r="CD43" s="47"/>
      <c r="CE43" s="47"/>
      <c r="CF43" s="47"/>
      <c r="CG43" s="47"/>
      <c r="CH43" s="970">
        <f>AVERAGE(CG12,CG28,CG37)</f>
        <v>0.36212121212121234</v>
      </c>
      <c r="CI43" s="47"/>
      <c r="CJ43" s="956"/>
      <c r="CK43" s="957"/>
      <c r="CL43" s="982" t="s">
        <v>442</v>
      </c>
      <c r="CM43" s="971">
        <v>12.469696969696965</v>
      </c>
      <c r="CN43" s="983">
        <v>66</v>
      </c>
      <c r="CO43" s="959"/>
      <c r="CP43" s="971">
        <f>AVERAGE(CP36,CP40,CP42)</f>
        <v>2.3196289821289819</v>
      </c>
    </row>
    <row r="44" spans="1:94">
      <c r="A44" s="41"/>
      <c r="B44" s="41" t="s">
        <v>21</v>
      </c>
      <c r="C44" s="41" t="s">
        <v>146</v>
      </c>
      <c r="D44" s="1496">
        <v>15.75</v>
      </c>
      <c r="E44" s="105">
        <v>4</v>
      </c>
      <c r="F44" s="1431">
        <f>D44-G44</f>
        <v>3.75</v>
      </c>
      <c r="G44" s="107">
        <v>12</v>
      </c>
      <c r="I44" s="41"/>
      <c r="J44" s="41" t="s">
        <v>41</v>
      </c>
      <c r="K44" s="41" t="s">
        <v>145</v>
      </c>
      <c r="L44" s="1496">
        <v>9.67</v>
      </c>
      <c r="M44" s="105">
        <v>3</v>
      </c>
      <c r="N44" s="1431">
        <f>L44-O44</f>
        <v>0.66999999999999993</v>
      </c>
      <c r="O44" s="107">
        <v>9</v>
      </c>
      <c r="P44" s="107"/>
      <c r="S44" s="1793"/>
      <c r="T44" s="4702"/>
      <c r="U44" s="4702"/>
      <c r="Y44" s="41"/>
      <c r="Z44" s="41" t="s">
        <v>41</v>
      </c>
      <c r="AA44" s="41" t="s">
        <v>145</v>
      </c>
      <c r="AB44" s="1495">
        <v>11.8</v>
      </c>
      <c r="AC44" s="105">
        <v>15</v>
      </c>
      <c r="AD44" s="144">
        <f t="shared" si="4"/>
        <v>2.8000000000000007</v>
      </c>
      <c r="AE44" s="107">
        <v>9</v>
      </c>
      <c r="AF44" s="107"/>
      <c r="AG44" s="58"/>
      <c r="AH44" s="95"/>
      <c r="AI44" s="58" t="s">
        <v>1948</v>
      </c>
      <c r="AJ44" s="912">
        <v>12.75</v>
      </c>
      <c r="AK44" s="95">
        <v>4</v>
      </c>
      <c r="AL44" s="1456">
        <f>AJ44-12</f>
        <v>0.75</v>
      </c>
      <c r="AN44" s="107"/>
      <c r="AO44" s="107"/>
      <c r="AP44" s="968" t="s">
        <v>547</v>
      </c>
      <c r="AQ44" s="969">
        <v>12.31</v>
      </c>
      <c r="AR44" s="145">
        <v>16</v>
      </c>
      <c r="AS44" s="875">
        <f>+(AR41*AS41+AR42*AS42+AR43*AS43)/AR44</f>
        <v>1.0637500000000002</v>
      </c>
      <c r="AU44" s="1359"/>
      <c r="AV44" s="1359"/>
      <c r="AW44" s="1458" t="s">
        <v>547</v>
      </c>
      <c r="AX44" s="1459">
        <v>12.692307692307693</v>
      </c>
      <c r="AY44" s="1460">
        <v>13</v>
      </c>
      <c r="AZ44" s="875">
        <f>+(AY41*AZ41+AY42*AZ42)/AY44</f>
        <v>0.92307692307692413</v>
      </c>
      <c r="BB44" s="946"/>
      <c r="BC44" s="946"/>
      <c r="BD44" s="960" t="s">
        <v>260</v>
      </c>
      <c r="BE44" s="961">
        <v>9</v>
      </c>
      <c r="BF44" s="962">
        <v>2</v>
      </c>
      <c r="BG44" s="875">
        <f>BE44-9</f>
        <v>0</v>
      </c>
      <c r="BI44" s="689"/>
      <c r="BJ44" s="689"/>
      <c r="BK44" s="689"/>
      <c r="BL44" s="457"/>
      <c r="BM44" s="797"/>
      <c r="BN44" s="798"/>
      <c r="BO44" s="799"/>
      <c r="BP44" s="458"/>
      <c r="BQ44" s="41"/>
      <c r="BR44" s="993"/>
      <c r="BS44" s="993"/>
      <c r="BT44" s="951"/>
      <c r="BU44" s="952"/>
      <c r="BV44" s="952"/>
      <c r="BW44" s="953"/>
      <c r="BX44" s="994"/>
      <c r="BY44" s="41"/>
      <c r="BZ44" s="41"/>
      <c r="CA44" s="47"/>
      <c r="CB44" s="47"/>
      <c r="CC44" s="47"/>
      <c r="CD44" s="47"/>
      <c r="CE44" s="47"/>
      <c r="CF44" s="47"/>
      <c r="CG44" s="47"/>
      <c r="CH44" s="970">
        <f>AVERAGE(CG32,CG40)</f>
        <v>7.7333333333333325</v>
      </c>
      <c r="CI44" s="47"/>
      <c r="CJ44" s="995"/>
      <c r="CK44" s="943"/>
      <c r="CL44" s="995" t="s">
        <v>113</v>
      </c>
      <c r="CM44" s="996">
        <v>14.092783505154635</v>
      </c>
      <c r="CN44" s="943">
        <v>194</v>
      </c>
      <c r="CO44" s="997"/>
      <c r="CP44" s="998">
        <f>AVERAGE(CP15,CP33,CP43)</f>
        <v>2.6799455872262894</v>
      </c>
    </row>
    <row r="45" spans="1:94" ht="15" thickBot="1">
      <c r="A45" s="41"/>
      <c r="B45" s="41"/>
      <c r="C45" s="461" t="s">
        <v>546</v>
      </c>
      <c r="D45" s="1511">
        <v>15.75</v>
      </c>
      <c r="E45" s="5501">
        <v>4</v>
      </c>
      <c r="F45" s="4794">
        <f>D45-12</f>
        <v>3.75</v>
      </c>
      <c r="G45" s="107">
        <v>12</v>
      </c>
      <c r="I45" s="41"/>
      <c r="K45" s="41" t="s">
        <v>333</v>
      </c>
      <c r="L45" s="1496">
        <v>13.13</v>
      </c>
      <c r="M45" s="105">
        <v>8</v>
      </c>
      <c r="N45" s="1431">
        <f>L45-O45</f>
        <v>1.1300000000000008</v>
      </c>
      <c r="O45" s="107">
        <v>12</v>
      </c>
      <c r="P45" s="107"/>
      <c r="R45" s="37" t="s">
        <v>41</v>
      </c>
      <c r="S45" s="37" t="s">
        <v>333</v>
      </c>
      <c r="T45" s="1788">
        <v>13.29</v>
      </c>
      <c r="U45" s="1788">
        <v>7</v>
      </c>
      <c r="V45" s="4243">
        <f t="shared" si="15"/>
        <v>1.2899999999999991</v>
      </c>
      <c r="W45" s="4243">
        <v>12</v>
      </c>
      <c r="Y45" s="41"/>
      <c r="Z45" s="41"/>
      <c r="AA45" s="41" t="s">
        <v>333</v>
      </c>
      <c r="AB45" s="1495">
        <v>14.13</v>
      </c>
      <c r="AC45" s="105">
        <v>8</v>
      </c>
      <c r="AD45" s="144">
        <f t="shared" si="4"/>
        <v>2.1300000000000008</v>
      </c>
      <c r="AE45" s="107">
        <v>12</v>
      </c>
      <c r="AF45" s="107"/>
      <c r="AG45" s="58"/>
      <c r="AH45" s="95"/>
      <c r="AI45" s="2009" t="s">
        <v>547</v>
      </c>
      <c r="AJ45" s="2010">
        <v>13.65</v>
      </c>
      <c r="AK45" s="2011">
        <v>17</v>
      </c>
      <c r="AL45" s="875">
        <f>+(AK42*AL42+AK43*AL43+AK44*AL44)/AK45</f>
        <v>2.355294117647059</v>
      </c>
      <c r="AN45" s="107"/>
      <c r="AO45" s="107" t="s">
        <v>104</v>
      </c>
      <c r="AP45" s="47" t="s">
        <v>146</v>
      </c>
      <c r="AQ45" s="144">
        <v>15.2</v>
      </c>
      <c r="AR45" s="107">
        <v>5</v>
      </c>
      <c r="AS45" s="1456">
        <f>AQ45-12</f>
        <v>3.1999999999999993</v>
      </c>
      <c r="AU45" s="1359"/>
      <c r="AV45" s="1359" t="s">
        <v>104</v>
      </c>
      <c r="AW45" s="1455" t="s">
        <v>146</v>
      </c>
      <c r="AX45" s="1456">
        <v>13.333333333333334</v>
      </c>
      <c r="AY45" s="1457">
        <v>6</v>
      </c>
      <c r="AZ45" s="1456">
        <f>AX45-12</f>
        <v>1.3333333333333339</v>
      </c>
      <c r="BB45" s="999"/>
      <c r="BC45" s="999"/>
      <c r="BD45" s="1000" t="s">
        <v>113</v>
      </c>
      <c r="BE45" s="1001">
        <v>13.479999999999988</v>
      </c>
      <c r="BF45" s="1002">
        <v>225</v>
      </c>
      <c r="BG45" s="925">
        <f>+(BF14*BG14+BF31*BG31+BF41*BG41+BF44*BG44)/BF45</f>
        <v>2.0533333333333292</v>
      </c>
      <c r="BI45" s="689"/>
      <c r="BJ45" s="689"/>
      <c r="BK45" s="689"/>
      <c r="BL45" s="457"/>
      <c r="BM45" s="797"/>
      <c r="BN45" s="798"/>
      <c r="BO45" s="799"/>
      <c r="BP45" s="458"/>
      <c r="BQ45" s="41"/>
      <c r="BR45" s="993"/>
      <c r="BS45" s="993"/>
      <c r="BT45" s="951"/>
      <c r="BU45" s="952"/>
      <c r="BV45" s="952"/>
      <c r="BW45" s="953"/>
      <c r="BX45" s="994"/>
      <c r="BY45" s="41"/>
      <c r="BZ45" s="41"/>
      <c r="CA45" s="47"/>
      <c r="CB45" s="47"/>
      <c r="CC45" s="47"/>
      <c r="CD45" s="47"/>
      <c r="CE45" s="47"/>
      <c r="CF45" s="47"/>
      <c r="CG45" s="47"/>
      <c r="CH45" s="970">
        <f>AVERAGE(CG14,CG42)</f>
        <v>3.2857142857142856</v>
      </c>
      <c r="CI45" s="47"/>
      <c r="CJ45" s="956" t="s">
        <v>1374</v>
      </c>
      <c r="CK45" s="957"/>
      <c r="CL45" s="956"/>
      <c r="CM45" s="956"/>
      <c r="CN45" s="957"/>
      <c r="CO45" s="957"/>
      <c r="CP45" s="956"/>
    </row>
    <row r="46" spans="1:94" ht="24.6" thickBot="1">
      <c r="A46" s="5527"/>
      <c r="B46" s="5527"/>
      <c r="C46" s="5488" t="s">
        <v>442</v>
      </c>
      <c r="D46" s="5528">
        <v>13.13</v>
      </c>
      <c r="E46" s="5489">
        <v>46</v>
      </c>
      <c r="F46" s="4793">
        <f>+(E39*F39+E43*F43+E45*F45)/E46</f>
        <v>1.3915217391304346</v>
      </c>
      <c r="G46" s="4639"/>
      <c r="I46" s="41"/>
      <c r="J46" s="41"/>
      <c r="K46" s="41" t="s">
        <v>1948</v>
      </c>
      <c r="L46" s="1496">
        <v>12.67</v>
      </c>
      <c r="M46" s="105">
        <v>6</v>
      </c>
      <c r="N46" s="1431">
        <f>L46-O46</f>
        <v>0.66999999999999993</v>
      </c>
      <c r="O46" s="107">
        <v>12</v>
      </c>
      <c r="P46" s="107"/>
      <c r="S46" s="37" t="s">
        <v>1948</v>
      </c>
      <c r="T46" s="1788">
        <v>13.67</v>
      </c>
      <c r="U46" s="1788">
        <v>3</v>
      </c>
      <c r="V46" s="4243">
        <f t="shared" si="15"/>
        <v>1.67</v>
      </c>
      <c r="W46" s="4243">
        <v>12</v>
      </c>
      <c r="Y46" s="41"/>
      <c r="Z46" s="41"/>
      <c r="AA46" s="41" t="s">
        <v>1948</v>
      </c>
      <c r="AB46" s="1495">
        <v>13.25</v>
      </c>
      <c r="AC46" s="105">
        <v>4</v>
      </c>
      <c r="AD46" s="144">
        <f t="shared" si="4"/>
        <v>1.25</v>
      </c>
      <c r="AE46" s="107">
        <v>12</v>
      </c>
      <c r="AF46" s="107"/>
      <c r="AG46" s="58"/>
      <c r="AH46" s="95" t="s">
        <v>21</v>
      </c>
      <c r="AI46" s="58" t="s">
        <v>146</v>
      </c>
      <c r="AJ46" s="912">
        <v>14</v>
      </c>
      <c r="AK46" s="95">
        <v>7</v>
      </c>
      <c r="AL46" s="1459">
        <f>AJ46-12</f>
        <v>2</v>
      </c>
      <c r="AN46" s="107"/>
      <c r="AO46" s="107"/>
      <c r="AP46" s="968" t="s">
        <v>844</v>
      </c>
      <c r="AQ46" s="969">
        <v>15.2</v>
      </c>
      <c r="AR46" s="145">
        <v>5</v>
      </c>
      <c r="AS46" s="1459">
        <f>AQ46-12</f>
        <v>3.1999999999999993</v>
      </c>
      <c r="AU46" s="1359"/>
      <c r="AV46" s="1359"/>
      <c r="AW46" s="1458" t="s">
        <v>844</v>
      </c>
      <c r="AX46" s="1459">
        <v>13.333333333333334</v>
      </c>
      <c r="AY46" s="1460">
        <v>6</v>
      </c>
      <c r="AZ46" s="1459">
        <f>AX46-12</f>
        <v>1.3333333333333339</v>
      </c>
      <c r="BB46" s="1003"/>
      <c r="BC46" s="1003"/>
      <c r="BD46" s="99"/>
      <c r="BE46" s="99"/>
      <c r="BF46" s="99"/>
      <c r="BG46" s="99"/>
      <c r="BI46" s="672" t="s">
        <v>1009</v>
      </c>
      <c r="BJ46" s="814"/>
      <c r="BK46" s="814"/>
      <c r="BL46" s="672" t="s">
        <v>1</v>
      </c>
      <c r="BM46" s="672" t="s">
        <v>1155</v>
      </c>
      <c r="BN46" s="672" t="s">
        <v>1366</v>
      </c>
      <c r="BO46" s="672" t="s">
        <v>1367</v>
      </c>
      <c r="BP46" s="672" t="s">
        <v>1302</v>
      </c>
      <c r="BQ46" s="41"/>
      <c r="BR46" s="993"/>
      <c r="BS46" s="41"/>
      <c r="BT46" s="754" t="s">
        <v>1387</v>
      </c>
      <c r="BU46" s="754" t="s">
        <v>1368</v>
      </c>
      <c r="BV46" s="754" t="s">
        <v>1302</v>
      </c>
      <c r="BW46" s="940" t="s">
        <v>1366</v>
      </c>
      <c r="BX46" s="754" t="s">
        <v>1369</v>
      </c>
      <c r="BY46" s="754" t="s">
        <v>1302</v>
      </c>
      <c r="BZ46" s="41"/>
      <c r="CA46" s="47"/>
      <c r="CB46" s="47"/>
      <c r="CC46" s="456" t="s">
        <v>1</v>
      </c>
      <c r="CD46" s="456" t="s">
        <v>1366</v>
      </c>
      <c r="CE46" s="728" t="s">
        <v>1370</v>
      </c>
      <c r="CF46" s="728" t="s">
        <v>1371</v>
      </c>
      <c r="CG46" s="728" t="s">
        <v>1302</v>
      </c>
      <c r="CH46" s="970"/>
      <c r="CI46" s="47"/>
      <c r="CJ46" s="47"/>
      <c r="CK46" s="957"/>
      <c r="CL46" s="956"/>
      <c r="CM46" s="956"/>
      <c r="CN46" s="957"/>
      <c r="CO46" s="957"/>
      <c r="CP46" s="956"/>
    </row>
    <row r="47" spans="1:94">
      <c r="A47" s="41" t="s">
        <v>59</v>
      </c>
      <c r="B47" s="41" t="s">
        <v>16</v>
      </c>
      <c r="C47" s="41" t="s">
        <v>670</v>
      </c>
      <c r="D47" s="1496">
        <v>12</v>
      </c>
      <c r="E47" s="105">
        <v>2</v>
      </c>
      <c r="F47" s="1431">
        <f>D47-G47</f>
        <v>0</v>
      </c>
      <c r="G47" s="107">
        <v>12</v>
      </c>
      <c r="I47" s="41"/>
      <c r="J47" s="41"/>
      <c r="K47" s="461" t="s">
        <v>547</v>
      </c>
      <c r="L47" s="1511">
        <v>12.35</v>
      </c>
      <c r="M47" s="4686">
        <v>17</v>
      </c>
      <c r="N47" s="1989">
        <f>+(M44*N44+M45*N45+M46*N46)/M47</f>
        <v>0.88647058823529445</v>
      </c>
      <c r="O47" s="107"/>
      <c r="P47" s="107"/>
      <c r="S47" s="1793" t="s">
        <v>547</v>
      </c>
      <c r="T47" s="4702">
        <v>13.4</v>
      </c>
      <c r="U47" s="4702">
        <v>10</v>
      </c>
      <c r="V47" s="4771">
        <f>+(U45*V45+U46*V46)/U47</f>
        <v>1.4039999999999995</v>
      </c>
      <c r="Y47" s="41"/>
      <c r="Z47" s="41"/>
      <c r="AA47" s="461" t="s">
        <v>547</v>
      </c>
      <c r="AB47" s="1510">
        <v>12.7</v>
      </c>
      <c r="AC47" s="2480">
        <v>27</v>
      </c>
      <c r="AD47" s="875">
        <f>+(AC44*AD44+AC45*AD45+AC46*AD46)/AC47</f>
        <v>2.3718518518518525</v>
      </c>
      <c r="AE47" s="107"/>
      <c r="AF47" s="107"/>
      <c r="AG47" s="58"/>
      <c r="AH47" s="95"/>
      <c r="AI47" s="2009" t="s">
        <v>546</v>
      </c>
      <c r="AJ47" s="2010">
        <v>14</v>
      </c>
      <c r="AK47" s="2011">
        <v>7</v>
      </c>
      <c r="AL47" s="1459">
        <f>AJ47-12</f>
        <v>2</v>
      </c>
      <c r="AN47" s="1676"/>
      <c r="AO47" s="1676"/>
      <c r="AP47" s="1673" t="s">
        <v>442</v>
      </c>
      <c r="AQ47" s="1674">
        <v>12.56</v>
      </c>
      <c r="AR47" s="1675">
        <v>39</v>
      </c>
      <c r="AS47" s="1677">
        <f>+(AR41*AS41+AR44*AS44+AR46*AS46)/AR47</f>
        <v>1.0517948717948717</v>
      </c>
      <c r="AU47" s="1359"/>
      <c r="AV47" s="1359"/>
      <c r="AW47" s="1458" t="s">
        <v>442</v>
      </c>
      <c r="AX47" s="1459">
        <v>12.600000000000005</v>
      </c>
      <c r="AY47" s="1460">
        <v>50</v>
      </c>
      <c r="AZ47" s="875">
        <f>+(AY40*AZ40+AY44*AZ44+AY46*AZ46)/AY47</f>
        <v>1.2000000000000006</v>
      </c>
      <c r="BI47" s="689" t="s">
        <v>1385</v>
      </c>
      <c r="BJ47" s="689"/>
      <c r="BK47" s="105"/>
      <c r="BL47" s="689" t="s">
        <v>4</v>
      </c>
      <c r="BM47" s="459">
        <v>15.189189189189182</v>
      </c>
      <c r="BN47" s="458">
        <v>37</v>
      </c>
      <c r="BO47" s="765">
        <v>4.8867043986596777</v>
      </c>
      <c r="BP47" s="952">
        <f>+(BN9*BP9+BN20*BP20)/BN47</f>
        <v>5.1351351351351333</v>
      </c>
      <c r="BQ47" s="41"/>
      <c r="BR47" s="993"/>
      <c r="BS47" s="41"/>
      <c r="BT47" s="950" t="s">
        <v>4</v>
      </c>
      <c r="BU47" s="952">
        <v>16.035714285714292</v>
      </c>
      <c r="BV47" s="952">
        <f>+(BW9*BV9+BW21*BV21)/BW47</f>
        <v>5.2142857142857144</v>
      </c>
      <c r="BW47" s="953">
        <v>28</v>
      </c>
      <c r="BX47" s="954">
        <v>17.5</v>
      </c>
      <c r="BY47" s="955">
        <f>+(BW9*BY9+BW21*BY21)/BW47</f>
        <v>6.6785714285714288</v>
      </c>
      <c r="BZ47" s="41"/>
      <c r="CA47" s="47"/>
      <c r="CB47" s="47"/>
      <c r="CC47" s="107" t="s">
        <v>4</v>
      </c>
      <c r="CD47" s="107">
        <v>34</v>
      </c>
      <c r="CE47" s="144">
        <v>16.205882352941185</v>
      </c>
      <c r="CF47" s="47"/>
      <c r="CG47" s="144">
        <f>+(CD9*CG9+CD21*CG21)/CD47</f>
        <v>6.0588235294117627</v>
      </c>
      <c r="CH47" s="970">
        <f>AVERAGE(CH42:CH45)</f>
        <v>4.4688099943534718</v>
      </c>
      <c r="CI47" s="47"/>
      <c r="CJ47" s="47"/>
      <c r="CK47" s="47"/>
      <c r="CL47" s="47"/>
      <c r="CM47" s="47"/>
      <c r="CN47" s="47"/>
      <c r="CO47" s="47"/>
      <c r="CP47" s="47"/>
    </row>
    <row r="48" spans="1:94">
      <c r="A48" s="41"/>
      <c r="B48" s="41"/>
      <c r="C48" s="461" t="s">
        <v>545</v>
      </c>
      <c r="D48" s="1511">
        <v>12</v>
      </c>
      <c r="E48" s="5501">
        <v>2</v>
      </c>
      <c r="F48" s="1989">
        <f>D48-G48</f>
        <v>0</v>
      </c>
      <c r="G48" s="145">
        <v>12</v>
      </c>
      <c r="I48" s="41"/>
      <c r="J48" s="41" t="s">
        <v>21</v>
      </c>
      <c r="K48" s="41" t="s">
        <v>146</v>
      </c>
      <c r="L48" s="1496">
        <v>12</v>
      </c>
      <c r="M48" s="105">
        <v>3</v>
      </c>
      <c r="N48" s="1431">
        <f>L48-O48</f>
        <v>0</v>
      </c>
      <c r="O48" s="107">
        <v>12</v>
      </c>
      <c r="P48" s="107"/>
      <c r="R48" s="37" t="s">
        <v>21</v>
      </c>
      <c r="S48" s="37" t="s">
        <v>146</v>
      </c>
      <c r="T48" s="1788">
        <v>12</v>
      </c>
      <c r="U48" s="1788">
        <v>1</v>
      </c>
      <c r="V48" s="4243">
        <f t="shared" si="15"/>
        <v>0</v>
      </c>
      <c r="W48" s="4243">
        <v>12</v>
      </c>
      <c r="Y48" s="41"/>
      <c r="Z48" s="41" t="s">
        <v>21</v>
      </c>
      <c r="AA48" s="41" t="s">
        <v>146</v>
      </c>
      <c r="AB48" s="1495">
        <v>12.25</v>
      </c>
      <c r="AC48" s="105">
        <v>4</v>
      </c>
      <c r="AD48" s="144">
        <f t="shared" si="4"/>
        <v>0.25</v>
      </c>
      <c r="AE48" s="107">
        <v>12</v>
      </c>
      <c r="AF48" s="107"/>
      <c r="AG48" s="2012"/>
      <c r="AH48" s="2008"/>
      <c r="AI48" s="2013" t="s">
        <v>442</v>
      </c>
      <c r="AJ48" s="2014">
        <v>13.05</v>
      </c>
      <c r="AK48" s="2015">
        <v>55</v>
      </c>
      <c r="AL48" s="1677">
        <f>+(AK41*AL41+AK45*AL45+AK47*AL47)/AK48</f>
        <v>2.9658181818181819</v>
      </c>
      <c r="AN48" s="107" t="s">
        <v>59</v>
      </c>
      <c r="AO48" s="107" t="s">
        <v>16</v>
      </c>
      <c r="AP48" s="47" t="s">
        <v>670</v>
      </c>
      <c r="AQ48" s="144">
        <v>9.1999999999999993</v>
      </c>
      <c r="AR48" s="107">
        <v>5</v>
      </c>
      <c r="AS48" s="1463">
        <f>AQ48-9</f>
        <v>0.19999999999999929</v>
      </c>
      <c r="AU48" s="1461" t="s">
        <v>59</v>
      </c>
      <c r="AV48" s="1461" t="s">
        <v>16</v>
      </c>
      <c r="AW48" s="1462" t="s">
        <v>670</v>
      </c>
      <c r="AX48" s="1463">
        <v>9</v>
      </c>
      <c r="AY48" s="1464">
        <v>1</v>
      </c>
      <c r="AZ48" s="1463">
        <f>AX48-9</f>
        <v>0</v>
      </c>
      <c r="BI48" s="689"/>
      <c r="BJ48" s="689"/>
      <c r="BK48" s="105"/>
      <c r="BL48" s="689" t="s">
        <v>16</v>
      </c>
      <c r="BM48" s="459">
        <v>12.083333333333334</v>
      </c>
      <c r="BN48" s="458">
        <v>96</v>
      </c>
      <c r="BO48" s="765">
        <v>2.6464143235574098</v>
      </c>
      <c r="BP48" s="952">
        <f>+(BN11*BP11+BN26*BP26+BN35*BP35)/BN48</f>
        <v>0.33333333333333387</v>
      </c>
      <c r="BQ48" s="41"/>
      <c r="BR48" s="993"/>
      <c r="BS48" s="41"/>
      <c r="BT48" s="950" t="s">
        <v>16</v>
      </c>
      <c r="BU48" s="952">
        <v>11.417721518987342</v>
      </c>
      <c r="BV48" s="952">
        <f>+(BW12*BV12+BW28*BV28+BW37*BV37)/BW48</f>
        <v>-0.35443037974683472</v>
      </c>
      <c r="BW48" s="953">
        <v>79</v>
      </c>
      <c r="BX48" s="954">
        <v>12.30379746835443</v>
      </c>
      <c r="BY48" s="955">
        <f>+(BW12*BY12+BW28*BY28+BW37*BY37)/BW48</f>
        <v>0.53164556962025311</v>
      </c>
      <c r="BZ48" s="41"/>
      <c r="CA48" s="47"/>
      <c r="CB48" s="47"/>
      <c r="CC48" s="107" t="s">
        <v>16</v>
      </c>
      <c r="CD48" s="107">
        <v>99</v>
      </c>
      <c r="CE48" s="144">
        <v>12.393939393939396</v>
      </c>
      <c r="CF48" s="47"/>
      <c r="CG48" s="144">
        <f>+(CD12*CG12+CD28*CG28+CD37*CG37)/CD48</f>
        <v>0.5757575757575758</v>
      </c>
      <c r="CH48" s="47"/>
      <c r="CI48" s="47"/>
      <c r="CJ48" s="47"/>
      <c r="CK48" s="47"/>
      <c r="CL48" s="47"/>
      <c r="CM48" s="47"/>
      <c r="CN48" s="47"/>
      <c r="CO48" s="47"/>
      <c r="CP48" s="47"/>
    </row>
    <row r="49" spans="1:94">
      <c r="A49" s="41"/>
      <c r="B49" s="41" t="s">
        <v>64</v>
      </c>
      <c r="C49" s="41" t="s">
        <v>671</v>
      </c>
      <c r="D49" s="1496">
        <v>14</v>
      </c>
      <c r="E49" s="105">
        <v>4</v>
      </c>
      <c r="F49" s="1431">
        <f>D49-G49</f>
        <v>2</v>
      </c>
      <c r="G49" s="107">
        <v>12</v>
      </c>
      <c r="I49" s="41"/>
      <c r="J49" s="41"/>
      <c r="K49" s="461" t="s">
        <v>546</v>
      </c>
      <c r="L49" s="1511">
        <v>12</v>
      </c>
      <c r="M49" s="4686">
        <v>3</v>
      </c>
      <c r="N49" s="4794">
        <f>L49-12</f>
        <v>0</v>
      </c>
      <c r="O49" s="107"/>
      <c r="P49" s="107"/>
      <c r="S49" s="1793" t="s">
        <v>546</v>
      </c>
      <c r="T49" s="4702">
        <v>12</v>
      </c>
      <c r="U49" s="4702">
        <v>1</v>
      </c>
      <c r="V49" s="4792">
        <f>T49-12</f>
        <v>0</v>
      </c>
      <c r="Y49" s="41"/>
      <c r="Z49" s="41"/>
      <c r="AA49" s="461" t="s">
        <v>546</v>
      </c>
      <c r="AB49" s="1510">
        <v>12.25</v>
      </c>
      <c r="AC49" s="2480">
        <v>4</v>
      </c>
      <c r="AD49" s="1459">
        <f>AB49-12</f>
        <v>0.25</v>
      </c>
      <c r="AE49" s="107"/>
      <c r="AF49" s="107"/>
      <c r="AG49" s="58" t="s">
        <v>59</v>
      </c>
      <c r="AH49" s="95" t="s">
        <v>16</v>
      </c>
      <c r="AI49" s="58" t="s">
        <v>670</v>
      </c>
      <c r="AJ49" s="912">
        <v>10</v>
      </c>
      <c r="AK49" s="95">
        <v>9</v>
      </c>
      <c r="AL49" s="1456">
        <f>AJ49-9</f>
        <v>1</v>
      </c>
      <c r="AN49" s="107"/>
      <c r="AO49" s="107"/>
      <c r="AP49" s="968" t="s">
        <v>545</v>
      </c>
      <c r="AQ49" s="969">
        <v>9.1999999999999993</v>
      </c>
      <c r="AR49" s="145">
        <v>5</v>
      </c>
      <c r="AS49" s="1459">
        <f>AQ49-9</f>
        <v>0.19999999999999929</v>
      </c>
      <c r="AU49" s="1359"/>
      <c r="AV49" s="1359"/>
      <c r="AW49" s="1458" t="s">
        <v>545</v>
      </c>
      <c r="AX49" s="1459">
        <v>9</v>
      </c>
      <c r="AY49" s="1460">
        <v>1</v>
      </c>
      <c r="AZ49" s="1459">
        <f>AX49-9</f>
        <v>0</v>
      </c>
      <c r="BI49" s="689"/>
      <c r="BJ49" s="689"/>
      <c r="BK49" s="105"/>
      <c r="BL49" s="689" t="s">
        <v>41</v>
      </c>
      <c r="BM49" s="459">
        <v>14.266666666666667</v>
      </c>
      <c r="BN49" s="458">
        <v>45</v>
      </c>
      <c r="BO49" s="765">
        <v>3.9045428087619354</v>
      </c>
      <c r="BP49" s="952">
        <f>+(BN30*BP30+BN38*BP38)/BN49</f>
        <v>3.9111111111111105</v>
      </c>
      <c r="BQ49" s="41"/>
      <c r="BR49" s="993"/>
      <c r="BS49" s="41"/>
      <c r="BT49" s="950" t="s">
        <v>41</v>
      </c>
      <c r="BU49" s="952">
        <v>14.530612244897958</v>
      </c>
      <c r="BV49" s="952">
        <f>+(BW32*BV32+BW40*BV40)/BW49</f>
        <v>4.1020408163265296</v>
      </c>
      <c r="BW49" s="953">
        <v>49</v>
      </c>
      <c r="BX49" s="954">
        <v>15.755102040816322</v>
      </c>
      <c r="BY49" s="955">
        <f>+(BW32*BY32+BW40*BY40)/BW49</f>
        <v>5.3265306122448983</v>
      </c>
      <c r="BZ49" s="41"/>
      <c r="CA49" s="47"/>
      <c r="CB49" s="47"/>
      <c r="CC49" s="107" t="s">
        <v>41</v>
      </c>
      <c r="CD49" s="107">
        <v>48</v>
      </c>
      <c r="CE49" s="144">
        <v>17.687500000000004</v>
      </c>
      <c r="CF49" s="47"/>
      <c r="CG49" s="144">
        <f>+(CD32*CG32+CD40*CG40)/CD49</f>
        <v>7.4583333333333321</v>
      </c>
      <c r="CH49" s="47"/>
      <c r="CI49" s="47"/>
      <c r="CJ49" s="47"/>
      <c r="CK49" s="47"/>
      <c r="CL49" s="47"/>
      <c r="CM49" s="47"/>
      <c r="CN49" s="47"/>
      <c r="CO49" s="47"/>
      <c r="CP49" s="47"/>
    </row>
    <row r="50" spans="1:94">
      <c r="A50" s="41"/>
      <c r="B50" s="41"/>
      <c r="C50" s="2457" t="s">
        <v>549</v>
      </c>
      <c r="D50" s="5526">
        <v>14</v>
      </c>
      <c r="E50" s="5503">
        <v>4</v>
      </c>
      <c r="F50" s="1989">
        <f>D50-G50</f>
        <v>2</v>
      </c>
      <c r="G50" s="145">
        <v>12</v>
      </c>
      <c r="I50" s="4637"/>
      <c r="J50" s="4637"/>
      <c r="K50" s="4638" t="s">
        <v>442</v>
      </c>
      <c r="L50" s="4795">
        <v>12.57</v>
      </c>
      <c r="M50" s="4636">
        <v>54</v>
      </c>
      <c r="N50" s="4793">
        <f>+(M43*N43+M47*N47+M49*N49)/M50</f>
        <v>0.74203703703703727</v>
      </c>
      <c r="O50" s="4639"/>
      <c r="P50" s="107"/>
      <c r="Q50" s="4754"/>
      <c r="R50" s="4754"/>
      <c r="S50" s="4755" t="s">
        <v>442</v>
      </c>
      <c r="T50" s="4756">
        <v>12.85</v>
      </c>
      <c r="U50" s="4756">
        <v>26</v>
      </c>
      <c r="V50" s="4791">
        <f>+(U43*V43+U47*V47+U49*V49)/U50</f>
        <v>0.84615384615384603</v>
      </c>
      <c r="W50" s="4777"/>
      <c r="Y50" s="2460"/>
      <c r="Z50" s="2460"/>
      <c r="AA50" s="2461" t="s">
        <v>442</v>
      </c>
      <c r="AB50" s="2462">
        <v>12.74</v>
      </c>
      <c r="AC50" s="2463">
        <v>57</v>
      </c>
      <c r="AD50" s="2505">
        <f>+(AC43*AD43+AC47*AD47+AC49*AD49)/AC50</f>
        <v>1.525964912280702</v>
      </c>
      <c r="AE50" s="2506"/>
      <c r="AF50" s="107"/>
      <c r="AG50" s="58"/>
      <c r="AH50" s="95"/>
      <c r="AI50" s="2009" t="s">
        <v>545</v>
      </c>
      <c r="AJ50" s="2010">
        <v>10</v>
      </c>
      <c r="AK50" s="2011">
        <v>9</v>
      </c>
      <c r="AL50" s="1459">
        <f>AJ50-9</f>
        <v>1</v>
      </c>
      <c r="AN50" s="107"/>
      <c r="AO50" s="107"/>
      <c r="AP50" s="968"/>
      <c r="AQ50" s="969"/>
      <c r="AR50" s="145"/>
      <c r="AS50" s="1459"/>
      <c r="AU50" s="1359"/>
      <c r="AV50" s="1359" t="s">
        <v>64</v>
      </c>
      <c r="AW50" s="1455" t="s">
        <v>333</v>
      </c>
      <c r="AX50" s="1456">
        <v>18</v>
      </c>
      <c r="AY50" s="1457">
        <v>1</v>
      </c>
      <c r="AZ50" s="1456">
        <f>AX50-12</f>
        <v>6</v>
      </c>
      <c r="BI50" s="689"/>
      <c r="BJ50" s="689"/>
      <c r="BK50" s="105"/>
      <c r="BL50" s="689" t="s">
        <v>104</v>
      </c>
      <c r="BM50" s="459">
        <v>9.454545454545455</v>
      </c>
      <c r="BN50" s="458">
        <v>11</v>
      </c>
      <c r="BO50" s="765">
        <v>3.2669140289770824</v>
      </c>
      <c r="BP50" s="952">
        <f>+(BN13*BP13+BN40*BP40)/BN50</f>
        <v>3.0909090909090917</v>
      </c>
      <c r="BQ50" s="41"/>
      <c r="BR50" s="993"/>
      <c r="BS50" s="41"/>
      <c r="BT50" s="950" t="s">
        <v>104</v>
      </c>
      <c r="BU50" s="952">
        <v>12.375</v>
      </c>
      <c r="BV50" s="952">
        <f>+(BW14*BV14+BW42*BV42)/BW50</f>
        <v>4.875</v>
      </c>
      <c r="BW50" s="953">
        <v>8</v>
      </c>
      <c r="BX50" s="954">
        <v>13.125</v>
      </c>
      <c r="BY50" s="955">
        <f>+(BW14*BY14+BW42*BY42)/BW50</f>
        <v>5.625</v>
      </c>
      <c r="BZ50" s="41"/>
      <c r="CA50" s="47"/>
      <c r="CB50" s="47"/>
      <c r="CC50" s="107" t="s">
        <v>104</v>
      </c>
      <c r="CD50" s="107">
        <v>10</v>
      </c>
      <c r="CE50" s="144">
        <v>9.2000000000000011</v>
      </c>
      <c r="CF50" s="47"/>
      <c r="CG50" s="144">
        <f>+(CD14*CG14+CD42*CG42)/CD50</f>
        <v>2.6</v>
      </c>
      <c r="CH50" s="47"/>
      <c r="CI50" s="47"/>
      <c r="CJ50" s="47"/>
      <c r="CK50" s="47"/>
      <c r="CL50" s="47"/>
      <c r="CM50" s="47"/>
      <c r="CN50" s="47"/>
      <c r="CO50" s="47"/>
      <c r="CP50" s="47"/>
    </row>
    <row r="51" spans="1:94" ht="15" thickBot="1">
      <c r="A51" s="5527"/>
      <c r="B51" s="5527"/>
      <c r="C51" s="5488" t="s">
        <v>260</v>
      </c>
      <c r="D51" s="5528">
        <v>13.33</v>
      </c>
      <c r="E51" s="5489">
        <v>6</v>
      </c>
      <c r="F51" s="4793">
        <f>+(E48*F48+E50*F50)/E51</f>
        <v>1.3333333333333333</v>
      </c>
      <c r="I51" s="41" t="s">
        <v>59</v>
      </c>
      <c r="J51" s="41" t="s">
        <v>16</v>
      </c>
      <c r="K51" s="41" t="s">
        <v>670</v>
      </c>
      <c r="L51" s="1496">
        <v>11.4</v>
      </c>
      <c r="M51" s="105">
        <v>5</v>
      </c>
      <c r="N51" s="1431">
        <f>L51-O51</f>
        <v>-0.59999999999999964</v>
      </c>
      <c r="O51" s="107">
        <v>12</v>
      </c>
      <c r="P51" s="107"/>
      <c r="Q51" s="37" t="s">
        <v>59</v>
      </c>
      <c r="R51" s="37" t="s">
        <v>16</v>
      </c>
      <c r="S51" s="37" t="s">
        <v>670</v>
      </c>
      <c r="T51" s="1788">
        <v>11</v>
      </c>
      <c r="U51" s="1788">
        <v>3</v>
      </c>
      <c r="V51" s="4243">
        <f t="shared" si="15"/>
        <v>-1</v>
      </c>
      <c r="W51" s="4243">
        <v>12</v>
      </c>
      <c r="Y51" s="41" t="s">
        <v>59</v>
      </c>
      <c r="Z51" s="41" t="s">
        <v>16</v>
      </c>
      <c r="AA51" s="41" t="s">
        <v>670</v>
      </c>
      <c r="AB51" s="1495">
        <v>9.7100000000000009</v>
      </c>
      <c r="AC51" s="105">
        <v>7</v>
      </c>
      <c r="AD51" s="144">
        <f t="shared" si="4"/>
        <v>-2.2899999999999991</v>
      </c>
      <c r="AE51" s="107">
        <v>12</v>
      </c>
      <c r="AF51" s="107"/>
      <c r="AG51" s="58"/>
      <c r="AH51" s="95" t="s">
        <v>64</v>
      </c>
      <c r="AI51" s="58" t="s">
        <v>671</v>
      </c>
      <c r="AJ51" s="912">
        <v>13.5</v>
      </c>
      <c r="AK51" s="95">
        <v>2</v>
      </c>
      <c r="AL51" s="1456">
        <f>AJ51-12</f>
        <v>1.5</v>
      </c>
      <c r="AN51" s="107"/>
      <c r="AO51" s="107"/>
      <c r="AP51" s="968"/>
      <c r="AQ51" s="969"/>
      <c r="AR51" s="145"/>
      <c r="AS51" s="1459"/>
      <c r="AU51" s="1359"/>
      <c r="AV51" s="1359"/>
      <c r="AW51" s="1455" t="s">
        <v>671</v>
      </c>
      <c r="AX51" s="1456">
        <v>10</v>
      </c>
      <c r="AY51" s="1457">
        <v>1</v>
      </c>
      <c r="AZ51" s="1456">
        <f>AX51-9</f>
        <v>1</v>
      </c>
      <c r="BI51" s="714"/>
      <c r="BJ51" s="714"/>
      <c r="BK51" s="714"/>
      <c r="BL51" s="714" t="s">
        <v>15</v>
      </c>
      <c r="BM51" s="468">
        <v>13.058201058201057</v>
      </c>
      <c r="BN51" s="467">
        <v>189</v>
      </c>
      <c r="BO51" s="795">
        <v>3.8387441072651254</v>
      </c>
      <c r="BP51" s="1004">
        <f>+(BN47*BP47+BN48*BP48+BN49*BP49+BN50*BP50)/BN51</f>
        <v>2.2857142857142856</v>
      </c>
      <c r="BQ51" s="41"/>
      <c r="BR51" s="993"/>
      <c r="BS51" s="41"/>
      <c r="BT51" s="950"/>
      <c r="BU51" s="952"/>
      <c r="BV51" s="952"/>
      <c r="BW51" s="953"/>
      <c r="BX51" s="994"/>
      <c r="BY51" s="690"/>
      <c r="BZ51" s="41"/>
      <c r="CA51" s="47"/>
      <c r="CB51" s="47"/>
      <c r="CC51" s="107"/>
      <c r="CD51" s="107"/>
      <c r="CE51" s="144"/>
      <c r="CF51" s="47"/>
      <c r="CG51" s="969"/>
      <c r="CH51" s="970">
        <f>AVERAGE(CG9,CG12,CG14)</f>
        <v>3.0440115440115441</v>
      </c>
      <c r="CI51" s="47"/>
      <c r="CJ51" s="47"/>
      <c r="CK51" s="47"/>
      <c r="CL51" s="47"/>
      <c r="CM51" s="47"/>
      <c r="CN51" s="47"/>
      <c r="CO51" s="47"/>
      <c r="CP51" s="47"/>
    </row>
    <row r="52" spans="1:94" ht="15" thickBot="1">
      <c r="A52" s="469"/>
      <c r="B52" s="469"/>
      <c r="C52" s="465" t="s">
        <v>113</v>
      </c>
      <c r="D52" s="1542">
        <v>13.98</v>
      </c>
      <c r="E52" s="466">
        <v>113</v>
      </c>
      <c r="F52" s="1568">
        <f>+(E17*F17+E35*F35+E46*F46+E51*F51)/E52</f>
        <v>2.2481415929203541</v>
      </c>
      <c r="I52" s="41"/>
      <c r="J52" s="41"/>
      <c r="K52" s="461" t="s">
        <v>545</v>
      </c>
      <c r="L52" s="1511">
        <v>11.4</v>
      </c>
      <c r="M52" s="4686">
        <v>5</v>
      </c>
      <c r="N52" s="1431">
        <f>L52-O52</f>
        <v>-0.59999999999999964</v>
      </c>
      <c r="O52" s="107">
        <v>12</v>
      </c>
      <c r="P52" s="107"/>
      <c r="S52" s="1793" t="s">
        <v>545</v>
      </c>
      <c r="T52" s="4702">
        <v>11</v>
      </c>
      <c r="U52" s="4702">
        <v>3</v>
      </c>
      <c r="V52" s="4243">
        <f t="shared" si="15"/>
        <v>-1</v>
      </c>
      <c r="W52" s="4243">
        <v>12</v>
      </c>
      <c r="Y52" s="41"/>
      <c r="Z52" s="41"/>
      <c r="AA52" s="461" t="s">
        <v>545</v>
      </c>
      <c r="AB52" s="1510">
        <v>9.7100000000000009</v>
      </c>
      <c r="AC52" s="2480">
        <v>7</v>
      </c>
      <c r="AD52" s="969">
        <f t="shared" si="4"/>
        <v>-2.2899999999999991</v>
      </c>
      <c r="AE52" s="107">
        <v>12</v>
      </c>
      <c r="AF52" s="107"/>
      <c r="AG52" s="2009"/>
      <c r="AH52" s="2011"/>
      <c r="AI52" s="2009" t="s">
        <v>549</v>
      </c>
      <c r="AJ52" s="2010">
        <v>13.5</v>
      </c>
      <c r="AK52" s="2011">
        <v>2</v>
      </c>
      <c r="AL52" s="1459">
        <f>AJ52-12</f>
        <v>1.5</v>
      </c>
      <c r="AN52" s="107"/>
      <c r="AO52" s="107"/>
      <c r="AP52" s="968"/>
      <c r="AQ52" s="969"/>
      <c r="AR52" s="145"/>
      <c r="AS52" s="1459"/>
      <c r="AU52" s="1359"/>
      <c r="AV52" s="1359"/>
      <c r="AW52" s="1458" t="s">
        <v>549</v>
      </c>
      <c r="AX52" s="1459">
        <v>14</v>
      </c>
      <c r="AY52" s="1460">
        <v>2</v>
      </c>
      <c r="AZ52" s="875">
        <f>+(AY50*AZ50+AY51*AZ51)/AY52</f>
        <v>3.5</v>
      </c>
      <c r="BI52" s="105"/>
      <c r="BJ52" s="105"/>
      <c r="BK52" s="105"/>
      <c r="BL52" s="41"/>
      <c r="BM52" s="41"/>
      <c r="BN52" s="41"/>
      <c r="BO52" s="41"/>
      <c r="BP52" s="41"/>
      <c r="BQ52" s="41"/>
      <c r="BR52" s="993"/>
      <c r="BS52" s="41"/>
      <c r="BT52" s="939" t="s">
        <v>75</v>
      </c>
      <c r="BU52" s="989">
        <v>13.182926829268288</v>
      </c>
      <c r="BV52" s="1005">
        <f>+(BW47*BV47+BW48*BV48+BW49*BV49+BW50*BV50)/BW52</f>
        <v>2.1829268292682928</v>
      </c>
      <c r="BW52" s="1006">
        <v>164</v>
      </c>
      <c r="BX52" s="989">
        <v>14.262195121951216</v>
      </c>
      <c r="BY52" s="1005">
        <f>+(BW47*BY47+BW48*BY48+BW49*BY49+BW50*BY50)/BW52</f>
        <v>3.2621951219512195</v>
      </c>
      <c r="BZ52" s="41"/>
      <c r="CA52" s="47"/>
      <c r="CB52" s="47"/>
      <c r="CC52" s="456" t="s">
        <v>75</v>
      </c>
      <c r="CD52" s="456">
        <v>191</v>
      </c>
      <c r="CE52" s="992">
        <v>14.235602094240834</v>
      </c>
      <c r="CF52" s="941"/>
      <c r="CG52" s="992">
        <f>+(CD47*CG47+CD48*CG48+CD49*CG49+CD50*CG50)/CD52</f>
        <v>3.3874345549738214</v>
      </c>
      <c r="CH52" s="970">
        <f>AVERAGE(CG21,CG28,CG32)</f>
        <v>4.1702898550724621</v>
      </c>
      <c r="CI52" s="47"/>
      <c r="CJ52" s="47"/>
      <c r="CK52" s="47"/>
      <c r="CL52" s="47"/>
      <c r="CM52" s="47"/>
      <c r="CN52" s="47"/>
      <c r="CO52" s="47"/>
      <c r="CP52" s="47"/>
    </row>
    <row r="53" spans="1:94">
      <c r="A53" s="41"/>
      <c r="B53" s="41"/>
      <c r="C53" s="41"/>
      <c r="D53" s="1496"/>
      <c r="E53" s="105"/>
      <c r="I53" s="41"/>
      <c r="J53" s="41" t="s">
        <v>64</v>
      </c>
      <c r="K53" s="41" t="s">
        <v>671</v>
      </c>
      <c r="L53" s="1496">
        <v>15</v>
      </c>
      <c r="M53" s="105">
        <v>6</v>
      </c>
      <c r="N53" s="1431">
        <f>L53-O53</f>
        <v>3</v>
      </c>
      <c r="O53" s="107">
        <v>12</v>
      </c>
      <c r="P53" s="107"/>
      <c r="R53" s="37" t="s">
        <v>64</v>
      </c>
      <c r="S53" s="37" t="s">
        <v>671</v>
      </c>
      <c r="T53" s="1788">
        <v>14</v>
      </c>
      <c r="U53" s="1788">
        <v>1</v>
      </c>
      <c r="V53" s="4243">
        <f t="shared" si="15"/>
        <v>2</v>
      </c>
      <c r="W53" s="4243">
        <v>12</v>
      </c>
      <c r="Y53" s="41"/>
      <c r="Z53" s="41" t="s">
        <v>64</v>
      </c>
      <c r="AA53" s="41" t="s">
        <v>671</v>
      </c>
      <c r="AB53" s="1495">
        <v>13.75</v>
      </c>
      <c r="AC53" s="105">
        <v>4</v>
      </c>
      <c r="AD53" s="144">
        <f t="shared" si="4"/>
        <v>1.75</v>
      </c>
      <c r="AE53" s="107">
        <v>12</v>
      </c>
      <c r="AF53" s="107"/>
      <c r="AG53" s="2009"/>
      <c r="AH53" s="2011"/>
      <c r="AI53" s="2009" t="s">
        <v>260</v>
      </c>
      <c r="AJ53" s="2010">
        <v>10.64</v>
      </c>
      <c r="AK53" s="2011">
        <v>11</v>
      </c>
      <c r="AL53" s="875">
        <f>+(AK50*AL50+AK52*AL52)/AK53</f>
        <v>1.0909090909090908</v>
      </c>
      <c r="AN53" s="107"/>
      <c r="AO53" s="107"/>
      <c r="AP53" s="968" t="s">
        <v>260</v>
      </c>
      <c r="AQ53" s="969">
        <v>9.1999999999999993</v>
      </c>
      <c r="AR53" s="145">
        <v>5</v>
      </c>
      <c r="AS53" s="875">
        <f>+(AR49*AS49+AR52*AS52)/AR53</f>
        <v>0.19999999999999929</v>
      </c>
      <c r="AU53" s="1359"/>
      <c r="AV53" s="1359"/>
      <c r="AW53" s="1458" t="s">
        <v>260</v>
      </c>
      <c r="AX53" s="1459">
        <v>12.333333333333334</v>
      </c>
      <c r="AY53" s="1460">
        <v>3</v>
      </c>
      <c r="AZ53" s="875">
        <f>+(AY49*AZ49+AY52*AZ52)/AY53</f>
        <v>2.3333333333333335</v>
      </c>
      <c r="BI53" s="105"/>
      <c r="BJ53" s="105"/>
      <c r="BK53" s="105"/>
      <c r="BL53" s="41"/>
      <c r="BM53" s="41"/>
      <c r="BN53" s="41"/>
      <c r="BO53" s="41"/>
      <c r="BP53" s="41"/>
      <c r="BQ53" s="41"/>
      <c r="BR53" s="993"/>
      <c r="BS53" s="41"/>
      <c r="BT53" s="41"/>
      <c r="BU53" s="41"/>
      <c r="BV53" s="41"/>
      <c r="BW53" s="41"/>
      <c r="BX53" s="41"/>
      <c r="BY53" s="41"/>
      <c r="BZ53" s="41"/>
      <c r="CA53" s="47"/>
      <c r="CB53" s="47"/>
      <c r="CC53" s="107"/>
      <c r="CD53" s="47"/>
      <c r="CE53" s="47"/>
      <c r="CF53" s="47"/>
      <c r="CG53" s="47"/>
      <c r="CH53" s="970">
        <f>AVERAGE(CG37,CG40,CG42)</f>
        <v>4.8232323232323235</v>
      </c>
      <c r="CI53" s="47"/>
      <c r="CJ53" s="47"/>
      <c r="CK53" s="47"/>
      <c r="CL53" s="47"/>
      <c r="CM53" s="47"/>
      <c r="CN53" s="47"/>
      <c r="CO53" s="47"/>
      <c r="CP53" s="47"/>
    </row>
    <row r="54" spans="1:94" ht="15" thickBot="1">
      <c r="A54" s="41"/>
      <c r="B54" s="41"/>
      <c r="C54" s="41"/>
      <c r="D54" s="1496"/>
      <c r="E54" s="105"/>
      <c r="I54" s="41"/>
      <c r="J54" s="41"/>
      <c r="K54" s="461" t="s">
        <v>549</v>
      </c>
      <c r="L54" s="1511">
        <v>15</v>
      </c>
      <c r="M54" s="4686">
        <v>6</v>
      </c>
      <c r="N54" s="1431">
        <f>L54-O54</f>
        <v>3</v>
      </c>
      <c r="O54" s="107">
        <v>12</v>
      </c>
      <c r="P54" s="107"/>
      <c r="S54" s="1793" t="s">
        <v>549</v>
      </c>
      <c r="T54" s="4702">
        <v>14</v>
      </c>
      <c r="U54" s="4702">
        <v>1</v>
      </c>
      <c r="V54" s="4243">
        <f>T54-W54</f>
        <v>2</v>
      </c>
      <c r="W54" s="4243">
        <v>12</v>
      </c>
      <c r="Y54" s="41"/>
      <c r="Z54" s="41"/>
      <c r="AA54" s="2457" t="s">
        <v>549</v>
      </c>
      <c r="AB54" s="2458">
        <v>13.75</v>
      </c>
      <c r="AC54" s="2459">
        <v>4</v>
      </c>
      <c r="AD54" s="969">
        <f t="shared" si="4"/>
        <v>1.75</v>
      </c>
      <c r="AE54" s="107">
        <v>12</v>
      </c>
      <c r="AF54" s="107"/>
      <c r="AG54" s="2020"/>
      <c r="AH54" s="756"/>
      <c r="AI54" s="2020" t="s">
        <v>113</v>
      </c>
      <c r="AJ54" s="901">
        <v>14.26</v>
      </c>
      <c r="AK54" s="756">
        <v>199</v>
      </c>
      <c r="AL54" s="1469">
        <f>+(AK21*AL21+AK38*AL38+AK48*AL48+AK53*AL53)/AK54</f>
        <v>3.1764824120603015</v>
      </c>
      <c r="AN54" s="1099"/>
      <c r="AO54" s="1099"/>
      <c r="AP54" s="941" t="s">
        <v>113</v>
      </c>
      <c r="AQ54" s="992">
        <v>13.45</v>
      </c>
      <c r="AR54" s="456">
        <v>205</v>
      </c>
      <c r="AS54" s="1469">
        <f>+(AR19*AS19+AR37*AS37+AR47*AS47+AR53*AS53)/AR54</f>
        <v>2.4195609756097562</v>
      </c>
      <c r="AU54" s="1465"/>
      <c r="AV54" s="1465"/>
      <c r="AW54" s="1466" t="s">
        <v>113</v>
      </c>
      <c r="AX54" s="1467">
        <v>13.901162790697667</v>
      </c>
      <c r="AY54" s="1468">
        <v>172</v>
      </c>
      <c r="AZ54" s="1469">
        <f>+(AY19*AZ19+AY37*AZ37+AY47*AZ47+AY53*AZ53)/AY54</f>
        <v>2.7093023255813962</v>
      </c>
      <c r="BI54" s="105"/>
      <c r="BJ54" s="105"/>
      <c r="BK54" s="105"/>
      <c r="BL54" s="41"/>
      <c r="BM54" s="41"/>
      <c r="BN54" s="41"/>
      <c r="BO54" s="41"/>
      <c r="BP54" s="41"/>
      <c r="BQ54" s="41"/>
      <c r="BR54" s="41"/>
      <c r="BS54" s="41"/>
      <c r="BT54" s="41"/>
      <c r="BU54" s="41"/>
      <c r="BV54" s="41"/>
      <c r="BW54" s="41"/>
      <c r="BX54" s="41"/>
      <c r="BY54" s="41"/>
      <c r="BZ54" s="41"/>
      <c r="CA54" s="47"/>
      <c r="CB54" s="47"/>
      <c r="CC54" s="107"/>
      <c r="CD54" s="47"/>
      <c r="CE54" s="47"/>
      <c r="CF54" s="47"/>
      <c r="CG54" s="47"/>
      <c r="CH54" s="47"/>
      <c r="CI54" s="47"/>
      <c r="CJ54" s="47"/>
      <c r="CK54" s="47"/>
      <c r="CL54" s="47"/>
      <c r="CM54" s="47"/>
      <c r="CN54" s="47"/>
      <c r="CO54" s="47"/>
      <c r="CP54" s="47"/>
    </row>
    <row r="55" spans="1:94" ht="24.6" thickBot="1">
      <c r="A55" s="41"/>
      <c r="B55" s="2457"/>
      <c r="C55" s="2457" t="s">
        <v>15</v>
      </c>
      <c r="D55" s="5526"/>
      <c r="E55" s="5503"/>
      <c r="I55" s="4637"/>
      <c r="J55" s="4637"/>
      <c r="K55" s="4638" t="s">
        <v>260</v>
      </c>
      <c r="L55" s="4795">
        <v>13.36</v>
      </c>
      <c r="M55" s="4636">
        <v>11</v>
      </c>
      <c r="N55" s="4793">
        <f>+(M52*N52+M54*N54)/M55</f>
        <v>1.3636363636363638</v>
      </c>
      <c r="O55" s="107"/>
      <c r="P55" s="107"/>
      <c r="Q55" s="4754"/>
      <c r="R55" s="4754"/>
      <c r="S55" s="4755" t="s">
        <v>260</v>
      </c>
      <c r="T55" s="4756">
        <v>11.75</v>
      </c>
      <c r="U55" s="4756">
        <v>4</v>
      </c>
      <c r="V55" s="4791">
        <f>+(U52*V52+U54*V54)/U55</f>
        <v>-0.25</v>
      </c>
      <c r="Y55" s="2460"/>
      <c r="Z55" s="2460"/>
      <c r="AA55" s="2461" t="s">
        <v>260</v>
      </c>
      <c r="AB55" s="2462">
        <v>11.18</v>
      </c>
      <c r="AC55" s="2463">
        <v>11</v>
      </c>
      <c r="AD55" s="2505">
        <f>+(AC52*AD52+AC54*AD54)/AC55</f>
        <v>-0.82090909090909037</v>
      </c>
      <c r="AE55" s="2506"/>
      <c r="AF55" s="107"/>
      <c r="AN55" s="47"/>
      <c r="AO55" s="107"/>
      <c r="AP55" s="47"/>
      <c r="AQ55" s="144"/>
      <c r="AR55" s="107"/>
      <c r="AS55" s="1456"/>
      <c r="BI55" s="105"/>
      <c r="BJ55" s="105"/>
      <c r="BK55" s="105"/>
      <c r="BL55" s="41"/>
      <c r="BM55" s="41"/>
      <c r="BN55" s="41"/>
      <c r="BO55" s="41"/>
      <c r="BP55" s="41"/>
      <c r="BQ55" s="41"/>
      <c r="BR55" s="41"/>
      <c r="BS55" s="41"/>
      <c r="BT55" s="754" t="s">
        <v>0</v>
      </c>
      <c r="BU55" s="754" t="s">
        <v>1368</v>
      </c>
      <c r="BV55" s="754" t="s">
        <v>1302</v>
      </c>
      <c r="BW55" s="940" t="s">
        <v>1366</v>
      </c>
      <c r="BX55" s="754" t="s">
        <v>1369</v>
      </c>
      <c r="BY55" s="754" t="s">
        <v>1302</v>
      </c>
      <c r="BZ55" s="41"/>
      <c r="CA55" s="47"/>
      <c r="CB55" s="47"/>
      <c r="CC55" s="456" t="s">
        <v>0</v>
      </c>
      <c r="CD55" s="456" t="s">
        <v>1366</v>
      </c>
      <c r="CE55" s="728" t="s">
        <v>1370</v>
      </c>
      <c r="CF55" s="728" t="s">
        <v>1371</v>
      </c>
      <c r="CG55" s="728" t="s">
        <v>1302</v>
      </c>
      <c r="CH55" s="970">
        <f>AVERAGE(CG56:CG58)</f>
        <v>3.5762454932808914</v>
      </c>
      <c r="CI55" s="1007"/>
      <c r="CJ55" s="47"/>
      <c r="CK55" s="47"/>
      <c r="CL55" s="47"/>
      <c r="CM55" s="47"/>
      <c r="CN55" s="47"/>
      <c r="CO55" s="47"/>
      <c r="CP55" s="47"/>
    </row>
    <row r="56" spans="1:94" ht="15" thickBot="1">
      <c r="A56" s="41"/>
      <c r="B56" s="2457" t="s">
        <v>4</v>
      </c>
      <c r="C56" s="2457" t="s">
        <v>15</v>
      </c>
      <c r="D56" s="5526">
        <v>17.21</v>
      </c>
      <c r="E56" s="5503">
        <v>19</v>
      </c>
      <c r="I56" s="469"/>
      <c r="J56" s="469"/>
      <c r="K56" s="465" t="s">
        <v>113</v>
      </c>
      <c r="L56" s="1542">
        <v>13.99</v>
      </c>
      <c r="M56" s="466">
        <v>219</v>
      </c>
      <c r="N56" s="1568">
        <f>+(M20*N20+M39*N39+M50*N50+M55*N55)/M56</f>
        <v>2.2341095890410956</v>
      </c>
      <c r="O56" s="107"/>
      <c r="P56" s="107"/>
      <c r="Q56" s="4760"/>
      <c r="R56" s="4760"/>
      <c r="S56" s="4698" t="s">
        <v>113</v>
      </c>
      <c r="T56" s="4697">
        <v>14.15</v>
      </c>
      <c r="U56" s="4697">
        <v>144</v>
      </c>
      <c r="V56" s="4782">
        <f>+(U20*V20+U39*V39+U50*V50+U55*V55)/U56</f>
        <v>2.4165277777777781</v>
      </c>
      <c r="Y56" s="469"/>
      <c r="Z56" s="469"/>
      <c r="AA56" s="465" t="s">
        <v>113</v>
      </c>
      <c r="AB56" s="1541">
        <v>13.6</v>
      </c>
      <c r="AC56" s="466">
        <v>234</v>
      </c>
      <c r="AD56" s="925">
        <f>+(AC20*AD20+AC39*AD39+AC50*AD50+AC55*AD55)/AC56</f>
        <v>1.9444444444444446</v>
      </c>
      <c r="AE56" s="107"/>
      <c r="AF56" s="107"/>
      <c r="AN56" s="47"/>
      <c r="AO56" s="107"/>
      <c r="AP56" s="47"/>
      <c r="AQ56" s="144"/>
      <c r="AR56" s="107"/>
      <c r="AS56" s="1456"/>
      <c r="BI56" s="105"/>
      <c r="BJ56" s="105"/>
      <c r="BK56" s="105"/>
      <c r="BL56" s="41"/>
      <c r="BM56" s="41"/>
      <c r="BN56" s="41"/>
      <c r="BO56" s="41"/>
      <c r="BP56" s="41"/>
      <c r="BQ56" s="41"/>
      <c r="BR56" s="41"/>
      <c r="BS56" s="41"/>
      <c r="BT56" s="951" t="s">
        <v>106</v>
      </c>
      <c r="BU56" s="952">
        <v>9.3571428571428577</v>
      </c>
      <c r="BV56" s="952">
        <f>+(BW9*BV9+BW12*BV12+BW14*BV14)/BW56</f>
        <v>1.8571428571428572</v>
      </c>
      <c r="BW56" s="953">
        <v>14</v>
      </c>
      <c r="BX56" s="954">
        <v>10.714285714285715</v>
      </c>
      <c r="BY56" s="955">
        <f>+(BW9*BY9+BW12*BY12+BW14*BY14)/BW56</f>
        <v>3.2142857142857144</v>
      </c>
      <c r="BZ56" s="41"/>
      <c r="CA56" s="47"/>
      <c r="CB56" s="47"/>
      <c r="CC56" s="107" t="s">
        <v>3</v>
      </c>
      <c r="CD56" s="107">
        <v>24</v>
      </c>
      <c r="CE56" s="144">
        <v>10.833333333333334</v>
      </c>
      <c r="CF56" s="47"/>
      <c r="CG56" s="969">
        <f>+(CD9*CG9+CD12*CG12+CD14*CG14)/CD56</f>
        <v>3.9583333333333335</v>
      </c>
      <c r="CH56" s="47"/>
      <c r="CI56" s="47"/>
      <c r="CJ56" s="47"/>
      <c r="CK56" s="47"/>
      <c r="CL56" s="47"/>
      <c r="CM56" s="47"/>
      <c r="CN56" s="47"/>
      <c r="CO56" s="47"/>
      <c r="CP56" s="47"/>
    </row>
    <row r="57" spans="1:94">
      <c r="A57" s="41"/>
      <c r="B57" s="2457" t="s">
        <v>16</v>
      </c>
      <c r="C57" s="2457" t="s">
        <v>15</v>
      </c>
      <c r="D57" s="5526">
        <v>13.15</v>
      </c>
      <c r="E57" s="5503">
        <v>53</v>
      </c>
      <c r="P57" s="107"/>
      <c r="S57" s="1793"/>
      <c r="T57" s="4702"/>
      <c r="U57" s="4702"/>
      <c r="AN57" s="47"/>
      <c r="AO57" s="107"/>
      <c r="AP57" s="47"/>
      <c r="AQ57" s="144"/>
      <c r="AR57" s="107"/>
      <c r="AS57" s="1456"/>
      <c r="BI57" s="105"/>
      <c r="BJ57" s="105"/>
      <c r="BK57" s="105"/>
      <c r="BL57" s="41"/>
      <c r="BM57" s="41"/>
      <c r="BN57" s="41"/>
      <c r="BO57" s="41"/>
      <c r="BP57" s="41"/>
      <c r="BQ57" s="41"/>
      <c r="BR57" s="41"/>
      <c r="BS57" s="41"/>
      <c r="BT57" s="951" t="s">
        <v>110</v>
      </c>
      <c r="BU57" s="952">
        <v>13.69902912621359</v>
      </c>
      <c r="BV57" s="952">
        <f>+(BW21*BV21+BW28*BV28+BW32*BV32)/BW57</f>
        <v>1.9320388349514568</v>
      </c>
      <c r="BW57" s="953">
        <v>103</v>
      </c>
      <c r="BX57" s="954">
        <v>14.660194174757281</v>
      </c>
      <c r="BY57" s="955">
        <f>+(BW21*BY21+BW28*BY28+BW32*BY32)/BW57</f>
        <v>2.8932038834951461</v>
      </c>
      <c r="BZ57" s="41"/>
      <c r="CA57" s="47"/>
      <c r="CB57" s="47"/>
      <c r="CC57" s="107" t="s">
        <v>25</v>
      </c>
      <c r="CD57" s="107">
        <v>113</v>
      </c>
      <c r="CE57" s="144">
        <v>14.920353982300893</v>
      </c>
      <c r="CF57" s="47"/>
      <c r="CG57" s="969">
        <f>+(CD21*CG21+CD28*CG28+CD32*CG32)/CD57</f>
        <v>3.159292035398229</v>
      </c>
      <c r="CH57" s="47"/>
      <c r="CI57" s="47"/>
      <c r="CJ57" s="47"/>
      <c r="CK57" s="47"/>
      <c r="CL57" s="47"/>
      <c r="CM57" s="47"/>
      <c r="CN57" s="47"/>
      <c r="CO57" s="47"/>
      <c r="CP57" s="47"/>
    </row>
    <row r="58" spans="1:94" ht="15" thickBot="1">
      <c r="A58" s="41"/>
      <c r="B58" s="2457" t="s">
        <v>41</v>
      </c>
      <c r="C58" s="2457" t="s">
        <v>15</v>
      </c>
      <c r="D58" s="5526">
        <v>13.39</v>
      </c>
      <c r="E58" s="5503">
        <v>28</v>
      </c>
      <c r="P58" s="107"/>
      <c r="S58" s="1793"/>
      <c r="T58" s="4702"/>
      <c r="U58" s="4702"/>
      <c r="AN58" s="47"/>
      <c r="AO58" s="107"/>
      <c r="AP58" s="456" t="s">
        <v>1</v>
      </c>
      <c r="AQ58" s="456" t="s">
        <v>1943</v>
      </c>
      <c r="AR58" s="456" t="s">
        <v>1366</v>
      </c>
      <c r="AS58" s="938" t="s">
        <v>1302</v>
      </c>
      <c r="BI58" s="105"/>
      <c r="BJ58" s="105"/>
      <c r="BK58" s="105"/>
      <c r="BL58" s="41"/>
      <c r="BM58" s="41"/>
      <c r="BN58" s="41"/>
      <c r="BO58" s="41"/>
      <c r="BP58" s="41"/>
      <c r="BQ58" s="41"/>
      <c r="BR58" s="41"/>
      <c r="BS58" s="41"/>
      <c r="BT58" s="951" t="s">
        <v>442</v>
      </c>
      <c r="BU58" s="952">
        <v>13.191489361702127</v>
      </c>
      <c r="BV58" s="952">
        <f>+(BW37*BV37+BW40*BV40+BW42*BV42)/BW58</f>
        <v>2.8297872340425534</v>
      </c>
      <c r="BW58" s="953">
        <v>47</v>
      </c>
      <c r="BX58" s="954">
        <v>14.446808510638297</v>
      </c>
      <c r="BY58" s="955">
        <f>+(BW37*BY37+BW40*BY40+BW42*BY42)/BW58</f>
        <v>4.0851063829787222</v>
      </c>
      <c r="BZ58" s="41"/>
      <c r="CA58" s="47"/>
      <c r="CB58" s="47"/>
      <c r="CC58" s="107" t="s">
        <v>48</v>
      </c>
      <c r="CD58" s="107">
        <v>54</v>
      </c>
      <c r="CE58" s="144">
        <v>14.314814814814815</v>
      </c>
      <c r="CF58" s="47"/>
      <c r="CG58" s="969">
        <f>+(CD37*CG37+CD40*CG40+CD42*CG42)/CD58</f>
        <v>3.6111111111111112</v>
      </c>
      <c r="CH58" s="47"/>
      <c r="CI58" s="47"/>
      <c r="CJ58" s="47"/>
      <c r="CK58" s="47"/>
      <c r="CL58" s="47"/>
      <c r="CM58" s="47"/>
      <c r="CN58" s="47"/>
      <c r="CO58" s="47"/>
      <c r="CP58" s="47"/>
    </row>
    <row r="59" spans="1:94">
      <c r="A59" s="41"/>
      <c r="B59" s="2457" t="s">
        <v>21</v>
      </c>
      <c r="C59" s="2457" t="s">
        <v>15</v>
      </c>
      <c r="D59" s="5526">
        <v>13.89</v>
      </c>
      <c r="E59" s="5503">
        <v>9</v>
      </c>
      <c r="P59" s="107"/>
      <c r="S59" s="1793"/>
      <c r="T59" s="4702"/>
      <c r="U59" s="4702"/>
      <c r="AN59" s="47"/>
      <c r="AO59" s="107"/>
      <c r="AP59" s="107" t="s">
        <v>4</v>
      </c>
      <c r="AQ59" s="144">
        <v>15.26</v>
      </c>
      <c r="AR59" s="107">
        <v>43</v>
      </c>
      <c r="AS59" s="875">
        <f>+(AR9*AS9+AR26*AS26)/AR59</f>
        <v>4.232093023255814</v>
      </c>
      <c r="BI59" s="105"/>
      <c r="BJ59" s="105"/>
      <c r="BK59" s="105"/>
      <c r="BL59" s="41"/>
      <c r="BM59" s="41"/>
      <c r="BN59" s="41"/>
      <c r="BO59" s="41"/>
      <c r="BP59" s="41"/>
      <c r="BQ59" s="41"/>
      <c r="BR59" s="41"/>
      <c r="BS59" s="41"/>
      <c r="BT59" s="41"/>
      <c r="BU59" s="41"/>
      <c r="BV59" s="41"/>
      <c r="BW59" s="41"/>
      <c r="BX59" s="41"/>
      <c r="BY59" s="41"/>
      <c r="BZ59" s="41"/>
      <c r="CA59" s="47"/>
      <c r="CB59" s="47"/>
      <c r="CC59" s="107"/>
      <c r="CD59" s="47"/>
      <c r="CE59" s="47"/>
      <c r="CF59" s="47"/>
      <c r="CG59" s="107"/>
      <c r="CH59" s="47"/>
      <c r="CI59" s="47"/>
      <c r="CJ59" s="47"/>
      <c r="CK59" s="47"/>
      <c r="CL59" s="47"/>
      <c r="CM59" s="47"/>
      <c r="CN59" s="47"/>
      <c r="CO59" s="47"/>
      <c r="CP59" s="47"/>
    </row>
    <row r="60" spans="1:94" ht="15" thickBot="1">
      <c r="A60" s="41"/>
      <c r="B60" s="2457" t="s">
        <v>64</v>
      </c>
      <c r="C60" s="2457" t="s">
        <v>15</v>
      </c>
      <c r="D60" s="5526">
        <v>14</v>
      </c>
      <c r="E60" s="5503">
        <v>4</v>
      </c>
      <c r="P60" s="107"/>
      <c r="S60" s="1793"/>
      <c r="T60" s="4702"/>
      <c r="U60" s="4702"/>
      <c r="AN60" s="47"/>
      <c r="AO60" s="107"/>
      <c r="AP60" s="107" t="s">
        <v>16</v>
      </c>
      <c r="AQ60" s="144">
        <v>12.86</v>
      </c>
      <c r="AR60" s="107">
        <v>101</v>
      </c>
      <c r="AS60" s="875">
        <f>+(AR13*AS13+AR32*AS32+AR40*AS40+AR49*AS49)/AR60</f>
        <v>2.1388118811881189</v>
      </c>
      <c r="BI60" s="105"/>
      <c r="BJ60" s="105"/>
      <c r="BK60" s="105"/>
      <c r="BL60" s="41"/>
      <c r="BM60" s="41"/>
      <c r="BN60" s="41"/>
      <c r="BO60" s="41"/>
      <c r="BP60" s="41"/>
      <c r="BQ60" s="41"/>
      <c r="BR60" s="41"/>
      <c r="BS60" s="41"/>
      <c r="BT60" s="939" t="s">
        <v>75</v>
      </c>
      <c r="BU60" s="989">
        <v>13.182926829268288</v>
      </c>
      <c r="BV60" s="1005" t="e">
        <f>+(BW55*BV55+BW56*BV56+BW57*BV57+BW58*BV58)/BW60</f>
        <v>#VALUE!</v>
      </c>
      <c r="BW60" s="1006">
        <v>164</v>
      </c>
      <c r="BX60" s="989">
        <v>14.262195121951216</v>
      </c>
      <c r="BY60" s="1005">
        <f>+(BW47*BY47+BW48*BY48+BW49*BY49+BW50*BY50)/BW52</f>
        <v>3.2621951219512195</v>
      </c>
      <c r="BZ60" s="41"/>
      <c r="CA60" s="47"/>
      <c r="CB60" s="47"/>
      <c r="CC60" s="456" t="s">
        <v>75</v>
      </c>
      <c r="CD60" s="456">
        <v>191</v>
      </c>
      <c r="CE60" s="992">
        <v>14.235602094240834</v>
      </c>
      <c r="CF60" s="941"/>
      <c r="CG60" s="1008">
        <f>+(CD56*CG56+CD57*CG57+CD58*CG58)/CD60</f>
        <v>3.3874345549738214</v>
      </c>
      <c r="CH60" s="47"/>
      <c r="CI60" s="47"/>
      <c r="CJ60" s="47"/>
      <c r="CK60" s="47"/>
      <c r="CL60" s="47"/>
      <c r="CM60" s="47"/>
      <c r="CN60" s="47"/>
      <c r="CO60" s="47"/>
      <c r="CP60" s="47"/>
    </row>
    <row r="61" spans="1:94" ht="15" thickBot="1">
      <c r="A61" s="469"/>
      <c r="B61" s="465" t="s">
        <v>75</v>
      </c>
      <c r="C61" s="465" t="s">
        <v>15</v>
      </c>
      <c r="D61" s="1542">
        <v>13.98</v>
      </c>
      <c r="E61" s="466">
        <v>113</v>
      </c>
      <c r="P61" s="107"/>
      <c r="S61" s="4698" t="s">
        <v>1</v>
      </c>
      <c r="T61" s="4697" t="s">
        <v>2936</v>
      </c>
      <c r="U61" s="4697" t="s">
        <v>1366</v>
      </c>
      <c r="AN61" s="47"/>
      <c r="AO61" s="107"/>
      <c r="AP61" s="107" t="s">
        <v>41</v>
      </c>
      <c r="AQ61" s="144">
        <v>13.51</v>
      </c>
      <c r="AR61" s="107">
        <v>49</v>
      </c>
      <c r="AS61" s="875">
        <f>+(AR36*AS36+AR44*AS44)/AR61</f>
        <v>1.7544897959183674</v>
      </c>
      <c r="BI61" s="105"/>
      <c r="BJ61" s="105"/>
      <c r="BK61" s="105"/>
      <c r="BL61" s="41"/>
      <c r="BM61" s="41"/>
      <c r="BN61" s="41"/>
      <c r="BO61" s="41"/>
      <c r="BP61" s="41"/>
      <c r="BQ61" s="41"/>
      <c r="BR61" s="41"/>
      <c r="BS61" s="41"/>
      <c r="BT61" s="41"/>
      <c r="BU61" s="41"/>
      <c r="BV61" s="41"/>
      <c r="BW61" s="41"/>
      <c r="BX61" s="41"/>
      <c r="BY61" s="41"/>
      <c r="BZ61" s="41"/>
      <c r="CA61" s="47"/>
      <c r="CB61" s="47"/>
      <c r="CC61" s="1009" t="s">
        <v>1335</v>
      </c>
      <c r="CD61" s="47"/>
      <c r="CE61" s="47"/>
      <c r="CF61" s="47"/>
      <c r="CG61" s="47"/>
      <c r="CH61" s="47"/>
      <c r="CI61" s="47"/>
      <c r="CJ61" s="47"/>
      <c r="CK61" s="47"/>
      <c r="CL61" s="47"/>
      <c r="CM61" s="47"/>
      <c r="CN61" s="47"/>
      <c r="CO61" s="47"/>
      <c r="CP61" s="47"/>
    </row>
    <row r="62" spans="1:94">
      <c r="P62" s="107"/>
      <c r="S62" s="37" t="s">
        <v>4</v>
      </c>
      <c r="T62" s="1788">
        <v>15.48</v>
      </c>
      <c r="U62" s="1788">
        <v>29</v>
      </c>
      <c r="AN62" s="47"/>
      <c r="AO62" s="107"/>
      <c r="AP62" s="107" t="s">
        <v>104</v>
      </c>
      <c r="AQ62" s="144">
        <v>11.67</v>
      </c>
      <c r="AR62" s="107">
        <v>12</v>
      </c>
      <c r="AS62" s="875">
        <f>+(AR18*AS18+AR46*AS46)/AR62</f>
        <v>1.4166666666666663</v>
      </c>
      <c r="BI62" s="105"/>
      <c r="BJ62" s="105"/>
      <c r="BK62" s="105"/>
      <c r="BL62" s="41"/>
      <c r="BM62" s="41"/>
      <c r="BN62" s="41"/>
      <c r="BO62" s="41"/>
      <c r="BP62" s="41"/>
      <c r="BQ62" s="41"/>
      <c r="BR62" s="41"/>
      <c r="BS62" s="41"/>
      <c r="BT62" s="41"/>
      <c r="BU62" s="41"/>
      <c r="BV62" s="41"/>
      <c r="BW62" s="41"/>
      <c r="BX62" s="41"/>
      <c r="BY62" s="41"/>
      <c r="BZ62" s="41"/>
      <c r="CA62" s="47"/>
      <c r="CB62" s="47"/>
      <c r="CC62" s="47"/>
      <c r="CD62" s="47"/>
      <c r="CE62" s="47"/>
      <c r="CF62" s="47"/>
      <c r="CG62" s="47"/>
      <c r="CH62" s="47"/>
      <c r="CI62" s="47"/>
      <c r="CJ62" s="47"/>
      <c r="CK62" s="47"/>
      <c r="CL62" s="47"/>
      <c r="CM62" s="47"/>
      <c r="CN62" s="47"/>
      <c r="CO62" s="47"/>
      <c r="CP62" s="47"/>
    </row>
    <row r="63" spans="1:94" ht="15" thickBot="1">
      <c r="P63" s="107"/>
      <c r="S63" s="37" t="s">
        <v>16</v>
      </c>
      <c r="T63" s="1788">
        <v>13.61</v>
      </c>
      <c r="U63" s="1788">
        <v>61</v>
      </c>
      <c r="AN63" s="47"/>
      <c r="AO63" s="107"/>
      <c r="AP63" s="456" t="s">
        <v>113</v>
      </c>
      <c r="AQ63" s="992">
        <v>13.45</v>
      </c>
      <c r="AR63" s="456">
        <v>205</v>
      </c>
      <c r="AS63" s="1678">
        <v>2.4195609756097562</v>
      </c>
      <c r="BI63" s="105"/>
      <c r="BJ63" s="105"/>
      <c r="BK63" s="105"/>
      <c r="BL63" s="41"/>
      <c r="BM63" s="41"/>
      <c r="BN63" s="41"/>
      <c r="BO63" s="41"/>
      <c r="BP63" s="41"/>
      <c r="BQ63" s="41"/>
      <c r="BR63" s="41"/>
      <c r="BS63" s="41"/>
      <c r="BT63" s="41"/>
      <c r="BU63" s="41"/>
      <c r="BV63" s="41"/>
      <c r="BW63" s="41"/>
      <c r="BX63" s="41"/>
      <c r="BY63" s="41"/>
      <c r="BZ63" s="41"/>
      <c r="CA63" s="47"/>
      <c r="CB63" s="47"/>
      <c r="CC63" s="47"/>
      <c r="CD63" s="47"/>
      <c r="CE63" s="47"/>
      <c r="CF63" s="47"/>
      <c r="CG63" s="47"/>
      <c r="CH63" s="47"/>
      <c r="CI63" s="47"/>
      <c r="CJ63" s="47"/>
      <c r="CK63" s="47"/>
      <c r="CL63" s="47"/>
      <c r="CM63" s="47"/>
      <c r="CN63" s="47"/>
      <c r="CO63" s="47"/>
      <c r="CP63" s="47"/>
    </row>
    <row r="64" spans="1:94" ht="32.25" customHeight="1">
      <c r="P64" s="107"/>
      <c r="S64" s="37" t="s">
        <v>41</v>
      </c>
      <c r="T64" s="1788">
        <v>14.88</v>
      </c>
      <c r="U64" s="1788">
        <v>42</v>
      </c>
      <c r="AN64" s="1"/>
      <c r="AO64" s="167"/>
      <c r="AP64" s="1"/>
      <c r="AQ64" s="1"/>
      <c r="AR64" s="1"/>
      <c r="AS64" s="1"/>
      <c r="BI64" s="105"/>
      <c r="BJ64" s="105"/>
      <c r="BK64" s="105"/>
      <c r="BL64" s="41"/>
      <c r="BM64" s="41"/>
      <c r="BN64" s="41"/>
      <c r="BO64" s="41"/>
      <c r="BP64" s="41"/>
      <c r="BQ64" s="41"/>
      <c r="BR64" s="41"/>
      <c r="BS64" s="41"/>
      <c r="BT64" s="41"/>
      <c r="BU64" s="41"/>
      <c r="BV64" s="41"/>
      <c r="BW64" s="41"/>
      <c r="BX64" s="41"/>
      <c r="BY64" s="41"/>
      <c r="BZ64" s="41"/>
      <c r="CA64" s="5698" t="s">
        <v>1376</v>
      </c>
      <c r="CB64" s="5698"/>
      <c r="CC64" s="5698"/>
      <c r="CD64" s="5698"/>
      <c r="CE64" s="5698"/>
      <c r="CF64" s="5698"/>
      <c r="CG64" s="5698"/>
      <c r="CH64" s="47"/>
      <c r="CI64" s="47"/>
      <c r="CJ64" s="47"/>
      <c r="CK64" s="47"/>
      <c r="CL64" s="47"/>
      <c r="CM64" s="47"/>
      <c r="CN64" s="47"/>
      <c r="CO64" s="47"/>
      <c r="CP64" s="47"/>
    </row>
    <row r="65" spans="16:94">
      <c r="P65" s="107"/>
      <c r="S65" s="37" t="s">
        <v>21</v>
      </c>
      <c r="T65" s="1788">
        <v>10.82</v>
      </c>
      <c r="U65" s="1788">
        <v>11</v>
      </c>
      <c r="AN65" s="1"/>
      <c r="AO65" s="167"/>
      <c r="AP65" s="1"/>
      <c r="AQ65" s="1"/>
      <c r="AR65" s="1"/>
      <c r="AS65" s="1"/>
      <c r="BI65" s="105"/>
      <c r="BJ65" s="105"/>
      <c r="BK65" s="105"/>
      <c r="BL65" s="41"/>
      <c r="BM65" s="41"/>
      <c r="BN65" s="41"/>
      <c r="BO65" s="41"/>
      <c r="BP65" s="41"/>
      <c r="BQ65" s="41"/>
      <c r="BR65" s="41"/>
      <c r="BS65" s="41"/>
      <c r="BT65" s="41"/>
      <c r="BU65" s="41"/>
      <c r="BV65" s="41"/>
      <c r="BW65" s="41"/>
      <c r="BX65" s="41"/>
      <c r="BY65" s="41"/>
      <c r="BZ65" s="41"/>
      <c r="CA65" s="47"/>
      <c r="CB65" s="47"/>
      <c r="CC65" s="47"/>
      <c r="CD65" s="47"/>
      <c r="CE65" s="47"/>
      <c r="CF65" s="47"/>
      <c r="CG65" s="47"/>
      <c r="CH65" s="47"/>
      <c r="CI65" s="47"/>
      <c r="CJ65" s="47"/>
      <c r="CK65" s="47"/>
      <c r="CL65" s="47"/>
      <c r="CM65" s="47"/>
      <c r="CN65" s="47"/>
      <c r="CO65" s="47"/>
      <c r="CP65" s="47"/>
    </row>
    <row r="66" spans="16:94" ht="31.5" customHeight="1">
      <c r="P66" s="107"/>
      <c r="S66" s="37" t="s">
        <v>64</v>
      </c>
      <c r="T66" s="1788">
        <v>14</v>
      </c>
      <c r="U66" s="1788">
        <v>1</v>
      </c>
      <c r="AN66" s="1"/>
      <c r="AO66" s="167"/>
      <c r="AP66" s="1"/>
      <c r="AQ66" s="1"/>
      <c r="AR66" s="1"/>
      <c r="AS66" s="1"/>
      <c r="BI66" s="105"/>
      <c r="BJ66" s="105"/>
      <c r="BK66" s="105"/>
      <c r="BL66" s="41"/>
      <c r="BM66" s="41"/>
      <c r="BN66" s="41"/>
      <c r="BO66" s="41"/>
      <c r="BP66" s="41"/>
      <c r="BQ66" s="41"/>
      <c r="BR66" s="41"/>
      <c r="BS66" s="41"/>
      <c r="BT66" s="41"/>
      <c r="BU66" s="41"/>
      <c r="BV66" s="41"/>
      <c r="BW66" s="41"/>
      <c r="BX66" s="41"/>
      <c r="BY66" s="41"/>
      <c r="BZ66" s="41"/>
      <c r="CA66" s="5698" t="s">
        <v>1377</v>
      </c>
      <c r="CB66" s="5698"/>
      <c r="CC66" s="5698"/>
      <c r="CD66" s="5698"/>
      <c r="CE66" s="5698"/>
      <c r="CF66" s="5698"/>
      <c r="CG66" s="5698"/>
      <c r="CH66" s="47"/>
      <c r="CI66" s="47"/>
      <c r="CJ66" s="47"/>
      <c r="CK66" s="47"/>
      <c r="CL66" s="47"/>
      <c r="CM66" s="47"/>
      <c r="CN66" s="47"/>
      <c r="CO66" s="47"/>
      <c r="CP66" s="47"/>
    </row>
    <row r="67" spans="16:94" ht="15" thickBot="1">
      <c r="P67" s="107"/>
      <c r="S67" s="4698" t="s">
        <v>113</v>
      </c>
      <c r="T67" s="4697">
        <v>14.15</v>
      </c>
      <c r="U67" s="4697">
        <v>144</v>
      </c>
      <c r="AN67" s="1"/>
      <c r="AO67" s="167"/>
      <c r="AP67" s="1"/>
      <c r="AQ67" s="1"/>
      <c r="AR67" s="1"/>
      <c r="AS67" s="1"/>
      <c r="BI67" s="105"/>
      <c r="BJ67" s="105"/>
      <c r="BK67" s="105"/>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row>
    <row r="68" spans="16:94">
      <c r="P68" s="107"/>
      <c r="AN68" s="1"/>
      <c r="AO68" s="167"/>
      <c r="AP68" s="1"/>
      <c r="AQ68" s="1"/>
      <c r="AR68" s="1"/>
      <c r="AS68" s="1"/>
      <c r="BI68" s="105"/>
      <c r="BJ68" s="105"/>
      <c r="BK68" s="105"/>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row>
    <row r="69" spans="16:94">
      <c r="P69" s="107"/>
      <c r="AN69" s="1"/>
      <c r="AO69" s="167"/>
      <c r="AP69" s="1"/>
      <c r="AQ69" s="1"/>
      <c r="AR69" s="1"/>
      <c r="AS69" s="1"/>
      <c r="BI69" s="105"/>
      <c r="BJ69" s="105"/>
      <c r="BK69" s="105"/>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row>
    <row r="70" spans="16:94">
      <c r="P70" s="107"/>
      <c r="AN70" s="1"/>
      <c r="AO70" s="167"/>
      <c r="AP70" s="1"/>
      <c r="AQ70" s="1"/>
      <c r="AR70" s="1"/>
      <c r="AS70" s="1"/>
      <c r="BI70" s="105"/>
      <c r="BJ70" s="105"/>
      <c r="BK70" s="105"/>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row>
    <row r="71" spans="16:94">
      <c r="P71" s="107"/>
      <c r="AN71" s="1"/>
      <c r="AO71" s="167"/>
      <c r="AP71" s="1"/>
      <c r="AQ71" s="1"/>
      <c r="AR71" s="1"/>
      <c r="AS71" s="1"/>
      <c r="BI71" s="105"/>
      <c r="BJ71" s="105"/>
      <c r="BK71" s="105"/>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row>
    <row r="72" spans="16:94">
      <c r="P72" s="107"/>
      <c r="AN72" s="1"/>
      <c r="AO72" s="167"/>
      <c r="AP72" s="1"/>
      <c r="AQ72" s="1"/>
      <c r="AR72" s="1"/>
      <c r="AS72" s="1"/>
      <c r="BI72" s="105"/>
      <c r="BJ72" s="105"/>
      <c r="BK72" s="105"/>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row>
    <row r="73" spans="16:94">
      <c r="P73" s="107"/>
      <c r="AN73" s="1"/>
      <c r="AO73" s="167"/>
      <c r="AP73" s="1"/>
      <c r="AQ73" s="1"/>
      <c r="AR73" s="1"/>
      <c r="AS73" s="1"/>
      <c r="BI73" s="105"/>
      <c r="BJ73" s="105"/>
      <c r="BK73" s="105"/>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row>
    <row r="74" spans="16:94">
      <c r="P74" s="107"/>
      <c r="AN74" s="1"/>
      <c r="AO74" s="167"/>
      <c r="AP74" s="1"/>
      <c r="AQ74" s="1"/>
      <c r="AR74" s="1"/>
      <c r="AS74" s="1"/>
      <c r="BI74" s="105"/>
      <c r="BJ74" s="105"/>
      <c r="BK74" s="105"/>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row>
    <row r="75" spans="16:94">
      <c r="P75" s="107"/>
      <c r="AN75" s="1"/>
      <c r="AO75" s="167"/>
      <c r="AP75" s="1"/>
      <c r="AQ75" s="1"/>
      <c r="AR75" s="1"/>
      <c r="AS75" s="1"/>
      <c r="BI75" s="105"/>
      <c r="BJ75" s="105"/>
      <c r="BK75" s="105"/>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row>
    <row r="76" spans="16:94">
      <c r="P76" s="107"/>
      <c r="AN76" s="1"/>
      <c r="AO76" s="167"/>
      <c r="AP76" s="1"/>
      <c r="AQ76" s="1"/>
      <c r="AR76" s="1"/>
      <c r="AS76" s="1"/>
      <c r="BI76" s="105"/>
      <c r="BJ76" s="105"/>
      <c r="BK76" s="105"/>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row>
    <row r="77" spans="16:94">
      <c r="P77" s="107"/>
      <c r="AN77" s="1"/>
      <c r="AO77" s="167"/>
      <c r="AP77" s="1"/>
      <c r="AQ77" s="1"/>
      <c r="AR77" s="1"/>
      <c r="AS77" s="1"/>
      <c r="BI77" s="105"/>
      <c r="BJ77" s="105"/>
      <c r="BK77" s="105"/>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row>
    <row r="78" spans="16:94">
      <c r="P78" s="107"/>
      <c r="AN78" s="1"/>
      <c r="AO78" s="167"/>
      <c r="AP78" s="1"/>
      <c r="AQ78" s="1"/>
      <c r="AR78" s="1"/>
      <c r="AS78" s="1"/>
      <c r="BI78" s="105"/>
      <c r="BJ78" s="105"/>
      <c r="BK78" s="105"/>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row>
    <row r="79" spans="16:94">
      <c r="P79" s="107"/>
      <c r="AN79" s="1"/>
      <c r="AO79" s="167"/>
      <c r="AP79" s="1"/>
      <c r="AQ79" s="1"/>
      <c r="AR79" s="1"/>
      <c r="AS79" s="1"/>
      <c r="BI79" s="105"/>
      <c r="BJ79" s="105"/>
      <c r="BK79" s="105"/>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row>
    <row r="80" spans="16:94">
      <c r="P80" s="107"/>
      <c r="AN80" s="1"/>
      <c r="AO80" s="167"/>
      <c r="AP80" s="1"/>
      <c r="AQ80" s="1"/>
      <c r="AR80" s="1"/>
      <c r="AS80" s="1"/>
      <c r="BI80" s="105"/>
      <c r="BJ80" s="105"/>
      <c r="BK80" s="105"/>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row>
    <row r="81" spans="16:94">
      <c r="P81" s="107"/>
      <c r="AN81" s="1"/>
      <c r="AO81" s="167"/>
      <c r="AP81" s="1"/>
      <c r="AQ81" s="1"/>
      <c r="AR81" s="1"/>
      <c r="AS81" s="1"/>
      <c r="BI81" s="105"/>
      <c r="BJ81" s="105"/>
      <c r="BK81" s="105"/>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row>
    <row r="82" spans="16:94">
      <c r="P82" s="107"/>
      <c r="AN82" s="1"/>
      <c r="AO82" s="167"/>
      <c r="AP82" s="1"/>
      <c r="AQ82" s="1"/>
      <c r="AR82" s="1"/>
      <c r="AS82" s="1"/>
      <c r="BI82" s="105"/>
      <c r="BJ82" s="105"/>
      <c r="BK82" s="105"/>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row>
    <row r="83" spans="16:94">
      <c r="AN83" s="1"/>
      <c r="AO83" s="167"/>
      <c r="AP83" s="1"/>
      <c r="AQ83" s="1"/>
      <c r="AR83" s="1"/>
      <c r="AS83" s="1"/>
      <c r="BI83" s="105"/>
      <c r="BJ83" s="105"/>
      <c r="BK83" s="105"/>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row>
    <row r="84" spans="16:94">
      <c r="AN84" s="1"/>
      <c r="AO84" s="167"/>
      <c r="AP84" s="1"/>
      <c r="AQ84" s="1"/>
      <c r="AR84" s="1"/>
      <c r="AS84" s="1"/>
      <c r="BI84" s="105"/>
      <c r="BJ84" s="105"/>
      <c r="BK84" s="105"/>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row>
    <row r="85" spans="16:94">
      <c r="AN85" s="1"/>
      <c r="AO85" s="167"/>
      <c r="AP85" s="1"/>
      <c r="AQ85" s="1"/>
      <c r="AR85" s="1"/>
      <c r="AS85" s="1"/>
      <c r="BI85" s="105"/>
      <c r="BJ85" s="105"/>
      <c r="BK85" s="105"/>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row>
    <row r="86" spans="16:94">
      <c r="AN86" s="1"/>
      <c r="AO86" s="167"/>
      <c r="AP86" s="1"/>
      <c r="AQ86" s="1"/>
      <c r="AR86" s="1"/>
      <c r="AS86" s="1"/>
      <c r="BI86" s="105"/>
      <c r="BJ86" s="105"/>
      <c r="BK86" s="105"/>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row>
    <row r="87" spans="16:94">
      <c r="AN87" s="1"/>
      <c r="AO87" s="167"/>
      <c r="AP87" s="1"/>
      <c r="AQ87" s="1"/>
      <c r="AR87" s="1"/>
      <c r="AS87" s="1"/>
      <c r="BI87" s="105"/>
      <c r="BJ87" s="105"/>
      <c r="BK87" s="105"/>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row>
    <row r="88" spans="16:94">
      <c r="AN88" s="1"/>
      <c r="AO88" s="167"/>
      <c r="AP88" s="1"/>
      <c r="AQ88" s="1"/>
      <c r="AR88" s="1"/>
      <c r="AS88" s="1"/>
      <c r="BI88" s="105"/>
      <c r="BJ88" s="105"/>
      <c r="BK88" s="105"/>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row>
    <row r="89" spans="16:94">
      <c r="AN89" s="1"/>
      <c r="AO89" s="167"/>
      <c r="AP89" s="1"/>
      <c r="AQ89" s="1"/>
      <c r="AR89" s="1"/>
      <c r="AS89" s="1"/>
      <c r="BI89" s="105"/>
      <c r="BJ89" s="105"/>
      <c r="BK89" s="105"/>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row>
    <row r="90" spans="16:94">
      <c r="AN90" s="1"/>
      <c r="AO90" s="167"/>
      <c r="AP90" s="1"/>
      <c r="AQ90" s="1"/>
      <c r="AR90" s="1"/>
      <c r="AS90" s="1"/>
      <c r="BI90" s="105"/>
      <c r="BJ90" s="105"/>
      <c r="BK90" s="105"/>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row>
    <row r="91" spans="16:94">
      <c r="BI91" s="105"/>
      <c r="BJ91" s="105"/>
      <c r="BK91" s="105"/>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row>
    <row r="92" spans="16:94">
      <c r="BI92" s="105"/>
      <c r="BJ92" s="105"/>
      <c r="BK92" s="105"/>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row>
    <row r="93" spans="16:94">
      <c r="BI93" s="105"/>
      <c r="BJ93" s="105"/>
      <c r="BK93" s="105"/>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row>
    <row r="94" spans="16:94">
      <c r="BI94" s="105"/>
      <c r="BJ94" s="105"/>
      <c r="BK94" s="105"/>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row>
    <row r="95" spans="16:94">
      <c r="BI95" s="105"/>
      <c r="BJ95" s="105"/>
      <c r="BK95" s="105"/>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row>
    <row r="96" spans="16:94">
      <c r="BI96" s="105"/>
      <c r="BJ96" s="105"/>
      <c r="BK96" s="105"/>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row>
    <row r="97" spans="61:94">
      <c r="BI97" s="105"/>
      <c r="BJ97" s="105"/>
      <c r="BK97" s="105"/>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row>
    <row r="98" spans="61:94">
      <c r="BI98" s="105"/>
      <c r="BJ98" s="105"/>
      <c r="BK98" s="105"/>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row>
    <row r="99" spans="61:94">
      <c r="BI99" s="105"/>
      <c r="BJ99" s="105"/>
      <c r="BK99" s="105"/>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row>
    <row r="100" spans="61:94">
      <c r="BI100" s="105"/>
      <c r="BJ100" s="105"/>
      <c r="BK100" s="105"/>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row>
    <row r="101" spans="61:94">
      <c r="BI101" s="105"/>
      <c r="BJ101" s="105"/>
      <c r="BK101" s="105"/>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row>
    <row r="102" spans="61:94">
      <c r="BI102" s="105"/>
      <c r="BJ102" s="105"/>
      <c r="BK102" s="105"/>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row>
    <row r="103" spans="61:94">
      <c r="BI103" s="105"/>
      <c r="BJ103" s="105"/>
      <c r="BK103" s="105"/>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row>
    <row r="104" spans="61:94">
      <c r="BI104" s="105"/>
      <c r="BJ104" s="105"/>
      <c r="BK104" s="105"/>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row>
    <row r="105" spans="61:94">
      <c r="BI105" s="105"/>
      <c r="BJ105" s="105"/>
      <c r="BK105" s="105"/>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row>
    <row r="106" spans="61:94">
      <c r="BI106" s="105"/>
      <c r="BJ106" s="105"/>
      <c r="BK106" s="105"/>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row>
    <row r="107" spans="61:94">
      <c r="BI107" s="105"/>
      <c r="BJ107" s="105"/>
      <c r="BK107" s="105"/>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row>
    <row r="108" spans="61:94">
      <c r="BI108" s="105"/>
      <c r="BJ108" s="105"/>
      <c r="BK108" s="105"/>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row>
    <row r="109" spans="61:94">
      <c r="BI109" s="105"/>
      <c r="BJ109" s="105"/>
      <c r="BK109" s="105"/>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row>
    <row r="110" spans="61:94">
      <c r="BI110" s="105"/>
      <c r="BJ110" s="105"/>
      <c r="BK110" s="105"/>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row>
    <row r="111" spans="61:94">
      <c r="BI111" s="105"/>
      <c r="BJ111" s="105"/>
      <c r="BK111" s="105"/>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row>
    <row r="112" spans="61:94">
      <c r="BI112" s="105"/>
      <c r="BJ112" s="105"/>
      <c r="BK112" s="105"/>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row>
    <row r="113" spans="61:94">
      <c r="BI113" s="105"/>
      <c r="BJ113" s="105"/>
      <c r="BK113" s="105"/>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row>
    <row r="114" spans="61:94">
      <c r="BI114" s="105"/>
      <c r="BJ114" s="105"/>
      <c r="BK114" s="105"/>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row>
    <row r="115" spans="61:94">
      <c r="BI115" s="105"/>
      <c r="BJ115" s="105"/>
      <c r="BK115" s="105"/>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row>
    <row r="116" spans="61:94">
      <c r="BI116" s="105"/>
      <c r="BJ116" s="105"/>
      <c r="BK116" s="105"/>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row>
    <row r="117" spans="61:94">
      <c r="BI117" s="105"/>
      <c r="BJ117" s="105"/>
      <c r="BK117" s="105"/>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row>
    <row r="118" spans="61:94">
      <c r="BI118" s="105"/>
      <c r="BJ118" s="105"/>
      <c r="BK118" s="105"/>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row>
    <row r="119" spans="61:94">
      <c r="BI119" s="105"/>
      <c r="BJ119" s="105"/>
      <c r="BK119" s="105"/>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row>
    <row r="120" spans="61:94">
      <c r="BI120" s="105"/>
      <c r="BJ120" s="105"/>
      <c r="BK120" s="105"/>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row>
    <row r="121" spans="61:94">
      <c r="BI121" s="105"/>
      <c r="BJ121" s="105"/>
      <c r="BK121" s="105"/>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row>
    <row r="122" spans="61:94">
      <c r="BI122" s="105"/>
      <c r="BJ122" s="105"/>
      <c r="BK122" s="105"/>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row>
    <row r="123" spans="61:94">
      <c r="BI123" s="105"/>
      <c r="BJ123" s="105"/>
      <c r="BK123" s="105"/>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row>
    <row r="124" spans="61:94">
      <c r="BI124" s="105"/>
      <c r="BJ124" s="105"/>
      <c r="BK124" s="105"/>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row>
    <row r="125" spans="61:94">
      <c r="BI125" s="105"/>
      <c r="BJ125" s="105"/>
      <c r="BK125" s="105"/>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row>
    <row r="126" spans="61:94">
      <c r="BI126" s="105"/>
      <c r="BJ126" s="105"/>
      <c r="BK126" s="105"/>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row>
    <row r="127" spans="61:94">
      <c r="BI127" s="105"/>
      <c r="BJ127" s="105"/>
      <c r="BK127" s="105"/>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row>
    <row r="128" spans="61:94">
      <c r="BI128" s="105"/>
      <c r="BJ128" s="105"/>
      <c r="BK128" s="105"/>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row>
    <row r="129" spans="61:94">
      <c r="BI129" s="105"/>
      <c r="BJ129" s="105"/>
      <c r="BK129" s="105"/>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row>
    <row r="130" spans="61:94">
      <c r="BI130" s="105"/>
      <c r="BJ130" s="105"/>
      <c r="BK130" s="105"/>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row>
    <row r="131" spans="61:94">
      <c r="BI131" s="105"/>
      <c r="BJ131" s="105"/>
      <c r="BK131" s="105"/>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row>
    <row r="132" spans="61:94">
      <c r="BI132" s="105"/>
      <c r="BJ132" s="105"/>
      <c r="BK132" s="105"/>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row>
    <row r="133" spans="61:94">
      <c r="BI133" s="105"/>
      <c r="BJ133" s="105"/>
      <c r="BK133" s="105"/>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row>
    <row r="134" spans="61:94">
      <c r="BI134" s="105"/>
      <c r="BJ134" s="105"/>
      <c r="BK134" s="105"/>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row>
    <row r="135" spans="61:94">
      <c r="BI135" s="105"/>
      <c r="BJ135" s="105"/>
      <c r="BK135" s="105"/>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row>
    <row r="136" spans="61:94">
      <c r="BI136" s="105"/>
      <c r="BJ136" s="105"/>
      <c r="BK136" s="105"/>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row>
    <row r="137" spans="61:94">
      <c r="BI137" s="105"/>
      <c r="BJ137" s="105"/>
      <c r="BK137" s="105"/>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row>
    <row r="138" spans="61:94">
      <c r="BI138" s="105"/>
      <c r="BJ138" s="105"/>
      <c r="BK138" s="105"/>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row>
    <row r="139" spans="61:94">
      <c r="BI139" s="105"/>
      <c r="BJ139" s="105"/>
      <c r="BK139" s="105"/>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row>
    <row r="140" spans="61:94">
      <c r="BI140" s="105"/>
      <c r="BJ140" s="105"/>
      <c r="BK140" s="105"/>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row>
    <row r="141" spans="61:94">
      <c r="BI141" s="105"/>
      <c r="BJ141" s="105"/>
      <c r="BK141" s="105"/>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row>
    <row r="142" spans="61:94">
      <c r="BI142" s="105"/>
      <c r="BJ142" s="105"/>
      <c r="BK142" s="105"/>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row>
    <row r="143" spans="61:94">
      <c r="BI143" s="105"/>
      <c r="BJ143" s="105"/>
      <c r="BK143" s="105"/>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row>
    <row r="144" spans="61:94">
      <c r="BI144" s="105"/>
      <c r="BJ144" s="105"/>
      <c r="BK144" s="105"/>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row>
    <row r="145" spans="61:94">
      <c r="BI145" s="105"/>
      <c r="BJ145" s="105"/>
      <c r="BK145" s="105"/>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row>
    <row r="146" spans="61:94">
      <c r="BI146" s="105"/>
      <c r="BJ146" s="105"/>
      <c r="BK146" s="105"/>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row>
    <row r="147" spans="61:94">
      <c r="BI147" s="105"/>
      <c r="BJ147" s="105"/>
      <c r="BK147" s="105"/>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row>
    <row r="148" spans="61:94">
      <c r="BI148" s="105"/>
      <c r="BJ148" s="105"/>
      <c r="BK148" s="105"/>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row>
    <row r="149" spans="61:94">
      <c r="BI149" s="105"/>
      <c r="BJ149" s="105"/>
      <c r="BK149" s="105"/>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row>
    <row r="150" spans="61:94">
      <c r="BI150" s="105"/>
      <c r="BJ150" s="105"/>
      <c r="BK150" s="105"/>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row>
    <row r="151" spans="61:94">
      <c r="BI151" s="105"/>
      <c r="BJ151" s="105"/>
      <c r="BK151" s="105"/>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row>
    <row r="152" spans="61:94">
      <c r="BI152" s="105"/>
      <c r="BJ152" s="105"/>
      <c r="BK152" s="105"/>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row>
    <row r="153" spans="61:94">
      <c r="BI153" s="105"/>
      <c r="BJ153" s="105"/>
      <c r="BK153" s="105"/>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row>
    <row r="154" spans="61:94">
      <c r="BI154" s="105"/>
      <c r="BJ154" s="105"/>
      <c r="BK154" s="105"/>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row>
    <row r="155" spans="61:94">
      <c r="BI155" s="105"/>
      <c r="BJ155" s="105"/>
      <c r="BK155" s="105"/>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row>
    <row r="156" spans="61:94">
      <c r="BI156" s="105"/>
      <c r="BJ156" s="105"/>
      <c r="BK156" s="105"/>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row>
    <row r="157" spans="61:94">
      <c r="BI157" s="105"/>
      <c r="BJ157" s="105"/>
      <c r="BK157" s="105"/>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row>
    <row r="158" spans="61:94">
      <c r="BI158" s="105"/>
      <c r="BJ158" s="105"/>
      <c r="BK158" s="105"/>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row>
    <row r="159" spans="61:94">
      <c r="BI159" s="105"/>
      <c r="BJ159" s="105"/>
      <c r="BK159" s="105"/>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row>
    <row r="160" spans="61:94">
      <c r="BI160" s="105"/>
      <c r="BJ160" s="105"/>
      <c r="BK160" s="105"/>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row>
    <row r="161" spans="61:94">
      <c r="BI161" s="105"/>
      <c r="BJ161" s="105"/>
      <c r="BK161" s="105"/>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row>
    <row r="162" spans="61:94">
      <c r="BI162" s="105"/>
      <c r="BJ162" s="105"/>
      <c r="BK162" s="105"/>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row>
    <row r="163" spans="61:94">
      <c r="BI163" s="105"/>
      <c r="BJ163" s="105"/>
      <c r="BK163" s="105"/>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row>
    <row r="164" spans="61:94">
      <c r="BI164" s="105"/>
      <c r="BJ164" s="105"/>
      <c r="BK164" s="105"/>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row>
    <row r="165" spans="61:94">
      <c r="BI165" s="105"/>
      <c r="BJ165" s="105"/>
      <c r="BK165" s="105"/>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row>
    <row r="166" spans="61:94">
      <c r="BI166" s="105"/>
      <c r="BJ166" s="105"/>
      <c r="BK166" s="105"/>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row>
    <row r="167" spans="61:94">
      <c r="BI167" s="105"/>
      <c r="BJ167" s="105"/>
      <c r="BK167" s="105"/>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row>
    <row r="168" spans="61:94">
      <c r="BI168" s="105"/>
      <c r="BJ168" s="105"/>
      <c r="BK168" s="105"/>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row>
    <row r="169" spans="61:94">
      <c r="BI169" s="105"/>
      <c r="BJ169" s="105"/>
      <c r="BK169" s="105"/>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row>
    <row r="170" spans="61:94">
      <c r="BI170" s="105"/>
      <c r="BJ170" s="105"/>
      <c r="BK170" s="105"/>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row>
    <row r="171" spans="61:94">
      <c r="BI171" s="105"/>
      <c r="BJ171" s="105"/>
      <c r="BK171" s="105"/>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row>
    <row r="172" spans="61:94">
      <c r="BI172" s="105"/>
      <c r="BJ172" s="105"/>
      <c r="BK172" s="105"/>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row>
    <row r="173" spans="61:94">
      <c r="BI173" s="105"/>
      <c r="BJ173" s="105"/>
      <c r="BK173" s="105"/>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row>
    <row r="174" spans="61:94">
      <c r="BI174" s="105"/>
      <c r="BJ174" s="105"/>
      <c r="BK174" s="105"/>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row>
    <row r="175" spans="61:94">
      <c r="BI175" s="105"/>
      <c r="BJ175" s="105"/>
      <c r="BK175" s="105"/>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row>
    <row r="176" spans="61:94">
      <c r="BI176" s="105"/>
      <c r="BJ176" s="105"/>
      <c r="BK176" s="105"/>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row>
    <row r="177" spans="61:94">
      <c r="BI177" s="105"/>
      <c r="BJ177" s="105"/>
      <c r="BK177" s="105"/>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row>
    <row r="178" spans="61:94">
      <c r="BI178" s="105"/>
      <c r="BJ178" s="105"/>
      <c r="BK178" s="105"/>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row>
    <row r="179" spans="61:94">
      <c r="BI179" s="105"/>
      <c r="BJ179" s="105"/>
      <c r="BK179" s="105"/>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row>
    <row r="180" spans="61:94">
      <c r="BI180" s="105"/>
      <c r="BJ180" s="105"/>
      <c r="BK180" s="105"/>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row>
    <row r="181" spans="61:94">
      <c r="BI181" s="105"/>
      <c r="BJ181" s="105"/>
      <c r="BK181" s="105"/>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row>
    <row r="182" spans="61:94">
      <c r="BI182" s="105"/>
      <c r="BJ182" s="105"/>
      <c r="BK182" s="105"/>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row>
    <row r="183" spans="61:94">
      <c r="BI183" s="105"/>
      <c r="BJ183" s="105"/>
      <c r="BK183" s="105"/>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row>
    <row r="184" spans="61:94">
      <c r="BI184" s="105"/>
      <c r="BJ184" s="105"/>
      <c r="BK184" s="105"/>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row>
    <row r="185" spans="61:94">
      <c r="BI185" s="105"/>
      <c r="BJ185" s="105"/>
      <c r="BK185" s="105"/>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row>
    <row r="186" spans="61:94">
      <c r="BI186" s="105"/>
      <c r="BJ186" s="105"/>
      <c r="BK186" s="105"/>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row>
    <row r="187" spans="61:94">
      <c r="BI187" s="105"/>
      <c r="BJ187" s="105"/>
      <c r="BK187" s="105"/>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row>
    <row r="188" spans="61:94">
      <c r="BI188" s="105"/>
      <c r="BJ188" s="105"/>
      <c r="BK188" s="105"/>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row>
    <row r="189" spans="61:94">
      <c r="BI189" s="105"/>
      <c r="BJ189" s="105"/>
      <c r="BK189" s="105"/>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row>
    <row r="190" spans="61:94">
      <c r="BI190" s="105"/>
      <c r="BJ190" s="105"/>
      <c r="BK190" s="105"/>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row>
    <row r="191" spans="61:94">
      <c r="BI191" s="105"/>
      <c r="BJ191" s="105"/>
      <c r="BK191" s="105"/>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row>
    <row r="192" spans="61:94">
      <c r="BI192" s="105"/>
      <c r="BJ192" s="105"/>
      <c r="BK192" s="105"/>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row>
    <row r="193" spans="61:94">
      <c r="BI193" s="105"/>
      <c r="BJ193" s="105"/>
      <c r="BK193" s="105"/>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row>
    <row r="194" spans="61:94">
      <c r="BI194" s="105"/>
      <c r="BJ194" s="105"/>
      <c r="BK194" s="105"/>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row>
    <row r="195" spans="61:94">
      <c r="BI195" s="105"/>
      <c r="BJ195" s="105"/>
      <c r="BK195" s="105"/>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row>
    <row r="196" spans="61:94">
      <c r="BI196" s="105"/>
      <c r="BJ196" s="105"/>
      <c r="BK196" s="105"/>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row>
    <row r="197" spans="61:94">
      <c r="BI197" s="105"/>
      <c r="BJ197" s="105"/>
      <c r="BK197" s="105"/>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row>
    <row r="198" spans="61:94">
      <c r="BI198" s="105"/>
      <c r="BJ198" s="105"/>
      <c r="BK198" s="105"/>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row>
    <row r="199" spans="61:94">
      <c r="BI199" s="105"/>
      <c r="BJ199" s="105"/>
      <c r="BK199" s="105"/>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row>
    <row r="200" spans="61:94">
      <c r="BI200" s="105"/>
      <c r="BJ200" s="105"/>
      <c r="BK200" s="105"/>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row>
    <row r="201" spans="61:94">
      <c r="BI201" s="105"/>
      <c r="BJ201" s="105"/>
      <c r="BK201" s="105"/>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row>
    <row r="202" spans="61:94">
      <c r="BI202" s="105"/>
      <c r="BJ202" s="105"/>
      <c r="BK202" s="105"/>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row>
    <row r="203" spans="61:94">
      <c r="BI203" s="105"/>
      <c r="BJ203" s="105"/>
      <c r="BK203" s="105"/>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row>
    <row r="204" spans="61:94">
      <c r="BI204" s="105"/>
      <c r="BJ204" s="105"/>
      <c r="BK204" s="105"/>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row>
    <row r="205" spans="61:94">
      <c r="BI205" s="105"/>
      <c r="BJ205" s="105"/>
      <c r="BK205" s="105"/>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row>
    <row r="206" spans="61:94">
      <c r="BI206" s="105"/>
      <c r="BJ206" s="105"/>
      <c r="BK206" s="105"/>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row>
    <row r="207" spans="61:94">
      <c r="BI207" s="105"/>
      <c r="BJ207" s="105"/>
      <c r="BK207" s="105"/>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row>
    <row r="208" spans="61:94">
      <c r="BI208" s="105"/>
      <c r="BJ208" s="105"/>
      <c r="BK208" s="105"/>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row>
    <row r="209" spans="61:94">
      <c r="BI209" s="105"/>
      <c r="BJ209" s="105"/>
      <c r="BK209" s="105"/>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row>
    <row r="210" spans="61:94">
      <c r="BI210" s="105"/>
      <c r="BJ210" s="105"/>
      <c r="BK210" s="105"/>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row>
    <row r="211" spans="61:94">
      <c r="BI211" s="105"/>
      <c r="BJ211" s="105"/>
      <c r="BK211" s="105"/>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row>
    <row r="212" spans="61:94">
      <c r="BI212" s="105"/>
      <c r="BJ212" s="105"/>
      <c r="BK212" s="105"/>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row>
    <row r="213" spans="61:94">
      <c r="BI213" s="105"/>
      <c r="BJ213" s="105"/>
      <c r="BK213" s="105"/>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row>
    <row r="214" spans="61:94">
      <c r="BI214" s="105"/>
      <c r="BJ214" s="105"/>
      <c r="BK214" s="105"/>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row>
    <row r="215" spans="61:94">
      <c r="BI215" s="105"/>
      <c r="BJ215" s="105"/>
      <c r="BK215" s="105"/>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row>
    <row r="216" spans="61:94">
      <c r="BI216" s="105"/>
      <c r="BJ216" s="105"/>
      <c r="BK216" s="105"/>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row>
    <row r="217" spans="61:94">
      <c r="BI217" s="105"/>
      <c r="BJ217" s="105"/>
      <c r="BK217" s="105"/>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row>
    <row r="218" spans="61:94">
      <c r="BI218" s="105"/>
      <c r="BJ218" s="105"/>
      <c r="BK218" s="105"/>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row>
    <row r="219" spans="61:94">
      <c r="BI219" s="105"/>
      <c r="BJ219" s="105"/>
      <c r="BK219" s="105"/>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row>
    <row r="220" spans="61:94">
      <c r="BI220" s="105"/>
      <c r="BJ220" s="105"/>
      <c r="BK220" s="105"/>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row>
    <row r="221" spans="61:94">
      <c r="BI221" s="105"/>
      <c r="BJ221" s="105"/>
      <c r="BK221" s="105"/>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row>
    <row r="222" spans="61:94">
      <c r="BI222" s="105"/>
      <c r="BJ222" s="105"/>
      <c r="BK222" s="105"/>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row>
    <row r="223" spans="61:94">
      <c r="BI223" s="105"/>
      <c r="BJ223" s="105"/>
      <c r="BK223" s="105"/>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row>
    <row r="224" spans="61:94">
      <c r="BI224" s="105"/>
      <c r="BJ224" s="105"/>
      <c r="BK224" s="105"/>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row>
    <row r="225" spans="61:94">
      <c r="BI225" s="105"/>
      <c r="BJ225" s="105"/>
      <c r="BK225" s="105"/>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row>
    <row r="226" spans="61:94">
      <c r="BI226" s="105"/>
      <c r="BJ226" s="105"/>
      <c r="BK226" s="105"/>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row>
    <row r="227" spans="61:94">
      <c r="BI227" s="105"/>
      <c r="BJ227" s="105"/>
      <c r="BK227" s="105"/>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row>
    <row r="228" spans="61:94">
      <c r="BI228" s="105"/>
      <c r="BJ228" s="105"/>
      <c r="BK228" s="105"/>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row>
    <row r="229" spans="61:94">
      <c r="BI229" s="105"/>
      <c r="BJ229" s="105"/>
      <c r="BK229" s="105"/>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row>
    <row r="230" spans="61:94">
      <c r="BI230" s="105"/>
      <c r="BJ230" s="105"/>
      <c r="BK230" s="105"/>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row>
    <row r="231" spans="61:94">
      <c r="BI231" s="105"/>
      <c r="BJ231" s="105"/>
      <c r="BK231" s="105"/>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row>
    <row r="232" spans="61:94">
      <c r="BI232" s="105"/>
      <c r="BJ232" s="105"/>
      <c r="BK232" s="105"/>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row>
    <row r="233" spans="61:94">
      <c r="BI233" s="105"/>
      <c r="BJ233" s="105"/>
      <c r="BK233" s="105"/>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row>
    <row r="234" spans="61:94">
      <c r="BI234" s="105"/>
      <c r="BJ234" s="105"/>
      <c r="BK234" s="105"/>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row>
    <row r="235" spans="61:94">
      <c r="BI235" s="105"/>
      <c r="BJ235" s="105"/>
      <c r="BK235" s="105"/>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row>
    <row r="236" spans="61:94">
      <c r="BI236" s="105"/>
      <c r="BJ236" s="105"/>
      <c r="BK236" s="105"/>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row>
    <row r="237" spans="61:94">
      <c r="BI237" s="105"/>
      <c r="BJ237" s="105"/>
      <c r="BK237" s="105"/>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row>
    <row r="238" spans="61:94">
      <c r="BI238" s="105"/>
      <c r="BJ238" s="105"/>
      <c r="BK238" s="105"/>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row>
    <row r="239" spans="61:94">
      <c r="BI239" s="105"/>
      <c r="BJ239" s="105"/>
      <c r="BK239" s="105"/>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row>
    <row r="240" spans="61:94">
      <c r="BI240" s="105"/>
      <c r="BJ240" s="105"/>
      <c r="BK240" s="105"/>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row>
    <row r="241" spans="61:94">
      <c r="BI241" s="105"/>
      <c r="BJ241" s="105"/>
      <c r="BK241" s="105"/>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row>
    <row r="242" spans="61:94">
      <c r="BI242" s="105"/>
      <c r="BJ242" s="105"/>
      <c r="BK242" s="105"/>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row>
    <row r="243" spans="61:94">
      <c r="BI243" s="105"/>
      <c r="BJ243" s="105"/>
      <c r="BK243" s="105"/>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row>
    <row r="244" spans="61:94">
      <c r="BI244" s="105"/>
      <c r="BJ244" s="105"/>
      <c r="BK244" s="105"/>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row>
    <row r="245" spans="61:94">
      <c r="BI245" s="105"/>
      <c r="BJ245" s="105"/>
      <c r="BK245" s="105"/>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row>
    <row r="246" spans="61:94">
      <c r="BI246" s="105"/>
      <c r="BJ246" s="105"/>
      <c r="BK246" s="105"/>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row>
    <row r="247" spans="61:94">
      <c r="BI247" s="105"/>
      <c r="BJ247" s="105"/>
      <c r="BK247" s="105"/>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row>
    <row r="248" spans="61:94">
      <c r="BI248" s="105"/>
      <c r="BJ248" s="105"/>
      <c r="BK248" s="105"/>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row>
    <row r="249" spans="61:94">
      <c r="BI249" s="105"/>
      <c r="BJ249" s="105"/>
      <c r="BK249" s="105"/>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row>
    <row r="250" spans="61:94">
      <c r="BI250" s="105"/>
      <c r="BJ250" s="105"/>
      <c r="BK250" s="105"/>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row>
    <row r="251" spans="61:94">
      <c r="BI251" s="105"/>
      <c r="BJ251" s="105"/>
      <c r="BK251" s="105"/>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row>
    <row r="252" spans="61:94">
      <c r="BI252" s="105"/>
      <c r="BJ252" s="105"/>
      <c r="BK252" s="105"/>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row>
    <row r="253" spans="61:94">
      <c r="BI253" s="105"/>
      <c r="BJ253" s="105"/>
      <c r="BK253" s="105"/>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row>
    <row r="254" spans="61:94">
      <c r="BI254" s="105"/>
      <c r="BJ254" s="105"/>
      <c r="BK254" s="105"/>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row>
    <row r="255" spans="61:94">
      <c r="BI255" s="105"/>
      <c r="BJ255" s="105"/>
      <c r="BK255" s="105"/>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row>
    <row r="256" spans="61:94">
      <c r="BI256" s="105"/>
      <c r="BJ256" s="105"/>
      <c r="BK256" s="105"/>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row>
    <row r="257" spans="61:94">
      <c r="BI257" s="105"/>
      <c r="BJ257" s="105"/>
      <c r="BK257" s="105"/>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row>
    <row r="258" spans="61:94">
      <c r="BI258" s="105"/>
      <c r="BJ258" s="105"/>
      <c r="BK258" s="105"/>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row>
    <row r="259" spans="61:94">
      <c r="BI259" s="105"/>
      <c r="BJ259" s="105"/>
      <c r="BK259" s="105"/>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row>
    <row r="260" spans="61:94">
      <c r="BI260" s="105"/>
      <c r="BJ260" s="105"/>
      <c r="BK260" s="105"/>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row>
    <row r="261" spans="61:94">
      <c r="BI261" s="105"/>
      <c r="BJ261" s="105"/>
      <c r="BK261" s="105"/>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row>
    <row r="262" spans="61:94">
      <c r="BI262" s="105"/>
      <c r="BJ262" s="105"/>
      <c r="BK262" s="105"/>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row>
    <row r="263" spans="61:94">
      <c r="BI263" s="105"/>
      <c r="BJ263" s="105"/>
      <c r="BK263" s="105"/>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row>
    <row r="264" spans="61:94">
      <c r="BI264" s="105"/>
      <c r="BJ264" s="105"/>
      <c r="BK264" s="105"/>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row>
    <row r="265" spans="61:94">
      <c r="BI265" s="105"/>
      <c r="BJ265" s="105"/>
      <c r="BK265" s="105"/>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row>
    <row r="266" spans="61:94">
      <c r="BI266" s="105"/>
      <c r="BJ266" s="105"/>
      <c r="BK266" s="105"/>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row>
    <row r="267" spans="61:94">
      <c r="BI267" s="105"/>
      <c r="BJ267" s="105"/>
      <c r="BK267" s="105"/>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row>
    <row r="268" spans="61:94">
      <c r="BI268" s="105"/>
      <c r="BJ268" s="105"/>
      <c r="BK268" s="105"/>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row>
    <row r="269" spans="61:94">
      <c r="BI269" s="105"/>
      <c r="BJ269" s="105"/>
      <c r="BK269" s="105"/>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row>
    <row r="270" spans="61:94">
      <c r="BI270" s="105"/>
      <c r="BJ270" s="105"/>
      <c r="BK270" s="105"/>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row>
    <row r="271" spans="61:94">
      <c r="BI271" s="105"/>
      <c r="BJ271" s="105"/>
      <c r="BK271" s="105"/>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row>
    <row r="272" spans="61:94">
      <c r="BI272" s="105"/>
      <c r="BJ272" s="105"/>
      <c r="BK272" s="105"/>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row>
    <row r="273" spans="61:94">
      <c r="BI273" s="105"/>
      <c r="BJ273" s="105"/>
      <c r="BK273" s="105"/>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row>
    <row r="274" spans="61:94">
      <c r="BI274" s="105"/>
      <c r="BJ274" s="105"/>
      <c r="BK274" s="105"/>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row>
    <row r="275" spans="61:94">
      <c r="BI275" s="105"/>
      <c r="BJ275" s="105"/>
      <c r="BK275" s="105"/>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row>
    <row r="276" spans="61:94">
      <c r="BI276" s="105"/>
      <c r="BJ276" s="105"/>
      <c r="BK276" s="105"/>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row>
    <row r="277" spans="61:94">
      <c r="BI277" s="105"/>
      <c r="BJ277" s="105"/>
      <c r="BK277" s="105"/>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row>
    <row r="278" spans="61:94">
      <c r="BI278" s="105"/>
      <c r="BJ278" s="105"/>
      <c r="BK278" s="105"/>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row>
    <row r="279" spans="61:94">
      <c r="BI279" s="105"/>
      <c r="BJ279" s="105"/>
      <c r="BK279" s="105"/>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row>
    <row r="280" spans="61:94">
      <c r="BI280" s="105"/>
      <c r="BJ280" s="105"/>
      <c r="BK280" s="105"/>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row>
    <row r="281" spans="61:94">
      <c r="BI281" s="105"/>
      <c r="BJ281" s="105"/>
      <c r="BK281" s="105"/>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row>
    <row r="282" spans="61:94">
      <c r="BI282" s="105"/>
      <c r="BJ282" s="105"/>
      <c r="BK282" s="105"/>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row>
    <row r="283" spans="61:94">
      <c r="BI283" s="105"/>
      <c r="BJ283" s="105"/>
      <c r="BK283" s="105"/>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row>
    <row r="284" spans="61:94">
      <c r="BI284" s="105"/>
      <c r="BJ284" s="105"/>
      <c r="BK284" s="105"/>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row>
    <row r="285" spans="61:94">
      <c r="BI285" s="105"/>
      <c r="BJ285" s="105"/>
      <c r="BK285" s="105"/>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row>
    <row r="286" spans="61:94">
      <c r="BI286" s="105"/>
      <c r="BJ286" s="105"/>
      <c r="BK286" s="105"/>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row>
    <row r="287" spans="61:94">
      <c r="BI287" s="105"/>
      <c r="BJ287" s="105"/>
      <c r="BK287" s="105"/>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row>
    <row r="288" spans="61:94">
      <c r="BI288" s="105"/>
      <c r="BJ288" s="105"/>
      <c r="BK288" s="105"/>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row>
    <row r="289" spans="61:94">
      <c r="BI289" s="105"/>
      <c r="BJ289" s="105"/>
      <c r="BK289" s="105"/>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row>
    <row r="290" spans="61:94">
      <c r="BI290" s="105"/>
      <c r="BJ290" s="105"/>
      <c r="BK290" s="105"/>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row>
    <row r="291" spans="61:94">
      <c r="BI291" s="105"/>
      <c r="BJ291" s="105"/>
      <c r="BK291" s="105"/>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row>
    <row r="292" spans="61:94">
      <c r="BI292" s="105"/>
      <c r="BJ292" s="105"/>
      <c r="BK292" s="105"/>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row>
    <row r="293" spans="61:94">
      <c r="BI293" s="105"/>
      <c r="BJ293" s="105"/>
      <c r="BK293" s="105"/>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row>
    <row r="294" spans="61:94">
      <c r="BI294" s="105"/>
      <c r="BJ294" s="105"/>
      <c r="BK294" s="105"/>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row>
    <row r="295" spans="61:94">
      <c r="BI295" s="105"/>
      <c r="BJ295" s="105"/>
      <c r="BK295" s="105"/>
      <c r="BL295" s="41"/>
      <c r="BM295" s="41"/>
      <c r="BN295" s="41"/>
      <c r="BO295" s="41"/>
      <c r="BP295" s="41"/>
      <c r="BQ295" s="41"/>
      <c r="BR295" s="41"/>
      <c r="BS295" s="41"/>
      <c r="BT295" s="41"/>
      <c r="BU295" s="41"/>
      <c r="BV295" s="41"/>
      <c r="BW295" s="41"/>
      <c r="BX295" s="41"/>
      <c r="BY295" s="41"/>
      <c r="BZ295" s="41"/>
      <c r="CA295" s="41"/>
      <c r="CB295" s="41"/>
      <c r="CC295" s="41"/>
      <c r="CD295" s="41"/>
      <c r="CE295" s="41"/>
      <c r="CF295" s="41"/>
      <c r="CG295" s="41"/>
      <c r="CH295" s="41"/>
      <c r="CI295" s="41"/>
      <c r="CJ295" s="41"/>
      <c r="CK295" s="41"/>
      <c r="CL295" s="41"/>
      <c r="CM295" s="41"/>
      <c r="CN295" s="41"/>
      <c r="CO295" s="41"/>
      <c r="CP295" s="41"/>
    </row>
    <row r="296" spans="61:94">
      <c r="BI296" s="105"/>
      <c r="BJ296" s="105"/>
      <c r="BK296" s="105"/>
      <c r="BL296" s="41"/>
      <c r="BM296" s="41"/>
      <c r="BN296" s="41"/>
      <c r="BO296" s="41"/>
      <c r="BP296" s="41"/>
      <c r="BQ296" s="41"/>
      <c r="BR296" s="41"/>
      <c r="BS296" s="41"/>
      <c r="BT296" s="41"/>
      <c r="BU296" s="41"/>
      <c r="BV296" s="41"/>
      <c r="BW296" s="41"/>
      <c r="BX296" s="41"/>
      <c r="BY296" s="41"/>
      <c r="BZ296" s="41"/>
      <c r="CA296" s="41"/>
      <c r="CB296" s="41"/>
      <c r="CC296" s="41"/>
      <c r="CD296" s="41"/>
      <c r="CE296" s="41"/>
      <c r="CF296" s="41"/>
      <c r="CG296" s="41"/>
      <c r="CH296" s="41"/>
      <c r="CI296" s="41"/>
      <c r="CJ296" s="41"/>
      <c r="CK296" s="41"/>
      <c r="CL296" s="41"/>
      <c r="CM296" s="41"/>
      <c r="CN296" s="41"/>
      <c r="CO296" s="41"/>
      <c r="CP296" s="41"/>
    </row>
    <row r="297" spans="61:94">
      <c r="BI297" s="105"/>
      <c r="BJ297" s="105"/>
      <c r="BK297" s="105"/>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row>
    <row r="298" spans="61:94">
      <c r="BI298" s="105"/>
      <c r="BJ298" s="105"/>
      <c r="BK298" s="105"/>
      <c r="BL298" s="41"/>
      <c r="BM298" s="41"/>
      <c r="BN298" s="41"/>
      <c r="BO298" s="41"/>
      <c r="BP298" s="41"/>
      <c r="BQ298" s="41"/>
      <c r="BR298" s="41"/>
      <c r="BS298" s="41"/>
      <c r="BT298" s="41"/>
      <c r="BU298" s="41"/>
      <c r="BV298" s="41"/>
      <c r="BW298" s="41"/>
      <c r="BX298" s="41"/>
      <c r="BY298" s="41"/>
      <c r="BZ298" s="41"/>
      <c r="CA298" s="41"/>
      <c r="CB298" s="41"/>
      <c r="CC298" s="41"/>
      <c r="CD298" s="41"/>
      <c r="CE298" s="41"/>
      <c r="CF298" s="41"/>
      <c r="CG298" s="41"/>
      <c r="CH298" s="41"/>
      <c r="CI298" s="41"/>
      <c r="CJ298" s="41"/>
      <c r="CK298" s="41"/>
      <c r="CL298" s="41"/>
      <c r="CM298" s="41"/>
      <c r="CN298" s="41"/>
      <c r="CO298" s="41"/>
      <c r="CP298" s="41"/>
    </row>
    <row r="299" spans="61:94">
      <c r="BI299" s="105"/>
      <c r="BJ299" s="105"/>
      <c r="BK299" s="105"/>
      <c r="BL299" s="41"/>
      <c r="BM299" s="41"/>
      <c r="BN299" s="41"/>
      <c r="BO299" s="41"/>
      <c r="BP299" s="41"/>
      <c r="BQ299" s="41"/>
      <c r="BR299" s="41"/>
      <c r="BS299" s="41"/>
      <c r="BT299" s="41"/>
      <c r="BU299" s="41"/>
      <c r="BV299" s="41"/>
      <c r="BW299" s="41"/>
      <c r="BX299" s="41"/>
      <c r="BY299" s="41"/>
      <c r="BZ299" s="41"/>
      <c r="CA299" s="41"/>
      <c r="CB299" s="41"/>
      <c r="CC299" s="41"/>
      <c r="CD299" s="41"/>
      <c r="CE299" s="41"/>
      <c r="CF299" s="41"/>
      <c r="CG299" s="41"/>
      <c r="CH299" s="41"/>
      <c r="CI299" s="41"/>
      <c r="CJ299" s="41"/>
      <c r="CK299" s="41"/>
      <c r="CL299" s="41"/>
      <c r="CM299" s="41"/>
      <c r="CN299" s="41"/>
      <c r="CO299" s="41"/>
      <c r="CP299" s="41"/>
    </row>
    <row r="300" spans="61:94">
      <c r="BI300" s="105"/>
      <c r="BJ300" s="105"/>
      <c r="BK300" s="105"/>
      <c r="BL300" s="41"/>
      <c r="BM300" s="41"/>
      <c r="BN300" s="41"/>
      <c r="BO300" s="41"/>
      <c r="BP300" s="41"/>
      <c r="BQ300" s="41"/>
      <c r="BR300" s="41"/>
      <c r="BS300" s="41"/>
      <c r="BT300" s="41"/>
      <c r="BU300" s="41"/>
      <c r="BV300" s="41"/>
      <c r="BW300" s="41"/>
      <c r="BX300" s="41"/>
      <c r="BY300" s="41"/>
      <c r="BZ300" s="41"/>
      <c r="CA300" s="41"/>
      <c r="CB300" s="41"/>
      <c r="CC300" s="41"/>
      <c r="CD300" s="41"/>
      <c r="CE300" s="41"/>
      <c r="CF300" s="41"/>
      <c r="CG300" s="41"/>
      <c r="CH300" s="41"/>
      <c r="CI300" s="41"/>
      <c r="CJ300" s="41"/>
      <c r="CK300" s="41"/>
      <c r="CL300" s="41"/>
      <c r="CM300" s="41"/>
      <c r="CN300" s="41"/>
      <c r="CO300" s="41"/>
      <c r="CP300" s="41"/>
    </row>
    <row r="301" spans="61:94">
      <c r="BI301" s="105"/>
      <c r="BJ301" s="105"/>
      <c r="BK301" s="105"/>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row>
    <row r="302" spans="61:94">
      <c r="BI302" s="105"/>
      <c r="BJ302" s="105"/>
      <c r="BK302" s="105"/>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row>
    <row r="303" spans="61:94">
      <c r="BI303" s="105"/>
      <c r="BJ303" s="105"/>
      <c r="BK303" s="105"/>
      <c r="BL303" s="41"/>
      <c r="BM303" s="41"/>
      <c r="BN303" s="41"/>
      <c r="BO303" s="41"/>
      <c r="BP303" s="41"/>
      <c r="BQ303" s="41"/>
      <c r="BR303" s="41"/>
      <c r="BS303" s="41"/>
      <c r="BT303" s="41"/>
      <c r="BU303" s="41"/>
      <c r="BV303" s="41"/>
      <c r="BW303" s="41"/>
      <c r="BX303" s="41"/>
      <c r="BY303" s="41"/>
      <c r="BZ303" s="41"/>
      <c r="CA303" s="41"/>
      <c r="CB303" s="41"/>
      <c r="CC303" s="41"/>
      <c r="CD303" s="41"/>
      <c r="CE303" s="41"/>
      <c r="CF303" s="41"/>
      <c r="CG303" s="41"/>
      <c r="CH303" s="41"/>
      <c r="CI303" s="41"/>
      <c r="CJ303" s="41"/>
      <c r="CK303" s="41"/>
      <c r="CL303" s="41"/>
      <c r="CM303" s="41"/>
      <c r="CN303" s="41"/>
      <c r="CO303" s="41"/>
      <c r="CP303" s="41"/>
    </row>
    <row r="304" spans="61:94">
      <c r="BI304" s="105"/>
      <c r="BJ304" s="105"/>
      <c r="BK304" s="105"/>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row>
    <row r="305" spans="61:94">
      <c r="BI305" s="105"/>
      <c r="BJ305" s="105"/>
      <c r="BK305" s="105"/>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row>
    <row r="306" spans="61:94">
      <c r="BI306" s="105"/>
      <c r="BJ306" s="105"/>
      <c r="BK306" s="105"/>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row>
    <row r="307" spans="61:94">
      <c r="BI307" s="105"/>
      <c r="BJ307" s="105"/>
      <c r="BK307" s="105"/>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row>
    <row r="308" spans="61:94">
      <c r="BI308" s="105"/>
      <c r="BJ308" s="105"/>
      <c r="BK308" s="105"/>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row>
    <row r="309" spans="61:94">
      <c r="BI309" s="105"/>
      <c r="BJ309" s="105"/>
      <c r="BK309" s="105"/>
      <c r="BL309" s="41"/>
      <c r="BM309" s="41"/>
      <c r="BN309" s="41"/>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row>
    <row r="310" spans="61:94">
      <c r="BI310" s="105"/>
      <c r="BJ310" s="105"/>
      <c r="BK310" s="105"/>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row>
    <row r="311" spans="61:94">
      <c r="BI311" s="105"/>
      <c r="BJ311" s="105"/>
      <c r="BK311" s="105"/>
      <c r="BL311" s="41"/>
      <c r="BM311" s="41"/>
      <c r="BN311" s="4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row>
    <row r="312" spans="61:94">
      <c r="BI312" s="105"/>
      <c r="BJ312" s="105"/>
      <c r="BK312" s="105"/>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row>
    <row r="313" spans="61:94">
      <c r="BI313" s="105"/>
      <c r="BJ313" s="105"/>
      <c r="BK313" s="105"/>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c r="CO313" s="41"/>
      <c r="CP313" s="41"/>
    </row>
    <row r="314" spans="61:94">
      <c r="BI314" s="105"/>
      <c r="BJ314" s="105"/>
      <c r="BK314" s="105"/>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row>
    <row r="315" spans="61:94">
      <c r="BI315" s="105"/>
      <c r="BJ315" s="105"/>
      <c r="BK315" s="105"/>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row>
    <row r="316" spans="61:94">
      <c r="BI316" s="105"/>
      <c r="BJ316" s="105"/>
      <c r="BK316" s="105"/>
      <c r="BL316" s="41"/>
      <c r="BM316" s="41"/>
      <c r="BN316" s="41"/>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row>
    <row r="317" spans="61:94">
      <c r="BI317" s="105"/>
      <c r="BJ317" s="105"/>
      <c r="BK317" s="105"/>
      <c r="BL317" s="41"/>
      <c r="BM317" s="41"/>
      <c r="BN317" s="41"/>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row>
    <row r="318" spans="61:94">
      <c r="BI318" s="105"/>
      <c r="BJ318" s="105"/>
      <c r="BK318" s="105"/>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row>
    <row r="319" spans="61:94">
      <c r="BI319" s="105"/>
      <c r="BJ319" s="105"/>
      <c r="BK319" s="105"/>
      <c r="BL319" s="41"/>
      <c r="BM319" s="41"/>
      <c r="BN319" s="41"/>
      <c r="BO319" s="41"/>
      <c r="BP319" s="41"/>
      <c r="BQ319" s="41"/>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41"/>
    </row>
    <row r="320" spans="61:94">
      <c r="BI320" s="105"/>
      <c r="BJ320" s="105"/>
      <c r="BK320" s="105"/>
      <c r="BL320" s="41"/>
      <c r="BM320" s="41"/>
      <c r="BN320" s="41"/>
      <c r="BO320" s="41"/>
      <c r="BP320" s="41"/>
      <c r="BQ320" s="41"/>
      <c r="BR320" s="41"/>
      <c r="BS320" s="41"/>
      <c r="BT320" s="41"/>
      <c r="BU320" s="41"/>
      <c r="BV320" s="41"/>
      <c r="BW320" s="41"/>
      <c r="BX320" s="41"/>
      <c r="BY320" s="41"/>
      <c r="BZ320" s="41"/>
      <c r="CA320" s="41"/>
      <c r="CB320" s="41"/>
      <c r="CC320" s="41"/>
      <c r="CD320" s="41"/>
      <c r="CE320" s="41"/>
      <c r="CF320" s="41"/>
      <c r="CG320" s="41"/>
      <c r="CH320" s="41"/>
      <c r="CI320" s="41"/>
      <c r="CJ320" s="41"/>
      <c r="CK320" s="41"/>
      <c r="CL320" s="41"/>
      <c r="CM320" s="41"/>
      <c r="CN320" s="41"/>
      <c r="CO320" s="41"/>
      <c r="CP320" s="41"/>
    </row>
    <row r="321" spans="61:94">
      <c r="BI321" s="105"/>
      <c r="BJ321" s="105"/>
      <c r="BK321" s="105"/>
      <c r="BL321" s="41"/>
      <c r="BM321" s="41"/>
      <c r="BN321" s="4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row>
    <row r="322" spans="61:94">
      <c r="BI322" s="105"/>
      <c r="BJ322" s="105"/>
      <c r="BK322" s="105"/>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row>
    <row r="323" spans="61:94">
      <c r="BI323" s="105"/>
      <c r="BJ323" s="105"/>
      <c r="BK323" s="105"/>
      <c r="BL323" s="41"/>
      <c r="BM323" s="41"/>
      <c r="BN323" s="41"/>
      <c r="BO323" s="41"/>
      <c r="BP323" s="41"/>
      <c r="BQ323" s="41"/>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41"/>
    </row>
    <row r="324" spans="61:94">
      <c r="BI324" s="105"/>
      <c r="BJ324" s="105"/>
      <c r="BK324" s="105"/>
      <c r="BL324" s="41"/>
      <c r="BM324" s="41"/>
      <c r="BN324" s="41"/>
      <c r="BO324" s="41"/>
      <c r="BP324" s="41"/>
      <c r="BQ324" s="41"/>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41"/>
    </row>
    <row r="325" spans="61:94">
      <c r="BI325" s="105"/>
      <c r="BJ325" s="105"/>
      <c r="BK325" s="105"/>
      <c r="BL325" s="41"/>
      <c r="BM325" s="41"/>
      <c r="BN325" s="41"/>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row>
    <row r="326" spans="61:94">
      <c r="BI326" s="105"/>
      <c r="BJ326" s="105"/>
      <c r="BK326" s="105"/>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row>
    <row r="327" spans="61:94">
      <c r="BI327" s="105"/>
      <c r="BJ327" s="105"/>
      <c r="BK327" s="105"/>
      <c r="BL327" s="41"/>
      <c r="BM327" s="41"/>
      <c r="BN327" s="41"/>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row>
    <row r="328" spans="61:94">
      <c r="BI328" s="105"/>
      <c r="BJ328" s="105"/>
      <c r="BK328" s="105"/>
      <c r="BL328" s="41"/>
      <c r="BM328" s="41"/>
      <c r="BN328" s="41"/>
      <c r="BO328" s="41"/>
      <c r="BP328" s="41"/>
      <c r="BQ328" s="41"/>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41"/>
    </row>
    <row r="329" spans="61:94">
      <c r="BI329" s="105"/>
      <c r="BJ329" s="105"/>
      <c r="BK329" s="105"/>
      <c r="BL329" s="41"/>
      <c r="BM329" s="41"/>
      <c r="BN329" s="41"/>
      <c r="BO329" s="41"/>
      <c r="BP329" s="41"/>
      <c r="BQ329" s="41"/>
      <c r="BR329" s="41"/>
      <c r="BS329" s="41"/>
      <c r="BT329" s="41"/>
      <c r="BU329" s="41"/>
      <c r="BV329" s="41"/>
      <c r="BW329" s="41"/>
      <c r="BX329" s="41"/>
      <c r="BY329" s="41"/>
      <c r="BZ329" s="41"/>
      <c r="CA329" s="41"/>
      <c r="CB329" s="41"/>
      <c r="CC329" s="41"/>
      <c r="CD329" s="41"/>
      <c r="CE329" s="41"/>
      <c r="CF329" s="41"/>
      <c r="CG329" s="41"/>
      <c r="CH329" s="41"/>
      <c r="CI329" s="41"/>
      <c r="CJ329" s="41"/>
      <c r="CK329" s="41"/>
      <c r="CL329" s="41"/>
      <c r="CM329" s="41"/>
      <c r="CN329" s="41"/>
      <c r="CO329" s="41"/>
      <c r="CP329" s="41"/>
    </row>
    <row r="330" spans="61:94">
      <c r="BI330" s="105"/>
      <c r="BJ330" s="105"/>
      <c r="BK330" s="105"/>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row>
    <row r="331" spans="61:94">
      <c r="BI331" s="105"/>
      <c r="BJ331" s="105"/>
      <c r="BK331" s="105"/>
      <c r="BL331" s="41"/>
      <c r="BM331" s="41"/>
      <c r="BN331" s="41"/>
      <c r="BO331" s="41"/>
      <c r="BP331" s="41"/>
      <c r="BQ331" s="41"/>
      <c r="BR331" s="41"/>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row>
    <row r="332" spans="61:94">
      <c r="BI332" s="105"/>
      <c r="BJ332" s="105"/>
      <c r="BK332" s="105"/>
      <c r="BL332" s="41"/>
      <c r="BM332" s="41"/>
      <c r="BN332" s="41"/>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row>
    <row r="333" spans="61:94">
      <c r="BI333" s="105"/>
      <c r="BJ333" s="105"/>
      <c r="BK333" s="105"/>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row>
    <row r="334" spans="61:94">
      <c r="BI334" s="105"/>
      <c r="BJ334" s="105"/>
      <c r="BK334" s="105"/>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row>
    <row r="335" spans="61:94">
      <c r="BI335" s="105"/>
      <c r="BJ335" s="105"/>
      <c r="BK335" s="105"/>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row>
    <row r="336" spans="61:94">
      <c r="BI336" s="105"/>
      <c r="BJ336" s="105"/>
      <c r="BK336" s="105"/>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row>
    <row r="337" spans="61:94">
      <c r="BI337" s="105"/>
      <c r="BJ337" s="105"/>
      <c r="BK337" s="105"/>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row>
    <row r="338" spans="61:94">
      <c r="BI338" s="105"/>
      <c r="BJ338" s="105"/>
      <c r="BK338" s="105"/>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row>
    <row r="339" spans="61:94">
      <c r="BI339" s="105"/>
      <c r="BJ339" s="105"/>
      <c r="BK339" s="105"/>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row>
    <row r="340" spans="61:94">
      <c r="BI340" s="105"/>
      <c r="BJ340" s="105"/>
      <c r="BK340" s="105"/>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row>
    <row r="341" spans="61:94">
      <c r="BI341" s="105"/>
      <c r="BJ341" s="105"/>
      <c r="BK341" s="105"/>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row>
    <row r="342" spans="61:94">
      <c r="BI342" s="105"/>
      <c r="BJ342" s="105"/>
      <c r="BK342" s="105"/>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row>
    <row r="343" spans="61:94">
      <c r="BI343" s="105"/>
      <c r="BJ343" s="105"/>
      <c r="BK343" s="105"/>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row>
    <row r="344" spans="61:94">
      <c r="BI344" s="105"/>
      <c r="BJ344" s="105"/>
      <c r="BK344" s="105"/>
      <c r="BL344" s="41"/>
      <c r="BM344" s="41"/>
      <c r="BN344" s="41"/>
      <c r="BO344" s="41"/>
      <c r="BP344" s="41"/>
      <c r="BQ344" s="41"/>
      <c r="BR344" s="41"/>
      <c r="BS344" s="41"/>
      <c r="BT344" s="41"/>
      <c r="BU344" s="41"/>
      <c r="BV344" s="41"/>
      <c r="BW344" s="41"/>
      <c r="BX344" s="41"/>
      <c r="BY344" s="41"/>
      <c r="BZ344" s="41"/>
      <c r="CA344" s="41"/>
      <c r="CB344" s="41"/>
      <c r="CC344" s="41"/>
      <c r="CD344" s="41"/>
      <c r="CE344" s="41"/>
      <c r="CF344" s="41"/>
      <c r="CG344" s="41"/>
      <c r="CH344" s="41"/>
      <c r="CI344" s="41"/>
      <c r="CJ344" s="41"/>
      <c r="CK344" s="41"/>
      <c r="CL344" s="41"/>
      <c r="CM344" s="41"/>
      <c r="CN344" s="41"/>
      <c r="CO344" s="41"/>
      <c r="CP344" s="41"/>
    </row>
    <row r="345" spans="61:94">
      <c r="BI345" s="105"/>
      <c r="BJ345" s="105"/>
      <c r="BK345" s="105"/>
      <c r="BL345" s="41"/>
      <c r="BM345" s="41"/>
      <c r="BN345" s="41"/>
      <c r="BO345" s="41"/>
      <c r="BP345" s="41"/>
      <c r="BQ345" s="41"/>
      <c r="BR345" s="41"/>
      <c r="BS345" s="41"/>
      <c r="BT345" s="41"/>
      <c r="BU345" s="41"/>
      <c r="BV345" s="41"/>
      <c r="BW345" s="41"/>
      <c r="BX345" s="41"/>
      <c r="BY345" s="41"/>
      <c r="BZ345" s="41"/>
      <c r="CA345" s="41"/>
      <c r="CB345" s="41"/>
      <c r="CC345" s="41"/>
      <c r="CD345" s="41"/>
      <c r="CE345" s="41"/>
      <c r="CF345" s="41"/>
      <c r="CG345" s="41"/>
      <c r="CH345" s="41"/>
      <c r="CI345" s="41"/>
      <c r="CJ345" s="41"/>
      <c r="CK345" s="41"/>
      <c r="CL345" s="41"/>
      <c r="CM345" s="41"/>
      <c r="CN345" s="41"/>
      <c r="CO345" s="41"/>
      <c r="CP345" s="41"/>
    </row>
    <row r="346" spans="61:94">
      <c r="BI346" s="105"/>
      <c r="BJ346" s="105"/>
      <c r="BK346" s="105"/>
      <c r="BL346" s="41"/>
      <c r="BM346" s="41"/>
      <c r="BN346" s="41"/>
      <c r="BO346" s="41"/>
      <c r="BP346" s="41"/>
      <c r="BQ346" s="41"/>
      <c r="BR346" s="41"/>
      <c r="BS346" s="41"/>
      <c r="BT346" s="41"/>
      <c r="BU346" s="41"/>
      <c r="BV346" s="41"/>
      <c r="BW346" s="41"/>
      <c r="BX346" s="41"/>
      <c r="BY346" s="41"/>
      <c r="BZ346" s="41"/>
      <c r="CA346" s="41"/>
      <c r="CB346" s="41"/>
      <c r="CC346" s="41"/>
      <c r="CD346" s="41"/>
      <c r="CE346" s="41"/>
      <c r="CF346" s="41"/>
      <c r="CG346" s="41"/>
      <c r="CH346" s="41"/>
      <c r="CI346" s="41"/>
      <c r="CJ346" s="41"/>
      <c r="CK346" s="41"/>
      <c r="CL346" s="41"/>
      <c r="CM346" s="41"/>
      <c r="CN346" s="41"/>
      <c r="CO346" s="41"/>
      <c r="CP346" s="41"/>
    </row>
    <row r="347" spans="61:94">
      <c r="BI347" s="105"/>
      <c r="BJ347" s="105"/>
      <c r="BK347" s="105"/>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row>
    <row r="348" spans="61:94">
      <c r="BI348" s="105"/>
      <c r="BJ348" s="105"/>
      <c r="BK348" s="105"/>
      <c r="BL348" s="41"/>
      <c r="BM348" s="41"/>
      <c r="BN348" s="41"/>
      <c r="BO348" s="41"/>
      <c r="BP348" s="41"/>
      <c r="BQ348" s="41"/>
      <c r="BR348" s="41"/>
      <c r="BS348" s="41"/>
      <c r="BT348" s="41"/>
      <c r="BU348" s="41"/>
      <c r="BV348" s="41"/>
      <c r="BW348" s="41"/>
      <c r="BX348" s="41"/>
      <c r="BY348" s="41"/>
      <c r="BZ348" s="41"/>
      <c r="CA348" s="41"/>
      <c r="CB348" s="41"/>
      <c r="CC348" s="41"/>
      <c r="CD348" s="41"/>
      <c r="CE348" s="41"/>
      <c r="CF348" s="41"/>
      <c r="CG348" s="41"/>
      <c r="CH348" s="41"/>
      <c r="CI348" s="41"/>
      <c r="CJ348" s="41"/>
      <c r="CK348" s="41"/>
      <c r="CL348" s="41"/>
      <c r="CM348" s="41"/>
      <c r="CN348" s="41"/>
      <c r="CO348" s="41"/>
      <c r="CP348" s="41"/>
    </row>
    <row r="349" spans="61:94">
      <c r="BI349" s="105"/>
      <c r="BJ349" s="105"/>
      <c r="BK349" s="105"/>
      <c r="BL349" s="41"/>
      <c r="BM349" s="41"/>
      <c r="BN349" s="41"/>
      <c r="BO349" s="41"/>
      <c r="BP349" s="41"/>
      <c r="BQ349" s="41"/>
      <c r="BR349" s="41"/>
      <c r="BS349" s="41"/>
      <c r="BT349" s="41"/>
      <c r="BU349" s="41"/>
      <c r="BV349" s="41"/>
      <c r="BW349" s="41"/>
      <c r="BX349" s="41"/>
      <c r="BY349" s="41"/>
      <c r="BZ349" s="41"/>
      <c r="CA349" s="41"/>
      <c r="CB349" s="41"/>
      <c r="CC349" s="41"/>
      <c r="CD349" s="41"/>
      <c r="CE349" s="41"/>
      <c r="CF349" s="41"/>
      <c r="CG349" s="41"/>
      <c r="CH349" s="41"/>
      <c r="CI349" s="41"/>
      <c r="CJ349" s="41"/>
      <c r="CK349" s="41"/>
      <c r="CL349" s="41"/>
      <c r="CM349" s="41"/>
      <c r="CN349" s="41"/>
      <c r="CO349" s="41"/>
      <c r="CP349" s="41"/>
    </row>
    <row r="350" spans="61:94">
      <c r="BI350" s="105"/>
      <c r="BJ350" s="105"/>
      <c r="BK350" s="105"/>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row>
    <row r="351" spans="61:94">
      <c r="BI351" s="105"/>
      <c r="BJ351" s="105"/>
      <c r="BK351" s="105"/>
      <c r="BL351" s="41"/>
      <c r="BM351" s="41"/>
      <c r="BN351" s="41"/>
      <c r="BO351" s="41"/>
      <c r="BP351" s="41"/>
      <c r="BQ351" s="41"/>
      <c r="BR351" s="41"/>
      <c r="BS351" s="41"/>
      <c r="BT351" s="41"/>
      <c r="BU351" s="41"/>
      <c r="BV351" s="41"/>
      <c r="BW351" s="41"/>
      <c r="BX351" s="41"/>
      <c r="BY351" s="41"/>
      <c r="BZ351" s="41"/>
      <c r="CA351" s="41"/>
      <c r="CB351" s="41"/>
      <c r="CC351" s="41"/>
      <c r="CD351" s="41"/>
      <c r="CE351" s="41"/>
      <c r="CF351" s="41"/>
      <c r="CG351" s="41"/>
      <c r="CH351" s="41"/>
      <c r="CI351" s="41"/>
      <c r="CJ351" s="41"/>
      <c r="CK351" s="41"/>
      <c r="CL351" s="41"/>
      <c r="CM351" s="41"/>
      <c r="CN351" s="41"/>
      <c r="CO351" s="41"/>
      <c r="CP351" s="41"/>
    </row>
    <row r="352" spans="61:94">
      <c r="BI352" s="105"/>
      <c r="BJ352" s="105"/>
      <c r="BK352" s="105"/>
      <c r="BL352" s="41"/>
      <c r="BM352" s="41"/>
      <c r="BN352" s="41"/>
      <c r="BO352" s="41"/>
      <c r="BP352" s="41"/>
      <c r="BQ352" s="41"/>
      <c r="BR352" s="41"/>
      <c r="BS352" s="41"/>
      <c r="BT352" s="41"/>
      <c r="BU352" s="41"/>
      <c r="BV352" s="41"/>
      <c r="BW352" s="41"/>
      <c r="BX352" s="41"/>
      <c r="BY352" s="41"/>
      <c r="BZ352" s="41"/>
      <c r="CA352" s="41"/>
      <c r="CB352" s="41"/>
      <c r="CC352" s="41"/>
      <c r="CD352" s="41"/>
      <c r="CE352" s="41"/>
      <c r="CF352" s="41"/>
      <c r="CG352" s="41"/>
      <c r="CH352" s="41"/>
      <c r="CI352" s="41"/>
      <c r="CJ352" s="41"/>
      <c r="CK352" s="41"/>
      <c r="CL352" s="41"/>
      <c r="CM352" s="41"/>
      <c r="CN352" s="41"/>
      <c r="CO352" s="41"/>
      <c r="CP352" s="41"/>
    </row>
    <row r="353" spans="61:94">
      <c r="BI353" s="105"/>
      <c r="BJ353" s="105"/>
      <c r="BK353" s="105"/>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row>
    <row r="354" spans="61:94">
      <c r="BI354" s="105"/>
      <c r="BJ354" s="105"/>
      <c r="BK354" s="105"/>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row>
    <row r="355" spans="61:94">
      <c r="BI355" s="105"/>
      <c r="BJ355" s="105"/>
      <c r="BK355" s="105"/>
      <c r="BL355" s="41"/>
      <c r="BM355" s="41"/>
      <c r="BN355" s="41"/>
      <c r="BO355" s="41"/>
      <c r="BP355" s="41"/>
      <c r="BQ355" s="41"/>
      <c r="BR355" s="41"/>
      <c r="BS355" s="41"/>
      <c r="BT355" s="41"/>
      <c r="BU355" s="41"/>
      <c r="BV355" s="41"/>
      <c r="BW355" s="41"/>
      <c r="BX355" s="41"/>
      <c r="BY355" s="41"/>
      <c r="BZ355" s="41"/>
      <c r="CA355" s="41"/>
      <c r="CB355" s="41"/>
      <c r="CC355" s="41"/>
      <c r="CD355" s="41"/>
      <c r="CE355" s="41"/>
      <c r="CF355" s="41"/>
      <c r="CG355" s="41"/>
      <c r="CH355" s="41"/>
      <c r="CI355" s="41"/>
      <c r="CJ355" s="41"/>
      <c r="CK355" s="41"/>
      <c r="CL355" s="41"/>
      <c r="CM355" s="41"/>
      <c r="CN355" s="41"/>
      <c r="CO355" s="41"/>
      <c r="CP355" s="41"/>
    </row>
    <row r="356" spans="61:94">
      <c r="BI356" s="105"/>
      <c r="BJ356" s="105"/>
      <c r="BK356" s="105"/>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row>
    <row r="357" spans="61:94">
      <c r="BI357" s="105"/>
      <c r="BJ357" s="105"/>
      <c r="BK357" s="105"/>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row>
    <row r="358" spans="61:94">
      <c r="BI358" s="105"/>
      <c r="BJ358" s="105"/>
      <c r="BK358" s="105"/>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row>
    <row r="359" spans="61:94">
      <c r="BI359" s="105"/>
      <c r="BJ359" s="105"/>
      <c r="BK359" s="105"/>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row>
    <row r="360" spans="61:94">
      <c r="BI360" s="105"/>
      <c r="BJ360" s="105"/>
      <c r="BK360" s="105"/>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row>
    <row r="361" spans="61:94">
      <c r="BI361" s="105"/>
      <c r="BJ361" s="105"/>
      <c r="BK361" s="105"/>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row>
    <row r="362" spans="61:94">
      <c r="BI362" s="105"/>
      <c r="BJ362" s="105"/>
      <c r="BK362" s="105"/>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row>
    <row r="363" spans="61:94">
      <c r="BI363" s="105"/>
      <c r="BJ363" s="105"/>
      <c r="BK363" s="105"/>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row>
    <row r="364" spans="61:94">
      <c r="BI364" s="105"/>
      <c r="BJ364" s="105"/>
      <c r="BK364" s="105"/>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row>
    <row r="365" spans="61:94">
      <c r="BI365" s="105"/>
      <c r="BJ365" s="105"/>
      <c r="BK365" s="105"/>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row>
    <row r="366" spans="61:94">
      <c r="BI366" s="105"/>
      <c r="BJ366" s="105"/>
      <c r="BK366" s="105"/>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row>
    <row r="367" spans="61:94">
      <c r="BI367" s="105"/>
      <c r="BJ367" s="105"/>
      <c r="BK367" s="105"/>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row>
    <row r="368" spans="61:94">
      <c r="BI368" s="105"/>
      <c r="BJ368" s="105"/>
      <c r="BK368" s="105"/>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row>
    <row r="369" spans="61:94">
      <c r="BI369" s="105"/>
      <c r="BJ369" s="105"/>
      <c r="BK369" s="105"/>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row>
    <row r="370" spans="61:94">
      <c r="BI370" s="105"/>
      <c r="BJ370" s="105"/>
      <c r="BK370" s="105"/>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row>
    <row r="371" spans="61:94">
      <c r="BI371" s="105"/>
      <c r="BJ371" s="105"/>
      <c r="BK371" s="105"/>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row>
    <row r="372" spans="61:94">
      <c r="BI372" s="105"/>
      <c r="BJ372" s="105"/>
      <c r="BK372" s="105"/>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row>
    <row r="373" spans="61:94">
      <c r="BI373" s="105"/>
      <c r="BJ373" s="105"/>
      <c r="BK373" s="105"/>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row>
    <row r="374" spans="61:94">
      <c r="BI374" s="105"/>
      <c r="BJ374" s="105"/>
      <c r="BK374" s="105"/>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row>
    <row r="375" spans="61:94">
      <c r="BI375" s="105"/>
      <c r="BJ375" s="105"/>
      <c r="BK375" s="105"/>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row>
    <row r="376" spans="61:94">
      <c r="BI376" s="105"/>
      <c r="BJ376" s="105"/>
      <c r="BK376" s="105"/>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row>
    <row r="377" spans="61:94">
      <c r="BI377" s="105"/>
      <c r="BJ377" s="105"/>
      <c r="BK377" s="105"/>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row>
    <row r="378" spans="61:94">
      <c r="BI378" s="105"/>
      <c r="BJ378" s="105"/>
      <c r="BK378" s="105"/>
      <c r="BL378" s="41"/>
      <c r="BM378" s="41"/>
      <c r="BN378" s="41"/>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row>
    <row r="379" spans="61:94">
      <c r="BI379" s="105"/>
      <c r="BJ379" s="105"/>
      <c r="BK379" s="105"/>
      <c r="BL379" s="41"/>
      <c r="BM379" s="41"/>
      <c r="BN379" s="41"/>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row>
    <row r="380" spans="61:94">
      <c r="BI380" s="105"/>
      <c r="BJ380" s="105"/>
      <c r="BK380" s="105"/>
      <c r="BL380" s="41"/>
      <c r="BM380" s="41"/>
      <c r="BN380" s="41"/>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row>
    <row r="381" spans="61:94">
      <c r="BI381" s="105"/>
      <c r="BJ381" s="105"/>
      <c r="BK381" s="105"/>
      <c r="BL381" s="41"/>
      <c r="BM381" s="41"/>
      <c r="BN381" s="41"/>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row>
    <row r="382" spans="61:94">
      <c r="BI382" s="105"/>
      <c r="BJ382" s="105"/>
      <c r="BK382" s="105"/>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row>
    <row r="383" spans="61:94">
      <c r="BI383" s="105"/>
      <c r="BJ383" s="105"/>
      <c r="BK383" s="105"/>
      <c r="BL383" s="41"/>
      <c r="BM383" s="41"/>
      <c r="BN383" s="41"/>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row>
    <row r="384" spans="61:94">
      <c r="BI384" s="105"/>
      <c r="BJ384" s="105"/>
      <c r="BK384" s="105"/>
      <c r="BL384" s="41"/>
      <c r="BM384" s="41"/>
      <c r="BN384" s="41"/>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row>
    <row r="385" spans="61:94">
      <c r="BI385" s="105"/>
      <c r="BJ385" s="105"/>
      <c r="BK385" s="105"/>
      <c r="BL385" s="41"/>
      <c r="BM385" s="41"/>
      <c r="BN385" s="41"/>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row>
    <row r="386" spans="61:94">
      <c r="BI386" s="105"/>
      <c r="BJ386" s="105"/>
      <c r="BK386" s="105"/>
      <c r="BL386" s="41"/>
      <c r="BM386" s="41"/>
      <c r="BN386" s="41"/>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row>
    <row r="387" spans="61:94">
      <c r="BI387" s="105"/>
      <c r="BJ387" s="105"/>
      <c r="BK387" s="105"/>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row>
    <row r="388" spans="61:94">
      <c r="BI388" s="105"/>
      <c r="BJ388" s="105"/>
      <c r="BK388" s="105"/>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row>
    <row r="389" spans="61:94">
      <c r="BI389" s="105"/>
      <c r="BJ389" s="105"/>
      <c r="BK389" s="105"/>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row>
    <row r="390" spans="61:94">
      <c r="BI390" s="105"/>
      <c r="BJ390" s="105"/>
      <c r="BK390" s="105"/>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row>
    <row r="391" spans="61:94">
      <c r="BI391" s="105"/>
      <c r="BJ391" s="105"/>
      <c r="BK391" s="105"/>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row>
    <row r="392" spans="61:94">
      <c r="BI392" s="105"/>
      <c r="BJ392" s="105"/>
      <c r="BK392" s="105"/>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row>
    <row r="393" spans="61:94">
      <c r="BI393" s="105"/>
      <c r="BJ393" s="105"/>
      <c r="BK393" s="105"/>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row>
    <row r="394" spans="61:94">
      <c r="BI394" s="105"/>
      <c r="BJ394" s="105"/>
      <c r="BK394" s="105"/>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row>
    <row r="395" spans="61:94">
      <c r="BI395" s="105"/>
      <c r="BJ395" s="105"/>
      <c r="BK395" s="105"/>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row>
    <row r="396" spans="61:94">
      <c r="BI396" s="105"/>
      <c r="BJ396" s="105"/>
      <c r="BK396" s="105"/>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row>
    <row r="397" spans="61:94">
      <c r="BI397" s="105"/>
      <c r="BJ397" s="105"/>
      <c r="BK397" s="105"/>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row>
    <row r="398" spans="61:94">
      <c r="BI398" s="105"/>
      <c r="BJ398" s="105"/>
      <c r="BK398" s="105"/>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row>
    <row r="399" spans="61:94">
      <c r="BI399" s="105"/>
      <c r="BJ399" s="105"/>
      <c r="BK399" s="105"/>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row>
    <row r="400" spans="61:94">
      <c r="BI400" s="105"/>
      <c r="BJ400" s="105"/>
      <c r="BK400" s="105"/>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row>
    <row r="401" spans="61:94">
      <c r="BI401" s="105"/>
      <c r="BJ401" s="105"/>
      <c r="BK401" s="105"/>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row>
    <row r="402" spans="61:94">
      <c r="BI402" s="105"/>
      <c r="BJ402" s="105"/>
      <c r="BK402" s="105"/>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row>
    <row r="403" spans="61:94">
      <c r="BI403" s="105"/>
      <c r="BJ403" s="105"/>
      <c r="BK403" s="105"/>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row>
    <row r="404" spans="61:94">
      <c r="BI404" s="105"/>
      <c r="BJ404" s="105"/>
      <c r="BK404" s="105"/>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row>
    <row r="405" spans="61:94">
      <c r="BI405" s="105"/>
      <c r="BJ405" s="105"/>
      <c r="BK405" s="105"/>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row>
    <row r="406" spans="61:94">
      <c r="BI406" s="105"/>
      <c r="BJ406" s="105"/>
      <c r="BK406" s="105"/>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row>
    <row r="407" spans="61:94">
      <c r="BI407" s="105"/>
      <c r="BJ407" s="105"/>
      <c r="BK407" s="105"/>
      <c r="BL407" s="41"/>
      <c r="BM407" s="41"/>
      <c r="BN407" s="41"/>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row>
    <row r="408" spans="61:94">
      <c r="BI408" s="105"/>
      <c r="BJ408" s="105"/>
      <c r="BK408" s="105"/>
      <c r="BL408" s="41"/>
      <c r="BM408" s="41"/>
      <c r="BN408" s="41"/>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row>
    <row r="409" spans="61:94">
      <c r="BI409" s="105"/>
      <c r="BJ409" s="105"/>
      <c r="BK409" s="105"/>
      <c r="BL409" s="41"/>
      <c r="BM409" s="41"/>
      <c r="BN409" s="41"/>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row>
    <row r="410" spans="61:94">
      <c r="BI410" s="105"/>
      <c r="BJ410" s="105"/>
      <c r="BK410" s="105"/>
      <c r="BL410" s="41"/>
      <c r="BM410" s="41"/>
      <c r="BN410" s="41"/>
      <c r="BO410" s="41"/>
      <c r="BP410" s="41"/>
      <c r="BQ410" s="41"/>
      <c r="BR410" s="41"/>
      <c r="BS410" s="41"/>
      <c r="BT410" s="41"/>
      <c r="BU410" s="41"/>
      <c r="BV410" s="41"/>
      <c r="BW410" s="41"/>
      <c r="BX410" s="41"/>
      <c r="BY410" s="41"/>
      <c r="BZ410" s="41"/>
      <c r="CA410" s="41"/>
      <c r="CB410" s="41"/>
      <c r="CC410" s="41"/>
      <c r="CD410" s="41"/>
      <c r="CE410" s="41"/>
      <c r="CF410" s="41"/>
      <c r="CG410" s="41"/>
      <c r="CH410" s="41"/>
      <c r="CI410" s="41"/>
      <c r="CJ410" s="41"/>
      <c r="CK410" s="41"/>
      <c r="CL410" s="41"/>
      <c r="CM410" s="41"/>
      <c r="CN410" s="41"/>
      <c r="CO410" s="41"/>
      <c r="CP410" s="41"/>
    </row>
    <row r="411" spans="61:94">
      <c r="BI411" s="105"/>
      <c r="BJ411" s="105"/>
      <c r="BK411" s="105"/>
      <c r="BL411" s="41"/>
      <c r="BM411" s="41"/>
      <c r="BN411" s="41"/>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row>
    <row r="412" spans="61:94">
      <c r="BI412" s="105"/>
      <c r="BJ412" s="105"/>
      <c r="BK412" s="105"/>
      <c r="BL412" s="41"/>
      <c r="BM412" s="41"/>
      <c r="BN412" s="41"/>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row>
    <row r="413" spans="61:94">
      <c r="BI413" s="105"/>
      <c r="BJ413" s="105"/>
      <c r="BK413" s="105"/>
      <c r="BL413" s="41"/>
      <c r="BM413" s="41"/>
      <c r="BN413" s="41"/>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row>
    <row r="414" spans="61:94">
      <c r="BI414" s="105"/>
      <c r="BJ414" s="105"/>
      <c r="BK414" s="105"/>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row>
    <row r="415" spans="61:94">
      <c r="BI415" s="105"/>
      <c r="BJ415" s="105"/>
      <c r="BK415" s="105"/>
      <c r="BL415" s="41"/>
      <c r="BM415" s="41"/>
      <c r="BN415" s="41"/>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row>
    <row r="416" spans="61:94">
      <c r="BI416" s="105"/>
      <c r="BJ416" s="105"/>
      <c r="BK416" s="105"/>
      <c r="BL416" s="41"/>
      <c r="BM416" s="41"/>
      <c r="BN416" s="41"/>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row>
    <row r="417" spans="61:94">
      <c r="BI417" s="105"/>
      <c r="BJ417" s="105"/>
      <c r="BK417" s="105"/>
      <c r="BL417" s="41"/>
      <c r="BM417" s="41"/>
      <c r="BN417" s="41"/>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row>
    <row r="418" spans="61:94">
      <c r="BI418" s="105"/>
      <c r="BJ418" s="105"/>
      <c r="BK418" s="105"/>
      <c r="BL418" s="41"/>
      <c r="BM418" s="41"/>
      <c r="BN418" s="41"/>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row>
    <row r="419" spans="61:94">
      <c r="BI419" s="105"/>
      <c r="BJ419" s="105"/>
      <c r="BK419" s="105"/>
      <c r="BL419" s="41"/>
      <c r="BM419" s="41"/>
      <c r="BN419" s="41"/>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row>
    <row r="420" spans="61:94">
      <c r="BI420" s="105"/>
      <c r="BJ420" s="105"/>
      <c r="BK420" s="105"/>
      <c r="BL420" s="41"/>
      <c r="BM420" s="41"/>
      <c r="BN420" s="41"/>
      <c r="BO420" s="41"/>
      <c r="BP420" s="41"/>
      <c r="BQ420" s="41"/>
      <c r="BR420" s="41"/>
      <c r="BS420" s="41"/>
      <c r="BT420" s="41"/>
      <c r="BU420" s="41"/>
      <c r="BV420" s="41"/>
      <c r="BW420" s="41"/>
      <c r="BX420" s="41"/>
      <c r="BY420" s="41"/>
      <c r="BZ420" s="41"/>
      <c r="CA420" s="41"/>
      <c r="CB420" s="41"/>
      <c r="CC420" s="41"/>
      <c r="CD420" s="41"/>
      <c r="CE420" s="41"/>
      <c r="CF420" s="41"/>
      <c r="CG420" s="41"/>
      <c r="CH420" s="41"/>
      <c r="CI420" s="41"/>
      <c r="CJ420" s="41"/>
      <c r="CK420" s="41"/>
      <c r="CL420" s="41"/>
      <c r="CM420" s="41"/>
      <c r="CN420" s="41"/>
      <c r="CO420" s="41"/>
      <c r="CP420" s="41"/>
    </row>
    <row r="421" spans="61:94">
      <c r="BI421" s="105"/>
      <c r="BJ421" s="105"/>
      <c r="BK421" s="105"/>
      <c r="BL421" s="41"/>
      <c r="BM421" s="41"/>
      <c r="BN421" s="41"/>
      <c r="BO421" s="41"/>
      <c r="BP421" s="41"/>
      <c r="BQ421" s="41"/>
      <c r="BR421" s="41"/>
      <c r="BS421" s="41"/>
      <c r="BT421" s="41"/>
      <c r="BU421" s="41"/>
      <c r="BV421" s="41"/>
      <c r="BW421" s="41"/>
      <c r="BX421" s="41"/>
      <c r="BY421" s="41"/>
      <c r="BZ421" s="41"/>
      <c r="CA421" s="41"/>
      <c r="CB421" s="41"/>
      <c r="CC421" s="41"/>
      <c r="CD421" s="41"/>
      <c r="CE421" s="41"/>
      <c r="CF421" s="41"/>
      <c r="CG421" s="41"/>
      <c r="CH421" s="41"/>
      <c r="CI421" s="41"/>
      <c r="CJ421" s="41"/>
      <c r="CK421" s="41"/>
      <c r="CL421" s="41"/>
      <c r="CM421" s="41"/>
      <c r="CN421" s="41"/>
      <c r="CO421" s="41"/>
      <c r="CP421" s="41"/>
    </row>
    <row r="422" spans="61:94">
      <c r="BI422" s="105"/>
      <c r="BJ422" s="105"/>
      <c r="BK422" s="105"/>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row>
    <row r="423" spans="61:94">
      <c r="BI423" s="105"/>
      <c r="BJ423" s="105"/>
      <c r="BK423" s="105"/>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row>
    <row r="424" spans="61:94">
      <c r="BI424" s="105"/>
      <c r="BJ424" s="105"/>
      <c r="BK424" s="105"/>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row>
    <row r="425" spans="61:94">
      <c r="BI425" s="105"/>
      <c r="BJ425" s="105"/>
      <c r="BK425" s="105"/>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row>
    <row r="426" spans="61:94">
      <c r="BI426" s="105"/>
      <c r="BJ426" s="105"/>
      <c r="BK426" s="105"/>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row>
    <row r="427" spans="61:94">
      <c r="BI427" s="105"/>
      <c r="BJ427" s="105"/>
      <c r="BK427" s="105"/>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row>
    <row r="428" spans="61:94">
      <c r="BI428" s="105"/>
      <c r="BJ428" s="105"/>
      <c r="BK428" s="105"/>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row>
    <row r="429" spans="61:94">
      <c r="BI429" s="105"/>
      <c r="BJ429" s="105"/>
      <c r="BK429" s="105"/>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row>
    <row r="430" spans="61:94">
      <c r="BI430" s="105"/>
      <c r="BJ430" s="105"/>
      <c r="BK430" s="105"/>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row>
    <row r="431" spans="61:94">
      <c r="BI431" s="105"/>
      <c r="BJ431" s="105"/>
      <c r="BK431" s="105"/>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row>
    <row r="432" spans="61:94">
      <c r="BI432" s="105"/>
      <c r="BJ432" s="105"/>
      <c r="BK432" s="105"/>
      <c r="BL432" s="41"/>
      <c r="BM432" s="41"/>
      <c r="BN432" s="41"/>
      <c r="BO432" s="41"/>
      <c r="BP432" s="41"/>
      <c r="BQ432" s="41"/>
      <c r="BR432" s="41"/>
      <c r="BS432" s="41"/>
      <c r="BT432" s="41"/>
      <c r="BU432" s="41"/>
      <c r="BV432" s="41"/>
      <c r="BW432" s="41"/>
      <c r="BX432" s="41"/>
      <c r="BY432" s="41"/>
      <c r="BZ432" s="41"/>
      <c r="CA432" s="41"/>
      <c r="CB432" s="41"/>
      <c r="CC432" s="41"/>
      <c r="CD432" s="41"/>
      <c r="CE432" s="41"/>
      <c r="CF432" s="41"/>
      <c r="CG432" s="41"/>
      <c r="CH432" s="41"/>
      <c r="CI432" s="41"/>
      <c r="CJ432" s="41"/>
      <c r="CK432" s="41"/>
      <c r="CL432" s="41"/>
      <c r="CM432" s="41"/>
      <c r="CN432" s="41"/>
      <c r="CO432" s="41"/>
      <c r="CP432" s="41"/>
    </row>
    <row r="433" spans="61:94">
      <c r="BI433" s="105"/>
      <c r="BJ433" s="105"/>
      <c r="BK433" s="105"/>
      <c r="BL433" s="41"/>
      <c r="BM433" s="41"/>
      <c r="BN433" s="41"/>
      <c r="BO433" s="41"/>
      <c r="BP433" s="41"/>
      <c r="BQ433" s="41"/>
      <c r="BR433" s="41"/>
      <c r="BS433" s="41"/>
      <c r="BT433" s="41"/>
      <c r="BU433" s="41"/>
      <c r="BV433" s="41"/>
      <c r="BW433" s="41"/>
      <c r="BX433" s="41"/>
      <c r="BY433" s="41"/>
      <c r="BZ433" s="41"/>
      <c r="CA433" s="41"/>
      <c r="CB433" s="41"/>
      <c r="CC433" s="41"/>
      <c r="CD433" s="41"/>
      <c r="CE433" s="41"/>
      <c r="CF433" s="41"/>
      <c r="CG433" s="41"/>
      <c r="CH433" s="41"/>
      <c r="CI433" s="41"/>
      <c r="CJ433" s="41"/>
      <c r="CK433" s="41"/>
      <c r="CL433" s="41"/>
      <c r="CM433" s="41"/>
      <c r="CN433" s="41"/>
      <c r="CO433" s="41"/>
      <c r="CP433" s="41"/>
    </row>
    <row r="434" spans="61:94">
      <c r="BI434" s="105"/>
      <c r="BJ434" s="105"/>
      <c r="BK434" s="105"/>
      <c r="BL434" s="41"/>
      <c r="BM434" s="41"/>
      <c r="BN434" s="41"/>
      <c r="BO434" s="41"/>
      <c r="BP434" s="41"/>
      <c r="BQ434" s="41"/>
      <c r="BR434" s="41"/>
      <c r="BS434" s="41"/>
      <c r="BT434" s="41"/>
      <c r="BU434" s="41"/>
      <c r="BV434" s="41"/>
      <c r="BW434" s="41"/>
      <c r="BX434" s="41"/>
      <c r="BY434" s="41"/>
      <c r="BZ434" s="41"/>
      <c r="CA434" s="41"/>
      <c r="CB434" s="41"/>
      <c r="CC434" s="41"/>
      <c r="CD434" s="41"/>
      <c r="CE434" s="41"/>
      <c r="CF434" s="41"/>
      <c r="CG434" s="41"/>
      <c r="CH434" s="41"/>
      <c r="CI434" s="41"/>
      <c r="CJ434" s="41"/>
      <c r="CK434" s="41"/>
      <c r="CL434" s="41"/>
      <c r="CM434" s="41"/>
      <c r="CN434" s="41"/>
      <c r="CO434" s="41"/>
      <c r="CP434" s="41"/>
    </row>
    <row r="435" spans="61:94">
      <c r="BI435" s="105"/>
      <c r="BJ435" s="105"/>
      <c r="BK435" s="105"/>
      <c r="BL435" s="41"/>
      <c r="BM435" s="41"/>
      <c r="BN435" s="41"/>
      <c r="BO435" s="41"/>
      <c r="BP435" s="41"/>
      <c r="BQ435" s="41"/>
      <c r="BR435" s="41"/>
      <c r="BS435" s="41"/>
      <c r="BT435" s="41"/>
      <c r="BU435" s="41"/>
      <c r="BV435" s="41"/>
      <c r="BW435" s="41"/>
      <c r="BX435" s="41"/>
      <c r="BY435" s="41"/>
      <c r="BZ435" s="41"/>
      <c r="CA435" s="41"/>
      <c r="CB435" s="41"/>
      <c r="CC435" s="41"/>
      <c r="CD435" s="41"/>
      <c r="CE435" s="41"/>
      <c r="CF435" s="41"/>
      <c r="CG435" s="41"/>
      <c r="CH435" s="41"/>
      <c r="CI435" s="41"/>
      <c r="CJ435" s="41"/>
      <c r="CK435" s="41"/>
      <c r="CL435" s="41"/>
      <c r="CM435" s="41"/>
      <c r="CN435" s="41"/>
      <c r="CO435" s="41"/>
      <c r="CP435" s="41"/>
    </row>
    <row r="436" spans="61:94">
      <c r="BI436" s="105"/>
      <c r="BJ436" s="105"/>
      <c r="BK436" s="105"/>
      <c r="BL436" s="41"/>
      <c r="BM436" s="41"/>
      <c r="BN436" s="41"/>
      <c r="BO436" s="41"/>
      <c r="BP436" s="41"/>
      <c r="BQ436" s="41"/>
      <c r="BR436" s="41"/>
      <c r="BS436" s="41"/>
      <c r="BT436" s="41"/>
      <c r="BU436" s="41"/>
      <c r="BV436" s="41"/>
      <c r="BW436" s="41"/>
      <c r="BX436" s="41"/>
      <c r="BY436" s="41"/>
      <c r="BZ436" s="41"/>
      <c r="CA436" s="41"/>
      <c r="CB436" s="41"/>
      <c r="CC436" s="41"/>
      <c r="CD436" s="41"/>
      <c r="CE436" s="41"/>
      <c r="CF436" s="41"/>
      <c r="CG436" s="41"/>
      <c r="CH436" s="41"/>
      <c r="CI436" s="41"/>
      <c r="CJ436" s="41"/>
      <c r="CK436" s="41"/>
      <c r="CL436" s="41"/>
      <c r="CM436" s="41"/>
      <c r="CN436" s="41"/>
      <c r="CO436" s="41"/>
      <c r="CP436" s="41"/>
    </row>
    <row r="437" spans="61:94">
      <c r="BI437" s="105"/>
      <c r="BJ437" s="105"/>
      <c r="BK437" s="105"/>
      <c r="BL437" s="41"/>
      <c r="BM437" s="41"/>
      <c r="BN437" s="41"/>
      <c r="BO437" s="41"/>
      <c r="BP437" s="41"/>
      <c r="BQ437" s="41"/>
      <c r="BR437" s="41"/>
      <c r="BS437" s="41"/>
      <c r="BT437" s="41"/>
      <c r="BU437" s="41"/>
      <c r="BV437" s="41"/>
      <c r="BW437" s="41"/>
      <c r="BX437" s="41"/>
      <c r="BY437" s="41"/>
      <c r="BZ437" s="41"/>
      <c r="CA437" s="41"/>
      <c r="CB437" s="41"/>
      <c r="CC437" s="41"/>
      <c r="CD437" s="41"/>
      <c r="CE437" s="41"/>
      <c r="CF437" s="41"/>
      <c r="CG437" s="41"/>
      <c r="CH437" s="41"/>
      <c r="CI437" s="41"/>
      <c r="CJ437" s="41"/>
      <c r="CK437" s="41"/>
      <c r="CL437" s="41"/>
      <c r="CM437" s="41"/>
      <c r="CN437" s="41"/>
      <c r="CO437" s="41"/>
      <c r="CP437" s="41"/>
    </row>
    <row r="438" spans="61:94">
      <c r="BI438" s="105"/>
      <c r="BJ438" s="105"/>
      <c r="BK438" s="105"/>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row>
    <row r="439" spans="61:94">
      <c r="BI439" s="105"/>
      <c r="BJ439" s="105"/>
      <c r="BK439" s="105"/>
      <c r="BL439" s="41"/>
      <c r="BM439" s="41"/>
      <c r="BN439" s="41"/>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row>
    <row r="440" spans="61:94">
      <c r="BI440" s="105"/>
      <c r="BJ440" s="105"/>
      <c r="BK440" s="105"/>
      <c r="BL440" s="41"/>
      <c r="BM440" s="41"/>
      <c r="BN440" s="41"/>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row>
    <row r="441" spans="61:94">
      <c r="BI441" s="105"/>
      <c r="BJ441" s="105"/>
      <c r="BK441" s="105"/>
      <c r="BL441" s="41"/>
      <c r="BM441" s="41"/>
      <c r="BN441" s="41"/>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row>
    <row r="442" spans="61:94">
      <c r="BI442" s="105"/>
      <c r="BJ442" s="105"/>
      <c r="BK442" s="105"/>
      <c r="BL442" s="41"/>
      <c r="BM442" s="41"/>
      <c r="BN442" s="41"/>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row>
    <row r="443" spans="61:94">
      <c r="BI443" s="105"/>
      <c r="BJ443" s="105"/>
      <c r="BK443" s="105"/>
      <c r="BL443" s="41"/>
      <c r="BM443" s="41"/>
      <c r="BN443" s="41"/>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row>
    <row r="444" spans="61:94">
      <c r="BI444" s="105"/>
      <c r="BJ444" s="105"/>
      <c r="BK444" s="105"/>
      <c r="BL444" s="41"/>
      <c r="BM444" s="41"/>
      <c r="BN444" s="41"/>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row>
    <row r="445" spans="61:94">
      <c r="BI445" s="105"/>
      <c r="BJ445" s="105"/>
      <c r="BK445" s="105"/>
      <c r="BL445" s="41"/>
      <c r="BM445" s="41"/>
      <c r="BN445" s="41"/>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row>
    <row r="446" spans="61:94">
      <c r="BI446" s="105"/>
      <c r="BJ446" s="105"/>
      <c r="BK446" s="105"/>
      <c r="BL446" s="41"/>
      <c r="BM446" s="41"/>
      <c r="BN446" s="41"/>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row>
    <row r="447" spans="61:94">
      <c r="BI447" s="105"/>
      <c r="BJ447" s="105"/>
      <c r="BK447" s="105"/>
      <c r="BL447" s="41"/>
      <c r="BM447" s="41"/>
      <c r="BN447" s="41"/>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row>
    <row r="448" spans="61:94">
      <c r="BI448" s="105"/>
      <c r="BJ448" s="105"/>
      <c r="BK448" s="105"/>
      <c r="BL448" s="41"/>
      <c r="BM448" s="41"/>
      <c r="BN448" s="41"/>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row>
    <row r="449" spans="61:94">
      <c r="BI449" s="105"/>
      <c r="BJ449" s="105"/>
      <c r="BK449" s="105"/>
      <c r="BL449" s="41"/>
      <c r="BM449" s="41"/>
      <c r="BN449" s="41"/>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row>
    <row r="450" spans="61:94">
      <c r="BI450" s="105"/>
      <c r="BJ450" s="105"/>
      <c r="BK450" s="105"/>
      <c r="BL450" s="41"/>
      <c r="BM450" s="41"/>
      <c r="BN450" s="41"/>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row>
    <row r="451" spans="61:94">
      <c r="BI451" s="105"/>
      <c r="BJ451" s="105"/>
      <c r="BK451" s="105"/>
      <c r="BL451" s="41"/>
      <c r="BM451" s="41"/>
      <c r="BN451" s="41"/>
      <c r="BO451" s="41"/>
      <c r="BP451" s="41"/>
      <c r="BQ451" s="41"/>
      <c r="BR451" s="41"/>
      <c r="BS451" s="41"/>
      <c r="BT451" s="41"/>
      <c r="BU451" s="41"/>
      <c r="BV451" s="41"/>
      <c r="BW451" s="41"/>
      <c r="BX451" s="41"/>
      <c r="BY451" s="41"/>
      <c r="BZ451" s="41"/>
      <c r="CA451" s="41"/>
      <c r="CB451" s="41"/>
      <c r="CC451" s="41"/>
      <c r="CD451" s="41"/>
      <c r="CE451" s="41"/>
      <c r="CF451" s="41"/>
      <c r="CG451" s="41"/>
      <c r="CH451" s="41"/>
      <c r="CI451" s="41"/>
      <c r="CJ451" s="41"/>
      <c r="CK451" s="41"/>
      <c r="CL451" s="41"/>
      <c r="CM451" s="41"/>
      <c r="CN451" s="41"/>
      <c r="CO451" s="41"/>
      <c r="CP451" s="41"/>
    </row>
    <row r="452" spans="61:94">
      <c r="BI452" s="105"/>
      <c r="BJ452" s="105"/>
      <c r="BK452" s="105"/>
      <c r="BL452" s="41"/>
      <c r="BM452" s="41"/>
      <c r="BN452" s="41"/>
      <c r="BO452" s="41"/>
      <c r="BP452" s="41"/>
      <c r="BQ452" s="41"/>
      <c r="BR452" s="41"/>
      <c r="BS452" s="41"/>
      <c r="BT452" s="41"/>
      <c r="BU452" s="41"/>
      <c r="BV452" s="41"/>
      <c r="BW452" s="41"/>
      <c r="BX452" s="41"/>
      <c r="BY452" s="41"/>
      <c r="BZ452" s="41"/>
      <c r="CA452" s="41"/>
      <c r="CB452" s="41"/>
      <c r="CC452" s="41"/>
      <c r="CD452" s="41"/>
      <c r="CE452" s="41"/>
      <c r="CF452" s="41"/>
      <c r="CG452" s="41"/>
      <c r="CH452" s="41"/>
      <c r="CI452" s="41"/>
      <c r="CJ452" s="41"/>
      <c r="CK452" s="41"/>
      <c r="CL452" s="41"/>
      <c r="CM452" s="41"/>
      <c r="CN452" s="41"/>
      <c r="CO452" s="41"/>
      <c r="CP452" s="41"/>
    </row>
    <row r="453" spans="61:94">
      <c r="BI453" s="105"/>
      <c r="BJ453" s="105"/>
      <c r="BK453" s="105"/>
      <c r="BL453" s="41"/>
      <c r="BM453" s="41"/>
      <c r="BN453" s="41"/>
      <c r="BO453" s="41"/>
      <c r="BP453" s="41"/>
      <c r="BQ453" s="41"/>
      <c r="BR453" s="41"/>
      <c r="BS453" s="41"/>
      <c r="BT453" s="41"/>
      <c r="BU453" s="41"/>
      <c r="BV453" s="41"/>
      <c r="BW453" s="41"/>
      <c r="BX453" s="41"/>
      <c r="BY453" s="41"/>
      <c r="BZ453" s="41"/>
      <c r="CA453" s="41"/>
      <c r="CB453" s="41"/>
      <c r="CC453" s="41"/>
      <c r="CD453" s="41"/>
      <c r="CE453" s="41"/>
      <c r="CF453" s="41"/>
      <c r="CG453" s="41"/>
      <c r="CH453" s="41"/>
      <c r="CI453" s="41"/>
      <c r="CJ453" s="41"/>
      <c r="CK453" s="41"/>
      <c r="CL453" s="41"/>
      <c r="CM453" s="41"/>
      <c r="CN453" s="41"/>
      <c r="CO453" s="41"/>
      <c r="CP453" s="41"/>
    </row>
    <row r="454" spans="61:94">
      <c r="BI454" s="105"/>
      <c r="BJ454" s="105"/>
      <c r="BK454" s="105"/>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row>
    <row r="455" spans="61:94">
      <c r="BI455" s="105"/>
      <c r="BJ455" s="105"/>
      <c r="BK455" s="105"/>
      <c r="BL455" s="41"/>
      <c r="BM455" s="41"/>
      <c r="BN455" s="41"/>
      <c r="BO455" s="41"/>
      <c r="BP455" s="41"/>
      <c r="BQ455" s="41"/>
      <c r="BR455" s="41"/>
      <c r="BS455" s="41"/>
      <c r="BT455" s="41"/>
      <c r="BU455" s="41"/>
      <c r="BV455" s="41"/>
      <c r="BW455" s="41"/>
      <c r="BX455" s="41"/>
      <c r="BY455" s="41"/>
      <c r="BZ455" s="41"/>
      <c r="CA455" s="41"/>
      <c r="CB455" s="41"/>
      <c r="CC455" s="41"/>
      <c r="CD455" s="41"/>
      <c r="CE455" s="41"/>
      <c r="CF455" s="41"/>
      <c r="CG455" s="41"/>
      <c r="CH455" s="41"/>
      <c r="CI455" s="41"/>
      <c r="CJ455" s="41"/>
      <c r="CK455" s="41"/>
      <c r="CL455" s="41"/>
      <c r="CM455" s="41"/>
      <c r="CN455" s="41"/>
      <c r="CO455" s="41"/>
      <c r="CP455" s="41"/>
    </row>
    <row r="456" spans="61:94">
      <c r="BI456" s="105"/>
      <c r="BJ456" s="105"/>
      <c r="BK456" s="105"/>
      <c r="BL456" s="41"/>
      <c r="BM456" s="41"/>
      <c r="BN456" s="41"/>
      <c r="BO456" s="41"/>
      <c r="BP456" s="41"/>
      <c r="BQ456" s="41"/>
      <c r="BR456" s="41"/>
      <c r="BS456" s="41"/>
      <c r="BT456" s="41"/>
      <c r="BU456" s="41"/>
      <c r="BV456" s="41"/>
      <c r="BW456" s="41"/>
      <c r="BX456" s="41"/>
      <c r="BY456" s="41"/>
      <c r="BZ456" s="41"/>
      <c r="CA456" s="41"/>
      <c r="CB456" s="41"/>
      <c r="CC456" s="41"/>
      <c r="CD456" s="41"/>
      <c r="CE456" s="41"/>
      <c r="CF456" s="41"/>
      <c r="CG456" s="41"/>
      <c r="CH456" s="41"/>
      <c r="CI456" s="41"/>
      <c r="CJ456" s="41"/>
      <c r="CK456" s="41"/>
      <c r="CL456" s="41"/>
      <c r="CM456" s="41"/>
      <c r="CN456" s="41"/>
      <c r="CO456" s="41"/>
      <c r="CP456" s="41"/>
    </row>
    <row r="457" spans="61:94">
      <c r="BI457" s="105"/>
      <c r="BJ457" s="105"/>
      <c r="BK457" s="105"/>
      <c r="BL457" s="41"/>
      <c r="BM457" s="41"/>
      <c r="BN457" s="41"/>
      <c r="BO457" s="41"/>
      <c r="BP457" s="41"/>
      <c r="BQ457" s="41"/>
      <c r="BR457" s="41"/>
      <c r="BS457" s="41"/>
      <c r="BT457" s="41"/>
      <c r="BU457" s="41"/>
      <c r="BV457" s="41"/>
      <c r="BW457" s="41"/>
      <c r="BX457" s="41"/>
      <c r="BY457" s="41"/>
      <c r="BZ457" s="41"/>
      <c r="CA457" s="41"/>
      <c r="CB457" s="41"/>
      <c r="CC457" s="41"/>
      <c r="CD457" s="41"/>
      <c r="CE457" s="41"/>
      <c r="CF457" s="41"/>
      <c r="CG457" s="41"/>
      <c r="CH457" s="41"/>
      <c r="CI457" s="41"/>
      <c r="CJ457" s="41"/>
      <c r="CK457" s="41"/>
      <c r="CL457" s="41"/>
      <c r="CM457" s="41"/>
      <c r="CN457" s="41"/>
      <c r="CO457" s="41"/>
      <c r="CP457" s="41"/>
    </row>
    <row r="458" spans="61:94">
      <c r="BI458" s="105"/>
      <c r="BJ458" s="105"/>
      <c r="BK458" s="105"/>
      <c r="BL458" s="41"/>
      <c r="BM458" s="41"/>
      <c r="BN458" s="41"/>
      <c r="BO458" s="41"/>
      <c r="BP458" s="41"/>
      <c r="BQ458" s="41"/>
      <c r="BR458" s="41"/>
      <c r="BS458" s="41"/>
      <c r="BT458" s="41"/>
      <c r="BU458" s="41"/>
      <c r="BV458" s="41"/>
      <c r="BW458" s="41"/>
      <c r="BX458" s="41"/>
      <c r="BY458" s="41"/>
      <c r="BZ458" s="41"/>
      <c r="CA458" s="41"/>
      <c r="CB458" s="41"/>
      <c r="CC458" s="41"/>
      <c r="CD458" s="41"/>
      <c r="CE458" s="41"/>
      <c r="CF458" s="41"/>
      <c r="CG458" s="41"/>
      <c r="CH458" s="41"/>
      <c r="CI458" s="41"/>
      <c r="CJ458" s="41"/>
      <c r="CK458" s="41"/>
      <c r="CL458" s="41"/>
      <c r="CM458" s="41"/>
      <c r="CN458" s="41"/>
      <c r="CO458" s="41"/>
      <c r="CP458" s="41"/>
    </row>
    <row r="459" spans="61:94">
      <c r="BI459" s="105"/>
      <c r="BJ459" s="105"/>
      <c r="BK459" s="105"/>
      <c r="BL459" s="41"/>
      <c r="BM459" s="41"/>
      <c r="BN459" s="41"/>
      <c r="BO459" s="41"/>
      <c r="BP459" s="41"/>
      <c r="BQ459" s="41"/>
      <c r="BR459" s="41"/>
      <c r="BS459" s="41"/>
      <c r="BT459" s="41"/>
      <c r="BU459" s="41"/>
      <c r="BV459" s="41"/>
      <c r="BW459" s="41"/>
      <c r="BX459" s="41"/>
      <c r="BY459" s="41"/>
      <c r="BZ459" s="41"/>
      <c r="CA459" s="41"/>
      <c r="CB459" s="41"/>
      <c r="CC459" s="41"/>
      <c r="CD459" s="41"/>
      <c r="CE459" s="41"/>
      <c r="CF459" s="41"/>
      <c r="CG459" s="41"/>
      <c r="CH459" s="41"/>
      <c r="CI459" s="41"/>
      <c r="CJ459" s="41"/>
      <c r="CK459" s="41"/>
      <c r="CL459" s="41"/>
      <c r="CM459" s="41"/>
      <c r="CN459" s="41"/>
      <c r="CO459" s="41"/>
      <c r="CP459" s="41"/>
    </row>
    <row r="460" spans="61:94">
      <c r="BI460" s="105"/>
      <c r="BJ460" s="105"/>
      <c r="BK460" s="105"/>
      <c r="BL460" s="41"/>
      <c r="BM460" s="41"/>
      <c r="BN460" s="41"/>
      <c r="BO460" s="41"/>
      <c r="BP460" s="41"/>
      <c r="BQ460" s="41"/>
      <c r="BR460" s="41"/>
      <c r="BS460" s="41"/>
      <c r="BT460" s="41"/>
      <c r="BU460" s="41"/>
      <c r="BV460" s="41"/>
      <c r="BW460" s="41"/>
      <c r="BX460" s="41"/>
      <c r="BY460" s="41"/>
      <c r="BZ460" s="41"/>
      <c r="CA460" s="41"/>
      <c r="CB460" s="41"/>
      <c r="CC460" s="41"/>
      <c r="CD460" s="41"/>
      <c r="CE460" s="41"/>
      <c r="CF460" s="41"/>
      <c r="CG460" s="41"/>
      <c r="CH460" s="41"/>
      <c r="CI460" s="41"/>
      <c r="CJ460" s="41"/>
      <c r="CK460" s="41"/>
      <c r="CL460" s="41"/>
      <c r="CM460" s="41"/>
      <c r="CN460" s="41"/>
      <c r="CO460" s="41"/>
      <c r="CP460" s="41"/>
    </row>
    <row r="461" spans="61:94">
      <c r="BI461" s="105"/>
      <c r="BJ461" s="105"/>
      <c r="BK461" s="105"/>
      <c r="BL461" s="41"/>
      <c r="BM461" s="41"/>
      <c r="BN461" s="41"/>
      <c r="BO461" s="41"/>
      <c r="BP461" s="41"/>
      <c r="BQ461" s="41"/>
      <c r="BR461" s="41"/>
      <c r="BS461" s="41"/>
      <c r="BT461" s="41"/>
      <c r="BU461" s="41"/>
      <c r="BV461" s="41"/>
      <c r="BW461" s="41"/>
      <c r="BX461" s="41"/>
      <c r="BY461" s="41"/>
      <c r="BZ461" s="41"/>
      <c r="CA461" s="41"/>
      <c r="CB461" s="41"/>
      <c r="CC461" s="41"/>
      <c r="CD461" s="41"/>
      <c r="CE461" s="41"/>
      <c r="CF461" s="41"/>
      <c r="CG461" s="41"/>
      <c r="CH461" s="41"/>
      <c r="CI461" s="41"/>
      <c r="CJ461" s="41"/>
      <c r="CK461" s="41"/>
      <c r="CL461" s="41"/>
      <c r="CM461" s="41"/>
      <c r="CN461" s="41"/>
      <c r="CO461" s="41"/>
      <c r="CP461" s="41"/>
    </row>
    <row r="462" spans="61:94">
      <c r="BI462" s="105"/>
      <c r="BJ462" s="105"/>
      <c r="BK462" s="105"/>
      <c r="BL462" s="41"/>
      <c r="BM462" s="41"/>
      <c r="BN462" s="41"/>
      <c r="BO462" s="41"/>
      <c r="BP462" s="41"/>
      <c r="BQ462" s="41"/>
      <c r="BR462" s="41"/>
      <c r="BS462" s="41"/>
      <c r="BT462" s="41"/>
      <c r="BU462" s="41"/>
      <c r="BV462" s="41"/>
      <c r="BW462" s="41"/>
      <c r="BX462" s="41"/>
      <c r="BY462" s="41"/>
      <c r="BZ462" s="41"/>
      <c r="CA462" s="41"/>
      <c r="CB462" s="41"/>
      <c r="CC462" s="41"/>
      <c r="CD462" s="41"/>
      <c r="CE462" s="41"/>
      <c r="CF462" s="41"/>
      <c r="CG462" s="41"/>
      <c r="CH462" s="41"/>
      <c r="CI462" s="41"/>
      <c r="CJ462" s="41"/>
      <c r="CK462" s="41"/>
      <c r="CL462" s="41"/>
      <c r="CM462" s="41"/>
      <c r="CN462" s="41"/>
      <c r="CO462" s="41"/>
      <c r="CP462" s="41"/>
    </row>
    <row r="463" spans="61:94">
      <c r="BI463" s="105"/>
      <c r="BJ463" s="105"/>
      <c r="BK463" s="105"/>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41"/>
      <c r="CH463" s="41"/>
      <c r="CI463" s="41"/>
      <c r="CJ463" s="41"/>
      <c r="CK463" s="41"/>
      <c r="CL463" s="41"/>
      <c r="CM463" s="41"/>
      <c r="CN463" s="41"/>
      <c r="CO463" s="41"/>
      <c r="CP463" s="41"/>
    </row>
    <row r="464" spans="61:94">
      <c r="BI464" s="105"/>
      <c r="BJ464" s="105"/>
      <c r="BK464" s="105"/>
      <c r="BL464" s="41"/>
      <c r="BM464" s="41"/>
      <c r="BN464" s="41"/>
      <c r="BO464" s="41"/>
      <c r="BP464" s="41"/>
      <c r="BQ464" s="41"/>
      <c r="BR464" s="41"/>
      <c r="BS464" s="41"/>
      <c r="BT464" s="41"/>
      <c r="BU464" s="41"/>
      <c r="BV464" s="41"/>
      <c r="BW464" s="41"/>
      <c r="BX464" s="41"/>
      <c r="BY464" s="41"/>
      <c r="BZ464" s="41"/>
      <c r="CA464" s="41"/>
      <c r="CB464" s="41"/>
      <c r="CC464" s="41"/>
      <c r="CD464" s="41"/>
      <c r="CE464" s="41"/>
      <c r="CF464" s="41"/>
      <c r="CG464" s="41"/>
      <c r="CH464" s="41"/>
      <c r="CI464" s="41"/>
      <c r="CJ464" s="41"/>
      <c r="CK464" s="41"/>
      <c r="CL464" s="41"/>
      <c r="CM464" s="41"/>
      <c r="CN464" s="41"/>
      <c r="CO464" s="41"/>
      <c r="CP464" s="41"/>
    </row>
    <row r="465" spans="61:94">
      <c r="BI465" s="105"/>
      <c r="BJ465" s="105"/>
      <c r="BK465" s="105"/>
      <c r="BL465" s="41"/>
      <c r="BM465" s="41"/>
      <c r="BN465" s="41"/>
      <c r="BO465" s="41"/>
      <c r="BP465" s="41"/>
      <c r="BQ465" s="41"/>
      <c r="BR465" s="41"/>
      <c r="BS465" s="41"/>
      <c r="BT465" s="41"/>
      <c r="BU465" s="41"/>
      <c r="BV465" s="41"/>
      <c r="BW465" s="41"/>
      <c r="BX465" s="41"/>
      <c r="BY465" s="41"/>
      <c r="BZ465" s="41"/>
      <c r="CA465" s="41"/>
      <c r="CB465" s="41"/>
      <c r="CC465" s="41"/>
      <c r="CD465" s="41"/>
      <c r="CE465" s="41"/>
      <c r="CF465" s="41"/>
      <c r="CG465" s="41"/>
      <c r="CH465" s="41"/>
      <c r="CI465" s="41"/>
      <c r="CJ465" s="41"/>
      <c r="CK465" s="41"/>
      <c r="CL465" s="41"/>
      <c r="CM465" s="41"/>
      <c r="CN465" s="41"/>
      <c r="CO465" s="41"/>
      <c r="CP465" s="41"/>
    </row>
    <row r="466" spans="61:94">
      <c r="BI466" s="105"/>
      <c r="BJ466" s="105"/>
      <c r="BK466" s="105"/>
      <c r="BL466" s="41"/>
      <c r="BM466" s="41"/>
      <c r="BN466" s="41"/>
      <c r="BO466" s="41"/>
      <c r="BP466" s="41"/>
      <c r="BQ466" s="41"/>
      <c r="BR466" s="41"/>
      <c r="BS466" s="41"/>
      <c r="BT466" s="41"/>
      <c r="BU466" s="41"/>
      <c r="BV466" s="41"/>
      <c r="BW466" s="41"/>
      <c r="BX466" s="41"/>
      <c r="BY466" s="41"/>
      <c r="BZ466" s="41"/>
      <c r="CA466" s="41"/>
      <c r="CB466" s="41"/>
      <c r="CC466" s="41"/>
      <c r="CD466" s="41"/>
      <c r="CE466" s="41"/>
      <c r="CF466" s="41"/>
      <c r="CG466" s="41"/>
      <c r="CH466" s="41"/>
      <c r="CI466" s="41"/>
      <c r="CJ466" s="41"/>
      <c r="CK466" s="41"/>
      <c r="CL466" s="41"/>
      <c r="CM466" s="41"/>
      <c r="CN466" s="41"/>
      <c r="CO466" s="41"/>
      <c r="CP466" s="41"/>
    </row>
    <row r="467" spans="61:94">
      <c r="BI467" s="105"/>
      <c r="BJ467" s="105"/>
      <c r="BK467" s="105"/>
      <c r="BL467" s="41"/>
      <c r="BM467" s="41"/>
      <c r="BN467" s="41"/>
      <c r="BO467" s="41"/>
      <c r="BP467" s="41"/>
      <c r="BQ467" s="41"/>
      <c r="BR467" s="41"/>
      <c r="BS467" s="41"/>
      <c r="BT467" s="41"/>
      <c r="BU467" s="41"/>
      <c r="BV467" s="41"/>
      <c r="BW467" s="41"/>
      <c r="BX467" s="41"/>
      <c r="BY467" s="41"/>
      <c r="BZ467" s="41"/>
      <c r="CA467" s="41"/>
      <c r="CB467" s="41"/>
      <c r="CC467" s="41"/>
      <c r="CD467" s="41"/>
      <c r="CE467" s="41"/>
      <c r="CF467" s="41"/>
      <c r="CG467" s="41"/>
      <c r="CH467" s="41"/>
      <c r="CI467" s="41"/>
      <c r="CJ467" s="41"/>
      <c r="CK467" s="41"/>
      <c r="CL467" s="41"/>
      <c r="CM467" s="41"/>
      <c r="CN467" s="41"/>
      <c r="CO467" s="41"/>
      <c r="CP467" s="41"/>
    </row>
    <row r="468" spans="61:94">
      <c r="BI468" s="105"/>
      <c r="BJ468" s="105"/>
      <c r="BK468" s="105"/>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row>
    <row r="469" spans="61:94">
      <c r="BI469" s="105"/>
      <c r="BJ469" s="105"/>
      <c r="BK469" s="105"/>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row>
    <row r="470" spans="61:94">
      <c r="BI470" s="105"/>
      <c r="BJ470" s="105"/>
      <c r="BK470" s="105"/>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row>
    <row r="471" spans="61:94">
      <c r="BI471" s="105"/>
      <c r="BJ471" s="105"/>
      <c r="BK471" s="105"/>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row>
    <row r="472" spans="61:94">
      <c r="BI472" s="105"/>
      <c r="BJ472" s="105"/>
      <c r="BK472" s="105"/>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row>
    <row r="473" spans="61:94">
      <c r="BI473" s="105"/>
      <c r="BJ473" s="105"/>
      <c r="BK473" s="105"/>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row>
    <row r="474" spans="61:94">
      <c r="BI474" s="105"/>
      <c r="BJ474" s="105"/>
      <c r="BK474" s="105"/>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row>
    <row r="475" spans="61:94">
      <c r="BI475" s="105"/>
      <c r="BJ475" s="105"/>
      <c r="BK475" s="105"/>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row>
    <row r="476" spans="61:94">
      <c r="BI476" s="105"/>
      <c r="BJ476" s="105"/>
      <c r="BK476" s="105"/>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row>
    <row r="477" spans="61:94">
      <c r="BI477" s="105"/>
      <c r="BJ477" s="105"/>
      <c r="BK477" s="105"/>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row>
    <row r="478" spans="61:94">
      <c r="BI478" s="105"/>
      <c r="BJ478" s="105"/>
      <c r="BK478" s="105"/>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row>
    <row r="479" spans="61:94">
      <c r="BI479" s="105"/>
      <c r="BJ479" s="105"/>
      <c r="BK479" s="105"/>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row>
    <row r="480" spans="61:94">
      <c r="BI480" s="105"/>
      <c r="BJ480" s="105"/>
      <c r="BK480" s="105"/>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row>
    <row r="481" spans="61:94">
      <c r="BI481" s="105"/>
      <c r="BJ481" s="105"/>
      <c r="BK481" s="105"/>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row>
    <row r="482" spans="61:94">
      <c r="BI482" s="105"/>
      <c r="BJ482" s="105"/>
      <c r="BK482" s="105"/>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row>
    <row r="483" spans="61:94">
      <c r="BI483" s="105"/>
      <c r="BJ483" s="105"/>
      <c r="BK483" s="105"/>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row>
    <row r="484" spans="61:94">
      <c r="BI484" s="105"/>
      <c r="BJ484" s="105"/>
      <c r="BK484" s="105"/>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row>
    <row r="485" spans="61:94">
      <c r="BI485" s="105"/>
      <c r="BJ485" s="105"/>
      <c r="BK485" s="105"/>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row>
    <row r="486" spans="61:94">
      <c r="BI486" s="105"/>
      <c r="BJ486" s="105"/>
      <c r="BK486" s="105"/>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row>
    <row r="487" spans="61:94">
      <c r="BI487" s="105"/>
      <c r="BJ487" s="105"/>
      <c r="BK487" s="105"/>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row>
    <row r="488" spans="61:94">
      <c r="BI488" s="105"/>
      <c r="BJ488" s="105"/>
      <c r="BK488" s="105"/>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row>
    <row r="489" spans="61:94">
      <c r="BI489" s="105"/>
      <c r="BJ489" s="105"/>
      <c r="BK489" s="105"/>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row>
    <row r="490" spans="61:94">
      <c r="BI490" s="105"/>
      <c r="BJ490" s="105"/>
      <c r="BK490" s="105"/>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row>
    <row r="491" spans="61:94">
      <c r="BI491" s="105"/>
      <c r="BJ491" s="105"/>
      <c r="BK491" s="105"/>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row>
    <row r="492" spans="61:94">
      <c r="BI492" s="105"/>
      <c r="BJ492" s="105"/>
      <c r="BK492" s="105"/>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row>
    <row r="493" spans="61:94">
      <c r="BI493" s="105"/>
      <c r="BJ493" s="105"/>
      <c r="BK493" s="105"/>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row>
    <row r="494" spans="61:94">
      <c r="BI494" s="105"/>
      <c r="BJ494" s="105"/>
      <c r="BK494" s="105"/>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row>
    <row r="495" spans="61:94">
      <c r="BI495" s="105"/>
      <c r="BJ495" s="105"/>
      <c r="BK495" s="105"/>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row>
    <row r="496" spans="61:94">
      <c r="BI496" s="105"/>
      <c r="BJ496" s="105"/>
      <c r="BK496" s="105"/>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row>
    <row r="497" spans="61:94">
      <c r="BI497" s="105"/>
      <c r="BJ497" s="105"/>
      <c r="BK497" s="105"/>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row>
    <row r="498" spans="61:94">
      <c r="BI498" s="105"/>
      <c r="BJ498" s="105"/>
      <c r="BK498" s="105"/>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row>
    <row r="499" spans="61:94">
      <c r="BI499" s="105"/>
      <c r="BJ499" s="105"/>
      <c r="BK499" s="105"/>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row>
    <row r="500" spans="61:94">
      <c r="BI500" s="105"/>
      <c r="BJ500" s="105"/>
      <c r="BK500" s="105"/>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row>
    <row r="501" spans="61:94">
      <c r="BI501" s="105"/>
      <c r="BJ501" s="105"/>
      <c r="BK501" s="105"/>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row>
    <row r="502" spans="61:94">
      <c r="BI502" s="105"/>
      <c r="BJ502" s="105"/>
      <c r="BK502" s="105"/>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row>
    <row r="503" spans="61:94">
      <c r="BI503" s="105"/>
      <c r="BJ503" s="105"/>
      <c r="BK503" s="105"/>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row>
  </sheetData>
  <mergeCells count="9">
    <mergeCell ref="AQ5:AS5"/>
    <mergeCell ref="AX5:AZ5"/>
    <mergeCell ref="CM5:CP5"/>
    <mergeCell ref="CA64:CG64"/>
    <mergeCell ref="CA66:CG66"/>
    <mergeCell ref="BE5:BG5"/>
    <mergeCell ref="BM5:BP5"/>
    <mergeCell ref="BU5:BY5"/>
    <mergeCell ref="CD5:CG5"/>
  </mergeCells>
  <pageMargins left="0.7" right="0.7" top="0.75" bottom="0.75" header="0.3" footer="0.3"/>
  <pageSetup paperSize="9" orientation="portrait" r:id="rId1"/>
  <ignoredErrors>
    <ignoredError sqref="AL12:AL16 AL27:AL33 AL41:AL45 AD12:AD15 AD28:AD34 AD44:AD47 V11:V14 V28:V34 F10 F39"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499984740745262"/>
    <pageSetUpPr fitToPage="1"/>
  </sheetPr>
  <dimension ref="A1:M645"/>
  <sheetViews>
    <sheetView showGridLines="0" zoomScale="120" zoomScaleNormal="120" workbookViewId="0">
      <selection activeCell="F23" sqref="F23"/>
    </sheetView>
  </sheetViews>
  <sheetFormatPr baseColWidth="10" defaultRowHeight="14.4"/>
  <cols>
    <col min="1" max="1" width="11.77734375" customWidth="1"/>
    <col min="2" max="2" width="11.77734375" style="129" customWidth="1"/>
    <col min="3" max="3" width="30.21875" customWidth="1"/>
    <col min="4" max="13" width="11.77734375" customWidth="1"/>
    <col min="250" max="250" width="35.21875" customWidth="1"/>
    <col min="251" max="251" width="29.44140625" customWidth="1"/>
    <col min="252" max="252" width="12.77734375" customWidth="1"/>
    <col min="255" max="255" width="16.44140625" bestFit="1" customWidth="1"/>
    <col min="506" max="506" width="35.21875" customWidth="1"/>
    <col min="507" max="507" width="29.44140625" customWidth="1"/>
    <col min="508" max="508" width="12.77734375" customWidth="1"/>
    <col min="511" max="511" width="16.44140625" bestFit="1" customWidth="1"/>
    <col min="762" max="762" width="35.21875" customWidth="1"/>
    <col min="763" max="763" width="29.44140625" customWidth="1"/>
    <col min="764" max="764" width="12.77734375" customWidth="1"/>
    <col min="767" max="767" width="16.44140625" bestFit="1" customWidth="1"/>
    <col min="1018" max="1018" width="35.21875" customWidth="1"/>
    <col min="1019" max="1019" width="29.44140625" customWidth="1"/>
    <col min="1020" max="1020" width="12.77734375" customWidth="1"/>
    <col min="1023" max="1023" width="16.44140625" bestFit="1" customWidth="1"/>
    <col min="1274" max="1274" width="35.21875" customWidth="1"/>
    <col min="1275" max="1275" width="29.44140625" customWidth="1"/>
    <col min="1276" max="1276" width="12.77734375" customWidth="1"/>
    <col min="1279" max="1279" width="16.44140625" bestFit="1" customWidth="1"/>
    <col min="1530" max="1530" width="35.21875" customWidth="1"/>
    <col min="1531" max="1531" width="29.44140625" customWidth="1"/>
    <col min="1532" max="1532" width="12.77734375" customWidth="1"/>
    <col min="1535" max="1535" width="16.44140625" bestFit="1" customWidth="1"/>
    <col min="1786" max="1786" width="35.21875" customWidth="1"/>
    <col min="1787" max="1787" width="29.44140625" customWidth="1"/>
    <col min="1788" max="1788" width="12.77734375" customWidth="1"/>
    <col min="1791" max="1791" width="16.44140625" bestFit="1" customWidth="1"/>
    <col min="2042" max="2042" width="35.21875" customWidth="1"/>
    <col min="2043" max="2043" width="29.44140625" customWidth="1"/>
    <col min="2044" max="2044" width="12.77734375" customWidth="1"/>
    <col min="2047" max="2047" width="16.44140625" bestFit="1" customWidth="1"/>
    <col min="2298" max="2298" width="35.21875" customWidth="1"/>
    <col min="2299" max="2299" width="29.44140625" customWidth="1"/>
    <col min="2300" max="2300" width="12.77734375" customWidth="1"/>
    <col min="2303" max="2303" width="16.44140625" bestFit="1" customWidth="1"/>
    <col min="2554" max="2554" width="35.21875" customWidth="1"/>
    <col min="2555" max="2555" width="29.44140625" customWidth="1"/>
    <col min="2556" max="2556" width="12.77734375" customWidth="1"/>
    <col min="2559" max="2559" width="16.44140625" bestFit="1" customWidth="1"/>
    <col min="2810" max="2810" width="35.21875" customWidth="1"/>
    <col min="2811" max="2811" width="29.44140625" customWidth="1"/>
    <col min="2812" max="2812" width="12.77734375" customWidth="1"/>
    <col min="2815" max="2815" width="16.44140625" bestFit="1" customWidth="1"/>
    <col min="3066" max="3066" width="35.21875" customWidth="1"/>
    <col min="3067" max="3067" width="29.44140625" customWidth="1"/>
    <col min="3068" max="3068" width="12.77734375" customWidth="1"/>
    <col min="3071" max="3071" width="16.44140625" bestFit="1" customWidth="1"/>
    <col min="3322" max="3322" width="35.21875" customWidth="1"/>
    <col min="3323" max="3323" width="29.44140625" customWidth="1"/>
    <col min="3324" max="3324" width="12.77734375" customWidth="1"/>
    <col min="3327" max="3327" width="16.44140625" bestFit="1" customWidth="1"/>
    <col min="3578" max="3578" width="35.21875" customWidth="1"/>
    <col min="3579" max="3579" width="29.44140625" customWidth="1"/>
    <col min="3580" max="3580" width="12.77734375" customWidth="1"/>
    <col min="3583" max="3583" width="16.44140625" bestFit="1" customWidth="1"/>
    <col min="3834" max="3834" width="35.21875" customWidth="1"/>
    <col min="3835" max="3835" width="29.44140625" customWidth="1"/>
    <col min="3836" max="3836" width="12.77734375" customWidth="1"/>
    <col min="3839" max="3839" width="16.44140625" bestFit="1" customWidth="1"/>
    <col min="4090" max="4090" width="35.21875" customWidth="1"/>
    <col min="4091" max="4091" width="29.44140625" customWidth="1"/>
    <col min="4092" max="4092" width="12.77734375" customWidth="1"/>
    <col min="4095" max="4095" width="16.44140625" bestFit="1" customWidth="1"/>
    <col min="4346" max="4346" width="35.21875" customWidth="1"/>
    <col min="4347" max="4347" width="29.44140625" customWidth="1"/>
    <col min="4348" max="4348" width="12.77734375" customWidth="1"/>
    <col min="4351" max="4351" width="16.44140625" bestFit="1" customWidth="1"/>
    <col min="4602" max="4602" width="35.21875" customWidth="1"/>
    <col min="4603" max="4603" width="29.44140625" customWidth="1"/>
    <col min="4604" max="4604" width="12.77734375" customWidth="1"/>
    <col min="4607" max="4607" width="16.44140625" bestFit="1" customWidth="1"/>
    <col min="4858" max="4858" width="35.21875" customWidth="1"/>
    <col min="4859" max="4859" width="29.44140625" customWidth="1"/>
    <col min="4860" max="4860" width="12.77734375" customWidth="1"/>
    <col min="4863" max="4863" width="16.44140625" bestFit="1" customWidth="1"/>
    <col min="5114" max="5114" width="35.21875" customWidth="1"/>
    <col min="5115" max="5115" width="29.44140625" customWidth="1"/>
    <col min="5116" max="5116" width="12.77734375" customWidth="1"/>
    <col min="5119" max="5119" width="16.44140625" bestFit="1" customWidth="1"/>
    <col min="5370" max="5370" width="35.21875" customWidth="1"/>
    <col min="5371" max="5371" width="29.44140625" customWidth="1"/>
    <col min="5372" max="5372" width="12.77734375" customWidth="1"/>
    <col min="5375" max="5375" width="16.44140625" bestFit="1" customWidth="1"/>
    <col min="5626" max="5626" width="35.21875" customWidth="1"/>
    <col min="5627" max="5627" width="29.44140625" customWidth="1"/>
    <col min="5628" max="5628" width="12.77734375" customWidth="1"/>
    <col min="5631" max="5631" width="16.44140625" bestFit="1" customWidth="1"/>
    <col min="5882" max="5882" width="35.21875" customWidth="1"/>
    <col min="5883" max="5883" width="29.44140625" customWidth="1"/>
    <col min="5884" max="5884" width="12.77734375" customWidth="1"/>
    <col min="5887" max="5887" width="16.44140625" bestFit="1" customWidth="1"/>
    <col min="6138" max="6138" width="35.21875" customWidth="1"/>
    <col min="6139" max="6139" width="29.44140625" customWidth="1"/>
    <col min="6140" max="6140" width="12.77734375" customWidth="1"/>
    <col min="6143" max="6143" width="16.44140625" bestFit="1" customWidth="1"/>
    <col min="6394" max="6394" width="35.21875" customWidth="1"/>
    <col min="6395" max="6395" width="29.44140625" customWidth="1"/>
    <col min="6396" max="6396" width="12.77734375" customWidth="1"/>
    <col min="6399" max="6399" width="16.44140625" bestFit="1" customWidth="1"/>
    <col min="6650" max="6650" width="35.21875" customWidth="1"/>
    <col min="6651" max="6651" width="29.44140625" customWidth="1"/>
    <col min="6652" max="6652" width="12.77734375" customWidth="1"/>
    <col min="6655" max="6655" width="16.44140625" bestFit="1" customWidth="1"/>
    <col min="6906" max="6906" width="35.21875" customWidth="1"/>
    <col min="6907" max="6907" width="29.44140625" customWidth="1"/>
    <col min="6908" max="6908" width="12.77734375" customWidth="1"/>
    <col min="6911" max="6911" width="16.44140625" bestFit="1" customWidth="1"/>
    <col min="7162" max="7162" width="35.21875" customWidth="1"/>
    <col min="7163" max="7163" width="29.44140625" customWidth="1"/>
    <col min="7164" max="7164" width="12.77734375" customWidth="1"/>
    <col min="7167" max="7167" width="16.44140625" bestFit="1" customWidth="1"/>
    <col min="7418" max="7418" width="35.21875" customWidth="1"/>
    <col min="7419" max="7419" width="29.44140625" customWidth="1"/>
    <col min="7420" max="7420" width="12.77734375" customWidth="1"/>
    <col min="7423" max="7423" width="16.44140625" bestFit="1" customWidth="1"/>
    <col min="7674" max="7674" width="35.21875" customWidth="1"/>
    <col min="7675" max="7675" width="29.44140625" customWidth="1"/>
    <col min="7676" max="7676" width="12.77734375" customWidth="1"/>
    <col min="7679" max="7679" width="16.44140625" bestFit="1" customWidth="1"/>
    <col min="7930" max="7930" width="35.21875" customWidth="1"/>
    <col min="7931" max="7931" width="29.44140625" customWidth="1"/>
    <col min="7932" max="7932" width="12.77734375" customWidth="1"/>
    <col min="7935" max="7935" width="16.44140625" bestFit="1" customWidth="1"/>
    <col min="8186" max="8186" width="35.21875" customWidth="1"/>
    <col min="8187" max="8187" width="29.44140625" customWidth="1"/>
    <col min="8188" max="8188" width="12.77734375" customWidth="1"/>
    <col min="8191" max="8191" width="16.44140625" bestFit="1" customWidth="1"/>
    <col min="8442" max="8442" width="35.21875" customWidth="1"/>
    <col min="8443" max="8443" width="29.44140625" customWidth="1"/>
    <col min="8444" max="8444" width="12.77734375" customWidth="1"/>
    <col min="8447" max="8447" width="16.44140625" bestFit="1" customWidth="1"/>
    <col min="8698" max="8698" width="35.21875" customWidth="1"/>
    <col min="8699" max="8699" width="29.44140625" customWidth="1"/>
    <col min="8700" max="8700" width="12.77734375" customWidth="1"/>
    <col min="8703" max="8703" width="16.44140625" bestFit="1" customWidth="1"/>
    <col min="8954" max="8954" width="35.21875" customWidth="1"/>
    <col min="8955" max="8955" width="29.44140625" customWidth="1"/>
    <col min="8956" max="8956" width="12.77734375" customWidth="1"/>
    <col min="8959" max="8959" width="16.44140625" bestFit="1" customWidth="1"/>
    <col min="9210" max="9210" width="35.21875" customWidth="1"/>
    <col min="9211" max="9211" width="29.44140625" customWidth="1"/>
    <col min="9212" max="9212" width="12.77734375" customWidth="1"/>
    <col min="9215" max="9215" width="16.44140625" bestFit="1" customWidth="1"/>
    <col min="9466" max="9466" width="35.21875" customWidth="1"/>
    <col min="9467" max="9467" width="29.44140625" customWidth="1"/>
    <col min="9468" max="9468" width="12.77734375" customWidth="1"/>
    <col min="9471" max="9471" width="16.44140625" bestFit="1" customWidth="1"/>
    <col min="9722" max="9722" width="35.21875" customWidth="1"/>
    <col min="9723" max="9723" width="29.44140625" customWidth="1"/>
    <col min="9724" max="9724" width="12.77734375" customWidth="1"/>
    <col min="9727" max="9727" width="16.44140625" bestFit="1" customWidth="1"/>
    <col min="9978" max="9978" width="35.21875" customWidth="1"/>
    <col min="9979" max="9979" width="29.44140625" customWidth="1"/>
    <col min="9980" max="9980" width="12.77734375" customWidth="1"/>
    <col min="9983" max="9983" width="16.44140625" bestFit="1" customWidth="1"/>
    <col min="10234" max="10234" width="35.21875" customWidth="1"/>
    <col min="10235" max="10235" width="29.44140625" customWidth="1"/>
    <col min="10236" max="10236" width="12.77734375" customWidth="1"/>
    <col min="10239" max="10239" width="16.44140625" bestFit="1" customWidth="1"/>
    <col min="10490" max="10490" width="35.21875" customWidth="1"/>
    <col min="10491" max="10491" width="29.44140625" customWidth="1"/>
    <col min="10492" max="10492" width="12.77734375" customWidth="1"/>
    <col min="10495" max="10495" width="16.44140625" bestFit="1" customWidth="1"/>
    <col min="10746" max="10746" width="35.21875" customWidth="1"/>
    <col min="10747" max="10747" width="29.44140625" customWidth="1"/>
    <col min="10748" max="10748" width="12.77734375" customWidth="1"/>
    <col min="10751" max="10751" width="16.44140625" bestFit="1" customWidth="1"/>
    <col min="11002" max="11002" width="35.21875" customWidth="1"/>
    <col min="11003" max="11003" width="29.44140625" customWidth="1"/>
    <col min="11004" max="11004" width="12.77734375" customWidth="1"/>
    <col min="11007" max="11007" width="16.44140625" bestFit="1" customWidth="1"/>
    <col min="11258" max="11258" width="35.21875" customWidth="1"/>
    <col min="11259" max="11259" width="29.44140625" customWidth="1"/>
    <col min="11260" max="11260" width="12.77734375" customWidth="1"/>
    <col min="11263" max="11263" width="16.44140625" bestFit="1" customWidth="1"/>
    <col min="11514" max="11514" width="35.21875" customWidth="1"/>
    <col min="11515" max="11515" width="29.44140625" customWidth="1"/>
    <col min="11516" max="11516" width="12.77734375" customWidth="1"/>
    <col min="11519" max="11519" width="16.44140625" bestFit="1" customWidth="1"/>
    <col min="11770" max="11770" width="35.21875" customWidth="1"/>
    <col min="11771" max="11771" width="29.44140625" customWidth="1"/>
    <col min="11772" max="11772" width="12.77734375" customWidth="1"/>
    <col min="11775" max="11775" width="16.44140625" bestFit="1" customWidth="1"/>
    <col min="12026" max="12026" width="35.21875" customWidth="1"/>
    <col min="12027" max="12027" width="29.44140625" customWidth="1"/>
    <col min="12028" max="12028" width="12.77734375" customWidth="1"/>
    <col min="12031" max="12031" width="16.44140625" bestFit="1" customWidth="1"/>
    <col min="12282" max="12282" width="35.21875" customWidth="1"/>
    <col min="12283" max="12283" width="29.44140625" customWidth="1"/>
    <col min="12284" max="12284" width="12.77734375" customWidth="1"/>
    <col min="12287" max="12287" width="16.44140625" bestFit="1" customWidth="1"/>
    <col min="12538" max="12538" width="35.21875" customWidth="1"/>
    <col min="12539" max="12539" width="29.44140625" customWidth="1"/>
    <col min="12540" max="12540" width="12.77734375" customWidth="1"/>
    <col min="12543" max="12543" width="16.44140625" bestFit="1" customWidth="1"/>
    <col min="12794" max="12794" width="35.21875" customWidth="1"/>
    <col min="12795" max="12795" width="29.44140625" customWidth="1"/>
    <col min="12796" max="12796" width="12.77734375" customWidth="1"/>
    <col min="12799" max="12799" width="16.44140625" bestFit="1" customWidth="1"/>
    <col min="13050" max="13050" width="35.21875" customWidth="1"/>
    <col min="13051" max="13051" width="29.44140625" customWidth="1"/>
    <col min="13052" max="13052" width="12.77734375" customWidth="1"/>
    <col min="13055" max="13055" width="16.44140625" bestFit="1" customWidth="1"/>
    <col min="13306" max="13306" width="35.21875" customWidth="1"/>
    <col min="13307" max="13307" width="29.44140625" customWidth="1"/>
    <col min="13308" max="13308" width="12.77734375" customWidth="1"/>
    <col min="13311" max="13311" width="16.44140625" bestFit="1" customWidth="1"/>
    <col min="13562" max="13562" width="35.21875" customWidth="1"/>
    <col min="13563" max="13563" width="29.44140625" customWidth="1"/>
    <col min="13564" max="13564" width="12.77734375" customWidth="1"/>
    <col min="13567" max="13567" width="16.44140625" bestFit="1" customWidth="1"/>
    <col min="13818" max="13818" width="35.21875" customWidth="1"/>
    <col min="13819" max="13819" width="29.44140625" customWidth="1"/>
    <col min="13820" max="13820" width="12.77734375" customWidth="1"/>
    <col min="13823" max="13823" width="16.44140625" bestFit="1" customWidth="1"/>
    <col min="14074" max="14074" width="35.21875" customWidth="1"/>
    <col min="14075" max="14075" width="29.44140625" customWidth="1"/>
    <col min="14076" max="14076" width="12.77734375" customWidth="1"/>
    <col min="14079" max="14079" width="16.44140625" bestFit="1" customWidth="1"/>
    <col min="14330" max="14330" width="35.21875" customWidth="1"/>
    <col min="14331" max="14331" width="29.44140625" customWidth="1"/>
    <col min="14332" max="14332" width="12.77734375" customWidth="1"/>
    <col min="14335" max="14335" width="16.44140625" bestFit="1" customWidth="1"/>
    <col min="14586" max="14586" width="35.21875" customWidth="1"/>
    <col min="14587" max="14587" width="29.44140625" customWidth="1"/>
    <col min="14588" max="14588" width="12.77734375" customWidth="1"/>
    <col min="14591" max="14591" width="16.44140625" bestFit="1" customWidth="1"/>
    <col min="14842" max="14842" width="35.21875" customWidth="1"/>
    <col min="14843" max="14843" width="29.44140625" customWidth="1"/>
    <col min="14844" max="14844" width="12.77734375" customWidth="1"/>
    <col min="14847" max="14847" width="16.44140625" bestFit="1" customWidth="1"/>
    <col min="15098" max="15098" width="35.21875" customWidth="1"/>
    <col min="15099" max="15099" width="29.44140625" customWidth="1"/>
    <col min="15100" max="15100" width="12.77734375" customWidth="1"/>
    <col min="15103" max="15103" width="16.44140625" bestFit="1" customWidth="1"/>
    <col min="15354" max="15354" width="35.21875" customWidth="1"/>
    <col min="15355" max="15355" width="29.44140625" customWidth="1"/>
    <col min="15356" max="15356" width="12.77734375" customWidth="1"/>
    <col min="15359" max="15359" width="16.44140625" bestFit="1" customWidth="1"/>
    <col min="15610" max="15610" width="35.21875" customWidth="1"/>
    <col min="15611" max="15611" width="29.44140625" customWidth="1"/>
    <col min="15612" max="15612" width="12.77734375" customWidth="1"/>
    <col min="15615" max="15615" width="16.44140625" bestFit="1" customWidth="1"/>
    <col min="15866" max="15866" width="35.21875" customWidth="1"/>
    <col min="15867" max="15867" width="29.44140625" customWidth="1"/>
    <col min="15868" max="15868" width="12.77734375" customWidth="1"/>
    <col min="15871" max="15871" width="16.44140625" bestFit="1" customWidth="1"/>
    <col min="16122" max="16122" width="35.21875" customWidth="1"/>
    <col min="16123" max="16123" width="29.44140625" customWidth="1"/>
    <col min="16124" max="16124" width="12.77734375" customWidth="1"/>
    <col min="16127" max="16127" width="16.44140625" bestFit="1" customWidth="1"/>
  </cols>
  <sheetData>
    <row r="1" spans="1:13" s="4259" customFormat="1" ht="15.6">
      <c r="A1" s="4402" t="s">
        <v>1034</v>
      </c>
      <c r="B1" s="27"/>
      <c r="C1" s="4258"/>
      <c r="D1" s="4258"/>
      <c r="E1" s="4258"/>
      <c r="F1" s="4258"/>
      <c r="G1" s="4258"/>
      <c r="H1" s="4258"/>
      <c r="I1" s="27"/>
      <c r="J1" s="27"/>
      <c r="K1" s="27"/>
      <c r="L1" s="27"/>
      <c r="M1" s="27"/>
    </row>
    <row r="2" spans="1:13" s="4259" customFormat="1">
      <c r="A2" s="27"/>
      <c r="B2" s="27"/>
      <c r="C2" s="27"/>
      <c r="D2" s="27"/>
      <c r="E2" s="2201"/>
      <c r="F2" s="2201"/>
      <c r="G2" s="2201"/>
      <c r="H2" s="27"/>
      <c r="I2" s="27"/>
      <c r="J2" s="27"/>
      <c r="K2" s="27"/>
      <c r="L2" s="27"/>
      <c r="M2" s="27"/>
    </row>
    <row r="3" spans="1:13" s="4854" customFormat="1">
      <c r="A3" s="27"/>
      <c r="B3" s="27"/>
      <c r="C3" s="27"/>
      <c r="D3" s="27"/>
      <c r="E3" s="2201"/>
      <c r="F3" s="2201"/>
      <c r="G3" s="2201"/>
      <c r="H3" s="27"/>
      <c r="I3" s="27"/>
      <c r="J3" s="27"/>
      <c r="K3" s="27"/>
      <c r="L3" s="27"/>
      <c r="M3" s="27"/>
    </row>
    <row r="4" spans="1:13" s="4854" customFormat="1" ht="17.399999999999999">
      <c r="A4" s="2203"/>
      <c r="B4" s="2203"/>
      <c r="C4" s="3043">
        <v>2020</v>
      </c>
      <c r="D4" s="2203"/>
      <c r="E4" s="5005"/>
      <c r="F4" s="5005"/>
      <c r="G4" s="5005"/>
      <c r="H4" s="2203"/>
      <c r="I4" s="2203"/>
      <c r="J4" s="2203"/>
      <c r="K4" s="2203"/>
      <c r="L4" s="2203"/>
      <c r="M4" s="2203"/>
    </row>
    <row r="5" spans="1:13" s="4854" customFormat="1">
      <c r="A5" s="5768" t="s">
        <v>3010</v>
      </c>
      <c r="B5" s="5768"/>
      <c r="C5" s="5768"/>
      <c r="D5" s="5768"/>
      <c r="E5" s="5768"/>
      <c r="F5" s="5768"/>
      <c r="G5" s="5768"/>
      <c r="H5" s="5768"/>
      <c r="I5" s="5768"/>
      <c r="J5" s="5768"/>
      <c r="K5" s="5768"/>
      <c r="L5" s="5768"/>
      <c r="M5" s="2203"/>
    </row>
    <row r="6" spans="1:13" s="4854" customFormat="1">
      <c r="A6" s="5768"/>
      <c r="B6" s="5768"/>
      <c r="C6" s="5768"/>
      <c r="D6" s="5768"/>
      <c r="E6" s="5768"/>
      <c r="F6" s="5768"/>
      <c r="G6" s="5768"/>
      <c r="H6" s="5768"/>
      <c r="I6" s="5768"/>
      <c r="J6" s="5768"/>
      <c r="K6" s="5768"/>
      <c r="L6" s="5768"/>
      <c r="M6" s="2203"/>
    </row>
    <row r="7" spans="1:13" s="4854" customFormat="1">
      <c r="A7" s="5768"/>
      <c r="B7" s="5768"/>
      <c r="C7" s="5768"/>
      <c r="D7" s="5768"/>
      <c r="E7" s="5768"/>
      <c r="F7" s="5768"/>
      <c r="G7" s="5768"/>
      <c r="H7" s="5768"/>
      <c r="I7" s="5768"/>
      <c r="J7" s="5768"/>
      <c r="K7" s="5768"/>
      <c r="L7" s="5768"/>
      <c r="M7" s="2203"/>
    </row>
    <row r="8" spans="1:13" s="4854" customFormat="1">
      <c r="A8" s="5768"/>
      <c r="B8" s="5768"/>
      <c r="C8" s="5768"/>
      <c r="D8" s="5768"/>
      <c r="E8" s="5768"/>
      <c r="F8" s="5768"/>
      <c r="G8" s="5768"/>
      <c r="H8" s="5768"/>
      <c r="I8" s="5768"/>
      <c r="J8" s="5768"/>
      <c r="K8" s="5768"/>
      <c r="L8" s="5768"/>
      <c r="M8" s="2203"/>
    </row>
    <row r="9" spans="1:13" s="4854" customFormat="1">
      <c r="A9" s="5768"/>
      <c r="B9" s="5768"/>
      <c r="C9" s="5768"/>
      <c r="D9" s="5768"/>
      <c r="E9" s="5768"/>
      <c r="F9" s="5768"/>
      <c r="G9" s="5768"/>
      <c r="H9" s="5768"/>
      <c r="I9" s="5768"/>
      <c r="J9" s="5768"/>
      <c r="K9" s="5768"/>
      <c r="L9" s="5768"/>
      <c r="M9" s="2203"/>
    </row>
    <row r="10" spans="1:13" s="4854" customFormat="1">
      <c r="A10" s="2214"/>
      <c r="B10" s="2214"/>
      <c r="C10" s="2214"/>
      <c r="D10" s="2214"/>
      <c r="E10" s="2214"/>
      <c r="F10" s="2214"/>
      <c r="G10" s="2214"/>
      <c r="H10" s="2214"/>
      <c r="I10" s="2214"/>
      <c r="J10" s="2214"/>
      <c r="K10" s="2214"/>
      <c r="L10" s="2214"/>
      <c r="M10" s="2203"/>
    </row>
    <row r="11" spans="1:13" s="4854" customFormat="1">
      <c r="A11" s="5750" t="s">
        <v>2625</v>
      </c>
      <c r="B11" s="5750"/>
      <c r="C11" s="2202"/>
      <c r="D11" s="2202"/>
      <c r="E11" s="2202"/>
      <c r="F11" s="2202"/>
      <c r="G11" s="2202"/>
      <c r="H11" s="2202"/>
      <c r="I11" s="2203"/>
      <c r="J11" s="2203"/>
      <c r="K11" s="2203"/>
      <c r="L11" s="2203"/>
      <c r="M11" s="2203"/>
    </row>
    <row r="12" spans="1:13" s="4854" customFormat="1">
      <c r="A12" s="2202"/>
      <c r="B12" s="2202"/>
      <c r="C12" s="2202"/>
      <c r="D12" s="2202"/>
      <c r="E12" s="4267"/>
      <c r="F12" s="4267"/>
      <c r="G12" s="2202"/>
      <c r="H12" s="2202"/>
      <c r="I12" s="2203"/>
      <c r="J12" s="2203"/>
      <c r="K12" s="2203"/>
      <c r="L12" s="2203"/>
      <c r="M12" s="2203"/>
    </row>
    <row r="13" spans="1:13" s="4854" customFormat="1">
      <c r="A13" s="5006" t="s">
        <v>3011</v>
      </c>
      <c r="B13" s="5007">
        <v>2016</v>
      </c>
      <c r="C13" s="5007" t="s">
        <v>3012</v>
      </c>
      <c r="D13" s="5006" t="s">
        <v>15</v>
      </c>
      <c r="E13" s="1010"/>
      <c r="F13" s="4267"/>
      <c r="G13" s="2203"/>
      <c r="H13" s="2202"/>
      <c r="I13" s="2203"/>
      <c r="J13" s="2203"/>
      <c r="K13" s="2203"/>
      <c r="L13" s="2203"/>
      <c r="M13" s="2203"/>
    </row>
    <row r="14" spans="1:13" s="4854" customFormat="1">
      <c r="A14" s="5006" t="s">
        <v>2105</v>
      </c>
      <c r="B14" s="5008">
        <v>2365</v>
      </c>
      <c r="C14" s="5008">
        <v>1113</v>
      </c>
      <c r="D14" s="5006">
        <f>B14+C14</f>
        <v>3478</v>
      </c>
      <c r="E14" s="1010"/>
      <c r="F14" s="4267"/>
      <c r="G14" s="2203"/>
      <c r="H14" s="2202"/>
      <c r="I14" s="2203"/>
      <c r="J14" s="2203"/>
      <c r="K14" s="2203"/>
      <c r="L14" s="2203"/>
      <c r="M14" s="2203"/>
    </row>
    <row r="15" spans="1:13" s="4854" customFormat="1">
      <c r="A15" s="2202"/>
      <c r="B15" s="2202"/>
      <c r="C15" s="2202"/>
      <c r="D15" s="2202"/>
      <c r="E15" s="4267"/>
      <c r="F15" s="4267"/>
      <c r="G15" s="2202"/>
      <c r="H15" s="2202"/>
      <c r="I15" s="2203"/>
      <c r="J15" s="2203"/>
      <c r="K15" s="2203"/>
      <c r="L15" s="2203"/>
      <c r="M15" s="2203"/>
    </row>
    <row r="16" spans="1:13" s="4854" customFormat="1">
      <c r="A16" s="5768" t="s">
        <v>3013</v>
      </c>
      <c r="B16" s="5768"/>
      <c r="C16" s="5768"/>
      <c r="D16" s="5768"/>
      <c r="E16" s="5768"/>
      <c r="F16" s="5768"/>
      <c r="G16" s="5768"/>
      <c r="H16" s="5768"/>
      <c r="I16" s="5768"/>
      <c r="J16" s="5768"/>
      <c r="K16" s="5768"/>
      <c r="L16" s="2203"/>
      <c r="M16" s="2203"/>
    </row>
    <row r="17" spans="1:13" s="4854" customFormat="1">
      <c r="A17" s="5768"/>
      <c r="B17" s="5768"/>
      <c r="C17" s="5768"/>
      <c r="D17" s="5768"/>
      <c r="E17" s="5768"/>
      <c r="F17" s="5768"/>
      <c r="G17" s="5768"/>
      <c r="H17" s="5768"/>
      <c r="I17" s="5768"/>
      <c r="J17" s="5768"/>
      <c r="K17" s="5768"/>
      <c r="L17" s="2203"/>
      <c r="M17" s="2203"/>
    </row>
    <row r="18" spans="1:13" s="4854" customFormat="1">
      <c r="A18" s="2202"/>
      <c r="B18" s="2202"/>
      <c r="C18" s="2202"/>
      <c r="D18" s="2202"/>
      <c r="E18" s="2202"/>
      <c r="F18" s="2202"/>
      <c r="G18" s="2202"/>
      <c r="H18" s="2202"/>
      <c r="I18" s="2202"/>
      <c r="J18" s="2202"/>
      <c r="K18" s="2202"/>
      <c r="L18" s="2203"/>
      <c r="M18" s="2203"/>
    </row>
    <row r="19" spans="1:13" s="4854" customFormat="1">
      <c r="A19" s="5009" t="s">
        <v>3014</v>
      </c>
      <c r="B19" s="2202"/>
      <c r="C19" s="2202"/>
      <c r="D19" s="2202"/>
      <c r="E19" s="2202"/>
      <c r="F19" s="2202"/>
      <c r="G19" s="2202"/>
      <c r="H19" s="2202"/>
      <c r="I19" s="2202"/>
      <c r="J19" s="2202"/>
      <c r="K19" s="2202"/>
      <c r="L19" s="2203"/>
      <c r="M19" s="2203"/>
    </row>
    <row r="20" spans="1:13" s="4854" customFormat="1">
      <c r="A20" s="2202"/>
      <c r="B20" s="2202"/>
      <c r="C20" s="2202"/>
      <c r="D20" s="2202"/>
      <c r="E20" s="2202"/>
      <c r="F20" s="2202"/>
      <c r="G20" s="2202"/>
      <c r="H20" s="2202"/>
      <c r="I20" s="2203"/>
      <c r="J20" s="2203"/>
      <c r="K20" s="2203"/>
      <c r="L20" s="2203"/>
      <c r="M20" s="2203"/>
    </row>
    <row r="21" spans="1:13" s="4854" customFormat="1">
      <c r="A21" s="2211" t="s">
        <v>2429</v>
      </c>
      <c r="B21" s="2203"/>
      <c r="C21" s="2203"/>
      <c r="D21" s="2203"/>
      <c r="E21" s="2203"/>
      <c r="F21" s="2203"/>
      <c r="G21" s="2203"/>
      <c r="H21" s="2203"/>
      <c r="I21" s="2203"/>
      <c r="J21" s="2203"/>
      <c r="K21" s="2203"/>
      <c r="L21" s="2203"/>
      <c r="M21" s="2203"/>
    </row>
    <row r="22" spans="1:13" s="4854" customFormat="1">
      <c r="A22" s="2203"/>
      <c r="B22" s="2203"/>
      <c r="C22" s="2203"/>
      <c r="D22" s="2203"/>
      <c r="E22" s="2203"/>
      <c r="F22" s="5769" t="s">
        <v>2430</v>
      </c>
      <c r="G22" s="5769"/>
      <c r="H22" s="5752" t="s">
        <v>2431</v>
      </c>
      <c r="I22" s="5770"/>
      <c r="J22" s="5770"/>
      <c r="K22" s="5754"/>
      <c r="L22" s="2203"/>
      <c r="M22" s="2203"/>
    </row>
    <row r="23" spans="1:13" s="4854" customFormat="1" ht="24">
      <c r="A23" s="5010" t="s">
        <v>0</v>
      </c>
      <c r="B23" s="5010" t="s">
        <v>2099</v>
      </c>
      <c r="C23" s="5010" t="s">
        <v>2100</v>
      </c>
      <c r="D23" s="5010" t="s">
        <v>2105</v>
      </c>
      <c r="E23" s="4386" t="s">
        <v>2432</v>
      </c>
      <c r="F23" s="5011" t="s">
        <v>1038</v>
      </c>
      <c r="G23" s="5010" t="s">
        <v>1039</v>
      </c>
      <c r="H23" s="5012" t="s">
        <v>1607</v>
      </c>
      <c r="I23" s="5012" t="s">
        <v>1608</v>
      </c>
      <c r="J23" s="5013" t="s">
        <v>1609</v>
      </c>
      <c r="K23" s="5012" t="s">
        <v>1610</v>
      </c>
      <c r="L23" s="2203"/>
      <c r="M23" s="2203"/>
    </row>
    <row r="24" spans="1:13" s="4854" customFormat="1">
      <c r="A24" s="5014" t="s">
        <v>3</v>
      </c>
      <c r="B24" s="5015">
        <v>4691</v>
      </c>
      <c r="C24" s="5016">
        <v>2041</v>
      </c>
      <c r="D24" s="5015">
        <v>1065</v>
      </c>
      <c r="E24" s="4273">
        <f t="shared" ref="E24:E29" si="0">D24*100/C24</f>
        <v>52.180303772660459</v>
      </c>
      <c r="F24" s="5017">
        <v>0.78200000000000003</v>
      </c>
      <c r="G24" s="5017">
        <v>0.218</v>
      </c>
      <c r="H24" s="5018">
        <v>4.790419161676647E-2</v>
      </c>
      <c r="I24" s="5018">
        <v>0.10978043912175649</v>
      </c>
      <c r="J24" s="5018">
        <v>0.36726546906187624</v>
      </c>
      <c r="K24" s="5018">
        <v>0.47504990019960081</v>
      </c>
      <c r="L24" s="2203"/>
      <c r="M24" s="2203"/>
    </row>
    <row r="25" spans="1:13" s="4854" customFormat="1">
      <c r="A25" s="5014" t="s">
        <v>59</v>
      </c>
      <c r="B25" s="5015">
        <v>493</v>
      </c>
      <c r="C25" s="5016">
        <v>476</v>
      </c>
      <c r="D25" s="5015">
        <v>182</v>
      </c>
      <c r="E25" s="4273">
        <f t="shared" si="0"/>
        <v>38.235294117647058</v>
      </c>
      <c r="F25" s="5017">
        <v>0.68799999999999994</v>
      </c>
      <c r="G25" s="5017">
        <v>0.312</v>
      </c>
      <c r="H25" s="5018">
        <v>7.0588235294117646E-2</v>
      </c>
      <c r="I25" s="5018">
        <v>0.2</v>
      </c>
      <c r="J25" s="5018">
        <v>0.38823529411764712</v>
      </c>
      <c r="K25" s="5018">
        <v>0.3411764705882353</v>
      </c>
      <c r="L25" s="2203"/>
      <c r="M25" s="2203"/>
    </row>
    <row r="26" spans="1:13" s="4854" customFormat="1">
      <c r="A26" s="5014" t="s">
        <v>25</v>
      </c>
      <c r="B26" s="5015">
        <v>3672</v>
      </c>
      <c r="C26" s="5016">
        <v>2024</v>
      </c>
      <c r="D26" s="5015">
        <v>834</v>
      </c>
      <c r="E26" s="4273">
        <f t="shared" si="0"/>
        <v>41.205533596837945</v>
      </c>
      <c r="F26" s="5017">
        <v>0.63</v>
      </c>
      <c r="G26" s="5017">
        <v>0.37</v>
      </c>
      <c r="H26" s="5018">
        <v>0.13424657534246576</v>
      </c>
      <c r="I26" s="5018">
        <v>0.19452054794520549</v>
      </c>
      <c r="J26" s="5018">
        <v>0.35890410958904112</v>
      </c>
      <c r="K26" s="5018">
        <v>0.31232876712328766</v>
      </c>
      <c r="L26" s="2203"/>
      <c r="M26" s="2203"/>
    </row>
    <row r="27" spans="1:13" s="4854" customFormat="1">
      <c r="A27" s="5014" t="s">
        <v>244</v>
      </c>
      <c r="B27" s="5015">
        <v>163</v>
      </c>
      <c r="C27" s="5016">
        <v>160</v>
      </c>
      <c r="D27" s="5015">
        <v>39</v>
      </c>
      <c r="E27" s="4273">
        <f t="shared" si="0"/>
        <v>24.375</v>
      </c>
      <c r="F27" s="5017">
        <v>0.65500000000000003</v>
      </c>
      <c r="G27" s="5017">
        <v>0.34499999999999997</v>
      </c>
      <c r="H27" s="5018">
        <v>0.15789473684210525</v>
      </c>
      <c r="I27" s="5018">
        <v>0.42105263157894735</v>
      </c>
      <c r="J27" s="5018">
        <v>0.26315789473684209</v>
      </c>
      <c r="K27" s="5018">
        <v>0.15789473684210525</v>
      </c>
      <c r="L27" s="2203"/>
      <c r="M27" s="2203"/>
    </row>
    <row r="28" spans="1:13" s="4854" customFormat="1">
      <c r="A28" s="5014" t="s">
        <v>48</v>
      </c>
      <c r="B28" s="5015">
        <v>7144</v>
      </c>
      <c r="C28" s="5016">
        <v>2258</v>
      </c>
      <c r="D28" s="5015">
        <v>1358</v>
      </c>
      <c r="E28" s="4273">
        <f t="shared" si="0"/>
        <v>60.141718334809568</v>
      </c>
      <c r="F28" s="5019">
        <v>0.67200000000000004</v>
      </c>
      <c r="G28" s="5019">
        <v>0.32800000000000001</v>
      </c>
      <c r="H28" s="5018">
        <v>6.25E-2</v>
      </c>
      <c r="I28" s="5018">
        <v>0.12878787878787878</v>
      </c>
      <c r="J28" s="5018">
        <v>0.37310606060606061</v>
      </c>
      <c r="K28" s="5018">
        <v>0.43560606060606061</v>
      </c>
      <c r="L28" s="2203"/>
      <c r="M28" s="2203"/>
    </row>
    <row r="29" spans="1:13" s="4854" customFormat="1">
      <c r="A29" s="5020" t="s">
        <v>15</v>
      </c>
      <c r="B29" s="5010">
        <f>SUM(B24:B28)</f>
        <v>16163</v>
      </c>
      <c r="C29" s="5021">
        <f>SUM(C24:C28)</f>
        <v>6959</v>
      </c>
      <c r="D29" s="5010">
        <f>SUM(D24:D28)</f>
        <v>3478</v>
      </c>
      <c r="E29" s="4389">
        <f t="shared" si="0"/>
        <v>49.978445178905012</v>
      </c>
      <c r="F29" s="5022">
        <v>0.7</v>
      </c>
      <c r="G29" s="5023">
        <v>0.3</v>
      </c>
      <c r="H29" s="5024">
        <v>7.6769025367156213E-2</v>
      </c>
      <c r="I29" s="5024">
        <v>0.14619492656875835</v>
      </c>
      <c r="J29" s="5024">
        <v>0.36715620827770368</v>
      </c>
      <c r="K29" s="5024">
        <v>0.40987983978638182</v>
      </c>
      <c r="L29" s="2203"/>
      <c r="M29" s="5025"/>
    </row>
    <row r="30" spans="1:13" s="4854" customFormat="1">
      <c r="A30" s="2203"/>
      <c r="B30" s="2203"/>
      <c r="C30" s="2203"/>
      <c r="D30" s="2203"/>
      <c r="E30" s="2203"/>
      <c r="F30" s="2203"/>
      <c r="G30" s="2203"/>
      <c r="H30" s="2203"/>
      <c r="I30" s="2203"/>
      <c r="J30" s="2203"/>
      <c r="K30" s="2203"/>
      <c r="L30" s="2203"/>
      <c r="M30" s="2203"/>
    </row>
    <row r="31" spans="1:13" s="4854" customFormat="1">
      <c r="A31" s="2203"/>
      <c r="B31" s="2203"/>
      <c r="C31" s="2203"/>
      <c r="D31" s="2203"/>
      <c r="E31" s="2203"/>
      <c r="F31" s="2203"/>
      <c r="G31" s="2203"/>
      <c r="H31" s="5771" t="s">
        <v>2430</v>
      </c>
      <c r="I31" s="5771"/>
      <c r="J31" s="5772" t="s">
        <v>2431</v>
      </c>
      <c r="K31" s="5773"/>
      <c r="L31" s="5773"/>
      <c r="M31" s="5774"/>
    </row>
    <row r="32" spans="1:13" s="4854" customFormat="1" ht="24">
      <c r="A32" s="5026" t="s">
        <v>0</v>
      </c>
      <c r="B32" s="5027" t="s">
        <v>1</v>
      </c>
      <c r="C32" s="5028" t="s">
        <v>2447</v>
      </c>
      <c r="D32" s="5029" t="s">
        <v>2099</v>
      </c>
      <c r="E32" s="5010" t="s">
        <v>2100</v>
      </c>
      <c r="F32" s="5010" t="s">
        <v>2105</v>
      </c>
      <c r="G32" s="5030" t="s">
        <v>2432</v>
      </c>
      <c r="H32" s="5011" t="s">
        <v>1038</v>
      </c>
      <c r="I32" s="5010" t="s">
        <v>1039</v>
      </c>
      <c r="J32" s="5012" t="s">
        <v>1607</v>
      </c>
      <c r="K32" s="5012" t="s">
        <v>1608</v>
      </c>
      <c r="L32" s="5013" t="s">
        <v>1609</v>
      </c>
      <c r="M32" s="5012" t="s">
        <v>1610</v>
      </c>
    </row>
    <row r="33" spans="1:13" s="4854" customFormat="1">
      <c r="A33" s="5775" t="s">
        <v>3</v>
      </c>
      <c r="B33" s="5776" t="s">
        <v>2439</v>
      </c>
      <c r="C33" s="5031" t="s">
        <v>527</v>
      </c>
      <c r="D33" s="5015">
        <v>205</v>
      </c>
      <c r="E33" s="5015">
        <v>82</v>
      </c>
      <c r="F33" s="5015">
        <v>46</v>
      </c>
      <c r="G33" s="5032">
        <f>F33*100/E33</f>
        <v>56.097560975609753</v>
      </c>
      <c r="H33" s="5033">
        <v>0.7</v>
      </c>
      <c r="I33" s="5033">
        <v>0.3</v>
      </c>
      <c r="J33" s="5033">
        <v>0.15</v>
      </c>
      <c r="K33" s="5033">
        <v>0.2</v>
      </c>
      <c r="L33" s="5033">
        <v>0.45</v>
      </c>
      <c r="M33" s="5033">
        <v>0.2</v>
      </c>
    </row>
    <row r="34" spans="1:13" s="4854" customFormat="1">
      <c r="A34" s="5775"/>
      <c r="B34" s="5776"/>
      <c r="C34" s="5031" t="s">
        <v>528</v>
      </c>
      <c r="D34" s="5015">
        <v>229</v>
      </c>
      <c r="E34" s="5015">
        <v>93</v>
      </c>
      <c r="F34" s="5034">
        <v>49</v>
      </c>
      <c r="G34" s="5032">
        <f t="shared" ref="G34:G97" si="1">F34*100/E34</f>
        <v>52.688172043010752</v>
      </c>
      <c r="H34" s="5035">
        <v>0.8</v>
      </c>
      <c r="I34" s="5035">
        <v>0.2</v>
      </c>
      <c r="J34" s="5036">
        <v>0</v>
      </c>
      <c r="K34" s="5037">
        <v>0.10714285714285714</v>
      </c>
      <c r="L34" s="5037">
        <v>0.35714285714285715</v>
      </c>
      <c r="M34" s="5037">
        <v>0.5357142857142857</v>
      </c>
    </row>
    <row r="35" spans="1:13" s="4854" customFormat="1">
      <c r="A35" s="5775"/>
      <c r="B35" s="5776"/>
      <c r="C35" s="5031" t="s">
        <v>783</v>
      </c>
      <c r="D35" s="5015">
        <v>87</v>
      </c>
      <c r="E35" s="5015">
        <v>64</v>
      </c>
      <c r="F35" s="5034">
        <v>21</v>
      </c>
      <c r="G35" s="5032">
        <f t="shared" si="1"/>
        <v>32.8125</v>
      </c>
      <c r="H35" s="5035">
        <v>0.88888888888888884</v>
      </c>
      <c r="I35" s="5035">
        <v>0.1111111111111111</v>
      </c>
      <c r="J35" s="5037">
        <v>6.25E-2</v>
      </c>
      <c r="K35" s="5037">
        <v>6.25E-2</v>
      </c>
      <c r="L35" s="5037">
        <v>0.4375</v>
      </c>
      <c r="M35" s="5037">
        <v>0.4375</v>
      </c>
    </row>
    <row r="36" spans="1:13" s="4854" customFormat="1">
      <c r="A36" s="5775"/>
      <c r="B36" s="5776"/>
      <c r="C36" s="5031" t="s">
        <v>530</v>
      </c>
      <c r="D36" s="5015">
        <v>76</v>
      </c>
      <c r="E36" s="5015">
        <v>55</v>
      </c>
      <c r="F36" s="5034">
        <v>20</v>
      </c>
      <c r="G36" s="5032">
        <f t="shared" si="1"/>
        <v>36.363636363636367</v>
      </c>
      <c r="H36" s="5035">
        <v>0.46153846153846151</v>
      </c>
      <c r="I36" s="5035">
        <v>0.53846153846153844</v>
      </c>
      <c r="J36" s="5036">
        <v>0</v>
      </c>
      <c r="K36" s="5036">
        <v>0</v>
      </c>
      <c r="L36" s="5037">
        <v>0.66666666666666652</v>
      </c>
      <c r="M36" s="5037">
        <v>0.33333333333333326</v>
      </c>
    </row>
    <row r="37" spans="1:13" s="4854" customFormat="1">
      <c r="A37" s="5775"/>
      <c r="B37" s="5776"/>
      <c r="C37" s="5031" t="s">
        <v>784</v>
      </c>
      <c r="D37" s="5015">
        <v>267</v>
      </c>
      <c r="E37" s="5015">
        <v>107</v>
      </c>
      <c r="F37" s="5034">
        <v>58</v>
      </c>
      <c r="G37" s="5032">
        <f t="shared" si="1"/>
        <v>54.205607476635514</v>
      </c>
      <c r="H37" s="5035">
        <v>0.88095238095238093</v>
      </c>
      <c r="I37" s="5035">
        <v>0.11904761904761903</v>
      </c>
      <c r="J37" s="5037">
        <v>2.7027027027027025E-2</v>
      </c>
      <c r="K37" s="5037">
        <v>8.1081081081081086E-2</v>
      </c>
      <c r="L37" s="5037">
        <v>0.45945945945945948</v>
      </c>
      <c r="M37" s="5037">
        <v>0.4324324324324324</v>
      </c>
    </row>
    <row r="38" spans="1:13" s="4854" customFormat="1">
      <c r="A38" s="5775"/>
      <c r="B38" s="5776"/>
      <c r="C38" s="5031" t="s">
        <v>785</v>
      </c>
      <c r="D38" s="5015">
        <v>171</v>
      </c>
      <c r="E38" s="5015">
        <v>69</v>
      </c>
      <c r="F38" s="5034">
        <v>38</v>
      </c>
      <c r="G38" s="5032">
        <f t="shared" si="1"/>
        <v>55.072463768115945</v>
      </c>
      <c r="H38" s="5035">
        <v>0.81481481481481477</v>
      </c>
      <c r="I38" s="5035">
        <v>0.1851851851851852</v>
      </c>
      <c r="J38" s="5036">
        <v>0</v>
      </c>
      <c r="K38" s="5037">
        <v>9.0909090909090912E-2</v>
      </c>
      <c r="L38" s="5037">
        <v>0.22727272727272727</v>
      </c>
      <c r="M38" s="5037">
        <v>0.68181818181818177</v>
      </c>
    </row>
    <row r="39" spans="1:13" s="4854" customFormat="1">
      <c r="A39" s="5775"/>
      <c r="B39" s="5776"/>
      <c r="C39" s="5031" t="s">
        <v>786</v>
      </c>
      <c r="D39" s="5015">
        <v>52</v>
      </c>
      <c r="E39" s="5015">
        <v>52</v>
      </c>
      <c r="F39" s="5034">
        <v>12</v>
      </c>
      <c r="G39" s="5032">
        <f t="shared" si="1"/>
        <v>23.076923076923077</v>
      </c>
      <c r="H39" s="5035">
        <v>0.75</v>
      </c>
      <c r="I39" s="5035">
        <v>0.25</v>
      </c>
      <c r="J39" s="5036">
        <v>0</v>
      </c>
      <c r="K39" s="5037">
        <v>0.16666666666666663</v>
      </c>
      <c r="L39" s="5037">
        <v>0.5</v>
      </c>
      <c r="M39" s="5037">
        <v>0.33333333333333326</v>
      </c>
    </row>
    <row r="40" spans="1:13" s="4854" customFormat="1">
      <c r="A40" s="5775"/>
      <c r="B40" s="5776"/>
      <c r="C40" s="5031" t="s">
        <v>531</v>
      </c>
      <c r="D40" s="5015">
        <v>196</v>
      </c>
      <c r="E40" s="5015">
        <v>80</v>
      </c>
      <c r="F40" s="5034">
        <v>41</v>
      </c>
      <c r="G40" s="5032">
        <f t="shared" si="1"/>
        <v>51.25</v>
      </c>
      <c r="H40" s="5035">
        <v>0.60869565217391308</v>
      </c>
      <c r="I40" s="5035">
        <v>0.39130434782608697</v>
      </c>
      <c r="J40" s="5037">
        <v>7.1428571428571425E-2</v>
      </c>
      <c r="K40" s="5037">
        <v>7.1428571428571425E-2</v>
      </c>
      <c r="L40" s="5037">
        <v>0.35714285714285715</v>
      </c>
      <c r="M40" s="5037">
        <v>0.5</v>
      </c>
    </row>
    <row r="41" spans="1:13" s="4854" customFormat="1">
      <c r="A41" s="5775"/>
      <c r="B41" s="5776"/>
      <c r="C41" s="5031" t="s">
        <v>787</v>
      </c>
      <c r="D41" s="5015">
        <v>174</v>
      </c>
      <c r="E41" s="5015">
        <v>71</v>
      </c>
      <c r="F41" s="5034">
        <v>38</v>
      </c>
      <c r="G41" s="5032">
        <f t="shared" si="1"/>
        <v>53.521126760563384</v>
      </c>
      <c r="H41" s="5035">
        <v>0.8571428571428571</v>
      </c>
      <c r="I41" s="5035">
        <v>0.14285714285714285</v>
      </c>
      <c r="J41" s="5037">
        <v>0</v>
      </c>
      <c r="K41" s="5037">
        <v>0.30434782608695654</v>
      </c>
      <c r="L41" s="5037">
        <v>0.47826086956521741</v>
      </c>
      <c r="M41" s="5037">
        <v>0.21739130434782608</v>
      </c>
    </row>
    <row r="42" spans="1:13" s="4854" customFormat="1">
      <c r="A42" s="5775"/>
      <c r="B42" s="5776"/>
      <c r="C42" s="5031" t="s">
        <v>529</v>
      </c>
      <c r="D42" s="5015">
        <v>235</v>
      </c>
      <c r="E42" s="5015">
        <v>94</v>
      </c>
      <c r="F42" s="5034">
        <v>66</v>
      </c>
      <c r="G42" s="5032">
        <f t="shared" si="1"/>
        <v>70.212765957446805</v>
      </c>
      <c r="H42" s="5035">
        <v>0.8648648648648648</v>
      </c>
      <c r="I42" s="5035">
        <v>0.13513513513513514</v>
      </c>
      <c r="J42" s="5036">
        <v>0</v>
      </c>
      <c r="K42" s="5037">
        <v>9.6774193548387094E-2</v>
      </c>
      <c r="L42" s="5037">
        <v>0.16129032258064516</v>
      </c>
      <c r="M42" s="5037">
        <v>0.74193548387096764</v>
      </c>
    </row>
    <row r="43" spans="1:13" s="4854" customFormat="1">
      <c r="A43" s="5775"/>
      <c r="B43" s="5776" t="s">
        <v>2434</v>
      </c>
      <c r="C43" s="5031" t="s">
        <v>17</v>
      </c>
      <c r="D43" s="5015">
        <v>565</v>
      </c>
      <c r="E43" s="5015">
        <v>210</v>
      </c>
      <c r="F43" s="5034">
        <v>120</v>
      </c>
      <c r="G43" s="5032">
        <f t="shared" si="1"/>
        <v>57.142857142857146</v>
      </c>
      <c r="H43" s="5035">
        <v>0.83870967741935487</v>
      </c>
      <c r="I43" s="5035">
        <v>0.16129032258064516</v>
      </c>
      <c r="J43" s="5037">
        <v>0</v>
      </c>
      <c r="K43" s="5037">
        <v>0.14893617021276595</v>
      </c>
      <c r="L43" s="5037">
        <v>0.57446808510638303</v>
      </c>
      <c r="M43" s="5037">
        <v>0.27659574468085107</v>
      </c>
    </row>
    <row r="44" spans="1:13" s="4854" customFormat="1">
      <c r="A44" s="5775"/>
      <c r="B44" s="5776"/>
      <c r="C44" s="5031" t="s">
        <v>18</v>
      </c>
      <c r="D44" s="5015">
        <v>897</v>
      </c>
      <c r="E44" s="5015">
        <v>333</v>
      </c>
      <c r="F44" s="5034">
        <v>195</v>
      </c>
      <c r="G44" s="5032">
        <f t="shared" si="1"/>
        <v>58.558558558558559</v>
      </c>
      <c r="H44" s="5035">
        <v>0.63207547169811318</v>
      </c>
      <c r="I44" s="5035">
        <v>0.36792452830188682</v>
      </c>
      <c r="J44" s="5037">
        <v>7.9365079365079361E-2</v>
      </c>
      <c r="K44" s="5037">
        <v>7.9365079365079361E-2</v>
      </c>
      <c r="L44" s="5037">
        <v>0.20634920634920634</v>
      </c>
      <c r="M44" s="5037">
        <v>0.63492063492063489</v>
      </c>
    </row>
    <row r="45" spans="1:13" s="4854" customFormat="1">
      <c r="A45" s="5775"/>
      <c r="B45" s="5776"/>
      <c r="C45" s="5031" t="s">
        <v>19</v>
      </c>
      <c r="D45" s="5015">
        <v>223</v>
      </c>
      <c r="E45" s="5015">
        <v>83</v>
      </c>
      <c r="F45" s="5034">
        <v>42</v>
      </c>
      <c r="G45" s="5032">
        <f t="shared" si="1"/>
        <v>50.602409638554214</v>
      </c>
      <c r="H45" s="5035">
        <v>0.9285714285714286</v>
      </c>
      <c r="I45" s="5035">
        <v>7.1428571428571425E-2</v>
      </c>
      <c r="J45" s="5037">
        <v>0.2</v>
      </c>
      <c r="K45" s="5037">
        <v>0.2</v>
      </c>
      <c r="L45" s="5037">
        <v>0.4</v>
      </c>
      <c r="M45" s="5037">
        <v>0.2</v>
      </c>
    </row>
    <row r="46" spans="1:13" s="4854" customFormat="1">
      <c r="A46" s="5775"/>
      <c r="B46" s="5776"/>
      <c r="C46" s="5031" t="s">
        <v>20</v>
      </c>
      <c r="D46" s="5015">
        <v>263</v>
      </c>
      <c r="E46" s="5015">
        <v>98</v>
      </c>
      <c r="F46" s="5034">
        <v>58</v>
      </c>
      <c r="G46" s="5032">
        <f t="shared" si="1"/>
        <v>59.183673469387756</v>
      </c>
      <c r="H46" s="5035">
        <v>0.64516129032258063</v>
      </c>
      <c r="I46" s="5035">
        <v>0.35483870967741937</v>
      </c>
      <c r="J46" s="5037">
        <v>0.1</v>
      </c>
      <c r="K46" s="5037">
        <v>0.2</v>
      </c>
      <c r="L46" s="5037">
        <v>0.55000000000000004</v>
      </c>
      <c r="M46" s="5037">
        <v>0.15</v>
      </c>
    </row>
    <row r="47" spans="1:13" s="4854" customFormat="1">
      <c r="A47" s="5775"/>
      <c r="B47" s="5776" t="s">
        <v>2435</v>
      </c>
      <c r="C47" s="5031" t="s">
        <v>22</v>
      </c>
      <c r="D47" s="5015">
        <v>362</v>
      </c>
      <c r="E47" s="5015">
        <v>189</v>
      </c>
      <c r="F47" s="5034">
        <v>87</v>
      </c>
      <c r="G47" s="5032">
        <f t="shared" si="1"/>
        <v>46.031746031746032</v>
      </c>
      <c r="H47" s="5035">
        <v>0.88235294117647056</v>
      </c>
      <c r="I47" s="5035">
        <v>0.1176470588235294</v>
      </c>
      <c r="J47" s="5037">
        <v>2.2727272727272728E-2</v>
      </c>
      <c r="K47" s="5037">
        <v>2.2727272727272728E-2</v>
      </c>
      <c r="L47" s="5037">
        <v>0.22727272727272727</v>
      </c>
      <c r="M47" s="5037">
        <v>0.72727272727272729</v>
      </c>
    </row>
    <row r="48" spans="1:13" s="4854" customFormat="1">
      <c r="A48" s="5775"/>
      <c r="B48" s="5776"/>
      <c r="C48" s="5031" t="s">
        <v>2115</v>
      </c>
      <c r="D48" s="5015">
        <v>396</v>
      </c>
      <c r="E48" s="5015">
        <v>207</v>
      </c>
      <c r="F48" s="5034">
        <v>104</v>
      </c>
      <c r="G48" s="5032">
        <f t="shared" si="1"/>
        <v>50.24154589371981</v>
      </c>
      <c r="H48" s="5035">
        <v>0.83116883116883111</v>
      </c>
      <c r="I48" s="5035">
        <v>0.16883116883116883</v>
      </c>
      <c r="J48" s="5037">
        <v>3.3333333333333333E-2</v>
      </c>
      <c r="K48" s="5037">
        <v>0.05</v>
      </c>
      <c r="L48" s="5037">
        <v>0.4</v>
      </c>
      <c r="M48" s="5037">
        <v>0.51666666666666672</v>
      </c>
    </row>
    <row r="49" spans="1:13" s="4854" customFormat="1">
      <c r="A49" s="5775"/>
      <c r="B49" s="5776"/>
      <c r="C49" s="5031" t="s">
        <v>24</v>
      </c>
      <c r="D49" s="5015">
        <v>293</v>
      </c>
      <c r="E49" s="5015">
        <v>154</v>
      </c>
      <c r="F49" s="5034">
        <v>70</v>
      </c>
      <c r="G49" s="5032">
        <f t="shared" si="1"/>
        <v>45.454545454545453</v>
      </c>
      <c r="H49" s="5035">
        <v>0.81632653061224492</v>
      </c>
      <c r="I49" s="5035">
        <v>0.18367346938775511</v>
      </c>
      <c r="J49" s="5037">
        <v>7.6923076923076927E-2</v>
      </c>
      <c r="K49" s="5037">
        <v>0.12820512820512819</v>
      </c>
      <c r="L49" s="5037">
        <v>0.33333333333333326</v>
      </c>
      <c r="M49" s="5037">
        <v>0.46153846153846151</v>
      </c>
    </row>
    <row r="50" spans="1:13" s="4854" customFormat="1">
      <c r="A50" s="5777" t="s">
        <v>59</v>
      </c>
      <c r="B50" s="5775" t="s">
        <v>2434</v>
      </c>
      <c r="C50" s="5031" t="s">
        <v>17</v>
      </c>
      <c r="D50" s="5015">
        <v>89</v>
      </c>
      <c r="E50" s="5015">
        <v>83</v>
      </c>
      <c r="F50" s="5034">
        <v>33</v>
      </c>
      <c r="G50" s="5032">
        <f t="shared" si="1"/>
        <v>39.75903614457831</v>
      </c>
      <c r="H50" s="5035">
        <v>0.64</v>
      </c>
      <c r="I50" s="5035">
        <v>0.36</v>
      </c>
      <c r="J50" s="5037">
        <v>6.25E-2</v>
      </c>
      <c r="K50" s="5037">
        <v>0.25</v>
      </c>
      <c r="L50" s="5037">
        <v>0.375</v>
      </c>
      <c r="M50" s="5037">
        <v>0.3125</v>
      </c>
    </row>
    <row r="51" spans="1:13" s="4854" customFormat="1">
      <c r="A51" s="5777"/>
      <c r="B51" s="5775"/>
      <c r="C51" s="5031" t="s">
        <v>60</v>
      </c>
      <c r="D51" s="5015">
        <v>23</v>
      </c>
      <c r="E51" s="5015">
        <v>23</v>
      </c>
      <c r="F51" s="5034">
        <v>9</v>
      </c>
      <c r="G51" s="5032">
        <f t="shared" si="1"/>
        <v>39.130434782608695</v>
      </c>
      <c r="H51" s="5035">
        <v>0.75</v>
      </c>
      <c r="I51" s="5035">
        <v>0.25</v>
      </c>
      <c r="J51" s="5037">
        <v>0.33333333333333326</v>
      </c>
      <c r="K51" s="5037">
        <v>0</v>
      </c>
      <c r="L51" s="5037">
        <v>0.66666666666666652</v>
      </c>
      <c r="M51" s="5037">
        <v>0</v>
      </c>
    </row>
    <row r="52" spans="1:13" s="4854" customFormat="1">
      <c r="A52" s="5777"/>
      <c r="B52" s="5775"/>
      <c r="C52" s="5031" t="s">
        <v>413</v>
      </c>
      <c r="D52" s="5015">
        <v>29</v>
      </c>
      <c r="E52" s="5015">
        <v>29</v>
      </c>
      <c r="F52" s="5034">
        <v>8</v>
      </c>
      <c r="G52" s="5032">
        <f t="shared" si="1"/>
        <v>27.586206896551722</v>
      </c>
      <c r="H52" s="5035">
        <v>0.5</v>
      </c>
      <c r="I52" s="5035">
        <v>0.5</v>
      </c>
      <c r="J52" s="5037">
        <v>0</v>
      </c>
      <c r="K52" s="5037">
        <v>0</v>
      </c>
      <c r="L52" s="5037">
        <v>0.5</v>
      </c>
      <c r="M52" s="5037">
        <v>0.5</v>
      </c>
    </row>
    <row r="53" spans="1:13" s="4854" customFormat="1">
      <c r="A53" s="5777"/>
      <c r="B53" s="5775"/>
      <c r="C53" s="5031" t="s">
        <v>18</v>
      </c>
      <c r="D53" s="5015" t="s">
        <v>3015</v>
      </c>
      <c r="E53" s="5015" t="s">
        <v>3015</v>
      </c>
      <c r="F53" s="5015" t="s">
        <v>3016</v>
      </c>
      <c r="G53" s="5032" t="s">
        <v>3016</v>
      </c>
      <c r="H53" s="5033" t="s">
        <v>3016</v>
      </c>
      <c r="I53" s="5033" t="s">
        <v>3016</v>
      </c>
      <c r="J53" s="5036" t="s">
        <v>3016</v>
      </c>
      <c r="K53" s="5036" t="s">
        <v>3016</v>
      </c>
      <c r="L53" s="5036" t="s">
        <v>3016</v>
      </c>
      <c r="M53" s="5036" t="s">
        <v>3016</v>
      </c>
    </row>
    <row r="54" spans="1:13" s="4854" customFormat="1">
      <c r="A54" s="5777"/>
      <c r="B54" s="5775" t="s">
        <v>2437</v>
      </c>
      <c r="C54" s="5031" t="s">
        <v>62</v>
      </c>
      <c r="D54" s="5015">
        <v>64</v>
      </c>
      <c r="E54" s="5015">
        <v>64</v>
      </c>
      <c r="F54" s="5034">
        <v>24</v>
      </c>
      <c r="G54" s="5032">
        <f t="shared" si="1"/>
        <v>37.5</v>
      </c>
      <c r="H54" s="5035">
        <v>0.89473684210526316</v>
      </c>
      <c r="I54" s="5035">
        <v>0.10526315789473684</v>
      </c>
      <c r="J54" s="5037">
        <v>0.1176470588235294</v>
      </c>
      <c r="K54" s="5037">
        <v>0.17647058823529413</v>
      </c>
      <c r="L54" s="5037">
        <v>0.41176470588235292</v>
      </c>
      <c r="M54" s="5037">
        <v>0.29411764705882354</v>
      </c>
    </row>
    <row r="55" spans="1:13" s="4854" customFormat="1">
      <c r="A55" s="5777"/>
      <c r="B55" s="5775"/>
      <c r="C55" s="5031" t="s">
        <v>414</v>
      </c>
      <c r="D55" s="5015">
        <v>29</v>
      </c>
      <c r="E55" s="5015">
        <v>29</v>
      </c>
      <c r="F55" s="5034">
        <v>11</v>
      </c>
      <c r="G55" s="5032">
        <f t="shared" si="1"/>
        <v>37.931034482758619</v>
      </c>
      <c r="H55" s="5035">
        <v>1</v>
      </c>
      <c r="I55" s="5033">
        <v>0</v>
      </c>
      <c r="J55" s="5036">
        <v>0</v>
      </c>
      <c r="K55" s="5036">
        <v>0</v>
      </c>
      <c r="L55" s="5037">
        <v>0.2</v>
      </c>
      <c r="M55" s="5037">
        <v>0.8</v>
      </c>
    </row>
    <row r="56" spans="1:13" s="4854" customFormat="1">
      <c r="A56" s="5777"/>
      <c r="B56" s="5775"/>
      <c r="C56" s="5031" t="s">
        <v>63</v>
      </c>
      <c r="D56" s="5015">
        <v>83</v>
      </c>
      <c r="E56" s="5015">
        <v>78</v>
      </c>
      <c r="F56" s="5034">
        <v>25</v>
      </c>
      <c r="G56" s="5032">
        <f t="shared" si="1"/>
        <v>32.051282051282051</v>
      </c>
      <c r="H56" s="5035">
        <v>0.80952380952380953</v>
      </c>
      <c r="I56" s="5035">
        <v>0.19047619047619047</v>
      </c>
      <c r="J56" s="5037">
        <v>0.1176470588235294</v>
      </c>
      <c r="K56" s="5037">
        <v>5.8823529411764698E-2</v>
      </c>
      <c r="L56" s="5037">
        <v>0.41176470588235292</v>
      </c>
      <c r="M56" s="5037">
        <v>0.41176470588235292</v>
      </c>
    </row>
    <row r="57" spans="1:13" s="4854" customFormat="1">
      <c r="A57" s="5777"/>
      <c r="B57" s="5775" t="s">
        <v>2438</v>
      </c>
      <c r="C57" s="5031" t="s">
        <v>529</v>
      </c>
      <c r="D57" s="5015">
        <v>49</v>
      </c>
      <c r="E57" s="5015">
        <v>49</v>
      </c>
      <c r="F57" s="5034">
        <v>12</v>
      </c>
      <c r="G57" s="5032">
        <f t="shared" si="1"/>
        <v>24.489795918367346</v>
      </c>
      <c r="H57" s="5035">
        <v>0.83333333333333348</v>
      </c>
      <c r="I57" s="5035">
        <v>0.16666666666666663</v>
      </c>
      <c r="J57" s="5036">
        <v>0</v>
      </c>
      <c r="K57" s="5037">
        <v>0</v>
      </c>
      <c r="L57" s="5037">
        <v>0.2</v>
      </c>
      <c r="M57" s="5037">
        <v>0.8</v>
      </c>
    </row>
    <row r="58" spans="1:13" s="4854" customFormat="1">
      <c r="A58" s="5777"/>
      <c r="B58" s="5775"/>
      <c r="C58" s="5031" t="s">
        <v>65</v>
      </c>
      <c r="D58" s="5015">
        <v>23</v>
      </c>
      <c r="E58" s="5015">
        <v>23</v>
      </c>
      <c r="F58" s="5034">
        <v>11</v>
      </c>
      <c r="G58" s="5032">
        <f t="shared" si="1"/>
        <v>47.826086956521742</v>
      </c>
      <c r="H58" s="5035">
        <v>0.83333333333333348</v>
      </c>
      <c r="I58" s="5035">
        <v>0.16666666666666663</v>
      </c>
      <c r="J58" s="5036">
        <v>0</v>
      </c>
      <c r="K58" s="5037">
        <v>0.4</v>
      </c>
      <c r="L58" s="5037">
        <v>0.4</v>
      </c>
      <c r="M58" s="5037">
        <v>0.2</v>
      </c>
    </row>
    <row r="59" spans="1:13" s="4854" customFormat="1">
      <c r="A59" s="5777"/>
      <c r="B59" s="5775"/>
      <c r="C59" s="5031" t="s">
        <v>415</v>
      </c>
      <c r="D59" s="5015">
        <v>40</v>
      </c>
      <c r="E59" s="5015">
        <v>40</v>
      </c>
      <c r="F59" s="5034">
        <v>20</v>
      </c>
      <c r="G59" s="5032">
        <f t="shared" si="1"/>
        <v>50</v>
      </c>
      <c r="H59" s="5035">
        <v>0.58333333333333337</v>
      </c>
      <c r="I59" s="5035">
        <v>0.41666666666666674</v>
      </c>
      <c r="J59" s="5036">
        <v>0</v>
      </c>
      <c r="K59" s="5037">
        <v>0.5714285714285714</v>
      </c>
      <c r="L59" s="5037">
        <v>0.42857142857142855</v>
      </c>
      <c r="M59" s="5036">
        <v>0</v>
      </c>
    </row>
    <row r="60" spans="1:13" s="4854" customFormat="1">
      <c r="A60" s="5777"/>
      <c r="B60" s="5775"/>
      <c r="C60" s="5031" t="s">
        <v>81</v>
      </c>
      <c r="D60" s="5015">
        <v>64</v>
      </c>
      <c r="E60" s="5015">
        <v>58</v>
      </c>
      <c r="F60" s="5034">
        <v>29</v>
      </c>
      <c r="G60" s="5032">
        <f t="shared" si="1"/>
        <v>50</v>
      </c>
      <c r="H60" s="5035">
        <v>0.36363636363636365</v>
      </c>
      <c r="I60" s="5035">
        <v>0.63636363636363635</v>
      </c>
      <c r="J60" s="5036">
        <v>0</v>
      </c>
      <c r="K60" s="5037">
        <v>0.375</v>
      </c>
      <c r="L60" s="5037">
        <v>0.375</v>
      </c>
      <c r="M60" s="5037">
        <v>0.25</v>
      </c>
    </row>
    <row r="61" spans="1:13" s="4854" customFormat="1">
      <c r="A61" s="5781" t="s">
        <v>25</v>
      </c>
      <c r="B61" s="5778" t="s">
        <v>2439</v>
      </c>
      <c r="C61" s="5031" t="s">
        <v>532</v>
      </c>
      <c r="D61" s="5015">
        <v>108</v>
      </c>
      <c r="E61" s="5015">
        <v>83</v>
      </c>
      <c r="F61" s="5034">
        <v>32</v>
      </c>
      <c r="G61" s="5032">
        <f t="shared" si="1"/>
        <v>38.554216867469883</v>
      </c>
      <c r="H61" s="5035">
        <v>0.77272727272727271</v>
      </c>
      <c r="I61" s="5035">
        <v>0.22727272727272727</v>
      </c>
      <c r="J61" s="5036">
        <v>0</v>
      </c>
      <c r="K61" s="5037">
        <v>0.1176470588235294</v>
      </c>
      <c r="L61" s="5037">
        <v>0.41176470588235292</v>
      </c>
      <c r="M61" s="5037">
        <v>0.47058823529411759</v>
      </c>
    </row>
    <row r="62" spans="1:13" s="4854" customFormat="1">
      <c r="A62" s="5782"/>
      <c r="B62" s="5783"/>
      <c r="C62" s="5031" t="s">
        <v>790</v>
      </c>
      <c r="D62" s="5015">
        <v>21</v>
      </c>
      <c r="E62" s="5015">
        <v>21</v>
      </c>
      <c r="F62" s="5034">
        <v>11</v>
      </c>
      <c r="G62" s="5032">
        <f t="shared" si="1"/>
        <v>52.38095238095238</v>
      </c>
      <c r="H62" s="5035">
        <v>1</v>
      </c>
      <c r="I62" s="5035">
        <v>0</v>
      </c>
      <c r="J62" s="5036">
        <v>0</v>
      </c>
      <c r="K62" s="5037">
        <v>0.4</v>
      </c>
      <c r="L62" s="5037">
        <v>0.2</v>
      </c>
      <c r="M62" s="5037">
        <v>0.4</v>
      </c>
    </row>
    <row r="63" spans="1:13" s="4854" customFormat="1">
      <c r="A63" s="5782"/>
      <c r="B63" s="5783"/>
      <c r="C63" s="5031" t="s">
        <v>531</v>
      </c>
      <c r="D63" s="5015">
        <v>101</v>
      </c>
      <c r="E63" s="5015">
        <v>68</v>
      </c>
      <c r="F63" s="5034">
        <v>28</v>
      </c>
      <c r="G63" s="5032">
        <f t="shared" si="1"/>
        <v>41.176470588235297</v>
      </c>
      <c r="H63" s="5035">
        <v>0.6</v>
      </c>
      <c r="I63" s="5035">
        <v>0.4</v>
      </c>
      <c r="J63" s="5037">
        <v>0.27272727272727271</v>
      </c>
      <c r="K63" s="5037">
        <v>9.0909090909090912E-2</v>
      </c>
      <c r="L63" s="5037">
        <v>0.45454545454545453</v>
      </c>
      <c r="M63" s="5037">
        <v>0.18181818181818182</v>
      </c>
    </row>
    <row r="64" spans="1:13" s="4854" customFormat="1">
      <c r="A64" s="5782"/>
      <c r="B64" s="5783"/>
      <c r="C64" s="5031" t="s">
        <v>269</v>
      </c>
      <c r="D64" s="5015">
        <v>96</v>
      </c>
      <c r="E64" s="5015">
        <v>78</v>
      </c>
      <c r="F64" s="5034">
        <v>29</v>
      </c>
      <c r="G64" s="5032">
        <f t="shared" si="1"/>
        <v>37.179487179487182</v>
      </c>
      <c r="H64" s="5035">
        <v>0.6</v>
      </c>
      <c r="I64" s="5035">
        <v>0.4</v>
      </c>
      <c r="J64" s="5036">
        <v>0</v>
      </c>
      <c r="K64" s="5037">
        <v>0.2857142857142857</v>
      </c>
      <c r="L64" s="5037">
        <v>0.21428571428571427</v>
      </c>
      <c r="M64" s="5037">
        <v>0.5</v>
      </c>
    </row>
    <row r="65" spans="1:13" s="4854" customFormat="1">
      <c r="A65" s="5782"/>
      <c r="B65" s="5783"/>
      <c r="C65" s="5031" t="s">
        <v>29</v>
      </c>
      <c r="D65" s="5015">
        <v>78</v>
      </c>
      <c r="E65" s="5015">
        <v>78</v>
      </c>
      <c r="F65" s="5034">
        <v>25</v>
      </c>
      <c r="G65" s="5032">
        <f t="shared" si="1"/>
        <v>32.051282051282051</v>
      </c>
      <c r="H65" s="5035">
        <v>0.36842105263157893</v>
      </c>
      <c r="I65" s="5035">
        <v>0.63157894736842102</v>
      </c>
      <c r="J65" s="5037">
        <v>0.2857142857142857</v>
      </c>
      <c r="K65" s="5036">
        <v>0</v>
      </c>
      <c r="L65" s="5037">
        <v>0.5714285714285714</v>
      </c>
      <c r="M65" s="5037">
        <v>0.14285714285714285</v>
      </c>
    </row>
    <row r="66" spans="1:13" s="4854" customFormat="1">
      <c r="A66" s="5782"/>
      <c r="B66" s="5783"/>
      <c r="C66" s="5031" t="s">
        <v>787</v>
      </c>
      <c r="D66" s="5015">
        <v>83</v>
      </c>
      <c r="E66" s="5015">
        <v>83</v>
      </c>
      <c r="F66" s="5034">
        <v>32</v>
      </c>
      <c r="G66" s="5032">
        <f t="shared" si="1"/>
        <v>38.554216867469883</v>
      </c>
      <c r="H66" s="5035">
        <v>0.77272727272727271</v>
      </c>
      <c r="I66" s="5035">
        <v>0.22727272727272727</v>
      </c>
      <c r="J66" s="5037">
        <v>0.17647058823529413</v>
      </c>
      <c r="K66" s="5037">
        <v>0.29411764705882354</v>
      </c>
      <c r="L66" s="5037">
        <v>0.29411764705882354</v>
      </c>
      <c r="M66" s="5037">
        <v>0.23529411764705879</v>
      </c>
    </row>
    <row r="67" spans="1:13" s="4854" customFormat="1">
      <c r="A67" s="5782"/>
      <c r="B67" s="5783"/>
      <c r="C67" s="5031" t="s">
        <v>30</v>
      </c>
      <c r="D67" s="5015">
        <v>53</v>
      </c>
      <c r="E67" s="5015">
        <v>53</v>
      </c>
      <c r="F67" s="5034">
        <v>20</v>
      </c>
      <c r="G67" s="5032">
        <f t="shared" si="1"/>
        <v>37.735849056603776</v>
      </c>
      <c r="H67" s="5035">
        <v>0.70588235294117652</v>
      </c>
      <c r="I67" s="5035">
        <v>0.29411764705882354</v>
      </c>
      <c r="J67" s="5037">
        <v>9.0909090909090912E-2</v>
      </c>
      <c r="K67" s="5037">
        <v>0.18181818181818182</v>
      </c>
      <c r="L67" s="5037">
        <v>0.27272727272727271</v>
      </c>
      <c r="M67" s="5037">
        <v>0.45454545454545453</v>
      </c>
    </row>
    <row r="68" spans="1:13" s="4854" customFormat="1">
      <c r="A68" s="5782"/>
      <c r="B68" s="5783"/>
      <c r="C68" s="5031" t="s">
        <v>31</v>
      </c>
      <c r="D68" s="5015">
        <v>54</v>
      </c>
      <c r="E68" s="5015">
        <v>54</v>
      </c>
      <c r="F68" s="5034">
        <v>15</v>
      </c>
      <c r="G68" s="5032">
        <f t="shared" si="1"/>
        <v>27.777777777777779</v>
      </c>
      <c r="H68" s="5035">
        <v>0.33333333333333326</v>
      </c>
      <c r="I68" s="5035">
        <v>0.66666666666666652</v>
      </c>
      <c r="J68" s="5036">
        <v>0</v>
      </c>
      <c r="K68" s="5037">
        <v>0.25</v>
      </c>
      <c r="L68" s="5037">
        <v>0.25</v>
      </c>
      <c r="M68" s="5037">
        <v>0.5</v>
      </c>
    </row>
    <row r="69" spans="1:13" s="4854" customFormat="1">
      <c r="A69" s="5782"/>
      <c r="B69" s="5779"/>
      <c r="C69" s="5031" t="s">
        <v>32</v>
      </c>
      <c r="D69" s="5015">
        <v>118</v>
      </c>
      <c r="E69" s="5015">
        <v>80</v>
      </c>
      <c r="F69" s="5034">
        <v>33</v>
      </c>
      <c r="G69" s="5032">
        <f t="shared" si="1"/>
        <v>41.25</v>
      </c>
      <c r="H69" s="5035">
        <v>0.70833333333333348</v>
      </c>
      <c r="I69" s="5035">
        <v>0.29166666666666669</v>
      </c>
      <c r="J69" s="5037">
        <v>6.25E-2</v>
      </c>
      <c r="K69" s="5037">
        <v>6.25E-2</v>
      </c>
      <c r="L69" s="5037">
        <v>0.25</v>
      </c>
      <c r="M69" s="5037">
        <v>0.625</v>
      </c>
    </row>
    <row r="70" spans="1:13" s="4854" customFormat="1">
      <c r="A70" s="5782"/>
      <c r="B70" s="5775" t="s">
        <v>2434</v>
      </c>
      <c r="C70" s="5031" t="s">
        <v>17</v>
      </c>
      <c r="D70" s="5015">
        <v>421</v>
      </c>
      <c r="E70" s="5015">
        <v>170</v>
      </c>
      <c r="F70" s="5034">
        <v>68</v>
      </c>
      <c r="G70" s="5032">
        <f t="shared" si="1"/>
        <v>40</v>
      </c>
      <c r="H70" s="5035">
        <v>0.7021276595744681</v>
      </c>
      <c r="I70" s="5035">
        <v>0.2978723404255319</v>
      </c>
      <c r="J70" s="5037">
        <v>6.0606060606060608E-2</v>
      </c>
      <c r="K70" s="5037">
        <v>6.0606060606060608E-2</v>
      </c>
      <c r="L70" s="5037">
        <v>0.48484848484848486</v>
      </c>
      <c r="M70" s="5037">
        <v>0.39393939393939392</v>
      </c>
    </row>
    <row r="71" spans="1:13" s="4854" customFormat="1">
      <c r="A71" s="5782"/>
      <c r="B71" s="5775"/>
      <c r="C71" s="5031" t="s">
        <v>33</v>
      </c>
      <c r="D71" s="5015">
        <v>96</v>
      </c>
      <c r="E71" s="5015">
        <v>54</v>
      </c>
      <c r="F71" s="5034">
        <v>22</v>
      </c>
      <c r="G71" s="5032">
        <f t="shared" si="1"/>
        <v>40.74074074074074</v>
      </c>
      <c r="H71" s="5035">
        <v>0.6</v>
      </c>
      <c r="I71" s="5035">
        <v>0.4</v>
      </c>
      <c r="J71" s="5037">
        <v>0.22222222222222221</v>
      </c>
      <c r="K71" s="5037">
        <v>0</v>
      </c>
      <c r="L71" s="5037">
        <v>0.7777777777777779</v>
      </c>
      <c r="M71" s="5037">
        <v>0</v>
      </c>
    </row>
    <row r="72" spans="1:13" s="4854" customFormat="1">
      <c r="A72" s="5782"/>
      <c r="B72" s="5775"/>
      <c r="C72" s="5031" t="s">
        <v>34</v>
      </c>
      <c r="D72" s="5015">
        <v>83</v>
      </c>
      <c r="E72" s="5015">
        <v>64</v>
      </c>
      <c r="F72" s="5034">
        <v>21</v>
      </c>
      <c r="G72" s="5032">
        <f t="shared" si="1"/>
        <v>32.8125</v>
      </c>
      <c r="H72" s="5035">
        <v>0.76923076923076938</v>
      </c>
      <c r="I72" s="5035">
        <v>0.23076923076923075</v>
      </c>
      <c r="J72" s="5037">
        <v>0</v>
      </c>
      <c r="K72" s="5037">
        <v>0.2</v>
      </c>
      <c r="L72" s="5037">
        <v>0.3</v>
      </c>
      <c r="M72" s="5037">
        <v>0.5</v>
      </c>
    </row>
    <row r="73" spans="1:13" s="4854" customFormat="1">
      <c r="A73" s="5782"/>
      <c r="B73" s="5775"/>
      <c r="C73" s="5031" t="s">
        <v>35</v>
      </c>
      <c r="D73" s="5015">
        <v>116</v>
      </c>
      <c r="E73" s="5015">
        <v>47</v>
      </c>
      <c r="F73" s="5034">
        <v>21</v>
      </c>
      <c r="G73" s="5032">
        <f t="shared" si="1"/>
        <v>44.680851063829785</v>
      </c>
      <c r="H73" s="5035">
        <v>0.82352941176470584</v>
      </c>
      <c r="I73" s="5035">
        <v>0.17647058823529413</v>
      </c>
      <c r="J73" s="5037">
        <v>0.2857142857142857</v>
      </c>
      <c r="K73" s="5037">
        <v>0.2857142857142857</v>
      </c>
      <c r="L73" s="5037">
        <v>0.14285714285714285</v>
      </c>
      <c r="M73" s="5037">
        <v>0.2857142857142857</v>
      </c>
    </row>
    <row r="74" spans="1:13" s="4854" customFormat="1">
      <c r="A74" s="5782"/>
      <c r="B74" s="5775"/>
      <c r="C74" s="5031" t="s">
        <v>19</v>
      </c>
      <c r="D74" s="5015">
        <v>134</v>
      </c>
      <c r="E74" s="5015">
        <v>54</v>
      </c>
      <c r="F74" s="5034">
        <v>28</v>
      </c>
      <c r="G74" s="5032">
        <f t="shared" si="1"/>
        <v>51.851851851851855</v>
      </c>
      <c r="H74" s="5035">
        <v>0.75</v>
      </c>
      <c r="I74" s="5035">
        <v>0.25</v>
      </c>
      <c r="J74" s="5037">
        <v>0.16666666666666663</v>
      </c>
      <c r="K74" s="5037">
        <v>0</v>
      </c>
      <c r="L74" s="5037">
        <v>0.75</v>
      </c>
      <c r="M74" s="5037">
        <v>8.3333333333333315E-2</v>
      </c>
    </row>
    <row r="75" spans="1:13" s="4854" customFormat="1">
      <c r="A75" s="5782"/>
      <c r="B75" s="5775"/>
      <c r="C75" s="5031" t="s">
        <v>20</v>
      </c>
      <c r="D75" s="5015">
        <v>127</v>
      </c>
      <c r="E75" s="5015">
        <v>51</v>
      </c>
      <c r="F75" s="5034">
        <v>23</v>
      </c>
      <c r="G75" s="5032">
        <f t="shared" si="1"/>
        <v>45.098039215686278</v>
      </c>
      <c r="H75" s="5035">
        <v>0.6875</v>
      </c>
      <c r="I75" s="5035">
        <v>0.3125</v>
      </c>
      <c r="J75" s="5037">
        <v>0.18181818181818182</v>
      </c>
      <c r="K75" s="5037">
        <v>0.27272727272727271</v>
      </c>
      <c r="L75" s="5037">
        <v>0.45454545454545453</v>
      </c>
      <c r="M75" s="5037">
        <v>9.0909090909090912E-2</v>
      </c>
    </row>
    <row r="76" spans="1:13" s="4854" customFormat="1">
      <c r="A76" s="5782"/>
      <c r="B76" s="5775"/>
      <c r="C76" s="5031" t="s">
        <v>36</v>
      </c>
      <c r="D76" s="5015">
        <v>111</v>
      </c>
      <c r="E76" s="5015">
        <v>45</v>
      </c>
      <c r="F76" s="5034">
        <v>26</v>
      </c>
      <c r="G76" s="5032">
        <f t="shared" si="1"/>
        <v>57.777777777777779</v>
      </c>
      <c r="H76" s="5035">
        <v>0.58333333333333337</v>
      </c>
      <c r="I76" s="5035">
        <v>0.41666666666666674</v>
      </c>
      <c r="J76" s="5036">
        <v>0</v>
      </c>
      <c r="K76" s="5036">
        <v>0</v>
      </c>
      <c r="L76" s="5037">
        <v>0.14285714285714285</v>
      </c>
      <c r="M76" s="5037">
        <v>0.8571428571428571</v>
      </c>
    </row>
    <row r="77" spans="1:13" s="4854" customFormat="1">
      <c r="A77" s="5782"/>
      <c r="B77" s="5775"/>
      <c r="C77" s="5031" t="s">
        <v>533</v>
      </c>
      <c r="D77" s="5015">
        <v>67</v>
      </c>
      <c r="E77" s="5015">
        <v>67</v>
      </c>
      <c r="F77" s="5034">
        <v>16</v>
      </c>
      <c r="G77" s="5032">
        <f t="shared" si="1"/>
        <v>23.880597014925375</v>
      </c>
      <c r="H77" s="5035">
        <v>0.4</v>
      </c>
      <c r="I77" s="5035">
        <v>0.6</v>
      </c>
      <c r="J77" s="5037">
        <v>0.5</v>
      </c>
      <c r="K77" s="5037">
        <v>0</v>
      </c>
      <c r="L77" s="5037">
        <v>0.5</v>
      </c>
      <c r="M77" s="5037">
        <v>0</v>
      </c>
    </row>
    <row r="78" spans="1:13" s="4854" customFormat="1">
      <c r="A78" s="5782"/>
      <c r="B78" s="5775"/>
      <c r="C78" s="5031" t="s">
        <v>38</v>
      </c>
      <c r="D78" s="5015">
        <v>164</v>
      </c>
      <c r="E78" s="5015">
        <v>67</v>
      </c>
      <c r="F78" s="5034">
        <v>38</v>
      </c>
      <c r="G78" s="5032">
        <f t="shared" si="1"/>
        <v>56.71641791044776</v>
      </c>
      <c r="H78" s="5035">
        <v>0.5714285714285714</v>
      </c>
      <c r="I78" s="5035">
        <v>0.42857142857142855</v>
      </c>
      <c r="J78" s="5037">
        <v>8.3333333333333315E-2</v>
      </c>
      <c r="K78" s="5037">
        <v>0.25</v>
      </c>
      <c r="L78" s="5037">
        <v>0.33333333333333326</v>
      </c>
      <c r="M78" s="5037">
        <v>0.33333333333333326</v>
      </c>
    </row>
    <row r="79" spans="1:13" s="4854" customFormat="1">
      <c r="A79" s="5782"/>
      <c r="B79" s="5775"/>
      <c r="C79" s="5031" t="s">
        <v>39</v>
      </c>
      <c r="D79" s="5015">
        <v>322</v>
      </c>
      <c r="E79" s="5015">
        <v>131</v>
      </c>
      <c r="F79" s="5034">
        <v>72</v>
      </c>
      <c r="G79" s="5032">
        <f t="shared" si="1"/>
        <v>54.961832061068705</v>
      </c>
      <c r="H79" s="5035">
        <v>0.69230769230769229</v>
      </c>
      <c r="I79" s="5035">
        <v>0.30769230769230771</v>
      </c>
      <c r="J79" s="5037">
        <v>0.16666666666666663</v>
      </c>
      <c r="K79" s="5037">
        <v>0.30555555555555558</v>
      </c>
      <c r="L79" s="5037">
        <v>0.36111111111111105</v>
      </c>
      <c r="M79" s="5037">
        <v>0.16666666666666663</v>
      </c>
    </row>
    <row r="80" spans="1:13" s="4854" customFormat="1">
      <c r="A80" s="5782"/>
      <c r="B80" s="5775"/>
      <c r="C80" s="5031" t="s">
        <v>40</v>
      </c>
      <c r="D80" s="5015">
        <v>46</v>
      </c>
      <c r="E80" s="5015">
        <v>46</v>
      </c>
      <c r="F80" s="5034">
        <v>9</v>
      </c>
      <c r="G80" s="5032">
        <f t="shared" si="1"/>
        <v>19.565217391304348</v>
      </c>
      <c r="H80" s="5035">
        <v>0.75</v>
      </c>
      <c r="I80" s="5035">
        <v>0.25</v>
      </c>
      <c r="J80" s="5036">
        <v>0</v>
      </c>
      <c r="K80" s="5037">
        <v>0.66666666666666652</v>
      </c>
      <c r="L80" s="5037">
        <v>0</v>
      </c>
      <c r="M80" s="5037">
        <v>0.33333333333333326</v>
      </c>
    </row>
    <row r="81" spans="1:13" s="4854" customFormat="1">
      <c r="A81" s="5782"/>
      <c r="B81" s="5775" t="s">
        <v>2436</v>
      </c>
      <c r="C81" s="5031" t="s">
        <v>42</v>
      </c>
      <c r="D81" s="5015">
        <v>290</v>
      </c>
      <c r="E81" s="5015">
        <v>139</v>
      </c>
      <c r="F81" s="5034">
        <v>61</v>
      </c>
      <c r="G81" s="5032">
        <f t="shared" si="1"/>
        <v>43.884892086330936</v>
      </c>
      <c r="H81" s="5035">
        <v>0.44</v>
      </c>
      <c r="I81" s="5035">
        <v>0.56000000000000005</v>
      </c>
      <c r="J81" s="5037">
        <v>0.19047619047619047</v>
      </c>
      <c r="K81" s="5037">
        <v>0.2857142857142857</v>
      </c>
      <c r="L81" s="5037">
        <v>0.2857142857142857</v>
      </c>
      <c r="M81" s="5037">
        <v>0.23809523809523805</v>
      </c>
    </row>
    <row r="82" spans="1:13" s="4854" customFormat="1">
      <c r="A82" s="5782"/>
      <c r="B82" s="5775"/>
      <c r="C82" s="5031" t="s">
        <v>43</v>
      </c>
      <c r="D82" s="5015">
        <v>193</v>
      </c>
      <c r="E82" s="5015">
        <v>91</v>
      </c>
      <c r="F82" s="5034">
        <v>40</v>
      </c>
      <c r="G82" s="5032">
        <f t="shared" si="1"/>
        <v>43.956043956043956</v>
      </c>
      <c r="H82" s="5035">
        <v>0.29032258064516131</v>
      </c>
      <c r="I82" s="5035">
        <v>0.70967741935483875</v>
      </c>
      <c r="J82" s="5037">
        <v>0.22222222222222221</v>
      </c>
      <c r="K82" s="5037">
        <v>0.33333333333333326</v>
      </c>
      <c r="L82" s="5037">
        <v>0.1111111111111111</v>
      </c>
      <c r="M82" s="5037">
        <v>0.33333333333333326</v>
      </c>
    </row>
    <row r="83" spans="1:13" s="4854" customFormat="1">
      <c r="A83" s="5782"/>
      <c r="B83" s="5775"/>
      <c r="C83" s="5031" t="s">
        <v>44</v>
      </c>
      <c r="D83" s="5015">
        <v>146</v>
      </c>
      <c r="E83" s="5015">
        <v>69</v>
      </c>
      <c r="F83" s="5034">
        <v>32</v>
      </c>
      <c r="G83" s="5032">
        <f t="shared" si="1"/>
        <v>46.376811594202898</v>
      </c>
      <c r="H83" s="5035">
        <v>0.5</v>
      </c>
      <c r="I83" s="5035">
        <v>0.5</v>
      </c>
      <c r="J83" s="5037">
        <v>0</v>
      </c>
      <c r="K83" s="5037">
        <v>0.41666666666666674</v>
      </c>
      <c r="L83" s="5037">
        <v>0.33333333333333326</v>
      </c>
      <c r="M83" s="5037">
        <v>0.25</v>
      </c>
    </row>
    <row r="84" spans="1:13" s="4854" customFormat="1">
      <c r="A84" s="5782"/>
      <c r="B84" s="5775"/>
      <c r="C84" s="5031" t="s">
        <v>45</v>
      </c>
      <c r="D84" s="5015">
        <v>102</v>
      </c>
      <c r="E84" s="5015">
        <v>73</v>
      </c>
      <c r="F84" s="5034">
        <v>21</v>
      </c>
      <c r="G84" s="5032">
        <f t="shared" si="1"/>
        <v>28.767123287671232</v>
      </c>
      <c r="H84" s="5035">
        <v>0.7</v>
      </c>
      <c r="I84" s="5035">
        <v>0.3</v>
      </c>
      <c r="J84" s="5037">
        <v>0.2857142857142857</v>
      </c>
      <c r="K84" s="5037">
        <v>0.2857142857142857</v>
      </c>
      <c r="L84" s="5037">
        <v>0.14285714285714285</v>
      </c>
      <c r="M84" s="5037">
        <v>0.2857142857142857</v>
      </c>
    </row>
    <row r="85" spans="1:13" s="4854" customFormat="1">
      <c r="A85" s="5782"/>
      <c r="B85" s="5775"/>
      <c r="C85" s="5031" t="s">
        <v>270</v>
      </c>
      <c r="D85" s="5015">
        <v>284</v>
      </c>
      <c r="E85" s="5015">
        <v>135</v>
      </c>
      <c r="F85" s="5034">
        <v>54</v>
      </c>
      <c r="G85" s="5032">
        <f t="shared" si="1"/>
        <v>40</v>
      </c>
      <c r="H85" s="5035">
        <v>0.75</v>
      </c>
      <c r="I85" s="5035">
        <v>0.25</v>
      </c>
      <c r="J85" s="5037">
        <v>0.16666666666666663</v>
      </c>
      <c r="K85" s="5037">
        <v>0.2</v>
      </c>
      <c r="L85" s="5037">
        <v>0.53333333333333333</v>
      </c>
      <c r="M85" s="5037">
        <v>0.1</v>
      </c>
    </row>
    <row r="86" spans="1:13" s="4854" customFormat="1">
      <c r="A86" s="5782"/>
      <c r="B86" s="5775"/>
      <c r="C86" s="5031" t="s">
        <v>271</v>
      </c>
      <c r="D86" s="5015">
        <v>258</v>
      </c>
      <c r="E86" s="5015">
        <v>123</v>
      </c>
      <c r="F86" s="5034">
        <v>57</v>
      </c>
      <c r="G86" s="5032">
        <f t="shared" si="1"/>
        <v>46.341463414634148</v>
      </c>
      <c r="H86" s="5035">
        <v>0.75</v>
      </c>
      <c r="I86" s="5035">
        <v>0.25</v>
      </c>
      <c r="J86" s="5037">
        <v>0.15151515151515152</v>
      </c>
      <c r="K86" s="5037">
        <v>0.12121212121212122</v>
      </c>
      <c r="L86" s="5037">
        <v>0.24242424242424243</v>
      </c>
      <c r="M86" s="5037">
        <v>0.48484848484848486</v>
      </c>
    </row>
    <row r="87" spans="1:13" s="4854" customFormat="1">
      <c r="A87" s="5777" t="s">
        <v>48</v>
      </c>
      <c r="B87" s="5775" t="s">
        <v>2434</v>
      </c>
      <c r="C87" s="5031" t="s">
        <v>17</v>
      </c>
      <c r="D87" s="5015">
        <v>376</v>
      </c>
      <c r="E87" s="5015">
        <v>117</v>
      </c>
      <c r="F87" s="5034">
        <v>60</v>
      </c>
      <c r="G87" s="5032">
        <f t="shared" si="1"/>
        <v>51.282051282051285</v>
      </c>
      <c r="H87" s="5035">
        <v>0.91428571428571426</v>
      </c>
      <c r="I87" s="5035">
        <v>8.5714285714285715E-2</v>
      </c>
      <c r="J87" s="5037">
        <v>0</v>
      </c>
      <c r="K87" s="5037">
        <v>9.375E-2</v>
      </c>
      <c r="L87" s="5037">
        <v>0.59375</v>
      </c>
      <c r="M87" s="5037">
        <v>0.3125</v>
      </c>
    </row>
    <row r="88" spans="1:13" s="4854" customFormat="1">
      <c r="A88" s="5777"/>
      <c r="B88" s="5775"/>
      <c r="C88" s="5031" t="s">
        <v>49</v>
      </c>
      <c r="D88" s="5015">
        <v>513</v>
      </c>
      <c r="E88" s="5015">
        <v>161</v>
      </c>
      <c r="F88" s="5034">
        <v>96</v>
      </c>
      <c r="G88" s="5032">
        <f t="shared" si="1"/>
        <v>59.627329192546583</v>
      </c>
      <c r="H88" s="5035">
        <v>0.73333333333333328</v>
      </c>
      <c r="I88" s="5035">
        <v>0.26666666666666666</v>
      </c>
      <c r="J88" s="5037">
        <v>2.3255813953488372E-2</v>
      </c>
      <c r="K88" s="5037">
        <v>0.11627906976744186</v>
      </c>
      <c r="L88" s="5037">
        <v>0.32558139534883723</v>
      </c>
      <c r="M88" s="5037">
        <v>0.53488372093023251</v>
      </c>
    </row>
    <row r="89" spans="1:13" s="4854" customFormat="1">
      <c r="A89" s="5777"/>
      <c r="B89" s="5775"/>
      <c r="C89" s="5031" t="s">
        <v>19</v>
      </c>
      <c r="D89" s="5015">
        <v>306</v>
      </c>
      <c r="E89" s="5015">
        <v>95</v>
      </c>
      <c r="F89" s="5034">
        <v>55</v>
      </c>
      <c r="G89" s="5032">
        <f t="shared" si="1"/>
        <v>57.89473684210526</v>
      </c>
      <c r="H89" s="5035">
        <v>0.6875</v>
      </c>
      <c r="I89" s="5035">
        <v>0.3125</v>
      </c>
      <c r="J89" s="5037">
        <v>4.5454545454545456E-2</v>
      </c>
      <c r="K89" s="5037">
        <v>0.18181818181818182</v>
      </c>
      <c r="L89" s="5037">
        <v>0.63636363636363635</v>
      </c>
      <c r="M89" s="5037">
        <v>0.13636363636363635</v>
      </c>
    </row>
    <row r="90" spans="1:13" s="4854" customFormat="1">
      <c r="A90" s="5777"/>
      <c r="B90" s="5775"/>
      <c r="C90" s="5031" t="s">
        <v>50</v>
      </c>
      <c r="D90" s="5015">
        <v>848</v>
      </c>
      <c r="E90" s="5015">
        <v>266</v>
      </c>
      <c r="F90" s="5034">
        <v>169</v>
      </c>
      <c r="G90" s="5032">
        <f t="shared" si="1"/>
        <v>63.533834586466163</v>
      </c>
      <c r="H90" s="5035">
        <v>0.65625</v>
      </c>
      <c r="I90" s="5035">
        <v>0.34375</v>
      </c>
      <c r="J90" s="5037">
        <v>6.3492063492063489E-2</v>
      </c>
      <c r="K90" s="5037">
        <v>0.23809523809523805</v>
      </c>
      <c r="L90" s="5037">
        <v>0.38095238095238093</v>
      </c>
      <c r="M90" s="5037">
        <v>0.31746031746031744</v>
      </c>
    </row>
    <row r="91" spans="1:13" s="4854" customFormat="1">
      <c r="A91" s="5777"/>
      <c r="B91" s="5775"/>
      <c r="C91" s="5031" t="s">
        <v>20</v>
      </c>
      <c r="D91" s="5015">
        <v>363</v>
      </c>
      <c r="E91" s="5015">
        <v>114</v>
      </c>
      <c r="F91" s="5034">
        <v>76</v>
      </c>
      <c r="G91" s="5032">
        <f t="shared" si="1"/>
        <v>66.666666666666671</v>
      </c>
      <c r="H91" s="5035">
        <v>0.57446808510638303</v>
      </c>
      <c r="I91" s="5035">
        <v>0.42553191489361702</v>
      </c>
      <c r="J91" s="5037">
        <v>0.15384615384615385</v>
      </c>
      <c r="K91" s="5037">
        <v>0.15384615384615385</v>
      </c>
      <c r="L91" s="5037">
        <v>0.61538461538461542</v>
      </c>
      <c r="M91" s="5037">
        <v>7.6923076923076927E-2</v>
      </c>
    </row>
    <row r="92" spans="1:13" s="4854" customFormat="1">
      <c r="A92" s="5777"/>
      <c r="B92" s="5775"/>
      <c r="C92" s="5031" t="s">
        <v>51</v>
      </c>
      <c r="D92" s="5015">
        <v>122</v>
      </c>
      <c r="E92" s="5015">
        <v>39</v>
      </c>
      <c r="F92" s="5034">
        <v>35</v>
      </c>
      <c r="G92" s="5032">
        <f t="shared" si="1"/>
        <v>89.743589743589737</v>
      </c>
      <c r="H92" s="5035">
        <v>0.6428571428571429</v>
      </c>
      <c r="I92" s="5035">
        <v>0.35714285714285715</v>
      </c>
      <c r="J92" s="5037">
        <v>0</v>
      </c>
      <c r="K92" s="5037">
        <v>0.1111111111111111</v>
      </c>
      <c r="L92" s="5037">
        <v>0.66666666666666652</v>
      </c>
      <c r="M92" s="5037">
        <v>0.22222222222222221</v>
      </c>
    </row>
    <row r="93" spans="1:13" s="4854" customFormat="1">
      <c r="A93" s="5777"/>
      <c r="B93" s="5775" t="s">
        <v>2436</v>
      </c>
      <c r="C93" s="5031" t="s">
        <v>42</v>
      </c>
      <c r="D93" s="5015">
        <v>407</v>
      </c>
      <c r="E93" s="5015">
        <v>105</v>
      </c>
      <c r="F93" s="5034">
        <v>85</v>
      </c>
      <c r="G93" s="5032">
        <f t="shared" si="1"/>
        <v>80.952380952380949</v>
      </c>
      <c r="H93" s="5035">
        <v>0.4375</v>
      </c>
      <c r="I93" s="5035">
        <v>0.5625</v>
      </c>
      <c r="J93" s="5037">
        <v>0.05</v>
      </c>
      <c r="K93" s="5037">
        <v>0.1</v>
      </c>
      <c r="L93" s="5037">
        <v>0.5</v>
      </c>
      <c r="M93" s="5037">
        <v>0.35</v>
      </c>
    </row>
    <row r="94" spans="1:13" s="4854" customFormat="1">
      <c r="A94" s="5777"/>
      <c r="B94" s="5775"/>
      <c r="C94" s="5031" t="s">
        <v>52</v>
      </c>
      <c r="D94" s="5015">
        <v>302</v>
      </c>
      <c r="E94" s="5015">
        <v>78</v>
      </c>
      <c r="F94" s="5034">
        <v>60</v>
      </c>
      <c r="G94" s="5032">
        <f t="shared" si="1"/>
        <v>76.92307692307692</v>
      </c>
      <c r="H94" s="5035">
        <v>0.53333333333333333</v>
      </c>
      <c r="I94" s="5035">
        <v>0.46666666666666662</v>
      </c>
      <c r="J94" s="5037">
        <v>7.1428571428571425E-2</v>
      </c>
      <c r="K94" s="5036">
        <v>0</v>
      </c>
      <c r="L94" s="5037">
        <v>0.5</v>
      </c>
      <c r="M94" s="5037">
        <v>0.42857142857142855</v>
      </c>
    </row>
    <row r="95" spans="1:13" s="4854" customFormat="1">
      <c r="A95" s="5777"/>
      <c r="B95" s="5775"/>
      <c r="C95" s="5031" t="s">
        <v>53</v>
      </c>
      <c r="D95" s="5015">
        <v>471</v>
      </c>
      <c r="E95" s="5015">
        <v>121</v>
      </c>
      <c r="F95" s="5034">
        <v>77</v>
      </c>
      <c r="G95" s="5032">
        <f t="shared" si="1"/>
        <v>63.636363636363633</v>
      </c>
      <c r="H95" s="5035">
        <v>0.63636363636363635</v>
      </c>
      <c r="I95" s="5035">
        <v>0.36363636363636365</v>
      </c>
      <c r="J95" s="5037">
        <v>7.6923076923076927E-2</v>
      </c>
      <c r="K95" s="5037">
        <v>0.11538461538461538</v>
      </c>
      <c r="L95" s="5037">
        <v>0.23076923076923075</v>
      </c>
      <c r="M95" s="5037">
        <v>0.57692307692307687</v>
      </c>
    </row>
    <row r="96" spans="1:13" s="4854" customFormat="1">
      <c r="A96" s="5777"/>
      <c r="B96" s="5775"/>
      <c r="C96" s="5031" t="s">
        <v>54</v>
      </c>
      <c r="D96" s="5015">
        <v>533</v>
      </c>
      <c r="E96" s="5015">
        <v>137</v>
      </c>
      <c r="F96" s="5034">
        <v>74</v>
      </c>
      <c r="G96" s="5032">
        <f t="shared" si="1"/>
        <v>54.014598540145982</v>
      </c>
      <c r="H96" s="5035">
        <v>0.6097560975609756</v>
      </c>
      <c r="I96" s="5035">
        <v>0.3902439024390244</v>
      </c>
      <c r="J96" s="5037">
        <v>0.04</v>
      </c>
      <c r="K96" s="5037">
        <v>0.12</v>
      </c>
      <c r="L96" s="5037">
        <v>0.28000000000000003</v>
      </c>
      <c r="M96" s="5037">
        <v>0.56000000000000005</v>
      </c>
    </row>
    <row r="97" spans="1:13" s="4854" customFormat="1">
      <c r="A97" s="5777"/>
      <c r="B97" s="5775"/>
      <c r="C97" s="5031" t="s">
        <v>3017</v>
      </c>
      <c r="D97" s="5015">
        <v>450</v>
      </c>
      <c r="E97" s="5015">
        <v>116</v>
      </c>
      <c r="F97" s="5034">
        <v>78</v>
      </c>
      <c r="G97" s="5032">
        <f t="shared" si="1"/>
        <v>67.241379310344826</v>
      </c>
      <c r="H97" s="5035">
        <v>0.73913043478260865</v>
      </c>
      <c r="I97" s="5035">
        <v>0.2608695652173913</v>
      </c>
      <c r="J97" s="5037">
        <v>3.0303030303030304E-2</v>
      </c>
      <c r="K97" s="5037">
        <v>0.15151515151515152</v>
      </c>
      <c r="L97" s="5037">
        <v>0.2121212121212121</v>
      </c>
      <c r="M97" s="5037">
        <v>0.60606060606060608</v>
      </c>
    </row>
    <row r="98" spans="1:13" s="4854" customFormat="1">
      <c r="A98" s="5777"/>
      <c r="B98" s="5775"/>
      <c r="C98" s="5031" t="s">
        <v>56</v>
      </c>
      <c r="D98" s="5015">
        <v>340</v>
      </c>
      <c r="E98" s="5015">
        <v>87</v>
      </c>
      <c r="F98" s="5034">
        <v>52</v>
      </c>
      <c r="G98" s="5032">
        <f t="shared" ref="G98:G109" si="2">F98*100/E98</f>
        <v>59.770114942528735</v>
      </c>
      <c r="H98" s="5035">
        <v>0.6333333333333333</v>
      </c>
      <c r="I98" s="5035">
        <v>0.36666666666666664</v>
      </c>
      <c r="J98" s="5037">
        <v>0.21052631578947367</v>
      </c>
      <c r="K98" s="5037">
        <v>0.21052631578947367</v>
      </c>
      <c r="L98" s="5037">
        <v>0.26315789473684209</v>
      </c>
      <c r="M98" s="5037">
        <v>0.31578947368421051</v>
      </c>
    </row>
    <row r="99" spans="1:13" s="4854" customFormat="1">
      <c r="A99" s="5777"/>
      <c r="B99" s="5775"/>
      <c r="C99" s="5031" t="s">
        <v>259</v>
      </c>
      <c r="D99" s="5015">
        <v>450</v>
      </c>
      <c r="E99" s="5015">
        <v>116</v>
      </c>
      <c r="F99" s="5034">
        <v>76</v>
      </c>
      <c r="G99" s="5032">
        <f t="shared" si="2"/>
        <v>65.517241379310349</v>
      </c>
      <c r="H99" s="5035">
        <v>0.5641025641025641</v>
      </c>
      <c r="I99" s="5035">
        <v>0.4358974358974359</v>
      </c>
      <c r="J99" s="5037">
        <v>9.0909090909090912E-2</v>
      </c>
      <c r="K99" s="5037">
        <v>4.5454545454545456E-2</v>
      </c>
      <c r="L99" s="5037">
        <v>9.0909090909090912E-2</v>
      </c>
      <c r="M99" s="5037">
        <v>0.77272727272727271</v>
      </c>
    </row>
    <row r="100" spans="1:13" s="4854" customFormat="1">
      <c r="A100" s="5777"/>
      <c r="B100" s="5775"/>
      <c r="C100" s="5031" t="s">
        <v>272</v>
      </c>
      <c r="D100" s="5015">
        <v>367</v>
      </c>
      <c r="E100" s="5015">
        <v>95</v>
      </c>
      <c r="F100" s="5034">
        <v>69</v>
      </c>
      <c r="G100" s="5032">
        <f t="shared" si="2"/>
        <v>72.631578947368425</v>
      </c>
      <c r="H100" s="5035">
        <v>0.67500000000000004</v>
      </c>
      <c r="I100" s="5035">
        <v>0.32500000000000001</v>
      </c>
      <c r="J100" s="5037">
        <v>0.12</v>
      </c>
      <c r="K100" s="5037">
        <v>0.24</v>
      </c>
      <c r="L100" s="5037">
        <v>0.16</v>
      </c>
      <c r="M100" s="5037">
        <v>0.48</v>
      </c>
    </row>
    <row r="101" spans="1:13" s="4854" customFormat="1">
      <c r="A101" s="5777"/>
      <c r="B101" s="5775" t="s">
        <v>2435</v>
      </c>
      <c r="C101" s="5031" t="s">
        <v>22</v>
      </c>
      <c r="D101" s="5015">
        <v>514</v>
      </c>
      <c r="E101" s="5015">
        <v>242</v>
      </c>
      <c r="F101" s="5034">
        <v>103</v>
      </c>
      <c r="G101" s="5032">
        <f t="shared" si="2"/>
        <v>42.561983471074377</v>
      </c>
      <c r="H101" s="5035">
        <v>0.7777777777777779</v>
      </c>
      <c r="I101" s="5035">
        <v>0.22222222222222221</v>
      </c>
      <c r="J101" s="5036">
        <v>0</v>
      </c>
      <c r="K101" s="5037">
        <v>8.1632653061224497E-2</v>
      </c>
      <c r="L101" s="5037">
        <v>0.38775510204081631</v>
      </c>
      <c r="M101" s="5037">
        <v>0.53061224489795922</v>
      </c>
    </row>
    <row r="102" spans="1:13" s="4854" customFormat="1">
      <c r="A102" s="5777"/>
      <c r="B102" s="5775"/>
      <c r="C102" s="5031" t="s">
        <v>23</v>
      </c>
      <c r="D102" s="5015">
        <v>316</v>
      </c>
      <c r="E102" s="5015">
        <v>149</v>
      </c>
      <c r="F102" s="5034">
        <v>81</v>
      </c>
      <c r="G102" s="5032">
        <f t="shared" si="2"/>
        <v>54.36241610738255</v>
      </c>
      <c r="H102" s="5035">
        <v>0.73684210526315785</v>
      </c>
      <c r="I102" s="5035">
        <v>0.26315789473684209</v>
      </c>
      <c r="J102" s="5037">
        <v>2.4390243902439025E-2</v>
      </c>
      <c r="K102" s="5037">
        <v>2.4390243902439025E-2</v>
      </c>
      <c r="L102" s="5037">
        <v>0.34146341463414637</v>
      </c>
      <c r="M102" s="5037">
        <v>0.6097560975609756</v>
      </c>
    </row>
    <row r="103" spans="1:13" s="4854" customFormat="1">
      <c r="A103" s="5777"/>
      <c r="B103" s="5775"/>
      <c r="C103" s="5031" t="s">
        <v>24</v>
      </c>
      <c r="D103" s="5015">
        <v>247</v>
      </c>
      <c r="E103" s="5015">
        <v>116</v>
      </c>
      <c r="F103" s="5034">
        <v>57</v>
      </c>
      <c r="G103" s="5032">
        <f t="shared" si="2"/>
        <v>49.137931034482762</v>
      </c>
      <c r="H103" s="5035">
        <v>0.81395348837209303</v>
      </c>
      <c r="I103" s="5035">
        <v>0.18604651162790697</v>
      </c>
      <c r="J103" s="5037">
        <v>8.5714285714285715E-2</v>
      </c>
      <c r="K103" s="5037">
        <v>0.11428571428571428</v>
      </c>
      <c r="L103" s="5037">
        <v>0.37142857142857144</v>
      </c>
      <c r="M103" s="5037">
        <v>0.42857142857142855</v>
      </c>
    </row>
    <row r="104" spans="1:13" s="4854" customFormat="1">
      <c r="A104" s="5777"/>
      <c r="B104" s="5775"/>
      <c r="C104" s="5031" t="s">
        <v>58</v>
      </c>
      <c r="D104" s="5015">
        <v>219</v>
      </c>
      <c r="E104" s="5015">
        <v>104</v>
      </c>
      <c r="F104" s="5034">
        <v>55</v>
      </c>
      <c r="G104" s="5032">
        <f t="shared" si="2"/>
        <v>52.884615384615387</v>
      </c>
      <c r="H104" s="5035">
        <v>0.64864864864864868</v>
      </c>
      <c r="I104" s="5035">
        <v>0.35135135135135137</v>
      </c>
      <c r="J104" s="5037">
        <v>0.16666666666666663</v>
      </c>
      <c r="K104" s="5037">
        <v>0.125</v>
      </c>
      <c r="L104" s="5037">
        <v>0.41666666666666674</v>
      </c>
      <c r="M104" s="5037">
        <v>0.29166666666666669</v>
      </c>
    </row>
    <row r="105" spans="1:13" s="4854" customFormat="1" ht="34.200000000000003">
      <c r="A105" s="5777" t="s">
        <v>244</v>
      </c>
      <c r="B105" s="5038" t="s">
        <v>2439</v>
      </c>
      <c r="C105" s="5039" t="s">
        <v>2274</v>
      </c>
      <c r="D105" s="5015">
        <v>41</v>
      </c>
      <c r="E105" s="5015">
        <v>41</v>
      </c>
      <c r="F105" s="5015">
        <v>9</v>
      </c>
      <c r="G105" s="5032">
        <f t="shared" si="2"/>
        <v>21.951219512195124</v>
      </c>
      <c r="H105" s="5035">
        <v>0.6</v>
      </c>
      <c r="I105" s="5035">
        <v>0.4</v>
      </c>
      <c r="J105" s="5036">
        <v>0</v>
      </c>
      <c r="K105" s="5036">
        <v>0</v>
      </c>
      <c r="L105" s="5037">
        <v>0.66666666666666652</v>
      </c>
      <c r="M105" s="5037">
        <v>0.33333333333333326</v>
      </c>
    </row>
    <row r="106" spans="1:13" s="4854" customFormat="1">
      <c r="A106" s="5777"/>
      <c r="B106" s="5778" t="s">
        <v>2434</v>
      </c>
      <c r="C106" s="5039" t="s">
        <v>791</v>
      </c>
      <c r="D106" s="5015">
        <v>60</v>
      </c>
      <c r="E106" s="5015">
        <v>57</v>
      </c>
      <c r="F106" s="5015">
        <v>15</v>
      </c>
      <c r="G106" s="5032">
        <f t="shared" si="2"/>
        <v>26.315789473684209</v>
      </c>
      <c r="H106" s="5035">
        <v>0.63636363636363635</v>
      </c>
      <c r="I106" s="5035">
        <v>0.36363636363636365</v>
      </c>
      <c r="J106" s="5036">
        <v>0.14285714285714285</v>
      </c>
      <c r="K106" s="5036">
        <v>0.5714285714285714</v>
      </c>
      <c r="L106" s="5037">
        <v>0.14285714285714285</v>
      </c>
      <c r="M106" s="5037">
        <v>0.14285714285714285</v>
      </c>
    </row>
    <row r="107" spans="1:13" s="4854" customFormat="1">
      <c r="A107" s="5777"/>
      <c r="B107" s="5779"/>
      <c r="C107" s="5039" t="s">
        <v>551</v>
      </c>
      <c r="D107" s="5040">
        <v>6</v>
      </c>
      <c r="E107" s="5015">
        <v>6</v>
      </c>
      <c r="F107" s="5015">
        <v>0</v>
      </c>
      <c r="G107" s="5032">
        <f t="shared" si="2"/>
        <v>0</v>
      </c>
      <c r="H107" s="5035">
        <v>0</v>
      </c>
      <c r="I107" s="5035">
        <v>0</v>
      </c>
      <c r="J107" s="5037">
        <v>0</v>
      </c>
      <c r="K107" s="5037">
        <v>0</v>
      </c>
      <c r="L107" s="5037">
        <v>0</v>
      </c>
      <c r="M107" s="5037">
        <v>0</v>
      </c>
    </row>
    <row r="108" spans="1:13" s="4854" customFormat="1" ht="34.200000000000003">
      <c r="A108" s="5777"/>
      <c r="B108" s="5041" t="s">
        <v>2436</v>
      </c>
      <c r="C108" s="5039" t="s">
        <v>792</v>
      </c>
      <c r="D108" s="5015">
        <v>56</v>
      </c>
      <c r="E108" s="5015">
        <v>56</v>
      </c>
      <c r="F108" s="5015">
        <v>15</v>
      </c>
      <c r="G108" s="5032">
        <f t="shared" si="2"/>
        <v>26.785714285714285</v>
      </c>
      <c r="H108" s="5035">
        <v>0.69230769230769229</v>
      </c>
      <c r="I108" s="5035">
        <v>0.30769230769230771</v>
      </c>
      <c r="J108" s="5037">
        <v>0.22222222222222221</v>
      </c>
      <c r="K108" s="5037">
        <v>0.44444444444444442</v>
      </c>
      <c r="L108" s="5037">
        <v>0.22222222222222221</v>
      </c>
      <c r="M108" s="5037">
        <v>0.1111111111111111</v>
      </c>
    </row>
    <row r="109" spans="1:13" s="4854" customFormat="1">
      <c r="A109" s="5780" t="s">
        <v>15</v>
      </c>
      <c r="B109" s="5780"/>
      <c r="C109" s="5780"/>
      <c r="D109" s="5042">
        <f>SUM(D33:D108)</f>
        <v>16163</v>
      </c>
      <c r="E109" s="5010">
        <f>SUM(E33:E108)</f>
        <v>6959</v>
      </c>
      <c r="F109" s="5021">
        <f>SUM(F33:F108)</f>
        <v>3478</v>
      </c>
      <c r="G109" s="5043">
        <f t="shared" si="2"/>
        <v>49.978445178905012</v>
      </c>
      <c r="H109" s="5044">
        <v>0.7</v>
      </c>
      <c r="I109" s="5045">
        <v>0.3</v>
      </c>
      <c r="J109" s="5046">
        <v>7.6769025367156213E-2</v>
      </c>
      <c r="K109" s="5046">
        <v>0.14619492656875835</v>
      </c>
      <c r="L109" s="5046">
        <v>0.36715620827770368</v>
      </c>
      <c r="M109" s="5046">
        <v>0.40987983978638182</v>
      </c>
    </row>
    <row r="110" spans="1:13" s="4854" customFormat="1">
      <c r="A110" s="27"/>
      <c r="B110" s="27"/>
      <c r="C110" s="27"/>
      <c r="D110" s="27"/>
      <c r="E110" s="2201"/>
      <c r="F110" s="2201"/>
      <c r="G110" s="2201"/>
      <c r="H110" s="27"/>
      <c r="I110" s="27"/>
      <c r="J110" s="27"/>
      <c r="K110" s="27"/>
      <c r="L110" s="27"/>
      <c r="M110" s="27"/>
    </row>
    <row r="111" spans="1:13" s="4854" customFormat="1">
      <c r="A111" s="27"/>
      <c r="B111" s="27"/>
      <c r="C111" s="27"/>
      <c r="D111" s="27"/>
      <c r="E111" s="2201"/>
      <c r="F111" s="2201"/>
      <c r="G111" s="2201"/>
      <c r="H111" s="27"/>
      <c r="I111" s="27"/>
      <c r="J111" s="27"/>
      <c r="K111" s="27"/>
      <c r="L111" s="27"/>
      <c r="M111" s="27"/>
    </row>
    <row r="112" spans="1:13" s="4259" customFormat="1" ht="17.399999999999999">
      <c r="A112" s="27"/>
      <c r="B112" s="27"/>
      <c r="C112" s="3043">
        <v>2019</v>
      </c>
      <c r="D112" s="27"/>
      <c r="E112" s="2201"/>
      <c r="F112" s="2201"/>
      <c r="G112" s="2201"/>
      <c r="H112" s="27"/>
      <c r="I112" s="27"/>
      <c r="J112" s="27"/>
      <c r="K112" s="27"/>
      <c r="L112" s="27"/>
      <c r="M112" s="27"/>
    </row>
    <row r="113" spans="1:13" s="4259" customFormat="1">
      <c r="A113" s="5749" t="s">
        <v>2906</v>
      </c>
      <c r="B113" s="5749"/>
      <c r="C113" s="5749"/>
      <c r="D113" s="5749"/>
      <c r="E113" s="5749"/>
      <c r="F113" s="5749"/>
      <c r="G113" s="5749"/>
      <c r="H113" s="5749"/>
      <c r="I113" s="5749"/>
      <c r="J113" s="5749"/>
      <c r="K113" s="5749"/>
      <c r="L113" s="27"/>
      <c r="M113" s="27"/>
    </row>
    <row r="114" spans="1:13" s="4259" customFormat="1">
      <c r="A114" s="5749"/>
      <c r="B114" s="5749"/>
      <c r="C114" s="5749"/>
      <c r="D114" s="5749"/>
      <c r="E114" s="5749"/>
      <c r="F114" s="5749"/>
      <c r="G114" s="5749"/>
      <c r="H114" s="5749"/>
      <c r="I114" s="5749"/>
      <c r="J114" s="5749"/>
      <c r="K114" s="5749"/>
      <c r="L114" s="27"/>
      <c r="M114" s="27"/>
    </row>
    <row r="115" spans="1:13" s="4259" customFormat="1">
      <c r="A115" s="5749"/>
      <c r="B115" s="5749"/>
      <c r="C115" s="5749"/>
      <c r="D115" s="5749"/>
      <c r="E115" s="5749"/>
      <c r="F115" s="5749"/>
      <c r="G115" s="5749"/>
      <c r="H115" s="5749"/>
      <c r="I115" s="5749"/>
      <c r="J115" s="5749"/>
      <c r="K115" s="5749"/>
      <c r="L115" s="27"/>
      <c r="M115" s="27"/>
    </row>
    <row r="116" spans="1:13" s="4259" customFormat="1">
      <c r="A116" s="4266"/>
      <c r="B116" s="4266"/>
      <c r="C116" s="4266"/>
      <c r="D116" s="4266"/>
      <c r="E116" s="4266"/>
      <c r="F116" s="4266"/>
      <c r="G116" s="4266"/>
      <c r="H116" s="4266"/>
      <c r="I116" s="27"/>
      <c r="J116" s="27"/>
      <c r="K116" s="27"/>
      <c r="L116" s="27"/>
      <c r="M116" s="27"/>
    </row>
    <row r="117" spans="1:13" s="4259" customFormat="1">
      <c r="A117" s="5750" t="s">
        <v>2625</v>
      </c>
      <c r="B117" s="5750"/>
      <c r="C117" s="2202"/>
      <c r="D117" s="2202"/>
      <c r="E117" s="2202"/>
      <c r="F117" s="2202"/>
      <c r="G117" s="2202"/>
      <c r="H117" s="2202"/>
      <c r="I117" s="2203"/>
      <c r="J117" s="2203"/>
      <c r="K117" s="2203"/>
      <c r="L117" s="2203"/>
      <c r="M117" s="2203"/>
    </row>
    <row r="118" spans="1:13" s="4259" customFormat="1">
      <c r="A118" s="2202"/>
      <c r="B118" s="2202"/>
      <c r="C118" s="2202"/>
      <c r="D118" s="2202"/>
      <c r="E118" s="4267"/>
      <c r="F118" s="4267"/>
      <c r="G118" s="2202"/>
      <c r="H118" s="2202"/>
      <c r="I118" s="2203"/>
      <c r="J118" s="2203"/>
      <c r="K118" s="2203"/>
      <c r="L118" s="2203"/>
      <c r="M118" s="2203"/>
    </row>
    <row r="119" spans="1:13" s="4259" customFormat="1">
      <c r="A119" s="4268" t="s">
        <v>2626</v>
      </c>
      <c r="B119" s="4269">
        <v>2012</v>
      </c>
      <c r="C119" s="4269">
        <v>2016</v>
      </c>
      <c r="D119" s="4268" t="s">
        <v>15</v>
      </c>
      <c r="F119" s="4267"/>
      <c r="G119" s="2203"/>
      <c r="H119" s="2202"/>
      <c r="I119" s="2203"/>
      <c r="J119" s="2203"/>
      <c r="K119" s="2203"/>
      <c r="L119" s="2203"/>
      <c r="M119" s="2203"/>
    </row>
    <row r="120" spans="1:13" s="4259" customFormat="1">
      <c r="A120" s="4268" t="s">
        <v>2105</v>
      </c>
      <c r="B120" s="4270">
        <v>2018</v>
      </c>
      <c r="C120" s="4270">
        <v>2365</v>
      </c>
      <c r="D120" s="4268">
        <v>4383</v>
      </c>
      <c r="F120" s="4267"/>
      <c r="G120" s="2203"/>
      <c r="H120" s="2202"/>
      <c r="I120" s="2203"/>
      <c r="J120" s="2203"/>
      <c r="K120" s="2203"/>
      <c r="L120" s="2203"/>
      <c r="M120" s="2203"/>
    </row>
    <row r="121" spans="1:13" s="4259" customFormat="1">
      <c r="A121" s="2202"/>
      <c r="B121" s="2202"/>
      <c r="C121" s="2202"/>
      <c r="D121" s="2202"/>
      <c r="E121" s="4267"/>
      <c r="F121" s="4267"/>
      <c r="G121" s="2202"/>
      <c r="H121" s="2202"/>
      <c r="I121" s="2203"/>
      <c r="J121" s="2203"/>
      <c r="K121" s="2203"/>
      <c r="L121" s="2203"/>
      <c r="M121" s="2203"/>
    </row>
    <row r="122" spans="1:13" s="4259" customFormat="1">
      <c r="A122" s="5749" t="s">
        <v>2907</v>
      </c>
      <c r="B122" s="5749"/>
      <c r="C122" s="5749"/>
      <c r="D122" s="5749"/>
      <c r="E122" s="5749"/>
      <c r="F122" s="5749"/>
      <c r="G122" s="5749"/>
      <c r="H122" s="5749"/>
      <c r="I122" s="5749"/>
      <c r="J122" s="2203"/>
      <c r="K122" s="2203"/>
      <c r="L122" s="2203"/>
      <c r="M122" s="2203"/>
    </row>
    <row r="123" spans="1:13" s="4259" customFormat="1">
      <c r="A123" s="5749"/>
      <c r="B123" s="5749"/>
      <c r="C123" s="5749"/>
      <c r="D123" s="5749"/>
      <c r="E123" s="5749"/>
      <c r="F123" s="5749"/>
      <c r="G123" s="5749"/>
      <c r="H123" s="5749"/>
      <c r="I123" s="5749"/>
      <c r="J123" s="2203"/>
      <c r="K123" s="2203"/>
      <c r="L123" s="2203"/>
      <c r="M123" s="2203"/>
    </row>
    <row r="124" spans="1:13" s="4259" customFormat="1">
      <c r="A124" s="2202"/>
      <c r="B124" s="2202"/>
      <c r="C124" s="2202"/>
      <c r="D124" s="2202"/>
      <c r="E124" s="2202"/>
      <c r="F124" s="2202"/>
      <c r="G124" s="2202"/>
      <c r="H124" s="2202"/>
      <c r="I124" s="2203"/>
      <c r="J124" s="2203"/>
      <c r="K124" s="2203"/>
      <c r="L124" s="2203"/>
      <c r="M124" s="2203"/>
    </row>
    <row r="125" spans="1:13" s="4259" customFormat="1">
      <c r="A125" s="2211" t="s">
        <v>2429</v>
      </c>
      <c r="B125" s="2203"/>
      <c r="C125" s="2203"/>
      <c r="D125" s="2203"/>
      <c r="E125" s="2203"/>
      <c r="F125" s="2203"/>
      <c r="G125" s="2203"/>
      <c r="H125" s="2203"/>
      <c r="I125" s="2203"/>
      <c r="J125" s="2203"/>
      <c r="K125" s="2203"/>
      <c r="L125" s="2203"/>
      <c r="M125" s="2203"/>
    </row>
    <row r="126" spans="1:13" s="4259" customFormat="1" ht="27.75" customHeight="1">
      <c r="A126" s="2203"/>
      <c r="B126" s="2203"/>
      <c r="C126" s="2203"/>
      <c r="D126" s="2203"/>
      <c r="E126" s="2203"/>
      <c r="F126" s="5751" t="s">
        <v>2430</v>
      </c>
      <c r="G126" s="5751"/>
      <c r="H126" s="5752" t="s">
        <v>2431</v>
      </c>
      <c r="I126" s="5753"/>
      <c r="J126" s="5753"/>
      <c r="K126" s="5754"/>
      <c r="L126" s="2203"/>
      <c r="M126" s="2203"/>
    </row>
    <row r="127" spans="1:13" s="4259" customFormat="1" ht="24">
      <c r="A127" s="4359" t="s">
        <v>0</v>
      </c>
      <c r="B127" s="4359" t="s">
        <v>2099</v>
      </c>
      <c r="C127" s="4359" t="s">
        <v>2100</v>
      </c>
      <c r="D127" s="4359" t="s">
        <v>2105</v>
      </c>
      <c r="E127" s="4386" t="s">
        <v>2432</v>
      </c>
      <c r="F127" s="4289" t="s">
        <v>1038</v>
      </c>
      <c r="G127" s="4359" t="s">
        <v>1039</v>
      </c>
      <c r="H127" s="4360" t="s">
        <v>1607</v>
      </c>
      <c r="I127" s="4360" t="s">
        <v>1608</v>
      </c>
      <c r="J127" s="4361" t="s">
        <v>1609</v>
      </c>
      <c r="K127" s="4360" t="s">
        <v>1610</v>
      </c>
      <c r="L127" s="2203"/>
      <c r="M127" s="2203"/>
    </row>
    <row r="128" spans="1:13" s="4259" customFormat="1">
      <c r="A128" s="4271" t="s">
        <v>3</v>
      </c>
      <c r="B128" s="3042">
        <v>2802</v>
      </c>
      <c r="C128" s="4272">
        <v>1301</v>
      </c>
      <c r="D128" s="3042">
        <v>1301</v>
      </c>
      <c r="E128" s="4273">
        <f t="shared" ref="E128:E133" si="3">D128*100/C128</f>
        <v>100</v>
      </c>
      <c r="F128" s="4274">
        <v>0.78800000000000003</v>
      </c>
      <c r="G128" s="4274">
        <v>0.21199999999999999</v>
      </c>
      <c r="H128" s="4275">
        <v>4.4999999999999998E-2</v>
      </c>
      <c r="I128" s="4275">
        <v>0.11600000000000001</v>
      </c>
      <c r="J128" s="4275">
        <v>0.33600000000000002</v>
      </c>
      <c r="K128" s="4275">
        <v>0.503</v>
      </c>
      <c r="L128" s="2203"/>
      <c r="M128" s="2203"/>
    </row>
    <row r="129" spans="1:13" s="4259" customFormat="1">
      <c r="A129" s="4271" t="s">
        <v>59</v>
      </c>
      <c r="B129" s="3042">
        <v>285</v>
      </c>
      <c r="C129" s="4272">
        <v>285</v>
      </c>
      <c r="D129" s="3042">
        <v>222</v>
      </c>
      <c r="E129" s="4273">
        <f t="shared" si="3"/>
        <v>77.89473684210526</v>
      </c>
      <c r="F129" s="4274">
        <v>0.73899999999999999</v>
      </c>
      <c r="G129" s="4274">
        <v>0.26100000000000001</v>
      </c>
      <c r="H129" s="4275">
        <v>7.8E-2</v>
      </c>
      <c r="I129" s="4275">
        <v>0.17599999999999999</v>
      </c>
      <c r="J129" s="4275">
        <v>0.33300000000000002</v>
      </c>
      <c r="K129" s="4275">
        <v>0.41199999999999998</v>
      </c>
      <c r="L129" s="2203"/>
      <c r="M129" s="2203"/>
    </row>
    <row r="130" spans="1:13" s="4259" customFormat="1">
      <c r="A130" s="4271" t="s">
        <v>25</v>
      </c>
      <c r="B130" s="3042">
        <v>2309</v>
      </c>
      <c r="C130" s="4272">
        <v>1305</v>
      </c>
      <c r="D130" s="3042">
        <v>1141</v>
      </c>
      <c r="E130" s="4273">
        <f t="shared" si="3"/>
        <v>87.432950191570882</v>
      </c>
      <c r="F130" s="4274">
        <v>0.64600000000000002</v>
      </c>
      <c r="G130" s="4274">
        <v>0.35399999999999998</v>
      </c>
      <c r="H130" s="4275">
        <v>0.107</v>
      </c>
      <c r="I130" s="4275">
        <v>0.17499999999999999</v>
      </c>
      <c r="J130" s="4275">
        <v>0.34899999999999998</v>
      </c>
      <c r="K130" s="4275">
        <v>0.36899999999999999</v>
      </c>
      <c r="L130" s="2203"/>
      <c r="M130" s="2203"/>
    </row>
    <row r="131" spans="1:13" s="4259" customFormat="1">
      <c r="A131" s="4271" t="s">
        <v>244</v>
      </c>
      <c r="B131" s="3042">
        <v>30</v>
      </c>
      <c r="C131" s="4272">
        <v>30</v>
      </c>
      <c r="D131" s="3042">
        <v>30</v>
      </c>
      <c r="E131" s="4273">
        <f t="shared" si="3"/>
        <v>100</v>
      </c>
      <c r="F131" s="4274">
        <v>0.65500000000000003</v>
      </c>
      <c r="G131" s="4274">
        <v>0.34499999999999997</v>
      </c>
      <c r="H131" s="4275">
        <v>0.158</v>
      </c>
      <c r="I131" s="4275">
        <v>0.42099999999999999</v>
      </c>
      <c r="J131" s="4275">
        <v>0.26300000000000001</v>
      </c>
      <c r="K131" s="4275">
        <v>0.158</v>
      </c>
      <c r="L131" s="2203"/>
      <c r="M131" s="2203"/>
    </row>
    <row r="132" spans="1:13" s="4259" customFormat="1">
      <c r="A132" s="4271" t="s">
        <v>48</v>
      </c>
      <c r="B132" s="3042">
        <v>4739</v>
      </c>
      <c r="C132" s="4272">
        <v>1689</v>
      </c>
      <c r="D132" s="3042">
        <v>1689</v>
      </c>
      <c r="E132" s="4273">
        <f t="shared" si="3"/>
        <v>100</v>
      </c>
      <c r="F132" s="4276">
        <v>0.70899999999999996</v>
      </c>
      <c r="G132" s="4276">
        <v>0.29099999999999998</v>
      </c>
      <c r="H132" s="4275">
        <v>6.9000000000000006E-2</v>
      </c>
      <c r="I132" s="4275">
        <v>0.11</v>
      </c>
      <c r="J132" s="4275">
        <v>0.314</v>
      </c>
      <c r="K132" s="4275">
        <v>0.50700000000000001</v>
      </c>
      <c r="L132" s="2203"/>
      <c r="M132" s="2203"/>
    </row>
    <row r="133" spans="1:13" s="4259" customFormat="1">
      <c r="A133" s="4387" t="s">
        <v>15</v>
      </c>
      <c r="B133" s="4359">
        <v>10165</v>
      </c>
      <c r="C133" s="4388">
        <v>4397</v>
      </c>
      <c r="D133" s="4359">
        <v>4383</v>
      </c>
      <c r="E133" s="4389">
        <f t="shared" si="3"/>
        <v>99.681601091653405</v>
      </c>
      <c r="F133" s="4290">
        <v>0.71699999999999997</v>
      </c>
      <c r="G133" s="4390">
        <v>0.28299999999999997</v>
      </c>
      <c r="H133" s="4391">
        <v>7.0999999999999994E-2</v>
      </c>
      <c r="I133" s="4391">
        <v>0.13200000000000001</v>
      </c>
      <c r="J133" s="4391">
        <v>0.33</v>
      </c>
      <c r="K133" s="4391">
        <v>0.46600000000000003</v>
      </c>
      <c r="L133" s="2203"/>
      <c r="M133" s="2203"/>
    </row>
    <row r="134" spans="1:13" s="4259" customFormat="1">
      <c r="A134" s="2203"/>
      <c r="B134" s="2203"/>
      <c r="C134" s="2203"/>
      <c r="D134" s="2203"/>
      <c r="E134" s="2203"/>
      <c r="F134" s="2203"/>
      <c r="G134" s="2203"/>
      <c r="H134" s="2203"/>
      <c r="I134" s="2203"/>
      <c r="J134" s="2203"/>
      <c r="K134" s="2203"/>
      <c r="L134" s="2203"/>
      <c r="M134" s="2203"/>
    </row>
    <row r="135" spans="1:13" s="4259" customFormat="1" ht="24" customHeight="1">
      <c r="A135" s="115"/>
      <c r="B135" s="115"/>
      <c r="C135" s="115"/>
      <c r="D135" s="115"/>
      <c r="E135" s="115"/>
      <c r="F135" s="115"/>
      <c r="G135" s="115"/>
      <c r="H135" s="5755" t="s">
        <v>2430</v>
      </c>
      <c r="I135" s="5755"/>
      <c r="J135" s="5756" t="s">
        <v>2431</v>
      </c>
      <c r="K135" s="5757"/>
      <c r="L135" s="5757"/>
      <c r="M135" s="5758"/>
    </row>
    <row r="136" spans="1:13" s="4259" customFormat="1" ht="20.399999999999999">
      <c r="A136" s="4392" t="s">
        <v>0</v>
      </c>
      <c r="B136" s="4393" t="s">
        <v>1</v>
      </c>
      <c r="C136" s="4394" t="s">
        <v>2447</v>
      </c>
      <c r="D136" s="4395" t="s">
        <v>2099</v>
      </c>
      <c r="E136" s="4367" t="s">
        <v>2100</v>
      </c>
      <c r="F136" s="4367" t="s">
        <v>2105</v>
      </c>
      <c r="G136" s="4396" t="s">
        <v>2432</v>
      </c>
      <c r="H136" s="4366" t="s">
        <v>1038</v>
      </c>
      <c r="I136" s="4367" t="s">
        <v>1039</v>
      </c>
      <c r="J136" s="4368" t="s">
        <v>1607</v>
      </c>
      <c r="K136" s="4368" t="s">
        <v>1608</v>
      </c>
      <c r="L136" s="4369" t="s">
        <v>1609</v>
      </c>
      <c r="M136" s="4368" t="s">
        <v>1610</v>
      </c>
    </row>
    <row r="137" spans="1:13" s="4259" customFormat="1">
      <c r="A137" s="5759" t="s">
        <v>3</v>
      </c>
      <c r="B137" s="5760" t="s">
        <v>2439</v>
      </c>
      <c r="C137" s="4278" t="s">
        <v>527</v>
      </c>
      <c r="D137" s="4279">
        <v>122</v>
      </c>
      <c r="E137" s="4279">
        <v>51</v>
      </c>
      <c r="F137" s="4279">
        <v>51</v>
      </c>
      <c r="G137" s="4280">
        <f>F137*100/E137</f>
        <v>100</v>
      </c>
      <c r="H137" s="4281">
        <v>0.67300000000000004</v>
      </c>
      <c r="I137" s="4281">
        <v>0.32700000000000001</v>
      </c>
      <c r="J137" s="4281">
        <v>8.3000000000000004E-2</v>
      </c>
      <c r="K137" s="4281">
        <v>0.222</v>
      </c>
      <c r="L137" s="4281">
        <v>0.44400000000000001</v>
      </c>
      <c r="M137" s="4281">
        <v>0.25</v>
      </c>
    </row>
    <row r="138" spans="1:13" s="4259" customFormat="1">
      <c r="A138" s="5759"/>
      <c r="B138" s="5760"/>
      <c r="C138" s="4278" t="s">
        <v>528</v>
      </c>
      <c r="D138" s="4279">
        <v>103</v>
      </c>
      <c r="E138" s="4279">
        <v>54</v>
      </c>
      <c r="F138" s="4282">
        <v>54</v>
      </c>
      <c r="G138" s="4280">
        <f t="shared" ref="G138:G201" si="4">F138*100/E138</f>
        <v>100</v>
      </c>
      <c r="H138" s="4283">
        <v>0.83018867924528306</v>
      </c>
      <c r="I138" s="4283">
        <v>0.169811320754717</v>
      </c>
      <c r="J138" s="4284">
        <v>0</v>
      </c>
      <c r="K138" s="4285">
        <v>9.0909090909090912E-2</v>
      </c>
      <c r="L138" s="4285">
        <v>0.29545454545454547</v>
      </c>
      <c r="M138" s="4285">
        <v>0.61363636363636365</v>
      </c>
    </row>
    <row r="139" spans="1:13" s="4259" customFormat="1">
      <c r="A139" s="5759"/>
      <c r="B139" s="5760"/>
      <c r="C139" s="4278" t="s">
        <v>783</v>
      </c>
      <c r="D139" s="4279">
        <v>47</v>
      </c>
      <c r="E139" s="4279">
        <v>24</v>
      </c>
      <c r="F139" s="4282">
        <v>24</v>
      </c>
      <c r="G139" s="4280">
        <f t="shared" si="4"/>
        <v>100</v>
      </c>
      <c r="H139" s="4283">
        <v>0.91666666666666674</v>
      </c>
      <c r="I139" s="4283">
        <v>8.3333333333333343E-2</v>
      </c>
      <c r="J139" s="4285">
        <v>4.5454545454545456E-2</v>
      </c>
      <c r="K139" s="4285">
        <v>4.5454545454545456E-2</v>
      </c>
      <c r="L139" s="4285">
        <v>0.40909090909090906</v>
      </c>
      <c r="M139" s="4285">
        <v>0.5</v>
      </c>
    </row>
    <row r="140" spans="1:13" s="4259" customFormat="1">
      <c r="A140" s="5759"/>
      <c r="B140" s="5760"/>
      <c r="C140" s="4278" t="s">
        <v>530</v>
      </c>
      <c r="D140" s="4279">
        <v>36</v>
      </c>
      <c r="E140" s="4279">
        <v>36</v>
      </c>
      <c r="F140" s="4282">
        <v>26</v>
      </c>
      <c r="G140" s="4280">
        <f t="shared" si="4"/>
        <v>72.222222222222229</v>
      </c>
      <c r="H140" s="4283">
        <v>0.42307692307692307</v>
      </c>
      <c r="I140" s="4283">
        <v>0.57692307692307698</v>
      </c>
      <c r="J140" s="4284">
        <v>0</v>
      </c>
      <c r="K140" s="4284">
        <v>0</v>
      </c>
      <c r="L140" s="4285">
        <v>0.54545454545454541</v>
      </c>
      <c r="M140" s="4285">
        <v>0.45454545454545453</v>
      </c>
    </row>
    <row r="141" spans="1:13" s="4259" customFormat="1">
      <c r="A141" s="5759"/>
      <c r="B141" s="5760"/>
      <c r="C141" s="4278" t="s">
        <v>784</v>
      </c>
      <c r="D141" s="4279">
        <v>183</v>
      </c>
      <c r="E141" s="4279">
        <v>81</v>
      </c>
      <c r="F141" s="4282">
        <v>81</v>
      </c>
      <c r="G141" s="4280">
        <f t="shared" si="4"/>
        <v>100</v>
      </c>
      <c r="H141" s="4283">
        <v>0.91249999999999998</v>
      </c>
      <c r="I141" s="4283">
        <v>8.7499999999999994E-2</v>
      </c>
      <c r="J141" s="4285">
        <v>2.7397260273972601E-2</v>
      </c>
      <c r="K141" s="4285">
        <v>0.1095890410958904</v>
      </c>
      <c r="L141" s="4285">
        <v>0.39726027397260277</v>
      </c>
      <c r="M141" s="4285">
        <v>0.46575342465753422</v>
      </c>
    </row>
    <row r="142" spans="1:13" s="4259" customFormat="1">
      <c r="A142" s="5759"/>
      <c r="B142" s="5760"/>
      <c r="C142" s="4278" t="s">
        <v>785</v>
      </c>
      <c r="D142" s="4279">
        <v>107</v>
      </c>
      <c r="E142" s="4279">
        <v>48</v>
      </c>
      <c r="F142" s="4282">
        <v>48</v>
      </c>
      <c r="G142" s="4280">
        <f t="shared" si="4"/>
        <v>100</v>
      </c>
      <c r="H142" s="4283">
        <v>0.8085106382978724</v>
      </c>
      <c r="I142" s="4283">
        <v>0.19148936170212769</v>
      </c>
      <c r="J142" s="4284">
        <v>0</v>
      </c>
      <c r="K142" s="4285">
        <v>0.15789473684210525</v>
      </c>
      <c r="L142" s="4285">
        <v>0.28947368421052633</v>
      </c>
      <c r="M142" s="4285">
        <v>0.55263157894736847</v>
      </c>
    </row>
    <row r="143" spans="1:13" s="4259" customFormat="1">
      <c r="A143" s="5759"/>
      <c r="B143" s="5760"/>
      <c r="C143" s="4278" t="s">
        <v>786</v>
      </c>
      <c r="D143" s="4279">
        <v>21</v>
      </c>
      <c r="E143" s="4279">
        <v>21</v>
      </c>
      <c r="F143" s="4282">
        <v>9</v>
      </c>
      <c r="G143" s="4280">
        <f t="shared" si="4"/>
        <v>42.857142857142854</v>
      </c>
      <c r="H143" s="4283">
        <v>0.77777777777777768</v>
      </c>
      <c r="I143" s="4283">
        <v>0.22222222222222221</v>
      </c>
      <c r="J143" s="4284">
        <v>0</v>
      </c>
      <c r="K143" s="4285">
        <v>0.14285714285714288</v>
      </c>
      <c r="L143" s="4285">
        <v>0.57142857142857151</v>
      </c>
      <c r="M143" s="4285">
        <v>0.28571428571428575</v>
      </c>
    </row>
    <row r="144" spans="1:13" s="4259" customFormat="1">
      <c r="A144" s="5759"/>
      <c r="B144" s="5760"/>
      <c r="C144" s="4278" t="s">
        <v>531</v>
      </c>
      <c r="D144" s="4279">
        <v>103</v>
      </c>
      <c r="E144" s="4279">
        <v>44</v>
      </c>
      <c r="F144" s="4282">
        <v>44</v>
      </c>
      <c r="G144" s="4280">
        <f t="shared" si="4"/>
        <v>100</v>
      </c>
      <c r="H144" s="4283">
        <v>0.625</v>
      </c>
      <c r="I144" s="4283">
        <v>0.375</v>
      </c>
      <c r="J144" s="4285">
        <v>0.04</v>
      </c>
      <c r="K144" s="4285">
        <v>0.08</v>
      </c>
      <c r="L144" s="4285">
        <v>0.44</v>
      </c>
      <c r="M144" s="4285">
        <v>0.44</v>
      </c>
    </row>
    <row r="145" spans="1:13" s="4259" customFormat="1">
      <c r="A145" s="5759"/>
      <c r="B145" s="5760"/>
      <c r="C145" s="4278" t="s">
        <v>787</v>
      </c>
      <c r="D145" s="4279">
        <v>136</v>
      </c>
      <c r="E145" s="4279">
        <v>66</v>
      </c>
      <c r="F145" s="4282">
        <v>66</v>
      </c>
      <c r="G145" s="4280">
        <f t="shared" si="4"/>
        <v>100</v>
      </c>
      <c r="H145" s="4283">
        <v>0.83076923076923082</v>
      </c>
      <c r="I145" s="4283">
        <v>0.16923076923076924</v>
      </c>
      <c r="J145" s="4285">
        <v>1.8867924528301886E-2</v>
      </c>
      <c r="K145" s="4285">
        <v>0.24528301886792453</v>
      </c>
      <c r="L145" s="4285">
        <v>0.49056603773584906</v>
      </c>
      <c r="M145" s="4285">
        <v>0.24528301886792453</v>
      </c>
    </row>
    <row r="146" spans="1:13" s="4259" customFormat="1">
      <c r="A146" s="5759"/>
      <c r="B146" s="5760"/>
      <c r="C146" s="4278" t="s">
        <v>529</v>
      </c>
      <c r="D146" s="4279">
        <v>158</v>
      </c>
      <c r="E146" s="4279">
        <v>73</v>
      </c>
      <c r="F146" s="4282">
        <v>73</v>
      </c>
      <c r="G146" s="4280">
        <f t="shared" si="4"/>
        <v>100</v>
      </c>
      <c r="H146" s="4283">
        <v>0.88732394366197187</v>
      </c>
      <c r="I146" s="4283">
        <v>0.11267605633802816</v>
      </c>
      <c r="J146" s="4284">
        <v>0</v>
      </c>
      <c r="K146" s="4285">
        <v>8.0645161290322578E-2</v>
      </c>
      <c r="L146" s="4285">
        <v>0.19354838709677419</v>
      </c>
      <c r="M146" s="4285">
        <v>0.72580645161290325</v>
      </c>
    </row>
    <row r="147" spans="1:13" s="4259" customFormat="1">
      <c r="A147" s="5759"/>
      <c r="B147" s="5760" t="s">
        <v>2434</v>
      </c>
      <c r="C147" s="4278" t="s">
        <v>17</v>
      </c>
      <c r="D147" s="4279">
        <v>353</v>
      </c>
      <c r="E147" s="4279">
        <v>143</v>
      </c>
      <c r="F147" s="4282">
        <v>143</v>
      </c>
      <c r="G147" s="4280">
        <f t="shared" si="4"/>
        <v>100</v>
      </c>
      <c r="H147" s="4283">
        <v>0.84782608695652173</v>
      </c>
      <c r="I147" s="4283">
        <v>0.15217391304347827</v>
      </c>
      <c r="J147" s="4285">
        <v>2.6785714285714284E-2</v>
      </c>
      <c r="K147" s="4285">
        <v>0.125</v>
      </c>
      <c r="L147" s="4285">
        <v>0.51785714285714279</v>
      </c>
      <c r="M147" s="4285">
        <v>0.33035714285714285</v>
      </c>
    </row>
    <row r="148" spans="1:13" s="4259" customFormat="1">
      <c r="A148" s="5759"/>
      <c r="B148" s="5760"/>
      <c r="C148" s="4278" t="s">
        <v>18</v>
      </c>
      <c r="D148" s="4279">
        <v>529</v>
      </c>
      <c r="E148" s="4279">
        <v>220</v>
      </c>
      <c r="F148" s="4282">
        <v>220</v>
      </c>
      <c r="G148" s="4280">
        <f t="shared" si="4"/>
        <v>100</v>
      </c>
      <c r="H148" s="4283">
        <v>0.71980676328502413</v>
      </c>
      <c r="I148" s="4283">
        <v>0.28019323671497587</v>
      </c>
      <c r="J148" s="4285">
        <v>5.5172413793103454E-2</v>
      </c>
      <c r="K148" s="4285">
        <v>0.10344827586206896</v>
      </c>
      <c r="L148" s="4285">
        <v>0.19310344827586207</v>
      </c>
      <c r="M148" s="4285">
        <v>0.64827586206896559</v>
      </c>
    </row>
    <row r="149" spans="1:13" s="4259" customFormat="1">
      <c r="A149" s="5759"/>
      <c r="B149" s="5760"/>
      <c r="C149" s="4278" t="s">
        <v>19</v>
      </c>
      <c r="D149" s="4279">
        <v>142</v>
      </c>
      <c r="E149" s="4279">
        <v>57</v>
      </c>
      <c r="F149" s="4282">
        <v>57</v>
      </c>
      <c r="G149" s="4280">
        <f t="shared" si="4"/>
        <v>100</v>
      </c>
      <c r="H149" s="4283">
        <v>0.8214285714285714</v>
      </c>
      <c r="I149" s="4283">
        <v>0.17857142857142858</v>
      </c>
      <c r="J149" s="4285">
        <v>0.2</v>
      </c>
      <c r="K149" s="4285">
        <v>0.15555555555555556</v>
      </c>
      <c r="L149" s="4285">
        <v>0.33333333333333337</v>
      </c>
      <c r="M149" s="4285">
        <v>0.31111111111111112</v>
      </c>
    </row>
    <row r="150" spans="1:13" s="4259" customFormat="1">
      <c r="A150" s="5759"/>
      <c r="B150" s="5760"/>
      <c r="C150" s="4278" t="s">
        <v>20</v>
      </c>
      <c r="D150" s="4279">
        <v>147</v>
      </c>
      <c r="E150" s="4279">
        <v>63</v>
      </c>
      <c r="F150" s="4282">
        <v>63</v>
      </c>
      <c r="G150" s="4280">
        <f t="shared" si="4"/>
        <v>100</v>
      </c>
      <c r="H150" s="4283">
        <v>0.61904761904761907</v>
      </c>
      <c r="I150" s="4283">
        <v>0.38095238095238093</v>
      </c>
      <c r="J150" s="4285">
        <v>0.10256410256410257</v>
      </c>
      <c r="K150" s="4285">
        <v>0.25641025641025644</v>
      </c>
      <c r="L150" s="4285">
        <v>0.48717948717948717</v>
      </c>
      <c r="M150" s="4285">
        <v>0.15384615384615385</v>
      </c>
    </row>
    <row r="151" spans="1:13" s="4259" customFormat="1">
      <c r="A151" s="5759"/>
      <c r="B151" s="5760" t="s">
        <v>2435</v>
      </c>
      <c r="C151" s="4278" t="s">
        <v>22</v>
      </c>
      <c r="D151" s="4279">
        <v>203</v>
      </c>
      <c r="E151" s="4279">
        <v>112</v>
      </c>
      <c r="F151" s="4282">
        <v>100</v>
      </c>
      <c r="G151" s="4280">
        <f t="shared" si="4"/>
        <v>89.285714285714292</v>
      </c>
      <c r="H151" s="4283">
        <v>0.86734693877551028</v>
      </c>
      <c r="I151" s="4283">
        <v>0.1326530612244898</v>
      </c>
      <c r="J151" s="4285">
        <v>3.5714285714285719E-2</v>
      </c>
      <c r="K151" s="4285">
        <v>2.3809523809523808E-2</v>
      </c>
      <c r="L151" s="4285">
        <v>0.22619047619047619</v>
      </c>
      <c r="M151" s="4285">
        <v>0.7142857142857143</v>
      </c>
    </row>
    <row r="152" spans="1:13" s="4259" customFormat="1">
      <c r="A152" s="5759"/>
      <c r="B152" s="5760"/>
      <c r="C152" s="4278" t="s">
        <v>2115</v>
      </c>
      <c r="D152" s="4279">
        <v>246</v>
      </c>
      <c r="E152" s="4279">
        <v>146</v>
      </c>
      <c r="F152" s="4282">
        <v>146</v>
      </c>
      <c r="G152" s="4280">
        <f t="shared" si="4"/>
        <v>100</v>
      </c>
      <c r="H152" s="4283">
        <v>0.82269503546099287</v>
      </c>
      <c r="I152" s="4283">
        <v>0.1773049645390071</v>
      </c>
      <c r="J152" s="4285">
        <v>3.6036036036036036E-2</v>
      </c>
      <c r="K152" s="4285">
        <v>8.1081081081081086E-2</v>
      </c>
      <c r="L152" s="4285">
        <v>0.27027027027027029</v>
      </c>
      <c r="M152" s="4285">
        <v>0.61261261261261257</v>
      </c>
    </row>
    <row r="153" spans="1:13" s="4259" customFormat="1">
      <c r="A153" s="5759"/>
      <c r="B153" s="5760"/>
      <c r="C153" s="4278" t="s">
        <v>2116</v>
      </c>
      <c r="D153" s="4279">
        <v>166</v>
      </c>
      <c r="E153" s="4279">
        <v>91</v>
      </c>
      <c r="F153" s="4282">
        <v>91</v>
      </c>
      <c r="G153" s="4280">
        <f t="shared" si="4"/>
        <v>100</v>
      </c>
      <c r="H153" s="4283">
        <v>0.77011494252873558</v>
      </c>
      <c r="I153" s="4283">
        <v>0.22988505747126436</v>
      </c>
      <c r="J153" s="4285">
        <v>7.575757575757576E-2</v>
      </c>
      <c r="K153" s="4285">
        <v>0.12121212121212122</v>
      </c>
      <c r="L153" s="4285">
        <v>0.31818181818181818</v>
      </c>
      <c r="M153" s="4285">
        <v>0.48484848484848486</v>
      </c>
    </row>
    <row r="154" spans="1:13" s="4259" customFormat="1">
      <c r="A154" s="5761" t="s">
        <v>59</v>
      </c>
      <c r="B154" s="5759" t="s">
        <v>2434</v>
      </c>
      <c r="C154" s="4278" t="s">
        <v>17</v>
      </c>
      <c r="D154" s="4279">
        <v>58</v>
      </c>
      <c r="E154" s="4279">
        <v>58</v>
      </c>
      <c r="F154" s="4282">
        <v>45</v>
      </c>
      <c r="G154" s="4280">
        <f t="shared" si="4"/>
        <v>77.58620689655173</v>
      </c>
      <c r="H154" s="4283">
        <v>0.71111111111111114</v>
      </c>
      <c r="I154" s="4283">
        <v>0.28888888888888892</v>
      </c>
      <c r="J154" s="4285">
        <v>9.6774193548387094E-2</v>
      </c>
      <c r="K154" s="4285">
        <v>0.19354838709677419</v>
      </c>
      <c r="L154" s="4285">
        <v>0.35483870967741937</v>
      </c>
      <c r="M154" s="4285">
        <v>0.35483870967741937</v>
      </c>
    </row>
    <row r="155" spans="1:13" s="4259" customFormat="1">
      <c r="A155" s="5761"/>
      <c r="B155" s="5759"/>
      <c r="C155" s="4278" t="s">
        <v>60</v>
      </c>
      <c r="D155" s="4279">
        <v>23</v>
      </c>
      <c r="E155" s="4279">
        <v>23</v>
      </c>
      <c r="F155" s="4282">
        <v>20</v>
      </c>
      <c r="G155" s="4280">
        <f t="shared" si="4"/>
        <v>86.956521739130437</v>
      </c>
      <c r="H155" s="4283">
        <v>0.73684210526315796</v>
      </c>
      <c r="I155" s="4283">
        <v>0.26315789473684209</v>
      </c>
      <c r="J155" s="4285">
        <v>0.23076923076923075</v>
      </c>
      <c r="K155" s="4285">
        <v>0.15384615384615385</v>
      </c>
      <c r="L155" s="4285">
        <v>0.46153846153846151</v>
      </c>
      <c r="M155" s="4285">
        <v>0.15384615384615385</v>
      </c>
    </row>
    <row r="156" spans="1:13" s="4259" customFormat="1">
      <c r="A156" s="5761"/>
      <c r="B156" s="5759"/>
      <c r="C156" s="4278" t="s">
        <v>413</v>
      </c>
      <c r="D156" s="4279">
        <v>15</v>
      </c>
      <c r="E156" s="4279">
        <v>15</v>
      </c>
      <c r="F156" s="4282">
        <v>11</v>
      </c>
      <c r="G156" s="4280">
        <f t="shared" si="4"/>
        <v>73.333333333333329</v>
      </c>
      <c r="H156" s="4283">
        <v>0.7</v>
      </c>
      <c r="I156" s="4283">
        <v>0.3</v>
      </c>
      <c r="J156" s="4285">
        <v>0.14285714285714288</v>
      </c>
      <c r="K156" s="4285">
        <v>0.28571428571428575</v>
      </c>
      <c r="L156" s="4285">
        <v>0.14285714285714288</v>
      </c>
      <c r="M156" s="4285">
        <v>0.42857142857142855</v>
      </c>
    </row>
    <row r="157" spans="1:13" s="4259" customFormat="1">
      <c r="A157" s="5761"/>
      <c r="B157" s="5759"/>
      <c r="C157" s="4278" t="s">
        <v>18</v>
      </c>
      <c r="D157" s="4279">
        <v>0</v>
      </c>
      <c r="E157" s="4279">
        <v>0</v>
      </c>
      <c r="F157" s="4279">
        <v>0</v>
      </c>
      <c r="G157" s="4280">
        <v>0</v>
      </c>
      <c r="H157" s="4281">
        <v>0</v>
      </c>
      <c r="I157" s="4281">
        <v>0</v>
      </c>
      <c r="J157" s="4284">
        <v>0</v>
      </c>
      <c r="K157" s="4284">
        <v>0</v>
      </c>
      <c r="L157" s="4284">
        <v>0</v>
      </c>
      <c r="M157" s="4284">
        <v>0</v>
      </c>
    </row>
    <row r="158" spans="1:13" s="4259" customFormat="1">
      <c r="A158" s="5761"/>
      <c r="B158" s="5759" t="s">
        <v>2437</v>
      </c>
      <c r="C158" s="4278" t="s">
        <v>62</v>
      </c>
      <c r="D158" s="4279">
        <v>45</v>
      </c>
      <c r="E158" s="4279">
        <v>45</v>
      </c>
      <c r="F158" s="4282">
        <v>31</v>
      </c>
      <c r="G158" s="4280">
        <f t="shared" si="4"/>
        <v>68.888888888888886</v>
      </c>
      <c r="H158" s="4283">
        <v>0.9</v>
      </c>
      <c r="I158" s="4283">
        <v>0.1</v>
      </c>
      <c r="J158" s="4285">
        <v>0.1111111111111111</v>
      </c>
      <c r="K158" s="4285">
        <v>0.14814814814814814</v>
      </c>
      <c r="L158" s="4285">
        <v>0.33333333333333337</v>
      </c>
      <c r="M158" s="4285">
        <v>0.40740740740740738</v>
      </c>
    </row>
    <row r="159" spans="1:13" s="4259" customFormat="1">
      <c r="A159" s="5761"/>
      <c r="B159" s="5759"/>
      <c r="C159" s="4278" t="s">
        <v>2137</v>
      </c>
      <c r="D159" s="4279">
        <v>11</v>
      </c>
      <c r="E159" s="4279">
        <v>11</v>
      </c>
      <c r="F159" s="4282">
        <v>10</v>
      </c>
      <c r="G159" s="4280">
        <f t="shared" si="4"/>
        <v>90.909090909090907</v>
      </c>
      <c r="H159" s="4283">
        <v>1</v>
      </c>
      <c r="I159" s="4281">
        <v>0</v>
      </c>
      <c r="J159" s="4284">
        <v>0</v>
      </c>
      <c r="K159" s="4284">
        <v>0</v>
      </c>
      <c r="L159" s="4285">
        <v>0.125</v>
      </c>
      <c r="M159" s="4285">
        <v>0.875</v>
      </c>
    </row>
    <row r="160" spans="1:13" s="4259" customFormat="1">
      <c r="A160" s="5761"/>
      <c r="B160" s="5759"/>
      <c r="C160" s="4278" t="s">
        <v>63</v>
      </c>
      <c r="D160" s="4279">
        <v>57</v>
      </c>
      <c r="E160" s="4279">
        <v>57</v>
      </c>
      <c r="F160" s="4282">
        <v>39</v>
      </c>
      <c r="G160" s="4280">
        <f t="shared" si="4"/>
        <v>68.421052631578945</v>
      </c>
      <c r="H160" s="4283">
        <v>0.81578947368421051</v>
      </c>
      <c r="I160" s="4283">
        <v>0.18421052631578949</v>
      </c>
      <c r="J160" s="4285">
        <v>6.4516129032258063E-2</v>
      </c>
      <c r="K160" s="4285">
        <v>9.6774193548387094E-2</v>
      </c>
      <c r="L160" s="4285">
        <v>0.41935483870967744</v>
      </c>
      <c r="M160" s="4285">
        <v>0.41935483870967744</v>
      </c>
    </row>
    <row r="161" spans="1:13" s="4259" customFormat="1">
      <c r="A161" s="5761"/>
      <c r="B161" s="5759" t="s">
        <v>2438</v>
      </c>
      <c r="C161" s="4278" t="s">
        <v>529</v>
      </c>
      <c r="D161" s="4279">
        <v>23</v>
      </c>
      <c r="E161" s="4279">
        <v>23</v>
      </c>
      <c r="F161" s="4282">
        <v>18</v>
      </c>
      <c r="G161" s="4280">
        <f t="shared" si="4"/>
        <v>78.260869565217391</v>
      </c>
      <c r="H161" s="4283">
        <v>0.94117647058823539</v>
      </c>
      <c r="I161" s="4283">
        <v>5.8823529411764712E-2</v>
      </c>
      <c r="J161" s="4284">
        <v>0</v>
      </c>
      <c r="K161" s="4285">
        <v>6.25E-2</v>
      </c>
      <c r="L161" s="4285">
        <v>0.125</v>
      </c>
      <c r="M161" s="4285">
        <v>0.8125</v>
      </c>
    </row>
    <row r="162" spans="1:13" s="4259" customFormat="1">
      <c r="A162" s="5761"/>
      <c r="B162" s="5759"/>
      <c r="C162" s="4278" t="s">
        <v>65</v>
      </c>
      <c r="D162" s="4279">
        <v>12</v>
      </c>
      <c r="E162" s="4279">
        <v>12</v>
      </c>
      <c r="F162" s="4282">
        <v>10</v>
      </c>
      <c r="G162" s="4280">
        <f t="shared" si="4"/>
        <v>83.333333333333329</v>
      </c>
      <c r="H162" s="4283">
        <v>0.625</v>
      </c>
      <c r="I162" s="4283">
        <v>0.375</v>
      </c>
      <c r="J162" s="4284">
        <v>0</v>
      </c>
      <c r="K162" s="4285">
        <v>0.4</v>
      </c>
      <c r="L162" s="4285">
        <v>0.4</v>
      </c>
      <c r="M162" s="4285">
        <v>0.2</v>
      </c>
    </row>
    <row r="163" spans="1:13" s="4259" customFormat="1">
      <c r="A163" s="5761"/>
      <c r="B163" s="5759"/>
      <c r="C163" s="4278" t="s">
        <v>415</v>
      </c>
      <c r="D163" s="4279">
        <v>15</v>
      </c>
      <c r="E163" s="4279">
        <v>15</v>
      </c>
      <c r="F163" s="4282">
        <v>14</v>
      </c>
      <c r="G163" s="4280">
        <f t="shared" si="4"/>
        <v>93.333333333333329</v>
      </c>
      <c r="H163" s="4283">
        <v>0.53846153846153844</v>
      </c>
      <c r="I163" s="4283">
        <v>0.46153846153846151</v>
      </c>
      <c r="J163" s="4284">
        <v>0</v>
      </c>
      <c r="K163" s="4285">
        <v>0.57142857142857151</v>
      </c>
      <c r="L163" s="4285">
        <v>0.42857142857142855</v>
      </c>
      <c r="M163" s="4284">
        <v>0</v>
      </c>
    </row>
    <row r="164" spans="1:13" s="4259" customFormat="1">
      <c r="A164" s="5761"/>
      <c r="B164" s="5759"/>
      <c r="C164" s="4278" t="s">
        <v>81</v>
      </c>
      <c r="D164" s="4279">
        <v>26</v>
      </c>
      <c r="E164" s="4279">
        <v>26</v>
      </c>
      <c r="F164" s="4282">
        <v>24</v>
      </c>
      <c r="G164" s="4280">
        <f t="shared" si="4"/>
        <v>92.307692307692307</v>
      </c>
      <c r="H164" s="4283">
        <v>0.36363636363636365</v>
      </c>
      <c r="I164" s="4283">
        <v>0.63636363636363635</v>
      </c>
      <c r="J164" s="4284">
        <v>0</v>
      </c>
      <c r="K164" s="4285">
        <v>0.375</v>
      </c>
      <c r="L164" s="4285">
        <v>0.375</v>
      </c>
      <c r="M164" s="4285">
        <v>0.25</v>
      </c>
    </row>
    <row r="165" spans="1:13" s="4259" customFormat="1">
      <c r="A165" s="5763" t="s">
        <v>25</v>
      </c>
      <c r="B165" s="5765" t="s">
        <v>2439</v>
      </c>
      <c r="C165" s="4278" t="s">
        <v>532</v>
      </c>
      <c r="D165" s="4279">
        <v>57</v>
      </c>
      <c r="E165" s="4279">
        <v>57</v>
      </c>
      <c r="F165" s="4282">
        <v>37</v>
      </c>
      <c r="G165" s="4280">
        <f t="shared" si="4"/>
        <v>64.912280701754383</v>
      </c>
      <c r="H165" s="4283">
        <v>0.8</v>
      </c>
      <c r="I165" s="4283">
        <v>0.2</v>
      </c>
      <c r="J165" s="4284">
        <v>0</v>
      </c>
      <c r="K165" s="4285">
        <v>0.14285714285714288</v>
      </c>
      <c r="L165" s="4285">
        <v>0.35714285714285715</v>
      </c>
      <c r="M165" s="4285">
        <v>0.5</v>
      </c>
    </row>
    <row r="166" spans="1:13" s="4259" customFormat="1">
      <c r="A166" s="5764"/>
      <c r="B166" s="5766"/>
      <c r="C166" s="4278" t="s">
        <v>790</v>
      </c>
      <c r="D166" s="4279">
        <v>12</v>
      </c>
      <c r="E166" s="4279">
        <v>12</v>
      </c>
      <c r="F166" s="4282">
        <v>8</v>
      </c>
      <c r="G166" s="4280">
        <f t="shared" si="4"/>
        <v>66.666666666666671</v>
      </c>
      <c r="H166" s="4283">
        <v>0.8571428571428571</v>
      </c>
      <c r="I166" s="4283">
        <v>0.14285714285714288</v>
      </c>
      <c r="J166" s="4284">
        <v>0</v>
      </c>
      <c r="K166" s="4285">
        <v>0.33333333333333337</v>
      </c>
      <c r="L166" s="4285">
        <v>0.16666666666666669</v>
      </c>
      <c r="M166" s="4285">
        <v>0.5</v>
      </c>
    </row>
    <row r="167" spans="1:13" s="4259" customFormat="1">
      <c r="A167" s="5764"/>
      <c r="B167" s="5766"/>
      <c r="C167" s="4278" t="s">
        <v>531</v>
      </c>
      <c r="D167" s="4279">
        <v>60</v>
      </c>
      <c r="E167" s="4279">
        <v>46</v>
      </c>
      <c r="F167" s="4282">
        <v>37</v>
      </c>
      <c r="G167" s="4280">
        <f t="shared" si="4"/>
        <v>80.434782608695656</v>
      </c>
      <c r="H167" s="4283">
        <v>0.63636363636363635</v>
      </c>
      <c r="I167" s="4283">
        <v>0.36363636363636365</v>
      </c>
      <c r="J167" s="4285">
        <v>0.16666666666666669</v>
      </c>
      <c r="K167" s="4285">
        <v>0.1111111111111111</v>
      </c>
      <c r="L167" s="4285">
        <v>0.44444444444444442</v>
      </c>
      <c r="M167" s="4285">
        <v>0.27777777777777779</v>
      </c>
    </row>
    <row r="168" spans="1:13" s="4259" customFormat="1">
      <c r="A168" s="5764"/>
      <c r="B168" s="5766"/>
      <c r="C168" s="4278" t="s">
        <v>269</v>
      </c>
      <c r="D168" s="4279">
        <v>49</v>
      </c>
      <c r="E168" s="4279">
        <v>49</v>
      </c>
      <c r="F168" s="4282">
        <v>33</v>
      </c>
      <c r="G168" s="4280">
        <f t="shared" si="4"/>
        <v>67.34693877551021</v>
      </c>
      <c r="H168" s="4283">
        <v>0.5757575757575758</v>
      </c>
      <c r="I168" s="4283">
        <v>0.4242424242424242</v>
      </c>
      <c r="J168" s="4284">
        <v>0</v>
      </c>
      <c r="K168" s="4285">
        <v>0.27777777777777779</v>
      </c>
      <c r="L168" s="4285">
        <v>0.22222222222222221</v>
      </c>
      <c r="M168" s="4285">
        <v>0.5</v>
      </c>
    </row>
    <row r="169" spans="1:13" s="4259" customFormat="1">
      <c r="A169" s="5764"/>
      <c r="B169" s="5766"/>
      <c r="C169" s="4278" t="s">
        <v>29</v>
      </c>
      <c r="D169" s="4279">
        <v>38</v>
      </c>
      <c r="E169" s="4279">
        <v>38</v>
      </c>
      <c r="F169" s="4282">
        <v>24</v>
      </c>
      <c r="G169" s="4280">
        <f t="shared" si="4"/>
        <v>63.157894736842103</v>
      </c>
      <c r="H169" s="4283">
        <v>0.43478260869565216</v>
      </c>
      <c r="I169" s="4283">
        <v>0.56521739130434778</v>
      </c>
      <c r="J169" s="4285">
        <v>0.2</v>
      </c>
      <c r="K169" s="4284">
        <v>0</v>
      </c>
      <c r="L169" s="4285">
        <v>0.6</v>
      </c>
      <c r="M169" s="4285">
        <v>0.2</v>
      </c>
    </row>
    <row r="170" spans="1:13" s="4259" customFormat="1">
      <c r="A170" s="5764"/>
      <c r="B170" s="5766"/>
      <c r="C170" s="4278" t="s">
        <v>787</v>
      </c>
      <c r="D170" s="4279">
        <v>74</v>
      </c>
      <c r="E170" s="4279">
        <v>58</v>
      </c>
      <c r="F170" s="4282">
        <v>42</v>
      </c>
      <c r="G170" s="4280">
        <f t="shared" si="4"/>
        <v>72.41379310344827</v>
      </c>
      <c r="H170" s="4283">
        <v>0.80952380952380953</v>
      </c>
      <c r="I170" s="4283">
        <v>0.19047619047619047</v>
      </c>
      <c r="J170" s="4285">
        <v>0.14705882352941177</v>
      </c>
      <c r="K170" s="4285">
        <v>0.23529411764705885</v>
      </c>
      <c r="L170" s="4285">
        <v>0.35294117647058826</v>
      </c>
      <c r="M170" s="4285">
        <v>0.26470588235294118</v>
      </c>
    </row>
    <row r="171" spans="1:13" s="4259" customFormat="1">
      <c r="A171" s="5764"/>
      <c r="B171" s="5766"/>
      <c r="C171" s="4278" t="s">
        <v>30</v>
      </c>
      <c r="D171" s="4279">
        <v>36</v>
      </c>
      <c r="E171" s="4279">
        <v>36</v>
      </c>
      <c r="F171" s="4282">
        <v>32</v>
      </c>
      <c r="G171" s="4280">
        <f t="shared" si="4"/>
        <v>88.888888888888886</v>
      </c>
      <c r="H171" s="4283">
        <v>0.6</v>
      </c>
      <c r="I171" s="4283">
        <v>0.4</v>
      </c>
      <c r="J171" s="4285">
        <v>0.11764705882352942</v>
      </c>
      <c r="K171" s="4285">
        <v>0.23529411764705885</v>
      </c>
      <c r="L171" s="4285">
        <v>0.35294117647058826</v>
      </c>
      <c r="M171" s="4285">
        <v>0.29411764705882354</v>
      </c>
    </row>
    <row r="172" spans="1:13" s="4259" customFormat="1">
      <c r="A172" s="5764"/>
      <c r="B172" s="5766"/>
      <c r="C172" s="4278" t="s">
        <v>31</v>
      </c>
      <c r="D172" s="4279">
        <v>31</v>
      </c>
      <c r="E172" s="4279">
        <v>31</v>
      </c>
      <c r="F172" s="4282">
        <v>22</v>
      </c>
      <c r="G172" s="4280">
        <f t="shared" si="4"/>
        <v>70.967741935483872</v>
      </c>
      <c r="H172" s="4283">
        <v>0.19047619047619047</v>
      </c>
      <c r="I172" s="4283">
        <v>0.80952380952380953</v>
      </c>
      <c r="J172" s="4284">
        <v>0</v>
      </c>
      <c r="K172" s="4285">
        <v>0.25</v>
      </c>
      <c r="L172" s="4285">
        <v>0.25</v>
      </c>
      <c r="M172" s="4285">
        <v>0.5</v>
      </c>
    </row>
    <row r="173" spans="1:13" s="4259" customFormat="1">
      <c r="A173" s="5764"/>
      <c r="B173" s="5767"/>
      <c r="C173" s="4278" t="s">
        <v>32</v>
      </c>
      <c r="D173" s="4279">
        <v>85</v>
      </c>
      <c r="E173" s="4279">
        <v>54</v>
      </c>
      <c r="F173" s="4282">
        <v>54</v>
      </c>
      <c r="G173" s="4280">
        <f t="shared" si="4"/>
        <v>100</v>
      </c>
      <c r="H173" s="4283">
        <v>0.79629629629629628</v>
      </c>
      <c r="I173" s="4283">
        <v>0.20370370370370369</v>
      </c>
      <c r="J173" s="4285">
        <v>7.1428571428571438E-2</v>
      </c>
      <c r="K173" s="4285">
        <v>7.1428571428571438E-2</v>
      </c>
      <c r="L173" s="4285">
        <v>0.19047619047619047</v>
      </c>
      <c r="M173" s="4285">
        <v>0.66666666666666674</v>
      </c>
    </row>
    <row r="174" spans="1:13" s="4259" customFormat="1">
      <c r="A174" s="5764"/>
      <c r="B174" s="5759" t="s">
        <v>2434</v>
      </c>
      <c r="C174" s="4278" t="s">
        <v>17</v>
      </c>
      <c r="D174" s="4279">
        <v>256</v>
      </c>
      <c r="E174" s="4279">
        <v>103</v>
      </c>
      <c r="F174" s="4282">
        <v>99</v>
      </c>
      <c r="G174" s="4280">
        <f t="shared" si="4"/>
        <v>96.116504854368927</v>
      </c>
      <c r="H174" s="4283">
        <v>0.74736842105263168</v>
      </c>
      <c r="I174" s="4283">
        <v>0.25263157894736843</v>
      </c>
      <c r="J174" s="4285">
        <v>2.8169014084507039E-2</v>
      </c>
      <c r="K174" s="4285">
        <v>8.4507042253521125E-2</v>
      </c>
      <c r="L174" s="4285">
        <v>0.45070422535211263</v>
      </c>
      <c r="M174" s="4285">
        <v>0.43661971830985913</v>
      </c>
    </row>
    <row r="175" spans="1:13" s="4259" customFormat="1">
      <c r="A175" s="5764"/>
      <c r="B175" s="5759"/>
      <c r="C175" s="4278" t="s">
        <v>33</v>
      </c>
      <c r="D175" s="4279">
        <v>79</v>
      </c>
      <c r="E175" s="4279">
        <v>32</v>
      </c>
      <c r="F175" s="4282">
        <v>32</v>
      </c>
      <c r="G175" s="4280">
        <f t="shared" si="4"/>
        <v>100</v>
      </c>
      <c r="H175" s="4283">
        <v>0.58064516129032251</v>
      </c>
      <c r="I175" s="4283">
        <v>0.41935483870967744</v>
      </c>
      <c r="J175" s="4285">
        <v>0.1111111111111111</v>
      </c>
      <c r="K175" s="4285">
        <v>0.16666666666666669</v>
      </c>
      <c r="L175" s="4285">
        <v>0.5</v>
      </c>
      <c r="M175" s="4285">
        <v>0.22222222222222221</v>
      </c>
    </row>
    <row r="176" spans="1:13" s="4259" customFormat="1">
      <c r="A176" s="5764"/>
      <c r="B176" s="5759"/>
      <c r="C176" s="4278" t="s">
        <v>34</v>
      </c>
      <c r="D176" s="4279">
        <v>60</v>
      </c>
      <c r="E176" s="4279">
        <v>36</v>
      </c>
      <c r="F176" s="4282">
        <v>33</v>
      </c>
      <c r="G176" s="4280">
        <f t="shared" si="4"/>
        <v>91.666666666666671</v>
      </c>
      <c r="H176" s="4283">
        <v>0.72727272727272729</v>
      </c>
      <c r="I176" s="4283">
        <v>0.27272727272727271</v>
      </c>
      <c r="J176" s="4285">
        <v>8.3333333333333343E-2</v>
      </c>
      <c r="K176" s="4285">
        <v>8.3333333333333343E-2</v>
      </c>
      <c r="L176" s="4285">
        <v>0.20833333333333331</v>
      </c>
      <c r="M176" s="4285">
        <v>0.625</v>
      </c>
    </row>
    <row r="177" spans="1:13" s="4259" customFormat="1">
      <c r="A177" s="5764"/>
      <c r="B177" s="5759"/>
      <c r="C177" s="4278" t="s">
        <v>35</v>
      </c>
      <c r="D177" s="4279">
        <v>67</v>
      </c>
      <c r="E177" s="4279">
        <v>43</v>
      </c>
      <c r="F177" s="4282">
        <v>30</v>
      </c>
      <c r="G177" s="4280">
        <f t="shared" si="4"/>
        <v>69.767441860465112</v>
      </c>
      <c r="H177" s="4283">
        <v>0.8</v>
      </c>
      <c r="I177" s="4283">
        <v>0.2</v>
      </c>
      <c r="J177" s="4285">
        <v>0.20833333333333331</v>
      </c>
      <c r="K177" s="4285">
        <v>0.20833333333333331</v>
      </c>
      <c r="L177" s="4285">
        <v>0.33333333333333337</v>
      </c>
      <c r="M177" s="4285">
        <v>0.25</v>
      </c>
    </row>
    <row r="178" spans="1:13" s="4259" customFormat="1">
      <c r="A178" s="5764"/>
      <c r="B178" s="5759"/>
      <c r="C178" s="4278" t="s">
        <v>19</v>
      </c>
      <c r="D178" s="4279">
        <v>80</v>
      </c>
      <c r="E178" s="4279">
        <v>32</v>
      </c>
      <c r="F178" s="4282">
        <v>32</v>
      </c>
      <c r="G178" s="4280">
        <f t="shared" si="4"/>
        <v>100</v>
      </c>
      <c r="H178" s="4283">
        <v>0.70967741935483875</v>
      </c>
      <c r="I178" s="4283">
        <v>0.29032258064516125</v>
      </c>
      <c r="J178" s="4285">
        <v>9.0909090909090912E-2</v>
      </c>
      <c r="K178" s="4285">
        <v>0.13636363636363635</v>
      </c>
      <c r="L178" s="4285">
        <v>0.59090909090909094</v>
      </c>
      <c r="M178" s="4285">
        <v>0.18181818181818182</v>
      </c>
    </row>
    <row r="179" spans="1:13" s="4259" customFormat="1">
      <c r="A179" s="5764"/>
      <c r="B179" s="5759"/>
      <c r="C179" s="4278" t="s">
        <v>20</v>
      </c>
      <c r="D179" s="4279">
        <v>70</v>
      </c>
      <c r="E179" s="4279">
        <v>44</v>
      </c>
      <c r="F179" s="4282">
        <v>28</v>
      </c>
      <c r="G179" s="4280">
        <f t="shared" si="4"/>
        <v>63.636363636363633</v>
      </c>
      <c r="H179" s="4283">
        <v>0.74074074074074081</v>
      </c>
      <c r="I179" s="4283">
        <v>0.2592592592592593</v>
      </c>
      <c r="J179" s="4285">
        <v>0.2</v>
      </c>
      <c r="K179" s="4285">
        <v>0.25</v>
      </c>
      <c r="L179" s="4285">
        <v>0.35</v>
      </c>
      <c r="M179" s="4285">
        <v>0.2</v>
      </c>
    </row>
    <row r="180" spans="1:13" s="4259" customFormat="1">
      <c r="A180" s="5764"/>
      <c r="B180" s="5759"/>
      <c r="C180" s="4278" t="s">
        <v>36</v>
      </c>
      <c r="D180" s="4279">
        <v>72</v>
      </c>
      <c r="E180" s="4279">
        <v>32</v>
      </c>
      <c r="F180" s="4282">
        <v>32</v>
      </c>
      <c r="G180" s="4280">
        <f t="shared" si="4"/>
        <v>100</v>
      </c>
      <c r="H180" s="4283">
        <v>0.44827586206896552</v>
      </c>
      <c r="I180" s="4283">
        <v>0.55172413793103448</v>
      </c>
      <c r="J180" s="4284">
        <v>0</v>
      </c>
      <c r="K180" s="4284">
        <v>0</v>
      </c>
      <c r="L180" s="4285">
        <v>0.38461538461538458</v>
      </c>
      <c r="M180" s="4285">
        <v>0.61538461538461542</v>
      </c>
    </row>
    <row r="181" spans="1:13" s="4259" customFormat="1">
      <c r="A181" s="5764"/>
      <c r="B181" s="5759"/>
      <c r="C181" s="4278" t="s">
        <v>533</v>
      </c>
      <c r="D181" s="4279">
        <v>38</v>
      </c>
      <c r="E181" s="4279">
        <v>38</v>
      </c>
      <c r="F181" s="4282">
        <v>18</v>
      </c>
      <c r="G181" s="4280">
        <f t="shared" si="4"/>
        <v>47.368421052631582</v>
      </c>
      <c r="H181" s="4283">
        <v>0.55555555555555558</v>
      </c>
      <c r="I181" s="4283">
        <v>0.44444444444444442</v>
      </c>
      <c r="J181" s="4285">
        <v>0.3</v>
      </c>
      <c r="K181" s="4285">
        <v>0.1</v>
      </c>
      <c r="L181" s="4285">
        <v>0.3</v>
      </c>
      <c r="M181" s="4285">
        <v>0.3</v>
      </c>
    </row>
    <row r="182" spans="1:13" s="4259" customFormat="1">
      <c r="A182" s="5764"/>
      <c r="B182" s="5759"/>
      <c r="C182" s="4278" t="s">
        <v>38</v>
      </c>
      <c r="D182" s="4279">
        <v>105</v>
      </c>
      <c r="E182" s="4279">
        <v>51</v>
      </c>
      <c r="F182" s="4282">
        <v>51</v>
      </c>
      <c r="G182" s="4280">
        <f t="shared" si="4"/>
        <v>100</v>
      </c>
      <c r="H182" s="4283">
        <v>0.67346938775510212</v>
      </c>
      <c r="I182" s="4283">
        <v>0.32653061224489799</v>
      </c>
      <c r="J182" s="4285">
        <v>0.12121212121212122</v>
      </c>
      <c r="K182" s="4285">
        <v>0.27272727272727271</v>
      </c>
      <c r="L182" s="4285">
        <v>0.30303030303030304</v>
      </c>
      <c r="M182" s="4285">
        <v>0.30303030303030304</v>
      </c>
    </row>
    <row r="183" spans="1:13" s="4259" customFormat="1">
      <c r="A183" s="5764"/>
      <c r="B183" s="5759"/>
      <c r="C183" s="4278" t="s">
        <v>39</v>
      </c>
      <c r="D183" s="4279">
        <v>286</v>
      </c>
      <c r="E183" s="4279">
        <v>120</v>
      </c>
      <c r="F183" s="4282">
        <v>120</v>
      </c>
      <c r="G183" s="4280">
        <f t="shared" si="4"/>
        <v>100</v>
      </c>
      <c r="H183" s="4283">
        <v>0.75652173913043486</v>
      </c>
      <c r="I183" s="4283">
        <v>0.24347826086956523</v>
      </c>
      <c r="J183" s="4285">
        <v>0.14117647058823529</v>
      </c>
      <c r="K183" s="4285">
        <v>0.18823529411764706</v>
      </c>
      <c r="L183" s="4285">
        <v>0.41176470588235298</v>
      </c>
      <c r="M183" s="4285">
        <v>0.25882352941176473</v>
      </c>
    </row>
    <row r="184" spans="1:13" s="4259" customFormat="1">
      <c r="A184" s="5764"/>
      <c r="B184" s="5759"/>
      <c r="C184" s="4278" t="s">
        <v>40</v>
      </c>
      <c r="D184" s="4279">
        <v>18</v>
      </c>
      <c r="E184" s="4279">
        <v>18</v>
      </c>
      <c r="F184" s="4282">
        <v>8</v>
      </c>
      <c r="G184" s="4280">
        <f t="shared" si="4"/>
        <v>44.444444444444443</v>
      </c>
      <c r="H184" s="4283">
        <v>0.875</v>
      </c>
      <c r="I184" s="4283">
        <v>0.125</v>
      </c>
      <c r="J184" s="4284">
        <v>0</v>
      </c>
      <c r="K184" s="4285">
        <v>0.28571428571428575</v>
      </c>
      <c r="L184" s="4285">
        <v>0.28571428571428575</v>
      </c>
      <c r="M184" s="4285">
        <v>0.42857142857142855</v>
      </c>
    </row>
    <row r="185" spans="1:13" s="4259" customFormat="1">
      <c r="A185" s="5764"/>
      <c r="B185" s="5759" t="s">
        <v>2436</v>
      </c>
      <c r="C185" s="4278" t="s">
        <v>42</v>
      </c>
      <c r="D185" s="4279">
        <v>182</v>
      </c>
      <c r="E185" s="4279">
        <v>92</v>
      </c>
      <c r="F185" s="4282">
        <v>88</v>
      </c>
      <c r="G185" s="4280">
        <f t="shared" si="4"/>
        <v>95.652173913043484</v>
      </c>
      <c r="H185" s="4283">
        <v>0.50588235294117645</v>
      </c>
      <c r="I185" s="4283">
        <v>0.49411764705882355</v>
      </c>
      <c r="J185" s="4285">
        <v>0.11904761904761905</v>
      </c>
      <c r="K185" s="4285">
        <v>0.26190476190476192</v>
      </c>
      <c r="L185" s="4285">
        <v>0.28571428571428575</v>
      </c>
      <c r="M185" s="4285">
        <v>0.33333333333333337</v>
      </c>
    </row>
    <row r="186" spans="1:13" s="4259" customFormat="1">
      <c r="A186" s="5764"/>
      <c r="B186" s="5759"/>
      <c r="C186" s="4278" t="s">
        <v>43</v>
      </c>
      <c r="D186" s="4279">
        <v>105</v>
      </c>
      <c r="E186" s="4279">
        <v>55</v>
      </c>
      <c r="F186" s="4282">
        <v>55</v>
      </c>
      <c r="G186" s="4280">
        <f t="shared" si="4"/>
        <v>100</v>
      </c>
      <c r="H186" s="4283">
        <v>0.2592592592592593</v>
      </c>
      <c r="I186" s="4283">
        <v>0.74074074074074081</v>
      </c>
      <c r="J186" s="4285">
        <v>0.21428571428571427</v>
      </c>
      <c r="K186" s="4285">
        <v>0.21428571428571427</v>
      </c>
      <c r="L186" s="4285">
        <v>0.28571428571428575</v>
      </c>
      <c r="M186" s="4285">
        <v>0.28571428571428575</v>
      </c>
    </row>
    <row r="187" spans="1:13" s="4259" customFormat="1">
      <c r="A187" s="5764"/>
      <c r="B187" s="5759"/>
      <c r="C187" s="4278" t="s">
        <v>44</v>
      </c>
      <c r="D187" s="4279">
        <v>78</v>
      </c>
      <c r="E187" s="4279">
        <v>40</v>
      </c>
      <c r="F187" s="4282">
        <v>40</v>
      </c>
      <c r="G187" s="4280">
        <f t="shared" si="4"/>
        <v>100</v>
      </c>
      <c r="H187" s="4283">
        <v>0.44736842105263158</v>
      </c>
      <c r="I187" s="4283">
        <v>0.55263157894736847</v>
      </c>
      <c r="J187" s="4285">
        <v>5.8823529411764712E-2</v>
      </c>
      <c r="K187" s="4285">
        <v>0.35294117647058826</v>
      </c>
      <c r="L187" s="4285">
        <v>0.29411764705882354</v>
      </c>
      <c r="M187" s="4285">
        <v>0.29411764705882354</v>
      </c>
    </row>
    <row r="188" spans="1:13" s="4259" customFormat="1">
      <c r="A188" s="5764"/>
      <c r="B188" s="5759"/>
      <c r="C188" s="4278" t="s">
        <v>45</v>
      </c>
      <c r="D188" s="4279">
        <v>38</v>
      </c>
      <c r="E188" s="4279">
        <v>38</v>
      </c>
      <c r="F188" s="4282">
        <v>15</v>
      </c>
      <c r="G188" s="4280">
        <f t="shared" si="4"/>
        <v>39.473684210526315</v>
      </c>
      <c r="H188" s="4283">
        <v>0.8</v>
      </c>
      <c r="I188" s="4283">
        <v>0.2</v>
      </c>
      <c r="J188" s="4285">
        <v>0.18181818181818182</v>
      </c>
      <c r="K188" s="4285">
        <v>0.27272727272727271</v>
      </c>
      <c r="L188" s="4285">
        <v>0.18181818181818182</v>
      </c>
      <c r="M188" s="4285">
        <v>0.36363636363636365</v>
      </c>
    </row>
    <row r="189" spans="1:13" s="4259" customFormat="1">
      <c r="A189" s="5764"/>
      <c r="B189" s="5759"/>
      <c r="C189" s="4278" t="s">
        <v>270</v>
      </c>
      <c r="D189" s="4279">
        <v>164</v>
      </c>
      <c r="E189" s="4279">
        <v>83</v>
      </c>
      <c r="F189" s="4282">
        <v>83</v>
      </c>
      <c r="G189" s="4280">
        <f t="shared" si="4"/>
        <v>100</v>
      </c>
      <c r="H189" s="4283">
        <v>0.68354430379746833</v>
      </c>
      <c r="I189" s="4283">
        <v>0.31645569620253167</v>
      </c>
      <c r="J189" s="4285">
        <v>9.8039215686274522E-2</v>
      </c>
      <c r="K189" s="4285">
        <v>0.17647058823529413</v>
      </c>
      <c r="L189" s="4285">
        <v>0.41176470588235298</v>
      </c>
      <c r="M189" s="4285">
        <v>0.31372549019607843</v>
      </c>
    </row>
    <row r="190" spans="1:13" s="4259" customFormat="1">
      <c r="A190" s="5764"/>
      <c r="B190" s="5759"/>
      <c r="C190" s="4278" t="s">
        <v>271</v>
      </c>
      <c r="D190" s="4279">
        <v>169</v>
      </c>
      <c r="E190" s="4279">
        <v>88</v>
      </c>
      <c r="F190" s="4282">
        <v>88</v>
      </c>
      <c r="G190" s="4280">
        <f t="shared" si="4"/>
        <v>100</v>
      </c>
      <c r="H190" s="4283">
        <v>0.68965517241379315</v>
      </c>
      <c r="I190" s="4283">
        <v>0.31034482758620691</v>
      </c>
      <c r="J190" s="4285">
        <v>0.13333333333333333</v>
      </c>
      <c r="K190" s="4285">
        <v>0.15</v>
      </c>
      <c r="L190" s="4285">
        <v>0.25</v>
      </c>
      <c r="M190" s="4285">
        <v>0.46666666666666662</v>
      </c>
    </row>
    <row r="191" spans="1:13" s="4259" customFormat="1">
      <c r="A191" s="5761" t="s">
        <v>48</v>
      </c>
      <c r="B191" s="5759" t="s">
        <v>2434</v>
      </c>
      <c r="C191" s="4278" t="s">
        <v>17</v>
      </c>
      <c r="D191" s="4279">
        <v>254</v>
      </c>
      <c r="E191" s="4279">
        <v>85</v>
      </c>
      <c r="F191" s="4282">
        <v>85</v>
      </c>
      <c r="G191" s="4280">
        <f t="shared" si="4"/>
        <v>100</v>
      </c>
      <c r="H191" s="4283">
        <v>0.86419753086419748</v>
      </c>
      <c r="I191" s="4283">
        <v>0.13580246913580246</v>
      </c>
      <c r="J191" s="4285">
        <v>2.8571428571428571E-2</v>
      </c>
      <c r="K191" s="4285">
        <v>0.11428571428571428</v>
      </c>
      <c r="L191" s="4285">
        <v>0.52857142857142858</v>
      </c>
      <c r="M191" s="4285">
        <v>0.32857142857142851</v>
      </c>
    </row>
    <row r="192" spans="1:13" s="4259" customFormat="1">
      <c r="A192" s="5761"/>
      <c r="B192" s="5759"/>
      <c r="C192" s="4278" t="s">
        <v>49</v>
      </c>
      <c r="D192" s="4279">
        <v>352</v>
      </c>
      <c r="E192" s="4279">
        <v>123</v>
      </c>
      <c r="F192" s="4282">
        <v>123</v>
      </c>
      <c r="G192" s="4280">
        <f t="shared" si="4"/>
        <v>100</v>
      </c>
      <c r="H192" s="4283">
        <v>0.76470588235294112</v>
      </c>
      <c r="I192" s="4283">
        <v>0.23529411764705885</v>
      </c>
      <c r="J192" s="4285">
        <v>6.6666666666666666E-2</v>
      </c>
      <c r="K192" s="4285">
        <v>8.8888888888888892E-2</v>
      </c>
      <c r="L192" s="4285">
        <v>0.28888888888888892</v>
      </c>
      <c r="M192" s="4285">
        <v>0.55555555555555558</v>
      </c>
    </row>
    <row r="193" spans="1:13" s="4259" customFormat="1">
      <c r="A193" s="5761"/>
      <c r="B193" s="5759"/>
      <c r="C193" s="4278" t="s">
        <v>19</v>
      </c>
      <c r="D193" s="4279">
        <v>176</v>
      </c>
      <c r="E193" s="4279">
        <v>58</v>
      </c>
      <c r="F193" s="4282">
        <v>58</v>
      </c>
      <c r="G193" s="4280">
        <f t="shared" si="4"/>
        <v>100</v>
      </c>
      <c r="H193" s="4283">
        <v>0.7068965517241379</v>
      </c>
      <c r="I193" s="4283">
        <v>0.29310344827586204</v>
      </c>
      <c r="J193" s="4285">
        <v>4.878048780487805E-2</v>
      </c>
      <c r="K193" s="4285">
        <v>0.21951219512195125</v>
      </c>
      <c r="L193" s="4285">
        <v>0.51219512195121952</v>
      </c>
      <c r="M193" s="4285">
        <v>0.21951219512195125</v>
      </c>
    </row>
    <row r="194" spans="1:13" s="4259" customFormat="1">
      <c r="A194" s="5761"/>
      <c r="B194" s="5759"/>
      <c r="C194" s="4278" t="s">
        <v>50</v>
      </c>
      <c r="D194" s="4279">
        <v>565</v>
      </c>
      <c r="E194" s="4279">
        <v>194</v>
      </c>
      <c r="F194" s="4282">
        <v>194</v>
      </c>
      <c r="G194" s="4280">
        <f t="shared" si="4"/>
        <v>100</v>
      </c>
      <c r="H194" s="4283">
        <v>0.72282608695652173</v>
      </c>
      <c r="I194" s="4283">
        <v>0.27717391304347827</v>
      </c>
      <c r="J194" s="4285">
        <v>9.7744360902255634E-2</v>
      </c>
      <c r="K194" s="4285">
        <v>0.21804511278195488</v>
      </c>
      <c r="L194" s="4285">
        <v>0.35338345864661652</v>
      </c>
      <c r="M194" s="4285">
        <v>0.33082706766917291</v>
      </c>
    </row>
    <row r="195" spans="1:13" s="4259" customFormat="1">
      <c r="A195" s="5761"/>
      <c r="B195" s="5759"/>
      <c r="C195" s="4278" t="s">
        <v>20</v>
      </c>
      <c r="D195" s="4279">
        <v>222</v>
      </c>
      <c r="E195" s="4279">
        <v>82</v>
      </c>
      <c r="F195" s="4282">
        <v>82</v>
      </c>
      <c r="G195" s="4280">
        <f t="shared" si="4"/>
        <v>100</v>
      </c>
      <c r="H195" s="4283">
        <v>0.59756097560975607</v>
      </c>
      <c r="I195" s="4283">
        <v>0.40243902439024387</v>
      </c>
      <c r="J195" s="4285">
        <v>0.14583333333333334</v>
      </c>
      <c r="K195" s="4285">
        <v>0.16666666666666669</v>
      </c>
      <c r="L195" s="4285">
        <v>0.5</v>
      </c>
      <c r="M195" s="4285">
        <v>0.1875</v>
      </c>
    </row>
    <row r="196" spans="1:13" s="4259" customFormat="1">
      <c r="A196" s="5761"/>
      <c r="B196" s="5759"/>
      <c r="C196" s="4278" t="s">
        <v>51</v>
      </c>
      <c r="D196" s="4279">
        <v>91</v>
      </c>
      <c r="E196" s="4279">
        <v>31</v>
      </c>
      <c r="F196" s="4282">
        <v>31</v>
      </c>
      <c r="G196" s="4280">
        <f t="shared" si="4"/>
        <v>100</v>
      </c>
      <c r="H196" s="4283">
        <v>0.76666666666666672</v>
      </c>
      <c r="I196" s="4283">
        <v>0.23333333333333331</v>
      </c>
      <c r="J196" s="4285">
        <v>8.6956521739130432E-2</v>
      </c>
      <c r="K196" s="4285">
        <v>0.13043478260869565</v>
      </c>
      <c r="L196" s="4285">
        <v>0.43478260869565216</v>
      </c>
      <c r="M196" s="4285">
        <v>0.34782608695652173</v>
      </c>
    </row>
    <row r="197" spans="1:13" s="4259" customFormat="1">
      <c r="A197" s="5761"/>
      <c r="B197" s="5759" t="s">
        <v>2436</v>
      </c>
      <c r="C197" s="4278" t="s">
        <v>42</v>
      </c>
      <c r="D197" s="4279">
        <v>281</v>
      </c>
      <c r="E197" s="4279">
        <v>107</v>
      </c>
      <c r="F197" s="4282">
        <v>107</v>
      </c>
      <c r="G197" s="4280">
        <f t="shared" si="4"/>
        <v>100</v>
      </c>
      <c r="H197" s="4283">
        <v>0.41176470588235298</v>
      </c>
      <c r="I197" s="4283">
        <v>0.58823529411764708</v>
      </c>
      <c r="J197" s="4285">
        <v>7.3170731707317083E-2</v>
      </c>
      <c r="K197" s="4285">
        <v>9.7560975609756101E-2</v>
      </c>
      <c r="L197" s="4285">
        <v>0.3902439024390244</v>
      </c>
      <c r="M197" s="4285">
        <v>0.4390243902439025</v>
      </c>
    </row>
    <row r="198" spans="1:13" s="4259" customFormat="1">
      <c r="A198" s="5761"/>
      <c r="B198" s="5759"/>
      <c r="C198" s="4278" t="s">
        <v>52</v>
      </c>
      <c r="D198" s="4279">
        <v>241</v>
      </c>
      <c r="E198" s="4279">
        <v>79</v>
      </c>
      <c r="F198" s="4282">
        <v>79</v>
      </c>
      <c r="G198" s="4280">
        <f t="shared" si="4"/>
        <v>100</v>
      </c>
      <c r="H198" s="4283">
        <v>0.71232876712328763</v>
      </c>
      <c r="I198" s="4283">
        <v>0.28767123287671231</v>
      </c>
      <c r="J198" s="4285">
        <v>0.02</v>
      </c>
      <c r="K198" s="4284">
        <v>0</v>
      </c>
      <c r="L198" s="4285">
        <v>0.2</v>
      </c>
      <c r="M198" s="4285">
        <v>0.78</v>
      </c>
    </row>
    <row r="199" spans="1:13" s="4259" customFormat="1">
      <c r="A199" s="5761"/>
      <c r="B199" s="5759"/>
      <c r="C199" s="4278" t="s">
        <v>53</v>
      </c>
      <c r="D199" s="4279">
        <v>307</v>
      </c>
      <c r="E199" s="4279">
        <v>90</v>
      </c>
      <c r="F199" s="4282">
        <v>90</v>
      </c>
      <c r="G199" s="4280">
        <f t="shared" si="4"/>
        <v>100</v>
      </c>
      <c r="H199" s="4283">
        <v>0.69047619047619047</v>
      </c>
      <c r="I199" s="4283">
        <v>0.30952380952380953</v>
      </c>
      <c r="J199" s="4285">
        <v>7.1428571428571438E-2</v>
      </c>
      <c r="K199" s="4285">
        <v>7.1428571428571438E-2</v>
      </c>
      <c r="L199" s="4285">
        <v>0.17857142857142858</v>
      </c>
      <c r="M199" s="4285">
        <v>0.6785714285714286</v>
      </c>
    </row>
    <row r="200" spans="1:13" s="4259" customFormat="1">
      <c r="A200" s="5761"/>
      <c r="B200" s="5759"/>
      <c r="C200" s="4278" t="s">
        <v>54</v>
      </c>
      <c r="D200" s="4279">
        <v>380</v>
      </c>
      <c r="E200" s="4279">
        <v>106</v>
      </c>
      <c r="F200" s="4282">
        <v>106</v>
      </c>
      <c r="G200" s="4280">
        <f t="shared" si="4"/>
        <v>100</v>
      </c>
      <c r="H200" s="4283">
        <v>0.71698113207547165</v>
      </c>
      <c r="I200" s="4283">
        <v>0.28301886792452829</v>
      </c>
      <c r="J200" s="4285">
        <v>2.6315789473684213E-2</v>
      </c>
      <c r="K200" s="4285">
        <v>6.5789473684210523E-2</v>
      </c>
      <c r="L200" s="4285">
        <v>0.3289473684210526</v>
      </c>
      <c r="M200" s="4285">
        <v>0.57894736842105265</v>
      </c>
    </row>
    <row r="201" spans="1:13" s="4259" customFormat="1">
      <c r="A201" s="5761"/>
      <c r="B201" s="5759"/>
      <c r="C201" s="4278" t="s">
        <v>55</v>
      </c>
      <c r="D201" s="4279">
        <v>334</v>
      </c>
      <c r="E201" s="4279">
        <v>102</v>
      </c>
      <c r="F201" s="4282">
        <v>102</v>
      </c>
      <c r="G201" s="4280">
        <f t="shared" si="4"/>
        <v>100</v>
      </c>
      <c r="H201" s="4283">
        <v>0.70707070707070718</v>
      </c>
      <c r="I201" s="4283">
        <v>0.29292929292929293</v>
      </c>
      <c r="J201" s="4285">
        <v>7.3529411764705885E-2</v>
      </c>
      <c r="K201" s="4285">
        <v>7.3529411764705885E-2</v>
      </c>
      <c r="L201" s="4285">
        <v>0.19117647058823528</v>
      </c>
      <c r="M201" s="4285">
        <v>0.66176470588235292</v>
      </c>
    </row>
    <row r="202" spans="1:13" s="4259" customFormat="1">
      <c r="A202" s="5761"/>
      <c r="B202" s="5759"/>
      <c r="C202" s="4278" t="s">
        <v>56</v>
      </c>
      <c r="D202" s="4279">
        <v>230</v>
      </c>
      <c r="E202" s="4279">
        <v>73</v>
      </c>
      <c r="F202" s="4282">
        <v>73</v>
      </c>
      <c r="G202" s="4280">
        <f t="shared" ref="G202:G212" si="5">F202*100/E202</f>
        <v>100</v>
      </c>
      <c r="H202" s="4283">
        <v>0.66666666666666674</v>
      </c>
      <c r="I202" s="4283">
        <v>0.33333333333333337</v>
      </c>
      <c r="J202" s="4285">
        <v>0.21739130434782608</v>
      </c>
      <c r="K202" s="4285">
        <v>0.13043478260869565</v>
      </c>
      <c r="L202" s="4285">
        <v>0.2608695652173913</v>
      </c>
      <c r="M202" s="4285">
        <v>0.39130434782608697</v>
      </c>
    </row>
    <row r="203" spans="1:13" s="4259" customFormat="1">
      <c r="A203" s="5761"/>
      <c r="B203" s="5759"/>
      <c r="C203" s="4278" t="s">
        <v>259</v>
      </c>
      <c r="D203" s="4279">
        <v>265</v>
      </c>
      <c r="E203" s="4279">
        <v>77</v>
      </c>
      <c r="F203" s="4282">
        <v>77</v>
      </c>
      <c r="G203" s="4280">
        <f t="shared" si="5"/>
        <v>100</v>
      </c>
      <c r="H203" s="4283">
        <v>0.6133333333333334</v>
      </c>
      <c r="I203" s="4283">
        <v>0.38666666666666666</v>
      </c>
      <c r="J203" s="4285">
        <v>4.3478260869565216E-2</v>
      </c>
      <c r="K203" s="4285">
        <v>2.1739130434782608E-2</v>
      </c>
      <c r="L203" s="4285">
        <v>0.10869565217391304</v>
      </c>
      <c r="M203" s="4285">
        <v>0.82608695652173902</v>
      </c>
    </row>
    <row r="204" spans="1:13" s="4259" customFormat="1">
      <c r="A204" s="5761"/>
      <c r="B204" s="5759"/>
      <c r="C204" s="4278" t="s">
        <v>272</v>
      </c>
      <c r="D204" s="4279">
        <v>219</v>
      </c>
      <c r="E204" s="4279">
        <v>69</v>
      </c>
      <c r="F204" s="4282">
        <v>69</v>
      </c>
      <c r="G204" s="4280">
        <f t="shared" si="5"/>
        <v>100</v>
      </c>
      <c r="H204" s="4283">
        <v>0.68656716417910446</v>
      </c>
      <c r="I204" s="4283">
        <v>0.31343283582089554</v>
      </c>
      <c r="J204" s="4285">
        <v>9.0909090909090912E-2</v>
      </c>
      <c r="K204" s="4285">
        <v>0.18181818181818182</v>
      </c>
      <c r="L204" s="4285">
        <v>0.20454545454545453</v>
      </c>
      <c r="M204" s="4285">
        <v>0.52272727272727271</v>
      </c>
    </row>
    <row r="205" spans="1:13" s="4259" customFormat="1">
      <c r="A205" s="5761"/>
      <c r="B205" s="5759" t="s">
        <v>2435</v>
      </c>
      <c r="C205" s="4278" t="s">
        <v>22</v>
      </c>
      <c r="D205" s="4279">
        <v>327</v>
      </c>
      <c r="E205" s="4279">
        <v>167</v>
      </c>
      <c r="F205" s="4282">
        <v>167</v>
      </c>
      <c r="G205" s="4280">
        <f t="shared" si="5"/>
        <v>100</v>
      </c>
      <c r="H205" s="4283">
        <v>0.82389937106918243</v>
      </c>
      <c r="I205" s="4283">
        <v>0.1761006289308176</v>
      </c>
      <c r="J205" s="4284">
        <v>0</v>
      </c>
      <c r="K205" s="4285">
        <v>9.9236641221374045E-2</v>
      </c>
      <c r="L205" s="4285">
        <v>0.29007633587786258</v>
      </c>
      <c r="M205" s="4285">
        <v>0.61068702290076338</v>
      </c>
    </row>
    <row r="206" spans="1:13" s="4259" customFormat="1">
      <c r="A206" s="5761"/>
      <c r="B206" s="5759"/>
      <c r="C206" s="4278" t="s">
        <v>23</v>
      </c>
      <c r="D206" s="4279">
        <v>219</v>
      </c>
      <c r="E206" s="4279">
        <v>110</v>
      </c>
      <c r="F206" s="4282">
        <v>110</v>
      </c>
      <c r="G206" s="4280">
        <f t="shared" si="5"/>
        <v>100</v>
      </c>
      <c r="H206" s="4283">
        <v>0.7570093457943925</v>
      </c>
      <c r="I206" s="4283">
        <v>0.24299065420560748</v>
      </c>
      <c r="J206" s="4285">
        <v>2.5000000000000001E-2</v>
      </c>
      <c r="K206" s="4285">
        <v>6.25E-2</v>
      </c>
      <c r="L206" s="4285">
        <v>0.28749999999999998</v>
      </c>
      <c r="M206" s="4285">
        <v>0.625</v>
      </c>
    </row>
    <row r="207" spans="1:13" s="4259" customFormat="1">
      <c r="A207" s="5761"/>
      <c r="B207" s="5759"/>
      <c r="C207" s="4278" t="s">
        <v>24</v>
      </c>
      <c r="D207" s="4279">
        <v>141</v>
      </c>
      <c r="E207" s="4279">
        <v>69</v>
      </c>
      <c r="F207" s="4282">
        <v>69</v>
      </c>
      <c r="G207" s="4280">
        <f t="shared" si="5"/>
        <v>100</v>
      </c>
      <c r="H207" s="4283">
        <v>0.8484848484848484</v>
      </c>
      <c r="I207" s="4283">
        <v>0.15151515151515152</v>
      </c>
      <c r="J207" s="4285">
        <v>8.9285714285714288E-2</v>
      </c>
      <c r="K207" s="4285">
        <v>8.9285714285714288E-2</v>
      </c>
      <c r="L207" s="4285">
        <v>0.28571428571428575</v>
      </c>
      <c r="M207" s="4285">
        <v>0.5357142857142857</v>
      </c>
    </row>
    <row r="208" spans="1:13" s="4259" customFormat="1">
      <c r="A208" s="5761"/>
      <c r="B208" s="5759"/>
      <c r="C208" s="4278" t="s">
        <v>58</v>
      </c>
      <c r="D208" s="4279">
        <v>135</v>
      </c>
      <c r="E208" s="4279">
        <v>67</v>
      </c>
      <c r="F208" s="4282">
        <v>67</v>
      </c>
      <c r="G208" s="4280">
        <f t="shared" si="5"/>
        <v>100</v>
      </c>
      <c r="H208" s="4283">
        <v>0.640625</v>
      </c>
      <c r="I208" s="4283">
        <v>0.359375</v>
      </c>
      <c r="J208" s="4285">
        <v>0.21951219512195125</v>
      </c>
      <c r="K208" s="4285">
        <v>9.7560975609756101E-2</v>
      </c>
      <c r="L208" s="4285">
        <v>0.3902439024390244</v>
      </c>
      <c r="M208" s="4285">
        <v>0.29268292682926833</v>
      </c>
    </row>
    <row r="209" spans="1:13" s="4259" customFormat="1" ht="30.6">
      <c r="A209" s="5761" t="s">
        <v>244</v>
      </c>
      <c r="B209" s="4286" t="s">
        <v>2439</v>
      </c>
      <c r="C209" s="4291" t="s">
        <v>2274</v>
      </c>
      <c r="D209" s="4279">
        <v>5</v>
      </c>
      <c r="E209" s="4279">
        <v>5</v>
      </c>
      <c r="F209" s="4279">
        <v>5</v>
      </c>
      <c r="G209" s="4280">
        <f t="shared" si="5"/>
        <v>100</v>
      </c>
      <c r="H209" s="4283">
        <v>0.6</v>
      </c>
      <c r="I209" s="4283">
        <v>0.4</v>
      </c>
      <c r="J209" s="4284">
        <v>0</v>
      </c>
      <c r="K209" s="4284">
        <v>0</v>
      </c>
      <c r="L209" s="4285">
        <v>0.66666666666666674</v>
      </c>
      <c r="M209" s="4285">
        <v>0.33333333333333337</v>
      </c>
    </row>
    <row r="210" spans="1:13" s="4259" customFormat="1" ht="30.6">
      <c r="A210" s="5761"/>
      <c r="B210" s="4288" t="s">
        <v>2434</v>
      </c>
      <c r="C210" s="4291" t="s">
        <v>791</v>
      </c>
      <c r="D210" s="4279">
        <v>11</v>
      </c>
      <c r="E210" s="4279">
        <v>11</v>
      </c>
      <c r="F210" s="4279">
        <v>11</v>
      </c>
      <c r="G210" s="4280">
        <f t="shared" si="5"/>
        <v>100</v>
      </c>
      <c r="H210" s="4283">
        <v>0.63636363636363635</v>
      </c>
      <c r="I210" s="4283">
        <v>0.36363636363636365</v>
      </c>
      <c r="J210" s="4285">
        <v>0.14285714285714288</v>
      </c>
      <c r="K210" s="4285">
        <v>0.57142857142857151</v>
      </c>
      <c r="L210" s="4285">
        <v>0.14285714285714288</v>
      </c>
      <c r="M210" s="4285">
        <v>0.14285714285714288</v>
      </c>
    </row>
    <row r="211" spans="1:13" s="4259" customFormat="1" ht="30.6">
      <c r="A211" s="5761"/>
      <c r="B211" s="4288" t="s">
        <v>2436</v>
      </c>
      <c r="C211" s="4291" t="s">
        <v>792</v>
      </c>
      <c r="D211" s="4279">
        <v>14</v>
      </c>
      <c r="E211" s="4279">
        <v>14</v>
      </c>
      <c r="F211" s="4279">
        <v>14</v>
      </c>
      <c r="G211" s="4280">
        <f t="shared" si="5"/>
        <v>100</v>
      </c>
      <c r="H211" s="4283">
        <v>0.69230769230769229</v>
      </c>
      <c r="I211" s="4283">
        <v>0.30769230769230771</v>
      </c>
      <c r="J211" s="4285">
        <v>0.22222222222222221</v>
      </c>
      <c r="K211" s="4285">
        <v>0.44444444444444442</v>
      </c>
      <c r="L211" s="4285">
        <v>0.22222222222222221</v>
      </c>
      <c r="M211" s="4285">
        <v>0.1111111111111111</v>
      </c>
    </row>
    <row r="212" spans="1:13" s="4259" customFormat="1">
      <c r="A212" s="5762" t="s">
        <v>15</v>
      </c>
      <c r="B212" s="5762"/>
      <c r="C212" s="5762"/>
      <c r="D212" s="4397">
        <v>10165</v>
      </c>
      <c r="E212" s="4367">
        <v>4397</v>
      </c>
      <c r="F212" s="4398">
        <v>4383</v>
      </c>
      <c r="G212" s="4399">
        <f t="shared" si="5"/>
        <v>99.681601091653405</v>
      </c>
      <c r="H212" s="4292">
        <v>0.71729358883368821</v>
      </c>
      <c r="I212" s="4400">
        <v>0.28270641116631179</v>
      </c>
      <c r="J212" s="4401">
        <v>7.0999999999999994E-2</v>
      </c>
      <c r="K212" s="4401">
        <v>0.13200000000000001</v>
      </c>
      <c r="L212" s="4401">
        <v>0.33</v>
      </c>
      <c r="M212" s="4401">
        <v>0.46600000000000003</v>
      </c>
    </row>
    <row r="213" spans="1:13" s="4259" customFormat="1">
      <c r="A213" s="1914"/>
      <c r="B213" s="27"/>
      <c r="D213" s="4258"/>
      <c r="E213" s="4258"/>
      <c r="F213" s="4258"/>
      <c r="G213" s="4258"/>
      <c r="H213" s="4258"/>
      <c r="I213" s="27"/>
      <c r="J213" s="27"/>
      <c r="K213" s="27"/>
      <c r="L213" s="27"/>
      <c r="M213" s="27"/>
    </row>
    <row r="214" spans="1:13" s="4259" customFormat="1">
      <c r="A214" s="1914"/>
      <c r="B214" s="27"/>
      <c r="D214" s="4258"/>
      <c r="E214" s="4258"/>
      <c r="F214" s="4258"/>
      <c r="G214" s="4258"/>
      <c r="H214" s="4258"/>
      <c r="I214" s="27"/>
      <c r="J214" s="27"/>
      <c r="K214" s="27"/>
      <c r="L214" s="27"/>
      <c r="M214" s="27"/>
    </row>
    <row r="215" spans="1:13" ht="17.399999999999999">
      <c r="A215" s="27"/>
      <c r="B215" s="27"/>
      <c r="C215" s="3043">
        <v>2018</v>
      </c>
      <c r="D215" s="27"/>
      <c r="E215" s="2201"/>
      <c r="F215" s="2201"/>
      <c r="G215" s="2201"/>
      <c r="H215" s="27"/>
      <c r="I215" s="27"/>
      <c r="J215" s="27"/>
      <c r="K215" s="27"/>
      <c r="L215" s="27"/>
      <c r="M215" s="27"/>
    </row>
    <row r="216" spans="1:13">
      <c r="A216" s="5712" t="s">
        <v>2624</v>
      </c>
      <c r="B216" s="5712"/>
      <c r="C216" s="5712"/>
      <c r="D216" s="5712"/>
      <c r="E216" s="5712"/>
      <c r="F216" s="5713"/>
      <c r="G216" s="5713"/>
      <c r="H216" s="5713"/>
      <c r="I216" s="5713"/>
      <c r="J216" s="5713"/>
      <c r="K216" s="27"/>
      <c r="L216" s="27"/>
      <c r="M216" s="27"/>
    </row>
    <row r="217" spans="1:13">
      <c r="A217" s="5712"/>
      <c r="B217" s="5712"/>
      <c r="C217" s="5712"/>
      <c r="D217" s="5712"/>
      <c r="E217" s="5712"/>
      <c r="F217" s="5713"/>
      <c r="G217" s="5713"/>
      <c r="H217" s="5713"/>
      <c r="I217" s="5713"/>
      <c r="J217" s="5713"/>
      <c r="K217" s="27"/>
      <c r="L217" s="27"/>
      <c r="M217" s="27"/>
    </row>
    <row r="218" spans="1:13">
      <c r="B218" s="3012"/>
      <c r="C218" s="2202"/>
      <c r="D218" s="2202"/>
      <c r="E218" s="2202"/>
      <c r="F218" s="2202"/>
      <c r="G218" s="2202"/>
      <c r="H218" s="2202"/>
      <c r="I218" s="2203"/>
      <c r="J218" s="2203"/>
      <c r="K218" s="2203"/>
      <c r="L218" s="2203"/>
      <c r="M218" s="2203"/>
    </row>
    <row r="219" spans="1:13" ht="24">
      <c r="A219" s="3012" t="s">
        <v>2625</v>
      </c>
      <c r="B219" s="2202"/>
      <c r="C219" s="2202"/>
      <c r="D219" s="2202"/>
      <c r="E219" s="2202"/>
      <c r="F219" s="2202"/>
      <c r="G219" s="2202"/>
      <c r="H219" s="2202"/>
      <c r="I219" s="2203"/>
      <c r="J219" s="2203"/>
      <c r="K219" s="2203"/>
      <c r="L219" s="2203"/>
      <c r="M219" s="2203"/>
    </row>
    <row r="220" spans="1:13">
      <c r="A220" s="3013" t="s">
        <v>2626</v>
      </c>
      <c r="B220" s="3014">
        <v>2016</v>
      </c>
      <c r="C220" s="3014">
        <v>2012</v>
      </c>
      <c r="D220" s="3015" t="s">
        <v>15</v>
      </c>
      <c r="E220" s="2206"/>
      <c r="F220" s="2207"/>
      <c r="G220" s="2203"/>
      <c r="H220" s="2202"/>
      <c r="I220" s="2203"/>
      <c r="J220" s="2203"/>
      <c r="K220" s="2203"/>
      <c r="L220" s="2203"/>
      <c r="M220" s="2203"/>
    </row>
    <row r="221" spans="1:13">
      <c r="A221" s="2204" t="s">
        <v>2105</v>
      </c>
      <c r="B221" s="2208">
        <v>1860</v>
      </c>
      <c r="C221" s="2208">
        <v>2018</v>
      </c>
      <c r="D221" s="2205">
        <v>3878</v>
      </c>
      <c r="E221" s="2209"/>
      <c r="F221" s="2210"/>
      <c r="G221" s="2203"/>
      <c r="H221" s="2202"/>
      <c r="I221" s="2203"/>
      <c r="J221" s="2203"/>
      <c r="K221" s="2203"/>
      <c r="L221" s="2203"/>
      <c r="M221" s="2203"/>
    </row>
    <row r="222" spans="1:13">
      <c r="A222" s="2202"/>
      <c r="B222" s="2202"/>
      <c r="C222" s="2202"/>
      <c r="D222" s="2202"/>
      <c r="E222" s="2202"/>
      <c r="F222" s="2202"/>
      <c r="G222" s="2202"/>
      <c r="H222" s="2202"/>
      <c r="I222" s="2203"/>
      <c r="J222" s="2203"/>
      <c r="K222" s="2203"/>
      <c r="L222" s="2203"/>
      <c r="M222" s="2203"/>
    </row>
    <row r="223" spans="1:13">
      <c r="A223" s="452" t="s">
        <v>2627</v>
      </c>
      <c r="B223" s="2202"/>
      <c r="C223" s="2202"/>
      <c r="D223" s="2202"/>
      <c r="E223" s="2202"/>
      <c r="F223" s="2202"/>
      <c r="G223" s="2202"/>
      <c r="H223" s="2202"/>
      <c r="I223" s="2203"/>
      <c r="J223" s="2203"/>
      <c r="K223" s="2203"/>
      <c r="L223" s="2203"/>
      <c r="M223" s="2203"/>
    </row>
    <row r="224" spans="1:13">
      <c r="B224" s="2203"/>
      <c r="C224" s="2203"/>
      <c r="D224" s="2203"/>
      <c r="E224" s="2203"/>
      <c r="F224" s="2203"/>
      <c r="G224" s="2203"/>
      <c r="H224" s="2203"/>
      <c r="I224" s="2203"/>
      <c r="J224" s="2203"/>
      <c r="K224" s="2203"/>
      <c r="L224" s="2203"/>
      <c r="M224" s="2203"/>
    </row>
    <row r="225" spans="1:13">
      <c r="A225" s="2211" t="s">
        <v>2429</v>
      </c>
      <c r="B225" s="2203"/>
      <c r="C225" s="2203"/>
      <c r="D225" s="2203"/>
      <c r="E225" s="2203"/>
      <c r="F225" s="5714" t="s">
        <v>2430</v>
      </c>
      <c r="G225" s="5714"/>
      <c r="H225" s="5715" t="s">
        <v>2431</v>
      </c>
      <c r="I225" s="5715"/>
      <c r="J225" s="5715"/>
      <c r="K225" s="5715"/>
      <c r="L225" s="2203"/>
      <c r="M225" s="2203"/>
    </row>
    <row r="226" spans="1:13" ht="24">
      <c r="A226" s="3016" t="s">
        <v>2104</v>
      </c>
      <c r="B226" s="3016" t="s">
        <v>2099</v>
      </c>
      <c r="C226" s="3016" t="s">
        <v>2100</v>
      </c>
      <c r="D226" s="3016" t="s">
        <v>2105</v>
      </c>
      <c r="E226" s="3015" t="s">
        <v>2432</v>
      </c>
      <c r="F226" s="2213" t="s">
        <v>1038</v>
      </c>
      <c r="G226" s="3016" t="s">
        <v>1039</v>
      </c>
      <c r="H226" s="3017" t="s">
        <v>1607</v>
      </c>
      <c r="I226" s="3017" t="s">
        <v>1608</v>
      </c>
      <c r="J226" s="3018" t="s">
        <v>1609</v>
      </c>
      <c r="K226" s="3017" t="s">
        <v>1610</v>
      </c>
      <c r="L226" s="2203"/>
      <c r="M226" s="2203"/>
    </row>
    <row r="227" spans="1:13">
      <c r="A227" s="3024" t="s">
        <v>3</v>
      </c>
      <c r="B227" s="3025">
        <v>2802</v>
      </c>
      <c r="C227" s="3026">
        <v>1283</v>
      </c>
      <c r="D227" s="3025">
        <v>1119</v>
      </c>
      <c r="E227" s="3027">
        <f t="shared" ref="E227:E232" si="6">D227*100/C227</f>
        <v>87.217459080280591</v>
      </c>
      <c r="F227" s="3028">
        <v>0.78799249530956839</v>
      </c>
      <c r="G227" s="3028">
        <v>0.2120075046904315</v>
      </c>
      <c r="H227" s="3029">
        <v>4.9457177322074788E-2</v>
      </c>
      <c r="I227" s="3029">
        <v>0.11097708082026538</v>
      </c>
      <c r="J227" s="3029">
        <v>0.34137515078407721</v>
      </c>
      <c r="K227" s="3029">
        <v>0.49819059107358266</v>
      </c>
      <c r="L227" s="2203"/>
      <c r="M227" s="2203"/>
    </row>
    <row r="228" spans="1:13">
      <c r="A228" s="3030" t="s">
        <v>59</v>
      </c>
      <c r="B228" s="3031">
        <v>285</v>
      </c>
      <c r="C228" s="3032">
        <v>285</v>
      </c>
      <c r="D228" s="3031">
        <v>192</v>
      </c>
      <c r="E228" s="3033">
        <f t="shared" si="6"/>
        <v>67.368421052631575</v>
      </c>
      <c r="F228" s="3034">
        <v>0.75977653631284925</v>
      </c>
      <c r="G228" s="3034">
        <v>0.24022346368715083</v>
      </c>
      <c r="H228" s="3035">
        <v>8.2089552238805971E-2</v>
      </c>
      <c r="I228" s="3035">
        <v>0.17164179104477612</v>
      </c>
      <c r="J228" s="3035">
        <v>0.32835820895522388</v>
      </c>
      <c r="K228" s="3035">
        <v>0.41791044776119407</v>
      </c>
      <c r="L228" s="2203"/>
      <c r="M228" s="2203"/>
    </row>
    <row r="229" spans="1:13">
      <c r="A229" s="3030" t="s">
        <v>25</v>
      </c>
      <c r="B229" s="3031">
        <v>2309</v>
      </c>
      <c r="C229" s="3032">
        <v>1305</v>
      </c>
      <c r="D229" s="3031">
        <v>956</v>
      </c>
      <c r="E229" s="3033">
        <f t="shared" si="6"/>
        <v>73.256704980842912</v>
      </c>
      <c r="F229" s="3034">
        <v>0.63806380638063809</v>
      </c>
      <c r="G229" s="3034">
        <v>0.36193619361936191</v>
      </c>
      <c r="H229" s="3035">
        <v>0.10193321616871705</v>
      </c>
      <c r="I229" s="3035">
        <v>0.15817223198594024</v>
      </c>
      <c r="J229" s="3035">
        <v>0.35852372583479791</v>
      </c>
      <c r="K229" s="3035">
        <v>0.38137082601054478</v>
      </c>
      <c r="L229" s="2203"/>
      <c r="M229" s="2203"/>
    </row>
    <row r="230" spans="1:13">
      <c r="A230" s="3030" t="s">
        <v>244</v>
      </c>
      <c r="B230" s="3031">
        <v>30</v>
      </c>
      <c r="C230" s="3032">
        <v>30</v>
      </c>
      <c r="D230" s="3031">
        <v>24</v>
      </c>
      <c r="E230" s="3033">
        <f t="shared" si="6"/>
        <v>80</v>
      </c>
      <c r="F230" s="3034">
        <v>0.59090909090909094</v>
      </c>
      <c r="G230" s="3034">
        <v>0.40909090909090906</v>
      </c>
      <c r="H230" s="3035">
        <v>7.6923076923076927E-2</v>
      </c>
      <c r="I230" s="3035">
        <v>0.38461538461538458</v>
      </c>
      <c r="J230" s="3035">
        <v>0.38461538461538458</v>
      </c>
      <c r="K230" s="3035">
        <v>0.15384615384615385</v>
      </c>
      <c r="L230" s="2203"/>
      <c r="M230" s="2203"/>
    </row>
    <row r="231" spans="1:13">
      <c r="A231" s="3036" t="s">
        <v>48</v>
      </c>
      <c r="B231" s="3037">
        <v>4739</v>
      </c>
      <c r="C231" s="3038">
        <v>1494</v>
      </c>
      <c r="D231" s="3037">
        <v>1587</v>
      </c>
      <c r="E231" s="3039">
        <f t="shared" si="6"/>
        <v>106.22489959839358</v>
      </c>
      <c r="F231" s="3040">
        <v>0.70838881491344874</v>
      </c>
      <c r="G231" s="3040">
        <v>0.29161118508655126</v>
      </c>
      <c r="H231" s="3041">
        <v>6.8506184586108465E-2</v>
      </c>
      <c r="I231" s="3041">
        <v>0.11132254995242626</v>
      </c>
      <c r="J231" s="3041">
        <v>0.30827783063748809</v>
      </c>
      <c r="K231" s="3041">
        <v>0.5118934348239772</v>
      </c>
      <c r="L231" s="2203"/>
      <c r="M231" s="2203"/>
    </row>
    <row r="232" spans="1:13">
      <c r="A232" s="3019" t="s">
        <v>15</v>
      </c>
      <c r="B232" s="3016">
        <f>SUM(B227:B231)</f>
        <v>10165</v>
      </c>
      <c r="C232" s="3020">
        <f>SUM(C227:C231)</f>
        <v>4397</v>
      </c>
      <c r="D232" s="3016">
        <f>SUM(D227:D231)</f>
        <v>3878</v>
      </c>
      <c r="E232" s="3021">
        <f t="shared" si="6"/>
        <v>88.196497612008187</v>
      </c>
      <c r="F232" s="2212">
        <v>0.71587819467101677</v>
      </c>
      <c r="G232" s="3022">
        <v>0.28412180532898312</v>
      </c>
      <c r="H232" s="3023">
        <v>7.0493066255778128E-2</v>
      </c>
      <c r="I232" s="3023">
        <v>0.12596302003081664</v>
      </c>
      <c r="J232" s="3023">
        <v>0.33127889060092452</v>
      </c>
      <c r="K232" s="3023">
        <v>0.47226502311248075</v>
      </c>
      <c r="L232" s="2203"/>
      <c r="M232" s="2203"/>
    </row>
    <row r="233" spans="1:13">
      <c r="A233" s="2203"/>
      <c r="B233" s="2203"/>
      <c r="C233" s="2203"/>
      <c r="D233" s="2203"/>
      <c r="E233" s="2203"/>
      <c r="F233" s="2203"/>
      <c r="G233" s="2203"/>
      <c r="H233" s="2203"/>
      <c r="I233" s="2203"/>
      <c r="J233" s="2203"/>
      <c r="K233" s="2203"/>
      <c r="L233" s="2203"/>
      <c r="M233" s="2203"/>
    </row>
    <row r="234" spans="1:13">
      <c r="A234" s="115"/>
      <c r="B234" s="115"/>
      <c r="C234" s="115"/>
      <c r="D234" s="115"/>
      <c r="E234" s="115"/>
      <c r="F234" s="115"/>
      <c r="G234" s="115"/>
      <c r="H234" s="5716" t="s">
        <v>2430</v>
      </c>
      <c r="I234" s="5716"/>
      <c r="J234" s="5716" t="s">
        <v>2431</v>
      </c>
      <c r="K234" s="5716"/>
      <c r="L234" s="5716"/>
      <c r="M234" s="5716"/>
    </row>
    <row r="235" spans="1:13" ht="20.399999999999999">
      <c r="A235" s="4403" t="s">
        <v>0</v>
      </c>
      <c r="B235" s="4404" t="s">
        <v>1</v>
      </c>
      <c r="C235" s="4405" t="s">
        <v>2628</v>
      </c>
      <c r="D235" s="4406" t="s">
        <v>2099</v>
      </c>
      <c r="E235" s="4293" t="s">
        <v>2100</v>
      </c>
      <c r="F235" s="4293" t="s">
        <v>2105</v>
      </c>
      <c r="G235" s="4294" t="s">
        <v>2432</v>
      </c>
      <c r="H235" s="4293" t="s">
        <v>1038</v>
      </c>
      <c r="I235" s="4293" t="s">
        <v>1039</v>
      </c>
      <c r="J235" s="4296" t="s">
        <v>1607</v>
      </c>
      <c r="K235" s="4296" t="s">
        <v>1608</v>
      </c>
      <c r="L235" s="4297" t="s">
        <v>1609</v>
      </c>
      <c r="M235" s="4296" t="s">
        <v>1610</v>
      </c>
    </row>
    <row r="236" spans="1:13">
      <c r="A236" s="5710" t="s">
        <v>3</v>
      </c>
      <c r="B236" s="5711" t="s">
        <v>2439</v>
      </c>
      <c r="C236" s="4407" t="s">
        <v>527</v>
      </c>
      <c r="D236" s="4408">
        <v>122</v>
      </c>
      <c r="E236" s="4408">
        <v>51</v>
      </c>
      <c r="F236" s="4409">
        <v>58</v>
      </c>
      <c r="G236" s="4410">
        <v>100</v>
      </c>
      <c r="H236" s="4411">
        <v>0.65384615384615385</v>
      </c>
      <c r="I236" s="4411">
        <v>0.34615384615384615</v>
      </c>
      <c r="J236" s="4412">
        <v>6.0606060606060608E-2</v>
      </c>
      <c r="K236" s="4412">
        <v>0.2121212121212121</v>
      </c>
      <c r="L236" s="4412">
        <v>0.45454545454545453</v>
      </c>
      <c r="M236" s="4412">
        <v>0.27272727272727271</v>
      </c>
    </row>
    <row r="237" spans="1:13">
      <c r="A237" s="5710"/>
      <c r="B237" s="5711"/>
      <c r="C237" s="4413" t="s">
        <v>528</v>
      </c>
      <c r="D237" s="4310">
        <v>103</v>
      </c>
      <c r="E237" s="4310">
        <v>53</v>
      </c>
      <c r="F237" s="4414">
        <v>38</v>
      </c>
      <c r="G237" s="4415">
        <f t="shared" ref="G237:G290" si="7">F237*100/E237</f>
        <v>71.698113207547166</v>
      </c>
      <c r="H237" s="4416">
        <v>0.875</v>
      </c>
      <c r="I237" s="4416">
        <v>0.125</v>
      </c>
      <c r="J237" s="4417">
        <v>0</v>
      </c>
      <c r="K237" s="4417">
        <v>8.5714285714285715E-2</v>
      </c>
      <c r="L237" s="4417">
        <v>0.31428571428571428</v>
      </c>
      <c r="M237" s="4417">
        <v>0.6</v>
      </c>
    </row>
    <row r="238" spans="1:13">
      <c r="A238" s="5710"/>
      <c r="B238" s="5711"/>
      <c r="C238" s="4413" t="s">
        <v>783</v>
      </c>
      <c r="D238" s="4310">
        <v>47</v>
      </c>
      <c r="E238" s="4310">
        <v>24</v>
      </c>
      <c r="F238" s="4414">
        <v>14</v>
      </c>
      <c r="G238" s="4415">
        <f t="shared" si="7"/>
        <v>58.333333333333336</v>
      </c>
      <c r="H238" s="4416">
        <v>0.9285714285714286</v>
      </c>
      <c r="I238" s="4416">
        <v>7.1428571428571438E-2</v>
      </c>
      <c r="J238" s="4417">
        <v>7.6923076923076927E-2</v>
      </c>
      <c r="K238" s="4417">
        <v>0</v>
      </c>
      <c r="L238" s="4417">
        <v>0.46153846153846151</v>
      </c>
      <c r="M238" s="4417">
        <v>0.46153846153846151</v>
      </c>
    </row>
    <row r="239" spans="1:13">
      <c r="A239" s="5710"/>
      <c r="B239" s="5711"/>
      <c r="C239" s="4413" t="s">
        <v>530</v>
      </c>
      <c r="D239" s="4310">
        <v>36</v>
      </c>
      <c r="E239" s="4310">
        <v>36</v>
      </c>
      <c r="F239" s="4414">
        <v>19</v>
      </c>
      <c r="G239" s="4415">
        <f t="shared" si="7"/>
        <v>52.777777777777779</v>
      </c>
      <c r="H239" s="4416">
        <v>0.4210526315789474</v>
      </c>
      <c r="I239" s="4416">
        <v>0.57894736842105265</v>
      </c>
      <c r="J239" s="4417">
        <v>0</v>
      </c>
      <c r="K239" s="4417">
        <v>0</v>
      </c>
      <c r="L239" s="4417">
        <v>0.375</v>
      </c>
      <c r="M239" s="4417">
        <v>0.625</v>
      </c>
    </row>
    <row r="240" spans="1:13">
      <c r="A240" s="5710"/>
      <c r="B240" s="5711"/>
      <c r="C240" s="4413" t="s">
        <v>784</v>
      </c>
      <c r="D240" s="4310">
        <v>183</v>
      </c>
      <c r="E240" s="4310">
        <v>78</v>
      </c>
      <c r="F240" s="4414">
        <v>70</v>
      </c>
      <c r="G240" s="4415">
        <f t="shared" si="7"/>
        <v>89.743589743589737</v>
      </c>
      <c r="H240" s="4416">
        <v>0.89705882352941169</v>
      </c>
      <c r="I240" s="4416">
        <v>0.10294117647058824</v>
      </c>
      <c r="J240" s="4417">
        <v>3.2786885245901641E-2</v>
      </c>
      <c r="K240" s="4417">
        <v>8.1967213114754092E-2</v>
      </c>
      <c r="L240" s="4417">
        <v>0.4098360655737705</v>
      </c>
      <c r="M240" s="4417">
        <v>0.47540983606557374</v>
      </c>
    </row>
    <row r="241" spans="1:13">
      <c r="A241" s="5710"/>
      <c r="B241" s="5711"/>
      <c r="C241" s="4413" t="s">
        <v>785</v>
      </c>
      <c r="D241" s="4310">
        <v>107</v>
      </c>
      <c r="E241" s="4310">
        <v>45</v>
      </c>
      <c r="F241" s="4414">
        <v>40</v>
      </c>
      <c r="G241" s="4415">
        <f t="shared" si="7"/>
        <v>88.888888888888886</v>
      </c>
      <c r="H241" s="4416">
        <v>0.79487179487179493</v>
      </c>
      <c r="I241" s="4416">
        <v>0.20512820512820515</v>
      </c>
      <c r="J241" s="4417">
        <v>0</v>
      </c>
      <c r="K241" s="4417">
        <v>0.12903225806451613</v>
      </c>
      <c r="L241" s="4417">
        <v>0.32258064516129031</v>
      </c>
      <c r="M241" s="4417">
        <v>0.54838709677419351</v>
      </c>
    </row>
    <row r="242" spans="1:13">
      <c r="A242" s="5710"/>
      <c r="B242" s="5711"/>
      <c r="C242" s="4413" t="s">
        <v>786</v>
      </c>
      <c r="D242" s="4310">
        <v>21</v>
      </c>
      <c r="E242" s="4310">
        <v>21</v>
      </c>
      <c r="F242" s="4414">
        <v>6</v>
      </c>
      <c r="G242" s="4415">
        <f t="shared" si="7"/>
        <v>28.571428571428573</v>
      </c>
      <c r="H242" s="4416">
        <v>1</v>
      </c>
      <c r="I242" s="4416">
        <v>0</v>
      </c>
      <c r="J242" s="4417">
        <v>0</v>
      </c>
      <c r="K242" s="4417">
        <v>0</v>
      </c>
      <c r="L242" s="4417">
        <v>0.66666666666666674</v>
      </c>
      <c r="M242" s="4417">
        <v>0.33333333333333337</v>
      </c>
    </row>
    <row r="243" spans="1:13">
      <c r="A243" s="5710"/>
      <c r="B243" s="5711"/>
      <c r="C243" s="4413" t="s">
        <v>531</v>
      </c>
      <c r="D243" s="4310">
        <v>103</v>
      </c>
      <c r="E243" s="4310">
        <v>44</v>
      </c>
      <c r="F243" s="4414">
        <v>44</v>
      </c>
      <c r="G243" s="4415">
        <f t="shared" si="7"/>
        <v>100</v>
      </c>
      <c r="H243" s="4416">
        <v>0.625</v>
      </c>
      <c r="I243" s="4416">
        <v>0.375</v>
      </c>
      <c r="J243" s="4417">
        <v>0.04</v>
      </c>
      <c r="K243" s="4417">
        <v>0.08</v>
      </c>
      <c r="L243" s="4417">
        <v>0.44</v>
      </c>
      <c r="M243" s="4417">
        <v>0.44</v>
      </c>
    </row>
    <row r="244" spans="1:13">
      <c r="A244" s="5710"/>
      <c r="B244" s="5711"/>
      <c r="C244" s="4413" t="s">
        <v>787</v>
      </c>
      <c r="D244" s="4310">
        <v>136</v>
      </c>
      <c r="E244" s="4310">
        <v>60</v>
      </c>
      <c r="F244" s="4414">
        <v>53</v>
      </c>
      <c r="G244" s="4415">
        <f t="shared" si="7"/>
        <v>88.333333333333329</v>
      </c>
      <c r="H244" s="4416">
        <v>0.84615384615384615</v>
      </c>
      <c r="I244" s="4416">
        <v>0.15384615384615385</v>
      </c>
      <c r="J244" s="4417">
        <v>2.3255813953488372E-2</v>
      </c>
      <c r="K244" s="4417">
        <v>0.20930232558139536</v>
      </c>
      <c r="L244" s="4417">
        <v>0.51162790697674421</v>
      </c>
      <c r="M244" s="4417">
        <v>0.2558139534883721</v>
      </c>
    </row>
    <row r="245" spans="1:13">
      <c r="A245" s="5710"/>
      <c r="B245" s="5711"/>
      <c r="C245" s="4418" t="s">
        <v>529</v>
      </c>
      <c r="D245" s="4315">
        <v>158</v>
      </c>
      <c r="E245" s="4315">
        <v>67</v>
      </c>
      <c r="F245" s="4419">
        <v>57</v>
      </c>
      <c r="G245" s="4420">
        <f t="shared" si="7"/>
        <v>85.074626865671647</v>
      </c>
      <c r="H245" s="4421">
        <v>0.92727272727272736</v>
      </c>
      <c r="I245" s="4421">
        <v>7.2727272727272724E-2</v>
      </c>
      <c r="J245" s="4422">
        <v>0</v>
      </c>
      <c r="K245" s="4422">
        <v>0.08</v>
      </c>
      <c r="L245" s="4422">
        <v>0.18</v>
      </c>
      <c r="M245" s="4422">
        <v>0.74</v>
      </c>
    </row>
    <row r="246" spans="1:13">
      <c r="A246" s="5710"/>
      <c r="B246" s="5711" t="s">
        <v>2434</v>
      </c>
      <c r="C246" s="4423" t="s">
        <v>17</v>
      </c>
      <c r="D246" s="4324">
        <v>353</v>
      </c>
      <c r="E246" s="4324">
        <v>141</v>
      </c>
      <c r="F246" s="4424">
        <v>144</v>
      </c>
      <c r="G246" s="4425">
        <v>100</v>
      </c>
      <c r="H246" s="4426">
        <v>0.84671532846715325</v>
      </c>
      <c r="I246" s="4426">
        <v>0.15328467153284672</v>
      </c>
      <c r="J246" s="4426">
        <v>2.7027027027027025E-2</v>
      </c>
      <c r="K246" s="4426">
        <v>0.11711711711711711</v>
      </c>
      <c r="L246" s="4426">
        <v>0.52252252252252251</v>
      </c>
      <c r="M246" s="4426">
        <v>0.33333333333333337</v>
      </c>
    </row>
    <row r="247" spans="1:13">
      <c r="A247" s="5710"/>
      <c r="B247" s="5711"/>
      <c r="C247" s="4413" t="s">
        <v>18</v>
      </c>
      <c r="D247" s="4310">
        <v>529</v>
      </c>
      <c r="E247" s="4310">
        <v>209</v>
      </c>
      <c r="F247" s="4414">
        <v>201</v>
      </c>
      <c r="G247" s="4415">
        <f t="shared" si="7"/>
        <v>96.172248803827756</v>
      </c>
      <c r="H247" s="4417">
        <v>0.71505376344086014</v>
      </c>
      <c r="I247" s="4417">
        <v>0.28494623655913981</v>
      </c>
      <c r="J247" s="4417">
        <v>6.0606060606060608E-2</v>
      </c>
      <c r="K247" s="4417">
        <v>0.10606060606060605</v>
      </c>
      <c r="L247" s="4417">
        <v>0.18939393939393936</v>
      </c>
      <c r="M247" s="4417">
        <v>0.64393939393939392</v>
      </c>
    </row>
    <row r="248" spans="1:13">
      <c r="A248" s="5710"/>
      <c r="B248" s="5711"/>
      <c r="C248" s="4413" t="s">
        <v>19</v>
      </c>
      <c r="D248" s="4310">
        <v>142</v>
      </c>
      <c r="E248" s="4310">
        <v>56</v>
      </c>
      <c r="F248" s="4414">
        <v>54</v>
      </c>
      <c r="G248" s="4415">
        <f t="shared" si="7"/>
        <v>96.428571428571431</v>
      </c>
      <c r="H248" s="4417">
        <v>0.80769230769230771</v>
      </c>
      <c r="I248" s="4417">
        <v>0.19230769230769229</v>
      </c>
      <c r="J248" s="4417">
        <v>0.21428571428571427</v>
      </c>
      <c r="K248" s="4417">
        <v>0.16666666666666669</v>
      </c>
      <c r="L248" s="4417">
        <v>0.30952380952380953</v>
      </c>
      <c r="M248" s="4417">
        <v>0.30952380952380953</v>
      </c>
    </row>
    <row r="249" spans="1:13">
      <c r="A249" s="5710"/>
      <c r="B249" s="5711"/>
      <c r="C249" s="4418" t="s">
        <v>20</v>
      </c>
      <c r="D249" s="4315">
        <v>147</v>
      </c>
      <c r="E249" s="4315">
        <v>59</v>
      </c>
      <c r="F249" s="4419">
        <v>61</v>
      </c>
      <c r="G249" s="4420">
        <v>100</v>
      </c>
      <c r="H249" s="4422">
        <v>0.6271186440677966</v>
      </c>
      <c r="I249" s="4422">
        <v>0.3728813559322034</v>
      </c>
      <c r="J249" s="4422">
        <v>0.1081081081081081</v>
      </c>
      <c r="K249" s="4422">
        <v>0.24324324324324323</v>
      </c>
      <c r="L249" s="4422">
        <v>0.48648648648648646</v>
      </c>
      <c r="M249" s="4422">
        <v>0.16216216216216217</v>
      </c>
    </row>
    <row r="250" spans="1:13">
      <c r="A250" s="5710"/>
      <c r="B250" s="5711" t="s">
        <v>2435</v>
      </c>
      <c r="C250" s="4423" t="s">
        <v>22</v>
      </c>
      <c r="D250" s="4324">
        <v>203</v>
      </c>
      <c r="E250" s="4324">
        <v>112</v>
      </c>
      <c r="F250" s="4424">
        <v>80</v>
      </c>
      <c r="G250" s="4425">
        <f t="shared" si="7"/>
        <v>71.428571428571431</v>
      </c>
      <c r="H250" s="4426">
        <v>0.88461538461538469</v>
      </c>
      <c r="I250" s="4426">
        <v>0.11538461538461538</v>
      </c>
      <c r="J250" s="4426">
        <v>4.3478260869565216E-2</v>
      </c>
      <c r="K250" s="4426">
        <v>2.8985507246376812E-2</v>
      </c>
      <c r="L250" s="4426">
        <v>0.24637681159420288</v>
      </c>
      <c r="M250" s="4426">
        <v>0.68115942028985499</v>
      </c>
    </row>
    <row r="251" spans="1:13">
      <c r="A251" s="5710"/>
      <c r="B251" s="5711"/>
      <c r="C251" s="4413" t="s">
        <v>2115</v>
      </c>
      <c r="D251" s="4310">
        <v>246</v>
      </c>
      <c r="E251" s="4310">
        <v>136</v>
      </c>
      <c r="F251" s="4414">
        <v>106</v>
      </c>
      <c r="G251" s="4415">
        <f t="shared" si="7"/>
        <v>77.941176470588232</v>
      </c>
      <c r="H251" s="4417">
        <v>0.8</v>
      </c>
      <c r="I251" s="4417">
        <v>0.2</v>
      </c>
      <c r="J251" s="4417">
        <v>3.7974683544303799E-2</v>
      </c>
      <c r="K251" s="4417">
        <v>7.5949367088607597E-2</v>
      </c>
      <c r="L251" s="4417">
        <v>0.24050632911392406</v>
      </c>
      <c r="M251" s="4417">
        <v>0.64556962025316456</v>
      </c>
    </row>
    <row r="252" spans="1:13">
      <c r="A252" s="5710"/>
      <c r="B252" s="5711"/>
      <c r="C252" s="4418" t="s">
        <v>2116</v>
      </c>
      <c r="D252" s="4315">
        <v>166</v>
      </c>
      <c r="E252" s="4315">
        <v>91</v>
      </c>
      <c r="F252" s="4419">
        <v>74</v>
      </c>
      <c r="G252" s="4420">
        <f t="shared" si="7"/>
        <v>81.318681318681314</v>
      </c>
      <c r="H252" s="4422">
        <v>0.79710144927536231</v>
      </c>
      <c r="I252" s="4422">
        <v>0.20289855072463769</v>
      </c>
      <c r="J252" s="4422">
        <v>7.407407407407407E-2</v>
      </c>
      <c r="K252" s="4422">
        <v>0.12962962962962965</v>
      </c>
      <c r="L252" s="4422">
        <v>0.31481481481481483</v>
      </c>
      <c r="M252" s="4422">
        <v>0.48148148148148145</v>
      </c>
    </row>
    <row r="253" spans="1:13">
      <c r="A253" s="5703" t="s">
        <v>59</v>
      </c>
      <c r="B253" s="5710" t="s">
        <v>2434</v>
      </c>
      <c r="C253" s="4423" t="s">
        <v>17</v>
      </c>
      <c r="D253" s="4324">
        <v>58</v>
      </c>
      <c r="E253" s="4324">
        <v>58</v>
      </c>
      <c r="F253" s="4424">
        <v>39</v>
      </c>
      <c r="G253" s="4425">
        <f t="shared" si="7"/>
        <v>67.241379310344826</v>
      </c>
      <c r="H253" s="4427">
        <v>0.74358974358974361</v>
      </c>
      <c r="I253" s="4427">
        <v>0.25641025641025644</v>
      </c>
      <c r="J253" s="4426">
        <v>0.10714285714285714</v>
      </c>
      <c r="K253" s="4426">
        <v>0.21428571428571427</v>
      </c>
      <c r="L253" s="4426">
        <v>0.35714285714285715</v>
      </c>
      <c r="M253" s="4426">
        <v>0.32142857142857145</v>
      </c>
    </row>
    <row r="254" spans="1:13">
      <c r="A254" s="5703"/>
      <c r="B254" s="5710"/>
      <c r="C254" s="4413" t="s">
        <v>60</v>
      </c>
      <c r="D254" s="4310">
        <v>23</v>
      </c>
      <c r="E254" s="4310">
        <v>23</v>
      </c>
      <c r="F254" s="4414">
        <v>18</v>
      </c>
      <c r="G254" s="4415">
        <f t="shared" si="7"/>
        <v>78.260869565217391</v>
      </c>
      <c r="H254" s="4416">
        <v>0.76470588235294112</v>
      </c>
      <c r="I254" s="4416">
        <v>0.23529411764705885</v>
      </c>
      <c r="J254" s="4417">
        <v>0.25</v>
      </c>
      <c r="K254" s="4417">
        <v>0.16666666666666669</v>
      </c>
      <c r="L254" s="4417">
        <v>0.41666666666666663</v>
      </c>
      <c r="M254" s="4417">
        <v>0.16666666666666669</v>
      </c>
    </row>
    <row r="255" spans="1:13">
      <c r="A255" s="5703"/>
      <c r="B255" s="5710"/>
      <c r="C255" s="4413" t="s">
        <v>413</v>
      </c>
      <c r="D255" s="4310">
        <v>15</v>
      </c>
      <c r="E255" s="4310">
        <v>15</v>
      </c>
      <c r="F255" s="4414">
        <v>11</v>
      </c>
      <c r="G255" s="4415">
        <f t="shared" si="7"/>
        <v>73.333333333333329</v>
      </c>
      <c r="H255" s="4416">
        <v>0.77777777777777768</v>
      </c>
      <c r="I255" s="4416">
        <v>0.22222222222222221</v>
      </c>
      <c r="J255" s="4417">
        <v>0.14285714285714288</v>
      </c>
      <c r="K255" s="4417">
        <v>0.28571428571428575</v>
      </c>
      <c r="L255" s="4417">
        <v>0.14285714285714288</v>
      </c>
      <c r="M255" s="4417">
        <v>0.42857142857142855</v>
      </c>
    </row>
    <row r="256" spans="1:13">
      <c r="A256" s="5703"/>
      <c r="B256" s="5710"/>
      <c r="C256" s="4418" t="s">
        <v>18</v>
      </c>
      <c r="D256" s="4315">
        <v>0</v>
      </c>
      <c r="E256" s="4315">
        <v>0</v>
      </c>
      <c r="F256" s="4419">
        <v>0</v>
      </c>
      <c r="G256" s="4420">
        <v>0</v>
      </c>
      <c r="H256" s="4421">
        <v>0</v>
      </c>
      <c r="I256" s="4421">
        <v>0</v>
      </c>
      <c r="J256" s="4422">
        <v>0</v>
      </c>
      <c r="K256" s="4422">
        <v>0</v>
      </c>
      <c r="L256" s="4422">
        <v>0</v>
      </c>
      <c r="M256" s="4422">
        <v>0</v>
      </c>
    </row>
    <row r="257" spans="1:13">
      <c r="A257" s="5703"/>
      <c r="B257" s="5710" t="s">
        <v>2437</v>
      </c>
      <c r="C257" s="4423" t="s">
        <v>62</v>
      </c>
      <c r="D257" s="4324">
        <v>45</v>
      </c>
      <c r="E257" s="4324">
        <v>45</v>
      </c>
      <c r="F257" s="4424">
        <v>28</v>
      </c>
      <c r="G257" s="4425">
        <f t="shared" si="7"/>
        <v>62.222222222222221</v>
      </c>
      <c r="H257" s="4427">
        <v>0.88888888888888884</v>
      </c>
      <c r="I257" s="4427">
        <v>0.1111111111111111</v>
      </c>
      <c r="J257" s="4426">
        <v>8.3333333333333343E-2</v>
      </c>
      <c r="K257" s="4426">
        <v>0.16666666666666669</v>
      </c>
      <c r="L257" s="4426">
        <v>0.33333333333333337</v>
      </c>
      <c r="M257" s="4426">
        <v>0.41666666666666663</v>
      </c>
    </row>
    <row r="258" spans="1:13">
      <c r="A258" s="5703"/>
      <c r="B258" s="5710"/>
      <c r="C258" s="4413" t="s">
        <v>2137</v>
      </c>
      <c r="D258" s="4310">
        <v>11</v>
      </c>
      <c r="E258" s="4310">
        <v>11</v>
      </c>
      <c r="F258" s="4414">
        <v>7</v>
      </c>
      <c r="G258" s="4415">
        <f t="shared" si="7"/>
        <v>63.636363636363633</v>
      </c>
      <c r="H258" s="4416">
        <v>1</v>
      </c>
      <c r="I258" s="4416">
        <v>0</v>
      </c>
      <c r="J258" s="4417">
        <v>0</v>
      </c>
      <c r="K258" s="4417">
        <v>0</v>
      </c>
      <c r="L258" s="4417">
        <v>0.16666666666666669</v>
      </c>
      <c r="M258" s="4417">
        <v>0.83333333333333326</v>
      </c>
    </row>
    <row r="259" spans="1:13">
      <c r="A259" s="5703"/>
      <c r="B259" s="5710"/>
      <c r="C259" s="4418" t="s">
        <v>63</v>
      </c>
      <c r="D259" s="4315">
        <v>57</v>
      </c>
      <c r="E259" s="4315">
        <v>57</v>
      </c>
      <c r="F259" s="4419">
        <v>38</v>
      </c>
      <c r="G259" s="4420">
        <f t="shared" si="7"/>
        <v>66.666666666666671</v>
      </c>
      <c r="H259" s="4421">
        <v>0.83333333333333326</v>
      </c>
      <c r="I259" s="4421">
        <v>0.16666666666666669</v>
      </c>
      <c r="J259" s="4422">
        <v>6.6666666666666666E-2</v>
      </c>
      <c r="K259" s="4422">
        <v>0.1</v>
      </c>
      <c r="L259" s="4422">
        <v>0.4</v>
      </c>
      <c r="M259" s="4422">
        <v>0.43333333333333335</v>
      </c>
    </row>
    <row r="260" spans="1:13">
      <c r="A260" s="5703"/>
      <c r="B260" s="5710" t="s">
        <v>2438</v>
      </c>
      <c r="C260" s="4423" t="s">
        <v>529</v>
      </c>
      <c r="D260" s="4324">
        <v>23</v>
      </c>
      <c r="E260" s="4324">
        <v>23</v>
      </c>
      <c r="F260" s="4424">
        <v>17</v>
      </c>
      <c r="G260" s="4425">
        <f t="shared" si="7"/>
        <v>73.913043478260875</v>
      </c>
      <c r="H260" s="4427">
        <v>0.93333333333333324</v>
      </c>
      <c r="I260" s="4427">
        <v>6.6666666666666666E-2</v>
      </c>
      <c r="J260" s="4426">
        <v>0</v>
      </c>
      <c r="K260" s="4426">
        <v>7.1428571428571438E-2</v>
      </c>
      <c r="L260" s="4426">
        <v>0.14285714285714288</v>
      </c>
      <c r="M260" s="4426">
        <v>0.7857142857142857</v>
      </c>
    </row>
    <row r="261" spans="1:13">
      <c r="A261" s="5703"/>
      <c r="B261" s="5710"/>
      <c r="C261" s="4413" t="s">
        <v>65</v>
      </c>
      <c r="D261" s="4310">
        <v>12</v>
      </c>
      <c r="E261" s="4310">
        <v>12</v>
      </c>
      <c r="F261" s="4414">
        <v>8</v>
      </c>
      <c r="G261" s="4415">
        <f t="shared" si="7"/>
        <v>66.666666666666671</v>
      </c>
      <c r="H261" s="4416">
        <v>0.57142857142857151</v>
      </c>
      <c r="I261" s="4416">
        <v>0.42857142857142855</v>
      </c>
      <c r="J261" s="4417">
        <v>0</v>
      </c>
      <c r="K261" s="4417">
        <v>0.25</v>
      </c>
      <c r="L261" s="4417">
        <v>0.5</v>
      </c>
      <c r="M261" s="4417">
        <v>0.25</v>
      </c>
    </row>
    <row r="262" spans="1:13">
      <c r="A262" s="5703"/>
      <c r="B262" s="5710"/>
      <c r="C262" s="4413" t="s">
        <v>415</v>
      </c>
      <c r="D262" s="4310">
        <v>15</v>
      </c>
      <c r="E262" s="4310">
        <v>15</v>
      </c>
      <c r="F262" s="4414">
        <v>8</v>
      </c>
      <c r="G262" s="4415">
        <f t="shared" si="7"/>
        <v>53.333333333333336</v>
      </c>
      <c r="H262" s="4417">
        <v>0.42857142857142855</v>
      </c>
      <c r="I262" s="4417">
        <v>0.57142857142857151</v>
      </c>
      <c r="J262" s="4417">
        <v>0</v>
      </c>
      <c r="K262" s="4417">
        <v>0.66666666666666674</v>
      </c>
      <c r="L262" s="4417">
        <v>0.33333333333333337</v>
      </c>
      <c r="M262" s="4417">
        <v>0</v>
      </c>
    </row>
    <row r="263" spans="1:13">
      <c r="A263" s="5703"/>
      <c r="B263" s="5710"/>
      <c r="C263" s="4418" t="s">
        <v>81</v>
      </c>
      <c r="D263" s="4315">
        <v>26</v>
      </c>
      <c r="E263" s="4315">
        <v>26</v>
      </c>
      <c r="F263" s="4419">
        <v>18</v>
      </c>
      <c r="G263" s="4420">
        <f t="shared" si="7"/>
        <v>69.230769230769226</v>
      </c>
      <c r="H263" s="4422">
        <v>0.375</v>
      </c>
      <c r="I263" s="4422">
        <v>0.625</v>
      </c>
      <c r="J263" s="4422">
        <v>0</v>
      </c>
      <c r="K263" s="4422">
        <v>0.33333333333333337</v>
      </c>
      <c r="L263" s="4422">
        <v>0.33333333333333337</v>
      </c>
      <c r="M263" s="4422">
        <v>0.33333333333333337</v>
      </c>
    </row>
    <row r="264" spans="1:13">
      <c r="A264" s="5703" t="s">
        <v>25</v>
      </c>
      <c r="B264" s="5710" t="s">
        <v>2439</v>
      </c>
      <c r="C264" s="4423" t="s">
        <v>32</v>
      </c>
      <c r="D264" s="4324">
        <v>85</v>
      </c>
      <c r="E264" s="4324">
        <v>54</v>
      </c>
      <c r="F264" s="4424">
        <v>47</v>
      </c>
      <c r="G264" s="4425">
        <f t="shared" si="7"/>
        <v>87.037037037037038</v>
      </c>
      <c r="H264" s="4426">
        <v>0.8085106382978724</v>
      </c>
      <c r="I264" s="4426">
        <v>0.19148936170212769</v>
      </c>
      <c r="J264" s="4428">
        <v>5.405405405405405E-2</v>
      </c>
      <c r="K264" s="4428">
        <v>5.405405405405405E-2</v>
      </c>
      <c r="L264" s="4428">
        <v>0.1891891891891892</v>
      </c>
      <c r="M264" s="4428">
        <v>0.70270270270270274</v>
      </c>
    </row>
    <row r="265" spans="1:13">
      <c r="A265" s="5703"/>
      <c r="B265" s="5710"/>
      <c r="C265" s="4413" t="s">
        <v>29</v>
      </c>
      <c r="D265" s="4310">
        <v>38</v>
      </c>
      <c r="E265" s="4310">
        <v>38</v>
      </c>
      <c r="F265" s="4414">
        <v>18</v>
      </c>
      <c r="G265" s="4415">
        <f t="shared" si="7"/>
        <v>47.368421052631582</v>
      </c>
      <c r="H265" s="4417">
        <v>0.41176470588235298</v>
      </c>
      <c r="I265" s="4417">
        <v>0.58823529411764708</v>
      </c>
      <c r="J265" s="4429">
        <v>0</v>
      </c>
      <c r="K265" s="4429">
        <v>0</v>
      </c>
      <c r="L265" s="4430">
        <v>0.8571428571428571</v>
      </c>
      <c r="M265" s="4430">
        <v>0.14285714285714288</v>
      </c>
    </row>
    <row r="266" spans="1:13">
      <c r="A266" s="5703"/>
      <c r="B266" s="5710"/>
      <c r="C266" s="4413" t="s">
        <v>532</v>
      </c>
      <c r="D266" s="4310">
        <v>57</v>
      </c>
      <c r="E266" s="4310">
        <v>57</v>
      </c>
      <c r="F266" s="4414">
        <v>26</v>
      </c>
      <c r="G266" s="4415">
        <f t="shared" si="7"/>
        <v>45.614035087719301</v>
      </c>
      <c r="H266" s="4417">
        <v>0.82608695652173902</v>
      </c>
      <c r="I266" s="4417">
        <v>0.17391304347826086</v>
      </c>
      <c r="J266" s="4429">
        <v>0</v>
      </c>
      <c r="K266" s="4430">
        <v>0.15789473684210525</v>
      </c>
      <c r="L266" s="4430">
        <v>0.31578947368421051</v>
      </c>
      <c r="M266" s="4430">
        <v>0.52631578947368418</v>
      </c>
    </row>
    <row r="267" spans="1:13">
      <c r="A267" s="5703"/>
      <c r="B267" s="5710"/>
      <c r="C267" s="4413" t="s">
        <v>787</v>
      </c>
      <c r="D267" s="4310">
        <v>74</v>
      </c>
      <c r="E267" s="4310">
        <v>58</v>
      </c>
      <c r="F267" s="4414">
        <v>37</v>
      </c>
      <c r="G267" s="4415">
        <f t="shared" si="7"/>
        <v>63.793103448275865</v>
      </c>
      <c r="H267" s="4417">
        <v>0.80555555555555558</v>
      </c>
      <c r="I267" s="4417">
        <v>0.19444444444444442</v>
      </c>
      <c r="J267" s="4430">
        <v>0.17241379310344829</v>
      </c>
      <c r="K267" s="4430">
        <v>0.24137931034482757</v>
      </c>
      <c r="L267" s="4430">
        <v>0.34482758620689657</v>
      </c>
      <c r="M267" s="4430">
        <v>0.24137931034482757</v>
      </c>
    </row>
    <row r="268" spans="1:13">
      <c r="A268" s="5703"/>
      <c r="B268" s="5710"/>
      <c r="C268" s="4413" t="s">
        <v>269</v>
      </c>
      <c r="D268" s="4310">
        <v>49</v>
      </c>
      <c r="E268" s="4310">
        <v>49</v>
      </c>
      <c r="F268" s="4414">
        <v>25</v>
      </c>
      <c r="G268" s="4415">
        <f t="shared" si="7"/>
        <v>51.020408163265309</v>
      </c>
      <c r="H268" s="4417">
        <v>0.48</v>
      </c>
      <c r="I268" s="4417">
        <v>0.52</v>
      </c>
      <c r="J268" s="4429">
        <v>0</v>
      </c>
      <c r="K268" s="4430">
        <v>0.25</v>
      </c>
      <c r="L268" s="4430">
        <v>0.33333333333333337</v>
      </c>
      <c r="M268" s="4430">
        <v>0.41666666666666663</v>
      </c>
    </row>
    <row r="269" spans="1:13">
      <c r="A269" s="5703"/>
      <c r="B269" s="5710"/>
      <c r="C269" s="4413" t="s">
        <v>790</v>
      </c>
      <c r="D269" s="4310">
        <v>12</v>
      </c>
      <c r="E269" s="4310">
        <v>12</v>
      </c>
      <c r="F269" s="4414">
        <v>6</v>
      </c>
      <c r="G269" s="4415">
        <f t="shared" si="7"/>
        <v>50</v>
      </c>
      <c r="H269" s="4417">
        <v>0.75</v>
      </c>
      <c r="I269" s="4417">
        <v>0.25</v>
      </c>
      <c r="J269" s="4429">
        <v>0</v>
      </c>
      <c r="K269" s="4429">
        <v>0</v>
      </c>
      <c r="L269" s="4429">
        <v>0</v>
      </c>
      <c r="M269" s="4430">
        <v>1</v>
      </c>
    </row>
    <row r="270" spans="1:13">
      <c r="A270" s="5703"/>
      <c r="B270" s="5710"/>
      <c r="C270" s="4413" t="s">
        <v>531</v>
      </c>
      <c r="D270" s="4310">
        <v>60</v>
      </c>
      <c r="E270" s="4310">
        <v>46</v>
      </c>
      <c r="F270" s="4414">
        <v>31</v>
      </c>
      <c r="G270" s="4415">
        <f t="shared" si="7"/>
        <v>67.391304347826093</v>
      </c>
      <c r="H270" s="4417">
        <v>0.62962962962962965</v>
      </c>
      <c r="I270" s="4417">
        <v>0.37037037037037041</v>
      </c>
      <c r="J270" s="4430">
        <v>0.15384615384615385</v>
      </c>
      <c r="K270" s="4430">
        <v>7.6923076923076927E-2</v>
      </c>
      <c r="L270" s="4430">
        <v>0.46153846153846151</v>
      </c>
      <c r="M270" s="4430">
        <v>0.30769230769230771</v>
      </c>
    </row>
    <row r="271" spans="1:13">
      <c r="A271" s="5703"/>
      <c r="B271" s="5710"/>
      <c r="C271" s="4413" t="s">
        <v>30</v>
      </c>
      <c r="D271" s="4310">
        <v>36</v>
      </c>
      <c r="E271" s="4310">
        <v>36</v>
      </c>
      <c r="F271" s="4414">
        <v>17</v>
      </c>
      <c r="G271" s="4415">
        <f t="shared" si="7"/>
        <v>47.222222222222221</v>
      </c>
      <c r="H271" s="4417">
        <v>0.5</v>
      </c>
      <c r="I271" s="4417">
        <v>0.5</v>
      </c>
      <c r="J271" s="4430">
        <v>0.125</v>
      </c>
      <c r="K271" s="4430">
        <v>0.25</v>
      </c>
      <c r="L271" s="4430">
        <v>0.375</v>
      </c>
      <c r="M271" s="4430">
        <v>0.25</v>
      </c>
    </row>
    <row r="272" spans="1:13">
      <c r="A272" s="5703"/>
      <c r="B272" s="5710"/>
      <c r="C272" s="4418" t="s">
        <v>31</v>
      </c>
      <c r="D272" s="4315">
        <v>31</v>
      </c>
      <c r="E272" s="4315">
        <v>31</v>
      </c>
      <c r="F272" s="4419">
        <v>13</v>
      </c>
      <c r="G272" s="4420">
        <f t="shared" si="7"/>
        <v>41.935483870967744</v>
      </c>
      <c r="H272" s="4422">
        <v>0</v>
      </c>
      <c r="I272" s="4422">
        <v>1</v>
      </c>
      <c r="J272" s="4422">
        <v>0</v>
      </c>
      <c r="K272" s="4431">
        <v>0</v>
      </c>
      <c r="L272" s="4431">
        <v>0</v>
      </c>
      <c r="M272" s="4422">
        <v>0</v>
      </c>
    </row>
    <row r="273" spans="1:13">
      <c r="A273" s="5703"/>
      <c r="B273" s="5710" t="s">
        <v>2434</v>
      </c>
      <c r="C273" s="4423" t="s">
        <v>17</v>
      </c>
      <c r="D273" s="4324">
        <v>256</v>
      </c>
      <c r="E273" s="4324">
        <v>103</v>
      </c>
      <c r="F273" s="4424">
        <v>93</v>
      </c>
      <c r="G273" s="4425">
        <f t="shared" si="7"/>
        <v>90.291262135922324</v>
      </c>
      <c r="H273" s="4426">
        <v>0.72727272727272729</v>
      </c>
      <c r="I273" s="4426">
        <v>0.27272727272727271</v>
      </c>
      <c r="J273" s="4426">
        <v>3.125E-2</v>
      </c>
      <c r="K273" s="4426">
        <v>7.8125E-2</v>
      </c>
      <c r="L273" s="4426">
        <v>0.4375</v>
      </c>
      <c r="M273" s="4426">
        <v>0.453125</v>
      </c>
    </row>
    <row r="274" spans="1:13">
      <c r="A274" s="5703"/>
      <c r="B274" s="5710"/>
      <c r="C274" s="4413" t="s">
        <v>33</v>
      </c>
      <c r="D274" s="4310">
        <v>79</v>
      </c>
      <c r="E274" s="4310">
        <v>32</v>
      </c>
      <c r="F274" s="4414">
        <v>25</v>
      </c>
      <c r="G274" s="4415">
        <f t="shared" si="7"/>
        <v>78.125</v>
      </c>
      <c r="H274" s="4417">
        <v>0.48</v>
      </c>
      <c r="I274" s="4417">
        <v>0.52</v>
      </c>
      <c r="J274" s="4417">
        <v>0</v>
      </c>
      <c r="K274" s="4417">
        <v>0.25</v>
      </c>
      <c r="L274" s="4417">
        <v>0.41666666666666663</v>
      </c>
      <c r="M274" s="4417">
        <v>0.33333333333333337</v>
      </c>
    </row>
    <row r="275" spans="1:13">
      <c r="A275" s="5703"/>
      <c r="B275" s="5710"/>
      <c r="C275" s="4413" t="s">
        <v>38</v>
      </c>
      <c r="D275" s="4310">
        <v>105</v>
      </c>
      <c r="E275" s="4310">
        <v>42</v>
      </c>
      <c r="F275" s="4414">
        <v>51</v>
      </c>
      <c r="G275" s="4415">
        <v>100</v>
      </c>
      <c r="H275" s="4417">
        <v>0.67346938775510212</v>
      </c>
      <c r="I275" s="4417">
        <v>0.32653061224489799</v>
      </c>
      <c r="J275" s="4417">
        <v>0.12121212121212122</v>
      </c>
      <c r="K275" s="4417">
        <v>0.27272727272727271</v>
      </c>
      <c r="L275" s="4417">
        <v>0.30303030303030304</v>
      </c>
      <c r="M275" s="4417">
        <v>0.30303030303030304</v>
      </c>
    </row>
    <row r="276" spans="1:13">
      <c r="A276" s="5703"/>
      <c r="B276" s="5710"/>
      <c r="C276" s="4413" t="s">
        <v>19</v>
      </c>
      <c r="D276" s="4310">
        <v>80</v>
      </c>
      <c r="E276" s="4310">
        <v>32</v>
      </c>
      <c r="F276" s="4414">
        <v>28</v>
      </c>
      <c r="G276" s="4415">
        <f t="shared" si="7"/>
        <v>87.5</v>
      </c>
      <c r="H276" s="4417">
        <v>0.70370370370370372</v>
      </c>
      <c r="I276" s="4417">
        <v>0.29629629629629628</v>
      </c>
      <c r="J276" s="4417">
        <v>0.10526315789473685</v>
      </c>
      <c r="K276" s="4417">
        <v>0.15789473684210525</v>
      </c>
      <c r="L276" s="4417">
        <v>0.57894736842105265</v>
      </c>
      <c r="M276" s="4417">
        <v>0.15789473684210525</v>
      </c>
    </row>
    <row r="277" spans="1:13">
      <c r="A277" s="5703"/>
      <c r="B277" s="5710"/>
      <c r="C277" s="4413" t="s">
        <v>35</v>
      </c>
      <c r="D277" s="4310">
        <v>67</v>
      </c>
      <c r="E277" s="4310">
        <v>43</v>
      </c>
      <c r="F277" s="4414">
        <v>26</v>
      </c>
      <c r="G277" s="4415">
        <f t="shared" si="7"/>
        <v>60.465116279069768</v>
      </c>
      <c r="H277" s="4417">
        <v>0.76923076923076916</v>
      </c>
      <c r="I277" s="4417">
        <v>0.23076923076923075</v>
      </c>
      <c r="J277" s="4417">
        <v>0.2</v>
      </c>
      <c r="K277" s="4417">
        <v>0.1</v>
      </c>
      <c r="L277" s="4417">
        <v>0.4</v>
      </c>
      <c r="M277" s="4417">
        <v>0.3</v>
      </c>
    </row>
    <row r="278" spans="1:13">
      <c r="A278" s="5703"/>
      <c r="B278" s="5710"/>
      <c r="C278" s="4413" t="s">
        <v>36</v>
      </c>
      <c r="D278" s="4310">
        <v>72</v>
      </c>
      <c r="E278" s="4310">
        <v>29</v>
      </c>
      <c r="F278" s="4414">
        <v>32</v>
      </c>
      <c r="G278" s="4415">
        <v>100</v>
      </c>
      <c r="H278" s="4417">
        <v>0.44827586206896552</v>
      </c>
      <c r="I278" s="4417">
        <v>0.55172413793103448</v>
      </c>
      <c r="J278" s="4417">
        <v>0</v>
      </c>
      <c r="K278" s="4417">
        <v>0</v>
      </c>
      <c r="L278" s="4417">
        <v>0.38461538461538458</v>
      </c>
      <c r="M278" s="4417">
        <v>0.61538461538461542</v>
      </c>
    </row>
    <row r="279" spans="1:13">
      <c r="A279" s="5703"/>
      <c r="B279" s="5710"/>
      <c r="C279" s="4413" t="s">
        <v>34</v>
      </c>
      <c r="D279" s="4310">
        <v>60</v>
      </c>
      <c r="E279" s="4310">
        <v>36</v>
      </c>
      <c r="F279" s="4414">
        <v>32</v>
      </c>
      <c r="G279" s="4415">
        <f t="shared" si="7"/>
        <v>88.888888888888886</v>
      </c>
      <c r="H279" s="4417">
        <v>0.74193548387096764</v>
      </c>
      <c r="I279" s="4417">
        <v>0.25806451612903225</v>
      </c>
      <c r="J279" s="4417">
        <v>8.6956521739130432E-2</v>
      </c>
      <c r="K279" s="4417">
        <v>4.3478260869565216E-2</v>
      </c>
      <c r="L279" s="4417">
        <v>0.21739130434782608</v>
      </c>
      <c r="M279" s="4417">
        <v>0.65217391304347827</v>
      </c>
    </row>
    <row r="280" spans="1:13">
      <c r="A280" s="5703"/>
      <c r="B280" s="5710"/>
      <c r="C280" s="4413" t="s">
        <v>533</v>
      </c>
      <c r="D280" s="4310">
        <v>38</v>
      </c>
      <c r="E280" s="4310">
        <v>38</v>
      </c>
      <c r="F280" s="4414">
        <v>12</v>
      </c>
      <c r="G280" s="4415">
        <f t="shared" si="7"/>
        <v>31.578947368421051</v>
      </c>
      <c r="H280" s="4417">
        <v>0.66666666666666674</v>
      </c>
      <c r="I280" s="4417">
        <v>0.33333333333333337</v>
      </c>
      <c r="J280" s="4417">
        <v>0.25</v>
      </c>
      <c r="K280" s="4417">
        <v>0.125</v>
      </c>
      <c r="L280" s="4417">
        <v>0.25</v>
      </c>
      <c r="M280" s="4417">
        <v>0.375</v>
      </c>
    </row>
    <row r="281" spans="1:13">
      <c r="A281" s="5703"/>
      <c r="B281" s="5710"/>
      <c r="C281" s="4413" t="s">
        <v>39</v>
      </c>
      <c r="D281" s="4310">
        <v>286</v>
      </c>
      <c r="E281" s="4310">
        <v>116</v>
      </c>
      <c r="F281" s="4414">
        <v>88</v>
      </c>
      <c r="G281" s="4415">
        <f t="shared" si="7"/>
        <v>75.862068965517238</v>
      </c>
      <c r="H281" s="4417">
        <v>0.79518072289156616</v>
      </c>
      <c r="I281" s="4417">
        <v>0.20481927710843373</v>
      </c>
      <c r="J281" s="4417">
        <v>0.15625</v>
      </c>
      <c r="K281" s="4417">
        <v>0.140625</v>
      </c>
      <c r="L281" s="4417">
        <v>0.421875</v>
      </c>
      <c r="M281" s="4417">
        <v>0.28125</v>
      </c>
    </row>
    <row r="282" spans="1:13">
      <c r="A282" s="5703"/>
      <c r="B282" s="5710"/>
      <c r="C282" s="4413" t="s">
        <v>20</v>
      </c>
      <c r="D282" s="4310">
        <v>70</v>
      </c>
      <c r="E282" s="4310">
        <v>44</v>
      </c>
      <c r="F282" s="4414">
        <v>28</v>
      </c>
      <c r="G282" s="4415">
        <f t="shared" si="7"/>
        <v>63.636363636363633</v>
      </c>
      <c r="H282" s="4417">
        <v>0.74074074074074081</v>
      </c>
      <c r="I282" s="4417">
        <v>0.2592592592592593</v>
      </c>
      <c r="J282" s="4417">
        <v>0.2</v>
      </c>
      <c r="K282" s="4417">
        <v>0.25</v>
      </c>
      <c r="L282" s="4417">
        <v>0.35</v>
      </c>
      <c r="M282" s="4417">
        <v>0.2</v>
      </c>
    </row>
    <row r="283" spans="1:13">
      <c r="A283" s="5703"/>
      <c r="B283" s="5710"/>
      <c r="C283" s="4418" t="s">
        <v>40</v>
      </c>
      <c r="D283" s="4315">
        <v>18</v>
      </c>
      <c r="E283" s="4315">
        <v>18</v>
      </c>
      <c r="F283" s="4419">
        <v>7</v>
      </c>
      <c r="G283" s="4420">
        <f t="shared" si="7"/>
        <v>38.888888888888886</v>
      </c>
      <c r="H283" s="4422">
        <v>0.8571428571428571</v>
      </c>
      <c r="I283" s="4422">
        <v>0.14285714285714288</v>
      </c>
      <c r="J283" s="4422">
        <v>0</v>
      </c>
      <c r="K283" s="4422">
        <v>0.33333333333333337</v>
      </c>
      <c r="L283" s="4422">
        <v>0.33333333333333337</v>
      </c>
      <c r="M283" s="4422">
        <v>0.33333333333333337</v>
      </c>
    </row>
    <row r="284" spans="1:13">
      <c r="A284" s="5703"/>
      <c r="B284" s="5710" t="s">
        <v>2436</v>
      </c>
      <c r="C284" s="4423" t="s">
        <v>42</v>
      </c>
      <c r="D284" s="4324">
        <v>182</v>
      </c>
      <c r="E284" s="4324">
        <v>92</v>
      </c>
      <c r="F284" s="4424">
        <v>82</v>
      </c>
      <c r="G284" s="4425">
        <f t="shared" si="7"/>
        <v>89.130434782608702</v>
      </c>
      <c r="H284" s="4426">
        <v>0.51948051948051943</v>
      </c>
      <c r="I284" s="4426">
        <v>0.48051948051948051</v>
      </c>
      <c r="J284" s="4426">
        <v>0.12820512820512822</v>
      </c>
      <c r="K284" s="4426">
        <v>0.25641025641025644</v>
      </c>
      <c r="L284" s="4426">
        <v>0.30769230769230771</v>
      </c>
      <c r="M284" s="4426">
        <v>0.30769230769230771</v>
      </c>
    </row>
    <row r="285" spans="1:13">
      <c r="A285" s="5703"/>
      <c r="B285" s="5710"/>
      <c r="C285" s="4413" t="s">
        <v>43</v>
      </c>
      <c r="D285" s="4310">
        <v>105</v>
      </c>
      <c r="E285" s="4310">
        <v>53</v>
      </c>
      <c r="F285" s="4414">
        <v>46</v>
      </c>
      <c r="G285" s="4415">
        <f t="shared" si="7"/>
        <v>86.79245283018868</v>
      </c>
      <c r="H285" s="4417">
        <v>0.21739130434782608</v>
      </c>
      <c r="I285" s="4417">
        <v>0.78260869565217395</v>
      </c>
      <c r="J285" s="4417">
        <v>0.1</v>
      </c>
      <c r="K285" s="4417">
        <v>0.2</v>
      </c>
      <c r="L285" s="4417">
        <v>0.4</v>
      </c>
      <c r="M285" s="4417">
        <v>0.3</v>
      </c>
    </row>
    <row r="286" spans="1:13">
      <c r="A286" s="5703"/>
      <c r="B286" s="5710"/>
      <c r="C286" s="4413" t="s">
        <v>44</v>
      </c>
      <c r="D286" s="4310">
        <v>78</v>
      </c>
      <c r="E286" s="4310">
        <v>39</v>
      </c>
      <c r="F286" s="4414">
        <v>30</v>
      </c>
      <c r="G286" s="4415">
        <f t="shared" si="7"/>
        <v>76.92307692307692</v>
      </c>
      <c r="H286" s="4417">
        <v>0.4642857142857143</v>
      </c>
      <c r="I286" s="4417">
        <v>0.5357142857142857</v>
      </c>
      <c r="J286" s="4417">
        <v>7.6923076923076927E-2</v>
      </c>
      <c r="K286" s="4417">
        <v>0.23076923076923075</v>
      </c>
      <c r="L286" s="4417">
        <v>0.38461538461538458</v>
      </c>
      <c r="M286" s="4417">
        <v>0.30769230769230771</v>
      </c>
    </row>
    <row r="287" spans="1:13">
      <c r="A287" s="5703"/>
      <c r="B287" s="5710"/>
      <c r="C287" s="4413" t="s">
        <v>270</v>
      </c>
      <c r="D287" s="4310">
        <v>164</v>
      </c>
      <c r="E287" s="4310">
        <v>83</v>
      </c>
      <c r="F287" s="4414">
        <v>70</v>
      </c>
      <c r="G287" s="4415">
        <f t="shared" si="7"/>
        <v>84.337349397590359</v>
      </c>
      <c r="H287" s="4417">
        <v>0.68181818181818188</v>
      </c>
      <c r="I287" s="4417">
        <v>0.31818181818181818</v>
      </c>
      <c r="J287" s="4417">
        <v>6.9767441860465115E-2</v>
      </c>
      <c r="K287" s="4417">
        <v>0.18604651162790697</v>
      </c>
      <c r="L287" s="4417">
        <v>0.37209302325581395</v>
      </c>
      <c r="M287" s="4417">
        <v>0.37209302325581395</v>
      </c>
    </row>
    <row r="288" spans="1:13">
      <c r="A288" s="5703"/>
      <c r="B288" s="5710"/>
      <c r="C288" s="4413" t="s">
        <v>271</v>
      </c>
      <c r="D288" s="4310">
        <v>169</v>
      </c>
      <c r="E288" s="4310">
        <v>86</v>
      </c>
      <c r="F288" s="4414">
        <v>75</v>
      </c>
      <c r="G288" s="4415">
        <f t="shared" si="7"/>
        <v>87.20930232558139</v>
      </c>
      <c r="H288" s="4417">
        <v>0.6619718309859155</v>
      </c>
      <c r="I288" s="4417">
        <v>0.3380281690140845</v>
      </c>
      <c r="J288" s="4417">
        <v>0.1276595744680851</v>
      </c>
      <c r="K288" s="4417">
        <v>0.1702127659574468</v>
      </c>
      <c r="L288" s="4417">
        <v>0.27659574468085107</v>
      </c>
      <c r="M288" s="4417">
        <v>0.42553191489361702</v>
      </c>
    </row>
    <row r="289" spans="1:13">
      <c r="A289" s="5703"/>
      <c r="B289" s="5710"/>
      <c r="C289" s="4418" t="s">
        <v>45</v>
      </c>
      <c r="D289" s="4315">
        <v>38</v>
      </c>
      <c r="E289" s="4315">
        <v>38</v>
      </c>
      <c r="F289" s="4419">
        <v>11</v>
      </c>
      <c r="G289" s="4420">
        <f t="shared" si="7"/>
        <v>28.94736842105263</v>
      </c>
      <c r="H289" s="4422">
        <v>0.8</v>
      </c>
      <c r="I289" s="4422">
        <v>0.2</v>
      </c>
      <c r="J289" s="4422">
        <v>0.28571428571428575</v>
      </c>
      <c r="K289" s="4422">
        <v>0.14285714285714288</v>
      </c>
      <c r="L289" s="4422">
        <v>0.28571428571428575</v>
      </c>
      <c r="M289" s="4422">
        <v>0.28571428571428575</v>
      </c>
    </row>
    <row r="290" spans="1:13">
      <c r="A290" s="5703" t="s">
        <v>48</v>
      </c>
      <c r="B290" s="5710" t="s">
        <v>2434</v>
      </c>
      <c r="C290" s="4423" t="s">
        <v>17</v>
      </c>
      <c r="D290" s="4324">
        <v>254</v>
      </c>
      <c r="E290" s="4324">
        <v>80</v>
      </c>
      <c r="F290" s="4424">
        <v>85</v>
      </c>
      <c r="G290" s="4425">
        <f t="shared" si="7"/>
        <v>106.25</v>
      </c>
      <c r="H290" s="4426">
        <v>0.86250000000000004</v>
      </c>
      <c r="I290" s="4426">
        <v>0.13750000000000001</v>
      </c>
      <c r="J290" s="4426">
        <v>2.8985507246376812E-2</v>
      </c>
      <c r="K290" s="4426">
        <v>0.11594202898550725</v>
      </c>
      <c r="L290" s="4426">
        <v>0.52173913043478259</v>
      </c>
      <c r="M290" s="4426">
        <v>0.33333333333333337</v>
      </c>
    </row>
    <row r="291" spans="1:13">
      <c r="A291" s="5703"/>
      <c r="B291" s="5710"/>
      <c r="C291" s="4413" t="s">
        <v>49</v>
      </c>
      <c r="D291" s="4310">
        <v>352</v>
      </c>
      <c r="E291" s="4310">
        <v>111</v>
      </c>
      <c r="F291" s="4414">
        <v>127</v>
      </c>
      <c r="G291" s="4415">
        <v>100</v>
      </c>
      <c r="H291" s="4417">
        <v>0.76470588235294112</v>
      </c>
      <c r="I291" s="4417">
        <v>0.23529411764705885</v>
      </c>
      <c r="J291" s="4417">
        <v>6.6666666666666666E-2</v>
      </c>
      <c r="K291" s="4417">
        <v>8.8888888888888892E-2</v>
      </c>
      <c r="L291" s="4417">
        <v>0.28888888888888892</v>
      </c>
      <c r="M291" s="4417">
        <v>0.55555555555555558</v>
      </c>
    </row>
    <row r="292" spans="1:13">
      <c r="A292" s="5703"/>
      <c r="B292" s="5710"/>
      <c r="C292" s="4413" t="s">
        <v>19</v>
      </c>
      <c r="D292" s="4310">
        <v>176</v>
      </c>
      <c r="E292" s="4310">
        <v>55</v>
      </c>
      <c r="F292" s="4414">
        <v>59</v>
      </c>
      <c r="G292" s="4415">
        <v>100</v>
      </c>
      <c r="H292" s="4417">
        <v>0.7068965517241379</v>
      </c>
      <c r="I292" s="4417">
        <v>0.29310344827586204</v>
      </c>
      <c r="J292" s="4417">
        <v>4.878048780487805E-2</v>
      </c>
      <c r="K292" s="4417">
        <v>0.21951219512195125</v>
      </c>
      <c r="L292" s="4417">
        <v>0.51219512195121952</v>
      </c>
      <c r="M292" s="4417">
        <v>0.21951219512195125</v>
      </c>
    </row>
    <row r="293" spans="1:13">
      <c r="A293" s="5703"/>
      <c r="B293" s="5710"/>
      <c r="C293" s="4413" t="s">
        <v>51</v>
      </c>
      <c r="D293" s="4310">
        <v>91</v>
      </c>
      <c r="E293" s="4310">
        <v>29</v>
      </c>
      <c r="F293" s="4414">
        <v>30</v>
      </c>
      <c r="G293" s="4415">
        <v>100</v>
      </c>
      <c r="H293" s="4417">
        <v>0.76666666666666672</v>
      </c>
      <c r="I293" s="4417">
        <v>0.23333333333333331</v>
      </c>
      <c r="J293" s="4417">
        <v>8.6956521739130432E-2</v>
      </c>
      <c r="K293" s="4417">
        <v>0.13043478260869565</v>
      </c>
      <c r="L293" s="4417">
        <v>0.43478260869565216</v>
      </c>
      <c r="M293" s="4417">
        <v>0.34782608695652173</v>
      </c>
    </row>
    <row r="294" spans="1:13">
      <c r="A294" s="5703"/>
      <c r="B294" s="5710"/>
      <c r="C294" s="4413" t="s">
        <v>50</v>
      </c>
      <c r="D294" s="4310">
        <v>565</v>
      </c>
      <c r="E294" s="4310">
        <v>179</v>
      </c>
      <c r="F294" s="4414">
        <v>184</v>
      </c>
      <c r="G294" s="4415">
        <v>100</v>
      </c>
      <c r="H294" s="4417">
        <v>0.72941176470588232</v>
      </c>
      <c r="I294" s="4417">
        <v>0.27058823529411763</v>
      </c>
      <c r="J294" s="4417">
        <v>0.1056910569105691</v>
      </c>
      <c r="K294" s="4417">
        <v>0.2113821138211382</v>
      </c>
      <c r="L294" s="4417">
        <v>0.34959349593495936</v>
      </c>
      <c r="M294" s="4417">
        <v>0.33333333333333337</v>
      </c>
    </row>
    <row r="295" spans="1:13">
      <c r="A295" s="5703"/>
      <c r="B295" s="5710"/>
      <c r="C295" s="4418" t="s">
        <v>20</v>
      </c>
      <c r="D295" s="4315">
        <v>222</v>
      </c>
      <c r="E295" s="4315">
        <v>70</v>
      </c>
      <c r="F295" s="4419">
        <v>82</v>
      </c>
      <c r="G295" s="4420">
        <v>100</v>
      </c>
      <c r="H295" s="4422">
        <v>0.6</v>
      </c>
      <c r="I295" s="4422">
        <v>0.4</v>
      </c>
      <c r="J295" s="4422">
        <v>0.14893617021276595</v>
      </c>
      <c r="K295" s="4422">
        <v>0.1702127659574468</v>
      </c>
      <c r="L295" s="4422">
        <v>0.48936170212765956</v>
      </c>
      <c r="M295" s="4422">
        <v>0.19148936170212769</v>
      </c>
    </row>
    <row r="296" spans="1:13">
      <c r="A296" s="5703"/>
      <c r="B296" s="5710" t="s">
        <v>2436</v>
      </c>
      <c r="C296" s="4423" t="s">
        <v>56</v>
      </c>
      <c r="D296" s="4324">
        <v>230</v>
      </c>
      <c r="E296" s="4324">
        <v>58</v>
      </c>
      <c r="F296" s="4424">
        <v>71</v>
      </c>
      <c r="G296" s="4425">
        <v>100</v>
      </c>
      <c r="H296" s="4426">
        <v>0.6515151515151516</v>
      </c>
      <c r="I296" s="4426">
        <v>0.34848484848484851</v>
      </c>
      <c r="J296" s="4426">
        <v>0.20930232558139536</v>
      </c>
      <c r="K296" s="4426">
        <v>0.11627906976744186</v>
      </c>
      <c r="L296" s="4426">
        <v>0.27906976744186046</v>
      </c>
      <c r="M296" s="4426">
        <v>0.39534883720930231</v>
      </c>
    </row>
    <row r="297" spans="1:13">
      <c r="A297" s="5703"/>
      <c r="B297" s="5710"/>
      <c r="C297" s="4413" t="s">
        <v>42</v>
      </c>
      <c r="D297" s="4310">
        <v>281</v>
      </c>
      <c r="E297" s="4310">
        <v>71</v>
      </c>
      <c r="F297" s="4414">
        <v>108</v>
      </c>
      <c r="G297" s="4415">
        <v>100</v>
      </c>
      <c r="H297" s="4417">
        <v>0.40594059405940591</v>
      </c>
      <c r="I297" s="4417">
        <v>0.59405940594059414</v>
      </c>
      <c r="J297" s="4417">
        <v>7.4999999999999997E-2</v>
      </c>
      <c r="K297" s="4417">
        <v>0.1</v>
      </c>
      <c r="L297" s="4417">
        <v>0.375</v>
      </c>
      <c r="M297" s="4417">
        <v>0.45</v>
      </c>
    </row>
    <row r="298" spans="1:13">
      <c r="A298" s="5703"/>
      <c r="B298" s="5710"/>
      <c r="C298" s="4413" t="s">
        <v>52</v>
      </c>
      <c r="D298" s="4310">
        <v>241</v>
      </c>
      <c r="E298" s="4310">
        <v>61</v>
      </c>
      <c r="F298" s="4414">
        <v>82</v>
      </c>
      <c r="G298" s="4415">
        <v>100</v>
      </c>
      <c r="H298" s="4417">
        <v>0.71232876712328763</v>
      </c>
      <c r="I298" s="4417">
        <v>0.28767123287671231</v>
      </c>
      <c r="J298" s="4417">
        <v>0.02</v>
      </c>
      <c r="K298" s="4417">
        <v>0</v>
      </c>
      <c r="L298" s="4417">
        <v>0.2</v>
      </c>
      <c r="M298" s="4417">
        <v>0.78</v>
      </c>
    </row>
    <row r="299" spans="1:13">
      <c r="A299" s="5703"/>
      <c r="B299" s="5710"/>
      <c r="C299" s="4413" t="s">
        <v>53</v>
      </c>
      <c r="D299" s="4310">
        <v>307</v>
      </c>
      <c r="E299" s="4310">
        <v>78</v>
      </c>
      <c r="F299" s="4414">
        <v>79</v>
      </c>
      <c r="G299" s="4415">
        <v>100</v>
      </c>
      <c r="H299" s="4417">
        <v>0.69333333333333325</v>
      </c>
      <c r="I299" s="4417">
        <v>0.3066666666666667</v>
      </c>
      <c r="J299" s="4417">
        <v>0.08</v>
      </c>
      <c r="K299" s="4417">
        <v>0.08</v>
      </c>
      <c r="L299" s="4417">
        <v>0.18</v>
      </c>
      <c r="M299" s="4417">
        <v>0.66</v>
      </c>
    </row>
    <row r="300" spans="1:13">
      <c r="A300" s="5703"/>
      <c r="B300" s="5710"/>
      <c r="C300" s="4413" t="s">
        <v>259</v>
      </c>
      <c r="D300" s="4310">
        <v>265</v>
      </c>
      <c r="E300" s="4310">
        <v>68</v>
      </c>
      <c r="F300" s="4414">
        <v>71</v>
      </c>
      <c r="G300" s="4415">
        <v>100</v>
      </c>
      <c r="H300" s="4417">
        <v>0.6</v>
      </c>
      <c r="I300" s="4417">
        <v>0.4</v>
      </c>
      <c r="J300" s="4417">
        <v>0</v>
      </c>
      <c r="K300" s="4417">
        <v>2.3809523809523808E-2</v>
      </c>
      <c r="L300" s="4417">
        <v>0.11904761904761905</v>
      </c>
      <c r="M300" s="4417">
        <v>0.8571428571428571</v>
      </c>
    </row>
    <row r="301" spans="1:13">
      <c r="A301" s="5703"/>
      <c r="B301" s="5710"/>
      <c r="C301" s="4413" t="s">
        <v>55</v>
      </c>
      <c r="D301" s="4310">
        <v>334</v>
      </c>
      <c r="E301" s="4310">
        <v>85</v>
      </c>
      <c r="F301" s="4414">
        <v>105</v>
      </c>
      <c r="G301" s="4415">
        <v>100</v>
      </c>
      <c r="H301" s="4417">
        <v>0.70707070707070718</v>
      </c>
      <c r="I301" s="4417">
        <v>0.29292929292929293</v>
      </c>
      <c r="J301" s="4417">
        <v>7.3529411764705885E-2</v>
      </c>
      <c r="K301" s="4417">
        <v>7.3529411764705885E-2</v>
      </c>
      <c r="L301" s="4417">
        <v>0.19117647058823528</v>
      </c>
      <c r="M301" s="4417">
        <v>0.66176470588235292</v>
      </c>
    </row>
    <row r="302" spans="1:13">
      <c r="A302" s="5703"/>
      <c r="B302" s="5710"/>
      <c r="C302" s="4413" t="s">
        <v>54</v>
      </c>
      <c r="D302" s="4310">
        <v>380</v>
      </c>
      <c r="E302" s="4310">
        <v>96</v>
      </c>
      <c r="F302" s="4414">
        <v>108</v>
      </c>
      <c r="G302" s="4415">
        <v>100</v>
      </c>
      <c r="H302" s="4417">
        <v>0.71698113207547165</v>
      </c>
      <c r="I302" s="4417">
        <v>0.28301886792452829</v>
      </c>
      <c r="J302" s="4417">
        <v>2.6315789473684213E-2</v>
      </c>
      <c r="K302" s="4417">
        <v>6.5789473684210523E-2</v>
      </c>
      <c r="L302" s="4417">
        <v>0.3289473684210526</v>
      </c>
      <c r="M302" s="4417">
        <v>0.57894736842105265</v>
      </c>
    </row>
    <row r="303" spans="1:13">
      <c r="A303" s="5703"/>
      <c r="B303" s="5710"/>
      <c r="C303" s="4418" t="s">
        <v>272</v>
      </c>
      <c r="D303" s="4315">
        <v>219</v>
      </c>
      <c r="E303" s="4315">
        <v>56</v>
      </c>
      <c r="F303" s="4419">
        <v>70</v>
      </c>
      <c r="G303" s="4420">
        <v>100</v>
      </c>
      <c r="H303" s="4422">
        <v>0.68656716417910446</v>
      </c>
      <c r="I303" s="4422">
        <v>0.31343283582089554</v>
      </c>
      <c r="J303" s="4422">
        <v>9.0909090909090912E-2</v>
      </c>
      <c r="K303" s="4422">
        <v>0.20454545454545453</v>
      </c>
      <c r="L303" s="4422">
        <v>0.20454545454545453</v>
      </c>
      <c r="M303" s="4422">
        <v>0.5</v>
      </c>
    </row>
    <row r="304" spans="1:13">
      <c r="A304" s="5703"/>
      <c r="B304" s="5710" t="s">
        <v>2435</v>
      </c>
      <c r="C304" s="4423" t="s">
        <v>22</v>
      </c>
      <c r="D304" s="4324">
        <v>327</v>
      </c>
      <c r="E304" s="4324">
        <v>159</v>
      </c>
      <c r="F304" s="4424">
        <v>141</v>
      </c>
      <c r="G304" s="4425">
        <f>F304*100/E304</f>
        <v>88.679245283018872</v>
      </c>
      <c r="H304" s="4426">
        <v>0.84444444444444444</v>
      </c>
      <c r="I304" s="4426">
        <v>0.15555555555555556</v>
      </c>
      <c r="J304" s="4426">
        <v>0</v>
      </c>
      <c r="K304" s="4426">
        <v>0.10526315789473685</v>
      </c>
      <c r="L304" s="4426">
        <v>0.2807017543859649</v>
      </c>
      <c r="M304" s="4426">
        <v>0.61403508771929827</v>
      </c>
    </row>
    <row r="305" spans="1:13">
      <c r="A305" s="5703"/>
      <c r="B305" s="5710"/>
      <c r="C305" s="4413" t="s">
        <v>58</v>
      </c>
      <c r="D305" s="4310">
        <v>135</v>
      </c>
      <c r="E305" s="4310">
        <v>65</v>
      </c>
      <c r="F305" s="4414">
        <v>47</v>
      </c>
      <c r="G305" s="4415">
        <f t="shared" ref="G305:G311" si="8">F305*100/E305</f>
        <v>72.307692307692307</v>
      </c>
      <c r="H305" s="4417">
        <v>0.6428571428571429</v>
      </c>
      <c r="I305" s="4417">
        <v>0.35714285714285715</v>
      </c>
      <c r="J305" s="4417">
        <v>0.2592592592592593</v>
      </c>
      <c r="K305" s="4417">
        <v>7.407407407407407E-2</v>
      </c>
      <c r="L305" s="4417">
        <v>0.33333333333333337</v>
      </c>
      <c r="M305" s="4417">
        <v>0.33333333333333337</v>
      </c>
    </row>
    <row r="306" spans="1:13">
      <c r="A306" s="5703"/>
      <c r="B306" s="5710"/>
      <c r="C306" s="4413" t="s">
        <v>23</v>
      </c>
      <c r="D306" s="4310">
        <v>219</v>
      </c>
      <c r="E306" s="4310">
        <v>106</v>
      </c>
      <c r="F306" s="4414">
        <v>86</v>
      </c>
      <c r="G306" s="4415">
        <f t="shared" si="8"/>
        <v>81.132075471698116</v>
      </c>
      <c r="H306" s="4417">
        <v>0.76190476190476186</v>
      </c>
      <c r="I306" s="4417">
        <v>0.23809523809523811</v>
      </c>
      <c r="J306" s="4417">
        <v>3.1746031746031744E-2</v>
      </c>
      <c r="K306" s="4417">
        <v>7.9365079365079361E-2</v>
      </c>
      <c r="L306" s="4417">
        <v>0.23809523809523811</v>
      </c>
      <c r="M306" s="4417">
        <v>0.6507936507936507</v>
      </c>
    </row>
    <row r="307" spans="1:13">
      <c r="A307" s="5703"/>
      <c r="B307" s="5710"/>
      <c r="C307" s="4418" t="s">
        <v>24</v>
      </c>
      <c r="D307" s="4315">
        <v>141</v>
      </c>
      <c r="E307" s="4315">
        <v>67</v>
      </c>
      <c r="F307" s="4419">
        <v>52</v>
      </c>
      <c r="G307" s="4420">
        <f t="shared" si="8"/>
        <v>77.611940298507463</v>
      </c>
      <c r="H307" s="4422">
        <v>0.87234042553191482</v>
      </c>
      <c r="I307" s="4422">
        <v>0.1276595744680851</v>
      </c>
      <c r="J307" s="4422">
        <v>7.3170731707317083E-2</v>
      </c>
      <c r="K307" s="4422">
        <v>7.3170731707317083E-2</v>
      </c>
      <c r="L307" s="4422">
        <v>0.26829268292682928</v>
      </c>
      <c r="M307" s="4422">
        <v>0.58536585365853666</v>
      </c>
    </row>
    <row r="308" spans="1:13" ht="30.6">
      <c r="A308" s="5703" t="s">
        <v>244</v>
      </c>
      <c r="B308" s="4432" t="s">
        <v>2439</v>
      </c>
      <c r="C308" s="4287" t="s">
        <v>2274</v>
      </c>
      <c r="D308" s="4279">
        <v>5</v>
      </c>
      <c r="E308" s="4279">
        <v>5</v>
      </c>
      <c r="F308" s="4279">
        <v>3</v>
      </c>
      <c r="G308" s="4280">
        <f t="shared" si="8"/>
        <v>60</v>
      </c>
      <c r="H308" s="4281">
        <v>0.66666666666666674</v>
      </c>
      <c r="I308" s="4281">
        <v>0.33333333333333337</v>
      </c>
      <c r="J308" s="4433">
        <v>0</v>
      </c>
      <c r="K308" s="4433">
        <v>0</v>
      </c>
      <c r="L308" s="4434">
        <v>1</v>
      </c>
      <c r="M308" s="4433">
        <v>0</v>
      </c>
    </row>
    <row r="309" spans="1:13" ht="30.6">
      <c r="A309" s="5703"/>
      <c r="B309" s="4435" t="s">
        <v>2434</v>
      </c>
      <c r="C309" s="4287" t="s">
        <v>791</v>
      </c>
      <c r="D309" s="4279">
        <v>11</v>
      </c>
      <c r="E309" s="4279">
        <v>11</v>
      </c>
      <c r="F309" s="4279">
        <v>9</v>
      </c>
      <c r="G309" s="4280">
        <f t="shared" si="8"/>
        <v>81.818181818181813</v>
      </c>
      <c r="H309" s="4281">
        <v>0.55555555555555558</v>
      </c>
      <c r="I309" s="4281">
        <v>0.44444444444444442</v>
      </c>
      <c r="J309" s="4433">
        <v>0</v>
      </c>
      <c r="K309" s="4434">
        <v>0.6</v>
      </c>
      <c r="L309" s="4434">
        <v>0.2</v>
      </c>
      <c r="M309" s="4434">
        <v>0.2</v>
      </c>
    </row>
    <row r="310" spans="1:13" ht="30.6">
      <c r="A310" s="5703"/>
      <c r="B310" s="4435" t="s">
        <v>2436</v>
      </c>
      <c r="C310" s="4436" t="s">
        <v>792</v>
      </c>
      <c r="D310" s="4437">
        <v>14</v>
      </c>
      <c r="E310" s="4437">
        <v>14</v>
      </c>
      <c r="F310" s="4437">
        <v>12</v>
      </c>
      <c r="G310" s="4438">
        <f t="shared" si="8"/>
        <v>85.714285714285708</v>
      </c>
      <c r="H310" s="4439">
        <v>0.6</v>
      </c>
      <c r="I310" s="4439">
        <v>0.4</v>
      </c>
      <c r="J310" s="4440">
        <v>0.16666666666666669</v>
      </c>
      <c r="K310" s="4440">
        <v>0.33333333333333337</v>
      </c>
      <c r="L310" s="4440">
        <v>0.33333333333333337</v>
      </c>
      <c r="M310" s="4440">
        <v>0.16666666666666669</v>
      </c>
    </row>
    <row r="311" spans="1:13">
      <c r="A311" s="5704" t="s">
        <v>15</v>
      </c>
      <c r="B311" s="5704"/>
      <c r="C311" s="5704"/>
      <c r="D311" s="4441">
        <f>SUM(D236:D310)</f>
        <v>10165</v>
      </c>
      <c r="E311" s="4293">
        <f>SUM(E236:E310)</f>
        <v>4397</v>
      </c>
      <c r="F311" s="4295">
        <f>SUM(F236:F310)</f>
        <v>3878</v>
      </c>
      <c r="G311" s="4442">
        <f t="shared" si="8"/>
        <v>88.196497612008187</v>
      </c>
      <c r="H311" s="4443">
        <v>0.71587819467101677</v>
      </c>
      <c r="I311" s="4443">
        <v>0.28412180532898312</v>
      </c>
      <c r="J311" s="4444">
        <v>7.0493066255778128E-2</v>
      </c>
      <c r="K311" s="4444">
        <v>0.12596302003081664</v>
      </c>
      <c r="L311" s="4444">
        <v>0.33127889060092452</v>
      </c>
      <c r="M311" s="4444">
        <v>0.47226502311248075</v>
      </c>
    </row>
    <row r="312" spans="1:13" ht="15.6">
      <c r="A312" s="246"/>
      <c r="B312" s="246"/>
      <c r="C312" s="246"/>
      <c r="D312" s="246"/>
      <c r="E312" s="237"/>
    </row>
    <row r="313" spans="1:13" ht="15.6">
      <c r="A313" s="246"/>
      <c r="B313" s="246"/>
      <c r="C313" s="246"/>
      <c r="D313" s="246"/>
      <c r="E313" s="237"/>
    </row>
    <row r="314" spans="1:13" ht="17.399999999999999">
      <c r="B314"/>
      <c r="C314" s="3043">
        <v>2017</v>
      </c>
      <c r="E314" s="129"/>
      <c r="F314" s="129"/>
      <c r="G314" s="129"/>
    </row>
    <row r="315" spans="1:13">
      <c r="A315" s="5722" t="s">
        <v>2441</v>
      </c>
      <c r="B315" s="5722"/>
      <c r="C315" s="5722"/>
      <c r="D315" s="5722"/>
      <c r="E315" s="5722"/>
      <c r="F315" s="5722"/>
      <c r="G315" s="5722"/>
      <c r="H315" s="5722"/>
      <c r="I315" s="5722"/>
      <c r="J315" s="5722"/>
      <c r="K315" s="5722"/>
    </row>
    <row r="316" spans="1:13">
      <c r="B316"/>
    </row>
    <row r="317" spans="1:13">
      <c r="A317" s="32" t="s">
        <v>2429</v>
      </c>
      <c r="B317"/>
      <c r="F317" s="5723" t="s">
        <v>2430</v>
      </c>
      <c r="G317" s="5723"/>
      <c r="H317" s="5731" t="s">
        <v>2431</v>
      </c>
      <c r="I317" s="5731"/>
      <c r="J317" s="5731"/>
      <c r="K317" s="5731"/>
    </row>
    <row r="318" spans="1:13" ht="27.6">
      <c r="A318" s="1915" t="s">
        <v>2104</v>
      </c>
      <c r="B318" s="1915" t="s">
        <v>2099</v>
      </c>
      <c r="C318" s="1783" t="s">
        <v>2100</v>
      </c>
      <c r="D318" s="1915" t="s">
        <v>2105</v>
      </c>
      <c r="E318" s="1916" t="s">
        <v>2432</v>
      </c>
      <c r="F318" s="1917" t="s">
        <v>1038</v>
      </c>
      <c r="G318" s="1917" t="s">
        <v>1039</v>
      </c>
      <c r="H318" s="1918" t="s">
        <v>1607</v>
      </c>
      <c r="I318" s="1918" t="s">
        <v>1608</v>
      </c>
      <c r="J318" s="1919" t="s">
        <v>1609</v>
      </c>
      <c r="K318" s="1918" t="s">
        <v>1610</v>
      </c>
    </row>
    <row r="319" spans="1:13">
      <c r="A319" s="3046" t="s">
        <v>3</v>
      </c>
      <c r="B319" s="3046">
        <v>1191</v>
      </c>
      <c r="C319" s="3047">
        <v>599</v>
      </c>
      <c r="D319" s="3046">
        <v>597</v>
      </c>
      <c r="E319" s="3048">
        <v>99.7</v>
      </c>
      <c r="F319" s="3049">
        <v>79.5</v>
      </c>
      <c r="G319" s="3049">
        <v>20.5</v>
      </c>
      <c r="H319" s="3049">
        <v>4.2</v>
      </c>
      <c r="I319" s="3049">
        <v>12.3</v>
      </c>
      <c r="J319" s="3049">
        <v>30.3</v>
      </c>
      <c r="K319" s="3049">
        <v>53.2</v>
      </c>
    </row>
    <row r="320" spans="1:13">
      <c r="A320" s="3050" t="s">
        <v>59</v>
      </c>
      <c r="B320" s="3050">
        <v>124</v>
      </c>
      <c r="C320" s="3051">
        <v>124</v>
      </c>
      <c r="D320" s="3050">
        <v>86</v>
      </c>
      <c r="E320" s="3052">
        <v>69.400000000000006</v>
      </c>
      <c r="F320" s="3053">
        <v>81.400000000000006</v>
      </c>
      <c r="G320" s="3053">
        <v>18.600000000000001</v>
      </c>
      <c r="H320" s="3053">
        <v>8.8000000000000007</v>
      </c>
      <c r="I320" s="3053">
        <v>14.7</v>
      </c>
      <c r="J320" s="3053">
        <v>26.5</v>
      </c>
      <c r="K320" s="3053">
        <v>50</v>
      </c>
    </row>
    <row r="321" spans="1:13">
      <c r="A321" s="3050" t="s">
        <v>25</v>
      </c>
      <c r="B321" s="3050">
        <v>1077</v>
      </c>
      <c r="C321" s="3051">
        <v>623</v>
      </c>
      <c r="D321" s="3050">
        <v>511</v>
      </c>
      <c r="E321" s="3052">
        <v>82</v>
      </c>
      <c r="F321" s="3053">
        <v>66.5</v>
      </c>
      <c r="G321" s="3053">
        <v>33.5</v>
      </c>
      <c r="H321" s="3053">
        <v>7.8</v>
      </c>
      <c r="I321" s="3053">
        <v>15.3</v>
      </c>
      <c r="J321" s="3053">
        <v>33.799999999999997</v>
      </c>
      <c r="K321" s="3053">
        <v>43.1</v>
      </c>
    </row>
    <row r="322" spans="1:13">
      <c r="A322" s="3050" t="s">
        <v>48</v>
      </c>
      <c r="B322" s="3050">
        <v>2352</v>
      </c>
      <c r="C322" s="3051">
        <v>737</v>
      </c>
      <c r="D322" s="3050">
        <v>824</v>
      </c>
      <c r="E322" s="3052">
        <v>100</v>
      </c>
      <c r="F322" s="3053">
        <v>74.5</v>
      </c>
      <c r="G322" s="3053">
        <v>25.5</v>
      </c>
      <c r="H322" s="3053">
        <v>7.5</v>
      </c>
      <c r="I322" s="3053">
        <v>9.3000000000000007</v>
      </c>
      <c r="J322" s="3053">
        <v>26.3</v>
      </c>
      <c r="K322" s="3053">
        <v>59.9</v>
      </c>
    </row>
    <row r="323" spans="1:13">
      <c r="A323" s="3054" t="s">
        <v>244</v>
      </c>
      <c r="B323" s="3054">
        <v>109</v>
      </c>
      <c r="C323" s="3055">
        <v>109</v>
      </c>
      <c r="D323" s="3054">
        <v>100</v>
      </c>
      <c r="E323" s="3056">
        <f>D323*100/B323</f>
        <v>91.743119266055047</v>
      </c>
      <c r="F323" s="3057">
        <v>59</v>
      </c>
      <c r="G323" s="3057">
        <v>41</v>
      </c>
      <c r="H323" s="3057">
        <v>14</v>
      </c>
      <c r="I323" s="3057">
        <v>22.8</v>
      </c>
      <c r="J323" s="3057">
        <v>26.3</v>
      </c>
      <c r="K323" s="3057">
        <v>36.799999999999997</v>
      </c>
    </row>
    <row r="324" spans="1:13">
      <c r="A324" s="3044" t="s">
        <v>15</v>
      </c>
      <c r="B324" s="3044">
        <f>SUM(B319:B323)</f>
        <v>4853</v>
      </c>
      <c r="C324" s="1947">
        <f>SUM(C319:C323)</f>
        <v>2192</v>
      </c>
      <c r="D324" s="3044">
        <f>SUM(D319:D323)</f>
        <v>2118</v>
      </c>
      <c r="E324" s="3045">
        <v>96.9</v>
      </c>
      <c r="F324" s="1853">
        <v>73.5</v>
      </c>
      <c r="G324" s="1686">
        <v>26.5</v>
      </c>
      <c r="H324" s="1686">
        <v>6.9</v>
      </c>
      <c r="I324" s="1686">
        <v>12.2</v>
      </c>
      <c r="J324" s="1686">
        <v>29.2</v>
      </c>
      <c r="K324" s="1686">
        <v>51.7</v>
      </c>
    </row>
    <row r="325" spans="1:13">
      <c r="B325"/>
    </row>
    <row r="326" spans="1:13">
      <c r="A326" s="1790"/>
      <c r="B326" s="43"/>
      <c r="C326" s="43"/>
      <c r="D326" s="43"/>
      <c r="E326" s="43"/>
      <c r="F326" s="43"/>
      <c r="G326" s="43"/>
      <c r="H326" s="5732" t="s">
        <v>2430</v>
      </c>
      <c r="I326" s="5733"/>
      <c r="J326" s="4445" t="s">
        <v>2431</v>
      </c>
      <c r="K326" s="4446"/>
      <c r="L326" s="4446"/>
      <c r="M326" s="4447"/>
    </row>
    <row r="327" spans="1:13" ht="20.399999999999999">
      <c r="A327" s="4448" t="s">
        <v>0</v>
      </c>
      <c r="B327" s="4448" t="s">
        <v>1</v>
      </c>
      <c r="C327" s="4448" t="s">
        <v>1606</v>
      </c>
      <c r="D327" s="4448" t="s">
        <v>2099</v>
      </c>
      <c r="E327" s="4448" t="s">
        <v>2100</v>
      </c>
      <c r="F327" s="4449" t="s">
        <v>2105</v>
      </c>
      <c r="G327" s="4449" t="s">
        <v>2432</v>
      </c>
      <c r="H327" s="4448" t="s">
        <v>1038</v>
      </c>
      <c r="I327" s="4448" t="s">
        <v>1039</v>
      </c>
      <c r="J327" s="4450" t="s">
        <v>1607</v>
      </c>
      <c r="K327" s="4450" t="s">
        <v>1608</v>
      </c>
      <c r="L327" s="4451" t="s">
        <v>1609</v>
      </c>
      <c r="M327" s="4450" t="s">
        <v>1610</v>
      </c>
    </row>
    <row r="328" spans="1:13">
      <c r="A328" s="5717" t="s">
        <v>3</v>
      </c>
      <c r="B328" s="5719" t="s">
        <v>2433</v>
      </c>
      <c r="C328" s="4452" t="s">
        <v>527</v>
      </c>
      <c r="D328" s="4453">
        <v>42</v>
      </c>
      <c r="E328" s="4453">
        <v>21</v>
      </c>
      <c r="F328" s="4453">
        <v>25</v>
      </c>
      <c r="G328" s="4454">
        <v>100</v>
      </c>
      <c r="H328" s="4455">
        <v>64</v>
      </c>
      <c r="I328" s="4455">
        <v>36</v>
      </c>
      <c r="J328" s="4456">
        <v>0</v>
      </c>
      <c r="K328" s="4456">
        <v>25</v>
      </c>
      <c r="L328" s="4456">
        <v>43.75</v>
      </c>
      <c r="M328" s="4456">
        <v>31.25</v>
      </c>
    </row>
    <row r="329" spans="1:13">
      <c r="A329" s="5701"/>
      <c r="B329" s="5720"/>
      <c r="C329" s="4457" t="s">
        <v>528</v>
      </c>
      <c r="D329" s="4458">
        <v>22</v>
      </c>
      <c r="E329" s="4458">
        <v>22</v>
      </c>
      <c r="F329" s="4458">
        <v>18</v>
      </c>
      <c r="G329" s="4459">
        <v>81.8</v>
      </c>
      <c r="H329" s="4460">
        <v>83.33</v>
      </c>
      <c r="I329" s="4460">
        <v>16.670000000000002</v>
      </c>
      <c r="J329" s="4461">
        <v>0</v>
      </c>
      <c r="K329" s="4461">
        <v>6.25</v>
      </c>
      <c r="L329" s="4461">
        <v>18.75</v>
      </c>
      <c r="M329" s="4461">
        <v>75</v>
      </c>
    </row>
    <row r="330" spans="1:13">
      <c r="A330" s="5701"/>
      <c r="B330" s="5720"/>
      <c r="C330" s="4457" t="s">
        <v>783</v>
      </c>
      <c r="D330" s="4458">
        <v>10</v>
      </c>
      <c r="E330" s="4458">
        <v>10</v>
      </c>
      <c r="F330" s="4458">
        <v>6</v>
      </c>
      <c r="G330" s="4459">
        <v>60</v>
      </c>
      <c r="H330" s="4460">
        <v>100</v>
      </c>
      <c r="I330" s="4460">
        <v>0</v>
      </c>
      <c r="J330" s="4461">
        <v>0</v>
      </c>
      <c r="K330" s="4461">
        <v>0</v>
      </c>
      <c r="L330" s="4461">
        <v>33.33</v>
      </c>
      <c r="M330" s="4461">
        <v>66.67</v>
      </c>
    </row>
    <row r="331" spans="1:13">
      <c r="A331" s="5701"/>
      <c r="B331" s="5720"/>
      <c r="C331" s="4457" t="s">
        <v>530</v>
      </c>
      <c r="D331" s="4458">
        <v>17</v>
      </c>
      <c r="E331" s="4458">
        <v>17</v>
      </c>
      <c r="F331" s="4458">
        <v>13</v>
      </c>
      <c r="G331" s="4459">
        <v>76.5</v>
      </c>
      <c r="H331" s="4460">
        <v>41.67</v>
      </c>
      <c r="I331" s="4460">
        <v>58.33</v>
      </c>
      <c r="J331" s="4461">
        <v>0</v>
      </c>
      <c r="K331" s="4461">
        <v>0</v>
      </c>
      <c r="L331" s="4461">
        <v>40</v>
      </c>
      <c r="M331" s="4461">
        <v>60</v>
      </c>
    </row>
    <row r="332" spans="1:13">
      <c r="A332" s="5701"/>
      <c r="B332" s="5720"/>
      <c r="C332" s="4457" t="s">
        <v>784</v>
      </c>
      <c r="D332" s="4458">
        <v>77</v>
      </c>
      <c r="E332" s="4458">
        <v>38</v>
      </c>
      <c r="F332" s="4458">
        <v>38</v>
      </c>
      <c r="G332" s="4459">
        <v>100</v>
      </c>
      <c r="H332" s="4460">
        <v>94.74</v>
      </c>
      <c r="I332" s="4460">
        <v>5.26</v>
      </c>
      <c r="J332" s="4462">
        <v>2.7777777777777777</v>
      </c>
      <c r="K332" s="4462">
        <v>13.888888888888889</v>
      </c>
      <c r="L332" s="4462">
        <v>33.333333333333336</v>
      </c>
      <c r="M332" s="4462">
        <v>50</v>
      </c>
    </row>
    <row r="333" spans="1:13">
      <c r="A333" s="5701"/>
      <c r="B333" s="5720"/>
      <c r="C333" s="4457" t="s">
        <v>785</v>
      </c>
      <c r="D333" s="4458">
        <v>41</v>
      </c>
      <c r="E333" s="4458">
        <v>20</v>
      </c>
      <c r="F333" s="4458">
        <v>20</v>
      </c>
      <c r="G333" s="4459">
        <v>100</v>
      </c>
      <c r="H333" s="4460">
        <v>78.95</v>
      </c>
      <c r="I333" s="4460">
        <v>21.05</v>
      </c>
      <c r="J333" s="4462">
        <v>0</v>
      </c>
      <c r="K333" s="4462">
        <v>25</v>
      </c>
      <c r="L333" s="4462">
        <v>37.5</v>
      </c>
      <c r="M333" s="4462">
        <v>37.5</v>
      </c>
    </row>
    <row r="334" spans="1:13">
      <c r="A334" s="5701"/>
      <c r="B334" s="5720"/>
      <c r="C334" s="4457" t="s">
        <v>786</v>
      </c>
      <c r="D334" s="4458">
        <v>5</v>
      </c>
      <c r="E334" s="4458">
        <v>5</v>
      </c>
      <c r="F334" s="4458">
        <v>1</v>
      </c>
      <c r="G334" s="4459">
        <v>20</v>
      </c>
      <c r="H334" s="4460">
        <v>100</v>
      </c>
      <c r="I334" s="4460">
        <v>0</v>
      </c>
      <c r="J334" s="4462">
        <v>0</v>
      </c>
      <c r="K334" s="4462">
        <v>0</v>
      </c>
      <c r="L334" s="4462">
        <v>100</v>
      </c>
      <c r="M334" s="4462">
        <v>0</v>
      </c>
    </row>
    <row r="335" spans="1:13">
      <c r="A335" s="5701"/>
      <c r="B335" s="5720"/>
      <c r="C335" s="4457" t="s">
        <v>531</v>
      </c>
      <c r="D335" s="4458">
        <v>38</v>
      </c>
      <c r="E335" s="4458">
        <v>19</v>
      </c>
      <c r="F335" s="4458">
        <v>19</v>
      </c>
      <c r="G335" s="4459">
        <v>100</v>
      </c>
      <c r="H335" s="4460">
        <v>64.709999999999994</v>
      </c>
      <c r="I335" s="4460">
        <v>35.29</v>
      </c>
      <c r="J335" s="4462">
        <v>0</v>
      </c>
      <c r="K335" s="4462">
        <v>9.0909090909090917</v>
      </c>
      <c r="L335" s="4462">
        <v>54.545454545454547</v>
      </c>
      <c r="M335" s="4462">
        <v>36.363636363636367</v>
      </c>
    </row>
    <row r="336" spans="1:13">
      <c r="A336" s="5701"/>
      <c r="B336" s="5720"/>
      <c r="C336" s="4457" t="s">
        <v>787</v>
      </c>
      <c r="D336" s="4458">
        <v>71</v>
      </c>
      <c r="E336" s="4458">
        <v>35</v>
      </c>
      <c r="F336" s="4458">
        <v>37</v>
      </c>
      <c r="G336" s="4459">
        <v>100</v>
      </c>
      <c r="H336" s="4460">
        <v>81.08</v>
      </c>
      <c r="I336" s="4460">
        <v>18.920000000000002</v>
      </c>
      <c r="J336" s="4462">
        <v>3.3333333333333335</v>
      </c>
      <c r="K336" s="4462">
        <v>20</v>
      </c>
      <c r="L336" s="4462">
        <v>50</v>
      </c>
      <c r="M336" s="4462">
        <v>26.666666666666668</v>
      </c>
    </row>
    <row r="337" spans="1:13">
      <c r="A337" s="5701"/>
      <c r="B337" s="5721"/>
      <c r="C337" s="4463" t="s">
        <v>529</v>
      </c>
      <c r="D337" s="4464">
        <v>63</v>
      </c>
      <c r="E337" s="4464">
        <v>31</v>
      </c>
      <c r="F337" s="4464">
        <v>34</v>
      </c>
      <c r="G337" s="4465">
        <v>100</v>
      </c>
      <c r="H337" s="4466">
        <v>91.18</v>
      </c>
      <c r="I337" s="4466">
        <v>8.82</v>
      </c>
      <c r="J337" s="4467">
        <v>0</v>
      </c>
      <c r="K337" s="4467">
        <v>6.45</v>
      </c>
      <c r="L337" s="4467">
        <v>22.58</v>
      </c>
      <c r="M337" s="4467">
        <v>70.97</v>
      </c>
    </row>
    <row r="338" spans="1:13">
      <c r="A338" s="5701"/>
      <c r="B338" s="5719" t="s">
        <v>2434</v>
      </c>
      <c r="C338" s="4468" t="s">
        <v>17</v>
      </c>
      <c r="D338" s="4469">
        <v>183</v>
      </c>
      <c r="E338" s="4469">
        <v>76</v>
      </c>
      <c r="F338" s="4469">
        <v>76</v>
      </c>
      <c r="G338" s="4470">
        <v>100</v>
      </c>
      <c r="H338" s="4471">
        <v>85.33</v>
      </c>
      <c r="I338" s="4471">
        <v>14.67</v>
      </c>
      <c r="J338" s="4472">
        <v>4.615384615384615</v>
      </c>
      <c r="K338" s="4472">
        <v>10.76923076923077</v>
      </c>
      <c r="L338" s="4472">
        <v>47.692307692307693</v>
      </c>
      <c r="M338" s="4472">
        <v>36.92307692307692</v>
      </c>
    </row>
    <row r="339" spans="1:13">
      <c r="A339" s="5701"/>
      <c r="B339" s="5720"/>
      <c r="C339" s="4457" t="s">
        <v>18</v>
      </c>
      <c r="D339" s="4458">
        <v>233</v>
      </c>
      <c r="E339" s="4458">
        <v>96</v>
      </c>
      <c r="F339" s="4458">
        <v>101</v>
      </c>
      <c r="G339" s="4459">
        <v>100</v>
      </c>
      <c r="H339" s="4473">
        <v>79.209999999999994</v>
      </c>
      <c r="I339" s="4473">
        <v>20.79</v>
      </c>
      <c r="J339" s="4462">
        <v>3.6585365853658538</v>
      </c>
      <c r="K339" s="4462">
        <v>12.195121951219512</v>
      </c>
      <c r="L339" s="4462">
        <v>18.292682926829269</v>
      </c>
      <c r="M339" s="4462">
        <v>65.853658536585371</v>
      </c>
    </row>
    <row r="340" spans="1:13">
      <c r="A340" s="5701"/>
      <c r="B340" s="5720"/>
      <c r="C340" s="4457" t="s">
        <v>19</v>
      </c>
      <c r="D340" s="4458">
        <v>69</v>
      </c>
      <c r="E340" s="4458">
        <v>28</v>
      </c>
      <c r="F340" s="4458">
        <v>28</v>
      </c>
      <c r="G340" s="4459">
        <v>100</v>
      </c>
      <c r="H340" s="4473">
        <v>71.430000000000007</v>
      </c>
      <c r="I340" s="4473">
        <v>28.57</v>
      </c>
      <c r="J340" s="4462">
        <v>20</v>
      </c>
      <c r="K340" s="4462">
        <v>10</v>
      </c>
      <c r="L340" s="4462">
        <v>25</v>
      </c>
      <c r="M340" s="4462">
        <v>45</v>
      </c>
    </row>
    <row r="341" spans="1:13">
      <c r="A341" s="5701"/>
      <c r="B341" s="5721"/>
      <c r="C341" s="4463" t="s">
        <v>20</v>
      </c>
      <c r="D341" s="4464">
        <v>65</v>
      </c>
      <c r="E341" s="4464">
        <v>28</v>
      </c>
      <c r="F341" s="4464">
        <v>32</v>
      </c>
      <c r="G341" s="4465">
        <v>100</v>
      </c>
      <c r="H341" s="4474">
        <v>59.38</v>
      </c>
      <c r="I341" s="4474">
        <v>40.619999999999997</v>
      </c>
      <c r="J341" s="4475">
        <v>10.526315789473685</v>
      </c>
      <c r="K341" s="4475">
        <v>31.578947368421051</v>
      </c>
      <c r="L341" s="4475">
        <v>42.10526315789474</v>
      </c>
      <c r="M341" s="4475">
        <v>15.789473684210526</v>
      </c>
    </row>
    <row r="342" spans="1:13">
      <c r="A342" s="5701"/>
      <c r="B342" s="5719" t="s">
        <v>2435</v>
      </c>
      <c r="C342" s="3135" t="s">
        <v>22</v>
      </c>
      <c r="D342" s="4476">
        <v>86</v>
      </c>
      <c r="E342" s="3134">
        <v>52</v>
      </c>
      <c r="F342" s="3134">
        <v>47</v>
      </c>
      <c r="G342" s="4477">
        <v>90.4</v>
      </c>
      <c r="H342" s="4471">
        <v>85.11</v>
      </c>
      <c r="I342" s="4471">
        <v>14.89</v>
      </c>
      <c r="J342" s="4472">
        <v>5</v>
      </c>
      <c r="K342" s="4472">
        <v>2.5</v>
      </c>
      <c r="L342" s="4472">
        <v>22.5</v>
      </c>
      <c r="M342" s="4472">
        <v>70</v>
      </c>
    </row>
    <row r="343" spans="1:13">
      <c r="A343" s="5701"/>
      <c r="B343" s="5720"/>
      <c r="C343" s="3117" t="s">
        <v>2115</v>
      </c>
      <c r="D343" s="4478">
        <v>105</v>
      </c>
      <c r="E343" s="3116">
        <v>63</v>
      </c>
      <c r="F343" s="3116">
        <v>64</v>
      </c>
      <c r="G343" s="4479">
        <v>100</v>
      </c>
      <c r="H343" s="4473">
        <v>78.13</v>
      </c>
      <c r="I343" s="4473">
        <v>21.87</v>
      </c>
      <c r="J343" s="4462">
        <v>3.9215686274509802</v>
      </c>
      <c r="K343" s="4462">
        <v>11.764705882352942</v>
      </c>
      <c r="L343" s="4462">
        <v>11.764705882352942</v>
      </c>
      <c r="M343" s="4462">
        <v>72.549019607843135</v>
      </c>
    </row>
    <row r="344" spans="1:13">
      <c r="A344" s="5718"/>
      <c r="B344" s="5721"/>
      <c r="C344" s="3124" t="s">
        <v>2116</v>
      </c>
      <c r="D344" s="4480">
        <v>64</v>
      </c>
      <c r="E344" s="3123">
        <v>38</v>
      </c>
      <c r="F344" s="3123">
        <v>38</v>
      </c>
      <c r="G344" s="4481">
        <v>100</v>
      </c>
      <c r="H344" s="4474">
        <v>68.42</v>
      </c>
      <c r="I344" s="4474">
        <v>31.58</v>
      </c>
      <c r="J344" s="4475">
        <v>7.4074074074074074</v>
      </c>
      <c r="K344" s="4475">
        <v>11.111111111111111</v>
      </c>
      <c r="L344" s="4475">
        <v>29.62962962962963</v>
      </c>
      <c r="M344" s="4475">
        <v>51.851851851851855</v>
      </c>
    </row>
    <row r="345" spans="1:13">
      <c r="A345" s="5717" t="s">
        <v>25</v>
      </c>
      <c r="B345" s="5719" t="s">
        <v>2433</v>
      </c>
      <c r="C345" s="3135" t="s">
        <v>32</v>
      </c>
      <c r="D345" s="4476">
        <v>46</v>
      </c>
      <c r="E345" s="3134">
        <v>30</v>
      </c>
      <c r="F345" s="3134">
        <v>30</v>
      </c>
      <c r="G345" s="4477">
        <v>100</v>
      </c>
      <c r="H345" s="4471">
        <v>86.67</v>
      </c>
      <c r="I345" s="4471">
        <v>13.33</v>
      </c>
      <c r="J345" s="4472">
        <v>7.6923076923076925</v>
      </c>
      <c r="K345" s="4472">
        <v>7.6923076923076925</v>
      </c>
      <c r="L345" s="4472">
        <v>15.384615384615385</v>
      </c>
      <c r="M345" s="4472">
        <v>69.230769230769226</v>
      </c>
    </row>
    <row r="346" spans="1:13">
      <c r="A346" s="5701"/>
      <c r="B346" s="5720"/>
      <c r="C346" s="3117" t="s">
        <v>29</v>
      </c>
      <c r="D346" s="4478">
        <v>9</v>
      </c>
      <c r="E346" s="3116">
        <v>9</v>
      </c>
      <c r="F346" s="3116">
        <v>4</v>
      </c>
      <c r="G346" s="4479">
        <v>44.4</v>
      </c>
      <c r="H346" s="4461">
        <v>75</v>
      </c>
      <c r="I346" s="4461">
        <v>25</v>
      </c>
      <c r="J346" s="4462">
        <v>0</v>
      </c>
      <c r="K346" s="4462">
        <v>0</v>
      </c>
      <c r="L346" s="4462">
        <v>66.666666666666671</v>
      </c>
      <c r="M346" s="4462">
        <v>33.333333333333336</v>
      </c>
    </row>
    <row r="347" spans="1:13">
      <c r="A347" s="5701"/>
      <c r="B347" s="5720"/>
      <c r="C347" s="3117" t="s">
        <v>532</v>
      </c>
      <c r="D347" s="4478">
        <v>27</v>
      </c>
      <c r="E347" s="3116">
        <v>27</v>
      </c>
      <c r="F347" s="3116">
        <v>13</v>
      </c>
      <c r="G347" s="4479">
        <v>59.3</v>
      </c>
      <c r="H347" s="4461">
        <v>84.615384615384613</v>
      </c>
      <c r="I347" s="4461">
        <v>15.384615384615385</v>
      </c>
      <c r="J347" s="4462">
        <v>0</v>
      </c>
      <c r="K347" s="4462">
        <v>18.181818181818183</v>
      </c>
      <c r="L347" s="4462">
        <v>27.272727272727273</v>
      </c>
      <c r="M347" s="4462">
        <v>54.545454545454547</v>
      </c>
    </row>
    <row r="348" spans="1:13">
      <c r="A348" s="5701"/>
      <c r="B348" s="5720"/>
      <c r="C348" s="3117" t="s">
        <v>787</v>
      </c>
      <c r="D348" s="4478">
        <v>45</v>
      </c>
      <c r="E348" s="3116">
        <v>29</v>
      </c>
      <c r="F348" s="3116">
        <v>20</v>
      </c>
      <c r="G348" s="4479">
        <v>69</v>
      </c>
      <c r="H348" s="4461">
        <v>85</v>
      </c>
      <c r="I348" s="4461">
        <v>15</v>
      </c>
      <c r="J348" s="4462">
        <v>11.764705882352942</v>
      </c>
      <c r="K348" s="4462">
        <v>17.647058823529413</v>
      </c>
      <c r="L348" s="4462">
        <v>41.176470588235297</v>
      </c>
      <c r="M348" s="4462">
        <v>29.411764705882351</v>
      </c>
    </row>
    <row r="349" spans="1:13">
      <c r="A349" s="5701"/>
      <c r="B349" s="5720"/>
      <c r="C349" s="3117" t="s">
        <v>269</v>
      </c>
      <c r="D349" s="4478">
        <v>20</v>
      </c>
      <c r="E349" s="3116">
        <v>20</v>
      </c>
      <c r="F349" s="3116">
        <v>8</v>
      </c>
      <c r="G349" s="4479">
        <v>40</v>
      </c>
      <c r="H349" s="4461">
        <v>37.5</v>
      </c>
      <c r="I349" s="4461">
        <v>62.5</v>
      </c>
      <c r="J349" s="4462">
        <v>0</v>
      </c>
      <c r="K349" s="4462">
        <v>25</v>
      </c>
      <c r="L349" s="4462">
        <v>25</v>
      </c>
      <c r="M349" s="4462">
        <v>50</v>
      </c>
    </row>
    <row r="350" spans="1:13">
      <c r="A350" s="5701"/>
      <c r="B350" s="5720"/>
      <c r="C350" s="3117" t="s">
        <v>790</v>
      </c>
      <c r="D350" s="4478">
        <v>6</v>
      </c>
      <c r="E350" s="3116">
        <v>6</v>
      </c>
      <c r="F350" s="3116">
        <v>2</v>
      </c>
      <c r="G350" s="4479">
        <v>33.299999999999997</v>
      </c>
      <c r="H350" s="4461">
        <v>50</v>
      </c>
      <c r="I350" s="4461">
        <v>50</v>
      </c>
      <c r="J350" s="4462">
        <v>0</v>
      </c>
      <c r="K350" s="4462">
        <v>0</v>
      </c>
      <c r="L350" s="4462">
        <v>0</v>
      </c>
      <c r="M350" s="4462">
        <v>100</v>
      </c>
    </row>
    <row r="351" spans="1:13">
      <c r="A351" s="5701"/>
      <c r="B351" s="5720"/>
      <c r="C351" s="3117" t="s">
        <v>531</v>
      </c>
      <c r="D351" s="4478">
        <v>22</v>
      </c>
      <c r="E351" s="3116">
        <v>22</v>
      </c>
      <c r="F351" s="3116">
        <v>13</v>
      </c>
      <c r="G351" s="4479">
        <v>59.1</v>
      </c>
      <c r="H351" s="4461">
        <v>69.230769230769226</v>
      </c>
      <c r="I351" s="4461">
        <v>30.76923076923077</v>
      </c>
      <c r="J351" s="4462">
        <v>0</v>
      </c>
      <c r="K351" s="4462">
        <v>14.285714285714286</v>
      </c>
      <c r="L351" s="4462">
        <v>42.857142857142854</v>
      </c>
      <c r="M351" s="4462">
        <v>42.857142857142854</v>
      </c>
    </row>
    <row r="352" spans="1:13">
      <c r="A352" s="5701"/>
      <c r="B352" s="5720"/>
      <c r="C352" s="3117" t="s">
        <v>30</v>
      </c>
      <c r="D352" s="4478">
        <v>17</v>
      </c>
      <c r="E352" s="3116">
        <v>17</v>
      </c>
      <c r="F352" s="3116">
        <v>13</v>
      </c>
      <c r="G352" s="4479">
        <v>64.7</v>
      </c>
      <c r="H352" s="4461">
        <v>45.5</v>
      </c>
      <c r="I352" s="4461">
        <v>54.5</v>
      </c>
      <c r="J352" s="4462">
        <v>33.333333333333336</v>
      </c>
      <c r="K352" s="4462">
        <v>66.666666666666671</v>
      </c>
      <c r="L352" s="4462">
        <v>0</v>
      </c>
      <c r="M352" s="4462">
        <v>0</v>
      </c>
    </row>
    <row r="353" spans="1:13">
      <c r="A353" s="5701"/>
      <c r="B353" s="5721"/>
      <c r="C353" s="3124" t="s">
        <v>31</v>
      </c>
      <c r="D353" s="4480">
        <v>14</v>
      </c>
      <c r="E353" s="3123">
        <v>14</v>
      </c>
      <c r="F353" s="3123">
        <v>9</v>
      </c>
      <c r="G353" s="4481">
        <v>64.3</v>
      </c>
      <c r="H353" s="4467">
        <v>0</v>
      </c>
      <c r="I353" s="4467">
        <v>100</v>
      </c>
      <c r="J353" s="4475">
        <v>0</v>
      </c>
      <c r="K353" s="4475">
        <v>0</v>
      </c>
      <c r="L353" s="4475">
        <v>0</v>
      </c>
      <c r="M353" s="4475">
        <v>0</v>
      </c>
    </row>
    <row r="354" spans="1:13">
      <c r="A354" s="5701"/>
      <c r="B354" s="5719" t="s">
        <v>2434</v>
      </c>
      <c r="C354" s="3135" t="s">
        <v>17</v>
      </c>
      <c r="D354" s="4476">
        <v>130</v>
      </c>
      <c r="E354" s="3134">
        <v>52</v>
      </c>
      <c r="F354" s="3134">
        <v>48</v>
      </c>
      <c r="G354" s="4477">
        <v>92.3</v>
      </c>
      <c r="H354" s="4482">
        <v>79.2</v>
      </c>
      <c r="I354" s="4482">
        <v>20.8</v>
      </c>
      <c r="J354" s="4472">
        <v>0</v>
      </c>
      <c r="K354" s="4472">
        <v>10.810810810810811</v>
      </c>
      <c r="L354" s="4472">
        <v>43.243243243243242</v>
      </c>
      <c r="M354" s="4472">
        <v>45.945945945945944</v>
      </c>
    </row>
    <row r="355" spans="1:13">
      <c r="A355" s="5701"/>
      <c r="B355" s="5720"/>
      <c r="C355" s="3117" t="s">
        <v>33</v>
      </c>
      <c r="D355" s="4478">
        <v>40</v>
      </c>
      <c r="E355" s="3116">
        <v>16</v>
      </c>
      <c r="F355" s="3116">
        <v>16</v>
      </c>
      <c r="G355" s="4479">
        <v>100</v>
      </c>
      <c r="H355" s="4461">
        <v>56.25</v>
      </c>
      <c r="I355" s="4461">
        <v>43.75</v>
      </c>
      <c r="J355" s="4462">
        <v>0</v>
      </c>
      <c r="K355" s="4462">
        <v>33.333333333333336</v>
      </c>
      <c r="L355" s="4462">
        <v>22.222222222222221</v>
      </c>
      <c r="M355" s="4462">
        <v>44.444444444444443</v>
      </c>
    </row>
    <row r="356" spans="1:13">
      <c r="A356" s="5701"/>
      <c r="B356" s="5720"/>
      <c r="C356" s="3117" t="s">
        <v>38</v>
      </c>
      <c r="D356" s="4478">
        <v>58</v>
      </c>
      <c r="E356" s="3116">
        <v>23</v>
      </c>
      <c r="F356" s="3116">
        <v>29</v>
      </c>
      <c r="G356" s="4479">
        <v>100</v>
      </c>
      <c r="H356" s="4461">
        <v>75</v>
      </c>
      <c r="I356" s="4461">
        <v>25</v>
      </c>
      <c r="J356" s="4462">
        <v>14.285714285714286</v>
      </c>
      <c r="K356" s="4462">
        <v>28.571428571428573</v>
      </c>
      <c r="L356" s="4462">
        <v>28.571428571428573</v>
      </c>
      <c r="M356" s="4462">
        <v>28.571428571428573</v>
      </c>
    </row>
    <row r="357" spans="1:13">
      <c r="A357" s="5701"/>
      <c r="B357" s="5720"/>
      <c r="C357" s="3117" t="s">
        <v>19</v>
      </c>
      <c r="D357" s="4478">
        <v>38</v>
      </c>
      <c r="E357" s="3116">
        <v>15</v>
      </c>
      <c r="F357" s="3116">
        <v>15</v>
      </c>
      <c r="G357" s="4479">
        <v>100</v>
      </c>
      <c r="H357" s="4461">
        <v>66.666666666666671</v>
      </c>
      <c r="I357" s="4461">
        <v>33.333333333333336</v>
      </c>
      <c r="J357" s="4462">
        <v>0</v>
      </c>
      <c r="K357" s="4462">
        <v>30</v>
      </c>
      <c r="L357" s="4462">
        <v>40</v>
      </c>
      <c r="M357" s="4462">
        <v>30</v>
      </c>
    </row>
    <row r="358" spans="1:13">
      <c r="A358" s="5701"/>
      <c r="B358" s="5720"/>
      <c r="C358" s="3117" t="s">
        <v>35</v>
      </c>
      <c r="D358" s="4478">
        <v>26</v>
      </c>
      <c r="E358" s="3116">
        <v>26</v>
      </c>
      <c r="F358" s="3116">
        <v>13</v>
      </c>
      <c r="G358" s="4479">
        <v>50</v>
      </c>
      <c r="H358" s="4461">
        <v>76.92307692307692</v>
      </c>
      <c r="I358" s="4461">
        <v>23.076923076923077</v>
      </c>
      <c r="J358" s="4462">
        <v>10</v>
      </c>
      <c r="K358" s="4462">
        <v>10</v>
      </c>
      <c r="L358" s="4462">
        <v>60</v>
      </c>
      <c r="M358" s="4462">
        <v>20</v>
      </c>
    </row>
    <row r="359" spans="1:13">
      <c r="A359" s="5701"/>
      <c r="B359" s="5720"/>
      <c r="C359" s="3117" t="s">
        <v>36</v>
      </c>
      <c r="D359" s="4478">
        <v>39</v>
      </c>
      <c r="E359" s="3116">
        <v>16</v>
      </c>
      <c r="F359" s="3116">
        <v>17</v>
      </c>
      <c r="G359" s="4479">
        <v>100</v>
      </c>
      <c r="H359" s="4461">
        <v>35.294117647058826</v>
      </c>
      <c r="I359" s="4461">
        <v>64.705882352941174</v>
      </c>
      <c r="J359" s="4462">
        <v>0</v>
      </c>
      <c r="K359" s="4462">
        <v>0</v>
      </c>
      <c r="L359" s="4462">
        <v>66.666666666666671</v>
      </c>
      <c r="M359" s="4462">
        <v>33.333333333333336</v>
      </c>
    </row>
    <row r="360" spans="1:13">
      <c r="A360" s="5701"/>
      <c r="B360" s="5720"/>
      <c r="C360" s="3117" t="s">
        <v>34</v>
      </c>
      <c r="D360" s="4478">
        <v>40</v>
      </c>
      <c r="E360" s="3116">
        <v>16</v>
      </c>
      <c r="F360" s="3116">
        <v>20</v>
      </c>
      <c r="G360" s="4479">
        <v>100</v>
      </c>
      <c r="H360" s="4461">
        <v>70</v>
      </c>
      <c r="I360" s="4461">
        <v>30</v>
      </c>
      <c r="J360" s="4462">
        <v>14.285714285714286</v>
      </c>
      <c r="K360" s="4462">
        <v>0</v>
      </c>
      <c r="L360" s="4462">
        <v>14.285714285714286</v>
      </c>
      <c r="M360" s="4462">
        <v>71.428571428571431</v>
      </c>
    </row>
    <row r="361" spans="1:13">
      <c r="A361" s="5701"/>
      <c r="B361" s="5720"/>
      <c r="C361" s="3117" t="s">
        <v>533</v>
      </c>
      <c r="D361" s="4478">
        <v>17</v>
      </c>
      <c r="E361" s="3116">
        <v>17</v>
      </c>
      <c r="F361" s="3116">
        <v>8</v>
      </c>
      <c r="G361" s="4479">
        <v>47.1</v>
      </c>
      <c r="H361" s="4461">
        <v>75</v>
      </c>
      <c r="I361" s="4461">
        <v>25</v>
      </c>
      <c r="J361" s="4462">
        <v>16.666666666666668</v>
      </c>
      <c r="K361" s="4462">
        <v>16.666666666666668</v>
      </c>
      <c r="L361" s="4462">
        <v>16.666666666666668</v>
      </c>
      <c r="M361" s="4462">
        <v>50</v>
      </c>
    </row>
    <row r="362" spans="1:13">
      <c r="A362" s="5701"/>
      <c r="B362" s="5720"/>
      <c r="C362" s="3117" t="s">
        <v>39</v>
      </c>
      <c r="D362" s="4478">
        <v>149</v>
      </c>
      <c r="E362" s="3116">
        <v>60</v>
      </c>
      <c r="F362" s="3116">
        <v>63</v>
      </c>
      <c r="G362" s="4479">
        <v>100</v>
      </c>
      <c r="H362" s="4461">
        <v>79.365079365079367</v>
      </c>
      <c r="I362" s="4461">
        <v>20.634920634920636</v>
      </c>
      <c r="J362" s="4462">
        <v>12.244897959183673</v>
      </c>
      <c r="K362" s="4462">
        <v>10.204081632653061</v>
      </c>
      <c r="L362" s="4462">
        <v>44.897959183673471</v>
      </c>
      <c r="M362" s="4462">
        <v>32.653061224489797</v>
      </c>
    </row>
    <row r="363" spans="1:13">
      <c r="A363" s="5701"/>
      <c r="B363" s="5720"/>
      <c r="C363" s="3117" t="s">
        <v>20</v>
      </c>
      <c r="D363" s="4478">
        <v>27</v>
      </c>
      <c r="E363" s="3116">
        <v>27</v>
      </c>
      <c r="F363" s="3116">
        <v>11</v>
      </c>
      <c r="G363" s="4479">
        <v>40.700000000000003</v>
      </c>
      <c r="H363" s="4461">
        <v>81.818181818181813</v>
      </c>
      <c r="I363" s="4461">
        <v>18.181818181818183</v>
      </c>
      <c r="J363" s="4462">
        <v>22.222222222222221</v>
      </c>
      <c r="K363" s="4462">
        <v>22.222222222222221</v>
      </c>
      <c r="L363" s="4462">
        <v>22.222222222222221</v>
      </c>
      <c r="M363" s="4462">
        <v>33.333333333333336</v>
      </c>
    </row>
    <row r="364" spans="1:13">
      <c r="A364" s="5701"/>
      <c r="B364" s="5721"/>
      <c r="C364" s="3124" t="s">
        <v>40</v>
      </c>
      <c r="D364" s="4480">
        <v>7</v>
      </c>
      <c r="E364" s="3123">
        <v>7</v>
      </c>
      <c r="F364" s="3123">
        <v>4</v>
      </c>
      <c r="G364" s="4481">
        <v>57.1</v>
      </c>
      <c r="H364" s="4467">
        <v>100</v>
      </c>
      <c r="I364" s="4467">
        <v>0</v>
      </c>
      <c r="J364" s="4475">
        <v>0</v>
      </c>
      <c r="K364" s="4475">
        <v>0</v>
      </c>
      <c r="L364" s="4475">
        <v>50</v>
      </c>
      <c r="M364" s="4475">
        <v>50</v>
      </c>
    </row>
    <row r="365" spans="1:13">
      <c r="A365" s="5701"/>
      <c r="B365" s="5719" t="s">
        <v>2436</v>
      </c>
      <c r="C365" s="3135" t="s">
        <v>42</v>
      </c>
      <c r="D365" s="4476">
        <v>72</v>
      </c>
      <c r="E365" s="3134">
        <v>40</v>
      </c>
      <c r="F365" s="3134">
        <v>35</v>
      </c>
      <c r="G365" s="4477">
        <v>87.5</v>
      </c>
      <c r="H365" s="4482">
        <v>57.142857142857146</v>
      </c>
      <c r="I365" s="4482">
        <v>42.857142857142854</v>
      </c>
      <c r="J365" s="4472">
        <v>4.7619047619047619</v>
      </c>
      <c r="K365" s="4472">
        <v>23.80952380952381</v>
      </c>
      <c r="L365" s="4472">
        <v>28.571428571428573</v>
      </c>
      <c r="M365" s="4472">
        <v>42.857142857142854</v>
      </c>
    </row>
    <row r="366" spans="1:13">
      <c r="A366" s="5701"/>
      <c r="B366" s="5720"/>
      <c r="C366" s="3117" t="s">
        <v>43</v>
      </c>
      <c r="D366" s="4478">
        <v>41</v>
      </c>
      <c r="E366" s="3116">
        <v>23</v>
      </c>
      <c r="F366" s="3116">
        <v>23</v>
      </c>
      <c r="G366" s="4479">
        <v>100</v>
      </c>
      <c r="H366" s="4461">
        <v>21.739130434782609</v>
      </c>
      <c r="I366" s="4461">
        <v>78.260869565217391</v>
      </c>
      <c r="J366" s="4462">
        <v>20</v>
      </c>
      <c r="K366" s="4462">
        <v>0</v>
      </c>
      <c r="L366" s="4462">
        <v>60</v>
      </c>
      <c r="M366" s="4462">
        <v>20</v>
      </c>
    </row>
    <row r="367" spans="1:13">
      <c r="A367" s="5701"/>
      <c r="B367" s="5720"/>
      <c r="C367" s="3117" t="s">
        <v>44</v>
      </c>
      <c r="D367" s="4478">
        <v>31</v>
      </c>
      <c r="E367" s="3116">
        <v>17</v>
      </c>
      <c r="F367" s="3116">
        <v>14</v>
      </c>
      <c r="G367" s="4479">
        <v>82.4</v>
      </c>
      <c r="H367" s="4461">
        <v>35.714285714285715</v>
      </c>
      <c r="I367" s="4461">
        <v>64.285714285714292</v>
      </c>
      <c r="J367" s="4462">
        <v>20</v>
      </c>
      <c r="K367" s="4462">
        <v>20</v>
      </c>
      <c r="L367" s="4462">
        <v>20</v>
      </c>
      <c r="M367" s="4462">
        <v>40</v>
      </c>
    </row>
    <row r="368" spans="1:13">
      <c r="A368" s="5701"/>
      <c r="B368" s="5720"/>
      <c r="C368" s="3117" t="s">
        <v>270</v>
      </c>
      <c r="D368" s="4478">
        <v>69</v>
      </c>
      <c r="E368" s="3116">
        <v>39</v>
      </c>
      <c r="F368" s="3116">
        <v>35</v>
      </c>
      <c r="G368" s="4479">
        <v>79.5</v>
      </c>
      <c r="H368" s="4461">
        <v>57.142857142857146</v>
      </c>
      <c r="I368" s="4461">
        <v>42.857142857142854</v>
      </c>
      <c r="J368" s="4462">
        <v>0</v>
      </c>
      <c r="K368" s="4462">
        <v>14.285714285714286</v>
      </c>
      <c r="L368" s="4462">
        <v>23.80952380952381</v>
      </c>
      <c r="M368" s="4462">
        <v>61.904761904761905</v>
      </c>
    </row>
    <row r="369" spans="1:13">
      <c r="A369" s="5701"/>
      <c r="B369" s="5720"/>
      <c r="C369" s="3117" t="s">
        <v>271</v>
      </c>
      <c r="D369" s="4478">
        <v>73</v>
      </c>
      <c r="E369" s="3116">
        <v>41</v>
      </c>
      <c r="F369" s="3116">
        <v>43</v>
      </c>
      <c r="G369" s="4479">
        <v>100</v>
      </c>
      <c r="H369" s="4461">
        <v>62.790697674418603</v>
      </c>
      <c r="I369" s="4461">
        <v>37.209302325581397</v>
      </c>
      <c r="J369" s="4462">
        <v>11.111111111111111</v>
      </c>
      <c r="K369" s="4462">
        <v>18.518518518518519</v>
      </c>
      <c r="L369" s="4462">
        <v>25.925925925925927</v>
      </c>
      <c r="M369" s="4462">
        <v>44.444444444444443</v>
      </c>
    </row>
    <row r="370" spans="1:13">
      <c r="A370" s="5718"/>
      <c r="B370" s="5721"/>
      <c r="C370" s="3124" t="s">
        <v>45</v>
      </c>
      <c r="D370" s="4480">
        <v>14</v>
      </c>
      <c r="E370" s="3123">
        <v>14</v>
      </c>
      <c r="F370" s="3123">
        <v>5</v>
      </c>
      <c r="G370" s="4481">
        <v>35.700000000000003</v>
      </c>
      <c r="H370" s="4467">
        <v>100</v>
      </c>
      <c r="I370" s="4467">
        <v>0</v>
      </c>
      <c r="J370" s="4475">
        <v>0</v>
      </c>
      <c r="K370" s="4475">
        <v>25</v>
      </c>
      <c r="L370" s="4475">
        <v>25</v>
      </c>
      <c r="M370" s="4475">
        <v>50</v>
      </c>
    </row>
    <row r="371" spans="1:13">
      <c r="A371" s="5717" t="s">
        <v>48</v>
      </c>
      <c r="B371" s="5719" t="s">
        <v>2434</v>
      </c>
      <c r="C371" s="3135" t="s">
        <v>17</v>
      </c>
      <c r="D371" s="4476">
        <v>130</v>
      </c>
      <c r="E371" s="3134">
        <v>42</v>
      </c>
      <c r="F371" s="3134">
        <v>46</v>
      </c>
      <c r="G371" s="4477">
        <v>100</v>
      </c>
      <c r="H371" s="4482">
        <v>82.608695652173907</v>
      </c>
      <c r="I371" s="4482">
        <v>17.391304347826086</v>
      </c>
      <c r="J371" s="4472">
        <v>5.2631578947368425</v>
      </c>
      <c r="K371" s="4472">
        <v>13.157894736842104</v>
      </c>
      <c r="L371" s="4472">
        <v>47.368421052631582</v>
      </c>
      <c r="M371" s="4472">
        <v>34.210526315789473</v>
      </c>
    </row>
    <row r="372" spans="1:13">
      <c r="A372" s="5701"/>
      <c r="B372" s="5720"/>
      <c r="C372" s="3117" t="s">
        <v>49</v>
      </c>
      <c r="D372" s="4478">
        <v>170</v>
      </c>
      <c r="E372" s="3116">
        <v>55</v>
      </c>
      <c r="F372" s="3116">
        <v>59</v>
      </c>
      <c r="G372" s="4479">
        <v>100</v>
      </c>
      <c r="H372" s="4461">
        <v>79.310344827586206</v>
      </c>
      <c r="I372" s="4461">
        <v>20.689655172413794</v>
      </c>
      <c r="J372" s="4462">
        <v>10.638297872340425</v>
      </c>
      <c r="K372" s="4462">
        <v>6.3829787234042552</v>
      </c>
      <c r="L372" s="4462">
        <v>25.531914893617021</v>
      </c>
      <c r="M372" s="4462">
        <v>57.446808510638299</v>
      </c>
    </row>
    <row r="373" spans="1:13">
      <c r="A373" s="5701"/>
      <c r="B373" s="5720"/>
      <c r="C373" s="3117" t="s">
        <v>19</v>
      </c>
      <c r="D373" s="4478">
        <v>81</v>
      </c>
      <c r="E373" s="3116">
        <v>26</v>
      </c>
      <c r="F373" s="3116">
        <v>26</v>
      </c>
      <c r="G373" s="4479">
        <v>100</v>
      </c>
      <c r="H373" s="4461">
        <v>73.07692307692308</v>
      </c>
      <c r="I373" s="4461">
        <v>26.923076923076923</v>
      </c>
      <c r="J373" s="4462">
        <v>5.2631578947368425</v>
      </c>
      <c r="K373" s="4462">
        <v>26.315789473684209</v>
      </c>
      <c r="L373" s="4462">
        <v>36.842105263157897</v>
      </c>
      <c r="M373" s="4462">
        <v>31.578947368421051</v>
      </c>
    </row>
    <row r="374" spans="1:13">
      <c r="A374" s="5701"/>
      <c r="B374" s="5720"/>
      <c r="C374" s="3117" t="s">
        <v>51</v>
      </c>
      <c r="D374" s="4478">
        <v>46</v>
      </c>
      <c r="E374" s="3116">
        <v>15</v>
      </c>
      <c r="F374" s="3116">
        <v>16</v>
      </c>
      <c r="G374" s="4479">
        <v>100</v>
      </c>
      <c r="H374" s="4461">
        <v>87.5</v>
      </c>
      <c r="I374" s="4461">
        <v>12.5</v>
      </c>
      <c r="J374" s="4462">
        <v>14.285714285714286</v>
      </c>
      <c r="K374" s="4462">
        <v>14.285714285714286</v>
      </c>
      <c r="L374" s="4462">
        <v>28.571428571428573</v>
      </c>
      <c r="M374" s="4462">
        <v>42.857142857142854</v>
      </c>
    </row>
    <row r="375" spans="1:13">
      <c r="A375" s="5701"/>
      <c r="B375" s="5720"/>
      <c r="C375" s="3117" t="s">
        <v>50</v>
      </c>
      <c r="D375" s="4478">
        <v>260</v>
      </c>
      <c r="E375" s="3116">
        <v>85</v>
      </c>
      <c r="F375" s="3116">
        <v>89</v>
      </c>
      <c r="G375" s="4479">
        <v>100</v>
      </c>
      <c r="H375" s="4461">
        <v>77.272727272727266</v>
      </c>
      <c r="I375" s="4461">
        <v>22.727272727272727</v>
      </c>
      <c r="J375" s="4462">
        <v>12.857142857142858</v>
      </c>
      <c r="K375" s="4462">
        <v>20</v>
      </c>
      <c r="L375" s="4462">
        <v>32.857142857142854</v>
      </c>
      <c r="M375" s="4462">
        <v>34.285714285714285</v>
      </c>
    </row>
    <row r="376" spans="1:13">
      <c r="A376" s="5701"/>
      <c r="B376" s="5721"/>
      <c r="C376" s="3124" t="s">
        <v>20</v>
      </c>
      <c r="D376" s="4480">
        <v>107</v>
      </c>
      <c r="E376" s="3123">
        <v>35</v>
      </c>
      <c r="F376" s="3123">
        <v>35</v>
      </c>
      <c r="G376" s="4481">
        <v>100</v>
      </c>
      <c r="H376" s="4467">
        <v>62.857142857142854</v>
      </c>
      <c r="I376" s="4467">
        <v>37.142857142857146</v>
      </c>
      <c r="J376" s="4475">
        <v>13.636363636363637</v>
      </c>
      <c r="K376" s="4475">
        <v>18.181818181818183</v>
      </c>
      <c r="L376" s="4475">
        <v>36.363636363636367</v>
      </c>
      <c r="M376" s="4475">
        <v>31.818181818181817</v>
      </c>
    </row>
    <row r="377" spans="1:13">
      <c r="A377" s="5701"/>
      <c r="B377" s="5719" t="s">
        <v>2436</v>
      </c>
      <c r="C377" s="3135" t="s">
        <v>56</v>
      </c>
      <c r="D377" s="4476">
        <v>111</v>
      </c>
      <c r="E377" s="3134">
        <v>27</v>
      </c>
      <c r="F377" s="3134">
        <v>39</v>
      </c>
      <c r="G377" s="4477">
        <v>100</v>
      </c>
      <c r="H377" s="4482">
        <v>68.421052631578945</v>
      </c>
      <c r="I377" s="4482">
        <v>31.578947368421051</v>
      </c>
      <c r="J377" s="4472">
        <v>22.222222222222221</v>
      </c>
      <c r="K377" s="4472">
        <v>7.4074074074074074</v>
      </c>
      <c r="L377" s="4472">
        <v>25.925925925925927</v>
      </c>
      <c r="M377" s="4472">
        <v>44.444444444444443</v>
      </c>
    </row>
    <row r="378" spans="1:13">
      <c r="A378" s="5701"/>
      <c r="B378" s="5720"/>
      <c r="C378" s="3117" t="s">
        <v>42</v>
      </c>
      <c r="D378" s="4478">
        <v>151</v>
      </c>
      <c r="E378" s="3116">
        <v>37</v>
      </c>
      <c r="F378" s="3116">
        <v>54</v>
      </c>
      <c r="G378" s="4479">
        <v>100</v>
      </c>
      <c r="H378" s="4461">
        <v>38.888888888888886</v>
      </c>
      <c r="I378" s="4461">
        <v>61.111111111111114</v>
      </c>
      <c r="J378" s="4462">
        <v>9.5238095238095237</v>
      </c>
      <c r="K378" s="4462">
        <v>9.5238095238095237</v>
      </c>
      <c r="L378" s="4462">
        <v>28.571428571428573</v>
      </c>
      <c r="M378" s="4462">
        <v>52.38095238095238</v>
      </c>
    </row>
    <row r="379" spans="1:13">
      <c r="A379" s="5701"/>
      <c r="B379" s="5720"/>
      <c r="C379" s="3117" t="s">
        <v>52</v>
      </c>
      <c r="D379" s="4478">
        <v>140</v>
      </c>
      <c r="E379" s="3116">
        <v>34</v>
      </c>
      <c r="F379" s="3116">
        <v>43</v>
      </c>
      <c r="G379" s="4479">
        <v>100</v>
      </c>
      <c r="H379" s="4461">
        <v>83.720930232558146</v>
      </c>
      <c r="I379" s="4461">
        <v>16.279069767441861</v>
      </c>
      <c r="J379" s="4462">
        <v>0</v>
      </c>
      <c r="K379" s="4462">
        <v>0</v>
      </c>
      <c r="L379" s="4462">
        <v>8.3333333333333339</v>
      </c>
      <c r="M379" s="4462">
        <v>91.666666666666671</v>
      </c>
    </row>
    <row r="380" spans="1:13">
      <c r="A380" s="5701"/>
      <c r="B380" s="5720"/>
      <c r="C380" s="3117" t="s">
        <v>53</v>
      </c>
      <c r="D380" s="4478">
        <v>163</v>
      </c>
      <c r="E380" s="3116">
        <v>40</v>
      </c>
      <c r="F380" s="3116">
        <v>40</v>
      </c>
      <c r="G380" s="4479">
        <v>100</v>
      </c>
      <c r="H380" s="4461">
        <v>75</v>
      </c>
      <c r="I380" s="4461">
        <v>25</v>
      </c>
      <c r="J380" s="4462">
        <v>6.666666666666667</v>
      </c>
      <c r="K380" s="4462">
        <v>3.3333333333333335</v>
      </c>
      <c r="L380" s="4462">
        <v>13.333333333333334</v>
      </c>
      <c r="M380" s="4462">
        <v>76.666666666666671</v>
      </c>
    </row>
    <row r="381" spans="1:13">
      <c r="A381" s="5701"/>
      <c r="B381" s="5720"/>
      <c r="C381" s="3117" t="s">
        <v>259</v>
      </c>
      <c r="D381" s="4478">
        <v>134</v>
      </c>
      <c r="E381" s="3116">
        <v>33</v>
      </c>
      <c r="F381" s="3116">
        <v>36</v>
      </c>
      <c r="G381" s="4479">
        <v>100</v>
      </c>
      <c r="H381" s="4461">
        <v>62.857142857142854</v>
      </c>
      <c r="I381" s="4461">
        <v>37.142857142857146</v>
      </c>
      <c r="J381" s="4462">
        <v>0</v>
      </c>
      <c r="K381" s="4462">
        <v>0</v>
      </c>
      <c r="L381" s="4462">
        <v>12.5</v>
      </c>
      <c r="M381" s="4462">
        <v>87.5</v>
      </c>
    </row>
    <row r="382" spans="1:13">
      <c r="A382" s="5701"/>
      <c r="B382" s="5720"/>
      <c r="C382" s="3117" t="s">
        <v>55</v>
      </c>
      <c r="D382" s="4478">
        <v>152</v>
      </c>
      <c r="E382" s="3116">
        <v>37</v>
      </c>
      <c r="F382" s="3116">
        <v>53</v>
      </c>
      <c r="G382" s="4479">
        <v>100</v>
      </c>
      <c r="H382" s="4461">
        <v>66.037735849056602</v>
      </c>
      <c r="I382" s="4461">
        <v>33.962264150943398</v>
      </c>
      <c r="J382" s="4462">
        <v>11.428571428571429</v>
      </c>
      <c r="K382" s="4462">
        <v>0</v>
      </c>
      <c r="L382" s="4462">
        <v>17.142857142857142</v>
      </c>
      <c r="M382" s="4462">
        <v>71.428571428571431</v>
      </c>
    </row>
    <row r="383" spans="1:13">
      <c r="A383" s="5701"/>
      <c r="B383" s="5720"/>
      <c r="C383" s="3117" t="s">
        <v>54</v>
      </c>
      <c r="D383" s="4478">
        <v>228</v>
      </c>
      <c r="E383" s="3116">
        <v>56</v>
      </c>
      <c r="F383" s="3116">
        <v>65</v>
      </c>
      <c r="G383" s="4479">
        <v>100</v>
      </c>
      <c r="H383" s="4461">
        <v>76.92307692307692</v>
      </c>
      <c r="I383" s="4461">
        <v>23.076923076923077</v>
      </c>
      <c r="J383" s="4462">
        <v>1.9607843137254901</v>
      </c>
      <c r="K383" s="4462">
        <v>3.9215686274509802</v>
      </c>
      <c r="L383" s="4462">
        <v>35.294117647058826</v>
      </c>
      <c r="M383" s="4462">
        <v>58.823529411764703</v>
      </c>
    </row>
    <row r="384" spans="1:13">
      <c r="A384" s="5701"/>
      <c r="B384" s="5721"/>
      <c r="C384" s="3124" t="s">
        <v>272</v>
      </c>
      <c r="D384" s="4480">
        <v>107</v>
      </c>
      <c r="E384" s="3123">
        <v>26</v>
      </c>
      <c r="F384" s="3123">
        <v>27</v>
      </c>
      <c r="G384" s="4481">
        <v>100</v>
      </c>
      <c r="H384" s="4467">
        <v>70.370370370370367</v>
      </c>
      <c r="I384" s="4467">
        <v>29.62962962962963</v>
      </c>
      <c r="J384" s="4475">
        <v>5.2631578947368425</v>
      </c>
      <c r="K384" s="4475">
        <v>10.526315789473685</v>
      </c>
      <c r="L384" s="4475">
        <v>26.315789473684209</v>
      </c>
      <c r="M384" s="4475">
        <v>57.89473684210526</v>
      </c>
    </row>
    <row r="385" spans="1:13">
      <c r="A385" s="5701"/>
      <c r="B385" s="5719" t="s">
        <v>2435</v>
      </c>
      <c r="C385" s="3135" t="s">
        <v>22</v>
      </c>
      <c r="D385" s="4476">
        <v>181</v>
      </c>
      <c r="E385" s="3134">
        <v>92</v>
      </c>
      <c r="F385" s="3134">
        <v>96</v>
      </c>
      <c r="G385" s="4477">
        <v>100</v>
      </c>
      <c r="H385" s="4482">
        <v>84.375</v>
      </c>
      <c r="I385" s="4482">
        <v>15.625</v>
      </c>
      <c r="J385" s="4472">
        <v>0</v>
      </c>
      <c r="K385" s="4472">
        <v>10.975609756097562</v>
      </c>
      <c r="L385" s="4472">
        <v>23.170731707317074</v>
      </c>
      <c r="M385" s="4472">
        <v>65.853658536585371</v>
      </c>
    </row>
    <row r="386" spans="1:13">
      <c r="A386" s="5701"/>
      <c r="B386" s="5720"/>
      <c r="C386" s="3117" t="s">
        <v>58</v>
      </c>
      <c r="D386" s="4478">
        <v>51</v>
      </c>
      <c r="E386" s="3116">
        <v>26</v>
      </c>
      <c r="F386" s="3116">
        <v>27</v>
      </c>
      <c r="G386" s="4479">
        <v>100</v>
      </c>
      <c r="H386" s="4461">
        <v>62.962962962962962</v>
      </c>
      <c r="I386" s="4461">
        <v>37.037037037037038</v>
      </c>
      <c r="J386" s="4462">
        <v>29.411764705882351</v>
      </c>
      <c r="K386" s="4462">
        <v>5.882352941176471</v>
      </c>
      <c r="L386" s="4462">
        <v>35.294117647058826</v>
      </c>
      <c r="M386" s="4462">
        <v>29.411764705882351</v>
      </c>
    </row>
    <row r="387" spans="1:13">
      <c r="A387" s="5701"/>
      <c r="B387" s="5720"/>
      <c r="C387" s="3117" t="s">
        <v>23</v>
      </c>
      <c r="D387" s="4478">
        <v>94</v>
      </c>
      <c r="E387" s="3116">
        <v>48</v>
      </c>
      <c r="F387" s="3116">
        <v>50</v>
      </c>
      <c r="G387" s="4479">
        <v>100</v>
      </c>
      <c r="H387" s="4461">
        <v>76</v>
      </c>
      <c r="I387" s="4461">
        <v>24</v>
      </c>
      <c r="J387" s="4462">
        <v>2.5641025641025643</v>
      </c>
      <c r="K387" s="4462">
        <v>10.256410256410257</v>
      </c>
      <c r="L387" s="4462">
        <v>23.076923076923077</v>
      </c>
      <c r="M387" s="4462">
        <v>64.102564102564102</v>
      </c>
    </row>
    <row r="388" spans="1:13">
      <c r="A388" s="5718"/>
      <c r="B388" s="5721"/>
      <c r="C388" s="3117" t="s">
        <v>24</v>
      </c>
      <c r="D388" s="4478">
        <v>46</v>
      </c>
      <c r="E388" s="3116">
        <v>23</v>
      </c>
      <c r="F388" s="3116">
        <v>23</v>
      </c>
      <c r="G388" s="4479">
        <v>100</v>
      </c>
      <c r="H388" s="4461">
        <v>91.304347826086953</v>
      </c>
      <c r="I388" s="4461">
        <v>8.695652173913043</v>
      </c>
      <c r="J388" s="4462">
        <v>9.5238095238095237</v>
      </c>
      <c r="K388" s="4462">
        <v>4.7619047619047619</v>
      </c>
      <c r="L388" s="4462">
        <v>14.285714285714286</v>
      </c>
      <c r="M388" s="4462">
        <v>71.428571428571431</v>
      </c>
    </row>
    <row r="389" spans="1:13">
      <c r="A389" s="5717" t="s">
        <v>59</v>
      </c>
      <c r="B389" s="5719" t="s">
        <v>2434</v>
      </c>
      <c r="C389" s="3117" t="s">
        <v>17</v>
      </c>
      <c r="D389" s="4478">
        <v>30</v>
      </c>
      <c r="E389" s="3116">
        <v>30</v>
      </c>
      <c r="F389" s="3116">
        <v>20</v>
      </c>
      <c r="G389" s="4479">
        <v>66.67</v>
      </c>
      <c r="H389" s="4461">
        <v>80</v>
      </c>
      <c r="I389" s="4461">
        <v>20</v>
      </c>
      <c r="J389" s="4462">
        <v>15.384615384615385</v>
      </c>
      <c r="K389" s="4462">
        <v>15.384615384615385</v>
      </c>
      <c r="L389" s="4462">
        <v>30.76923076923077</v>
      </c>
      <c r="M389" s="4462">
        <v>38.46153846153846</v>
      </c>
    </row>
    <row r="390" spans="1:13">
      <c r="A390" s="5701"/>
      <c r="B390" s="5720"/>
      <c r="C390" s="3117" t="s">
        <v>60</v>
      </c>
      <c r="D390" s="4478">
        <v>18</v>
      </c>
      <c r="E390" s="3116">
        <v>18</v>
      </c>
      <c r="F390" s="3116">
        <v>15</v>
      </c>
      <c r="G390" s="4479">
        <v>77.8</v>
      </c>
      <c r="H390" s="4461">
        <v>71.428571428571431</v>
      </c>
      <c r="I390" s="4461">
        <v>28.571428571428573</v>
      </c>
      <c r="J390" s="4462">
        <v>22.222222222222221</v>
      </c>
      <c r="K390" s="4462">
        <v>22.222222222222221</v>
      </c>
      <c r="L390" s="4462">
        <v>44.444444444444443</v>
      </c>
      <c r="M390" s="4462">
        <v>11.111111111111111</v>
      </c>
    </row>
    <row r="391" spans="1:13">
      <c r="A391" s="5701"/>
      <c r="B391" s="5721"/>
      <c r="C391" s="3124" t="s">
        <v>413</v>
      </c>
      <c r="D391" s="4480">
        <v>7</v>
      </c>
      <c r="E391" s="3123">
        <v>7</v>
      </c>
      <c r="F391" s="3123">
        <v>6</v>
      </c>
      <c r="G391" s="4481">
        <v>85.71</v>
      </c>
      <c r="H391" s="4467">
        <v>83.3</v>
      </c>
      <c r="I391" s="4467">
        <v>16.7</v>
      </c>
      <c r="J391" s="4475">
        <v>20</v>
      </c>
      <c r="K391" s="4475">
        <v>40</v>
      </c>
      <c r="L391" s="4475">
        <v>0</v>
      </c>
      <c r="M391" s="4475">
        <v>40</v>
      </c>
    </row>
    <row r="392" spans="1:13">
      <c r="A392" s="5701"/>
      <c r="B392" s="5719" t="s">
        <v>2437</v>
      </c>
      <c r="C392" s="3135" t="s">
        <v>62</v>
      </c>
      <c r="D392" s="3134">
        <v>21</v>
      </c>
      <c r="E392" s="3134">
        <v>21</v>
      </c>
      <c r="F392" s="3134">
        <v>11</v>
      </c>
      <c r="G392" s="4477">
        <v>52.4</v>
      </c>
      <c r="H392" s="4482">
        <v>90</v>
      </c>
      <c r="I392" s="4482">
        <v>10</v>
      </c>
      <c r="J392" s="4472">
        <v>0</v>
      </c>
      <c r="K392" s="4472">
        <v>11.111111111111111</v>
      </c>
      <c r="L392" s="4472">
        <v>22.222222222222221</v>
      </c>
      <c r="M392" s="4472">
        <v>66.666666666666671</v>
      </c>
    </row>
    <row r="393" spans="1:13">
      <c r="A393" s="5701"/>
      <c r="B393" s="5720"/>
      <c r="C393" s="3117" t="s">
        <v>2137</v>
      </c>
      <c r="D393" s="3116">
        <v>3</v>
      </c>
      <c r="E393" s="3116">
        <v>3</v>
      </c>
      <c r="F393" s="3116">
        <v>3</v>
      </c>
      <c r="G393" s="4479">
        <v>100</v>
      </c>
      <c r="H393" s="4461">
        <v>100</v>
      </c>
      <c r="I393" s="4461">
        <v>0</v>
      </c>
      <c r="J393" s="4462">
        <v>0</v>
      </c>
      <c r="K393" s="4462">
        <v>0</v>
      </c>
      <c r="L393" s="4462">
        <v>0</v>
      </c>
      <c r="M393" s="4462">
        <v>100</v>
      </c>
    </row>
    <row r="394" spans="1:13">
      <c r="A394" s="5701"/>
      <c r="B394" s="5721"/>
      <c r="C394" s="3124" t="s">
        <v>63</v>
      </c>
      <c r="D394" s="3123">
        <v>27</v>
      </c>
      <c r="E394" s="3123">
        <v>27</v>
      </c>
      <c r="F394" s="3123">
        <v>17</v>
      </c>
      <c r="G394" s="4481">
        <v>63</v>
      </c>
      <c r="H394" s="4467">
        <v>82.352941176470594</v>
      </c>
      <c r="I394" s="4467">
        <v>17.647058823529413</v>
      </c>
      <c r="J394" s="4475">
        <v>0</v>
      </c>
      <c r="K394" s="4475">
        <v>14.285714285714286</v>
      </c>
      <c r="L394" s="4475">
        <v>42.857142857142854</v>
      </c>
      <c r="M394" s="4475">
        <v>42.857142857142854</v>
      </c>
    </row>
    <row r="395" spans="1:13">
      <c r="A395" s="5701"/>
      <c r="B395" s="5719" t="s">
        <v>2438</v>
      </c>
      <c r="C395" s="3135" t="s">
        <v>529</v>
      </c>
      <c r="D395" s="3134">
        <v>13</v>
      </c>
      <c r="E395" s="3134">
        <v>13</v>
      </c>
      <c r="F395" s="3134">
        <v>11</v>
      </c>
      <c r="G395" s="4477">
        <v>84.6</v>
      </c>
      <c r="H395" s="4482">
        <v>90</v>
      </c>
      <c r="I395" s="4482">
        <v>10</v>
      </c>
      <c r="J395" s="4472">
        <v>0</v>
      </c>
      <c r="K395" s="4472">
        <v>9.0909090909090917</v>
      </c>
      <c r="L395" s="4472">
        <v>9.0909090909090917</v>
      </c>
      <c r="M395" s="4472">
        <v>81.818181818181813</v>
      </c>
    </row>
    <row r="396" spans="1:13">
      <c r="A396" s="5701"/>
      <c r="B396" s="5720"/>
      <c r="C396" s="3117" t="s">
        <v>65</v>
      </c>
      <c r="D396" s="3116">
        <v>4</v>
      </c>
      <c r="E396" s="3116">
        <v>4</v>
      </c>
      <c r="F396" s="3116">
        <v>2</v>
      </c>
      <c r="G396" s="4479">
        <v>50</v>
      </c>
      <c r="H396" s="4461">
        <v>0</v>
      </c>
      <c r="I396" s="4461">
        <v>100</v>
      </c>
      <c r="J396" s="4473">
        <v>0</v>
      </c>
      <c r="K396" s="4473">
        <v>0</v>
      </c>
      <c r="L396" s="4473">
        <v>0</v>
      </c>
      <c r="M396" s="4473">
        <v>0</v>
      </c>
    </row>
    <row r="397" spans="1:13">
      <c r="A397" s="5718"/>
      <c r="B397" s="5721"/>
      <c r="C397" s="3124" t="s">
        <v>415</v>
      </c>
      <c r="D397" s="3123">
        <v>1</v>
      </c>
      <c r="E397" s="3123">
        <v>1</v>
      </c>
      <c r="F397" s="3123">
        <v>1</v>
      </c>
      <c r="G397" s="4481">
        <v>100</v>
      </c>
      <c r="H397" s="4467">
        <v>0</v>
      </c>
      <c r="I397" s="4467">
        <v>100</v>
      </c>
      <c r="J397" s="4474">
        <v>0</v>
      </c>
      <c r="K397" s="4474">
        <v>0</v>
      </c>
      <c r="L397" s="4474">
        <v>0</v>
      </c>
      <c r="M397" s="4474">
        <v>0</v>
      </c>
    </row>
    <row r="398" spans="1:13" ht="30.6">
      <c r="A398" s="5717" t="s">
        <v>244</v>
      </c>
      <c r="B398" s="4483" t="s">
        <v>2439</v>
      </c>
      <c r="C398" s="4484" t="s">
        <v>2440</v>
      </c>
      <c r="D398" s="4485">
        <v>30</v>
      </c>
      <c r="E398" s="4265">
        <v>30</v>
      </c>
      <c r="F398" s="4486">
        <v>27</v>
      </c>
      <c r="G398" s="4487">
        <f>F398*100/E398</f>
        <v>90</v>
      </c>
      <c r="H398" s="4488">
        <v>70.400000000000006</v>
      </c>
      <c r="I398" s="4488">
        <v>29.6</v>
      </c>
      <c r="J398" s="4488">
        <v>5.6</v>
      </c>
      <c r="K398" s="4488">
        <v>16.7</v>
      </c>
      <c r="L398" s="4488">
        <v>22.2</v>
      </c>
      <c r="M398" s="4488">
        <v>55.6</v>
      </c>
    </row>
    <row r="399" spans="1:13" ht="30.6">
      <c r="A399" s="5701"/>
      <c r="B399" s="4489" t="s">
        <v>2434</v>
      </c>
      <c r="C399" s="4484" t="s">
        <v>791</v>
      </c>
      <c r="D399" s="4485">
        <v>43</v>
      </c>
      <c r="E399" s="4265">
        <v>43</v>
      </c>
      <c r="F399" s="4486">
        <v>39</v>
      </c>
      <c r="G399" s="4487">
        <f>F399*100/E399</f>
        <v>90.697674418604649</v>
      </c>
      <c r="H399" s="4488">
        <v>61.5</v>
      </c>
      <c r="I399" s="4488">
        <v>38.5</v>
      </c>
      <c r="J399" s="4488">
        <v>12.5</v>
      </c>
      <c r="K399" s="4488">
        <v>20.8</v>
      </c>
      <c r="L399" s="4488">
        <v>33.299999999999997</v>
      </c>
      <c r="M399" s="4488">
        <v>33.299999999999997</v>
      </c>
    </row>
    <row r="400" spans="1:13" ht="30.6">
      <c r="A400" s="5718"/>
      <c r="B400" s="4489" t="s">
        <v>2436</v>
      </c>
      <c r="C400" s="4484" t="s">
        <v>792</v>
      </c>
      <c r="D400" s="4485">
        <v>36</v>
      </c>
      <c r="E400" s="4265">
        <v>36</v>
      </c>
      <c r="F400" s="4486">
        <v>34</v>
      </c>
      <c r="G400" s="4487">
        <f>F400*100/E400</f>
        <v>94.444444444444443</v>
      </c>
      <c r="H400" s="4265">
        <v>47.1</v>
      </c>
      <c r="I400" s="4265">
        <v>52.9</v>
      </c>
      <c r="J400" s="4265">
        <v>26.7</v>
      </c>
      <c r="K400" s="4265">
        <v>33.299999999999997</v>
      </c>
      <c r="L400" s="4265">
        <v>20</v>
      </c>
      <c r="M400" s="4265">
        <v>20</v>
      </c>
    </row>
    <row r="401" spans="1:13">
      <c r="A401" s="1790"/>
      <c r="B401" s="43"/>
      <c r="C401" s="4448" t="s">
        <v>15</v>
      </c>
      <c r="D401" s="4448">
        <f>SUM(D328:D400)</f>
        <v>4853</v>
      </c>
      <c r="E401" s="4448">
        <f>SUM(E328:E400)</f>
        <v>2192</v>
      </c>
      <c r="F401" s="4448">
        <f>SUM(F328:F400)</f>
        <v>2118</v>
      </c>
      <c r="G401" s="4490">
        <v>96.9</v>
      </c>
      <c r="H401" s="4491">
        <v>0.73499999999999999</v>
      </c>
      <c r="I401" s="4492">
        <v>0.26500000000000001</v>
      </c>
      <c r="J401" s="4493">
        <v>6.9000000000000006E-2</v>
      </c>
      <c r="K401" s="4493">
        <v>0.122</v>
      </c>
      <c r="L401" s="4493">
        <v>0.29199999999999998</v>
      </c>
      <c r="M401" s="4493">
        <v>0.51700000000000002</v>
      </c>
    </row>
    <row r="402" spans="1:13" ht="15.6">
      <c r="A402" s="246"/>
      <c r="B402" s="246"/>
      <c r="C402" s="246"/>
      <c r="D402" s="246"/>
      <c r="E402" s="237"/>
    </row>
    <row r="403" spans="1:13">
      <c r="A403" s="238"/>
      <c r="B403" s="238"/>
      <c r="C403" s="238"/>
      <c r="D403" s="238"/>
      <c r="E403" s="237"/>
    </row>
    <row r="404" spans="1:13" ht="17.399999999999999">
      <c r="B404"/>
      <c r="C404" s="270">
        <v>2016</v>
      </c>
      <c r="D404" s="238"/>
      <c r="E404" s="238"/>
      <c r="F404" s="238"/>
      <c r="G404" s="238"/>
    </row>
    <row r="405" spans="1:13">
      <c r="A405" s="1787" t="s">
        <v>2141</v>
      </c>
      <c r="B405" s="37"/>
      <c r="C405" s="37"/>
      <c r="D405" s="1788"/>
      <c r="E405" s="1788"/>
      <c r="F405" s="1788"/>
      <c r="G405" s="37"/>
    </row>
    <row r="406" spans="1:13">
      <c r="A406" s="1789" t="s">
        <v>2142</v>
      </c>
      <c r="B406" s="1788"/>
      <c r="C406" s="37"/>
      <c r="D406" s="37"/>
      <c r="E406" s="37"/>
      <c r="F406" s="37"/>
      <c r="G406" s="37"/>
    </row>
    <row r="407" spans="1:13" ht="31.5" customHeight="1">
      <c r="A407" s="5734" t="s">
        <v>2097</v>
      </c>
      <c r="B407" s="5734"/>
      <c r="C407" s="5734"/>
      <c r="D407" s="5734"/>
      <c r="E407" s="5734"/>
      <c r="F407" s="5734"/>
      <c r="G407" s="5734"/>
    </row>
    <row r="408" spans="1:13" ht="53.25" customHeight="1">
      <c r="A408" s="5699" t="s">
        <v>2145</v>
      </c>
      <c r="B408" s="5699"/>
      <c r="C408" s="5699"/>
      <c r="D408" s="5699"/>
      <c r="E408" s="5699"/>
      <c r="F408" s="5699"/>
      <c r="G408" s="5699"/>
    </row>
    <row r="409" spans="1:13" ht="15" customHeight="1">
      <c r="A409" s="5735" t="s">
        <v>2098</v>
      </c>
      <c r="B409" s="5735"/>
      <c r="C409" s="5735"/>
      <c r="D409" s="5735"/>
      <c r="E409" s="5735"/>
      <c r="F409" s="5735"/>
      <c r="G409" s="5735"/>
    </row>
    <row r="410" spans="1:13" ht="22.5" customHeight="1">
      <c r="A410" s="5735"/>
      <c r="B410" s="5735"/>
      <c r="C410" s="5735"/>
      <c r="D410" s="5735"/>
      <c r="E410" s="5735"/>
      <c r="F410" s="5735"/>
      <c r="G410" s="5735"/>
    </row>
    <row r="411" spans="1:13">
      <c r="A411" s="249"/>
      <c r="B411" s="132"/>
      <c r="C411" s="132"/>
      <c r="D411" s="1167"/>
      <c r="E411" s="1167"/>
      <c r="F411" s="1167"/>
      <c r="G411" s="132"/>
    </row>
    <row r="412" spans="1:13">
      <c r="A412" s="5736" t="s">
        <v>1602</v>
      </c>
      <c r="B412" s="5737"/>
      <c r="C412" s="5737"/>
      <c r="D412" s="5737"/>
      <c r="E412" s="5738"/>
      <c r="F412" s="1167"/>
      <c r="G412" s="132"/>
    </row>
    <row r="413" spans="1:13" ht="39.6">
      <c r="A413" s="1768" t="s">
        <v>1603</v>
      </c>
      <c r="B413" s="1769" t="s">
        <v>2099</v>
      </c>
      <c r="C413" s="1769" t="s">
        <v>2100</v>
      </c>
      <c r="D413" s="1769" t="s">
        <v>2101</v>
      </c>
      <c r="E413" s="1769" t="s">
        <v>2102</v>
      </c>
      <c r="F413" s="1167"/>
      <c r="G413" s="132"/>
      <c r="H413" s="282"/>
      <c r="I413" s="282"/>
      <c r="J413" s="282"/>
    </row>
    <row r="414" spans="1:13">
      <c r="A414" s="1770">
        <v>2012</v>
      </c>
      <c r="B414" s="1770">
        <v>4744</v>
      </c>
      <c r="C414" s="1771">
        <v>2083</v>
      </c>
      <c r="D414" s="1772">
        <v>2015</v>
      </c>
      <c r="E414" s="1773">
        <f>D414*100/C414</f>
        <v>96.735477676428232</v>
      </c>
      <c r="F414" s="1167"/>
      <c r="G414" s="132"/>
      <c r="H414" s="1774"/>
      <c r="I414" s="1774"/>
      <c r="J414" s="1774"/>
    </row>
    <row r="415" spans="1:13">
      <c r="A415" s="1775"/>
      <c r="B415" s="1775"/>
      <c r="C415" s="1776"/>
      <c r="D415" s="1169"/>
      <c r="E415" s="1169"/>
      <c r="F415" s="1167"/>
      <c r="G415" s="132"/>
    </row>
    <row r="416" spans="1:13">
      <c r="A416" s="5739" t="s">
        <v>2103</v>
      </c>
      <c r="B416" s="5739"/>
      <c r="C416" s="5739"/>
      <c r="D416" s="5739"/>
      <c r="E416" s="5739"/>
      <c r="F416" s="1167"/>
      <c r="G416" s="132"/>
    </row>
    <row r="417" spans="1:10">
      <c r="A417" s="1777" t="s">
        <v>2104</v>
      </c>
      <c r="B417" s="1778" t="s">
        <v>2099</v>
      </c>
      <c r="C417" s="1778" t="s">
        <v>2100</v>
      </c>
      <c r="D417" s="1778" t="s">
        <v>2105</v>
      </c>
      <c r="E417" s="3064" t="s">
        <v>2106</v>
      </c>
      <c r="G417" s="132"/>
    </row>
    <row r="418" spans="1:10">
      <c r="A418" s="3058" t="s">
        <v>3</v>
      </c>
      <c r="B418" s="3059">
        <v>1191</v>
      </c>
      <c r="C418" s="3059">
        <v>599</v>
      </c>
      <c r="D418" s="3059">
        <v>597</v>
      </c>
      <c r="E418" s="3065">
        <f>D418*100/C418</f>
        <v>99.666110183639404</v>
      </c>
      <c r="G418" s="132"/>
    </row>
    <row r="419" spans="1:10">
      <c r="A419" s="3060" t="s">
        <v>25</v>
      </c>
      <c r="B419" s="3061">
        <v>1077</v>
      </c>
      <c r="C419" s="3061">
        <v>623</v>
      </c>
      <c r="D419" s="3061">
        <v>509</v>
      </c>
      <c r="E419" s="3066">
        <f>D419*100/C419</f>
        <v>81.701444622792934</v>
      </c>
      <c r="G419" s="132"/>
    </row>
    <row r="420" spans="1:10">
      <c r="A420" s="3060" t="s">
        <v>48</v>
      </c>
      <c r="B420" s="3061">
        <v>2352</v>
      </c>
      <c r="C420" s="3061">
        <v>737</v>
      </c>
      <c r="D420" s="3061">
        <v>824</v>
      </c>
      <c r="E420" s="3066">
        <f>D420*100/C420</f>
        <v>111.80461329715061</v>
      </c>
      <c r="G420" s="132"/>
    </row>
    <row r="421" spans="1:10">
      <c r="A421" s="3062" t="s">
        <v>59</v>
      </c>
      <c r="B421" s="3063">
        <v>124</v>
      </c>
      <c r="C421" s="3063">
        <v>124</v>
      </c>
      <c r="D421" s="3063">
        <v>85</v>
      </c>
      <c r="E421" s="3067">
        <f>D421*100/C421</f>
        <v>68.548387096774192</v>
      </c>
      <c r="G421" s="132"/>
    </row>
    <row r="422" spans="1:10">
      <c r="A422" s="1778" t="s">
        <v>15</v>
      </c>
      <c r="B422" s="1779">
        <v>4744</v>
      </c>
      <c r="C422" s="1779">
        <v>2083</v>
      </c>
      <c r="D422" s="1779">
        <f>SUM(D418:D421)</f>
        <v>2015</v>
      </c>
      <c r="E422" s="1780">
        <f>D422*100/C422</f>
        <v>96.735477676428232</v>
      </c>
      <c r="G422" s="132"/>
    </row>
    <row r="423" spans="1:10">
      <c r="A423" s="1167"/>
      <c r="B423" s="1167"/>
      <c r="C423" s="1167"/>
      <c r="D423" s="1167"/>
      <c r="E423" s="1167"/>
      <c r="F423" s="1167"/>
      <c r="G423" s="132"/>
    </row>
    <row r="424" spans="1:10">
      <c r="A424" s="5740" t="s">
        <v>1036</v>
      </c>
      <c r="B424" s="5741"/>
      <c r="C424" s="1781"/>
      <c r="D424" s="1169"/>
      <c r="F424" s="1167"/>
      <c r="G424" s="132"/>
    </row>
    <row r="425" spans="1:10">
      <c r="A425" s="1825" t="s">
        <v>1038</v>
      </c>
      <c r="B425" s="1782" t="s">
        <v>1039</v>
      </c>
      <c r="C425" s="1783" t="s">
        <v>2107</v>
      </c>
      <c r="D425" s="1168"/>
      <c r="E425" s="5742" t="s">
        <v>2108</v>
      </c>
      <c r="F425" s="5742"/>
      <c r="G425" s="5742"/>
      <c r="H425" s="5742"/>
      <c r="I425" s="5742"/>
      <c r="J425" s="5742"/>
    </row>
    <row r="426" spans="1:10">
      <c r="A426" s="1791">
        <v>0.74199999999999999</v>
      </c>
      <c r="B426" s="1784">
        <v>0.25800000000000001</v>
      </c>
      <c r="C426" s="1785">
        <f>SUM(A426:B426)</f>
        <v>1</v>
      </c>
      <c r="D426" s="1786"/>
      <c r="E426" s="5742"/>
      <c r="F426" s="5742"/>
      <c r="G426" s="5742"/>
      <c r="H426" s="5742"/>
      <c r="I426" s="5742"/>
      <c r="J426" s="5742"/>
    </row>
    <row r="427" spans="1:10">
      <c r="A427" s="129"/>
    </row>
    <row r="428" spans="1:10">
      <c r="A428" s="1790"/>
      <c r="B428" s="43"/>
      <c r="C428" s="43"/>
      <c r="D428" s="43"/>
      <c r="E428" s="43"/>
      <c r="F428" s="43"/>
      <c r="G428" s="43"/>
      <c r="H428" s="5732" t="s">
        <v>1036</v>
      </c>
      <c r="I428" s="5733"/>
      <c r="J428" s="43"/>
    </row>
    <row r="429" spans="1:10" ht="20.399999999999999">
      <c r="A429" s="4448" t="s">
        <v>0</v>
      </c>
      <c r="B429" s="4448" t="s">
        <v>1</v>
      </c>
      <c r="C429" s="4448" t="s">
        <v>1606</v>
      </c>
      <c r="D429" s="4448" t="s">
        <v>2109</v>
      </c>
      <c r="E429" s="4448" t="s">
        <v>2100</v>
      </c>
      <c r="F429" s="4449" t="s">
        <v>2110</v>
      </c>
      <c r="G429" s="4449" t="s">
        <v>2111</v>
      </c>
      <c r="H429" s="4448" t="s">
        <v>1038</v>
      </c>
      <c r="I429" s="4448" t="s">
        <v>1039</v>
      </c>
      <c r="J429" s="4449" t="s">
        <v>2107</v>
      </c>
    </row>
    <row r="430" spans="1:10">
      <c r="A430" s="5700" t="s">
        <v>3</v>
      </c>
      <c r="B430" s="5700" t="s">
        <v>4</v>
      </c>
      <c r="C430" s="4452" t="s">
        <v>527</v>
      </c>
      <c r="D430" s="4453">
        <v>42</v>
      </c>
      <c r="E430" s="4453">
        <v>21</v>
      </c>
      <c r="F430" s="4453">
        <v>25</v>
      </c>
      <c r="G430" s="4494">
        <v>119</v>
      </c>
      <c r="H430" s="4495">
        <v>64</v>
      </c>
      <c r="I430" s="4495">
        <v>36</v>
      </c>
      <c r="J430" s="4495">
        <f t="shared" ref="J430:J493" si="9">H430+I430</f>
        <v>100</v>
      </c>
    </row>
    <row r="431" spans="1:10">
      <c r="A431" s="5701"/>
      <c r="B431" s="5701"/>
      <c r="C431" s="4457" t="s">
        <v>2910</v>
      </c>
      <c r="D431" s="4458">
        <v>22</v>
      </c>
      <c r="E431" s="4458">
        <v>22</v>
      </c>
      <c r="F431" s="4458">
        <v>18</v>
      </c>
      <c r="G431" s="4496">
        <v>81.8</v>
      </c>
      <c r="H431" s="4497">
        <v>83.33</v>
      </c>
      <c r="I431" s="4497">
        <v>16.670000000000002</v>
      </c>
      <c r="J431" s="4497">
        <f t="shared" si="9"/>
        <v>100</v>
      </c>
    </row>
    <row r="432" spans="1:10">
      <c r="A432" s="5701"/>
      <c r="B432" s="5701"/>
      <c r="C432" s="4457" t="s">
        <v>2911</v>
      </c>
      <c r="D432" s="4458">
        <v>10</v>
      </c>
      <c r="E432" s="4458">
        <v>10</v>
      </c>
      <c r="F432" s="4458">
        <v>6</v>
      </c>
      <c r="G432" s="4496">
        <v>60</v>
      </c>
      <c r="H432" s="4497">
        <v>100</v>
      </c>
      <c r="I432" s="4497">
        <v>0</v>
      </c>
      <c r="J432" s="4497">
        <f t="shared" si="9"/>
        <v>100</v>
      </c>
    </row>
    <row r="433" spans="1:10">
      <c r="A433" s="5701"/>
      <c r="B433" s="5701"/>
      <c r="C433" s="4457" t="s">
        <v>2112</v>
      </c>
      <c r="D433" s="4458">
        <v>17</v>
      </c>
      <c r="E433" s="4458">
        <v>17</v>
      </c>
      <c r="F433" s="4458">
        <v>13</v>
      </c>
      <c r="G433" s="4496">
        <v>76.5</v>
      </c>
      <c r="H433" s="4497">
        <v>41.67</v>
      </c>
      <c r="I433" s="4497">
        <v>58.33</v>
      </c>
      <c r="J433" s="4497">
        <f t="shared" si="9"/>
        <v>100</v>
      </c>
    </row>
    <row r="434" spans="1:10">
      <c r="A434" s="5701"/>
      <c r="B434" s="5701"/>
      <c r="C434" s="4457" t="s">
        <v>784</v>
      </c>
      <c r="D434" s="4458">
        <v>77</v>
      </c>
      <c r="E434" s="4458">
        <v>38</v>
      </c>
      <c r="F434" s="4458">
        <v>38</v>
      </c>
      <c r="G434" s="4496">
        <v>100</v>
      </c>
      <c r="H434" s="4497">
        <v>94.74</v>
      </c>
      <c r="I434" s="4497">
        <v>5.26</v>
      </c>
      <c r="J434" s="4497">
        <f t="shared" si="9"/>
        <v>100</v>
      </c>
    </row>
    <row r="435" spans="1:10">
      <c r="A435" s="5701"/>
      <c r="B435" s="5701"/>
      <c r="C435" s="4457" t="s">
        <v>785</v>
      </c>
      <c r="D435" s="4458">
        <v>41</v>
      </c>
      <c r="E435" s="4458">
        <v>20</v>
      </c>
      <c r="F435" s="4458">
        <v>20</v>
      </c>
      <c r="G435" s="4496">
        <v>100</v>
      </c>
      <c r="H435" s="4497">
        <v>78.95</v>
      </c>
      <c r="I435" s="4497">
        <v>21.05</v>
      </c>
      <c r="J435" s="4497">
        <f t="shared" si="9"/>
        <v>100</v>
      </c>
    </row>
    <row r="436" spans="1:10">
      <c r="A436" s="5701"/>
      <c r="B436" s="5701"/>
      <c r="C436" s="4457" t="s">
        <v>2113</v>
      </c>
      <c r="D436" s="4458">
        <v>5</v>
      </c>
      <c r="E436" s="4458">
        <v>5</v>
      </c>
      <c r="F436" s="4458">
        <v>1</v>
      </c>
      <c r="G436" s="4496">
        <v>20</v>
      </c>
      <c r="H436" s="4497">
        <v>100</v>
      </c>
      <c r="I436" s="4497">
        <v>0</v>
      </c>
      <c r="J436" s="4497">
        <f t="shared" si="9"/>
        <v>100</v>
      </c>
    </row>
    <row r="437" spans="1:10">
      <c r="A437" s="5701"/>
      <c r="B437" s="5701"/>
      <c r="C437" s="4457" t="s">
        <v>531</v>
      </c>
      <c r="D437" s="4458">
        <v>38</v>
      </c>
      <c r="E437" s="4458">
        <v>19</v>
      </c>
      <c r="F437" s="4458">
        <v>19</v>
      </c>
      <c r="G437" s="4496">
        <v>100</v>
      </c>
      <c r="H437" s="4497">
        <v>64.709999999999994</v>
      </c>
      <c r="I437" s="4497">
        <v>35.29</v>
      </c>
      <c r="J437" s="4497">
        <f t="shared" si="9"/>
        <v>100</v>
      </c>
    </row>
    <row r="438" spans="1:10">
      <c r="A438" s="5701"/>
      <c r="B438" s="5701"/>
      <c r="C438" s="4457" t="s">
        <v>787</v>
      </c>
      <c r="D438" s="4458">
        <v>71</v>
      </c>
      <c r="E438" s="4458">
        <v>35</v>
      </c>
      <c r="F438" s="4458">
        <v>37</v>
      </c>
      <c r="G438" s="4496">
        <v>105.7</v>
      </c>
      <c r="H438" s="4497">
        <v>81.08</v>
      </c>
      <c r="I438" s="4497">
        <v>18.920000000000002</v>
      </c>
      <c r="J438" s="4497">
        <f t="shared" si="9"/>
        <v>100</v>
      </c>
    </row>
    <row r="439" spans="1:10">
      <c r="A439" s="5701"/>
      <c r="B439" s="5702"/>
      <c r="C439" s="4463" t="s">
        <v>529</v>
      </c>
      <c r="D439" s="4464">
        <v>63</v>
      </c>
      <c r="E439" s="4464">
        <v>31</v>
      </c>
      <c r="F439" s="4464">
        <v>34</v>
      </c>
      <c r="G439" s="4498">
        <v>109.7</v>
      </c>
      <c r="H439" s="4499">
        <v>91.18</v>
      </c>
      <c r="I439" s="4499">
        <v>8.82</v>
      </c>
      <c r="J439" s="4499">
        <f t="shared" si="9"/>
        <v>100</v>
      </c>
    </row>
    <row r="440" spans="1:10">
      <c r="A440" s="5701"/>
      <c r="B440" s="5700" t="s">
        <v>16</v>
      </c>
      <c r="C440" s="4468" t="s">
        <v>17</v>
      </c>
      <c r="D440" s="4469">
        <v>183</v>
      </c>
      <c r="E440" s="4469">
        <v>76</v>
      </c>
      <c r="F440" s="4469">
        <v>76</v>
      </c>
      <c r="G440" s="4500">
        <v>100</v>
      </c>
      <c r="H440" s="3144">
        <v>85.33</v>
      </c>
      <c r="I440" s="3144">
        <v>14.67</v>
      </c>
      <c r="J440" s="4501">
        <f t="shared" si="9"/>
        <v>100</v>
      </c>
    </row>
    <row r="441" spans="1:10">
      <c r="A441" s="5701"/>
      <c r="B441" s="5701"/>
      <c r="C441" s="4457" t="s">
        <v>18</v>
      </c>
      <c r="D441" s="4458">
        <v>233</v>
      </c>
      <c r="E441" s="4458">
        <v>96</v>
      </c>
      <c r="F441" s="4458">
        <v>101</v>
      </c>
      <c r="G441" s="4496">
        <v>105.2</v>
      </c>
      <c r="H441" s="3120">
        <v>79.209999999999994</v>
      </c>
      <c r="I441" s="3120">
        <v>20.79</v>
      </c>
      <c r="J441" s="4497">
        <f t="shared" si="9"/>
        <v>100</v>
      </c>
    </row>
    <row r="442" spans="1:10">
      <c r="A442" s="5701"/>
      <c r="B442" s="5701"/>
      <c r="C442" s="4457" t="s">
        <v>19</v>
      </c>
      <c r="D442" s="4458">
        <v>69</v>
      </c>
      <c r="E442" s="4458">
        <v>28</v>
      </c>
      <c r="F442" s="4458">
        <v>28</v>
      </c>
      <c r="G442" s="4496">
        <v>100</v>
      </c>
      <c r="H442" s="3120">
        <v>71.430000000000007</v>
      </c>
      <c r="I442" s="3120">
        <v>28.57</v>
      </c>
      <c r="J442" s="4497">
        <f t="shared" si="9"/>
        <v>100</v>
      </c>
    </row>
    <row r="443" spans="1:10">
      <c r="A443" s="5701"/>
      <c r="B443" s="5702"/>
      <c r="C443" s="4463" t="s">
        <v>20</v>
      </c>
      <c r="D443" s="4464">
        <v>65</v>
      </c>
      <c r="E443" s="4464">
        <v>28</v>
      </c>
      <c r="F443" s="4464">
        <v>32</v>
      </c>
      <c r="G443" s="4498">
        <v>114.3</v>
      </c>
      <c r="H443" s="3127">
        <v>59.38</v>
      </c>
      <c r="I443" s="3127">
        <v>40.619999999999997</v>
      </c>
      <c r="J443" s="4499">
        <f t="shared" si="9"/>
        <v>100</v>
      </c>
    </row>
    <row r="444" spans="1:10">
      <c r="A444" s="5701"/>
      <c r="B444" s="5700" t="s">
        <v>21</v>
      </c>
      <c r="C444" s="3135" t="s">
        <v>2114</v>
      </c>
      <c r="D444" s="3134">
        <v>86</v>
      </c>
      <c r="E444" s="3134">
        <v>52</v>
      </c>
      <c r="F444" s="3134">
        <v>47</v>
      </c>
      <c r="G444" s="3144">
        <v>90.4</v>
      </c>
      <c r="H444" s="3144">
        <v>85.11</v>
      </c>
      <c r="I444" s="3144">
        <v>14.89</v>
      </c>
      <c r="J444" s="4501">
        <f t="shared" si="9"/>
        <v>100</v>
      </c>
    </row>
    <row r="445" spans="1:10">
      <c r="A445" s="5701"/>
      <c r="B445" s="5701"/>
      <c r="C445" s="3117" t="s">
        <v>2115</v>
      </c>
      <c r="D445" s="3116">
        <v>105</v>
      </c>
      <c r="E445" s="3116">
        <v>63</v>
      </c>
      <c r="F445" s="3116">
        <v>64</v>
      </c>
      <c r="G445" s="3120">
        <v>101.6</v>
      </c>
      <c r="H445" s="3120">
        <v>78.13</v>
      </c>
      <c r="I445" s="3120">
        <v>21.87</v>
      </c>
      <c r="J445" s="4497">
        <f t="shared" si="9"/>
        <v>100</v>
      </c>
    </row>
    <row r="446" spans="1:10">
      <c r="A446" s="5702"/>
      <c r="B446" s="5702"/>
      <c r="C446" s="3124" t="s">
        <v>2116</v>
      </c>
      <c r="D446" s="3123">
        <v>64</v>
      </c>
      <c r="E446" s="3123">
        <v>38</v>
      </c>
      <c r="F446" s="3123">
        <v>38</v>
      </c>
      <c r="G446" s="3127">
        <v>100</v>
      </c>
      <c r="H446" s="3127">
        <v>68.42</v>
      </c>
      <c r="I446" s="3127">
        <v>31.58</v>
      </c>
      <c r="J446" s="4499">
        <f t="shared" si="9"/>
        <v>100</v>
      </c>
    </row>
    <row r="447" spans="1:10">
      <c r="A447" s="5700" t="s">
        <v>25</v>
      </c>
      <c r="B447" s="5700" t="s">
        <v>4</v>
      </c>
      <c r="C447" s="3133" t="s">
        <v>32</v>
      </c>
      <c r="D447" s="3132">
        <v>46</v>
      </c>
      <c r="E447" s="3132">
        <v>30</v>
      </c>
      <c r="F447" s="3132">
        <v>30</v>
      </c>
      <c r="G447" s="3143">
        <v>100</v>
      </c>
      <c r="H447" s="3132">
        <v>86.67</v>
      </c>
      <c r="I447" s="3132">
        <v>13.33</v>
      </c>
      <c r="J447" s="4495">
        <f t="shared" si="9"/>
        <v>100</v>
      </c>
    </row>
    <row r="448" spans="1:10">
      <c r="A448" s="5701"/>
      <c r="B448" s="5701"/>
      <c r="C448" s="3117" t="s">
        <v>2117</v>
      </c>
      <c r="D448" s="3116">
        <v>9</v>
      </c>
      <c r="E448" s="3116">
        <v>9</v>
      </c>
      <c r="F448" s="3116">
        <v>4</v>
      </c>
      <c r="G448" s="3120">
        <v>44.4</v>
      </c>
      <c r="H448" s="4502">
        <v>75</v>
      </c>
      <c r="I448" s="4502">
        <v>25</v>
      </c>
      <c r="J448" s="4497">
        <f t="shared" si="9"/>
        <v>100</v>
      </c>
    </row>
    <row r="449" spans="1:10">
      <c r="A449" s="5701"/>
      <c r="B449" s="5701"/>
      <c r="C449" s="3117" t="s">
        <v>2118</v>
      </c>
      <c r="D449" s="3116">
        <v>27</v>
      </c>
      <c r="E449" s="3116">
        <v>27</v>
      </c>
      <c r="F449" s="3116">
        <v>13</v>
      </c>
      <c r="G449" s="3120">
        <v>59.3</v>
      </c>
      <c r="H449" s="4502">
        <v>84.615384615384613</v>
      </c>
      <c r="I449" s="4502">
        <v>15.384615384615385</v>
      </c>
      <c r="J449" s="4497">
        <f t="shared" si="9"/>
        <v>100</v>
      </c>
    </row>
    <row r="450" spans="1:10">
      <c r="A450" s="5701"/>
      <c r="B450" s="5701"/>
      <c r="C450" s="3117" t="s">
        <v>2119</v>
      </c>
      <c r="D450" s="3116">
        <v>45</v>
      </c>
      <c r="E450" s="3116">
        <v>29</v>
      </c>
      <c r="F450" s="3116">
        <v>20</v>
      </c>
      <c r="G450" s="3120">
        <v>69</v>
      </c>
      <c r="H450" s="4502">
        <v>85</v>
      </c>
      <c r="I450" s="4502">
        <v>15</v>
      </c>
      <c r="J450" s="4497">
        <f t="shared" si="9"/>
        <v>100</v>
      </c>
    </row>
    <row r="451" spans="1:10">
      <c r="A451" s="5701"/>
      <c r="B451" s="5701"/>
      <c r="C451" s="3117" t="s">
        <v>2120</v>
      </c>
      <c r="D451" s="3116">
        <v>20</v>
      </c>
      <c r="E451" s="3116">
        <v>20</v>
      </c>
      <c r="F451" s="3116">
        <v>8</v>
      </c>
      <c r="G451" s="3120">
        <v>40</v>
      </c>
      <c r="H451" s="4502">
        <v>37.5</v>
      </c>
      <c r="I451" s="4502">
        <v>62.5</v>
      </c>
      <c r="J451" s="4497">
        <f t="shared" si="9"/>
        <v>100</v>
      </c>
    </row>
    <row r="452" spans="1:10">
      <c r="A452" s="5701"/>
      <c r="B452" s="5701"/>
      <c r="C452" s="3117" t="s">
        <v>2121</v>
      </c>
      <c r="D452" s="3116">
        <v>6</v>
      </c>
      <c r="E452" s="3116">
        <v>6</v>
      </c>
      <c r="F452" s="3116">
        <v>2</v>
      </c>
      <c r="G452" s="3120">
        <v>33.299999999999997</v>
      </c>
      <c r="H452" s="4502">
        <v>50</v>
      </c>
      <c r="I452" s="4502">
        <v>50</v>
      </c>
      <c r="J452" s="4497">
        <f t="shared" si="9"/>
        <v>100</v>
      </c>
    </row>
    <row r="453" spans="1:10">
      <c r="A453" s="5701"/>
      <c r="B453" s="5701"/>
      <c r="C453" s="3117" t="s">
        <v>2122</v>
      </c>
      <c r="D453" s="3116">
        <v>22</v>
      </c>
      <c r="E453" s="3116">
        <v>22</v>
      </c>
      <c r="F453" s="3116">
        <v>13</v>
      </c>
      <c r="G453" s="3120">
        <v>59.1</v>
      </c>
      <c r="H453" s="4502">
        <v>69.230769230769226</v>
      </c>
      <c r="I453" s="4502">
        <v>30.76923076923077</v>
      </c>
      <c r="J453" s="4497">
        <f t="shared" si="9"/>
        <v>100</v>
      </c>
    </row>
    <row r="454" spans="1:10">
      <c r="A454" s="5701"/>
      <c r="B454" s="5701"/>
      <c r="C454" s="3117" t="s">
        <v>2123</v>
      </c>
      <c r="D454" s="3116">
        <v>17</v>
      </c>
      <c r="E454" s="3116">
        <v>17</v>
      </c>
      <c r="F454" s="3116">
        <v>11</v>
      </c>
      <c r="G454" s="3120">
        <v>64.7</v>
      </c>
      <c r="H454" s="4502">
        <v>45.5</v>
      </c>
      <c r="I454" s="4502">
        <v>54.5</v>
      </c>
      <c r="J454" s="4497">
        <f t="shared" si="9"/>
        <v>100</v>
      </c>
    </row>
    <row r="455" spans="1:10">
      <c r="A455" s="5701"/>
      <c r="B455" s="5702"/>
      <c r="C455" s="3124" t="s">
        <v>2124</v>
      </c>
      <c r="D455" s="3123">
        <v>14</v>
      </c>
      <c r="E455" s="3123">
        <v>14</v>
      </c>
      <c r="F455" s="3123">
        <v>9</v>
      </c>
      <c r="G455" s="3127">
        <v>64.3</v>
      </c>
      <c r="H455" s="4503">
        <v>0</v>
      </c>
      <c r="I455" s="4503">
        <v>100</v>
      </c>
      <c r="J455" s="4499">
        <f t="shared" si="9"/>
        <v>100</v>
      </c>
    </row>
    <row r="456" spans="1:10">
      <c r="A456" s="5701"/>
      <c r="B456" s="5700" t="s">
        <v>16</v>
      </c>
      <c r="C456" s="3135" t="s">
        <v>2125</v>
      </c>
      <c r="D456" s="3134">
        <v>130</v>
      </c>
      <c r="E456" s="3134">
        <v>52</v>
      </c>
      <c r="F456" s="3134">
        <v>48</v>
      </c>
      <c r="G456" s="3144">
        <v>92.3</v>
      </c>
      <c r="H456" s="4504">
        <v>79.2</v>
      </c>
      <c r="I456" s="4504">
        <v>20.8</v>
      </c>
      <c r="J456" s="4501">
        <f t="shared" si="9"/>
        <v>100</v>
      </c>
    </row>
    <row r="457" spans="1:10">
      <c r="A457" s="5701"/>
      <c r="B457" s="5701"/>
      <c r="C457" s="3117" t="s">
        <v>33</v>
      </c>
      <c r="D457" s="3116">
        <v>40</v>
      </c>
      <c r="E457" s="3116">
        <v>16</v>
      </c>
      <c r="F457" s="3116">
        <v>16</v>
      </c>
      <c r="G457" s="3120">
        <v>100</v>
      </c>
      <c r="H457" s="4502">
        <v>56.25</v>
      </c>
      <c r="I457" s="4502">
        <v>43.75</v>
      </c>
      <c r="J457" s="4497">
        <f t="shared" si="9"/>
        <v>100</v>
      </c>
    </row>
    <row r="458" spans="1:10">
      <c r="A458" s="5701"/>
      <c r="B458" s="5701"/>
      <c r="C458" s="3117" t="s">
        <v>38</v>
      </c>
      <c r="D458" s="3116">
        <v>58</v>
      </c>
      <c r="E458" s="3116">
        <v>23</v>
      </c>
      <c r="F458" s="3116">
        <v>29</v>
      </c>
      <c r="G458" s="3120">
        <v>126.1</v>
      </c>
      <c r="H458" s="4502">
        <v>75</v>
      </c>
      <c r="I458" s="4502">
        <v>25</v>
      </c>
      <c r="J458" s="4497">
        <f t="shared" si="9"/>
        <v>100</v>
      </c>
    </row>
    <row r="459" spans="1:10">
      <c r="A459" s="5701"/>
      <c r="B459" s="5701"/>
      <c r="C459" s="3117" t="s">
        <v>19</v>
      </c>
      <c r="D459" s="3116">
        <v>38</v>
      </c>
      <c r="E459" s="3116">
        <v>15</v>
      </c>
      <c r="F459" s="3116">
        <v>15</v>
      </c>
      <c r="G459" s="3120">
        <v>100</v>
      </c>
      <c r="H459" s="4502">
        <v>66.666666666666671</v>
      </c>
      <c r="I459" s="4502">
        <v>33.333333333333336</v>
      </c>
      <c r="J459" s="4497">
        <f t="shared" si="9"/>
        <v>100</v>
      </c>
    </row>
    <row r="460" spans="1:10">
      <c r="A460" s="5701"/>
      <c r="B460" s="5701"/>
      <c r="C460" s="3117" t="s">
        <v>2126</v>
      </c>
      <c r="D460" s="3116">
        <v>26</v>
      </c>
      <c r="E460" s="3116">
        <v>26</v>
      </c>
      <c r="F460" s="3116">
        <v>13</v>
      </c>
      <c r="G460" s="3120">
        <v>50</v>
      </c>
      <c r="H460" s="4502">
        <v>76.92307692307692</v>
      </c>
      <c r="I460" s="4502">
        <v>23.076923076923077</v>
      </c>
      <c r="J460" s="4497">
        <f t="shared" si="9"/>
        <v>100</v>
      </c>
    </row>
    <row r="461" spans="1:10">
      <c r="A461" s="5701"/>
      <c r="B461" s="5701"/>
      <c r="C461" s="3117" t="s">
        <v>36</v>
      </c>
      <c r="D461" s="3116">
        <v>39</v>
      </c>
      <c r="E461" s="3116">
        <v>16</v>
      </c>
      <c r="F461" s="3116">
        <v>17</v>
      </c>
      <c r="G461" s="3120">
        <v>106.3</v>
      </c>
      <c r="H461" s="4502">
        <v>35.294117647058826</v>
      </c>
      <c r="I461" s="4502">
        <v>64.705882352941174</v>
      </c>
      <c r="J461" s="4497">
        <f t="shared" si="9"/>
        <v>100</v>
      </c>
    </row>
    <row r="462" spans="1:10">
      <c r="A462" s="5701"/>
      <c r="B462" s="5701"/>
      <c r="C462" s="3117" t="s">
        <v>34</v>
      </c>
      <c r="D462" s="3116">
        <v>40</v>
      </c>
      <c r="E462" s="3116">
        <v>16</v>
      </c>
      <c r="F462" s="3116">
        <v>20</v>
      </c>
      <c r="G462" s="3120">
        <v>125</v>
      </c>
      <c r="H462" s="4502">
        <v>70</v>
      </c>
      <c r="I462" s="4502">
        <v>30</v>
      </c>
      <c r="J462" s="4497">
        <f t="shared" si="9"/>
        <v>100</v>
      </c>
    </row>
    <row r="463" spans="1:10">
      <c r="A463" s="5701"/>
      <c r="B463" s="5701"/>
      <c r="C463" s="3117" t="s">
        <v>2127</v>
      </c>
      <c r="D463" s="3116">
        <v>17</v>
      </c>
      <c r="E463" s="3116">
        <v>17</v>
      </c>
      <c r="F463" s="3116">
        <v>8</v>
      </c>
      <c r="G463" s="3120">
        <v>47.1</v>
      </c>
      <c r="H463" s="4502">
        <v>75</v>
      </c>
      <c r="I463" s="4502">
        <v>25</v>
      </c>
      <c r="J463" s="4497">
        <f t="shared" si="9"/>
        <v>100</v>
      </c>
    </row>
    <row r="464" spans="1:10">
      <c r="A464" s="5701"/>
      <c r="B464" s="5701"/>
      <c r="C464" s="3117" t="s">
        <v>39</v>
      </c>
      <c r="D464" s="3116">
        <v>149</v>
      </c>
      <c r="E464" s="3116">
        <v>60</v>
      </c>
      <c r="F464" s="3116">
        <v>63</v>
      </c>
      <c r="G464" s="3120">
        <v>105</v>
      </c>
      <c r="H464" s="4502">
        <v>79.365079365079367</v>
      </c>
      <c r="I464" s="4502">
        <v>20.634920634920636</v>
      </c>
      <c r="J464" s="4497">
        <f t="shared" si="9"/>
        <v>100</v>
      </c>
    </row>
    <row r="465" spans="1:10">
      <c r="A465" s="5701"/>
      <c r="B465" s="5701"/>
      <c r="C465" s="3117" t="s">
        <v>2128</v>
      </c>
      <c r="D465" s="3116">
        <v>27</v>
      </c>
      <c r="E465" s="3116">
        <v>27</v>
      </c>
      <c r="F465" s="3116">
        <v>11</v>
      </c>
      <c r="G465" s="3120">
        <v>40.700000000000003</v>
      </c>
      <c r="H465" s="4502">
        <v>81.818181818181813</v>
      </c>
      <c r="I465" s="4502">
        <v>18.181818181818183</v>
      </c>
      <c r="J465" s="4497">
        <f t="shared" si="9"/>
        <v>100</v>
      </c>
    </row>
    <row r="466" spans="1:10">
      <c r="A466" s="5701"/>
      <c r="B466" s="5702"/>
      <c r="C466" s="3124" t="s">
        <v>2129</v>
      </c>
      <c r="D466" s="3123">
        <v>7</v>
      </c>
      <c r="E466" s="3123">
        <v>7</v>
      </c>
      <c r="F466" s="3123">
        <v>4</v>
      </c>
      <c r="G466" s="3127">
        <v>57.1</v>
      </c>
      <c r="H466" s="4503">
        <v>100</v>
      </c>
      <c r="I466" s="4503">
        <v>0</v>
      </c>
      <c r="J466" s="4499">
        <f t="shared" si="9"/>
        <v>100</v>
      </c>
    </row>
    <row r="467" spans="1:10">
      <c r="A467" s="5701"/>
      <c r="B467" s="5700" t="s">
        <v>41</v>
      </c>
      <c r="C467" s="3135" t="s">
        <v>2130</v>
      </c>
      <c r="D467" s="3134">
        <v>72</v>
      </c>
      <c r="E467" s="3134">
        <v>40</v>
      </c>
      <c r="F467" s="3134">
        <v>35</v>
      </c>
      <c r="G467" s="3144">
        <v>87.5</v>
      </c>
      <c r="H467" s="4504">
        <v>57.142857142857146</v>
      </c>
      <c r="I467" s="4504">
        <v>42.857142857142854</v>
      </c>
      <c r="J467" s="4501">
        <f t="shared" si="9"/>
        <v>100</v>
      </c>
    </row>
    <row r="468" spans="1:10">
      <c r="A468" s="5701"/>
      <c r="B468" s="5701"/>
      <c r="C468" s="3117" t="s">
        <v>43</v>
      </c>
      <c r="D468" s="3116">
        <v>41</v>
      </c>
      <c r="E468" s="3116">
        <v>23</v>
      </c>
      <c r="F468" s="3116">
        <v>23</v>
      </c>
      <c r="G468" s="3120">
        <v>100</v>
      </c>
      <c r="H468" s="4502">
        <v>21.739130434782609</v>
      </c>
      <c r="I468" s="4502">
        <v>78.260869565217391</v>
      </c>
      <c r="J468" s="4497">
        <f t="shared" si="9"/>
        <v>100</v>
      </c>
    </row>
    <row r="469" spans="1:10">
      <c r="A469" s="5701"/>
      <c r="B469" s="5701"/>
      <c r="C469" s="3117" t="s">
        <v>2131</v>
      </c>
      <c r="D469" s="3116">
        <v>31</v>
      </c>
      <c r="E469" s="3116">
        <v>17</v>
      </c>
      <c r="F469" s="3116">
        <v>14</v>
      </c>
      <c r="G469" s="3120">
        <v>82.4</v>
      </c>
      <c r="H469" s="4502">
        <v>35.714285714285715</v>
      </c>
      <c r="I469" s="4502">
        <v>64.285714285714292</v>
      </c>
      <c r="J469" s="4497">
        <f t="shared" si="9"/>
        <v>100</v>
      </c>
    </row>
    <row r="470" spans="1:10">
      <c r="A470" s="5701"/>
      <c r="B470" s="5701"/>
      <c r="C470" s="3117" t="s">
        <v>2132</v>
      </c>
      <c r="D470" s="3116">
        <v>69</v>
      </c>
      <c r="E470" s="3116">
        <v>39</v>
      </c>
      <c r="F470" s="3116">
        <v>35</v>
      </c>
      <c r="G470" s="3120">
        <v>79.5</v>
      </c>
      <c r="H470" s="4502">
        <v>57.142857142857146</v>
      </c>
      <c r="I470" s="4502">
        <v>42.857142857142854</v>
      </c>
      <c r="J470" s="4497">
        <f t="shared" si="9"/>
        <v>100</v>
      </c>
    </row>
    <row r="471" spans="1:10">
      <c r="A471" s="5701"/>
      <c r="B471" s="5701"/>
      <c r="C471" s="3117" t="s">
        <v>271</v>
      </c>
      <c r="D471" s="3116">
        <v>73</v>
      </c>
      <c r="E471" s="3116">
        <v>41</v>
      </c>
      <c r="F471" s="3116">
        <v>43</v>
      </c>
      <c r="G471" s="3120">
        <v>104.9</v>
      </c>
      <c r="H471" s="4502">
        <v>62.790697674418603</v>
      </c>
      <c r="I471" s="4502">
        <v>37.209302325581397</v>
      </c>
      <c r="J471" s="4497">
        <f t="shared" si="9"/>
        <v>100</v>
      </c>
    </row>
    <row r="472" spans="1:10">
      <c r="A472" s="5702"/>
      <c r="B472" s="5702"/>
      <c r="C472" s="3124" t="s">
        <v>2133</v>
      </c>
      <c r="D472" s="3123">
        <v>14</v>
      </c>
      <c r="E472" s="3123">
        <v>14</v>
      </c>
      <c r="F472" s="3123">
        <v>5</v>
      </c>
      <c r="G472" s="3127">
        <v>35.700000000000003</v>
      </c>
      <c r="H472" s="4503">
        <v>100</v>
      </c>
      <c r="I472" s="4503">
        <v>0</v>
      </c>
      <c r="J472" s="4499">
        <f t="shared" si="9"/>
        <v>100</v>
      </c>
    </row>
    <row r="473" spans="1:10">
      <c r="A473" s="5700" t="s">
        <v>48</v>
      </c>
      <c r="B473" s="5700" t="s">
        <v>16</v>
      </c>
      <c r="C473" s="4505" t="s">
        <v>17</v>
      </c>
      <c r="D473" s="4506">
        <v>130</v>
      </c>
      <c r="E473" s="4506">
        <v>42</v>
      </c>
      <c r="F473" s="4506">
        <v>46</v>
      </c>
      <c r="G473" s="4495">
        <v>109.5</v>
      </c>
      <c r="H473" s="4507">
        <v>82.608695652173907</v>
      </c>
      <c r="I473" s="4507">
        <v>17.391304347826086</v>
      </c>
      <c r="J473" s="4495">
        <f t="shared" si="9"/>
        <v>100</v>
      </c>
    </row>
    <row r="474" spans="1:10">
      <c r="A474" s="5701"/>
      <c r="B474" s="5701"/>
      <c r="C474" s="4508" t="s">
        <v>49</v>
      </c>
      <c r="D474" s="4509">
        <v>170</v>
      </c>
      <c r="E474" s="4509">
        <v>55</v>
      </c>
      <c r="F474" s="4509">
        <v>59</v>
      </c>
      <c r="G474" s="4497">
        <v>107.3</v>
      </c>
      <c r="H474" s="4502">
        <v>79.310344827586206</v>
      </c>
      <c r="I474" s="4502">
        <v>20.689655172413794</v>
      </c>
      <c r="J474" s="4497">
        <f t="shared" si="9"/>
        <v>100</v>
      </c>
    </row>
    <row r="475" spans="1:10">
      <c r="A475" s="5701"/>
      <c r="B475" s="5701"/>
      <c r="C475" s="4508" t="s">
        <v>19</v>
      </c>
      <c r="D475" s="4509">
        <v>81</v>
      </c>
      <c r="E475" s="4509">
        <v>26</v>
      </c>
      <c r="F475" s="4509">
        <v>26</v>
      </c>
      <c r="G475" s="4497">
        <v>100</v>
      </c>
      <c r="H475" s="4502">
        <v>73.07692307692308</v>
      </c>
      <c r="I475" s="4502">
        <v>26.923076923076923</v>
      </c>
      <c r="J475" s="4497">
        <f t="shared" si="9"/>
        <v>100</v>
      </c>
    </row>
    <row r="476" spans="1:10">
      <c r="A476" s="5701"/>
      <c r="B476" s="5701"/>
      <c r="C476" s="4508" t="s">
        <v>51</v>
      </c>
      <c r="D476" s="4509">
        <v>46</v>
      </c>
      <c r="E476" s="4509">
        <v>15</v>
      </c>
      <c r="F476" s="4509">
        <v>16</v>
      </c>
      <c r="G476" s="4497">
        <v>106.7</v>
      </c>
      <c r="H476" s="4502">
        <v>87.5</v>
      </c>
      <c r="I476" s="4502">
        <v>12.5</v>
      </c>
      <c r="J476" s="4497">
        <f t="shared" si="9"/>
        <v>100</v>
      </c>
    </row>
    <row r="477" spans="1:10">
      <c r="A477" s="5701"/>
      <c r="B477" s="5701"/>
      <c r="C477" s="4508" t="s">
        <v>50</v>
      </c>
      <c r="D477" s="4509">
        <v>260</v>
      </c>
      <c r="E477" s="4509">
        <v>85</v>
      </c>
      <c r="F477" s="4509">
        <v>89</v>
      </c>
      <c r="G477" s="4497">
        <v>104.7</v>
      </c>
      <c r="H477" s="4502">
        <v>77.272727272727266</v>
      </c>
      <c r="I477" s="4502">
        <v>22.727272727272727</v>
      </c>
      <c r="J477" s="4497">
        <f t="shared" si="9"/>
        <v>100</v>
      </c>
    </row>
    <row r="478" spans="1:10">
      <c r="A478" s="5701"/>
      <c r="B478" s="5702"/>
      <c r="C478" s="4510" t="s">
        <v>20</v>
      </c>
      <c r="D478" s="4511">
        <v>107</v>
      </c>
      <c r="E478" s="4511">
        <v>35</v>
      </c>
      <c r="F478" s="4511">
        <v>35</v>
      </c>
      <c r="G478" s="4499">
        <v>100</v>
      </c>
      <c r="H478" s="4503">
        <v>62.857142857142854</v>
      </c>
      <c r="I478" s="4503">
        <v>37.142857142857146</v>
      </c>
      <c r="J478" s="4499">
        <f t="shared" si="9"/>
        <v>100</v>
      </c>
    </row>
    <row r="479" spans="1:10">
      <c r="A479" s="5701"/>
      <c r="B479" s="5700" t="s">
        <v>41</v>
      </c>
      <c r="C479" s="3133" t="s">
        <v>56</v>
      </c>
      <c r="D479" s="3132">
        <v>111</v>
      </c>
      <c r="E479" s="3132">
        <v>27</v>
      </c>
      <c r="F479" s="3132">
        <v>39</v>
      </c>
      <c r="G479" s="3143">
        <v>144.4</v>
      </c>
      <c r="H479" s="4507">
        <v>68.421052631578945</v>
      </c>
      <c r="I479" s="4507">
        <v>31.578947368421051</v>
      </c>
      <c r="J479" s="4495">
        <f t="shared" si="9"/>
        <v>100</v>
      </c>
    </row>
    <row r="480" spans="1:10">
      <c r="A480" s="5701"/>
      <c r="B480" s="5701"/>
      <c r="C480" s="3117" t="s">
        <v>42</v>
      </c>
      <c r="D480" s="3116">
        <v>151</v>
      </c>
      <c r="E480" s="3116">
        <v>37</v>
      </c>
      <c r="F480" s="3116">
        <v>54</v>
      </c>
      <c r="G480" s="3120">
        <v>145.9</v>
      </c>
      <c r="H480" s="4502">
        <v>38.888888888888886</v>
      </c>
      <c r="I480" s="4502">
        <v>61.111111111111114</v>
      </c>
      <c r="J480" s="4497">
        <f t="shared" si="9"/>
        <v>100</v>
      </c>
    </row>
    <row r="481" spans="1:10">
      <c r="A481" s="5701"/>
      <c r="B481" s="5701"/>
      <c r="C481" s="3117" t="s">
        <v>52</v>
      </c>
      <c r="D481" s="3116">
        <v>140</v>
      </c>
      <c r="E481" s="3116">
        <v>34</v>
      </c>
      <c r="F481" s="3116">
        <v>43</v>
      </c>
      <c r="G481" s="3120">
        <v>126.5</v>
      </c>
      <c r="H481" s="4502">
        <v>83.720930232558146</v>
      </c>
      <c r="I481" s="4502">
        <v>16.279069767441861</v>
      </c>
      <c r="J481" s="4497">
        <f t="shared" si="9"/>
        <v>100</v>
      </c>
    </row>
    <row r="482" spans="1:10">
      <c r="A482" s="5701"/>
      <c r="B482" s="5701"/>
      <c r="C482" s="3117" t="s">
        <v>53</v>
      </c>
      <c r="D482" s="3116">
        <v>163</v>
      </c>
      <c r="E482" s="3116">
        <v>40</v>
      </c>
      <c r="F482" s="3116">
        <v>40</v>
      </c>
      <c r="G482" s="3120">
        <v>100</v>
      </c>
      <c r="H482" s="4502">
        <v>75</v>
      </c>
      <c r="I482" s="4502">
        <v>25</v>
      </c>
      <c r="J482" s="4497">
        <f t="shared" si="9"/>
        <v>100</v>
      </c>
    </row>
    <row r="483" spans="1:10">
      <c r="A483" s="5701"/>
      <c r="B483" s="5701"/>
      <c r="C483" s="3117" t="s">
        <v>259</v>
      </c>
      <c r="D483" s="3116">
        <v>134</v>
      </c>
      <c r="E483" s="3116">
        <v>33</v>
      </c>
      <c r="F483" s="3116">
        <v>36</v>
      </c>
      <c r="G483" s="3120">
        <v>109.1</v>
      </c>
      <c r="H483" s="4502">
        <v>62.857142857142854</v>
      </c>
      <c r="I483" s="4502">
        <v>37.142857142857146</v>
      </c>
      <c r="J483" s="4497">
        <f t="shared" si="9"/>
        <v>100</v>
      </c>
    </row>
    <row r="484" spans="1:10">
      <c r="A484" s="5701"/>
      <c r="B484" s="5701"/>
      <c r="C484" s="3117" t="s">
        <v>55</v>
      </c>
      <c r="D484" s="3116">
        <v>152</v>
      </c>
      <c r="E484" s="3116">
        <v>37</v>
      </c>
      <c r="F484" s="3116">
        <v>53</v>
      </c>
      <c r="G484" s="3120">
        <v>143.19999999999999</v>
      </c>
      <c r="H484" s="4502">
        <v>66.037735849056602</v>
      </c>
      <c r="I484" s="4502">
        <v>33.962264150943398</v>
      </c>
      <c r="J484" s="4497">
        <f t="shared" si="9"/>
        <v>100</v>
      </c>
    </row>
    <row r="485" spans="1:10">
      <c r="A485" s="5701"/>
      <c r="B485" s="5701"/>
      <c r="C485" s="3117" t="s">
        <v>54</v>
      </c>
      <c r="D485" s="3116">
        <v>228</v>
      </c>
      <c r="E485" s="3116">
        <v>56</v>
      </c>
      <c r="F485" s="3116">
        <v>65</v>
      </c>
      <c r="G485" s="3120">
        <v>116.1</v>
      </c>
      <c r="H485" s="4502">
        <v>76.92307692307692</v>
      </c>
      <c r="I485" s="4502">
        <v>23.076923076923077</v>
      </c>
      <c r="J485" s="4497">
        <f t="shared" si="9"/>
        <v>100</v>
      </c>
    </row>
    <row r="486" spans="1:10">
      <c r="A486" s="5701"/>
      <c r="B486" s="5702"/>
      <c r="C486" s="3124" t="s">
        <v>272</v>
      </c>
      <c r="D486" s="3123">
        <v>107</v>
      </c>
      <c r="E486" s="3123">
        <v>26</v>
      </c>
      <c r="F486" s="3123">
        <v>27</v>
      </c>
      <c r="G486" s="3127">
        <v>103.8</v>
      </c>
      <c r="H486" s="4503">
        <v>70.370370370370367</v>
      </c>
      <c r="I486" s="4503">
        <v>29.62962962962963</v>
      </c>
      <c r="J486" s="4499">
        <f t="shared" si="9"/>
        <v>100</v>
      </c>
    </row>
    <row r="487" spans="1:10">
      <c r="A487" s="5701"/>
      <c r="B487" s="5700" t="s">
        <v>21</v>
      </c>
      <c r="C487" s="3135" t="s">
        <v>22</v>
      </c>
      <c r="D487" s="3134">
        <v>181</v>
      </c>
      <c r="E487" s="3134">
        <v>92</v>
      </c>
      <c r="F487" s="3134">
        <v>96</v>
      </c>
      <c r="G487" s="3144">
        <v>104.3</v>
      </c>
      <c r="H487" s="4504">
        <v>84.375</v>
      </c>
      <c r="I487" s="4504">
        <v>15.625</v>
      </c>
      <c r="J487" s="4501">
        <f t="shared" si="9"/>
        <v>100</v>
      </c>
    </row>
    <row r="488" spans="1:10">
      <c r="A488" s="5701"/>
      <c r="B488" s="5701"/>
      <c r="C488" s="3117" t="s">
        <v>58</v>
      </c>
      <c r="D488" s="3116">
        <v>51</v>
      </c>
      <c r="E488" s="3116">
        <v>26</v>
      </c>
      <c r="F488" s="3116">
        <v>27</v>
      </c>
      <c r="G488" s="3120">
        <v>103.8</v>
      </c>
      <c r="H488" s="4502">
        <v>62.962962962962962</v>
      </c>
      <c r="I488" s="4502">
        <v>37.037037037037038</v>
      </c>
      <c r="J488" s="4497">
        <f t="shared" si="9"/>
        <v>100</v>
      </c>
    </row>
    <row r="489" spans="1:10">
      <c r="A489" s="5701"/>
      <c r="B489" s="5701"/>
      <c r="C489" s="3117" t="s">
        <v>23</v>
      </c>
      <c r="D489" s="3116">
        <v>94</v>
      </c>
      <c r="E489" s="3116">
        <v>48</v>
      </c>
      <c r="F489" s="3116">
        <v>50</v>
      </c>
      <c r="G489" s="3120">
        <v>104.2</v>
      </c>
      <c r="H489" s="4502">
        <v>76</v>
      </c>
      <c r="I489" s="4502">
        <v>24</v>
      </c>
      <c r="J489" s="4497">
        <f t="shared" si="9"/>
        <v>100</v>
      </c>
    </row>
    <row r="490" spans="1:10">
      <c r="A490" s="5702"/>
      <c r="B490" s="5702"/>
      <c r="C490" s="3124" t="s">
        <v>24</v>
      </c>
      <c r="D490" s="3123">
        <v>46</v>
      </c>
      <c r="E490" s="3123">
        <v>23</v>
      </c>
      <c r="F490" s="3123">
        <v>23</v>
      </c>
      <c r="G490" s="3127">
        <v>100</v>
      </c>
      <c r="H490" s="4503">
        <v>91.304347826086953</v>
      </c>
      <c r="I490" s="4503">
        <v>8.695652173913043</v>
      </c>
      <c r="J490" s="4499">
        <f t="shared" si="9"/>
        <v>100</v>
      </c>
    </row>
    <row r="491" spans="1:10">
      <c r="A491" s="5700" t="s">
        <v>59</v>
      </c>
      <c r="B491" s="5700" t="s">
        <v>16</v>
      </c>
      <c r="C491" s="4505" t="s">
        <v>2125</v>
      </c>
      <c r="D491" s="4506">
        <v>30</v>
      </c>
      <c r="E491" s="4506">
        <v>30</v>
      </c>
      <c r="F491" s="4506">
        <v>20</v>
      </c>
      <c r="G491" s="4495">
        <v>66.67</v>
      </c>
      <c r="H491" s="4507">
        <v>80</v>
      </c>
      <c r="I491" s="4507">
        <v>20</v>
      </c>
      <c r="J491" s="4495">
        <f t="shared" si="9"/>
        <v>100</v>
      </c>
    </row>
    <row r="492" spans="1:10">
      <c r="A492" s="5701"/>
      <c r="B492" s="5701"/>
      <c r="C492" s="4508" t="s">
        <v>2134</v>
      </c>
      <c r="D492" s="4509">
        <v>18</v>
      </c>
      <c r="E492" s="4509">
        <v>18</v>
      </c>
      <c r="F492" s="4509">
        <v>14</v>
      </c>
      <c r="G492" s="4497">
        <v>77.8</v>
      </c>
      <c r="H492" s="4502">
        <v>71.428571428571431</v>
      </c>
      <c r="I492" s="4502">
        <v>28.571428571428573</v>
      </c>
      <c r="J492" s="4497">
        <f t="shared" si="9"/>
        <v>100</v>
      </c>
    </row>
    <row r="493" spans="1:10">
      <c r="A493" s="5701"/>
      <c r="B493" s="5702"/>
      <c r="C493" s="4510" t="s">
        <v>2135</v>
      </c>
      <c r="D493" s="4511">
        <v>7</v>
      </c>
      <c r="E493" s="4511">
        <v>7</v>
      </c>
      <c r="F493" s="4511">
        <v>6</v>
      </c>
      <c r="G493" s="4499">
        <v>85.71</v>
      </c>
      <c r="H493" s="4503">
        <v>83.3</v>
      </c>
      <c r="I493" s="4503">
        <v>16.7</v>
      </c>
      <c r="J493" s="4499">
        <f t="shared" si="9"/>
        <v>100</v>
      </c>
    </row>
    <row r="494" spans="1:10">
      <c r="A494" s="5701"/>
      <c r="B494" s="5700" t="s">
        <v>61</v>
      </c>
      <c r="C494" s="3133" t="s">
        <v>2136</v>
      </c>
      <c r="D494" s="3132">
        <v>21</v>
      </c>
      <c r="E494" s="3132">
        <v>21</v>
      </c>
      <c r="F494" s="3132">
        <v>11</v>
      </c>
      <c r="G494" s="3143">
        <v>52.4</v>
      </c>
      <c r="H494" s="4507">
        <v>90</v>
      </c>
      <c r="I494" s="4507">
        <v>10</v>
      </c>
      <c r="J494" s="4495">
        <f t="shared" ref="J494:J499" si="10">H494+I494</f>
        <v>100</v>
      </c>
    </row>
    <row r="495" spans="1:10">
      <c r="A495" s="5701"/>
      <c r="B495" s="5701"/>
      <c r="C495" s="3117" t="s">
        <v>2137</v>
      </c>
      <c r="D495" s="3116">
        <v>3</v>
      </c>
      <c r="E495" s="3116">
        <v>3</v>
      </c>
      <c r="F495" s="3116">
        <v>3</v>
      </c>
      <c r="G495" s="3120">
        <v>100</v>
      </c>
      <c r="H495" s="4502">
        <v>100</v>
      </c>
      <c r="I495" s="4502">
        <v>0</v>
      </c>
      <c r="J495" s="4497">
        <f t="shared" si="10"/>
        <v>100</v>
      </c>
    </row>
    <row r="496" spans="1:10">
      <c r="A496" s="5701"/>
      <c r="B496" s="5702"/>
      <c r="C496" s="3124" t="s">
        <v>2138</v>
      </c>
      <c r="D496" s="3123">
        <v>27</v>
      </c>
      <c r="E496" s="3123">
        <v>27</v>
      </c>
      <c r="F496" s="3123">
        <v>17</v>
      </c>
      <c r="G496" s="3127">
        <v>63</v>
      </c>
      <c r="H496" s="4503">
        <v>82.352941176470594</v>
      </c>
      <c r="I496" s="4503">
        <v>17.647058823529413</v>
      </c>
      <c r="J496" s="4499">
        <f t="shared" si="10"/>
        <v>100</v>
      </c>
    </row>
    <row r="497" spans="1:10">
      <c r="A497" s="5701"/>
      <c r="B497" s="5700" t="s">
        <v>64</v>
      </c>
      <c r="C497" s="3135" t="s">
        <v>2139</v>
      </c>
      <c r="D497" s="3134">
        <v>13</v>
      </c>
      <c r="E497" s="3134">
        <v>13</v>
      </c>
      <c r="F497" s="3134">
        <v>11</v>
      </c>
      <c r="G497" s="3144">
        <v>84.6</v>
      </c>
      <c r="H497" s="4504">
        <v>90</v>
      </c>
      <c r="I497" s="4504">
        <v>10</v>
      </c>
      <c r="J497" s="4501">
        <f t="shared" si="10"/>
        <v>100</v>
      </c>
    </row>
    <row r="498" spans="1:10">
      <c r="A498" s="5701"/>
      <c r="B498" s="5701"/>
      <c r="C498" s="3117" t="s">
        <v>2140</v>
      </c>
      <c r="D498" s="3116">
        <v>4</v>
      </c>
      <c r="E498" s="3116">
        <v>4</v>
      </c>
      <c r="F498" s="3116">
        <v>2</v>
      </c>
      <c r="G498" s="3120">
        <v>50</v>
      </c>
      <c r="H498" s="4502">
        <v>0</v>
      </c>
      <c r="I498" s="4502">
        <v>100</v>
      </c>
      <c r="J498" s="4497">
        <f t="shared" si="10"/>
        <v>100</v>
      </c>
    </row>
    <row r="499" spans="1:10">
      <c r="A499" s="5702"/>
      <c r="B499" s="5702"/>
      <c r="C499" s="3124" t="s">
        <v>415</v>
      </c>
      <c r="D499" s="3123">
        <v>1</v>
      </c>
      <c r="E499" s="3123">
        <v>1</v>
      </c>
      <c r="F499" s="3123">
        <v>1</v>
      </c>
      <c r="G499" s="3127">
        <v>100</v>
      </c>
      <c r="H499" s="4503">
        <v>0</v>
      </c>
      <c r="I499" s="4503">
        <v>100</v>
      </c>
      <c r="J499" s="4499">
        <f t="shared" si="10"/>
        <v>100</v>
      </c>
    </row>
    <row r="500" spans="1:10">
      <c r="A500" s="1790"/>
      <c r="B500" s="43"/>
      <c r="C500" s="4448" t="s">
        <v>15</v>
      </c>
      <c r="D500" s="4448">
        <f>SUM(D430:D499)</f>
        <v>4744</v>
      </c>
      <c r="E500" s="4448">
        <f>SUM(E430:E499)</f>
        <v>2083</v>
      </c>
      <c r="F500" s="4448">
        <f>SUM(F430:F499)</f>
        <v>2015</v>
      </c>
      <c r="G500" s="4512">
        <v>96.7</v>
      </c>
      <c r="H500" s="4491">
        <v>0.74199999999999999</v>
      </c>
      <c r="I500" s="4492">
        <v>0.25800000000000001</v>
      </c>
      <c r="J500" s="4512">
        <v>100</v>
      </c>
    </row>
    <row r="501" spans="1:10" s="2899" customFormat="1">
      <c r="A501" s="4259"/>
      <c r="B501" s="4259"/>
      <c r="C501" s="4259"/>
      <c r="D501" s="4259"/>
      <c r="E501" s="4259"/>
      <c r="F501" s="4259"/>
      <c r="G501" s="4259"/>
      <c r="H501" s="4259"/>
      <c r="I501" s="4259"/>
      <c r="J501" s="4259"/>
    </row>
    <row r="502" spans="1:10">
      <c r="A502" s="238"/>
      <c r="B502" s="238"/>
      <c r="C502" s="238"/>
      <c r="D502" s="238"/>
      <c r="E502" s="237"/>
    </row>
    <row r="503" spans="1:10" ht="17.399999999999999">
      <c r="A503" s="238"/>
      <c r="B503" s="238"/>
      <c r="C503" s="270">
        <v>2015</v>
      </c>
      <c r="D503" s="238"/>
      <c r="E503" s="238"/>
    </row>
    <row r="504" spans="1:10">
      <c r="A504" s="1792" t="s">
        <v>2143</v>
      </c>
      <c r="B504"/>
      <c r="D504" s="129"/>
      <c r="E504" s="129"/>
      <c r="F504" s="129"/>
      <c r="G504" s="129"/>
      <c r="H504" s="129"/>
    </row>
    <row r="505" spans="1:10">
      <c r="A505" s="1793" t="s">
        <v>2144</v>
      </c>
      <c r="B505" s="1175"/>
      <c r="C505" s="1175"/>
      <c r="D505" s="129"/>
      <c r="E505" s="129"/>
      <c r="F505" s="129"/>
      <c r="G505" s="129"/>
      <c r="H505" s="129"/>
    </row>
    <row r="506" spans="1:10">
      <c r="A506" s="5705" t="s">
        <v>1602</v>
      </c>
      <c r="B506" s="5706"/>
      <c r="C506" s="5706"/>
      <c r="D506" s="5707"/>
      <c r="E506" s="297"/>
      <c r="F506" s="129"/>
      <c r="G506" s="129"/>
      <c r="H506" s="129"/>
    </row>
    <row r="507" spans="1:10" ht="28.8">
      <c r="A507" s="1170" t="s">
        <v>1603</v>
      </c>
      <c r="B507" s="1176" t="s">
        <v>1062</v>
      </c>
      <c r="C507" s="1176" t="s">
        <v>102</v>
      </c>
      <c r="D507" s="1176" t="s">
        <v>1063</v>
      </c>
      <c r="E507" s="1168"/>
      <c r="F507" s="129"/>
      <c r="G507" s="129"/>
      <c r="H507" s="129"/>
    </row>
    <row r="508" spans="1:10">
      <c r="A508" s="3071">
        <v>2005</v>
      </c>
      <c r="B508" s="3071">
        <v>1570</v>
      </c>
      <c r="C508" s="3072">
        <v>46.851686063861536</v>
      </c>
      <c r="D508" s="3073">
        <v>46.851686063861536</v>
      </c>
      <c r="E508" s="1169"/>
      <c r="F508" s="129"/>
      <c r="G508" s="129"/>
      <c r="H508" s="129"/>
    </row>
    <row r="509" spans="1:10">
      <c r="A509" s="3074">
        <v>2008</v>
      </c>
      <c r="B509" s="3074">
        <v>1781</v>
      </c>
      <c r="C509" s="3075">
        <v>53.148313936138464</v>
      </c>
      <c r="D509" s="3076">
        <v>53.148313936138464</v>
      </c>
      <c r="E509" s="1169"/>
      <c r="F509" s="129"/>
      <c r="G509" s="129"/>
      <c r="H509" s="129"/>
    </row>
    <row r="510" spans="1:10">
      <c r="A510" s="3068" t="s">
        <v>15</v>
      </c>
      <c r="B510" s="3068">
        <v>3351</v>
      </c>
      <c r="C510" s="3069">
        <f>SUM(C508:C509)</f>
        <v>100</v>
      </c>
      <c r="D510" s="3070">
        <v>100</v>
      </c>
      <c r="E510" s="1169"/>
      <c r="F510" s="129"/>
      <c r="G510" s="129"/>
      <c r="H510" s="129"/>
    </row>
    <row r="511" spans="1:10">
      <c r="A511" s="1174" t="s">
        <v>1604</v>
      </c>
      <c r="B511" s="1177"/>
      <c r="C511" s="1178"/>
      <c r="D511" s="1179"/>
      <c r="E511" s="1169"/>
      <c r="F511" s="129"/>
      <c r="G511" s="129"/>
      <c r="H511" s="129"/>
    </row>
    <row r="512" spans="1:10">
      <c r="B512"/>
      <c r="D512" s="129"/>
      <c r="E512" s="129"/>
      <c r="F512" s="129"/>
      <c r="G512" s="129"/>
      <c r="H512" s="129"/>
    </row>
    <row r="513" spans="1:9">
      <c r="A513" s="43"/>
      <c r="B513" s="43"/>
      <c r="C513" s="43"/>
      <c r="D513" s="5708" t="s">
        <v>1036</v>
      </c>
      <c r="E513" s="5709"/>
      <c r="F513" s="5745" t="s">
        <v>1605</v>
      </c>
      <c r="G513" s="5746"/>
      <c r="H513" s="5746"/>
      <c r="I513" s="5747"/>
    </row>
    <row r="514" spans="1:9" ht="20.399999999999999">
      <c r="A514" s="4513" t="s">
        <v>0</v>
      </c>
      <c r="B514" s="4513" t="s">
        <v>1</v>
      </c>
      <c r="C514" s="4513" t="s">
        <v>1606</v>
      </c>
      <c r="D514" s="4514" t="s">
        <v>1038</v>
      </c>
      <c r="E514" s="4514" t="s">
        <v>1039</v>
      </c>
      <c r="F514" s="4515" t="s">
        <v>1607</v>
      </c>
      <c r="G514" s="4515" t="s">
        <v>1608</v>
      </c>
      <c r="H514" s="4515" t="s">
        <v>1609</v>
      </c>
      <c r="I514" s="4515" t="s">
        <v>1610</v>
      </c>
    </row>
    <row r="515" spans="1:9">
      <c r="A515" s="5700" t="s">
        <v>3</v>
      </c>
      <c r="B515" s="5700" t="s">
        <v>21</v>
      </c>
      <c r="C515" s="4516" t="s">
        <v>22</v>
      </c>
      <c r="D515" s="4495">
        <v>88.118811881188122</v>
      </c>
      <c r="E515" s="4495">
        <v>11.881188118811881</v>
      </c>
      <c r="F515" s="3143">
        <v>3.3707865168539324</v>
      </c>
      <c r="G515" s="3143">
        <v>15.730337078651685</v>
      </c>
      <c r="H515" s="3143">
        <v>34.831460674157306</v>
      </c>
      <c r="I515" s="3143">
        <v>46.067415730337082</v>
      </c>
    </row>
    <row r="516" spans="1:9">
      <c r="A516" s="5701"/>
      <c r="B516" s="5701"/>
      <c r="C516" s="4517" t="s">
        <v>1612</v>
      </c>
      <c r="D516" s="4497">
        <v>90.163934426229503</v>
      </c>
      <c r="E516" s="4497">
        <v>9.8360655737704921</v>
      </c>
      <c r="F516" s="3120">
        <v>3.6363636363636362</v>
      </c>
      <c r="G516" s="3120">
        <v>0.90909090909090906</v>
      </c>
      <c r="H516" s="3120">
        <v>15.454545454545455</v>
      </c>
      <c r="I516" s="3120">
        <v>80</v>
      </c>
    </row>
    <row r="517" spans="1:9">
      <c r="A517" s="5701"/>
      <c r="B517" s="5702"/>
      <c r="C517" s="4518" t="s">
        <v>24</v>
      </c>
      <c r="D517" s="4499">
        <v>85.714285714285708</v>
      </c>
      <c r="E517" s="4499">
        <v>14.285714285714286</v>
      </c>
      <c r="F517" s="3127">
        <v>5.5555555555555554</v>
      </c>
      <c r="G517" s="3127">
        <v>12.962962962962964</v>
      </c>
      <c r="H517" s="3127">
        <v>29.62962962962963</v>
      </c>
      <c r="I517" s="3127">
        <v>51.851851851851855</v>
      </c>
    </row>
    <row r="518" spans="1:9">
      <c r="A518" s="5701"/>
      <c r="B518" s="5700" t="s">
        <v>4</v>
      </c>
      <c r="C518" s="4516" t="s">
        <v>5</v>
      </c>
      <c r="D518" s="4495">
        <v>78.571428571428569</v>
      </c>
      <c r="E518" s="4495">
        <v>21.428571428571427</v>
      </c>
      <c r="F518" s="3143">
        <v>9.0909090909090917</v>
      </c>
      <c r="G518" s="3143">
        <v>0</v>
      </c>
      <c r="H518" s="3143">
        <v>27.272727272727273</v>
      </c>
      <c r="I518" s="3143">
        <v>63.636363636363633</v>
      </c>
    </row>
    <row r="519" spans="1:9">
      <c r="A519" s="5701"/>
      <c r="B519" s="5701"/>
      <c r="C519" s="4517" t="s">
        <v>6</v>
      </c>
      <c r="D519" s="4497">
        <v>85.714285714285708</v>
      </c>
      <c r="E519" s="4497">
        <v>14.285714285714286</v>
      </c>
      <c r="F519" s="3120">
        <v>5.5555555555555554</v>
      </c>
      <c r="G519" s="3120">
        <v>0</v>
      </c>
      <c r="H519" s="3120">
        <v>11.111111111111111</v>
      </c>
      <c r="I519" s="3120">
        <v>83.333333333333329</v>
      </c>
    </row>
    <row r="520" spans="1:9">
      <c r="A520" s="5701"/>
      <c r="B520" s="5701"/>
      <c r="C520" s="4517" t="s">
        <v>7</v>
      </c>
      <c r="D520" s="4497">
        <v>91.304347826086953</v>
      </c>
      <c r="E520" s="4497">
        <v>8.695652173913043</v>
      </c>
      <c r="F520" s="3120">
        <v>4.7619047619047619</v>
      </c>
      <c r="G520" s="3120">
        <v>4.7619047619047619</v>
      </c>
      <c r="H520" s="3120">
        <v>14.285714285714286</v>
      </c>
      <c r="I520" s="3120">
        <v>76.19047619047619</v>
      </c>
    </row>
    <row r="521" spans="1:9">
      <c r="A521" s="5701"/>
      <c r="B521" s="5701"/>
      <c r="C521" s="4517" t="s">
        <v>8</v>
      </c>
      <c r="D521" s="4497">
        <v>52.631578947368418</v>
      </c>
      <c r="E521" s="4497">
        <v>47.368421052631582</v>
      </c>
      <c r="F521" s="3120">
        <v>0</v>
      </c>
      <c r="G521" s="3120">
        <v>0</v>
      </c>
      <c r="H521" s="3120">
        <v>40</v>
      </c>
      <c r="I521" s="3120">
        <v>60</v>
      </c>
    </row>
    <row r="522" spans="1:9">
      <c r="A522" s="5701"/>
      <c r="B522" s="5701"/>
      <c r="C522" s="4517" t="s">
        <v>9</v>
      </c>
      <c r="D522" s="4497">
        <v>85.13513513513513</v>
      </c>
      <c r="E522" s="4497">
        <v>14.864864864864865</v>
      </c>
      <c r="F522" s="3120">
        <v>3.1746031746031744</v>
      </c>
      <c r="G522" s="3120">
        <v>14.285714285714286</v>
      </c>
      <c r="H522" s="3120">
        <v>42.857142857142854</v>
      </c>
      <c r="I522" s="3120">
        <v>39.682539682539684</v>
      </c>
    </row>
    <row r="523" spans="1:9">
      <c r="A523" s="5701"/>
      <c r="B523" s="5701"/>
      <c r="C523" s="4517" t="s">
        <v>10</v>
      </c>
      <c r="D523" s="4497">
        <v>84.615384615384613</v>
      </c>
      <c r="E523" s="4497">
        <v>15.384615384615385</v>
      </c>
      <c r="F523" s="3120">
        <v>4.5454545454545459</v>
      </c>
      <c r="G523" s="3120">
        <v>4.5454545454545459</v>
      </c>
      <c r="H523" s="3120">
        <v>40.909090909090907</v>
      </c>
      <c r="I523" s="3120">
        <v>50</v>
      </c>
    </row>
    <row r="524" spans="1:9">
      <c r="A524" s="5701"/>
      <c r="B524" s="5701"/>
      <c r="C524" s="4517" t="s">
        <v>11</v>
      </c>
      <c r="D524" s="4497">
        <v>77.777777777777771</v>
      </c>
      <c r="E524" s="4497">
        <v>22.222222222222221</v>
      </c>
      <c r="F524" s="3120">
        <v>0</v>
      </c>
      <c r="G524" s="3120">
        <v>0</v>
      </c>
      <c r="H524" s="3120">
        <v>71.428571428571431</v>
      </c>
      <c r="I524" s="3120">
        <v>28.571428571428573</v>
      </c>
    </row>
    <row r="525" spans="1:9">
      <c r="A525" s="5701"/>
      <c r="B525" s="5701"/>
      <c r="C525" s="4517" t="s">
        <v>12</v>
      </c>
      <c r="D525" s="4497">
        <v>63.46153846153846</v>
      </c>
      <c r="E525" s="4497">
        <v>36.53846153846154</v>
      </c>
      <c r="F525" s="3120">
        <v>3.0303030303030303</v>
      </c>
      <c r="G525" s="3120">
        <v>18.181818181818183</v>
      </c>
      <c r="H525" s="3120">
        <v>36.363636363636367</v>
      </c>
      <c r="I525" s="3120">
        <v>42.424242424242422</v>
      </c>
    </row>
    <row r="526" spans="1:9">
      <c r="A526" s="5701"/>
      <c r="B526" s="5701"/>
      <c r="C526" s="4517" t="s">
        <v>13</v>
      </c>
      <c r="D526" s="4497">
        <v>82.089552238805965</v>
      </c>
      <c r="E526" s="4497">
        <v>17.910447761194028</v>
      </c>
      <c r="F526" s="3120">
        <v>3.6363636363636362</v>
      </c>
      <c r="G526" s="3120">
        <v>12.727272727272727</v>
      </c>
      <c r="H526" s="3120">
        <v>30.90909090909091</v>
      </c>
      <c r="I526" s="3120">
        <v>52.727272727272727</v>
      </c>
    </row>
    <row r="527" spans="1:9">
      <c r="A527" s="5701"/>
      <c r="B527" s="5702"/>
      <c r="C527" s="4518" t="s">
        <v>14</v>
      </c>
      <c r="D527" s="4499">
        <v>85.714285714285708</v>
      </c>
      <c r="E527" s="4499">
        <v>14.285714285714286</v>
      </c>
      <c r="F527" s="3127">
        <v>0</v>
      </c>
      <c r="G527" s="3127">
        <v>0</v>
      </c>
      <c r="H527" s="3127">
        <v>16.666666666666668</v>
      </c>
      <c r="I527" s="3127">
        <v>83.333333333333329</v>
      </c>
    </row>
    <row r="528" spans="1:9">
      <c r="A528" s="5701"/>
      <c r="B528" s="5700" t="s">
        <v>16</v>
      </c>
      <c r="C528" s="4519" t="s">
        <v>17</v>
      </c>
      <c r="D528" s="4501">
        <v>76.13636363636364</v>
      </c>
      <c r="E528" s="4501">
        <v>23.863636363636363</v>
      </c>
      <c r="F528" s="3144">
        <v>2.9850746268656718</v>
      </c>
      <c r="G528" s="3144">
        <v>10.447761194029852</v>
      </c>
      <c r="H528" s="3144">
        <v>35.820895522388057</v>
      </c>
      <c r="I528" s="3144">
        <v>50.746268656716417</v>
      </c>
    </row>
    <row r="529" spans="1:9">
      <c r="A529" s="5701"/>
      <c r="B529" s="5701"/>
      <c r="C529" s="4517" t="s">
        <v>18</v>
      </c>
      <c r="D529" s="4497">
        <v>81.875</v>
      </c>
      <c r="E529" s="4497">
        <v>18.125</v>
      </c>
      <c r="F529" s="3120">
        <v>6.9230769230769234</v>
      </c>
      <c r="G529" s="3120">
        <v>7.6923076923076925</v>
      </c>
      <c r="H529" s="3120">
        <v>13.846153846153847</v>
      </c>
      <c r="I529" s="3120">
        <v>71.538461538461533</v>
      </c>
    </row>
    <row r="530" spans="1:9">
      <c r="A530" s="5701"/>
      <c r="B530" s="5701"/>
      <c r="C530" s="4517" t="s">
        <v>19</v>
      </c>
      <c r="D530" s="4497">
        <v>78</v>
      </c>
      <c r="E530" s="4497">
        <v>22</v>
      </c>
      <c r="F530" s="3120">
        <v>17.5</v>
      </c>
      <c r="G530" s="3120">
        <v>30</v>
      </c>
      <c r="H530" s="3120">
        <v>30</v>
      </c>
      <c r="I530" s="3120">
        <v>22.5</v>
      </c>
    </row>
    <row r="531" spans="1:9">
      <c r="A531" s="5702"/>
      <c r="B531" s="5702"/>
      <c r="C531" s="4518" t="s">
        <v>1611</v>
      </c>
      <c r="D531" s="4499">
        <v>61.016949152542374</v>
      </c>
      <c r="E531" s="4499">
        <v>38.983050847457626</v>
      </c>
      <c r="F531" s="3127">
        <v>11.111111111111111</v>
      </c>
      <c r="G531" s="3127">
        <v>5.5555555555555554</v>
      </c>
      <c r="H531" s="3127">
        <v>13.888888888888889</v>
      </c>
      <c r="I531" s="3127">
        <v>69.444444444444443</v>
      </c>
    </row>
    <row r="532" spans="1:9">
      <c r="A532" s="5700" t="s">
        <v>25</v>
      </c>
      <c r="B532" s="5700" t="s">
        <v>4</v>
      </c>
      <c r="C532" s="4516" t="s">
        <v>26</v>
      </c>
      <c r="D532" s="4495">
        <v>80.645161290322577</v>
      </c>
      <c r="E532" s="4495">
        <v>19.35483870967742</v>
      </c>
      <c r="F532" s="3143">
        <v>4</v>
      </c>
      <c r="G532" s="3143">
        <v>8</v>
      </c>
      <c r="H532" s="3143">
        <v>32</v>
      </c>
      <c r="I532" s="3143">
        <v>56</v>
      </c>
    </row>
    <row r="533" spans="1:9">
      <c r="A533" s="5701"/>
      <c r="B533" s="5701"/>
      <c r="C533" s="4517" t="s">
        <v>27</v>
      </c>
      <c r="D533" s="4497">
        <v>83.333333333333329</v>
      </c>
      <c r="E533" s="4497">
        <v>16.666666666666668</v>
      </c>
      <c r="F533" s="3120">
        <v>0</v>
      </c>
      <c r="G533" s="3120">
        <v>0</v>
      </c>
      <c r="H533" s="3120">
        <v>20</v>
      </c>
      <c r="I533" s="3120">
        <v>80</v>
      </c>
    </row>
    <row r="534" spans="1:9">
      <c r="A534" s="5701"/>
      <c r="B534" s="5701"/>
      <c r="C534" s="4517" t="s">
        <v>12</v>
      </c>
      <c r="D534" s="4497">
        <v>80.952380952380949</v>
      </c>
      <c r="E534" s="4497">
        <v>19.047619047619047</v>
      </c>
      <c r="F534" s="3120">
        <v>5.882352941176471</v>
      </c>
      <c r="G534" s="3120">
        <v>17.647058823529413</v>
      </c>
      <c r="H534" s="3120">
        <v>41.176470588235297</v>
      </c>
      <c r="I534" s="3120">
        <v>35.294117647058826</v>
      </c>
    </row>
    <row r="535" spans="1:9">
      <c r="A535" s="5701"/>
      <c r="B535" s="5701"/>
      <c r="C535" s="4517" t="s">
        <v>1613</v>
      </c>
      <c r="D535" s="4497">
        <v>87.5</v>
      </c>
      <c r="E535" s="4497">
        <v>12.5</v>
      </c>
      <c r="F535" s="3120">
        <v>0</v>
      </c>
      <c r="G535" s="3120">
        <v>14.285714285714286</v>
      </c>
      <c r="H535" s="3120">
        <v>57.142857142857146</v>
      </c>
      <c r="I535" s="3120">
        <v>28.571428571428573</v>
      </c>
    </row>
    <row r="536" spans="1:9">
      <c r="A536" s="5701"/>
      <c r="B536" s="5701"/>
      <c r="C536" s="4517" t="s">
        <v>29</v>
      </c>
      <c r="D536" s="4497">
        <v>25</v>
      </c>
      <c r="E536" s="4497">
        <v>75</v>
      </c>
      <c r="F536" s="3120">
        <v>50</v>
      </c>
      <c r="G536" s="3120">
        <v>0</v>
      </c>
      <c r="H536" s="3120">
        <v>0</v>
      </c>
      <c r="I536" s="3120">
        <v>50</v>
      </c>
    </row>
    <row r="537" spans="1:9">
      <c r="A537" s="5701"/>
      <c r="B537" s="5701"/>
      <c r="C537" s="4517" t="s">
        <v>13</v>
      </c>
      <c r="D537" s="4497">
        <v>79.487179487179489</v>
      </c>
      <c r="E537" s="4497">
        <v>20.512820512820515</v>
      </c>
      <c r="F537" s="3120">
        <v>6.4516129032258061</v>
      </c>
      <c r="G537" s="3120">
        <v>9.67741935483871</v>
      </c>
      <c r="H537" s="3120">
        <v>38.70967741935484</v>
      </c>
      <c r="I537" s="3120">
        <v>45.161290322580648</v>
      </c>
    </row>
    <row r="538" spans="1:9">
      <c r="A538" s="5701"/>
      <c r="B538" s="5701"/>
      <c r="C538" s="4517" t="s">
        <v>30</v>
      </c>
      <c r="D538" s="4497">
        <v>78.94736842105263</v>
      </c>
      <c r="E538" s="4497">
        <v>21.05263157894737</v>
      </c>
      <c r="F538" s="3120">
        <v>0</v>
      </c>
      <c r="G538" s="3120">
        <v>0</v>
      </c>
      <c r="H538" s="3120">
        <v>0</v>
      </c>
      <c r="I538" s="3120">
        <v>100</v>
      </c>
    </row>
    <row r="539" spans="1:9">
      <c r="A539" s="5701"/>
      <c r="B539" s="5701"/>
      <c r="C539" s="4517" t="s">
        <v>31</v>
      </c>
      <c r="D539" s="4497">
        <v>20</v>
      </c>
      <c r="E539" s="4497">
        <v>80</v>
      </c>
      <c r="F539" s="3120">
        <v>0</v>
      </c>
      <c r="G539" s="3120">
        <v>0</v>
      </c>
      <c r="H539" s="3120">
        <v>0</v>
      </c>
      <c r="I539" s="3120">
        <v>100</v>
      </c>
    </row>
    <row r="540" spans="1:9">
      <c r="A540" s="5701"/>
      <c r="B540" s="5702"/>
      <c r="C540" s="4518" t="s">
        <v>32</v>
      </c>
      <c r="D540" s="4499">
        <v>88.888888888888886</v>
      </c>
      <c r="E540" s="4499">
        <v>11.111111111111111</v>
      </c>
      <c r="F540" s="3127">
        <v>3.125</v>
      </c>
      <c r="G540" s="3127">
        <v>9.375</v>
      </c>
      <c r="H540" s="3127">
        <v>34.375</v>
      </c>
      <c r="I540" s="3127">
        <v>53.125</v>
      </c>
    </row>
    <row r="541" spans="1:9">
      <c r="A541" s="5701"/>
      <c r="B541" s="5700" t="s">
        <v>41</v>
      </c>
      <c r="C541" s="4516" t="s">
        <v>42</v>
      </c>
      <c r="D541" s="4495">
        <v>62.5</v>
      </c>
      <c r="E541" s="4495">
        <v>37.5</v>
      </c>
      <c r="F541" s="3143">
        <v>25</v>
      </c>
      <c r="G541" s="3143">
        <v>15</v>
      </c>
      <c r="H541" s="3143">
        <v>25</v>
      </c>
      <c r="I541" s="3143">
        <v>35</v>
      </c>
    </row>
    <row r="542" spans="1:9">
      <c r="A542" s="5701"/>
      <c r="B542" s="5701"/>
      <c r="C542" s="4517" t="s">
        <v>1617</v>
      </c>
      <c r="D542" s="4497">
        <v>41.463414634146339</v>
      </c>
      <c r="E542" s="4497">
        <v>58.536585365853661</v>
      </c>
      <c r="F542" s="3120">
        <v>17.647058823529413</v>
      </c>
      <c r="G542" s="3120">
        <v>17.647058823529413</v>
      </c>
      <c r="H542" s="3120">
        <v>29.411764705882351</v>
      </c>
      <c r="I542" s="3120">
        <v>35.294117647058826</v>
      </c>
    </row>
    <row r="543" spans="1:9">
      <c r="A543" s="5701"/>
      <c r="B543" s="5701"/>
      <c r="C543" s="4517" t="s">
        <v>44</v>
      </c>
      <c r="D543" s="4497">
        <v>52.38095238095238</v>
      </c>
      <c r="E543" s="4497">
        <v>47.61904761904762</v>
      </c>
      <c r="F543" s="3120">
        <v>18.181818181818183</v>
      </c>
      <c r="G543" s="3120">
        <v>9.0909090909090917</v>
      </c>
      <c r="H543" s="3120">
        <v>63.636363636363633</v>
      </c>
      <c r="I543" s="3120">
        <v>9.0909090909090917</v>
      </c>
    </row>
    <row r="544" spans="1:9">
      <c r="A544" s="5701"/>
      <c r="B544" s="5701"/>
      <c r="C544" s="4517" t="s">
        <v>1618</v>
      </c>
      <c r="D544" s="4497">
        <v>50</v>
      </c>
      <c r="E544" s="4497">
        <v>50</v>
      </c>
      <c r="F544" s="3120">
        <v>0</v>
      </c>
      <c r="G544" s="3120">
        <v>50</v>
      </c>
      <c r="H544" s="3120">
        <v>50</v>
      </c>
      <c r="I544" s="3120">
        <v>0</v>
      </c>
    </row>
    <row r="545" spans="1:9">
      <c r="A545" s="5701"/>
      <c r="B545" s="5701"/>
      <c r="C545" s="4517" t="s">
        <v>46</v>
      </c>
      <c r="D545" s="4497">
        <v>78.688524590163937</v>
      </c>
      <c r="E545" s="4497">
        <v>21.311475409836067</v>
      </c>
      <c r="F545" s="3120">
        <v>6.25</v>
      </c>
      <c r="G545" s="3120">
        <v>8.3333333333333339</v>
      </c>
      <c r="H545" s="3120">
        <v>35.416666666666664</v>
      </c>
      <c r="I545" s="3120">
        <v>50</v>
      </c>
    </row>
    <row r="546" spans="1:9">
      <c r="A546" s="5701"/>
      <c r="B546" s="5702"/>
      <c r="C546" s="4518" t="s">
        <v>1619</v>
      </c>
      <c r="D546" s="4499">
        <v>71.794871794871796</v>
      </c>
      <c r="E546" s="4499">
        <v>28.205128205128204</v>
      </c>
      <c r="F546" s="3127">
        <v>7.1428571428571432</v>
      </c>
      <c r="G546" s="3127">
        <v>14.285714285714286</v>
      </c>
      <c r="H546" s="3127">
        <v>23.214285714285715</v>
      </c>
      <c r="I546" s="3127">
        <v>55.357142857142854</v>
      </c>
    </row>
    <row r="547" spans="1:9">
      <c r="A547" s="5701"/>
      <c r="B547" s="5700" t="s">
        <v>16</v>
      </c>
      <c r="C547" s="4519" t="s">
        <v>17</v>
      </c>
      <c r="D547" s="4501">
        <v>77.333333333333329</v>
      </c>
      <c r="E547" s="4501">
        <v>22.666666666666668</v>
      </c>
      <c r="F547" s="3144">
        <v>7.0175438596491224</v>
      </c>
      <c r="G547" s="3144">
        <v>17.543859649122808</v>
      </c>
      <c r="H547" s="3144">
        <v>28.07017543859649</v>
      </c>
      <c r="I547" s="3144">
        <v>47.368421052631582</v>
      </c>
    </row>
    <row r="548" spans="1:9">
      <c r="A548" s="5701"/>
      <c r="B548" s="5701"/>
      <c r="C548" s="4517" t="s">
        <v>1614</v>
      </c>
      <c r="D548" s="4497">
        <v>68.181818181818187</v>
      </c>
      <c r="E548" s="4497">
        <v>31.818181818181817</v>
      </c>
      <c r="F548" s="3120">
        <v>6.666666666666667</v>
      </c>
      <c r="G548" s="3120">
        <v>33.333333333333336</v>
      </c>
      <c r="H548" s="3120">
        <v>40</v>
      </c>
      <c r="I548" s="3120">
        <v>20</v>
      </c>
    </row>
    <row r="549" spans="1:9">
      <c r="A549" s="5701"/>
      <c r="B549" s="5701"/>
      <c r="C549" s="4517" t="s">
        <v>1615</v>
      </c>
      <c r="D549" s="4497">
        <v>74.193548387096769</v>
      </c>
      <c r="E549" s="4497">
        <v>25.806451612903224</v>
      </c>
      <c r="F549" s="3120">
        <v>4.3478260869565215</v>
      </c>
      <c r="G549" s="3120">
        <v>4.3478260869565215</v>
      </c>
      <c r="H549" s="3120">
        <v>13.043478260869565</v>
      </c>
      <c r="I549" s="3120">
        <v>78.260869565217391</v>
      </c>
    </row>
    <row r="550" spans="1:9">
      <c r="A550" s="5701"/>
      <c r="B550" s="5701"/>
      <c r="C550" s="4517" t="s">
        <v>35</v>
      </c>
      <c r="D550" s="4497">
        <v>60</v>
      </c>
      <c r="E550" s="4497">
        <v>40</v>
      </c>
      <c r="F550" s="3120">
        <v>33.333333333333336</v>
      </c>
      <c r="G550" s="3120">
        <v>0</v>
      </c>
      <c r="H550" s="3120">
        <v>11.111111111111111</v>
      </c>
      <c r="I550" s="3120">
        <v>55.555555555555557</v>
      </c>
    </row>
    <row r="551" spans="1:9">
      <c r="A551" s="5701"/>
      <c r="B551" s="5701"/>
      <c r="C551" s="4517" t="s">
        <v>19</v>
      </c>
      <c r="D551" s="4497">
        <v>69.444444444444443</v>
      </c>
      <c r="E551" s="4497">
        <v>30.555555555555557</v>
      </c>
      <c r="F551" s="3120">
        <v>0</v>
      </c>
      <c r="G551" s="3120">
        <v>28</v>
      </c>
      <c r="H551" s="3120">
        <v>48</v>
      </c>
      <c r="I551" s="3120">
        <v>24</v>
      </c>
    </row>
    <row r="552" spans="1:9">
      <c r="A552" s="5701"/>
      <c r="B552" s="5701"/>
      <c r="C552" s="4517" t="s">
        <v>20</v>
      </c>
      <c r="D552" s="4497">
        <v>85.365853658536579</v>
      </c>
      <c r="E552" s="4497">
        <v>14.634146341463415</v>
      </c>
      <c r="F552" s="3120">
        <v>2.8571428571428572</v>
      </c>
      <c r="G552" s="3120">
        <v>25.714285714285715</v>
      </c>
      <c r="H552" s="3120">
        <v>28.571428571428573</v>
      </c>
      <c r="I552" s="3120">
        <v>42.857142857142854</v>
      </c>
    </row>
    <row r="553" spans="1:9">
      <c r="A553" s="5701"/>
      <c r="B553" s="5701"/>
      <c r="C553" s="4517" t="s">
        <v>36</v>
      </c>
      <c r="D553" s="4497">
        <v>70.370370370370367</v>
      </c>
      <c r="E553" s="4497">
        <v>29.62962962962963</v>
      </c>
      <c r="F553" s="3120">
        <v>22.222222222222221</v>
      </c>
      <c r="G553" s="3120">
        <v>0</v>
      </c>
      <c r="H553" s="3120">
        <v>11.111111111111111</v>
      </c>
      <c r="I553" s="3120">
        <v>66.666666666666671</v>
      </c>
    </row>
    <row r="554" spans="1:9">
      <c r="A554" s="5701"/>
      <c r="B554" s="5701"/>
      <c r="C554" s="4517" t="s">
        <v>533</v>
      </c>
      <c r="D554" s="4497">
        <v>66.666666666666671</v>
      </c>
      <c r="E554" s="4497">
        <v>33.333333333333336</v>
      </c>
      <c r="F554" s="3120">
        <v>8.3333333333333339</v>
      </c>
      <c r="G554" s="3120">
        <v>8.3333333333333339</v>
      </c>
      <c r="H554" s="3120">
        <v>8.3333333333333339</v>
      </c>
      <c r="I554" s="3120">
        <v>75</v>
      </c>
    </row>
    <row r="555" spans="1:9">
      <c r="A555" s="5701"/>
      <c r="B555" s="5701"/>
      <c r="C555" s="4517" t="s">
        <v>1616</v>
      </c>
      <c r="D555" s="4497">
        <v>68.421052631578945</v>
      </c>
      <c r="E555" s="4497">
        <v>31.578947368421051</v>
      </c>
      <c r="F555" s="3120">
        <v>23.076923076923077</v>
      </c>
      <c r="G555" s="3120">
        <v>7.6923076923076925</v>
      </c>
      <c r="H555" s="3120">
        <v>34.615384615384613</v>
      </c>
      <c r="I555" s="3120">
        <v>34.615384615384613</v>
      </c>
    </row>
    <row r="556" spans="1:9">
      <c r="A556" s="5701"/>
      <c r="B556" s="5701"/>
      <c r="C556" s="4517" t="s">
        <v>39</v>
      </c>
      <c r="D556" s="4497">
        <v>84.090909090909093</v>
      </c>
      <c r="E556" s="4497">
        <v>15.909090909090908</v>
      </c>
      <c r="F556" s="3120">
        <v>5.5555555555555554</v>
      </c>
      <c r="G556" s="3120">
        <v>8.3333333333333339</v>
      </c>
      <c r="H556" s="3120">
        <v>47.222222222222221</v>
      </c>
      <c r="I556" s="3120">
        <v>38.888888888888886</v>
      </c>
    </row>
    <row r="557" spans="1:9">
      <c r="A557" s="5702"/>
      <c r="B557" s="5702"/>
      <c r="C557" s="4518" t="s">
        <v>40</v>
      </c>
      <c r="D557" s="4499">
        <v>75</v>
      </c>
      <c r="E557" s="4499">
        <v>25</v>
      </c>
      <c r="F557" s="3127">
        <v>0</v>
      </c>
      <c r="G557" s="3127">
        <v>0</v>
      </c>
      <c r="H557" s="3127">
        <v>100</v>
      </c>
      <c r="I557" s="3127">
        <v>0</v>
      </c>
    </row>
    <row r="558" spans="1:9">
      <c r="A558" s="5700" t="s">
        <v>48</v>
      </c>
      <c r="B558" s="5700" t="s">
        <v>21</v>
      </c>
      <c r="C558" s="4516" t="s">
        <v>22</v>
      </c>
      <c r="D558" s="4495">
        <v>90.510948905109487</v>
      </c>
      <c r="E558" s="4495">
        <v>9.4890510948905114</v>
      </c>
      <c r="F558" s="3143">
        <v>4.8780487804878048</v>
      </c>
      <c r="G558" s="3143">
        <v>12.195121951219512</v>
      </c>
      <c r="H558" s="3143">
        <v>21.13821138211382</v>
      </c>
      <c r="I558" s="3143">
        <v>61.788617886178862</v>
      </c>
    </row>
    <row r="559" spans="1:9">
      <c r="A559" s="5701"/>
      <c r="B559" s="5701"/>
      <c r="C559" s="4517" t="s">
        <v>1612</v>
      </c>
      <c r="D559" s="4497">
        <v>90.099009900990097</v>
      </c>
      <c r="E559" s="4497">
        <v>9.9009900990099009</v>
      </c>
      <c r="F559" s="3120">
        <v>10.989010989010989</v>
      </c>
      <c r="G559" s="3120">
        <v>7.6923076923076925</v>
      </c>
      <c r="H559" s="3120">
        <v>13.186813186813186</v>
      </c>
      <c r="I559" s="3120">
        <v>68.131868131868131</v>
      </c>
    </row>
    <row r="560" spans="1:9">
      <c r="A560" s="5701"/>
      <c r="B560" s="5701"/>
      <c r="C560" s="4517" t="s">
        <v>1625</v>
      </c>
      <c r="D560" s="4497">
        <v>83.78378378378379</v>
      </c>
      <c r="E560" s="4497">
        <v>16.216216216216218</v>
      </c>
      <c r="F560" s="3120">
        <v>9.67741935483871</v>
      </c>
      <c r="G560" s="3120">
        <v>11.290322580645162</v>
      </c>
      <c r="H560" s="3120">
        <v>22.580645161290324</v>
      </c>
      <c r="I560" s="3120">
        <v>56.451612903225808</v>
      </c>
    </row>
    <row r="561" spans="1:9">
      <c r="A561" s="5701"/>
      <c r="B561" s="5702"/>
      <c r="C561" s="4518" t="s">
        <v>1626</v>
      </c>
      <c r="D561" s="4499">
        <v>70</v>
      </c>
      <c r="E561" s="4499">
        <v>30</v>
      </c>
      <c r="F561" s="3127">
        <v>7.1428571428571432</v>
      </c>
      <c r="G561" s="3127">
        <v>17.857142857142858</v>
      </c>
      <c r="H561" s="3127">
        <v>17.857142857142858</v>
      </c>
      <c r="I561" s="3127">
        <v>57.142857142857146</v>
      </c>
    </row>
    <row r="562" spans="1:9">
      <c r="A562" s="5701"/>
      <c r="B562" s="5700" t="s">
        <v>41</v>
      </c>
      <c r="C562" s="4519" t="s">
        <v>42</v>
      </c>
      <c r="D562" s="4501">
        <v>64.583333333333329</v>
      </c>
      <c r="E562" s="4501">
        <v>35.416666666666664</v>
      </c>
      <c r="F562" s="3144">
        <v>4.838709677419355</v>
      </c>
      <c r="G562" s="3144">
        <v>3.225806451612903</v>
      </c>
      <c r="H562" s="3144">
        <v>22.580645161290324</v>
      </c>
      <c r="I562" s="3144">
        <v>69.354838709677423</v>
      </c>
    </row>
    <row r="563" spans="1:9">
      <c r="A563" s="5701"/>
      <c r="B563" s="5701"/>
      <c r="C563" s="4517" t="s">
        <v>1621</v>
      </c>
      <c r="D563" s="4497">
        <v>82.352941176470594</v>
      </c>
      <c r="E563" s="4497">
        <v>17.647058823529413</v>
      </c>
      <c r="F563" s="3120">
        <v>1.7857142857142858</v>
      </c>
      <c r="G563" s="3120">
        <v>0</v>
      </c>
      <c r="H563" s="3120">
        <v>3.5714285714285716</v>
      </c>
      <c r="I563" s="3120">
        <v>94.642857142857139</v>
      </c>
    </row>
    <row r="564" spans="1:9">
      <c r="A564" s="5701"/>
      <c r="B564" s="5701"/>
      <c r="C564" s="4517" t="s">
        <v>53</v>
      </c>
      <c r="D564" s="4497">
        <v>87.128712871287135</v>
      </c>
      <c r="E564" s="4497">
        <v>12.871287128712872</v>
      </c>
      <c r="F564" s="3120">
        <v>2.3255813953488373</v>
      </c>
      <c r="G564" s="3120">
        <v>4.6511627906976747</v>
      </c>
      <c r="H564" s="3120">
        <v>4.6511627906976747</v>
      </c>
      <c r="I564" s="3120">
        <v>88.372093023255815</v>
      </c>
    </row>
    <row r="565" spans="1:9">
      <c r="A565" s="5701"/>
      <c r="B565" s="5701"/>
      <c r="C565" s="4517" t="s">
        <v>1622</v>
      </c>
      <c r="D565" s="4497">
        <v>80.898876404494388</v>
      </c>
      <c r="E565" s="4497">
        <v>19.101123595505619</v>
      </c>
      <c r="F565" s="3120">
        <v>1.3888888888888888</v>
      </c>
      <c r="G565" s="3120">
        <v>22.222222222222221</v>
      </c>
      <c r="H565" s="3120">
        <v>25</v>
      </c>
      <c r="I565" s="3120">
        <v>51.388888888888886</v>
      </c>
    </row>
    <row r="566" spans="1:9">
      <c r="A566" s="5701"/>
      <c r="B566" s="5701"/>
      <c r="C566" s="4517" t="s">
        <v>1623</v>
      </c>
      <c r="D566" s="4497">
        <v>73.831775700934585</v>
      </c>
      <c r="E566" s="4497">
        <v>26.168224299065422</v>
      </c>
      <c r="F566" s="3120">
        <v>12.5</v>
      </c>
      <c r="G566" s="3120">
        <v>12.5</v>
      </c>
      <c r="H566" s="3120">
        <v>20</v>
      </c>
      <c r="I566" s="3120">
        <v>55</v>
      </c>
    </row>
    <row r="567" spans="1:9">
      <c r="A567" s="5701"/>
      <c r="B567" s="5701"/>
      <c r="C567" s="4517" t="s">
        <v>56</v>
      </c>
      <c r="D567" s="4497">
        <v>61.53846153846154</v>
      </c>
      <c r="E567" s="4497">
        <v>38.46153846153846</v>
      </c>
      <c r="F567" s="3120">
        <v>6.25</v>
      </c>
      <c r="G567" s="3120">
        <v>12.5</v>
      </c>
      <c r="H567" s="3120">
        <v>31.25</v>
      </c>
      <c r="I567" s="3120">
        <v>50</v>
      </c>
    </row>
    <row r="568" spans="1:9">
      <c r="A568" s="5701"/>
      <c r="B568" s="5701"/>
      <c r="C568" s="4517" t="s">
        <v>259</v>
      </c>
      <c r="D568" s="4497">
        <v>77.777777777777771</v>
      </c>
      <c r="E568" s="4497">
        <v>22.222222222222221</v>
      </c>
      <c r="F568" s="3120">
        <v>7.5</v>
      </c>
      <c r="G568" s="3120">
        <v>0</v>
      </c>
      <c r="H568" s="3120">
        <v>20</v>
      </c>
      <c r="I568" s="3120">
        <v>72.5</v>
      </c>
    </row>
    <row r="569" spans="1:9">
      <c r="A569" s="5701"/>
      <c r="B569" s="5702"/>
      <c r="C569" s="4518" t="s">
        <v>1624</v>
      </c>
      <c r="D569" s="4499">
        <v>93.103448275862064</v>
      </c>
      <c r="E569" s="4499">
        <v>6.8965517241379306</v>
      </c>
      <c r="F569" s="3127">
        <v>5.5555555555555554</v>
      </c>
      <c r="G569" s="3127">
        <v>9.2592592592592595</v>
      </c>
      <c r="H569" s="3127">
        <v>18.518518518518519</v>
      </c>
      <c r="I569" s="3127">
        <v>66.666666666666671</v>
      </c>
    </row>
    <row r="570" spans="1:9">
      <c r="A570" s="5701"/>
      <c r="B570" s="5700" t="s">
        <v>16</v>
      </c>
      <c r="C570" s="4519" t="s">
        <v>17</v>
      </c>
      <c r="D570" s="4501">
        <v>91.011235955056179</v>
      </c>
      <c r="E570" s="4501">
        <v>8.9887640449438209</v>
      </c>
      <c r="F570" s="3144">
        <v>4.9382716049382713</v>
      </c>
      <c r="G570" s="3144">
        <v>8.6419753086419746</v>
      </c>
      <c r="H570" s="3144">
        <v>43.209876543209873</v>
      </c>
      <c r="I570" s="3144">
        <v>43.209876543209873</v>
      </c>
    </row>
    <row r="571" spans="1:9">
      <c r="A571" s="5701"/>
      <c r="B571" s="5701"/>
      <c r="C571" s="4517" t="s">
        <v>1620</v>
      </c>
      <c r="D571" s="4497">
        <v>76.229508196721312</v>
      </c>
      <c r="E571" s="4497">
        <v>23.770491803278688</v>
      </c>
      <c r="F571" s="3120">
        <v>8.695652173913043</v>
      </c>
      <c r="G571" s="3120">
        <v>11.956521739130435</v>
      </c>
      <c r="H571" s="3120">
        <v>32.608695652173914</v>
      </c>
      <c r="I571" s="3120">
        <v>46.739130434782609</v>
      </c>
    </row>
    <row r="572" spans="1:9">
      <c r="A572" s="5701"/>
      <c r="B572" s="5701"/>
      <c r="C572" s="4517" t="s">
        <v>19</v>
      </c>
      <c r="D572" s="4497">
        <v>85.483870967741936</v>
      </c>
      <c r="E572" s="4497">
        <v>14.516129032258064</v>
      </c>
      <c r="F572" s="3120">
        <v>7.6923076923076925</v>
      </c>
      <c r="G572" s="3120">
        <v>28.846153846153847</v>
      </c>
      <c r="H572" s="3120">
        <v>40.384615384615387</v>
      </c>
      <c r="I572" s="3120">
        <v>23.076923076923077</v>
      </c>
    </row>
    <row r="573" spans="1:9">
      <c r="A573" s="5701"/>
      <c r="B573" s="5701"/>
      <c r="C573" s="4517" t="s">
        <v>50</v>
      </c>
      <c r="D573" s="4497">
        <v>78.645833333333329</v>
      </c>
      <c r="E573" s="4497">
        <v>21.354166666666668</v>
      </c>
      <c r="F573" s="3120">
        <v>9.9337748344370862</v>
      </c>
      <c r="G573" s="3120">
        <v>11.920529801324504</v>
      </c>
      <c r="H573" s="3120">
        <v>42.384105960264904</v>
      </c>
      <c r="I573" s="3120">
        <v>35.76158940397351</v>
      </c>
    </row>
    <row r="574" spans="1:9">
      <c r="A574" s="5701"/>
      <c r="B574" s="5701"/>
      <c r="C574" s="4517" t="s">
        <v>20</v>
      </c>
      <c r="D574" s="4497">
        <v>74.358974358974365</v>
      </c>
      <c r="E574" s="4497">
        <v>25.641025641025642</v>
      </c>
      <c r="F574" s="3120">
        <v>22.988505747126435</v>
      </c>
      <c r="G574" s="3120">
        <v>13.793103448275861</v>
      </c>
      <c r="H574" s="3120">
        <v>27.586206896551722</v>
      </c>
      <c r="I574" s="3120">
        <v>35.632183908045974</v>
      </c>
    </row>
    <row r="575" spans="1:9">
      <c r="A575" s="5702"/>
      <c r="B575" s="5702"/>
      <c r="C575" s="4518" t="s">
        <v>1627</v>
      </c>
      <c r="D575" s="4499">
        <v>72.727272727272734</v>
      </c>
      <c r="E575" s="4499">
        <v>27.272727272727273</v>
      </c>
      <c r="F575" s="3127">
        <v>6.25</v>
      </c>
      <c r="G575" s="3127">
        <v>25</v>
      </c>
      <c r="H575" s="3127">
        <v>31.25</v>
      </c>
      <c r="I575" s="3127">
        <v>37.5</v>
      </c>
    </row>
    <row r="576" spans="1:9">
      <c r="A576" s="5724" t="s">
        <v>15</v>
      </c>
      <c r="B576" s="5725"/>
      <c r="C576" s="5726"/>
      <c r="D576" s="4520">
        <v>78.607860786078604</v>
      </c>
      <c r="E576" s="4521">
        <v>21.392139213921393</v>
      </c>
      <c r="F576" s="4522">
        <v>7.3946360153256707</v>
      </c>
      <c r="G576" s="4522">
        <v>11.226053639846743</v>
      </c>
      <c r="H576" s="4522">
        <v>26.973180076628353</v>
      </c>
      <c r="I576" s="4522">
        <v>54.406130268199234</v>
      </c>
    </row>
    <row r="577" spans="1:8">
      <c r="A577" s="339"/>
      <c r="B577" s="194"/>
      <c r="C577" s="1171"/>
      <c r="D577" s="1172"/>
      <c r="E577" s="1172"/>
      <c r="F577" s="1173"/>
      <c r="G577" s="1173"/>
      <c r="H577" s="1173"/>
    </row>
    <row r="578" spans="1:8">
      <c r="A578" s="238"/>
      <c r="B578" s="238"/>
      <c r="C578" s="238"/>
      <c r="D578" s="238"/>
      <c r="E578" s="238"/>
    </row>
    <row r="579" spans="1:8" ht="17.399999999999999">
      <c r="A579" s="238"/>
      <c r="B579" s="270">
        <v>2014</v>
      </c>
      <c r="C579" s="238"/>
      <c r="D579" s="238"/>
      <c r="E579" s="238"/>
    </row>
    <row r="580" spans="1:8">
      <c r="A580" s="5727" t="s">
        <v>1035</v>
      </c>
      <c r="B580" s="5728"/>
      <c r="C580" s="5729"/>
      <c r="D580" s="238"/>
      <c r="E580" s="238"/>
    </row>
    <row r="581" spans="1:8">
      <c r="A581" s="5730" t="s">
        <v>1036</v>
      </c>
      <c r="B581" s="5730" t="s">
        <v>1037</v>
      </c>
      <c r="C581" s="5730"/>
      <c r="D581" s="238"/>
      <c r="E581" s="238"/>
    </row>
    <row r="582" spans="1:8">
      <c r="A582" s="5730"/>
      <c r="B582" s="239">
        <v>2005</v>
      </c>
      <c r="C582" s="239">
        <v>2008</v>
      </c>
      <c r="D582" s="238"/>
      <c r="E582" s="238"/>
    </row>
    <row r="583" spans="1:8">
      <c r="A583" s="240" t="s">
        <v>1038</v>
      </c>
      <c r="B583" s="241">
        <v>0.84199999999999997</v>
      </c>
      <c r="C583" s="242">
        <v>0.73699999999999999</v>
      </c>
      <c r="D583" s="238"/>
      <c r="E583" s="238"/>
    </row>
    <row r="584" spans="1:8">
      <c r="A584" s="277" t="s">
        <v>1039</v>
      </c>
      <c r="B584" s="307">
        <v>0.158</v>
      </c>
      <c r="C584" s="253">
        <v>0.26300000000000001</v>
      </c>
      <c r="D584" s="238"/>
      <c r="E584" s="238"/>
    </row>
    <row r="585" spans="1:8" ht="15.6">
      <c r="A585" s="245" t="s">
        <v>1040</v>
      </c>
      <c r="B585" s="246"/>
      <c r="C585" s="246"/>
      <c r="D585" s="238"/>
      <c r="E585" s="238"/>
    </row>
    <row r="586" spans="1:8" s="2899" customFormat="1" ht="15.6">
      <c r="A586" s="245"/>
      <c r="B586" s="2900"/>
      <c r="C586" s="2900"/>
      <c r="D586" s="2898"/>
      <c r="E586" s="2898"/>
    </row>
    <row r="587" spans="1:8">
      <c r="A587" s="238"/>
      <c r="B587" s="238"/>
      <c r="C587" s="238"/>
      <c r="D587" s="238"/>
      <c r="E587" s="238"/>
    </row>
    <row r="588" spans="1:8" ht="17.399999999999999">
      <c r="A588" s="238"/>
      <c r="B588" s="270">
        <v>2013</v>
      </c>
      <c r="C588" s="238"/>
      <c r="D588" s="238"/>
      <c r="E588" s="238"/>
    </row>
    <row r="589" spans="1:8" ht="15.6">
      <c r="A589" s="247" t="s">
        <v>1041</v>
      </c>
      <c r="B589" s="248"/>
      <c r="C589" s="248"/>
      <c r="D589" s="246"/>
      <c r="E589" s="238"/>
    </row>
    <row r="590" spans="1:8" ht="15.6">
      <c r="A590" s="247" t="s">
        <v>1042</v>
      </c>
      <c r="B590" s="248"/>
      <c r="C590" s="248"/>
      <c r="D590" s="246"/>
      <c r="E590" s="238"/>
    </row>
    <row r="591" spans="1:8" ht="15.6">
      <c r="A591" s="249" t="s">
        <v>1043</v>
      </c>
      <c r="B591" s="248"/>
      <c r="C591" s="248"/>
      <c r="D591" s="246"/>
      <c r="E591" s="238"/>
    </row>
    <row r="592" spans="1:8" ht="15.6">
      <c r="A592" s="246"/>
      <c r="B592" s="246"/>
      <c r="C592" s="246"/>
      <c r="D592" s="246"/>
      <c r="E592" s="238"/>
    </row>
    <row r="593" spans="1:5" ht="15.6">
      <c r="A593" s="5727" t="s">
        <v>1035</v>
      </c>
      <c r="B593" s="5728"/>
      <c r="C593" s="5729"/>
      <c r="D593" s="246"/>
      <c r="E593" s="238"/>
    </row>
    <row r="594" spans="1:5" ht="15.6">
      <c r="A594" s="5730" t="s">
        <v>1036</v>
      </c>
      <c r="B594" s="5730" t="s">
        <v>1037</v>
      </c>
      <c r="C594" s="5730"/>
      <c r="D594" s="246"/>
      <c r="E594" s="238"/>
    </row>
    <row r="595" spans="1:5" ht="15.6">
      <c r="A595" s="5730"/>
      <c r="B595" s="239">
        <v>2005</v>
      </c>
      <c r="C595" s="239">
        <v>2008</v>
      </c>
      <c r="D595" s="246"/>
      <c r="E595" s="238"/>
    </row>
    <row r="596" spans="1:5" ht="20.25" customHeight="1">
      <c r="A596" s="250" t="s">
        <v>1038</v>
      </c>
      <c r="B596" s="251">
        <v>0.84199999999999997</v>
      </c>
      <c r="C596" s="252">
        <v>0.73699999999999999</v>
      </c>
      <c r="D596" s="246"/>
      <c r="E596" s="238"/>
    </row>
    <row r="597" spans="1:5" ht="20.25" customHeight="1">
      <c r="A597" s="240" t="s">
        <v>1039</v>
      </c>
      <c r="B597" s="253">
        <v>0.158</v>
      </c>
      <c r="C597" s="251">
        <v>0.26300000000000001</v>
      </c>
      <c r="D597" s="246"/>
      <c r="E597" s="238"/>
    </row>
    <row r="598" spans="1:5" ht="15.6">
      <c r="A598" s="245" t="s">
        <v>1044</v>
      </c>
      <c r="B598" s="246"/>
      <c r="C598" s="246"/>
      <c r="D598" s="246"/>
      <c r="E598" s="238"/>
    </row>
    <row r="599" spans="1:5" ht="15.6">
      <c r="A599" s="245"/>
      <c r="B599" s="246"/>
      <c r="C599" s="246"/>
      <c r="D599" s="246"/>
      <c r="E599" s="238"/>
    </row>
    <row r="600" spans="1:5">
      <c r="A600" s="238"/>
      <c r="B600" s="238"/>
      <c r="C600" s="238"/>
      <c r="D600" s="238"/>
      <c r="E600" s="238"/>
    </row>
    <row r="601" spans="1:5" ht="17.399999999999999">
      <c r="A601" s="238"/>
      <c r="B601" s="270">
        <v>2012</v>
      </c>
      <c r="C601" s="238"/>
      <c r="D601" s="238"/>
      <c r="E601" s="238"/>
    </row>
    <row r="602" spans="1:5">
      <c r="A602" s="247" t="s">
        <v>1041</v>
      </c>
      <c r="B602" s="238"/>
      <c r="C602" s="238"/>
      <c r="D602" s="238"/>
      <c r="E602" s="238"/>
    </row>
    <row r="603" spans="1:5">
      <c r="A603" s="247" t="s">
        <v>1042</v>
      </c>
      <c r="B603" s="238"/>
      <c r="C603" s="238"/>
      <c r="D603" s="238"/>
      <c r="E603" s="238"/>
    </row>
    <row r="604" spans="1:5">
      <c r="A604" s="249" t="s">
        <v>1045</v>
      </c>
      <c r="B604" s="238"/>
      <c r="C604" s="238"/>
      <c r="D604" s="238"/>
      <c r="E604" s="238"/>
    </row>
    <row r="605" spans="1:5" ht="15.6">
      <c r="A605" s="246"/>
      <c r="B605" s="246"/>
      <c r="C605" s="254"/>
      <c r="D605" s="52"/>
      <c r="E605" s="238"/>
    </row>
    <row r="606" spans="1:5">
      <c r="A606" s="5727" t="s">
        <v>1035</v>
      </c>
      <c r="B606" s="5728"/>
      <c r="C606" s="5729"/>
      <c r="D606" s="52"/>
      <c r="E606" s="238"/>
    </row>
    <row r="607" spans="1:5" ht="15.75" customHeight="1">
      <c r="A607" s="5730" t="s">
        <v>1036</v>
      </c>
      <c r="B607" s="5730" t="s">
        <v>1037</v>
      </c>
      <c r="C607" s="5730"/>
      <c r="D607" s="52"/>
      <c r="E607" s="238"/>
    </row>
    <row r="608" spans="1:5">
      <c r="A608" s="5730"/>
      <c r="B608" s="239">
        <v>2005</v>
      </c>
      <c r="C608" s="239">
        <v>2008</v>
      </c>
      <c r="D608" s="52"/>
      <c r="E608" s="238"/>
    </row>
    <row r="609" spans="1:5">
      <c r="A609" s="5744" t="s">
        <v>1038</v>
      </c>
      <c r="B609" s="255">
        <v>1314</v>
      </c>
      <c r="C609" s="256">
        <v>1301</v>
      </c>
      <c r="D609" s="52"/>
      <c r="E609" s="238"/>
    </row>
    <row r="610" spans="1:5">
      <c r="A610" s="5744"/>
      <c r="B610" s="257">
        <v>0.84199999999999997</v>
      </c>
      <c r="C610" s="258">
        <v>0.73699999999999999</v>
      </c>
      <c r="D610" s="52"/>
      <c r="E610" s="238"/>
    </row>
    <row r="611" spans="1:5">
      <c r="A611" s="5744" t="s">
        <v>1039</v>
      </c>
      <c r="B611" s="255">
        <v>246</v>
      </c>
      <c r="C611" s="256">
        <v>464</v>
      </c>
      <c r="D611" s="52"/>
      <c r="E611" s="238"/>
    </row>
    <row r="612" spans="1:5">
      <c r="A612" s="5744"/>
      <c r="B612" s="257">
        <v>0.158</v>
      </c>
      <c r="C612" s="259">
        <v>0.26300000000000001</v>
      </c>
      <c r="D612" s="52"/>
      <c r="E612" s="238"/>
    </row>
    <row r="613" spans="1:5" ht="15.6">
      <c r="A613" s="245" t="s">
        <v>1040</v>
      </c>
      <c r="B613" s="246"/>
      <c r="C613" s="254"/>
      <c r="D613" s="52"/>
      <c r="E613" s="238"/>
    </row>
    <row r="614" spans="1:5">
      <c r="A614" s="238"/>
      <c r="B614" s="238"/>
      <c r="C614" s="238"/>
      <c r="D614" s="238"/>
      <c r="E614" s="238"/>
    </row>
    <row r="615" spans="1:5" ht="15.6">
      <c r="A615" s="246"/>
      <c r="B615" s="246"/>
      <c r="C615" s="246"/>
      <c r="D615" s="246"/>
      <c r="E615" s="246"/>
    </row>
    <row r="616" spans="1:5" ht="17.399999999999999">
      <c r="A616" s="246"/>
      <c r="B616" s="270">
        <v>2011</v>
      </c>
      <c r="C616" s="246"/>
      <c r="D616" s="246"/>
      <c r="E616" s="246"/>
    </row>
    <row r="617" spans="1:5" ht="15.6">
      <c r="A617" s="247" t="s">
        <v>1041</v>
      </c>
      <c r="B617" s="248"/>
      <c r="C617" s="248"/>
      <c r="D617" s="246"/>
      <c r="E617" s="246"/>
    </row>
    <row r="618" spans="1:5" ht="15.6">
      <c r="A618" s="247" t="s">
        <v>1042</v>
      </c>
      <c r="B618" s="248"/>
      <c r="C618" s="248"/>
      <c r="D618" s="246"/>
      <c r="E618" s="246"/>
    </row>
    <row r="619" spans="1:5" ht="15.6">
      <c r="A619" s="249" t="s">
        <v>1046</v>
      </c>
      <c r="B619" s="248"/>
      <c r="C619" s="248"/>
      <c r="D619" s="246"/>
      <c r="E619" s="246"/>
    </row>
    <row r="620" spans="1:5" ht="15.6">
      <c r="A620" s="246"/>
      <c r="B620" s="246"/>
      <c r="C620" s="246"/>
      <c r="D620" s="246"/>
      <c r="E620" s="246"/>
    </row>
    <row r="621" spans="1:5" ht="15.6">
      <c r="A621" s="5727" t="s">
        <v>1035</v>
      </c>
      <c r="B621" s="5728"/>
      <c r="C621" s="5729"/>
      <c r="D621" s="246"/>
      <c r="E621" s="246"/>
    </row>
    <row r="622" spans="1:5" ht="15.6">
      <c r="A622" s="5730" t="s">
        <v>1036</v>
      </c>
      <c r="B622" s="5730" t="s">
        <v>1037</v>
      </c>
      <c r="C622" s="5730"/>
      <c r="D622" s="246"/>
      <c r="E622" s="246"/>
    </row>
    <row r="623" spans="1:5" ht="15.6">
      <c r="A623" s="5730"/>
      <c r="B623" s="239">
        <v>2005</v>
      </c>
      <c r="C623" s="239">
        <v>2008</v>
      </c>
      <c r="D623" s="246"/>
      <c r="E623" s="246"/>
    </row>
    <row r="624" spans="1:5" ht="15.6">
      <c r="A624" s="5744" t="s">
        <v>1038</v>
      </c>
      <c r="B624" s="255">
        <v>714</v>
      </c>
      <c r="C624" s="256">
        <v>879</v>
      </c>
      <c r="D624" s="246"/>
      <c r="E624" s="246"/>
    </row>
    <row r="625" spans="1:5" ht="15.6">
      <c r="A625" s="5744"/>
      <c r="B625" s="243">
        <v>0.84</v>
      </c>
      <c r="C625" s="260">
        <v>0.75800000000000001</v>
      </c>
      <c r="D625" s="68"/>
      <c r="E625" s="246"/>
    </row>
    <row r="626" spans="1:5" ht="15.6">
      <c r="A626" s="5744" t="s">
        <v>1039</v>
      </c>
      <c r="B626" s="255">
        <v>136</v>
      </c>
      <c r="C626" s="256">
        <v>281</v>
      </c>
      <c r="D626" s="246"/>
      <c r="E626" s="246"/>
    </row>
    <row r="627" spans="1:5" ht="15.6">
      <c r="A627" s="5744"/>
      <c r="B627" s="243">
        <v>0.16</v>
      </c>
      <c r="C627" s="244">
        <v>0.24199999999999999</v>
      </c>
      <c r="D627" s="246"/>
      <c r="E627" s="246"/>
    </row>
    <row r="628" spans="1:5" ht="15.6">
      <c r="A628" s="245" t="s">
        <v>1040</v>
      </c>
      <c r="B628" s="246"/>
      <c r="C628" s="246"/>
      <c r="D628" s="246"/>
      <c r="E628" s="246"/>
    </row>
    <row r="629" spans="1:5" ht="15.6">
      <c r="A629" s="245"/>
      <c r="B629" s="246"/>
      <c r="C629" s="246"/>
      <c r="D629" s="246"/>
      <c r="E629" s="246"/>
    </row>
    <row r="630" spans="1:5" ht="17.399999999999999">
      <c r="B630"/>
      <c r="C630" s="261"/>
      <c r="D630" s="246"/>
      <c r="E630" s="246"/>
    </row>
    <row r="631" spans="1:5" ht="17.399999999999999">
      <c r="B631" s="270">
        <v>2010</v>
      </c>
    </row>
    <row r="632" spans="1:5" ht="39.6">
      <c r="A632" s="262" t="s">
        <v>1036</v>
      </c>
      <c r="B632" s="263" t="s">
        <v>267</v>
      </c>
      <c r="C632" s="263" t="s">
        <v>268</v>
      </c>
      <c r="D632" s="23"/>
      <c r="E632" s="23"/>
    </row>
    <row r="633" spans="1:5" ht="28.8">
      <c r="A633" s="264" t="s">
        <v>1047</v>
      </c>
      <c r="B633" s="265">
        <v>0.79800000000000004</v>
      </c>
      <c r="C633" s="265">
        <v>0.20200000000000001</v>
      </c>
      <c r="D633" s="23"/>
      <c r="E633" s="23"/>
    </row>
    <row r="634" spans="1:5" ht="28.8">
      <c r="A634" s="264" t="s">
        <v>1048</v>
      </c>
      <c r="B634" s="265">
        <v>0.74660000000000004</v>
      </c>
      <c r="C634" s="265">
        <v>0.25340000000000001</v>
      </c>
      <c r="D634" s="23"/>
      <c r="E634" s="23"/>
    </row>
    <row r="635" spans="1:5" ht="28.8">
      <c r="A635" s="264" t="s">
        <v>1049</v>
      </c>
      <c r="B635" s="265">
        <v>0.84609999999999996</v>
      </c>
      <c r="C635" s="265">
        <v>0.15390000000000001</v>
      </c>
      <c r="D635" s="23"/>
      <c r="E635" s="23"/>
    </row>
    <row r="636" spans="1:5" ht="28.8">
      <c r="A636" s="264" t="s">
        <v>1050</v>
      </c>
      <c r="B636" s="266">
        <v>0.78259999999999996</v>
      </c>
      <c r="C636" s="265">
        <v>0.21740000000000001</v>
      </c>
      <c r="D636" s="68"/>
      <c r="E636" s="23"/>
    </row>
    <row r="637" spans="1:5">
      <c r="A637" s="267" t="s">
        <v>1051</v>
      </c>
    </row>
    <row r="639" spans="1:5">
      <c r="A639" s="268" t="s">
        <v>1052</v>
      </c>
      <c r="B639" s="1"/>
      <c r="C639" s="1"/>
      <c r="D639" s="1"/>
      <c r="E639" s="1"/>
    </row>
    <row r="640" spans="1:5" ht="27" customHeight="1">
      <c r="A640" s="5743" t="s">
        <v>1053</v>
      </c>
      <c r="B640" s="5743"/>
      <c r="C640" s="5743"/>
      <c r="D640" s="5743"/>
      <c r="E640" s="5743"/>
    </row>
    <row r="641" spans="1:5" ht="28.2" customHeight="1">
      <c r="A641" s="5748" t="s">
        <v>1054</v>
      </c>
      <c r="B641" s="5748"/>
      <c r="C641" s="5748"/>
      <c r="D641" s="5748"/>
      <c r="E641" s="5748"/>
    </row>
    <row r="642" spans="1:5" ht="21.6" customHeight="1">
      <c r="A642" s="5748" t="s">
        <v>1055</v>
      </c>
      <c r="B642" s="5748"/>
      <c r="C642" s="5748"/>
      <c r="D642" s="5748"/>
      <c r="E642" s="5748"/>
    </row>
    <row r="643" spans="1:5">
      <c r="A643" s="268" t="s">
        <v>1056</v>
      </c>
      <c r="B643" s="1"/>
      <c r="C643" s="1"/>
      <c r="D643" s="1"/>
      <c r="E643" s="1"/>
    </row>
    <row r="644" spans="1:5">
      <c r="A644" s="268" t="s">
        <v>1057</v>
      </c>
      <c r="B644" s="1"/>
      <c r="C644" s="1"/>
      <c r="D644" s="1"/>
      <c r="E644" s="1"/>
    </row>
    <row r="645" spans="1:5" ht="25.2" customHeight="1">
      <c r="A645" s="5743" t="s">
        <v>1058</v>
      </c>
      <c r="B645" s="5743"/>
      <c r="C645" s="5743"/>
      <c r="D645" s="5743"/>
      <c r="E645" s="5743"/>
    </row>
  </sheetData>
  <sheetProtection algorithmName="SHA-512" hashValue="Z2URzCiGovVUNuQBfZcCc+GWIsrV1UlzKvJ5rK0RVYVzHqjFBj3XFMeMDmqOLlgNBEJmtfIPtravGmHwuEc5VQ==" saltValue="GrwxmFBPZu8cAqSrGN4wMg==" spinCount="100000" sheet="1" objects="1" scenarios="1"/>
  <sortState ref="A125:I185">
    <sortCondition ref="A125:A185"/>
    <sortCondition ref="B125:B185"/>
  </sortState>
  <mergeCells count="155">
    <mergeCell ref="A105:A108"/>
    <mergeCell ref="B106:B107"/>
    <mergeCell ref="A109:C109"/>
    <mergeCell ref="A50:A60"/>
    <mergeCell ref="B50:B53"/>
    <mergeCell ref="B54:B56"/>
    <mergeCell ref="B57:B60"/>
    <mergeCell ref="A61:A86"/>
    <mergeCell ref="B61:B69"/>
    <mergeCell ref="B70:B80"/>
    <mergeCell ref="B81:B86"/>
    <mergeCell ref="A87:A104"/>
    <mergeCell ref="B87:B92"/>
    <mergeCell ref="B93:B100"/>
    <mergeCell ref="B101:B104"/>
    <mergeCell ref="A5:L9"/>
    <mergeCell ref="A11:B11"/>
    <mergeCell ref="A16:K17"/>
    <mergeCell ref="F22:G22"/>
    <mergeCell ref="H22:K22"/>
    <mergeCell ref="H31:I31"/>
    <mergeCell ref="J31:M31"/>
    <mergeCell ref="A33:A49"/>
    <mergeCell ref="B33:B42"/>
    <mergeCell ref="B43:B46"/>
    <mergeCell ref="B47:B49"/>
    <mergeCell ref="A209:A211"/>
    <mergeCell ref="A212:C212"/>
    <mergeCell ref="A154:A164"/>
    <mergeCell ref="B154:B157"/>
    <mergeCell ref="B158:B160"/>
    <mergeCell ref="B161:B164"/>
    <mergeCell ref="A165:A190"/>
    <mergeCell ref="B165:B173"/>
    <mergeCell ref="B174:B184"/>
    <mergeCell ref="B185:B190"/>
    <mergeCell ref="A191:A208"/>
    <mergeCell ref="B191:B196"/>
    <mergeCell ref="B197:B204"/>
    <mergeCell ref="B205:B208"/>
    <mergeCell ref="A113:K115"/>
    <mergeCell ref="A117:B117"/>
    <mergeCell ref="A122:I123"/>
    <mergeCell ref="F126:G126"/>
    <mergeCell ref="H126:K126"/>
    <mergeCell ref="H135:I135"/>
    <mergeCell ref="J135:M135"/>
    <mergeCell ref="A137:A153"/>
    <mergeCell ref="B137:B146"/>
    <mergeCell ref="B147:B150"/>
    <mergeCell ref="B151:B153"/>
    <mergeCell ref="A645:E645"/>
    <mergeCell ref="A611:A612"/>
    <mergeCell ref="A621:C621"/>
    <mergeCell ref="A622:A623"/>
    <mergeCell ref="B622:C622"/>
    <mergeCell ref="A624:A625"/>
    <mergeCell ref="A626:A627"/>
    <mergeCell ref="F513:I513"/>
    <mergeCell ref="A640:E640"/>
    <mergeCell ref="A641:E641"/>
    <mergeCell ref="A642:E642"/>
    <mergeCell ref="A609:A610"/>
    <mergeCell ref="A594:A595"/>
    <mergeCell ref="B594:C594"/>
    <mergeCell ref="A606:C606"/>
    <mergeCell ref="A607:A608"/>
    <mergeCell ref="B607:C607"/>
    <mergeCell ref="A515:A531"/>
    <mergeCell ref="B532:B540"/>
    <mergeCell ref="A593:C593"/>
    <mergeCell ref="B541:B546"/>
    <mergeCell ref="B547:B557"/>
    <mergeCell ref="A558:A575"/>
    <mergeCell ref="B558:B561"/>
    <mergeCell ref="A576:C576"/>
    <mergeCell ref="A580:C580"/>
    <mergeCell ref="A581:A582"/>
    <mergeCell ref="B581:C581"/>
    <mergeCell ref="H317:K317"/>
    <mergeCell ref="H326:I326"/>
    <mergeCell ref="A328:A344"/>
    <mergeCell ref="B328:B337"/>
    <mergeCell ref="B338:B341"/>
    <mergeCell ref="B342:B344"/>
    <mergeCell ref="A430:A446"/>
    <mergeCell ref="B430:B439"/>
    <mergeCell ref="B440:B443"/>
    <mergeCell ref="B444:B446"/>
    <mergeCell ref="B389:B391"/>
    <mergeCell ref="B392:B394"/>
    <mergeCell ref="B395:B397"/>
    <mergeCell ref="A407:G407"/>
    <mergeCell ref="A409:G410"/>
    <mergeCell ref="A412:E412"/>
    <mergeCell ref="A416:E416"/>
    <mergeCell ref="A424:B424"/>
    <mergeCell ref="E425:J426"/>
    <mergeCell ref="H428:I428"/>
    <mergeCell ref="A216:J217"/>
    <mergeCell ref="F225:G225"/>
    <mergeCell ref="H225:K225"/>
    <mergeCell ref="H234:I234"/>
    <mergeCell ref="J234:M234"/>
    <mergeCell ref="A398:A400"/>
    <mergeCell ref="A345:A370"/>
    <mergeCell ref="B345:B353"/>
    <mergeCell ref="B354:B364"/>
    <mergeCell ref="B365:B370"/>
    <mergeCell ref="A371:A388"/>
    <mergeCell ref="B371:B376"/>
    <mergeCell ref="B377:B384"/>
    <mergeCell ref="B385:B388"/>
    <mergeCell ref="A315:K315"/>
    <mergeCell ref="A389:A397"/>
    <mergeCell ref="F317:G317"/>
    <mergeCell ref="A264:A289"/>
    <mergeCell ref="B264:B272"/>
    <mergeCell ref="B273:B283"/>
    <mergeCell ref="B284:B289"/>
    <mergeCell ref="A290:A307"/>
    <mergeCell ref="B290:B295"/>
    <mergeCell ref="B296:B303"/>
    <mergeCell ref="B304:B307"/>
    <mergeCell ref="A236:A252"/>
    <mergeCell ref="B236:B245"/>
    <mergeCell ref="B246:B249"/>
    <mergeCell ref="B250:B252"/>
    <mergeCell ref="A253:A263"/>
    <mergeCell ref="B253:B256"/>
    <mergeCell ref="B257:B259"/>
    <mergeCell ref="B260:B263"/>
    <mergeCell ref="A408:G408"/>
    <mergeCell ref="A447:A472"/>
    <mergeCell ref="B447:B455"/>
    <mergeCell ref="B456:B466"/>
    <mergeCell ref="B467:B472"/>
    <mergeCell ref="A308:A310"/>
    <mergeCell ref="A311:C311"/>
    <mergeCell ref="B562:B569"/>
    <mergeCell ref="B570:B575"/>
    <mergeCell ref="A473:A490"/>
    <mergeCell ref="B473:B478"/>
    <mergeCell ref="B479:B486"/>
    <mergeCell ref="B487:B490"/>
    <mergeCell ref="A491:A499"/>
    <mergeCell ref="B491:B493"/>
    <mergeCell ref="B494:B496"/>
    <mergeCell ref="B497:B499"/>
    <mergeCell ref="B515:B517"/>
    <mergeCell ref="B518:B527"/>
    <mergeCell ref="B528:B531"/>
    <mergeCell ref="A532:A557"/>
    <mergeCell ref="A506:D506"/>
    <mergeCell ref="D513:E513"/>
  </mergeCells>
  <pageMargins left="0.70866141732283472" right="0.70866141732283472" top="0.74803149606299213" bottom="0.74803149606299213" header="0.31496062992125984" footer="0.31496062992125984"/>
  <pageSetup scale="7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sheetPr>
  <dimension ref="A1:AA933"/>
  <sheetViews>
    <sheetView showGridLines="0" zoomScaleNormal="100" workbookViewId="0"/>
  </sheetViews>
  <sheetFormatPr baseColWidth="10" defaultRowHeight="14.4"/>
  <cols>
    <col min="1" max="1" width="11.77734375" customWidth="1"/>
    <col min="2" max="2" width="13.44140625" style="129" customWidth="1"/>
    <col min="3" max="3" width="58.21875" customWidth="1"/>
    <col min="4" max="4" width="14.77734375" customWidth="1"/>
    <col min="5" max="5" width="14.77734375" style="4854" customWidth="1"/>
    <col min="6" max="6" width="17.21875" customWidth="1"/>
    <col min="7" max="7" width="15" customWidth="1"/>
    <col min="8" max="12" width="15.77734375" customWidth="1"/>
    <col min="258" max="258" width="35.21875" customWidth="1"/>
    <col min="259" max="259" width="29.44140625" customWidth="1"/>
    <col min="260" max="260" width="12.77734375" customWidth="1"/>
    <col min="263" max="263" width="16.44140625" bestFit="1" customWidth="1"/>
    <col min="514" max="514" width="35.21875" customWidth="1"/>
    <col min="515" max="515" width="29.44140625" customWidth="1"/>
    <col min="516" max="516" width="12.77734375" customWidth="1"/>
    <col min="519" max="519" width="16.44140625" bestFit="1" customWidth="1"/>
    <col min="770" max="770" width="35.21875" customWidth="1"/>
    <col min="771" max="771" width="29.44140625" customWidth="1"/>
    <col min="772" max="772" width="12.77734375" customWidth="1"/>
    <col min="775" max="775" width="16.44140625" bestFit="1" customWidth="1"/>
    <col min="1026" max="1026" width="35.21875" customWidth="1"/>
    <col min="1027" max="1027" width="29.44140625" customWidth="1"/>
    <col min="1028" max="1028" width="12.77734375" customWidth="1"/>
    <col min="1031" max="1031" width="16.44140625" bestFit="1" customWidth="1"/>
    <col min="1282" max="1282" width="35.21875" customWidth="1"/>
    <col min="1283" max="1283" width="29.44140625" customWidth="1"/>
    <col min="1284" max="1284" width="12.77734375" customWidth="1"/>
    <col min="1287" max="1287" width="16.44140625" bestFit="1" customWidth="1"/>
    <col min="1538" max="1538" width="35.21875" customWidth="1"/>
    <col min="1539" max="1539" width="29.44140625" customWidth="1"/>
    <col min="1540" max="1540" width="12.77734375" customWidth="1"/>
    <col min="1543" max="1543" width="16.44140625" bestFit="1" customWidth="1"/>
    <col min="1794" max="1794" width="35.21875" customWidth="1"/>
    <col min="1795" max="1795" width="29.44140625" customWidth="1"/>
    <col min="1796" max="1796" width="12.77734375" customWidth="1"/>
    <col min="1799" max="1799" width="16.44140625" bestFit="1" customWidth="1"/>
    <col min="2050" max="2050" width="35.21875" customWidth="1"/>
    <col min="2051" max="2051" width="29.44140625" customWidth="1"/>
    <col min="2052" max="2052" width="12.77734375" customWidth="1"/>
    <col min="2055" max="2055" width="16.44140625" bestFit="1" customWidth="1"/>
    <col min="2306" max="2306" width="35.21875" customWidth="1"/>
    <col min="2307" max="2307" width="29.44140625" customWidth="1"/>
    <col min="2308" max="2308" width="12.77734375" customWidth="1"/>
    <col min="2311" max="2311" width="16.44140625" bestFit="1" customWidth="1"/>
    <col min="2562" max="2562" width="35.21875" customWidth="1"/>
    <col min="2563" max="2563" width="29.44140625" customWidth="1"/>
    <col min="2564" max="2564" width="12.77734375" customWidth="1"/>
    <col min="2567" max="2567" width="16.44140625" bestFit="1" customWidth="1"/>
    <col min="2818" max="2818" width="35.21875" customWidth="1"/>
    <col min="2819" max="2819" width="29.44140625" customWidth="1"/>
    <col min="2820" max="2820" width="12.77734375" customWidth="1"/>
    <col min="2823" max="2823" width="16.44140625" bestFit="1" customWidth="1"/>
    <col min="3074" max="3074" width="35.21875" customWidth="1"/>
    <col min="3075" max="3075" width="29.44140625" customWidth="1"/>
    <col min="3076" max="3076" width="12.77734375" customWidth="1"/>
    <col min="3079" max="3079" width="16.44140625" bestFit="1" customWidth="1"/>
    <col min="3330" max="3330" width="35.21875" customWidth="1"/>
    <col min="3331" max="3331" width="29.44140625" customWidth="1"/>
    <col min="3332" max="3332" width="12.77734375" customWidth="1"/>
    <col min="3335" max="3335" width="16.44140625" bestFit="1" customWidth="1"/>
    <col min="3586" max="3586" width="35.21875" customWidth="1"/>
    <col min="3587" max="3587" width="29.44140625" customWidth="1"/>
    <col min="3588" max="3588" width="12.77734375" customWidth="1"/>
    <col min="3591" max="3591" width="16.44140625" bestFit="1" customWidth="1"/>
    <col min="3842" max="3842" width="35.21875" customWidth="1"/>
    <col min="3843" max="3843" width="29.44140625" customWidth="1"/>
    <col min="3844" max="3844" width="12.77734375" customWidth="1"/>
    <col min="3847" max="3847" width="16.44140625" bestFit="1" customWidth="1"/>
    <col min="4098" max="4098" width="35.21875" customWidth="1"/>
    <col min="4099" max="4099" width="29.44140625" customWidth="1"/>
    <col min="4100" max="4100" width="12.77734375" customWidth="1"/>
    <col min="4103" max="4103" width="16.44140625" bestFit="1" customWidth="1"/>
    <col min="4354" max="4354" width="35.21875" customWidth="1"/>
    <col min="4355" max="4355" width="29.44140625" customWidth="1"/>
    <col min="4356" max="4356" width="12.77734375" customWidth="1"/>
    <col min="4359" max="4359" width="16.44140625" bestFit="1" customWidth="1"/>
    <col min="4610" max="4610" width="35.21875" customWidth="1"/>
    <col min="4611" max="4611" width="29.44140625" customWidth="1"/>
    <col min="4612" max="4612" width="12.77734375" customWidth="1"/>
    <col min="4615" max="4615" width="16.44140625" bestFit="1" customWidth="1"/>
    <col min="4866" max="4866" width="35.21875" customWidth="1"/>
    <col min="4867" max="4867" width="29.44140625" customWidth="1"/>
    <col min="4868" max="4868" width="12.77734375" customWidth="1"/>
    <col min="4871" max="4871" width="16.44140625" bestFit="1" customWidth="1"/>
    <col min="5122" max="5122" width="35.21875" customWidth="1"/>
    <col min="5123" max="5123" width="29.44140625" customWidth="1"/>
    <col min="5124" max="5124" width="12.77734375" customWidth="1"/>
    <col min="5127" max="5127" width="16.44140625" bestFit="1" customWidth="1"/>
    <col min="5378" max="5378" width="35.21875" customWidth="1"/>
    <col min="5379" max="5379" width="29.44140625" customWidth="1"/>
    <col min="5380" max="5380" width="12.77734375" customWidth="1"/>
    <col min="5383" max="5383" width="16.44140625" bestFit="1" customWidth="1"/>
    <col min="5634" max="5634" width="35.21875" customWidth="1"/>
    <col min="5635" max="5635" width="29.44140625" customWidth="1"/>
    <col min="5636" max="5636" width="12.77734375" customWidth="1"/>
    <col min="5639" max="5639" width="16.44140625" bestFit="1" customWidth="1"/>
    <col min="5890" max="5890" width="35.21875" customWidth="1"/>
    <col min="5891" max="5891" width="29.44140625" customWidth="1"/>
    <col min="5892" max="5892" width="12.77734375" customWidth="1"/>
    <col min="5895" max="5895" width="16.44140625" bestFit="1" customWidth="1"/>
    <col min="6146" max="6146" width="35.21875" customWidth="1"/>
    <col min="6147" max="6147" width="29.44140625" customWidth="1"/>
    <col min="6148" max="6148" width="12.77734375" customWidth="1"/>
    <col min="6151" max="6151" width="16.44140625" bestFit="1" customWidth="1"/>
    <col min="6402" max="6402" width="35.21875" customWidth="1"/>
    <col min="6403" max="6403" width="29.44140625" customWidth="1"/>
    <col min="6404" max="6404" width="12.77734375" customWidth="1"/>
    <col min="6407" max="6407" width="16.44140625" bestFit="1" customWidth="1"/>
    <col min="6658" max="6658" width="35.21875" customWidth="1"/>
    <col min="6659" max="6659" width="29.44140625" customWidth="1"/>
    <col min="6660" max="6660" width="12.77734375" customWidth="1"/>
    <col min="6663" max="6663" width="16.44140625" bestFit="1" customWidth="1"/>
    <col min="6914" max="6914" width="35.21875" customWidth="1"/>
    <col min="6915" max="6915" width="29.44140625" customWidth="1"/>
    <col min="6916" max="6916" width="12.77734375" customWidth="1"/>
    <col min="6919" max="6919" width="16.44140625" bestFit="1" customWidth="1"/>
    <col min="7170" max="7170" width="35.21875" customWidth="1"/>
    <col min="7171" max="7171" width="29.44140625" customWidth="1"/>
    <col min="7172" max="7172" width="12.77734375" customWidth="1"/>
    <col min="7175" max="7175" width="16.44140625" bestFit="1" customWidth="1"/>
    <col min="7426" max="7426" width="35.21875" customWidth="1"/>
    <col min="7427" max="7427" width="29.44140625" customWidth="1"/>
    <col min="7428" max="7428" width="12.77734375" customWidth="1"/>
    <col min="7431" max="7431" width="16.44140625" bestFit="1" customWidth="1"/>
    <col min="7682" max="7682" width="35.21875" customWidth="1"/>
    <col min="7683" max="7683" width="29.44140625" customWidth="1"/>
    <col min="7684" max="7684" width="12.77734375" customWidth="1"/>
    <col min="7687" max="7687" width="16.44140625" bestFit="1" customWidth="1"/>
    <col min="7938" max="7938" width="35.21875" customWidth="1"/>
    <col min="7939" max="7939" width="29.44140625" customWidth="1"/>
    <col min="7940" max="7940" width="12.77734375" customWidth="1"/>
    <col min="7943" max="7943" width="16.44140625" bestFit="1" customWidth="1"/>
    <col min="8194" max="8194" width="35.21875" customWidth="1"/>
    <col min="8195" max="8195" width="29.44140625" customWidth="1"/>
    <col min="8196" max="8196" width="12.77734375" customWidth="1"/>
    <col min="8199" max="8199" width="16.44140625" bestFit="1" customWidth="1"/>
    <col min="8450" max="8450" width="35.21875" customWidth="1"/>
    <col min="8451" max="8451" width="29.44140625" customWidth="1"/>
    <col min="8452" max="8452" width="12.77734375" customWidth="1"/>
    <col min="8455" max="8455" width="16.44140625" bestFit="1" customWidth="1"/>
    <col min="8706" max="8706" width="35.21875" customWidth="1"/>
    <col min="8707" max="8707" width="29.44140625" customWidth="1"/>
    <col min="8708" max="8708" width="12.77734375" customWidth="1"/>
    <col min="8711" max="8711" width="16.44140625" bestFit="1" customWidth="1"/>
    <col min="8962" max="8962" width="35.21875" customWidth="1"/>
    <col min="8963" max="8963" width="29.44140625" customWidth="1"/>
    <col min="8964" max="8964" width="12.77734375" customWidth="1"/>
    <col min="8967" max="8967" width="16.44140625" bestFit="1" customWidth="1"/>
    <col min="9218" max="9218" width="35.21875" customWidth="1"/>
    <col min="9219" max="9219" width="29.44140625" customWidth="1"/>
    <col min="9220" max="9220" width="12.77734375" customWidth="1"/>
    <col min="9223" max="9223" width="16.44140625" bestFit="1" customWidth="1"/>
    <col min="9474" max="9474" width="35.21875" customWidth="1"/>
    <col min="9475" max="9475" width="29.44140625" customWidth="1"/>
    <col min="9476" max="9476" width="12.77734375" customWidth="1"/>
    <col min="9479" max="9479" width="16.44140625" bestFit="1" customWidth="1"/>
    <col min="9730" max="9730" width="35.21875" customWidth="1"/>
    <col min="9731" max="9731" width="29.44140625" customWidth="1"/>
    <col min="9732" max="9732" width="12.77734375" customWidth="1"/>
    <col min="9735" max="9735" width="16.44140625" bestFit="1" customWidth="1"/>
    <col min="9986" max="9986" width="35.21875" customWidth="1"/>
    <col min="9987" max="9987" width="29.44140625" customWidth="1"/>
    <col min="9988" max="9988" width="12.77734375" customWidth="1"/>
    <col min="9991" max="9991" width="16.44140625" bestFit="1" customWidth="1"/>
    <col min="10242" max="10242" width="35.21875" customWidth="1"/>
    <col min="10243" max="10243" width="29.44140625" customWidth="1"/>
    <col min="10244" max="10244" width="12.77734375" customWidth="1"/>
    <col min="10247" max="10247" width="16.44140625" bestFit="1" customWidth="1"/>
    <col min="10498" max="10498" width="35.21875" customWidth="1"/>
    <col min="10499" max="10499" width="29.44140625" customWidth="1"/>
    <col min="10500" max="10500" width="12.77734375" customWidth="1"/>
    <col min="10503" max="10503" width="16.44140625" bestFit="1" customWidth="1"/>
    <col min="10754" max="10754" width="35.21875" customWidth="1"/>
    <col min="10755" max="10755" width="29.44140625" customWidth="1"/>
    <col min="10756" max="10756" width="12.77734375" customWidth="1"/>
    <col min="10759" max="10759" width="16.44140625" bestFit="1" customWidth="1"/>
    <col min="11010" max="11010" width="35.21875" customWidth="1"/>
    <col min="11011" max="11011" width="29.44140625" customWidth="1"/>
    <col min="11012" max="11012" width="12.77734375" customWidth="1"/>
    <col min="11015" max="11015" width="16.44140625" bestFit="1" customWidth="1"/>
    <col min="11266" max="11266" width="35.21875" customWidth="1"/>
    <col min="11267" max="11267" width="29.44140625" customWidth="1"/>
    <col min="11268" max="11268" width="12.77734375" customWidth="1"/>
    <col min="11271" max="11271" width="16.44140625" bestFit="1" customWidth="1"/>
    <col min="11522" max="11522" width="35.21875" customWidth="1"/>
    <col min="11523" max="11523" width="29.44140625" customWidth="1"/>
    <col min="11524" max="11524" width="12.77734375" customWidth="1"/>
    <col min="11527" max="11527" width="16.44140625" bestFit="1" customWidth="1"/>
    <col min="11778" max="11778" width="35.21875" customWidth="1"/>
    <col min="11779" max="11779" width="29.44140625" customWidth="1"/>
    <col min="11780" max="11780" width="12.77734375" customWidth="1"/>
    <col min="11783" max="11783" width="16.44140625" bestFit="1" customWidth="1"/>
    <col min="12034" max="12034" width="35.21875" customWidth="1"/>
    <col min="12035" max="12035" width="29.44140625" customWidth="1"/>
    <col min="12036" max="12036" width="12.77734375" customWidth="1"/>
    <col min="12039" max="12039" width="16.44140625" bestFit="1" customWidth="1"/>
    <col min="12290" max="12290" width="35.21875" customWidth="1"/>
    <col min="12291" max="12291" width="29.44140625" customWidth="1"/>
    <col min="12292" max="12292" width="12.77734375" customWidth="1"/>
    <col min="12295" max="12295" width="16.44140625" bestFit="1" customWidth="1"/>
    <col min="12546" max="12546" width="35.21875" customWidth="1"/>
    <col min="12547" max="12547" width="29.44140625" customWidth="1"/>
    <col min="12548" max="12548" width="12.77734375" customWidth="1"/>
    <col min="12551" max="12551" width="16.44140625" bestFit="1" customWidth="1"/>
    <col min="12802" max="12802" width="35.21875" customWidth="1"/>
    <col min="12803" max="12803" width="29.44140625" customWidth="1"/>
    <col min="12804" max="12804" width="12.77734375" customWidth="1"/>
    <col min="12807" max="12807" width="16.44140625" bestFit="1" customWidth="1"/>
    <col min="13058" max="13058" width="35.21875" customWidth="1"/>
    <col min="13059" max="13059" width="29.44140625" customWidth="1"/>
    <col min="13060" max="13060" width="12.77734375" customWidth="1"/>
    <col min="13063" max="13063" width="16.44140625" bestFit="1" customWidth="1"/>
    <col min="13314" max="13314" width="35.21875" customWidth="1"/>
    <col min="13315" max="13315" width="29.44140625" customWidth="1"/>
    <col min="13316" max="13316" width="12.77734375" customWidth="1"/>
    <col min="13319" max="13319" width="16.44140625" bestFit="1" customWidth="1"/>
    <col min="13570" max="13570" width="35.21875" customWidth="1"/>
    <col min="13571" max="13571" width="29.44140625" customWidth="1"/>
    <col min="13572" max="13572" width="12.77734375" customWidth="1"/>
    <col min="13575" max="13575" width="16.44140625" bestFit="1" customWidth="1"/>
    <col min="13826" max="13826" width="35.21875" customWidth="1"/>
    <col min="13827" max="13827" width="29.44140625" customWidth="1"/>
    <col min="13828" max="13828" width="12.77734375" customWidth="1"/>
    <col min="13831" max="13831" width="16.44140625" bestFit="1" customWidth="1"/>
    <col min="14082" max="14082" width="35.21875" customWidth="1"/>
    <col min="14083" max="14083" width="29.44140625" customWidth="1"/>
    <col min="14084" max="14084" width="12.77734375" customWidth="1"/>
    <col min="14087" max="14087" width="16.44140625" bestFit="1" customWidth="1"/>
    <col min="14338" max="14338" width="35.21875" customWidth="1"/>
    <col min="14339" max="14339" width="29.44140625" customWidth="1"/>
    <col min="14340" max="14340" width="12.77734375" customWidth="1"/>
    <col min="14343" max="14343" width="16.44140625" bestFit="1" customWidth="1"/>
    <col min="14594" max="14594" width="35.21875" customWidth="1"/>
    <col min="14595" max="14595" width="29.44140625" customWidth="1"/>
    <col min="14596" max="14596" width="12.77734375" customWidth="1"/>
    <col min="14599" max="14599" width="16.44140625" bestFit="1" customWidth="1"/>
    <col min="14850" max="14850" width="35.21875" customWidth="1"/>
    <col min="14851" max="14851" width="29.44140625" customWidth="1"/>
    <col min="14852" max="14852" width="12.77734375" customWidth="1"/>
    <col min="14855" max="14855" width="16.44140625" bestFit="1" customWidth="1"/>
    <col min="15106" max="15106" width="35.21875" customWidth="1"/>
    <col min="15107" max="15107" width="29.44140625" customWidth="1"/>
    <col min="15108" max="15108" width="12.77734375" customWidth="1"/>
    <col min="15111" max="15111" width="16.44140625" bestFit="1" customWidth="1"/>
    <col min="15362" max="15362" width="35.21875" customWidth="1"/>
    <col min="15363" max="15363" width="29.44140625" customWidth="1"/>
    <col min="15364" max="15364" width="12.77734375" customWidth="1"/>
    <col min="15367" max="15367" width="16.44140625" bestFit="1" customWidth="1"/>
    <col min="15618" max="15618" width="35.21875" customWidth="1"/>
    <col min="15619" max="15619" width="29.44140625" customWidth="1"/>
    <col min="15620" max="15620" width="12.77734375" customWidth="1"/>
    <col min="15623" max="15623" width="16.44140625" bestFit="1" customWidth="1"/>
    <col min="15874" max="15874" width="35.21875" customWidth="1"/>
    <col min="15875" max="15875" width="29.44140625" customWidth="1"/>
    <col min="15876" max="15876" width="12.77734375" customWidth="1"/>
    <col min="15879" max="15879" width="16.44140625" bestFit="1" customWidth="1"/>
    <col min="16130" max="16130" width="35.21875" customWidth="1"/>
    <col min="16131" max="16131" width="29.44140625" customWidth="1"/>
    <col min="16132" max="16132" width="12.77734375" customWidth="1"/>
    <col min="16135" max="16135" width="16.44140625" bestFit="1" customWidth="1"/>
  </cols>
  <sheetData>
    <row r="1" spans="1:27" ht="18">
      <c r="A1" s="22" t="s">
        <v>1059</v>
      </c>
      <c r="C1" s="104"/>
      <c r="D1" s="104"/>
      <c r="E1" s="104"/>
      <c r="F1" s="104"/>
      <c r="G1" s="104"/>
      <c r="H1" s="98"/>
    </row>
    <row r="2" spans="1:27" ht="15.6">
      <c r="A2" s="1914"/>
      <c r="B2"/>
      <c r="D2" s="238"/>
      <c r="E2" s="4853"/>
      <c r="F2" s="238"/>
      <c r="G2" s="238"/>
      <c r="H2" s="238"/>
      <c r="I2" s="238"/>
      <c r="J2" s="1921"/>
      <c r="K2" s="1921"/>
      <c r="L2" s="1922"/>
      <c r="M2" s="1922"/>
      <c r="N2" s="1922"/>
      <c r="O2" s="1922"/>
    </row>
    <row r="3" spans="1:27" s="4854" customFormat="1" ht="15.6">
      <c r="A3" s="1914"/>
      <c r="D3" s="4853"/>
      <c r="E3" s="4853"/>
      <c r="F3" s="4853"/>
      <c r="G3" s="4853"/>
      <c r="H3" s="4853"/>
      <c r="I3" s="4853"/>
      <c r="J3" s="1921"/>
      <c r="K3" s="1921"/>
      <c r="L3" s="1922"/>
      <c r="M3" s="1922"/>
      <c r="N3" s="1922"/>
      <c r="O3" s="1922"/>
    </row>
    <row r="4" spans="1:27" s="4854" customFormat="1" ht="21">
      <c r="A4" s="5047"/>
      <c r="B4" s="5047"/>
      <c r="C4" s="5048">
        <v>2020</v>
      </c>
      <c r="D4" s="5049"/>
      <c r="E4" s="5049"/>
      <c r="F4" s="5049"/>
      <c r="G4" s="5049"/>
      <c r="H4" s="5049"/>
      <c r="I4" s="5049"/>
      <c r="J4" s="2203"/>
      <c r="K4" s="2203"/>
      <c r="L4" s="2203"/>
      <c r="M4" s="2203"/>
      <c r="N4" s="2203"/>
      <c r="O4" s="2203"/>
      <c r="P4" s="2203"/>
      <c r="Q4" s="2203"/>
      <c r="R4" s="2203"/>
      <c r="S4" s="2203"/>
      <c r="T4" s="2203"/>
      <c r="U4" s="2203"/>
      <c r="V4" s="2203"/>
      <c r="W4" s="2203"/>
      <c r="X4" s="2203"/>
      <c r="Y4" s="2203"/>
      <c r="Z4" s="2203"/>
      <c r="AA4" s="2203"/>
    </row>
    <row r="5" spans="1:27" s="4854" customFormat="1">
      <c r="A5" s="5866" t="s">
        <v>2908</v>
      </c>
      <c r="B5" s="5866"/>
      <c r="C5" s="5866"/>
      <c r="D5" s="5866"/>
      <c r="E5" s="5866"/>
      <c r="F5" s="5866"/>
      <c r="G5" s="5866"/>
      <c r="H5" s="5866"/>
      <c r="I5" s="5866"/>
      <c r="J5" s="2203"/>
      <c r="K5" s="2203"/>
      <c r="L5" s="2203"/>
      <c r="M5" s="2203"/>
      <c r="N5" s="2203"/>
      <c r="O5" s="2203"/>
      <c r="P5" s="2203"/>
      <c r="Q5" s="2203"/>
      <c r="R5" s="2203"/>
      <c r="S5" s="2203"/>
      <c r="T5" s="2203"/>
      <c r="U5" s="2203"/>
      <c r="V5" s="2203"/>
      <c r="W5" s="2203"/>
      <c r="X5" s="2203"/>
      <c r="Y5" s="2203"/>
      <c r="Z5" s="2203"/>
      <c r="AA5" s="2203"/>
    </row>
    <row r="6" spans="1:27" s="4854" customFormat="1">
      <c r="A6" s="5866"/>
      <c r="B6" s="5866"/>
      <c r="C6" s="5866"/>
      <c r="D6" s="5866"/>
      <c r="E6" s="5866"/>
      <c r="F6" s="5866"/>
      <c r="G6" s="5866"/>
      <c r="H6" s="5866"/>
      <c r="I6" s="5866"/>
      <c r="J6" s="2203"/>
      <c r="K6" s="2203"/>
      <c r="L6" s="2203"/>
      <c r="M6" s="2203"/>
      <c r="N6" s="2203"/>
      <c r="O6" s="2203"/>
      <c r="P6" s="2203"/>
      <c r="Q6" s="2203"/>
      <c r="R6" s="2203"/>
      <c r="S6" s="2203"/>
      <c r="T6" s="2203"/>
      <c r="U6" s="2203"/>
      <c r="V6" s="2203"/>
      <c r="W6" s="2203"/>
      <c r="X6" s="2203"/>
      <c r="Y6" s="2203"/>
      <c r="Z6" s="2203"/>
      <c r="AA6" s="2203"/>
    </row>
    <row r="7" spans="1:27" s="4854" customFormat="1">
      <c r="A7" s="5866"/>
      <c r="B7" s="5866"/>
      <c r="C7" s="5866"/>
      <c r="D7" s="5866"/>
      <c r="E7" s="5866"/>
      <c r="F7" s="5866"/>
      <c r="G7" s="5866"/>
      <c r="H7" s="5866"/>
      <c r="I7" s="5866"/>
      <c r="J7" s="2203"/>
      <c r="K7" s="2203"/>
      <c r="L7" s="2203"/>
      <c r="M7" s="2203"/>
      <c r="N7" s="2203"/>
      <c r="O7" s="2203"/>
      <c r="P7" s="2203"/>
      <c r="Q7" s="2203"/>
      <c r="R7" s="2203"/>
      <c r="S7" s="2203"/>
      <c r="T7" s="2203"/>
      <c r="U7" s="2203"/>
      <c r="V7" s="2203"/>
      <c r="W7" s="2203"/>
      <c r="X7" s="2203"/>
      <c r="Y7" s="2203"/>
      <c r="Z7" s="2203"/>
      <c r="AA7" s="2203"/>
    </row>
    <row r="8" spans="1:27" s="4854" customFormat="1">
      <c r="A8" s="5866"/>
      <c r="B8" s="5866"/>
      <c r="C8" s="5866"/>
      <c r="D8" s="5866"/>
      <c r="E8" s="5866"/>
      <c r="F8" s="5866"/>
      <c r="G8" s="5866"/>
      <c r="H8" s="5866"/>
      <c r="I8" s="5866"/>
      <c r="J8" s="2203"/>
      <c r="K8" s="2203"/>
      <c r="L8" s="2203"/>
      <c r="M8" s="2203"/>
      <c r="N8" s="2203"/>
      <c r="O8" s="2203"/>
      <c r="P8" s="2203"/>
      <c r="Q8" s="2203"/>
      <c r="R8" s="2203"/>
      <c r="S8" s="2203"/>
      <c r="T8" s="2203"/>
      <c r="U8" s="2203"/>
      <c r="V8" s="2203"/>
      <c r="W8" s="2203"/>
      <c r="X8" s="2203"/>
      <c r="Y8" s="2203"/>
      <c r="Z8" s="2203"/>
      <c r="AA8" s="2203"/>
    </row>
    <row r="9" spans="1:27" s="4854" customFormat="1" ht="15.6">
      <c r="A9" s="5051" t="s">
        <v>3018</v>
      </c>
      <c r="B9" s="5050"/>
      <c r="C9" s="5050"/>
      <c r="D9" s="5050"/>
      <c r="E9" s="5050"/>
      <c r="F9" s="5050"/>
      <c r="G9" s="5050"/>
      <c r="H9" s="5050"/>
      <c r="I9" s="5050"/>
      <c r="J9" s="2203"/>
      <c r="K9" s="2203"/>
      <c r="L9" s="2203"/>
      <c r="M9" s="2203"/>
      <c r="N9" s="2203"/>
      <c r="O9" s="2203"/>
      <c r="P9" s="2203"/>
      <c r="Q9" s="2203"/>
      <c r="R9" s="2203"/>
      <c r="S9" s="2203"/>
      <c r="T9" s="2203"/>
      <c r="U9" s="2203"/>
      <c r="V9" s="2203"/>
      <c r="W9" s="2203"/>
      <c r="X9" s="2203"/>
      <c r="Y9" s="2203"/>
      <c r="Z9" s="2203"/>
      <c r="AA9" s="2203"/>
    </row>
    <row r="10" spans="1:27" s="4854" customFormat="1" ht="15.6">
      <c r="A10" s="5051" t="s">
        <v>2444</v>
      </c>
      <c r="B10" s="5050"/>
      <c r="C10" s="5050"/>
      <c r="D10" s="5050"/>
      <c r="E10" s="5050"/>
      <c r="F10" s="5050"/>
      <c r="G10" s="5050"/>
      <c r="H10" s="5050"/>
      <c r="I10" s="5050"/>
      <c r="J10" s="2203"/>
      <c r="K10" s="2203"/>
      <c r="L10" s="2203"/>
      <c r="M10" s="2203"/>
      <c r="N10" s="2203"/>
      <c r="O10" s="2203"/>
      <c r="P10" s="2203"/>
      <c r="Q10" s="2203"/>
      <c r="R10" s="2203"/>
      <c r="S10" s="2203"/>
      <c r="T10" s="5876" t="s">
        <v>3019</v>
      </c>
      <c r="U10" s="5876"/>
      <c r="V10" s="5876"/>
      <c r="W10" s="5876"/>
      <c r="X10" s="5876"/>
      <c r="Y10" s="5876"/>
      <c r="Z10" s="5876"/>
      <c r="AA10" s="5876"/>
    </row>
    <row r="11" spans="1:27" s="4854" customFormat="1" ht="14.4" customHeight="1">
      <c r="A11" s="5055"/>
      <c r="B11" s="5055"/>
      <c r="C11" s="5056"/>
      <c r="D11" s="5056"/>
      <c r="E11" s="5056"/>
      <c r="F11" s="5867" t="s">
        <v>2445</v>
      </c>
      <c r="G11" s="5868"/>
      <c r="H11" s="5869" t="s">
        <v>1502</v>
      </c>
      <c r="I11" s="5870"/>
      <c r="J11" s="5870"/>
      <c r="K11" s="5870"/>
      <c r="L11" s="5871"/>
      <c r="M11" s="2203"/>
      <c r="N11" s="2203"/>
      <c r="O11" s="2203"/>
      <c r="P11" s="2203"/>
      <c r="Q11" s="2203"/>
      <c r="R11" s="2203"/>
      <c r="S11" s="5057"/>
      <c r="T11" s="5876"/>
      <c r="U11" s="5876"/>
      <c r="V11" s="5876"/>
      <c r="W11" s="5876"/>
      <c r="X11" s="5876"/>
      <c r="Y11" s="5876"/>
      <c r="Z11" s="5876"/>
      <c r="AA11" s="5876"/>
    </row>
    <row r="12" spans="1:27" s="4854" customFormat="1">
      <c r="A12" s="5030" t="s">
        <v>0</v>
      </c>
      <c r="B12" s="5030" t="s">
        <v>2099</v>
      </c>
      <c r="C12" s="5030" t="s">
        <v>2105</v>
      </c>
      <c r="D12" s="5030" t="s">
        <v>2432</v>
      </c>
      <c r="E12" s="5030"/>
      <c r="F12" s="5011" t="s">
        <v>1038</v>
      </c>
      <c r="G12" s="5010" t="s">
        <v>1039</v>
      </c>
      <c r="H12" s="5012" t="s">
        <v>1503</v>
      </c>
      <c r="I12" s="5012" t="s">
        <v>1504</v>
      </c>
      <c r="J12" s="5013" t="s">
        <v>2446</v>
      </c>
      <c r="K12" s="5012" t="s">
        <v>1506</v>
      </c>
      <c r="L12" s="5058" t="s">
        <v>15</v>
      </c>
      <c r="M12" s="2203"/>
      <c r="N12" s="2203"/>
      <c r="O12" s="2203"/>
      <c r="P12" s="2203"/>
      <c r="Q12" s="2203"/>
      <c r="R12" s="2203"/>
      <c r="S12" s="5057"/>
      <c r="T12" s="5059" t="s">
        <v>3020</v>
      </c>
      <c r="U12" s="5057"/>
      <c r="V12" s="5057"/>
      <c r="W12" s="5057"/>
      <c r="X12" s="5057"/>
      <c r="Y12" s="5057"/>
      <c r="Z12" s="5057"/>
      <c r="AA12" s="5057"/>
    </row>
    <row r="13" spans="1:27" s="4854" customFormat="1">
      <c r="A13" s="5041" t="s">
        <v>3</v>
      </c>
      <c r="B13" s="5060">
        <v>2720</v>
      </c>
      <c r="C13" s="5060">
        <v>1511</v>
      </c>
      <c r="D13" s="5061">
        <v>55.551470588235297</v>
      </c>
      <c r="E13" s="5061"/>
      <c r="F13" s="5062">
        <v>0.79257786613651438</v>
      </c>
      <c r="G13" s="5062">
        <v>0.20742213386348576</v>
      </c>
      <c r="H13" s="5062">
        <v>4.690117252931323E-2</v>
      </c>
      <c r="I13" s="5062">
        <v>4.2713567839195977E-2</v>
      </c>
      <c r="J13" s="5062">
        <v>0.13986599664991625</v>
      </c>
      <c r="K13" s="5062">
        <v>0.1968174204355109</v>
      </c>
      <c r="L13" s="5062">
        <v>0.5737018425460636</v>
      </c>
      <c r="M13" s="2203"/>
      <c r="N13" s="2203"/>
      <c r="O13" s="2203"/>
      <c r="P13" s="2203"/>
      <c r="Q13" s="2203"/>
      <c r="R13" s="2203"/>
      <c r="S13" s="5057"/>
      <c r="T13" s="5063" t="s">
        <v>3021</v>
      </c>
      <c r="U13" s="5063"/>
      <c r="V13" s="5872" t="s">
        <v>3022</v>
      </c>
      <c r="W13" s="5873"/>
      <c r="X13" s="5873"/>
      <c r="Y13" s="5873"/>
      <c r="Z13" s="5873"/>
      <c r="AA13" s="5064" t="s">
        <v>15</v>
      </c>
    </row>
    <row r="14" spans="1:27" s="4854" customFormat="1" ht="24">
      <c r="A14" s="5041" t="s">
        <v>25</v>
      </c>
      <c r="B14" s="5060">
        <v>7225</v>
      </c>
      <c r="C14" s="5060">
        <v>4027</v>
      </c>
      <c r="D14" s="5061">
        <v>55.737024221453289</v>
      </c>
      <c r="E14" s="5061"/>
      <c r="F14" s="5062">
        <v>0.76548122357622495</v>
      </c>
      <c r="G14" s="5062">
        <v>0.23451877642377517</v>
      </c>
      <c r="H14" s="5062">
        <v>2.8460543337645538E-2</v>
      </c>
      <c r="I14" s="5062">
        <v>4.236739974126779E-2</v>
      </c>
      <c r="J14" s="5062">
        <v>0.11448900388098318</v>
      </c>
      <c r="K14" s="5062">
        <v>0.18790426908150062</v>
      </c>
      <c r="L14" s="5062">
        <v>0.62677878395860287</v>
      </c>
      <c r="M14" s="2203"/>
      <c r="N14" s="2203"/>
      <c r="O14" s="2203"/>
      <c r="P14" s="2203"/>
      <c r="Q14" s="2203"/>
      <c r="R14" s="2203"/>
      <c r="S14" s="5057"/>
      <c r="T14" s="5065"/>
      <c r="U14" s="5065"/>
      <c r="V14" s="5066" t="s">
        <v>3023</v>
      </c>
      <c r="W14" s="5067" t="s">
        <v>3024</v>
      </c>
      <c r="X14" s="5067" t="s">
        <v>3025</v>
      </c>
      <c r="Y14" s="5067" t="s">
        <v>3026</v>
      </c>
      <c r="Z14" s="5067" t="s">
        <v>3027</v>
      </c>
      <c r="AA14" s="5068"/>
    </row>
    <row r="15" spans="1:27" s="4854" customFormat="1" ht="22.8">
      <c r="A15" s="5041" t="s">
        <v>48</v>
      </c>
      <c r="B15" s="5060">
        <v>4459</v>
      </c>
      <c r="C15" s="5060">
        <v>2539</v>
      </c>
      <c r="D15" s="5061">
        <v>56.941018165507963</v>
      </c>
      <c r="E15" s="5061"/>
      <c r="F15" s="5062">
        <v>0.80441640378548895</v>
      </c>
      <c r="G15" s="5062">
        <v>0.19558359621451105</v>
      </c>
      <c r="H15" s="5062">
        <v>2.9225523623964928E-2</v>
      </c>
      <c r="I15" s="5062">
        <v>3.8480272771553824E-2</v>
      </c>
      <c r="J15" s="5062">
        <v>0.1130053580126644</v>
      </c>
      <c r="K15" s="5062">
        <v>0.20360448124695568</v>
      </c>
      <c r="L15" s="5062">
        <v>0.61568436434486118</v>
      </c>
      <c r="M15" s="2203"/>
      <c r="N15" s="2203"/>
      <c r="O15" s="2203"/>
      <c r="P15" s="2203"/>
      <c r="Q15" s="2203"/>
      <c r="R15" s="2203"/>
      <c r="S15" s="5057"/>
      <c r="T15" s="5069" t="s">
        <v>3028</v>
      </c>
      <c r="U15" s="5069" t="s">
        <v>3</v>
      </c>
      <c r="V15" s="5070">
        <v>4.690117252931323E-2</v>
      </c>
      <c r="W15" s="5071">
        <v>4.2713567839195977E-2</v>
      </c>
      <c r="X15" s="5071">
        <v>0.13986599664991625</v>
      </c>
      <c r="Y15" s="5071">
        <v>0.1968174204355109</v>
      </c>
      <c r="Z15" s="5071">
        <v>0.5737018425460636</v>
      </c>
      <c r="AA15" s="5072">
        <v>1</v>
      </c>
    </row>
    <row r="16" spans="1:27" s="4854" customFormat="1">
      <c r="A16" s="5041" t="s">
        <v>59</v>
      </c>
      <c r="B16" s="5060">
        <v>244</v>
      </c>
      <c r="C16" s="5060">
        <v>182</v>
      </c>
      <c r="D16" s="5061">
        <v>74.590163934426229</v>
      </c>
      <c r="E16" s="5061"/>
      <c r="F16" s="5062">
        <v>0.6574585635359117</v>
      </c>
      <c r="G16" s="5062">
        <v>0.34254143646408841</v>
      </c>
      <c r="H16" s="5062">
        <v>0.04</v>
      </c>
      <c r="I16" s="5062">
        <v>5.6000000000000008E-2</v>
      </c>
      <c r="J16" s="5062">
        <v>0.192</v>
      </c>
      <c r="K16" s="5062">
        <v>0.33600000000000002</v>
      </c>
      <c r="L16" s="5062">
        <v>0.376</v>
      </c>
      <c r="M16" s="2203"/>
      <c r="N16" s="2203"/>
      <c r="O16" s="2203"/>
      <c r="P16" s="2203"/>
      <c r="Q16" s="2203"/>
      <c r="R16" s="2203"/>
      <c r="S16" s="5057"/>
      <c r="T16" s="5073"/>
      <c r="U16" s="5073" t="s">
        <v>25</v>
      </c>
      <c r="V16" s="5074">
        <v>2.8460543337645538E-2</v>
      </c>
      <c r="W16" s="5075">
        <v>4.236739974126779E-2</v>
      </c>
      <c r="X16" s="5075">
        <v>0.11448900388098318</v>
      </c>
      <c r="Y16" s="5075">
        <v>0.18790426908150062</v>
      </c>
      <c r="Z16" s="5075">
        <v>0.62677878395860287</v>
      </c>
      <c r="AA16" s="5076">
        <v>1</v>
      </c>
    </row>
    <row r="17" spans="1:27" s="4854" customFormat="1">
      <c r="A17" s="5077" t="s">
        <v>15</v>
      </c>
      <c r="B17" s="5078">
        <v>14648</v>
      </c>
      <c r="C17" s="5078">
        <v>8259</v>
      </c>
      <c r="D17" s="5079">
        <v>56.383123975969418</v>
      </c>
      <c r="E17" s="5079"/>
      <c r="F17" s="5080">
        <v>0.78004122711288959</v>
      </c>
      <c r="G17" s="5062">
        <v>0.21995877288711047</v>
      </c>
      <c r="H17" s="5062">
        <v>3.2332920792079209E-2</v>
      </c>
      <c r="I17" s="5062">
        <v>4.1460396039603963E-2</v>
      </c>
      <c r="J17" s="5062">
        <v>0.12020420792079207</v>
      </c>
      <c r="K17" s="5062">
        <v>0.19740099009900991</v>
      </c>
      <c r="L17" s="5062">
        <v>0.60860148514851486</v>
      </c>
      <c r="M17" s="2203"/>
      <c r="N17" s="2203"/>
      <c r="O17" s="2203"/>
      <c r="P17" s="2203"/>
      <c r="Q17" s="2203"/>
      <c r="R17" s="2203"/>
      <c r="S17" s="5057"/>
      <c r="T17" s="5073"/>
      <c r="U17" s="5073" t="s">
        <v>48</v>
      </c>
      <c r="V17" s="5074">
        <v>2.9225523623964928E-2</v>
      </c>
      <c r="W17" s="5075">
        <v>3.8480272771553824E-2</v>
      </c>
      <c r="X17" s="5075">
        <v>0.1130053580126644</v>
      </c>
      <c r="Y17" s="5075">
        <v>0.20360448124695568</v>
      </c>
      <c r="Z17" s="5075">
        <v>0.61568436434486118</v>
      </c>
      <c r="AA17" s="5076">
        <v>1</v>
      </c>
    </row>
    <row r="18" spans="1:27" s="4854" customFormat="1">
      <c r="A18" s="2203"/>
      <c r="B18" s="2203"/>
      <c r="C18" s="5052"/>
      <c r="D18" s="2203"/>
      <c r="E18" s="2203"/>
      <c r="F18" s="5053"/>
      <c r="G18" s="2203"/>
      <c r="H18" s="5054"/>
      <c r="I18" s="2203"/>
      <c r="J18" s="2203"/>
      <c r="K18" s="2203"/>
      <c r="L18" s="2203"/>
      <c r="M18" s="2203"/>
      <c r="N18" s="2203"/>
      <c r="O18" s="2203"/>
      <c r="P18" s="2203"/>
      <c r="Q18" s="2203"/>
      <c r="R18" s="2203"/>
      <c r="S18" s="5057"/>
      <c r="T18" s="5073"/>
      <c r="U18" s="5073" t="s">
        <v>59</v>
      </c>
      <c r="V18" s="5074">
        <v>0.04</v>
      </c>
      <c r="W18" s="5075">
        <v>5.6000000000000008E-2</v>
      </c>
      <c r="X18" s="5075">
        <v>0.192</v>
      </c>
      <c r="Y18" s="5075">
        <v>0.33600000000000002</v>
      </c>
      <c r="Z18" s="5075">
        <v>0.376</v>
      </c>
      <c r="AA18" s="5076">
        <v>1</v>
      </c>
    </row>
    <row r="19" spans="1:27" s="4854" customFormat="1">
      <c r="A19" s="2203"/>
      <c r="B19" s="2203"/>
      <c r="C19" s="5052"/>
      <c r="D19" s="2203"/>
      <c r="E19" s="2203"/>
      <c r="F19" s="5053"/>
      <c r="G19" s="2203"/>
      <c r="H19" s="5054"/>
      <c r="I19" s="2203"/>
      <c r="J19" s="2203"/>
      <c r="K19" s="2203"/>
      <c r="L19" s="2203"/>
      <c r="M19" s="2203"/>
      <c r="N19" s="2203"/>
      <c r="O19" s="2203"/>
      <c r="P19" s="2203"/>
      <c r="Q19" s="2203"/>
      <c r="R19" s="2203"/>
      <c r="S19" s="2203"/>
      <c r="T19" s="2203"/>
      <c r="U19" s="2203"/>
      <c r="V19" s="2203"/>
      <c r="W19" s="2203"/>
      <c r="X19" s="2203"/>
      <c r="Y19" s="2203"/>
      <c r="Z19" s="2203"/>
      <c r="AA19" s="2203"/>
    </row>
    <row r="20" spans="1:27" s="4854" customFormat="1">
      <c r="A20" s="5081"/>
      <c r="B20" s="5081"/>
      <c r="C20" s="5082"/>
      <c r="D20" s="5083"/>
      <c r="E20" s="5083"/>
      <c r="F20" s="5084"/>
      <c r="G20" s="5084"/>
      <c r="H20" s="5085"/>
      <c r="I20" s="5874" t="s">
        <v>2445</v>
      </c>
      <c r="J20" s="5874"/>
      <c r="K20" s="5875" t="s">
        <v>1502</v>
      </c>
      <c r="L20" s="5875"/>
      <c r="M20" s="5875"/>
      <c r="N20" s="5875"/>
      <c r="O20" s="5875"/>
      <c r="P20" s="2203"/>
      <c r="Q20" s="2203"/>
      <c r="R20" s="2203"/>
      <c r="S20" s="2203"/>
      <c r="T20" s="2203"/>
      <c r="U20" s="2203"/>
      <c r="V20" s="2203"/>
      <c r="W20" s="2203"/>
      <c r="X20" s="2203"/>
      <c r="Y20" s="2203"/>
      <c r="Z20" s="2203"/>
      <c r="AA20" s="2203"/>
    </row>
    <row r="21" spans="1:27" s="4854" customFormat="1">
      <c r="A21" s="5086" t="s">
        <v>0</v>
      </c>
      <c r="B21" s="5086" t="s">
        <v>1</v>
      </c>
      <c r="C21" s="5086" t="s">
        <v>2447</v>
      </c>
      <c r="D21" s="5087" t="s">
        <v>1009</v>
      </c>
      <c r="E21" s="5086" t="s">
        <v>2099</v>
      </c>
      <c r="F21" s="5086" t="s">
        <v>2105</v>
      </c>
      <c r="G21" s="5088" t="s">
        <v>2432</v>
      </c>
      <c r="H21" s="5089" t="s">
        <v>1038</v>
      </c>
      <c r="I21" s="5086" t="s">
        <v>1039</v>
      </c>
      <c r="J21" s="5086" t="s">
        <v>1503</v>
      </c>
      <c r="K21" s="5086" t="s">
        <v>1504</v>
      </c>
      <c r="L21" s="5086" t="s">
        <v>2446</v>
      </c>
      <c r="M21" s="5086" t="s">
        <v>1506</v>
      </c>
      <c r="N21" s="5086" t="s">
        <v>15</v>
      </c>
      <c r="O21" s="2203"/>
      <c r="P21" s="2203"/>
      <c r="Q21" s="2203"/>
      <c r="R21" s="2203"/>
      <c r="S21" s="2203"/>
      <c r="T21" s="2203"/>
      <c r="U21" s="2203"/>
      <c r="V21" s="2203"/>
      <c r="W21" s="2203"/>
      <c r="X21" s="2203"/>
      <c r="Y21" s="2203"/>
      <c r="Z21" s="2203"/>
    </row>
    <row r="22" spans="1:27" s="4854" customFormat="1">
      <c r="A22" s="5865" t="s">
        <v>3</v>
      </c>
      <c r="B22" s="5865" t="s">
        <v>2439</v>
      </c>
      <c r="C22" s="5090" t="s">
        <v>273</v>
      </c>
      <c r="D22" s="5865" t="s">
        <v>247</v>
      </c>
      <c r="E22" s="5091">
        <v>104</v>
      </c>
      <c r="F22" s="5092">
        <v>35</v>
      </c>
      <c r="G22" s="5093">
        <f>F22*100/E22</f>
        <v>33.653846153846153</v>
      </c>
      <c r="H22" s="5094">
        <v>0.8</v>
      </c>
      <c r="I22" s="5094">
        <v>0.2</v>
      </c>
      <c r="J22" s="5091"/>
      <c r="K22" s="5094">
        <v>7.407407407407407E-2</v>
      </c>
      <c r="L22" s="5094">
        <v>3.7037037037037035E-2</v>
      </c>
      <c r="M22" s="5094">
        <v>3.7037037037037035E-2</v>
      </c>
      <c r="N22" s="5094">
        <v>0.85185185185185186</v>
      </c>
      <c r="O22" s="2203"/>
      <c r="P22" s="2203"/>
      <c r="Q22" s="2203"/>
      <c r="R22" s="2203"/>
      <c r="S22" s="2203"/>
      <c r="T22" s="2203"/>
      <c r="U22" s="2203"/>
      <c r="V22" s="2203"/>
      <c r="W22" s="2203"/>
      <c r="X22" s="2203"/>
      <c r="Y22" s="2203"/>
      <c r="Z22" s="2203"/>
    </row>
    <row r="23" spans="1:27" s="4854" customFormat="1">
      <c r="A23" s="5865"/>
      <c r="B23" s="5865"/>
      <c r="C23" s="5095" t="s">
        <v>3029</v>
      </c>
      <c r="D23" s="5865"/>
      <c r="E23" s="5091">
        <v>372</v>
      </c>
      <c r="F23" s="5092">
        <v>258</v>
      </c>
      <c r="G23" s="5093">
        <f t="shared" ref="G23:G86" si="0">F23*100/E23</f>
        <v>69.354838709677423</v>
      </c>
      <c r="H23" s="5094">
        <v>0.73699999999999999</v>
      </c>
      <c r="I23" s="5094">
        <v>0.23300000000000001</v>
      </c>
      <c r="J23" s="5094">
        <v>8.6999999999999994E-2</v>
      </c>
      <c r="K23" s="5094">
        <v>6.0999999999999999E-2</v>
      </c>
      <c r="L23" s="5094">
        <v>0.158</v>
      </c>
      <c r="M23" s="5094">
        <v>0.219</v>
      </c>
      <c r="N23" s="5094">
        <v>0.47399999999999998</v>
      </c>
      <c r="O23" s="2203"/>
      <c r="P23" s="2203"/>
      <c r="Q23" s="2203"/>
      <c r="R23" s="2203"/>
      <c r="S23" s="2203"/>
      <c r="T23" s="2203"/>
      <c r="U23" s="2203"/>
      <c r="V23" s="2203"/>
      <c r="W23" s="2203"/>
      <c r="X23" s="2203"/>
      <c r="Y23" s="2203"/>
      <c r="Z23" s="2203"/>
    </row>
    <row r="24" spans="1:27" s="4854" customFormat="1">
      <c r="A24" s="5865"/>
      <c r="B24" s="5865"/>
      <c r="C24" s="5095" t="s">
        <v>2631</v>
      </c>
      <c r="D24" s="5865"/>
      <c r="E24" s="5091">
        <v>136</v>
      </c>
      <c r="F24" s="5092">
        <v>83</v>
      </c>
      <c r="G24" s="5093">
        <f t="shared" si="0"/>
        <v>61.029411764705884</v>
      </c>
      <c r="H24" s="5094">
        <v>0.95180722891566261</v>
      </c>
      <c r="I24" s="5094">
        <v>4.8192771084337352E-2</v>
      </c>
      <c r="J24" s="5094">
        <v>2.564102564102564E-2</v>
      </c>
      <c r="K24" s="5096">
        <v>0</v>
      </c>
      <c r="L24" s="5094">
        <v>2.564102564102564E-2</v>
      </c>
      <c r="M24" s="5094">
        <v>8.9743589743589744E-2</v>
      </c>
      <c r="N24" s="5094">
        <v>0.85897435897435903</v>
      </c>
      <c r="O24" s="2203"/>
      <c r="P24" s="2203"/>
      <c r="Q24" s="2203"/>
      <c r="R24" s="2203"/>
      <c r="S24" s="2203"/>
      <c r="T24" s="2203"/>
      <c r="U24" s="2203"/>
      <c r="V24" s="2203"/>
      <c r="W24" s="2203"/>
      <c r="X24" s="2203"/>
      <c r="Y24" s="2203"/>
      <c r="Z24" s="2203"/>
    </row>
    <row r="25" spans="1:27" s="4854" customFormat="1">
      <c r="A25" s="5865"/>
      <c r="B25" s="5865"/>
      <c r="C25" s="5095" t="s">
        <v>669</v>
      </c>
      <c r="D25" s="5865"/>
      <c r="E25" s="5091">
        <v>54</v>
      </c>
      <c r="F25" s="5092">
        <v>33</v>
      </c>
      <c r="G25" s="5093">
        <f t="shared" si="0"/>
        <v>61.111111111111114</v>
      </c>
      <c r="H25" s="5094">
        <v>0.5757575757575758</v>
      </c>
      <c r="I25" s="5094">
        <v>0.4242424242424242</v>
      </c>
      <c r="J25" s="5094">
        <v>0.15</v>
      </c>
      <c r="K25" s="5094">
        <v>0.15</v>
      </c>
      <c r="L25" s="5094">
        <v>0.3</v>
      </c>
      <c r="M25" s="5094">
        <v>0.05</v>
      </c>
      <c r="N25" s="5094">
        <v>0.35</v>
      </c>
      <c r="O25" s="2203"/>
      <c r="P25" s="2203"/>
      <c r="Q25" s="2203"/>
      <c r="R25" s="2203"/>
      <c r="S25" s="2203"/>
      <c r="T25" s="2203"/>
      <c r="U25" s="2203"/>
      <c r="V25" s="2203"/>
      <c r="W25" s="2203"/>
      <c r="X25" s="2203"/>
      <c r="Y25" s="2203"/>
      <c r="Z25" s="2203"/>
    </row>
    <row r="26" spans="1:27" s="4854" customFormat="1">
      <c r="A26" s="5865"/>
      <c r="B26" s="5865"/>
      <c r="C26" s="5095" t="s">
        <v>668</v>
      </c>
      <c r="D26" s="5865"/>
      <c r="E26" s="5091">
        <v>20</v>
      </c>
      <c r="F26" s="5092">
        <v>14</v>
      </c>
      <c r="G26" s="5093">
        <f t="shared" si="0"/>
        <v>70</v>
      </c>
      <c r="H26" s="5094">
        <v>0.7857142857142857</v>
      </c>
      <c r="I26" s="5094">
        <v>0.21428571428571427</v>
      </c>
      <c r="J26" s="5096">
        <v>0</v>
      </c>
      <c r="K26" s="5094">
        <v>0.18181818181818182</v>
      </c>
      <c r="L26" s="5094">
        <v>0.27272727272727271</v>
      </c>
      <c r="M26" s="5094">
        <v>0.18181818181818182</v>
      </c>
      <c r="N26" s="5094">
        <v>0.36363636363636365</v>
      </c>
      <c r="O26" s="2203"/>
      <c r="P26" s="2203"/>
      <c r="Q26" s="2203"/>
      <c r="R26" s="2203"/>
      <c r="S26" s="2203"/>
      <c r="T26" s="2203"/>
      <c r="U26" s="2203"/>
      <c r="V26" s="2203"/>
      <c r="W26" s="2203"/>
      <c r="X26" s="2203"/>
      <c r="Y26" s="2203"/>
      <c r="Z26" s="2203"/>
    </row>
    <row r="27" spans="1:27" s="4854" customFormat="1">
      <c r="A27" s="5865"/>
      <c r="B27" s="5865"/>
      <c r="C27" s="5095" t="s">
        <v>3029</v>
      </c>
      <c r="D27" s="5865" t="s">
        <v>248</v>
      </c>
      <c r="E27" s="5091">
        <v>89</v>
      </c>
      <c r="F27" s="5092">
        <v>73</v>
      </c>
      <c r="G27" s="5093">
        <f t="shared" si="0"/>
        <v>82.022471910112358</v>
      </c>
      <c r="H27" s="5094">
        <v>0.86299999999999999</v>
      </c>
      <c r="I27" s="5094">
        <v>0.13700000000000001</v>
      </c>
      <c r="J27" s="5094">
        <v>3.1E-2</v>
      </c>
      <c r="K27" s="5096">
        <v>0</v>
      </c>
      <c r="L27" s="5094">
        <v>6.3E-2</v>
      </c>
      <c r="M27" s="5094">
        <v>0.14099999999999999</v>
      </c>
      <c r="N27" s="5094">
        <v>0.76600000000000001</v>
      </c>
      <c r="O27" s="2203"/>
      <c r="P27" s="2203"/>
      <c r="Q27" s="2203"/>
      <c r="R27" s="2203"/>
      <c r="S27" s="2203"/>
      <c r="T27" s="2203"/>
      <c r="U27" s="2203"/>
      <c r="V27" s="2203"/>
      <c r="W27" s="2203"/>
      <c r="X27" s="2203"/>
      <c r="Y27" s="2203"/>
      <c r="Z27" s="2203"/>
    </row>
    <row r="28" spans="1:27" s="4854" customFormat="1">
      <c r="A28" s="5865"/>
      <c r="B28" s="5865"/>
      <c r="C28" s="5095" t="s">
        <v>2631</v>
      </c>
      <c r="D28" s="5865"/>
      <c r="E28" s="5091">
        <v>12</v>
      </c>
      <c r="F28" s="5092">
        <v>8</v>
      </c>
      <c r="G28" s="5093">
        <f t="shared" si="0"/>
        <v>66.666666666666671</v>
      </c>
      <c r="H28" s="5094">
        <v>1</v>
      </c>
      <c r="I28" s="5096">
        <v>0</v>
      </c>
      <c r="J28" s="5096">
        <v>0</v>
      </c>
      <c r="K28" s="5096">
        <v>0</v>
      </c>
      <c r="L28" s="5094">
        <v>0.125</v>
      </c>
      <c r="M28" s="5094">
        <v>0.25</v>
      </c>
      <c r="N28" s="5094">
        <v>0.625</v>
      </c>
      <c r="O28" s="2203"/>
      <c r="P28" s="2203"/>
      <c r="Q28" s="2203"/>
      <c r="R28" s="2203"/>
      <c r="S28" s="2203"/>
      <c r="T28" s="2203"/>
      <c r="U28" s="2203"/>
      <c r="V28" s="2203"/>
      <c r="W28" s="2203"/>
      <c r="X28" s="2203"/>
      <c r="Y28" s="2203"/>
      <c r="Z28" s="2203"/>
    </row>
    <row r="29" spans="1:27" s="4854" customFormat="1">
      <c r="A29" s="5865"/>
      <c r="B29" s="5865"/>
      <c r="C29" s="5095" t="s">
        <v>668</v>
      </c>
      <c r="D29" s="5865"/>
      <c r="E29" s="5091">
        <v>3</v>
      </c>
      <c r="F29" s="5092">
        <v>3</v>
      </c>
      <c r="G29" s="5093">
        <f t="shared" si="0"/>
        <v>100</v>
      </c>
      <c r="H29" s="5094">
        <v>1</v>
      </c>
      <c r="I29" s="5096">
        <v>0</v>
      </c>
      <c r="J29" s="5096">
        <v>0</v>
      </c>
      <c r="K29" s="5096">
        <v>0</v>
      </c>
      <c r="L29" s="5096">
        <v>0</v>
      </c>
      <c r="M29" s="5094">
        <v>0.66666666666666652</v>
      </c>
      <c r="N29" s="5094">
        <v>0.33333333333333326</v>
      </c>
      <c r="O29" s="2203"/>
      <c r="P29" s="2203"/>
      <c r="Q29" s="2203"/>
      <c r="R29" s="2203"/>
      <c r="S29" s="2203"/>
      <c r="T29" s="2203"/>
      <c r="U29" s="2203"/>
      <c r="V29" s="2203"/>
      <c r="W29" s="2203"/>
      <c r="X29" s="2203"/>
      <c r="Y29" s="2203"/>
      <c r="Z29" s="2203"/>
    </row>
    <row r="30" spans="1:27" s="4854" customFormat="1">
      <c r="A30" s="5865"/>
      <c r="B30" s="5865" t="s">
        <v>2434</v>
      </c>
      <c r="C30" s="5095" t="s">
        <v>2295</v>
      </c>
      <c r="D30" s="5865" t="s">
        <v>265</v>
      </c>
      <c r="E30" s="5091">
        <v>340</v>
      </c>
      <c r="F30" s="5092">
        <v>203</v>
      </c>
      <c r="G30" s="5093">
        <f t="shared" si="0"/>
        <v>59.705882352941174</v>
      </c>
      <c r="H30" s="5094">
        <v>0.84729064039408863</v>
      </c>
      <c r="I30" s="5094">
        <v>0.15270935960591134</v>
      </c>
      <c r="J30" s="5094">
        <v>6.3953488372093026E-2</v>
      </c>
      <c r="K30" s="5094">
        <v>1.1627906976744186E-2</v>
      </c>
      <c r="L30" s="5094">
        <v>0.13953488372093023</v>
      </c>
      <c r="M30" s="5094">
        <v>0.22674418604651161</v>
      </c>
      <c r="N30" s="5094">
        <v>0.55813953488372092</v>
      </c>
      <c r="O30" s="2203"/>
      <c r="P30" s="2203"/>
      <c r="Q30" s="2203"/>
      <c r="R30" s="2203"/>
      <c r="S30" s="2203"/>
      <c r="T30" s="2203"/>
      <c r="U30" s="2203"/>
      <c r="V30" s="2203"/>
      <c r="W30" s="2203"/>
      <c r="X30" s="2203"/>
      <c r="Y30" s="2203"/>
      <c r="Z30" s="2203"/>
    </row>
    <row r="31" spans="1:27" s="4854" customFormat="1">
      <c r="A31" s="5865"/>
      <c r="B31" s="5865"/>
      <c r="C31" s="5095" t="s">
        <v>342</v>
      </c>
      <c r="D31" s="5865"/>
      <c r="E31" s="5091">
        <v>76</v>
      </c>
      <c r="F31" s="5092">
        <v>52</v>
      </c>
      <c r="G31" s="5093">
        <f t="shared" si="0"/>
        <v>68.421052631578945</v>
      </c>
      <c r="H31" s="5094">
        <v>0.86538461538461542</v>
      </c>
      <c r="I31" s="5094">
        <v>0.13461538461538461</v>
      </c>
      <c r="J31" s="5094">
        <v>2.2222222222222223E-2</v>
      </c>
      <c r="K31" s="5094">
        <v>6.6666666666666666E-2</v>
      </c>
      <c r="L31" s="5094">
        <v>6.6666666666666666E-2</v>
      </c>
      <c r="M31" s="5094">
        <v>0.22222222222222221</v>
      </c>
      <c r="N31" s="5094">
        <v>0.62222222222222223</v>
      </c>
      <c r="O31" s="2203"/>
      <c r="P31" s="2203"/>
      <c r="Q31" s="2203"/>
      <c r="R31" s="2203"/>
      <c r="S31" s="2203"/>
      <c r="T31" s="2203"/>
      <c r="U31" s="2203"/>
      <c r="V31" s="2203"/>
      <c r="W31" s="2203"/>
      <c r="X31" s="2203"/>
      <c r="Y31" s="2203"/>
      <c r="Z31" s="2203"/>
    </row>
    <row r="32" spans="1:27" s="4854" customFormat="1">
      <c r="A32" s="5865"/>
      <c r="B32" s="5865"/>
      <c r="C32" s="5095" t="s">
        <v>278</v>
      </c>
      <c r="D32" s="5865" t="s">
        <v>247</v>
      </c>
      <c r="E32" s="5091">
        <v>193</v>
      </c>
      <c r="F32" s="5092">
        <v>147</v>
      </c>
      <c r="G32" s="5093">
        <f t="shared" si="0"/>
        <v>76.165803108808291</v>
      </c>
      <c r="H32" s="5094">
        <v>0.74829931972789121</v>
      </c>
      <c r="I32" s="5094">
        <v>0.25170068027210885</v>
      </c>
      <c r="J32" s="5094">
        <v>7.1428571428571425E-2</v>
      </c>
      <c r="K32" s="5094">
        <v>6.25E-2</v>
      </c>
      <c r="L32" s="5094">
        <v>0.23214285714285715</v>
      </c>
      <c r="M32" s="5094">
        <v>0.19642857142857142</v>
      </c>
      <c r="N32" s="5094">
        <v>0.4375</v>
      </c>
      <c r="O32" s="2203"/>
      <c r="P32" s="2203"/>
      <c r="Q32" s="2203"/>
      <c r="R32" s="2203"/>
      <c r="S32" s="2203"/>
      <c r="T32" s="2203"/>
      <c r="U32" s="2203"/>
      <c r="V32" s="2203"/>
      <c r="W32" s="2203"/>
      <c r="X32" s="2203"/>
      <c r="Y32" s="2203"/>
      <c r="Z32" s="2203"/>
    </row>
    <row r="33" spans="1:26" s="4854" customFormat="1">
      <c r="A33" s="5865"/>
      <c r="B33" s="5865"/>
      <c r="C33" s="5095" t="s">
        <v>3030</v>
      </c>
      <c r="D33" s="5865"/>
      <c r="E33" s="5091">
        <v>164</v>
      </c>
      <c r="F33" s="5092">
        <v>100</v>
      </c>
      <c r="G33" s="5093">
        <f t="shared" si="0"/>
        <v>60.975609756097562</v>
      </c>
      <c r="H33" s="5094">
        <v>0.79</v>
      </c>
      <c r="I33" s="5094">
        <v>0.21</v>
      </c>
      <c r="J33" s="5094">
        <v>3.8461538461538464E-2</v>
      </c>
      <c r="K33" s="5094">
        <v>3.8461538461538464E-2</v>
      </c>
      <c r="L33" s="5094">
        <v>0.19230769230769235</v>
      </c>
      <c r="M33" s="5094">
        <v>0.30769230769230771</v>
      </c>
      <c r="N33" s="5094">
        <v>0.42307692307692307</v>
      </c>
      <c r="O33" s="2203"/>
      <c r="P33" s="2203"/>
      <c r="Q33" s="2203"/>
      <c r="R33" s="2203"/>
      <c r="S33" s="2203"/>
      <c r="T33" s="2203"/>
      <c r="U33" s="2203"/>
      <c r="V33" s="2203"/>
      <c r="W33" s="2203"/>
      <c r="X33" s="2203"/>
      <c r="Y33" s="2203"/>
      <c r="Z33" s="2203"/>
    </row>
    <row r="34" spans="1:26" s="4854" customFormat="1">
      <c r="A34" s="5865"/>
      <c r="B34" s="5865"/>
      <c r="C34" s="5095" t="s">
        <v>472</v>
      </c>
      <c r="D34" s="5865"/>
      <c r="E34" s="5091">
        <v>59</v>
      </c>
      <c r="F34" s="5092">
        <v>34</v>
      </c>
      <c r="G34" s="5093">
        <f t="shared" si="0"/>
        <v>57.627118644067799</v>
      </c>
      <c r="H34" s="5094">
        <v>0.73529411764705888</v>
      </c>
      <c r="I34" s="5094">
        <v>0.26470588235294118</v>
      </c>
      <c r="J34" s="5096">
        <v>0</v>
      </c>
      <c r="K34" s="5094">
        <v>4.1666666666666657E-2</v>
      </c>
      <c r="L34" s="5094">
        <v>0.16666666666666663</v>
      </c>
      <c r="M34" s="5094">
        <v>0.125</v>
      </c>
      <c r="N34" s="5094">
        <v>0.66666666666666652</v>
      </c>
      <c r="O34" s="2203"/>
      <c r="P34" s="2203"/>
      <c r="Q34" s="2203"/>
      <c r="R34" s="2203"/>
      <c r="S34" s="2203"/>
      <c r="T34" s="2203"/>
      <c r="U34" s="2203"/>
      <c r="V34" s="2203"/>
      <c r="W34" s="2203"/>
      <c r="X34" s="2203"/>
      <c r="Y34" s="2203"/>
      <c r="Z34" s="2203"/>
    </row>
    <row r="35" spans="1:26" s="4854" customFormat="1">
      <c r="A35" s="5865"/>
      <c r="B35" s="5865"/>
      <c r="C35" s="5095" t="s">
        <v>2490</v>
      </c>
      <c r="D35" s="5865"/>
      <c r="E35" s="5091">
        <v>8</v>
      </c>
      <c r="F35" s="5092">
        <v>7</v>
      </c>
      <c r="G35" s="5093">
        <f t="shared" si="0"/>
        <v>87.5</v>
      </c>
      <c r="H35" s="5094">
        <v>0.7142857142857143</v>
      </c>
      <c r="I35" s="5094">
        <v>0.2857142857142857</v>
      </c>
      <c r="J35" s="5096">
        <v>0</v>
      </c>
      <c r="K35" s="5096">
        <v>0</v>
      </c>
      <c r="L35" s="5094">
        <v>0.2</v>
      </c>
      <c r="M35" s="5094">
        <v>0.2</v>
      </c>
      <c r="N35" s="5094">
        <v>0.6</v>
      </c>
      <c r="O35" s="2203"/>
      <c r="P35" s="2203"/>
      <c r="Q35" s="2203"/>
      <c r="R35" s="2203"/>
      <c r="S35" s="2203"/>
      <c r="T35" s="2203"/>
      <c r="U35" s="2203"/>
      <c r="V35" s="2203"/>
      <c r="W35" s="2203"/>
      <c r="X35" s="2203"/>
      <c r="Y35" s="2203"/>
      <c r="Z35" s="2203"/>
    </row>
    <row r="36" spans="1:26" s="4854" customFormat="1">
      <c r="A36" s="5865"/>
      <c r="B36" s="5865"/>
      <c r="C36" s="5095" t="s">
        <v>2632</v>
      </c>
      <c r="D36" s="5865"/>
      <c r="E36" s="5091">
        <v>92</v>
      </c>
      <c r="F36" s="5092">
        <v>66</v>
      </c>
      <c r="G36" s="5093">
        <f t="shared" si="0"/>
        <v>71.739130434782609</v>
      </c>
      <c r="H36" s="5094">
        <v>0.5757575757575758</v>
      </c>
      <c r="I36" s="5094">
        <v>0.4242424242424242</v>
      </c>
      <c r="J36" s="5096">
        <v>0</v>
      </c>
      <c r="K36" s="5094">
        <v>0.05</v>
      </c>
      <c r="L36" s="5094">
        <v>0.15</v>
      </c>
      <c r="M36" s="5094">
        <v>0.375</v>
      </c>
      <c r="N36" s="5094">
        <v>0.42499999999999999</v>
      </c>
      <c r="O36" s="2203"/>
      <c r="P36" s="2203"/>
      <c r="Q36" s="2203"/>
      <c r="R36" s="2203"/>
      <c r="S36" s="2203"/>
      <c r="T36" s="2203"/>
      <c r="U36" s="2203"/>
      <c r="V36" s="2203"/>
      <c r="W36" s="2203"/>
      <c r="X36" s="2203"/>
      <c r="Y36" s="2203"/>
      <c r="Z36" s="2203"/>
    </row>
    <row r="37" spans="1:26" s="4854" customFormat="1">
      <c r="A37" s="5865"/>
      <c r="B37" s="5865"/>
      <c r="C37" s="5095" t="s">
        <v>119</v>
      </c>
      <c r="D37" s="5865"/>
      <c r="E37" s="5091">
        <v>26</v>
      </c>
      <c r="F37" s="5092">
        <v>20</v>
      </c>
      <c r="G37" s="5093">
        <f t="shared" si="0"/>
        <v>76.92307692307692</v>
      </c>
      <c r="H37" s="5094">
        <v>0.55000000000000004</v>
      </c>
      <c r="I37" s="5094">
        <v>0.45</v>
      </c>
      <c r="J37" s="5096">
        <v>0</v>
      </c>
      <c r="K37" s="5096">
        <v>0</v>
      </c>
      <c r="L37" s="5094">
        <v>0.1</v>
      </c>
      <c r="M37" s="5094">
        <v>0.4</v>
      </c>
      <c r="N37" s="5094">
        <v>0.5</v>
      </c>
      <c r="O37" s="2203"/>
      <c r="P37" s="2203"/>
      <c r="Q37" s="2203"/>
      <c r="R37" s="2203"/>
      <c r="S37" s="2203"/>
      <c r="T37" s="2203"/>
      <c r="U37" s="2203"/>
      <c r="V37" s="2203"/>
      <c r="W37" s="2203"/>
      <c r="X37" s="2203"/>
      <c r="Y37" s="2203"/>
      <c r="Z37" s="2203"/>
    </row>
    <row r="38" spans="1:26" s="4854" customFormat="1">
      <c r="A38" s="5865"/>
      <c r="B38" s="5865"/>
      <c r="C38" s="5095" t="s">
        <v>3031</v>
      </c>
      <c r="D38" s="5865"/>
      <c r="E38" s="5091">
        <v>38</v>
      </c>
      <c r="F38" s="5092">
        <v>31</v>
      </c>
      <c r="G38" s="5093">
        <f t="shared" si="0"/>
        <v>81.578947368421055</v>
      </c>
      <c r="H38" s="5094">
        <v>1</v>
      </c>
      <c r="I38" s="5096">
        <v>0</v>
      </c>
      <c r="J38" s="5094">
        <v>3.3333333333333333E-2</v>
      </c>
      <c r="K38" s="5094">
        <v>3.3333333333333333E-2</v>
      </c>
      <c r="L38" s="5094">
        <v>0.23333333333333331</v>
      </c>
      <c r="M38" s="5094">
        <v>0.3</v>
      </c>
      <c r="N38" s="5094">
        <v>0.4</v>
      </c>
      <c r="O38" s="2203"/>
      <c r="P38" s="2203"/>
      <c r="Q38" s="2203"/>
      <c r="R38" s="2203"/>
      <c r="S38" s="2203"/>
      <c r="T38" s="2203"/>
      <c r="U38" s="2203"/>
      <c r="V38" s="2203"/>
      <c r="W38" s="2203"/>
      <c r="X38" s="2203"/>
      <c r="Y38" s="2203"/>
      <c r="Z38" s="2203"/>
    </row>
    <row r="39" spans="1:26" s="4854" customFormat="1">
      <c r="A39" s="5865"/>
      <c r="B39" s="5865"/>
      <c r="C39" s="5095" t="s">
        <v>2490</v>
      </c>
      <c r="D39" s="5865" t="s">
        <v>248</v>
      </c>
      <c r="E39" s="5091">
        <v>6</v>
      </c>
      <c r="F39" s="5092">
        <v>3</v>
      </c>
      <c r="G39" s="5093">
        <f t="shared" si="0"/>
        <v>50</v>
      </c>
      <c r="H39" s="5094">
        <v>1</v>
      </c>
      <c r="I39" s="5096">
        <v>0</v>
      </c>
      <c r="J39" s="5096">
        <v>0</v>
      </c>
      <c r="K39" s="5096">
        <v>0</v>
      </c>
      <c r="L39" s="5096">
        <v>0</v>
      </c>
      <c r="M39" s="5094">
        <v>0.33333333333333326</v>
      </c>
      <c r="N39" s="5094">
        <v>0.66666666666666652</v>
      </c>
      <c r="O39" s="2203"/>
      <c r="P39" s="2203"/>
      <c r="Q39" s="2203"/>
      <c r="R39" s="2203"/>
      <c r="S39" s="2203"/>
      <c r="T39" s="2203"/>
      <c r="U39" s="2203"/>
      <c r="V39" s="2203"/>
      <c r="W39" s="2203"/>
      <c r="X39" s="2203"/>
      <c r="Y39" s="2203"/>
      <c r="Z39" s="2203"/>
    </row>
    <row r="40" spans="1:26" s="4854" customFormat="1">
      <c r="A40" s="5865"/>
      <c r="B40" s="5865"/>
      <c r="C40" s="5095" t="s">
        <v>2632</v>
      </c>
      <c r="D40" s="5865"/>
      <c r="E40" s="5091">
        <v>42</v>
      </c>
      <c r="F40" s="5092">
        <v>23</v>
      </c>
      <c r="G40" s="5093">
        <f t="shared" si="0"/>
        <v>54.761904761904759</v>
      </c>
      <c r="H40" s="5094">
        <v>0.73913043478260865</v>
      </c>
      <c r="I40" s="5094">
        <v>0.2608695652173913</v>
      </c>
      <c r="J40" s="5096">
        <v>0</v>
      </c>
      <c r="K40" s="5096">
        <v>0</v>
      </c>
      <c r="L40" s="5094">
        <v>5.8823529411764698E-2</v>
      </c>
      <c r="M40" s="5094">
        <v>0.17647058823529413</v>
      </c>
      <c r="N40" s="5094">
        <v>0.76470588235294112</v>
      </c>
      <c r="O40" s="2203"/>
      <c r="P40" s="2203"/>
      <c r="Q40" s="2203"/>
      <c r="R40" s="2203"/>
      <c r="S40" s="2203"/>
      <c r="T40" s="2203"/>
      <c r="U40" s="2203"/>
      <c r="V40" s="2203"/>
      <c r="W40" s="2203"/>
      <c r="X40" s="2203"/>
      <c r="Y40" s="2203"/>
      <c r="Z40" s="2203"/>
    </row>
    <row r="41" spans="1:26" s="4854" customFormat="1">
      <c r="A41" s="5865"/>
      <c r="B41" s="5865"/>
      <c r="C41" s="5095" t="s">
        <v>119</v>
      </c>
      <c r="D41" s="5865"/>
      <c r="E41" s="5091">
        <v>30</v>
      </c>
      <c r="F41" s="5092">
        <v>24</v>
      </c>
      <c r="G41" s="5093">
        <f t="shared" si="0"/>
        <v>80</v>
      </c>
      <c r="H41" s="5094">
        <v>0.875</v>
      </c>
      <c r="I41" s="5094">
        <v>0.125</v>
      </c>
      <c r="J41" s="5096">
        <v>0</v>
      </c>
      <c r="K41" s="5094">
        <v>4.7619047619047616E-2</v>
      </c>
      <c r="L41" s="5094">
        <v>0.19047619047619047</v>
      </c>
      <c r="M41" s="5094">
        <v>0.19047619047619047</v>
      </c>
      <c r="N41" s="5094">
        <v>0.5714285714285714</v>
      </c>
      <c r="O41" s="2203"/>
      <c r="P41" s="2203"/>
      <c r="Q41" s="2203"/>
      <c r="R41" s="2203"/>
      <c r="S41" s="2203"/>
      <c r="T41" s="2203"/>
      <c r="U41" s="2203"/>
      <c r="V41" s="2203"/>
      <c r="W41" s="2203"/>
      <c r="X41" s="2203"/>
      <c r="Y41" s="2203"/>
      <c r="Z41" s="2203"/>
    </row>
    <row r="42" spans="1:26" s="4854" customFormat="1">
      <c r="A42" s="5865"/>
      <c r="B42" s="5865" t="s">
        <v>2435</v>
      </c>
      <c r="C42" s="5095" t="s">
        <v>2279</v>
      </c>
      <c r="D42" s="5865" t="s">
        <v>265</v>
      </c>
      <c r="E42" s="5091">
        <v>45</v>
      </c>
      <c r="F42" s="5092">
        <v>16</v>
      </c>
      <c r="G42" s="5093">
        <f t="shared" si="0"/>
        <v>35.555555555555557</v>
      </c>
      <c r="H42" s="5094">
        <v>0.8125</v>
      </c>
      <c r="I42" s="5094">
        <v>0.1875</v>
      </c>
      <c r="J42" s="5096">
        <v>0</v>
      </c>
      <c r="K42" s="5096">
        <v>0</v>
      </c>
      <c r="L42" s="5094">
        <v>0.15384615384615385</v>
      </c>
      <c r="M42" s="5094">
        <v>7.6923076923076927E-2</v>
      </c>
      <c r="N42" s="5094">
        <v>0.76923076923076938</v>
      </c>
      <c r="O42" s="2203"/>
      <c r="P42" s="2203"/>
      <c r="Q42" s="2203"/>
      <c r="R42" s="2203"/>
      <c r="S42" s="2203"/>
      <c r="T42" s="2203"/>
      <c r="U42" s="2203"/>
      <c r="V42" s="2203"/>
      <c r="W42" s="2203"/>
      <c r="X42" s="2203"/>
      <c r="Y42" s="2203"/>
      <c r="Z42" s="2203"/>
    </row>
    <row r="43" spans="1:26" s="4854" customFormat="1">
      <c r="A43" s="5865"/>
      <c r="B43" s="5865"/>
      <c r="C43" s="5095" t="s">
        <v>2633</v>
      </c>
      <c r="D43" s="5865"/>
      <c r="E43" s="5091">
        <v>374</v>
      </c>
      <c r="F43" s="5092">
        <v>146</v>
      </c>
      <c r="G43" s="5093">
        <f t="shared" si="0"/>
        <v>39.037433155080215</v>
      </c>
      <c r="H43" s="5094">
        <v>0.85616438356164382</v>
      </c>
      <c r="I43" s="5094">
        <v>0.14383561643835616</v>
      </c>
      <c r="J43" s="5094">
        <v>4.878048780487805E-2</v>
      </c>
      <c r="K43" s="5094">
        <v>2.4390243902439025E-2</v>
      </c>
      <c r="L43" s="5094">
        <v>9.7560975609756101E-2</v>
      </c>
      <c r="M43" s="5094">
        <v>0.13008130081300814</v>
      </c>
      <c r="N43" s="5094">
        <v>0.69918699186991873</v>
      </c>
      <c r="O43" s="2203"/>
      <c r="P43" s="2203"/>
      <c r="Q43" s="2203"/>
      <c r="R43" s="2203"/>
      <c r="S43" s="2203"/>
      <c r="T43" s="2203"/>
      <c r="U43" s="2203"/>
      <c r="V43" s="2203"/>
      <c r="W43" s="2203"/>
      <c r="X43" s="2203"/>
      <c r="Y43" s="2203"/>
      <c r="Z43" s="2203"/>
    </row>
    <row r="44" spans="1:26" s="4854" customFormat="1">
      <c r="A44" s="5865"/>
      <c r="B44" s="5865"/>
      <c r="C44" s="5095" t="s">
        <v>1638</v>
      </c>
      <c r="D44" s="5865"/>
      <c r="E44" s="5091">
        <v>13</v>
      </c>
      <c r="F44" s="5092">
        <v>1</v>
      </c>
      <c r="G44" s="5093">
        <f t="shared" si="0"/>
        <v>7.6923076923076925</v>
      </c>
      <c r="H44" s="5094">
        <v>1</v>
      </c>
      <c r="I44" s="5096">
        <v>0</v>
      </c>
      <c r="J44" s="5096">
        <v>0</v>
      </c>
      <c r="K44" s="5096">
        <v>0</v>
      </c>
      <c r="L44" s="5096">
        <v>0</v>
      </c>
      <c r="M44" s="5096">
        <v>0</v>
      </c>
      <c r="N44" s="5094">
        <v>1</v>
      </c>
      <c r="O44" s="2203"/>
      <c r="P44" s="2203"/>
      <c r="Q44" s="2203"/>
      <c r="R44" s="2203"/>
      <c r="S44" s="2203"/>
      <c r="T44" s="2203"/>
      <c r="U44" s="2203"/>
      <c r="V44" s="2203"/>
      <c r="W44" s="2203"/>
      <c r="X44" s="2203"/>
      <c r="Y44" s="2203"/>
      <c r="Z44" s="2203"/>
    </row>
    <row r="45" spans="1:26" s="4854" customFormat="1">
      <c r="A45" s="5865"/>
      <c r="B45" s="5865"/>
      <c r="C45" s="5095" t="s">
        <v>1640</v>
      </c>
      <c r="D45" s="5865"/>
      <c r="E45" s="5091">
        <v>4</v>
      </c>
      <c r="F45" s="5092">
        <v>4</v>
      </c>
      <c r="G45" s="5093">
        <f t="shared" si="0"/>
        <v>100</v>
      </c>
      <c r="H45" s="5094">
        <v>1</v>
      </c>
      <c r="I45" s="5096">
        <v>0</v>
      </c>
      <c r="J45" s="5096">
        <v>0</v>
      </c>
      <c r="K45" s="5096">
        <v>0</v>
      </c>
      <c r="L45" s="5096">
        <v>0</v>
      </c>
      <c r="M45" s="5094">
        <v>0.25</v>
      </c>
      <c r="N45" s="5094">
        <v>0.75</v>
      </c>
      <c r="O45" s="2203"/>
      <c r="P45" s="2203"/>
      <c r="Q45" s="2203"/>
      <c r="R45" s="2203"/>
      <c r="S45" s="2203"/>
      <c r="T45" s="2203"/>
      <c r="U45" s="2203"/>
      <c r="V45" s="2203"/>
      <c r="W45" s="2203"/>
      <c r="X45" s="2203"/>
      <c r="Y45" s="2203"/>
      <c r="Z45" s="2203"/>
    </row>
    <row r="46" spans="1:26" s="4854" customFormat="1">
      <c r="A46" s="5865"/>
      <c r="B46" s="5865"/>
      <c r="C46" s="5095" t="s">
        <v>1637</v>
      </c>
      <c r="D46" s="5865"/>
      <c r="E46" s="5091">
        <v>39</v>
      </c>
      <c r="F46" s="5092">
        <v>24</v>
      </c>
      <c r="G46" s="5093">
        <f t="shared" si="0"/>
        <v>61.53846153846154</v>
      </c>
      <c r="H46" s="5094">
        <v>0.5714285714285714</v>
      </c>
      <c r="I46" s="5094">
        <v>0.42857142857142855</v>
      </c>
      <c r="J46" s="5096">
        <v>0</v>
      </c>
      <c r="K46" s="5094">
        <v>0.25</v>
      </c>
      <c r="L46" s="5096">
        <v>0</v>
      </c>
      <c r="M46" s="5094">
        <v>0.25</v>
      </c>
      <c r="N46" s="5094">
        <v>0.5</v>
      </c>
      <c r="O46" s="2203"/>
      <c r="P46" s="2203"/>
      <c r="Q46" s="2203"/>
      <c r="R46" s="2203"/>
      <c r="S46" s="2203"/>
      <c r="T46" s="2203"/>
      <c r="U46" s="2203"/>
      <c r="V46" s="2203"/>
      <c r="W46" s="2203"/>
      <c r="X46" s="2203"/>
      <c r="Y46" s="2203"/>
      <c r="Z46" s="2203"/>
    </row>
    <row r="47" spans="1:26" s="4854" customFormat="1">
      <c r="A47" s="5865"/>
      <c r="B47" s="5865"/>
      <c r="C47" s="5095" t="s">
        <v>1641</v>
      </c>
      <c r="D47" s="5865"/>
      <c r="E47" s="5091">
        <v>1</v>
      </c>
      <c r="F47" s="5092">
        <v>1</v>
      </c>
      <c r="G47" s="5093">
        <f t="shared" si="0"/>
        <v>100</v>
      </c>
      <c r="H47" s="5094">
        <v>1</v>
      </c>
      <c r="I47" s="5096">
        <v>0</v>
      </c>
      <c r="J47" s="5096">
        <v>0</v>
      </c>
      <c r="K47" s="5096">
        <v>0</v>
      </c>
      <c r="L47" s="5094">
        <v>1</v>
      </c>
      <c r="M47" s="5096">
        <v>0</v>
      </c>
      <c r="N47" s="5096">
        <v>0</v>
      </c>
      <c r="O47" s="2203"/>
      <c r="P47" s="2203"/>
      <c r="Q47" s="2203"/>
      <c r="R47" s="2203"/>
      <c r="S47" s="2203"/>
      <c r="T47" s="2203"/>
      <c r="U47" s="2203"/>
      <c r="V47" s="2203"/>
      <c r="W47" s="2203"/>
      <c r="X47" s="2203"/>
      <c r="Y47" s="2203"/>
      <c r="Z47" s="2203"/>
    </row>
    <row r="48" spans="1:26" s="4854" customFormat="1">
      <c r="A48" s="5865"/>
      <c r="B48" s="5865"/>
      <c r="C48" s="5095" t="s">
        <v>2633</v>
      </c>
      <c r="D48" s="5865" t="s">
        <v>247</v>
      </c>
      <c r="E48" s="5091">
        <v>200</v>
      </c>
      <c r="F48" s="5092">
        <v>53</v>
      </c>
      <c r="G48" s="5093">
        <f t="shared" si="0"/>
        <v>26.5</v>
      </c>
      <c r="H48" s="5094">
        <v>0.73584905660377364</v>
      </c>
      <c r="I48" s="5094">
        <v>0.26415094339622641</v>
      </c>
      <c r="J48" s="5094">
        <v>2.5000000000000001E-2</v>
      </c>
      <c r="K48" s="5094">
        <v>7.4999999999999997E-2</v>
      </c>
      <c r="L48" s="5094">
        <v>0.125</v>
      </c>
      <c r="M48" s="5094">
        <v>0.22500000000000001</v>
      </c>
      <c r="N48" s="5094">
        <v>0.55000000000000004</v>
      </c>
      <c r="O48" s="2203"/>
      <c r="P48" s="2203"/>
      <c r="Q48" s="2203"/>
      <c r="R48" s="2203"/>
      <c r="S48" s="2203"/>
      <c r="T48" s="2203"/>
      <c r="U48" s="2203"/>
      <c r="V48" s="2203"/>
      <c r="W48" s="2203"/>
      <c r="X48" s="2203"/>
      <c r="Y48" s="2203"/>
      <c r="Z48" s="2203"/>
    </row>
    <row r="49" spans="1:26" s="4854" customFormat="1">
      <c r="A49" s="5865"/>
      <c r="B49" s="5865"/>
      <c r="C49" s="5095" t="s">
        <v>1638</v>
      </c>
      <c r="D49" s="5865"/>
      <c r="E49" s="5091">
        <v>25</v>
      </c>
      <c r="F49" s="5092">
        <v>4</v>
      </c>
      <c r="G49" s="5093">
        <f t="shared" si="0"/>
        <v>16</v>
      </c>
      <c r="H49" s="5094">
        <v>1</v>
      </c>
      <c r="I49" s="5096">
        <v>0</v>
      </c>
      <c r="J49" s="5096">
        <v>0</v>
      </c>
      <c r="K49" s="5094">
        <v>0.25</v>
      </c>
      <c r="L49" s="5096">
        <v>0</v>
      </c>
      <c r="M49" s="5094">
        <v>0.25</v>
      </c>
      <c r="N49" s="5094">
        <v>0.5</v>
      </c>
      <c r="O49" s="2203"/>
      <c r="P49" s="2203"/>
      <c r="Q49" s="2203"/>
      <c r="R49" s="2203"/>
      <c r="S49" s="2203"/>
      <c r="T49" s="2203"/>
      <c r="U49" s="2203"/>
      <c r="V49" s="2203"/>
      <c r="W49" s="2203"/>
      <c r="X49" s="2203"/>
      <c r="Y49" s="2203"/>
      <c r="Z49" s="2203"/>
    </row>
    <row r="50" spans="1:26" s="4854" customFormat="1">
      <c r="A50" s="5865"/>
      <c r="B50" s="5865"/>
      <c r="C50" s="5095" t="s">
        <v>1639</v>
      </c>
      <c r="D50" s="5865"/>
      <c r="E50" s="5091">
        <v>16</v>
      </c>
      <c r="F50" s="5092">
        <v>2</v>
      </c>
      <c r="G50" s="5093">
        <f t="shared" si="0"/>
        <v>12.5</v>
      </c>
      <c r="H50" s="5094">
        <v>1</v>
      </c>
      <c r="I50" s="5096">
        <v>0</v>
      </c>
      <c r="J50" s="5096">
        <v>0</v>
      </c>
      <c r="K50" s="5096">
        <v>0</v>
      </c>
      <c r="L50" s="5096">
        <v>0</v>
      </c>
      <c r="M50" s="5094">
        <v>0.5</v>
      </c>
      <c r="N50" s="5094">
        <v>0.5</v>
      </c>
      <c r="O50" s="2203"/>
      <c r="P50" s="2203"/>
      <c r="Q50" s="2203"/>
      <c r="R50" s="2203"/>
      <c r="S50" s="2203"/>
      <c r="T50" s="2203"/>
      <c r="U50" s="2203"/>
      <c r="V50" s="2203"/>
      <c r="W50" s="2203"/>
      <c r="X50" s="2203"/>
      <c r="Y50" s="2203"/>
      <c r="Z50" s="2203"/>
    </row>
    <row r="51" spans="1:26" s="4854" customFormat="1">
      <c r="A51" s="5865"/>
      <c r="B51" s="5865"/>
      <c r="C51" s="5095" t="s">
        <v>1640</v>
      </c>
      <c r="D51" s="5865"/>
      <c r="E51" s="5091">
        <v>30</v>
      </c>
      <c r="F51" s="5092">
        <v>17</v>
      </c>
      <c r="G51" s="5093">
        <f t="shared" si="0"/>
        <v>56.666666666666664</v>
      </c>
      <c r="H51" s="5094">
        <v>0.41176470588235292</v>
      </c>
      <c r="I51" s="5094">
        <v>0.58823529411764708</v>
      </c>
      <c r="J51" s="5096">
        <v>0</v>
      </c>
      <c r="K51" s="5094">
        <v>0.14285714285714285</v>
      </c>
      <c r="L51" s="5094">
        <v>0.14285714285714285</v>
      </c>
      <c r="M51" s="5094">
        <v>0.14285714285714285</v>
      </c>
      <c r="N51" s="5094">
        <v>0.5714285714285714</v>
      </c>
      <c r="O51" s="2203"/>
      <c r="P51" s="2203"/>
      <c r="Q51" s="2203"/>
      <c r="R51" s="2203"/>
      <c r="S51" s="2203"/>
      <c r="T51" s="2203"/>
      <c r="U51" s="2203"/>
      <c r="V51" s="2203"/>
      <c r="W51" s="2203"/>
      <c r="X51" s="2203"/>
      <c r="Y51" s="2203"/>
      <c r="Z51" s="2203"/>
    </row>
    <row r="52" spans="1:26" s="4854" customFormat="1">
      <c r="A52" s="5865"/>
      <c r="B52" s="5865"/>
      <c r="C52" s="5095" t="s">
        <v>1641</v>
      </c>
      <c r="D52" s="5865"/>
      <c r="E52" s="5091">
        <v>20</v>
      </c>
      <c r="F52" s="5092">
        <v>2</v>
      </c>
      <c r="G52" s="5093">
        <f t="shared" si="0"/>
        <v>10</v>
      </c>
      <c r="H52" s="5094">
        <v>1</v>
      </c>
      <c r="I52" s="5096">
        <v>0</v>
      </c>
      <c r="J52" s="5096">
        <v>0</v>
      </c>
      <c r="K52" s="5096">
        <v>0</v>
      </c>
      <c r="L52" s="5094">
        <v>0.5</v>
      </c>
      <c r="M52" s="5096">
        <v>0</v>
      </c>
      <c r="N52" s="5094">
        <v>0.5</v>
      </c>
      <c r="O52" s="2203"/>
      <c r="P52" s="2203"/>
      <c r="Q52" s="2203"/>
      <c r="R52" s="2203"/>
      <c r="S52" s="2203"/>
      <c r="T52" s="2203"/>
      <c r="U52" s="2203"/>
      <c r="V52" s="2203"/>
      <c r="W52" s="2203"/>
      <c r="X52" s="2203"/>
      <c r="Y52" s="2203"/>
      <c r="Z52" s="2203"/>
    </row>
    <row r="53" spans="1:26" s="4854" customFormat="1">
      <c r="A53" s="5865"/>
      <c r="B53" s="5865"/>
      <c r="C53" s="5095" t="s">
        <v>2633</v>
      </c>
      <c r="D53" s="5865" t="s">
        <v>248</v>
      </c>
      <c r="E53" s="5091">
        <v>68</v>
      </c>
      <c r="F53" s="5092">
        <v>22</v>
      </c>
      <c r="G53" s="5093">
        <f t="shared" si="0"/>
        <v>32.352941176470587</v>
      </c>
      <c r="H53" s="5094">
        <v>0.90909090909090906</v>
      </c>
      <c r="I53" s="5094">
        <v>9.0909090909090912E-2</v>
      </c>
      <c r="J53" s="5094">
        <v>5.2631578947368418E-2</v>
      </c>
      <c r="K53" s="5094">
        <v>5.2631578947368418E-2</v>
      </c>
      <c r="L53" s="5094">
        <v>0.15789473684210525</v>
      </c>
      <c r="M53" s="5094">
        <v>5.2631578947368418E-2</v>
      </c>
      <c r="N53" s="5094">
        <v>0.68421052631578949</v>
      </c>
      <c r="O53" s="2203"/>
      <c r="P53" s="2203"/>
      <c r="Q53" s="2203"/>
      <c r="R53" s="2203"/>
      <c r="S53" s="2203"/>
      <c r="T53" s="2203"/>
      <c r="U53" s="2203"/>
      <c r="V53" s="2203"/>
      <c r="W53" s="2203"/>
      <c r="X53" s="2203"/>
      <c r="Y53" s="2203"/>
      <c r="Z53" s="2203"/>
    </row>
    <row r="54" spans="1:26" s="4854" customFormat="1">
      <c r="A54" s="5865"/>
      <c r="B54" s="5865"/>
      <c r="C54" s="5095" t="s">
        <v>1640</v>
      </c>
      <c r="D54" s="5865"/>
      <c r="E54" s="5091">
        <v>21</v>
      </c>
      <c r="F54" s="5092">
        <v>2</v>
      </c>
      <c r="G54" s="5093">
        <f t="shared" si="0"/>
        <v>9.5238095238095237</v>
      </c>
      <c r="H54" s="5094">
        <v>1</v>
      </c>
      <c r="I54" s="5096">
        <v>0</v>
      </c>
      <c r="J54" s="5096">
        <v>0</v>
      </c>
      <c r="K54" s="5094">
        <v>0.5</v>
      </c>
      <c r="L54" s="5094">
        <v>0.5</v>
      </c>
      <c r="M54" s="5096">
        <v>0</v>
      </c>
      <c r="N54" s="5096">
        <v>0</v>
      </c>
      <c r="O54" s="2203"/>
      <c r="P54" s="2203"/>
      <c r="Q54" s="2203"/>
      <c r="R54" s="2203"/>
      <c r="S54" s="2203"/>
      <c r="T54" s="2203"/>
      <c r="U54" s="2203"/>
      <c r="V54" s="2203"/>
      <c r="W54" s="2203"/>
      <c r="X54" s="2203"/>
      <c r="Y54" s="2203"/>
      <c r="Z54" s="2203"/>
    </row>
    <row r="55" spans="1:26" s="4854" customFormat="1">
      <c r="A55" s="5865" t="s">
        <v>25</v>
      </c>
      <c r="B55" s="5865" t="s">
        <v>2439</v>
      </c>
      <c r="C55" s="5095" t="s">
        <v>3032</v>
      </c>
      <c r="D55" s="5865" t="s">
        <v>247</v>
      </c>
      <c r="E55" s="5091">
        <v>78</v>
      </c>
      <c r="F55" s="5092">
        <v>27</v>
      </c>
      <c r="G55" s="5093">
        <f t="shared" si="0"/>
        <v>34.615384615384613</v>
      </c>
      <c r="H55" s="5094">
        <v>0.74074074074074081</v>
      </c>
      <c r="I55" s="5094">
        <v>0.25925925925925924</v>
      </c>
      <c r="J55" s="5096">
        <v>0</v>
      </c>
      <c r="K55" s="5094">
        <v>0.05</v>
      </c>
      <c r="L55" s="5094">
        <v>0.05</v>
      </c>
      <c r="M55" s="5094">
        <v>0.3</v>
      </c>
      <c r="N55" s="5094">
        <v>0.6</v>
      </c>
      <c r="O55" s="2203"/>
      <c r="P55" s="2203"/>
      <c r="Q55" s="2203"/>
      <c r="R55" s="2203"/>
      <c r="S55" s="2203"/>
      <c r="T55" s="2203"/>
      <c r="U55" s="2203"/>
      <c r="V55" s="2203"/>
      <c r="W55" s="2203"/>
      <c r="X55" s="2203"/>
      <c r="Y55" s="2203"/>
      <c r="Z55" s="2203"/>
    </row>
    <row r="56" spans="1:26" s="4854" customFormat="1">
      <c r="A56" s="5865"/>
      <c r="B56" s="5865"/>
      <c r="C56" s="5095" t="s">
        <v>3033</v>
      </c>
      <c r="D56" s="5865"/>
      <c r="E56" s="5091">
        <v>159</v>
      </c>
      <c r="F56" s="5092">
        <v>71</v>
      </c>
      <c r="G56" s="5093">
        <f t="shared" si="0"/>
        <v>44.654088050314463</v>
      </c>
      <c r="H56" s="5094">
        <v>0.88732394366197187</v>
      </c>
      <c r="I56" s="5094">
        <v>0.11267605633802819</v>
      </c>
      <c r="J56" s="5094">
        <v>3.1746031746031744E-2</v>
      </c>
      <c r="K56" s="5094">
        <v>6.3492063492063489E-2</v>
      </c>
      <c r="L56" s="5094">
        <v>0.12698412698412698</v>
      </c>
      <c r="M56" s="5094">
        <v>6.3492063492063489E-2</v>
      </c>
      <c r="N56" s="5094">
        <v>0.7142857142857143</v>
      </c>
      <c r="O56" s="2203"/>
      <c r="P56" s="2203"/>
      <c r="Q56" s="2203"/>
      <c r="R56" s="2203"/>
      <c r="S56" s="2203"/>
      <c r="T56" s="2203"/>
      <c r="U56" s="2203"/>
      <c r="V56" s="2203"/>
      <c r="W56" s="2203"/>
      <c r="X56" s="2203"/>
      <c r="Y56" s="2203"/>
      <c r="Z56" s="2203"/>
    </row>
    <row r="57" spans="1:26" s="4854" customFormat="1">
      <c r="A57" s="5865"/>
      <c r="B57" s="5865"/>
      <c r="C57" s="5095" t="s">
        <v>3034</v>
      </c>
      <c r="D57" s="5865"/>
      <c r="E57" s="5091">
        <v>58</v>
      </c>
      <c r="F57" s="5092">
        <v>9</v>
      </c>
      <c r="G57" s="5093">
        <f t="shared" si="0"/>
        <v>15.517241379310345</v>
      </c>
      <c r="H57" s="5094">
        <v>0.7777777777777779</v>
      </c>
      <c r="I57" s="5094">
        <v>0.22222222222222221</v>
      </c>
      <c r="J57" s="5096">
        <v>0</v>
      </c>
      <c r="K57" s="5096">
        <v>0</v>
      </c>
      <c r="L57" s="5096">
        <v>0</v>
      </c>
      <c r="M57" s="5096">
        <v>0</v>
      </c>
      <c r="N57" s="5094">
        <v>1</v>
      </c>
      <c r="O57" s="2203"/>
      <c r="P57" s="2203"/>
      <c r="Q57" s="2203"/>
      <c r="R57" s="2203"/>
      <c r="S57" s="2203"/>
      <c r="T57" s="2203"/>
      <c r="U57" s="2203"/>
      <c r="V57" s="2203"/>
      <c r="W57" s="2203"/>
      <c r="X57" s="2203"/>
      <c r="Y57" s="2203"/>
      <c r="Z57" s="2203"/>
    </row>
    <row r="58" spans="1:26" s="4854" customFormat="1">
      <c r="A58" s="5865"/>
      <c r="B58" s="5865"/>
      <c r="C58" s="5095" t="s">
        <v>2457</v>
      </c>
      <c r="D58" s="5865"/>
      <c r="E58" s="5091">
        <v>112</v>
      </c>
      <c r="F58" s="5092">
        <v>45</v>
      </c>
      <c r="G58" s="5093">
        <f t="shared" si="0"/>
        <v>40.178571428571431</v>
      </c>
      <c r="H58" s="5094">
        <v>0.84444444444444444</v>
      </c>
      <c r="I58" s="5094">
        <v>0.15555555555555556</v>
      </c>
      <c r="J58" s="5096">
        <v>0</v>
      </c>
      <c r="K58" s="5096">
        <v>0</v>
      </c>
      <c r="L58" s="5094">
        <v>0.1081081081081081</v>
      </c>
      <c r="M58" s="5094">
        <v>8.1081081081081086E-2</v>
      </c>
      <c r="N58" s="5094">
        <v>0.81081081081081086</v>
      </c>
      <c r="O58" s="2203"/>
      <c r="P58" s="2203"/>
      <c r="Q58" s="2203"/>
      <c r="R58" s="2203"/>
      <c r="S58" s="2203"/>
      <c r="T58" s="2203"/>
      <c r="U58" s="2203"/>
      <c r="V58" s="2203"/>
      <c r="W58" s="2203"/>
      <c r="X58" s="2203"/>
      <c r="Y58" s="2203"/>
      <c r="Z58" s="2203"/>
    </row>
    <row r="59" spans="1:26" s="4854" customFormat="1">
      <c r="A59" s="5865"/>
      <c r="B59" s="5865"/>
      <c r="C59" s="5095" t="s">
        <v>3035</v>
      </c>
      <c r="D59" s="5865"/>
      <c r="E59" s="5091">
        <v>36</v>
      </c>
      <c r="F59" s="5092">
        <v>25</v>
      </c>
      <c r="G59" s="5093">
        <f t="shared" si="0"/>
        <v>69.444444444444443</v>
      </c>
      <c r="H59" s="5094">
        <v>0.76</v>
      </c>
      <c r="I59" s="5094">
        <v>0.24</v>
      </c>
      <c r="J59" s="5094">
        <v>5.2631578947368418E-2</v>
      </c>
      <c r="K59" s="5096">
        <v>0</v>
      </c>
      <c r="L59" s="5094">
        <v>5.2631578947368418E-2</v>
      </c>
      <c r="M59" s="5094">
        <v>0.21052631578947367</v>
      </c>
      <c r="N59" s="5094">
        <v>0.68421052631578949</v>
      </c>
      <c r="O59" s="2203"/>
      <c r="P59" s="2203"/>
      <c r="Q59" s="2203"/>
      <c r="R59" s="2203"/>
      <c r="S59" s="2203"/>
      <c r="T59" s="2203"/>
      <c r="U59" s="2203"/>
      <c r="V59" s="2203"/>
      <c r="W59" s="2203"/>
      <c r="X59" s="2203"/>
      <c r="Y59" s="2203"/>
      <c r="Z59" s="2203"/>
    </row>
    <row r="60" spans="1:26" s="4854" customFormat="1">
      <c r="A60" s="5865"/>
      <c r="B60" s="5865"/>
      <c r="C60" s="5095" t="s">
        <v>120</v>
      </c>
      <c r="D60" s="5865"/>
      <c r="E60" s="5091">
        <v>95</v>
      </c>
      <c r="F60" s="5092">
        <v>84</v>
      </c>
      <c r="G60" s="5093">
        <f t="shared" si="0"/>
        <v>88.421052631578945</v>
      </c>
      <c r="H60" s="5094">
        <v>0.5357142857142857</v>
      </c>
      <c r="I60" s="5094">
        <v>0.4642857142857143</v>
      </c>
      <c r="J60" s="5094">
        <v>0.10204081632653061</v>
      </c>
      <c r="K60" s="5094">
        <v>4.0816326530612249E-2</v>
      </c>
      <c r="L60" s="5094">
        <v>0.18367346938775511</v>
      </c>
      <c r="M60" s="5094">
        <v>0.22448979591836735</v>
      </c>
      <c r="N60" s="5094">
        <v>0.44897959183673469</v>
      </c>
      <c r="O60" s="2203"/>
      <c r="P60" s="2203"/>
      <c r="Q60" s="2203"/>
      <c r="R60" s="2203"/>
      <c r="S60" s="2203"/>
      <c r="T60" s="2203"/>
      <c r="U60" s="2203"/>
      <c r="V60" s="2203"/>
      <c r="W60" s="2203"/>
      <c r="X60" s="2203"/>
      <c r="Y60" s="2203"/>
      <c r="Z60" s="2203"/>
    </row>
    <row r="61" spans="1:26" s="4854" customFormat="1">
      <c r="A61" s="5865"/>
      <c r="B61" s="5865"/>
      <c r="C61" s="5095" t="s">
        <v>121</v>
      </c>
      <c r="D61" s="5865"/>
      <c r="E61" s="5091">
        <v>217</v>
      </c>
      <c r="F61" s="5092">
        <v>174</v>
      </c>
      <c r="G61" s="5093">
        <f t="shared" si="0"/>
        <v>80.184331797235018</v>
      </c>
      <c r="H61" s="5094">
        <v>0.75287356321839083</v>
      </c>
      <c r="I61" s="5094">
        <v>0.2471264367816092</v>
      </c>
      <c r="J61" s="5094">
        <v>3.787878787878788E-2</v>
      </c>
      <c r="K61" s="5094">
        <v>7.575757575757576E-2</v>
      </c>
      <c r="L61" s="5094">
        <v>0.17424242424242425</v>
      </c>
      <c r="M61" s="5094">
        <v>0.28030303030303028</v>
      </c>
      <c r="N61" s="5094">
        <v>0.43181818181818182</v>
      </c>
      <c r="O61" s="2203"/>
      <c r="P61" s="2203"/>
      <c r="Q61" s="2203"/>
      <c r="R61" s="2203"/>
      <c r="S61" s="2203"/>
      <c r="T61" s="2203"/>
      <c r="U61" s="2203"/>
      <c r="V61" s="2203"/>
      <c r="W61" s="2203"/>
      <c r="X61" s="2203"/>
      <c r="Y61" s="2203"/>
      <c r="Z61" s="2203"/>
    </row>
    <row r="62" spans="1:26" s="4854" customFormat="1">
      <c r="A62" s="5865"/>
      <c r="B62" s="5865"/>
      <c r="C62" s="5095" t="s">
        <v>122</v>
      </c>
      <c r="D62" s="5865"/>
      <c r="E62" s="5091">
        <v>134</v>
      </c>
      <c r="F62" s="5092">
        <v>97</v>
      </c>
      <c r="G62" s="5093">
        <f t="shared" si="0"/>
        <v>72.388059701492537</v>
      </c>
      <c r="H62" s="5094">
        <v>0.55670103092783507</v>
      </c>
      <c r="I62" s="5094">
        <v>0.44329896907216493</v>
      </c>
      <c r="J62" s="5094">
        <v>8.9285714285714288E-2</v>
      </c>
      <c r="K62" s="5094">
        <v>8.9285714285714288E-2</v>
      </c>
      <c r="L62" s="5094">
        <v>0.14285714285714285</v>
      </c>
      <c r="M62" s="5094">
        <v>0.17857142857142858</v>
      </c>
      <c r="N62" s="5094">
        <v>0.5</v>
      </c>
      <c r="O62" s="2203"/>
      <c r="P62" s="2203"/>
      <c r="Q62" s="2203"/>
      <c r="R62" s="2203"/>
      <c r="S62" s="2203"/>
      <c r="T62" s="2203"/>
      <c r="U62" s="2203"/>
      <c r="V62" s="2203"/>
      <c r="W62" s="2203"/>
      <c r="X62" s="2203"/>
      <c r="Y62" s="2203"/>
      <c r="Z62" s="2203"/>
    </row>
    <row r="63" spans="1:26" s="4854" customFormat="1">
      <c r="A63" s="5865"/>
      <c r="B63" s="5865"/>
      <c r="C63" s="5095" t="s">
        <v>123</v>
      </c>
      <c r="D63" s="5865"/>
      <c r="E63" s="5091">
        <v>189</v>
      </c>
      <c r="F63" s="5092">
        <v>76</v>
      </c>
      <c r="G63" s="5093">
        <f t="shared" si="0"/>
        <v>40.211640211640209</v>
      </c>
      <c r="H63" s="5094">
        <v>0.63157894736842102</v>
      </c>
      <c r="I63" s="5094">
        <v>0.36842105263157893</v>
      </c>
      <c r="J63" s="5094">
        <v>2.0833333333333329E-2</v>
      </c>
      <c r="K63" s="5094">
        <v>8.3333333333333315E-2</v>
      </c>
      <c r="L63" s="5094">
        <v>0.125</v>
      </c>
      <c r="M63" s="5094">
        <v>0.20833333333333337</v>
      </c>
      <c r="N63" s="5094">
        <v>0.5625</v>
      </c>
      <c r="O63" s="2203"/>
      <c r="P63" s="2203"/>
      <c r="Q63" s="2203"/>
      <c r="R63" s="2203"/>
      <c r="S63" s="2203"/>
      <c r="T63" s="2203"/>
      <c r="U63" s="2203"/>
      <c r="V63" s="2203"/>
      <c r="W63" s="2203"/>
      <c r="X63" s="2203"/>
      <c r="Y63" s="2203"/>
      <c r="Z63" s="2203"/>
    </row>
    <row r="64" spans="1:26" s="4854" customFormat="1">
      <c r="A64" s="5865"/>
      <c r="B64" s="5865"/>
      <c r="C64" s="5095" t="s">
        <v>124</v>
      </c>
      <c r="D64" s="5865"/>
      <c r="E64" s="5091">
        <v>157</v>
      </c>
      <c r="F64" s="5092">
        <v>117</v>
      </c>
      <c r="G64" s="5093">
        <f t="shared" si="0"/>
        <v>74.522292993630572</v>
      </c>
      <c r="H64" s="5094">
        <v>0.7350427350427351</v>
      </c>
      <c r="I64" s="5094">
        <v>0.26495726495726496</v>
      </c>
      <c r="J64" s="5094">
        <v>5.8139534883720929E-2</v>
      </c>
      <c r="K64" s="5094">
        <v>4.6511627906976744E-2</v>
      </c>
      <c r="L64" s="5094">
        <v>0.15116279069767441</v>
      </c>
      <c r="M64" s="5094">
        <v>0.20930232558139536</v>
      </c>
      <c r="N64" s="5094">
        <v>0.53488372093023251</v>
      </c>
      <c r="O64" s="2203"/>
      <c r="P64" s="2203"/>
      <c r="Q64" s="2203"/>
      <c r="R64" s="2203"/>
      <c r="S64" s="2203"/>
      <c r="T64" s="2203"/>
      <c r="U64" s="2203"/>
      <c r="V64" s="2203"/>
      <c r="W64" s="2203"/>
      <c r="X64" s="2203"/>
      <c r="Y64" s="2203"/>
      <c r="Z64" s="2203"/>
    </row>
    <row r="65" spans="1:26" s="4854" customFormat="1">
      <c r="A65" s="5865"/>
      <c r="B65" s="5865"/>
      <c r="C65" s="5095" t="s">
        <v>281</v>
      </c>
      <c r="D65" s="5865"/>
      <c r="E65" s="5091">
        <v>17</v>
      </c>
      <c r="F65" s="5092">
        <v>15</v>
      </c>
      <c r="G65" s="5093">
        <f t="shared" si="0"/>
        <v>88.235294117647058</v>
      </c>
      <c r="H65" s="5094">
        <v>0.93333333333333324</v>
      </c>
      <c r="I65" s="5094">
        <v>6.6666666666666666E-2</v>
      </c>
      <c r="J65" s="5096">
        <v>0</v>
      </c>
      <c r="K65" s="5094">
        <v>7.1428571428571425E-2</v>
      </c>
      <c r="L65" s="5094">
        <v>0.21428571428571427</v>
      </c>
      <c r="M65" s="5094">
        <v>7.1428571428571425E-2</v>
      </c>
      <c r="N65" s="5094">
        <v>0.6428571428571429</v>
      </c>
      <c r="O65" s="2203"/>
      <c r="P65" s="2203"/>
      <c r="Q65" s="2203"/>
      <c r="R65" s="2203"/>
      <c r="S65" s="2203"/>
      <c r="T65" s="2203"/>
      <c r="U65" s="2203"/>
      <c r="V65" s="2203"/>
      <c r="W65" s="2203"/>
      <c r="X65" s="2203"/>
      <c r="Y65" s="2203"/>
      <c r="Z65" s="2203"/>
    </row>
    <row r="66" spans="1:26" s="4854" customFormat="1">
      <c r="A66" s="5865"/>
      <c r="B66" s="5865"/>
      <c r="C66" s="5095" t="s">
        <v>417</v>
      </c>
      <c r="D66" s="5865"/>
      <c r="E66" s="5091">
        <v>87</v>
      </c>
      <c r="F66" s="5092">
        <v>60</v>
      </c>
      <c r="G66" s="5093">
        <f t="shared" si="0"/>
        <v>68.965517241379317</v>
      </c>
      <c r="H66" s="5094">
        <v>0.7</v>
      </c>
      <c r="I66" s="5094">
        <v>0.3</v>
      </c>
      <c r="J66" s="5096">
        <v>0</v>
      </c>
      <c r="K66" s="5094">
        <v>7.1428571428571425E-2</v>
      </c>
      <c r="L66" s="5094">
        <v>0.11904761904761903</v>
      </c>
      <c r="M66" s="5094">
        <v>0.30952380952380953</v>
      </c>
      <c r="N66" s="5094">
        <v>0.5</v>
      </c>
      <c r="O66" s="2203"/>
      <c r="P66" s="2203"/>
      <c r="Q66" s="2203"/>
      <c r="R66" s="2203"/>
      <c r="S66" s="2203"/>
      <c r="T66" s="2203"/>
      <c r="U66" s="2203"/>
      <c r="V66" s="2203"/>
      <c r="W66" s="2203"/>
      <c r="X66" s="2203"/>
      <c r="Y66" s="2203"/>
      <c r="Z66" s="2203"/>
    </row>
    <row r="67" spans="1:26" s="4854" customFormat="1">
      <c r="A67" s="5865"/>
      <c r="B67" s="5865"/>
      <c r="C67" s="5095" t="s">
        <v>795</v>
      </c>
      <c r="D67" s="5865"/>
      <c r="E67" s="5091">
        <v>69</v>
      </c>
      <c r="F67" s="5092">
        <v>45</v>
      </c>
      <c r="G67" s="5093">
        <f t="shared" si="0"/>
        <v>65.217391304347828</v>
      </c>
      <c r="H67" s="5094">
        <v>0.55555555555555558</v>
      </c>
      <c r="I67" s="5094">
        <v>0.44444444444444442</v>
      </c>
      <c r="J67" s="5094">
        <v>0.125</v>
      </c>
      <c r="K67" s="5094">
        <v>0.16666666666666663</v>
      </c>
      <c r="L67" s="5094">
        <v>0.25</v>
      </c>
      <c r="M67" s="5094">
        <v>0.20833333333333337</v>
      </c>
      <c r="N67" s="5094">
        <v>0.25</v>
      </c>
      <c r="O67" s="2203"/>
      <c r="P67" s="2203"/>
      <c r="Q67" s="2203"/>
      <c r="R67" s="2203"/>
      <c r="S67" s="2203"/>
      <c r="T67" s="2203"/>
      <c r="U67" s="2203"/>
      <c r="V67" s="2203"/>
      <c r="W67" s="2203"/>
      <c r="X67" s="2203"/>
      <c r="Y67" s="2203"/>
      <c r="Z67" s="2203"/>
    </row>
    <row r="68" spans="1:26" s="4854" customFormat="1">
      <c r="A68" s="5865"/>
      <c r="B68" s="5865"/>
      <c r="C68" s="5095" t="s">
        <v>2464</v>
      </c>
      <c r="D68" s="5865" t="s">
        <v>248</v>
      </c>
      <c r="E68" s="5091">
        <v>302</v>
      </c>
      <c r="F68" s="5092">
        <v>180</v>
      </c>
      <c r="G68" s="5093">
        <f t="shared" si="0"/>
        <v>59.602649006622514</v>
      </c>
      <c r="H68" s="5094">
        <v>0.77222222222222225</v>
      </c>
      <c r="I68" s="5094">
        <v>0.22777777777777777</v>
      </c>
      <c r="J68" s="5094">
        <v>2.9197080291970802E-2</v>
      </c>
      <c r="K68" s="5094">
        <v>5.1094890510948912E-2</v>
      </c>
      <c r="L68" s="5094">
        <v>8.7591240875912413E-2</v>
      </c>
      <c r="M68" s="5094">
        <v>0.16788321167883211</v>
      </c>
      <c r="N68" s="5094">
        <v>0.66423357664233573</v>
      </c>
      <c r="O68" s="2203"/>
      <c r="P68" s="2203"/>
      <c r="Q68" s="2203"/>
      <c r="R68" s="2203"/>
      <c r="S68" s="2203"/>
      <c r="T68" s="2203"/>
      <c r="U68" s="2203"/>
      <c r="V68" s="2203"/>
      <c r="W68" s="2203"/>
      <c r="X68" s="2203"/>
      <c r="Y68" s="2203"/>
      <c r="Z68" s="2203"/>
    </row>
    <row r="69" spans="1:26" s="4854" customFormat="1">
      <c r="A69" s="5865"/>
      <c r="B69" s="5865"/>
      <c r="C69" s="5095" t="s">
        <v>121</v>
      </c>
      <c r="D69" s="5865"/>
      <c r="E69" s="5091">
        <v>68</v>
      </c>
      <c r="F69" s="5092">
        <v>43</v>
      </c>
      <c r="G69" s="5093">
        <f t="shared" si="0"/>
        <v>63.235294117647058</v>
      </c>
      <c r="H69" s="5094">
        <v>0.88372093023255816</v>
      </c>
      <c r="I69" s="5094">
        <v>0.11627906976744186</v>
      </c>
      <c r="J69" s="5094">
        <v>2.6315789473684209E-2</v>
      </c>
      <c r="K69" s="5094">
        <v>2.6315789473684209E-2</v>
      </c>
      <c r="L69" s="5094">
        <v>2.6315789473684209E-2</v>
      </c>
      <c r="M69" s="5094">
        <v>0.23684210526315788</v>
      </c>
      <c r="N69" s="5094">
        <v>0.68421052631578949</v>
      </c>
      <c r="O69" s="2203"/>
      <c r="P69" s="2203"/>
      <c r="Q69" s="2203"/>
      <c r="R69" s="2203"/>
      <c r="S69" s="2203"/>
      <c r="T69" s="2203"/>
      <c r="U69" s="2203"/>
      <c r="V69" s="2203"/>
      <c r="W69" s="2203"/>
      <c r="X69" s="2203"/>
      <c r="Y69" s="2203"/>
      <c r="Z69" s="2203"/>
    </row>
    <row r="70" spans="1:26" s="4854" customFormat="1">
      <c r="A70" s="5865"/>
      <c r="B70" s="5865"/>
      <c r="C70" s="5095" t="s">
        <v>122</v>
      </c>
      <c r="D70" s="5865"/>
      <c r="E70" s="5091">
        <v>173</v>
      </c>
      <c r="F70" s="5092">
        <v>132</v>
      </c>
      <c r="G70" s="5093">
        <f t="shared" si="0"/>
        <v>76.300578034682076</v>
      </c>
      <c r="H70" s="5094">
        <v>0.83969465648854968</v>
      </c>
      <c r="I70" s="5094">
        <v>0.16030534351145037</v>
      </c>
      <c r="J70" s="5094">
        <v>2.6548672566371681E-2</v>
      </c>
      <c r="K70" s="5094">
        <v>8.8495575221238937E-3</v>
      </c>
      <c r="L70" s="5094">
        <v>6.1946902654867256E-2</v>
      </c>
      <c r="M70" s="5094">
        <v>0.20353982300884957</v>
      </c>
      <c r="N70" s="5094">
        <v>0.69911504424778759</v>
      </c>
      <c r="O70" s="2203"/>
      <c r="P70" s="2203"/>
      <c r="Q70" s="2203"/>
      <c r="R70" s="2203"/>
      <c r="S70" s="2203"/>
      <c r="T70" s="2203"/>
      <c r="U70" s="2203"/>
      <c r="V70" s="2203"/>
      <c r="W70" s="2203"/>
      <c r="X70" s="2203"/>
      <c r="Y70" s="2203"/>
      <c r="Z70" s="2203"/>
    </row>
    <row r="71" spans="1:26" s="4854" customFormat="1">
      <c r="A71" s="5865"/>
      <c r="B71" s="5865"/>
      <c r="C71" s="5095" t="s">
        <v>123</v>
      </c>
      <c r="D71" s="5865"/>
      <c r="E71" s="5091">
        <v>85</v>
      </c>
      <c r="F71" s="5092">
        <v>32</v>
      </c>
      <c r="G71" s="5093">
        <f t="shared" si="0"/>
        <v>37.647058823529413</v>
      </c>
      <c r="H71" s="5094">
        <v>0.875</v>
      </c>
      <c r="I71" s="5094">
        <v>0.125</v>
      </c>
      <c r="J71" s="5096">
        <v>0</v>
      </c>
      <c r="K71" s="5094">
        <v>3.5714285714285712E-2</v>
      </c>
      <c r="L71" s="5094">
        <v>7.1428571428571425E-2</v>
      </c>
      <c r="M71" s="5094">
        <v>0.10714285714285714</v>
      </c>
      <c r="N71" s="5094">
        <v>0.7857142857142857</v>
      </c>
      <c r="O71" s="2203"/>
      <c r="P71" s="2203"/>
      <c r="Q71" s="2203"/>
      <c r="R71" s="2203"/>
      <c r="S71" s="2203"/>
      <c r="T71" s="2203"/>
      <c r="U71" s="2203"/>
      <c r="V71" s="2203"/>
      <c r="W71" s="2203"/>
      <c r="X71" s="2203"/>
      <c r="Y71" s="2203"/>
      <c r="Z71" s="2203"/>
    </row>
    <row r="72" spans="1:26" s="4854" customFormat="1">
      <c r="A72" s="5865"/>
      <c r="B72" s="5865"/>
      <c r="C72" s="5095" t="s">
        <v>124</v>
      </c>
      <c r="D72" s="5865"/>
      <c r="E72" s="5091">
        <v>37</v>
      </c>
      <c r="F72" s="5092">
        <v>23</v>
      </c>
      <c r="G72" s="5093">
        <f t="shared" si="0"/>
        <v>62.162162162162161</v>
      </c>
      <c r="H72" s="5094">
        <v>1</v>
      </c>
      <c r="I72" s="5096">
        <v>0</v>
      </c>
      <c r="J72" s="5096">
        <v>0</v>
      </c>
      <c r="K72" s="5096">
        <v>0</v>
      </c>
      <c r="L72" s="5094">
        <v>4.3478260869565216E-2</v>
      </c>
      <c r="M72" s="5094">
        <v>0.2608695652173913</v>
      </c>
      <c r="N72" s="5094">
        <v>0.69565217391304346</v>
      </c>
      <c r="O72" s="2203"/>
      <c r="P72" s="2203"/>
      <c r="Q72" s="2203"/>
      <c r="R72" s="2203"/>
      <c r="S72" s="2203"/>
      <c r="T72" s="2203"/>
      <c r="U72" s="2203"/>
      <c r="V72" s="2203"/>
      <c r="W72" s="2203"/>
      <c r="X72" s="2203"/>
      <c r="Y72" s="2203"/>
      <c r="Z72" s="2203"/>
    </row>
    <row r="73" spans="1:26" s="4854" customFormat="1">
      <c r="A73" s="5865"/>
      <c r="B73" s="5865"/>
      <c r="C73" s="5095" t="s">
        <v>417</v>
      </c>
      <c r="D73" s="5865"/>
      <c r="E73" s="5091">
        <v>12</v>
      </c>
      <c r="F73" s="5092">
        <v>10</v>
      </c>
      <c r="G73" s="5093">
        <f t="shared" si="0"/>
        <v>83.333333333333329</v>
      </c>
      <c r="H73" s="5094">
        <v>0.9</v>
      </c>
      <c r="I73" s="5094">
        <v>0.1</v>
      </c>
      <c r="J73" s="5096">
        <v>0</v>
      </c>
      <c r="K73" s="5096">
        <v>0</v>
      </c>
      <c r="L73" s="5096">
        <v>0</v>
      </c>
      <c r="M73" s="5094">
        <v>0.1111111111111111</v>
      </c>
      <c r="N73" s="5094">
        <v>0.88888888888888884</v>
      </c>
      <c r="O73" s="2203"/>
      <c r="P73" s="2203"/>
      <c r="Q73" s="2203"/>
      <c r="R73" s="2203"/>
      <c r="S73" s="2203"/>
      <c r="T73" s="2203"/>
      <c r="U73" s="2203"/>
      <c r="V73" s="2203"/>
      <c r="W73" s="2203"/>
      <c r="X73" s="2203"/>
      <c r="Y73" s="2203"/>
      <c r="Z73" s="2203"/>
    </row>
    <row r="74" spans="1:26" s="4854" customFormat="1">
      <c r="A74" s="5865"/>
      <c r="B74" s="5865"/>
      <c r="C74" s="5095" t="s">
        <v>795</v>
      </c>
      <c r="D74" s="5865"/>
      <c r="E74" s="5091">
        <v>4</v>
      </c>
      <c r="F74" s="5092">
        <v>2</v>
      </c>
      <c r="G74" s="5093">
        <f t="shared" si="0"/>
        <v>50</v>
      </c>
      <c r="H74" s="5094">
        <v>0.5</v>
      </c>
      <c r="I74" s="5094">
        <v>0.5</v>
      </c>
      <c r="J74" s="5096">
        <v>0</v>
      </c>
      <c r="K74" s="5096">
        <v>0</v>
      </c>
      <c r="L74" s="5096">
        <v>0</v>
      </c>
      <c r="M74" s="5094">
        <v>0.5</v>
      </c>
      <c r="N74" s="5094">
        <v>0.5</v>
      </c>
      <c r="O74" s="2203"/>
      <c r="P74" s="2203"/>
      <c r="Q74" s="2203"/>
      <c r="R74" s="2203"/>
      <c r="S74" s="2203"/>
      <c r="T74" s="2203"/>
      <c r="U74" s="2203"/>
      <c r="V74" s="2203"/>
      <c r="W74" s="2203"/>
      <c r="X74" s="2203"/>
      <c r="Y74" s="2203"/>
      <c r="Z74" s="2203"/>
    </row>
    <row r="75" spans="1:26" s="4854" customFormat="1">
      <c r="A75" s="5865"/>
      <c r="B75" s="5865" t="s">
        <v>2434</v>
      </c>
      <c r="C75" s="5095" t="s">
        <v>2473</v>
      </c>
      <c r="D75" s="5097" t="s">
        <v>265</v>
      </c>
      <c r="E75" s="5091">
        <v>805</v>
      </c>
      <c r="F75" s="5092">
        <v>129</v>
      </c>
      <c r="G75" s="5093">
        <f t="shared" si="0"/>
        <v>16.024844720496894</v>
      </c>
      <c r="H75" s="5094">
        <v>0.90697674418604646</v>
      </c>
      <c r="I75" s="5094">
        <v>9.3023255813953487E-2</v>
      </c>
      <c r="J75" s="5094">
        <v>4.2735042735042736E-2</v>
      </c>
      <c r="K75" s="5094">
        <v>4.2735042735042736E-2</v>
      </c>
      <c r="L75" s="5094">
        <v>0.13675213675213677</v>
      </c>
      <c r="M75" s="5094">
        <v>0.1111111111111111</v>
      </c>
      <c r="N75" s="5094">
        <v>0.66666666666666652</v>
      </c>
      <c r="O75" s="2203"/>
      <c r="P75" s="2203"/>
      <c r="Q75" s="2203"/>
      <c r="R75" s="2203"/>
      <c r="S75" s="2203"/>
      <c r="T75" s="2203"/>
      <c r="U75" s="2203"/>
      <c r="V75" s="2203"/>
      <c r="W75" s="2203"/>
      <c r="X75" s="2203"/>
      <c r="Y75" s="2203"/>
      <c r="Z75" s="2203"/>
    </row>
    <row r="76" spans="1:26" s="4854" customFormat="1">
      <c r="A76" s="5865"/>
      <c r="B76" s="5865"/>
      <c r="C76" s="5095" t="s">
        <v>2466</v>
      </c>
      <c r="D76" s="5865" t="s">
        <v>247</v>
      </c>
      <c r="E76" s="5091">
        <v>80</v>
      </c>
      <c r="F76" s="5092">
        <v>22</v>
      </c>
      <c r="G76" s="5093">
        <f t="shared" si="0"/>
        <v>27.5</v>
      </c>
      <c r="H76" s="5094">
        <v>0.72727272727272729</v>
      </c>
      <c r="I76" s="5094">
        <v>0.27272727272727271</v>
      </c>
      <c r="J76" s="5096">
        <v>0</v>
      </c>
      <c r="K76" s="5094">
        <v>6.25E-2</v>
      </c>
      <c r="L76" s="5094">
        <v>0.125</v>
      </c>
      <c r="M76" s="5096">
        <v>0</v>
      </c>
      <c r="N76" s="5094">
        <v>0.8125</v>
      </c>
      <c r="O76" s="2203"/>
      <c r="P76" s="2203"/>
      <c r="Q76" s="2203"/>
      <c r="R76" s="2203"/>
      <c r="S76" s="2203"/>
      <c r="T76" s="2203"/>
      <c r="U76" s="2203"/>
      <c r="V76" s="2203"/>
      <c r="W76" s="2203"/>
      <c r="X76" s="2203"/>
      <c r="Y76" s="2203"/>
      <c r="Z76" s="2203"/>
    </row>
    <row r="77" spans="1:26" s="4854" customFormat="1">
      <c r="A77" s="5865"/>
      <c r="B77" s="5865"/>
      <c r="C77" s="5095" t="s">
        <v>478</v>
      </c>
      <c r="D77" s="5865"/>
      <c r="E77" s="5091">
        <v>53</v>
      </c>
      <c r="F77" s="5092">
        <v>18</v>
      </c>
      <c r="G77" s="5093">
        <f t="shared" si="0"/>
        <v>33.962264150943398</v>
      </c>
      <c r="H77" s="5094">
        <v>0.88888888888888884</v>
      </c>
      <c r="I77" s="5094">
        <v>0.1111111111111111</v>
      </c>
      <c r="J77" s="5096">
        <v>0</v>
      </c>
      <c r="K77" s="5096">
        <v>0</v>
      </c>
      <c r="L77" s="5094">
        <v>0.1875</v>
      </c>
      <c r="M77" s="5094">
        <v>6.25E-2</v>
      </c>
      <c r="N77" s="5094">
        <v>0.75</v>
      </c>
      <c r="O77" s="2203"/>
      <c r="P77" s="2203"/>
      <c r="Q77" s="2203"/>
      <c r="R77" s="2203"/>
      <c r="S77" s="2203"/>
      <c r="T77" s="2203"/>
      <c r="U77" s="2203"/>
      <c r="V77" s="2203"/>
      <c r="W77" s="2203"/>
      <c r="X77" s="2203"/>
      <c r="Y77" s="2203"/>
      <c r="Z77" s="2203"/>
    </row>
    <row r="78" spans="1:26" s="4854" customFormat="1">
      <c r="A78" s="5865"/>
      <c r="B78" s="5865"/>
      <c r="C78" s="5095" t="s">
        <v>2467</v>
      </c>
      <c r="D78" s="5865"/>
      <c r="E78" s="5091">
        <v>38</v>
      </c>
      <c r="F78" s="5092">
        <v>10</v>
      </c>
      <c r="G78" s="5093">
        <f t="shared" si="0"/>
        <v>26.315789473684209</v>
      </c>
      <c r="H78" s="5094">
        <v>0.9</v>
      </c>
      <c r="I78" s="5094">
        <v>0.1</v>
      </c>
      <c r="J78" s="5094">
        <v>0.1111111111111111</v>
      </c>
      <c r="K78" s="5096">
        <v>0</v>
      </c>
      <c r="L78" s="5094">
        <v>0.22222222222222221</v>
      </c>
      <c r="M78" s="5096">
        <v>0</v>
      </c>
      <c r="N78" s="5094">
        <v>0.66666666666666652</v>
      </c>
      <c r="O78" s="2203"/>
      <c r="P78" s="2203"/>
      <c r="Q78" s="2203"/>
      <c r="R78" s="2203"/>
      <c r="S78" s="2203"/>
      <c r="T78" s="2203"/>
      <c r="U78" s="2203"/>
      <c r="V78" s="2203"/>
      <c r="W78" s="2203"/>
      <c r="X78" s="2203"/>
      <c r="Y78" s="2203"/>
      <c r="Z78" s="2203"/>
    </row>
    <row r="79" spans="1:26" s="4854" customFormat="1">
      <c r="A79" s="5865"/>
      <c r="B79" s="5865"/>
      <c r="C79" s="5095" t="s">
        <v>2473</v>
      </c>
      <c r="D79" s="5865"/>
      <c r="E79" s="5091">
        <v>274</v>
      </c>
      <c r="F79" s="5092">
        <v>199</v>
      </c>
      <c r="G79" s="5093">
        <f t="shared" si="0"/>
        <v>72.627737226277375</v>
      </c>
      <c r="H79" s="5094">
        <v>0.7587939698492463</v>
      </c>
      <c r="I79" s="5094">
        <v>0.24120603015075376</v>
      </c>
      <c r="J79" s="5094">
        <v>1.3333333333333334E-2</v>
      </c>
      <c r="K79" s="5094">
        <v>1.3333333333333334E-2</v>
      </c>
      <c r="L79" s="5094">
        <v>6.6666666666666666E-2</v>
      </c>
      <c r="M79" s="5094">
        <v>0.24666666666666667</v>
      </c>
      <c r="N79" s="5094">
        <v>0.66</v>
      </c>
      <c r="O79" s="2203"/>
      <c r="P79" s="2203"/>
      <c r="Q79" s="2203"/>
      <c r="R79" s="2203"/>
      <c r="S79" s="2203"/>
      <c r="T79" s="2203"/>
      <c r="U79" s="2203"/>
      <c r="V79" s="2203"/>
      <c r="W79" s="2203"/>
      <c r="X79" s="2203"/>
      <c r="Y79" s="2203"/>
      <c r="Z79" s="2203"/>
    </row>
    <row r="80" spans="1:26" s="4854" customFormat="1">
      <c r="A80" s="5865"/>
      <c r="B80" s="5865"/>
      <c r="C80" s="5095" t="s">
        <v>2474</v>
      </c>
      <c r="D80" s="5865"/>
      <c r="E80" s="5091">
        <v>191</v>
      </c>
      <c r="F80" s="5092">
        <v>85</v>
      </c>
      <c r="G80" s="5093">
        <f t="shared" si="0"/>
        <v>44.502617801047123</v>
      </c>
      <c r="H80" s="5094">
        <v>0.78823529411764715</v>
      </c>
      <c r="I80" s="5094">
        <v>0.21176470588235294</v>
      </c>
      <c r="J80" s="5094">
        <v>1.4925373134328356E-2</v>
      </c>
      <c r="K80" s="5094">
        <v>5.9701492537313425E-2</v>
      </c>
      <c r="L80" s="5094">
        <v>0.14925373134328357</v>
      </c>
      <c r="M80" s="5094">
        <v>0.19402985074626866</v>
      </c>
      <c r="N80" s="5094">
        <v>0.58208955223880599</v>
      </c>
      <c r="O80" s="2203"/>
      <c r="P80" s="2203"/>
      <c r="Q80" s="2203"/>
      <c r="R80" s="2203"/>
      <c r="S80" s="2203"/>
      <c r="T80" s="2203"/>
      <c r="U80" s="2203"/>
      <c r="V80" s="2203"/>
      <c r="W80" s="2203"/>
      <c r="X80" s="2203"/>
      <c r="Y80" s="2203"/>
      <c r="Z80" s="2203"/>
    </row>
    <row r="81" spans="1:26" s="4854" customFormat="1">
      <c r="A81" s="5865"/>
      <c r="B81" s="5865"/>
      <c r="C81" s="5095" t="s">
        <v>2475</v>
      </c>
      <c r="D81" s="5865"/>
      <c r="E81" s="5091">
        <v>429</v>
      </c>
      <c r="F81" s="5092">
        <v>297</v>
      </c>
      <c r="G81" s="5093">
        <f t="shared" si="0"/>
        <v>69.230769230769226</v>
      </c>
      <c r="H81" s="5094">
        <v>0.73310810810810811</v>
      </c>
      <c r="I81" s="5094">
        <v>0.26689189189189189</v>
      </c>
      <c r="J81" s="5094">
        <v>2.7397260273972601E-2</v>
      </c>
      <c r="K81" s="5094">
        <v>6.8493150684931503E-2</v>
      </c>
      <c r="L81" s="5094">
        <v>0.19178082191780821</v>
      </c>
      <c r="M81" s="5094">
        <v>0.27397260273972601</v>
      </c>
      <c r="N81" s="5094">
        <v>0.43835616438356162</v>
      </c>
      <c r="O81" s="2203"/>
      <c r="P81" s="2203"/>
      <c r="Q81" s="2203"/>
      <c r="R81" s="2203"/>
      <c r="S81" s="2203"/>
      <c r="T81" s="2203"/>
      <c r="U81" s="2203"/>
      <c r="V81" s="2203"/>
      <c r="W81" s="2203"/>
      <c r="X81" s="2203"/>
      <c r="Y81" s="2203"/>
      <c r="Z81" s="2203"/>
    </row>
    <row r="82" spans="1:26" s="4854" customFormat="1">
      <c r="A82" s="5865"/>
      <c r="B82" s="5865"/>
      <c r="C82" s="5095" t="s">
        <v>3036</v>
      </c>
      <c r="D82" s="5865"/>
      <c r="E82" s="5091">
        <v>237</v>
      </c>
      <c r="F82" s="5092">
        <v>163</v>
      </c>
      <c r="G82" s="5093">
        <f t="shared" si="0"/>
        <v>68.776371308016877</v>
      </c>
      <c r="H82" s="5094">
        <v>0.7116564417177913</v>
      </c>
      <c r="I82" s="5094">
        <v>0.28834355828220859</v>
      </c>
      <c r="J82" s="5094">
        <v>6.0344827586206892E-2</v>
      </c>
      <c r="K82" s="5094">
        <v>4.3103448275862072E-2</v>
      </c>
      <c r="L82" s="5094">
        <v>0.11206896551724138</v>
      </c>
      <c r="M82" s="5094">
        <v>0.18965517241379309</v>
      </c>
      <c r="N82" s="5094">
        <v>0.59482758620689657</v>
      </c>
      <c r="O82" s="2203"/>
      <c r="P82" s="2203"/>
      <c r="Q82" s="2203"/>
      <c r="R82" s="2203"/>
      <c r="S82" s="2203"/>
      <c r="T82" s="2203"/>
      <c r="U82" s="2203"/>
      <c r="V82" s="2203"/>
      <c r="W82" s="2203"/>
      <c r="X82" s="2203"/>
      <c r="Y82" s="2203"/>
      <c r="Z82" s="2203"/>
    </row>
    <row r="83" spans="1:26" s="4854" customFormat="1">
      <c r="A83" s="5865"/>
      <c r="B83" s="5865"/>
      <c r="C83" s="5095" t="s">
        <v>2490</v>
      </c>
      <c r="D83" s="5865"/>
      <c r="E83" s="5091">
        <v>101</v>
      </c>
      <c r="F83" s="5092">
        <v>71</v>
      </c>
      <c r="G83" s="5093">
        <f t="shared" si="0"/>
        <v>70.297029702970292</v>
      </c>
      <c r="H83" s="5094">
        <v>0.54929577464788737</v>
      </c>
      <c r="I83" s="5094">
        <v>0.45070422535211274</v>
      </c>
      <c r="J83" s="5094">
        <v>5.128205128205128E-2</v>
      </c>
      <c r="K83" s="5094">
        <v>0.10256410256410256</v>
      </c>
      <c r="L83" s="5094">
        <v>0.12820512820512819</v>
      </c>
      <c r="M83" s="5094">
        <v>0.23076923076923075</v>
      </c>
      <c r="N83" s="5094">
        <v>0.48717948717948717</v>
      </c>
      <c r="O83" s="2203"/>
      <c r="P83" s="2203"/>
      <c r="Q83" s="2203"/>
      <c r="R83" s="2203"/>
      <c r="S83" s="2203"/>
      <c r="T83" s="2203"/>
      <c r="U83" s="2203"/>
      <c r="V83" s="2203"/>
      <c r="W83" s="2203"/>
      <c r="X83" s="2203"/>
      <c r="Y83" s="2203"/>
      <c r="Z83" s="2203"/>
    </row>
    <row r="84" spans="1:26" s="4854" customFormat="1">
      <c r="A84" s="5865"/>
      <c r="B84" s="5865"/>
      <c r="C84" s="5095" t="s">
        <v>3037</v>
      </c>
      <c r="D84" s="5865"/>
      <c r="E84" s="5091">
        <v>9</v>
      </c>
      <c r="F84" s="5092">
        <v>9</v>
      </c>
      <c r="G84" s="5093">
        <f t="shared" si="0"/>
        <v>100</v>
      </c>
      <c r="H84" s="5094">
        <v>0.22222222222222221</v>
      </c>
      <c r="I84" s="5094">
        <v>0.7777777777777779</v>
      </c>
      <c r="J84" s="5096">
        <v>0</v>
      </c>
      <c r="K84" s="5094">
        <v>0.5</v>
      </c>
      <c r="L84" s="5096">
        <v>0</v>
      </c>
      <c r="M84" s="5096">
        <v>0</v>
      </c>
      <c r="N84" s="5094">
        <v>0.5</v>
      </c>
      <c r="O84" s="2203"/>
      <c r="P84" s="2203"/>
      <c r="Q84" s="2203"/>
      <c r="R84" s="2203"/>
      <c r="S84" s="2203"/>
      <c r="T84" s="2203"/>
      <c r="U84" s="2203"/>
      <c r="V84" s="2203"/>
      <c r="W84" s="2203"/>
      <c r="X84" s="2203"/>
      <c r="Y84" s="2203"/>
      <c r="Z84" s="2203"/>
    </row>
    <row r="85" spans="1:26" s="4854" customFormat="1">
      <c r="A85" s="5865"/>
      <c r="B85" s="5865"/>
      <c r="C85" s="5095" t="s">
        <v>280</v>
      </c>
      <c r="D85" s="5865" t="s">
        <v>248</v>
      </c>
      <c r="E85" s="5091">
        <v>19</v>
      </c>
      <c r="F85" s="5092">
        <v>4</v>
      </c>
      <c r="G85" s="5093">
        <f t="shared" si="0"/>
        <v>21.05263157894737</v>
      </c>
      <c r="H85" s="5094">
        <v>0.25</v>
      </c>
      <c r="I85" s="5094">
        <v>0.75</v>
      </c>
      <c r="J85" s="5096">
        <v>0</v>
      </c>
      <c r="K85" s="5096">
        <v>0</v>
      </c>
      <c r="L85" s="5094">
        <v>1</v>
      </c>
      <c r="M85" s="5096">
        <v>0</v>
      </c>
      <c r="N85" s="5096">
        <v>0</v>
      </c>
      <c r="O85" s="2203"/>
      <c r="P85" s="2203"/>
      <c r="Q85" s="2203"/>
      <c r="R85" s="2203"/>
      <c r="S85" s="2203"/>
      <c r="T85" s="2203"/>
      <c r="U85" s="2203"/>
      <c r="V85" s="2203"/>
      <c r="W85" s="2203"/>
      <c r="X85" s="2203"/>
      <c r="Y85" s="2203"/>
      <c r="Z85" s="2203"/>
    </row>
    <row r="86" spans="1:26" s="4854" customFormat="1">
      <c r="A86" s="5865"/>
      <c r="B86" s="5865"/>
      <c r="C86" s="5095" t="s">
        <v>2473</v>
      </c>
      <c r="D86" s="5865"/>
      <c r="E86" s="5091">
        <v>210</v>
      </c>
      <c r="F86" s="5092">
        <v>123</v>
      </c>
      <c r="G86" s="5093">
        <f t="shared" si="0"/>
        <v>58.571428571428569</v>
      </c>
      <c r="H86" s="5094">
        <v>0.92622950819672123</v>
      </c>
      <c r="I86" s="5094">
        <v>7.3770491803278687E-2</v>
      </c>
      <c r="J86" s="5096">
        <v>0</v>
      </c>
      <c r="K86" s="5094">
        <v>8.8495575221238937E-3</v>
      </c>
      <c r="L86" s="5094">
        <v>4.4247787610619468E-2</v>
      </c>
      <c r="M86" s="5094">
        <v>0.21238938053097345</v>
      </c>
      <c r="N86" s="5094">
        <v>0.73451327433628322</v>
      </c>
      <c r="O86" s="2203"/>
      <c r="P86" s="2203"/>
      <c r="Q86" s="2203"/>
      <c r="R86" s="2203"/>
      <c r="S86" s="2203"/>
      <c r="T86" s="2203"/>
      <c r="U86" s="2203"/>
      <c r="V86" s="2203"/>
      <c r="W86" s="2203"/>
      <c r="X86" s="2203"/>
      <c r="Y86" s="2203"/>
      <c r="Z86" s="2203"/>
    </row>
    <row r="87" spans="1:26" s="4854" customFormat="1">
      <c r="A87" s="5865"/>
      <c r="B87" s="5865"/>
      <c r="C87" s="5095" t="s">
        <v>2474</v>
      </c>
      <c r="D87" s="5865"/>
      <c r="E87" s="5091">
        <v>241</v>
      </c>
      <c r="F87" s="5092">
        <v>108</v>
      </c>
      <c r="G87" s="5093">
        <f t="shared" ref="G87:H147" si="1">F87*100/E87</f>
        <v>44.813278008298752</v>
      </c>
      <c r="H87" s="5094">
        <v>0.98148148148148151</v>
      </c>
      <c r="I87" s="5094">
        <v>1.8518518518518517E-2</v>
      </c>
      <c r="J87" s="5094">
        <v>9.7087378640776691E-3</v>
      </c>
      <c r="K87" s="5094">
        <v>1.9417475728155338E-2</v>
      </c>
      <c r="L87" s="5094">
        <v>6.7961165048543687E-2</v>
      </c>
      <c r="M87" s="5094">
        <v>0.21359223300970873</v>
      </c>
      <c r="N87" s="5094">
        <v>0.68932038834951459</v>
      </c>
      <c r="O87" s="2203"/>
      <c r="P87" s="2203"/>
      <c r="Q87" s="2203"/>
      <c r="R87" s="2203"/>
      <c r="S87" s="2203"/>
      <c r="T87" s="2203"/>
      <c r="U87" s="2203"/>
      <c r="V87" s="2203"/>
      <c r="W87" s="2203"/>
      <c r="X87" s="2203"/>
      <c r="Y87" s="2203"/>
      <c r="Z87" s="2203"/>
    </row>
    <row r="88" spans="1:26" s="4854" customFormat="1">
      <c r="A88" s="5865"/>
      <c r="B88" s="5865"/>
      <c r="C88" s="5095" t="s">
        <v>2475</v>
      </c>
      <c r="D88" s="5865"/>
      <c r="E88" s="5091">
        <v>264</v>
      </c>
      <c r="F88" s="5092">
        <v>160</v>
      </c>
      <c r="G88" s="5093">
        <f t="shared" si="1"/>
        <v>60.606060606060609</v>
      </c>
      <c r="H88" s="5094">
        <v>0.89375000000000004</v>
      </c>
      <c r="I88" s="5094">
        <v>0.10625</v>
      </c>
      <c r="J88" s="5094">
        <v>1.3698630136986301E-2</v>
      </c>
      <c r="K88" s="5094">
        <v>3.4246575342465752E-2</v>
      </c>
      <c r="L88" s="5094">
        <v>0.11643835616438356</v>
      </c>
      <c r="M88" s="5094">
        <v>0.21232876712328769</v>
      </c>
      <c r="N88" s="5094">
        <v>0.62328767123287676</v>
      </c>
      <c r="O88" s="2203"/>
      <c r="P88" s="2203"/>
      <c r="Q88" s="2203"/>
      <c r="R88" s="2203"/>
      <c r="S88" s="2203"/>
      <c r="T88" s="2203"/>
      <c r="U88" s="2203"/>
      <c r="V88" s="2203"/>
      <c r="W88" s="2203"/>
      <c r="X88" s="2203"/>
      <c r="Y88" s="2203"/>
      <c r="Z88" s="2203"/>
    </row>
    <row r="89" spans="1:26" s="4854" customFormat="1">
      <c r="A89" s="5865"/>
      <c r="B89" s="5865"/>
      <c r="C89" s="5095" t="s">
        <v>3036</v>
      </c>
      <c r="D89" s="5865"/>
      <c r="E89" s="5091">
        <v>165</v>
      </c>
      <c r="F89" s="5092">
        <v>104</v>
      </c>
      <c r="G89" s="5093">
        <f t="shared" si="1"/>
        <v>63.030303030303031</v>
      </c>
      <c r="H89" s="5094">
        <v>0.91262135922330101</v>
      </c>
      <c r="I89" s="5094">
        <v>8.7378640776699032E-2</v>
      </c>
      <c r="J89" s="5096">
        <v>0</v>
      </c>
      <c r="K89" s="5094">
        <v>2.1276595744680851E-2</v>
      </c>
      <c r="L89" s="5094">
        <v>8.5106382978723402E-2</v>
      </c>
      <c r="M89" s="5094">
        <v>0.21276595744680851</v>
      </c>
      <c r="N89" s="5094">
        <v>0.68085106382978722</v>
      </c>
      <c r="O89" s="2203"/>
      <c r="P89" s="2203"/>
      <c r="Q89" s="2203"/>
      <c r="R89" s="2203"/>
      <c r="S89" s="2203"/>
      <c r="T89" s="2203"/>
      <c r="U89" s="2203"/>
      <c r="V89" s="2203"/>
      <c r="W89" s="2203"/>
      <c r="X89" s="2203"/>
      <c r="Y89" s="2203"/>
      <c r="Z89" s="2203"/>
    </row>
    <row r="90" spans="1:26" s="4854" customFormat="1">
      <c r="A90" s="5865"/>
      <c r="B90" s="5865"/>
      <c r="C90" s="5095" t="s">
        <v>2490</v>
      </c>
      <c r="D90" s="5865"/>
      <c r="E90" s="5091">
        <v>48</v>
      </c>
      <c r="F90" s="5092">
        <v>26</v>
      </c>
      <c r="G90" s="5093">
        <f t="shared" si="1"/>
        <v>54.166666666666664</v>
      </c>
      <c r="H90" s="5094">
        <v>0.80769230769230771</v>
      </c>
      <c r="I90" s="5094">
        <v>0.19230769230769235</v>
      </c>
      <c r="J90" s="5096">
        <v>0</v>
      </c>
      <c r="K90" s="5094">
        <v>4.7619047619047616E-2</v>
      </c>
      <c r="L90" s="5094">
        <v>4.7619047619047616E-2</v>
      </c>
      <c r="M90" s="5094">
        <v>0.38095238095238093</v>
      </c>
      <c r="N90" s="5094">
        <v>0.52380952380952384</v>
      </c>
      <c r="O90" s="2203"/>
      <c r="P90" s="2203"/>
      <c r="Q90" s="2203"/>
      <c r="R90" s="2203"/>
      <c r="S90" s="2203"/>
      <c r="T90" s="2203"/>
      <c r="U90" s="2203"/>
      <c r="V90" s="2203"/>
      <c r="W90" s="2203"/>
      <c r="X90" s="2203"/>
      <c r="Y90" s="2203"/>
      <c r="Z90" s="2203"/>
    </row>
    <row r="91" spans="1:26" s="4854" customFormat="1">
      <c r="A91" s="5865"/>
      <c r="B91" s="5865" t="s">
        <v>2436</v>
      </c>
      <c r="C91" s="5095" t="s">
        <v>292</v>
      </c>
      <c r="D91" s="5865" t="s">
        <v>265</v>
      </c>
      <c r="E91" s="5091">
        <v>229</v>
      </c>
      <c r="F91" s="5092">
        <v>54</v>
      </c>
      <c r="G91" s="5093">
        <f t="shared" si="1"/>
        <v>23.580786026200872</v>
      </c>
      <c r="H91" s="5094">
        <v>0.66666666666666652</v>
      </c>
      <c r="I91" s="5094">
        <v>0.33333333333333326</v>
      </c>
      <c r="J91" s="5094">
        <v>8.3333333333333315E-2</v>
      </c>
      <c r="K91" s="5094">
        <v>0.1388888888888889</v>
      </c>
      <c r="L91" s="5094">
        <v>8.3333333333333315E-2</v>
      </c>
      <c r="M91" s="5096">
        <v>0</v>
      </c>
      <c r="N91" s="5094">
        <v>0.69444444444444442</v>
      </c>
      <c r="O91" s="2203"/>
      <c r="P91" s="2203"/>
      <c r="Q91" s="2203"/>
      <c r="R91" s="2203"/>
      <c r="S91" s="2203"/>
      <c r="T91" s="2203"/>
      <c r="U91" s="2203"/>
      <c r="V91" s="2203"/>
      <c r="W91" s="2203"/>
      <c r="X91" s="2203"/>
      <c r="Y91" s="2203"/>
      <c r="Z91" s="2203"/>
    </row>
    <row r="92" spans="1:26" s="4854" customFormat="1">
      <c r="A92" s="5865"/>
      <c r="B92" s="5865"/>
      <c r="C92" s="5095" t="s">
        <v>293</v>
      </c>
      <c r="D92" s="5865"/>
      <c r="E92" s="5091">
        <v>106</v>
      </c>
      <c r="F92" s="5092">
        <v>32</v>
      </c>
      <c r="G92" s="5093">
        <f t="shared" si="1"/>
        <v>30.188679245283019</v>
      </c>
      <c r="H92" s="5094">
        <v>0.875</v>
      </c>
      <c r="I92" s="5094">
        <v>0.125</v>
      </c>
      <c r="J92" s="5096">
        <v>0</v>
      </c>
      <c r="K92" s="5094">
        <v>7.1428571428571425E-2</v>
      </c>
      <c r="L92" s="5094">
        <v>0.14285714285714285</v>
      </c>
      <c r="M92" s="5096">
        <v>0</v>
      </c>
      <c r="N92" s="5094">
        <v>0.7857142857142857</v>
      </c>
      <c r="O92" s="2203"/>
      <c r="P92" s="2203"/>
      <c r="Q92" s="2203"/>
      <c r="R92" s="2203"/>
      <c r="S92" s="2203"/>
      <c r="T92" s="2203"/>
      <c r="U92" s="2203"/>
      <c r="V92" s="2203"/>
      <c r="W92" s="2203"/>
      <c r="X92" s="2203"/>
      <c r="Y92" s="2203"/>
      <c r="Z92" s="2203"/>
    </row>
    <row r="93" spans="1:26" s="4854" customFormat="1">
      <c r="A93" s="5865"/>
      <c r="B93" s="5865"/>
      <c r="C93" s="5095" t="s">
        <v>3038</v>
      </c>
      <c r="D93" s="5865" t="s">
        <v>247</v>
      </c>
      <c r="E93" s="5091">
        <v>89</v>
      </c>
      <c r="F93" s="5092">
        <v>55</v>
      </c>
      <c r="G93" s="5093">
        <f t="shared" si="1"/>
        <v>61.797752808988761</v>
      </c>
      <c r="H93" s="5094">
        <v>0.87272727272727268</v>
      </c>
      <c r="I93" s="5094">
        <v>0.12727272727272726</v>
      </c>
      <c r="J93" s="5094">
        <v>6.25E-2</v>
      </c>
      <c r="K93" s="5094">
        <v>6.25E-2</v>
      </c>
      <c r="L93" s="5094">
        <v>0.10416666666666669</v>
      </c>
      <c r="M93" s="5094">
        <v>0.1875</v>
      </c>
      <c r="N93" s="5094">
        <v>0.58333333333333337</v>
      </c>
      <c r="O93" s="2203"/>
      <c r="P93" s="2203"/>
      <c r="Q93" s="2203"/>
      <c r="R93" s="2203"/>
      <c r="S93" s="2203"/>
      <c r="T93" s="2203"/>
      <c r="U93" s="2203"/>
      <c r="V93" s="2203"/>
      <c r="W93" s="2203"/>
      <c r="X93" s="2203"/>
      <c r="Y93" s="2203"/>
      <c r="Z93" s="2203"/>
    </row>
    <row r="94" spans="1:26" s="4854" customFormat="1">
      <c r="A94" s="5865"/>
      <c r="B94" s="5865"/>
      <c r="C94" s="5095" t="s">
        <v>2478</v>
      </c>
      <c r="D94" s="5865"/>
      <c r="E94" s="5091">
        <v>131</v>
      </c>
      <c r="F94" s="5092">
        <v>48</v>
      </c>
      <c r="G94" s="5093">
        <f t="shared" si="1"/>
        <v>36.641221374045799</v>
      </c>
      <c r="H94" s="5094">
        <v>0.64583333333333348</v>
      </c>
      <c r="I94" s="5094">
        <v>0.35416666666666674</v>
      </c>
      <c r="J94" s="5094">
        <v>3.3333333333333333E-2</v>
      </c>
      <c r="K94" s="5094">
        <v>6.6666666666666666E-2</v>
      </c>
      <c r="L94" s="5094">
        <v>0.33333333333333326</v>
      </c>
      <c r="M94" s="5094">
        <v>6.6666666666666666E-2</v>
      </c>
      <c r="N94" s="5094">
        <v>0.5</v>
      </c>
      <c r="O94" s="2203"/>
      <c r="P94" s="2203"/>
      <c r="Q94" s="2203"/>
      <c r="R94" s="2203"/>
      <c r="S94" s="2203"/>
      <c r="T94" s="2203"/>
      <c r="U94" s="2203"/>
      <c r="V94" s="2203"/>
      <c r="W94" s="2203"/>
      <c r="X94" s="2203"/>
      <c r="Y94" s="2203"/>
      <c r="Z94" s="2203"/>
    </row>
    <row r="95" spans="1:26" s="4854" customFormat="1">
      <c r="A95" s="5865"/>
      <c r="B95" s="5865"/>
      <c r="C95" s="5095" t="s">
        <v>3039</v>
      </c>
      <c r="D95" s="5865"/>
      <c r="E95" s="5091">
        <v>22</v>
      </c>
      <c r="F95" s="5092">
        <v>7</v>
      </c>
      <c r="G95" s="5093">
        <f t="shared" si="1"/>
        <v>31.818181818181817</v>
      </c>
      <c r="H95" s="5094">
        <v>0.8571428571428571</v>
      </c>
      <c r="I95" s="5094">
        <v>0.14285714285714285</v>
      </c>
      <c r="J95" s="5094">
        <v>0.16666666666666663</v>
      </c>
      <c r="K95" s="5096">
        <v>0</v>
      </c>
      <c r="L95" s="5096">
        <v>0</v>
      </c>
      <c r="M95" s="5094">
        <v>0.16666666666666663</v>
      </c>
      <c r="N95" s="5094">
        <v>0.66666666666666652</v>
      </c>
      <c r="O95" s="2203"/>
      <c r="P95" s="2203"/>
      <c r="Q95" s="2203"/>
      <c r="R95" s="2203"/>
      <c r="S95" s="2203"/>
      <c r="T95" s="2203"/>
      <c r="U95" s="2203"/>
      <c r="V95" s="2203"/>
      <c r="W95" s="2203"/>
      <c r="X95" s="2203"/>
      <c r="Y95" s="2203"/>
      <c r="Z95" s="2203"/>
    </row>
    <row r="96" spans="1:26" s="4854" customFormat="1">
      <c r="A96" s="5865"/>
      <c r="B96" s="5865"/>
      <c r="C96" s="5095" t="s">
        <v>129</v>
      </c>
      <c r="D96" s="5865"/>
      <c r="E96" s="5091">
        <v>374</v>
      </c>
      <c r="F96" s="5092">
        <v>300</v>
      </c>
      <c r="G96" s="5093">
        <f t="shared" si="1"/>
        <v>80.213903743315512</v>
      </c>
      <c r="H96" s="5094">
        <v>0.6387959866220736</v>
      </c>
      <c r="I96" s="5094">
        <v>0.3612040133779264</v>
      </c>
      <c r="J96" s="5094">
        <v>1.0416666666666664E-2</v>
      </c>
      <c r="K96" s="5094">
        <v>3.6458333333333336E-2</v>
      </c>
      <c r="L96" s="5094">
        <v>0.10416666666666669</v>
      </c>
      <c r="M96" s="5094">
        <v>0.16145833333333337</v>
      </c>
      <c r="N96" s="5094">
        <v>0.6875</v>
      </c>
      <c r="O96" s="2203"/>
      <c r="P96" s="2203"/>
      <c r="Q96" s="2203"/>
      <c r="R96" s="2203"/>
      <c r="S96" s="2203"/>
      <c r="T96" s="2203"/>
      <c r="U96" s="2203"/>
      <c r="V96" s="2203"/>
      <c r="W96" s="2203"/>
      <c r="X96" s="2203"/>
      <c r="Y96" s="2203"/>
      <c r="Z96" s="2203"/>
    </row>
    <row r="97" spans="1:26" s="4854" customFormat="1">
      <c r="A97" s="5865"/>
      <c r="B97" s="5865"/>
      <c r="C97" s="5095" t="s">
        <v>130</v>
      </c>
      <c r="D97" s="5865"/>
      <c r="E97" s="5091">
        <v>237</v>
      </c>
      <c r="F97" s="5092">
        <v>185</v>
      </c>
      <c r="G97" s="5093">
        <f t="shared" si="1"/>
        <v>78.059071729957807</v>
      </c>
      <c r="H97" s="5094">
        <v>0.60540540540540544</v>
      </c>
      <c r="I97" s="5094">
        <v>0.39459459459459462</v>
      </c>
      <c r="J97" s="5094">
        <v>1.7857142857142856E-2</v>
      </c>
      <c r="K97" s="5094">
        <v>4.4642857142857144E-2</v>
      </c>
      <c r="L97" s="5094">
        <v>0.16071428571428573</v>
      </c>
      <c r="M97" s="5094">
        <v>0.21428571428571427</v>
      </c>
      <c r="N97" s="5094">
        <v>0.5625</v>
      </c>
      <c r="O97" s="2203"/>
      <c r="P97" s="2203"/>
      <c r="Q97" s="2203"/>
      <c r="R97" s="2203"/>
      <c r="S97" s="2203"/>
      <c r="T97" s="2203"/>
      <c r="U97" s="2203"/>
      <c r="V97" s="2203"/>
      <c r="W97" s="2203"/>
      <c r="X97" s="2203"/>
      <c r="Y97" s="2203"/>
      <c r="Z97" s="2203"/>
    </row>
    <row r="98" spans="1:26" s="4854" customFormat="1">
      <c r="A98" s="5865"/>
      <c r="B98" s="5865"/>
      <c r="C98" s="5095" t="s">
        <v>295</v>
      </c>
      <c r="D98" s="5865"/>
      <c r="E98" s="5091">
        <v>194</v>
      </c>
      <c r="F98" s="5092">
        <v>105</v>
      </c>
      <c r="G98" s="5093">
        <f t="shared" si="1"/>
        <v>54.123711340206185</v>
      </c>
      <c r="H98" s="5094">
        <v>0.61538461538461542</v>
      </c>
      <c r="I98" s="5094">
        <v>0.38461538461538469</v>
      </c>
      <c r="J98" s="5094">
        <v>0.11594202898550725</v>
      </c>
      <c r="K98" s="5094">
        <v>5.7971014492753624E-2</v>
      </c>
      <c r="L98" s="5094">
        <v>0.13043478260869565</v>
      </c>
      <c r="M98" s="5094">
        <v>0.17391304347826086</v>
      </c>
      <c r="N98" s="5094">
        <v>0.52173913043478259</v>
      </c>
      <c r="O98" s="2203"/>
      <c r="P98" s="2203"/>
      <c r="Q98" s="2203"/>
      <c r="R98" s="2203"/>
      <c r="S98" s="2203"/>
      <c r="T98" s="2203"/>
      <c r="U98" s="2203"/>
      <c r="V98" s="2203"/>
      <c r="W98" s="2203"/>
      <c r="X98" s="2203"/>
      <c r="Y98" s="2203"/>
      <c r="Z98" s="2203"/>
    </row>
    <row r="99" spans="1:26" s="4854" customFormat="1">
      <c r="A99" s="5865"/>
      <c r="B99" s="5865"/>
      <c r="C99" s="5095" t="s">
        <v>129</v>
      </c>
      <c r="D99" s="5865" t="s">
        <v>248</v>
      </c>
      <c r="E99" s="5091">
        <v>239</v>
      </c>
      <c r="F99" s="5092">
        <v>178</v>
      </c>
      <c r="G99" s="5093">
        <f t="shared" si="1"/>
        <v>74.476987447698747</v>
      </c>
      <c r="H99" s="5094">
        <v>0.848314606741573</v>
      </c>
      <c r="I99" s="5094">
        <v>0.15168539325842698</v>
      </c>
      <c r="J99" s="5094">
        <v>1.3071895424836602E-2</v>
      </c>
      <c r="K99" s="5094">
        <v>3.2679738562091505E-2</v>
      </c>
      <c r="L99" s="5094">
        <v>9.8039215686274522E-2</v>
      </c>
      <c r="M99" s="5094">
        <v>0.15686274509803921</v>
      </c>
      <c r="N99" s="5094">
        <v>0.69934640522875813</v>
      </c>
      <c r="O99" s="2203"/>
      <c r="P99" s="2203"/>
      <c r="Q99" s="2203"/>
      <c r="R99" s="2203"/>
      <c r="S99" s="2203"/>
      <c r="T99" s="2203"/>
      <c r="U99" s="2203"/>
      <c r="V99" s="2203"/>
      <c r="W99" s="2203"/>
      <c r="X99" s="2203"/>
      <c r="Y99" s="2203"/>
      <c r="Z99" s="2203"/>
    </row>
    <row r="100" spans="1:26" s="4854" customFormat="1">
      <c r="A100" s="5865"/>
      <c r="B100" s="5865"/>
      <c r="C100" s="5095" t="s">
        <v>483</v>
      </c>
      <c r="D100" s="5865"/>
      <c r="E100" s="5091">
        <v>141</v>
      </c>
      <c r="F100" s="5092">
        <v>108</v>
      </c>
      <c r="G100" s="5093">
        <f t="shared" si="1"/>
        <v>76.59574468085107</v>
      </c>
      <c r="H100" s="5094">
        <v>0.98148148148148151</v>
      </c>
      <c r="I100" s="5094">
        <v>1.8518518518518517E-2</v>
      </c>
      <c r="J100" s="5096">
        <v>0</v>
      </c>
      <c r="K100" s="5096">
        <v>0</v>
      </c>
      <c r="L100" s="5094">
        <v>2.8571428571428571E-2</v>
      </c>
      <c r="M100" s="5094">
        <v>4.7619047619047616E-2</v>
      </c>
      <c r="N100" s="5094">
        <v>0.92380952380952375</v>
      </c>
      <c r="O100" s="2203"/>
      <c r="P100" s="2203"/>
      <c r="Q100" s="2203"/>
      <c r="R100" s="2203"/>
      <c r="S100" s="2203"/>
      <c r="T100" s="2203"/>
      <c r="U100" s="2203"/>
      <c r="V100" s="2203"/>
      <c r="W100" s="2203"/>
      <c r="X100" s="2203"/>
      <c r="Y100" s="2203"/>
      <c r="Z100" s="2203"/>
    </row>
    <row r="101" spans="1:26" s="4854" customFormat="1">
      <c r="A101" s="5865"/>
      <c r="B101" s="5865"/>
      <c r="C101" s="5095" t="s">
        <v>130</v>
      </c>
      <c r="D101" s="5865"/>
      <c r="E101" s="5091">
        <v>119</v>
      </c>
      <c r="F101" s="5092">
        <v>103</v>
      </c>
      <c r="G101" s="5093">
        <f t="shared" si="1"/>
        <v>86.554621848739501</v>
      </c>
      <c r="H101" s="5094">
        <v>0.90291262135922334</v>
      </c>
      <c r="I101" s="5094">
        <v>9.7087378640776698E-2</v>
      </c>
      <c r="J101" s="5094">
        <v>2.1505376344086023E-2</v>
      </c>
      <c r="K101" s="5094">
        <v>1.0752688172043012E-2</v>
      </c>
      <c r="L101" s="5094">
        <v>0.1075268817204301</v>
      </c>
      <c r="M101" s="5094">
        <v>0.16129032258064516</v>
      </c>
      <c r="N101" s="5094">
        <v>0.69892473118279563</v>
      </c>
      <c r="O101" s="2203"/>
      <c r="P101" s="2203"/>
      <c r="Q101" s="2203"/>
      <c r="R101" s="2203"/>
      <c r="S101" s="2203"/>
      <c r="T101" s="2203"/>
      <c r="U101" s="2203"/>
      <c r="V101" s="2203"/>
      <c r="W101" s="2203"/>
      <c r="X101" s="2203"/>
      <c r="Y101" s="2203"/>
      <c r="Z101" s="2203"/>
    </row>
    <row r="102" spans="1:26" s="4854" customFormat="1">
      <c r="A102" s="5865"/>
      <c r="B102" s="5865"/>
      <c r="C102" s="5095" t="s">
        <v>410</v>
      </c>
      <c r="D102" s="5865"/>
      <c r="E102" s="5091">
        <v>91</v>
      </c>
      <c r="F102" s="5092">
        <v>57</v>
      </c>
      <c r="G102" s="5093">
        <f t="shared" si="1"/>
        <v>62.637362637362635</v>
      </c>
      <c r="H102" s="5094">
        <v>0.77192982456140347</v>
      </c>
      <c r="I102" s="5094">
        <v>0.22807017543859648</v>
      </c>
      <c r="J102" s="5094">
        <v>4.4444444444444446E-2</v>
      </c>
      <c r="K102" s="5094">
        <v>2.2222222222222223E-2</v>
      </c>
      <c r="L102" s="5094">
        <v>0.1111111111111111</v>
      </c>
      <c r="M102" s="5094">
        <v>0.22222222222222221</v>
      </c>
      <c r="N102" s="5094">
        <v>0.6</v>
      </c>
      <c r="O102" s="2203"/>
      <c r="P102" s="2203"/>
      <c r="Q102" s="2203"/>
      <c r="R102" s="2203"/>
      <c r="S102" s="2203"/>
      <c r="T102" s="2203"/>
      <c r="U102" s="2203"/>
      <c r="V102" s="2203"/>
      <c r="W102" s="2203"/>
      <c r="X102" s="2203"/>
      <c r="Y102" s="2203"/>
      <c r="Z102" s="2203"/>
    </row>
    <row r="103" spans="1:26" s="4854" customFormat="1">
      <c r="A103" s="5865" t="s">
        <v>48</v>
      </c>
      <c r="B103" s="5865" t="s">
        <v>2434</v>
      </c>
      <c r="C103" s="5095" t="s">
        <v>2486</v>
      </c>
      <c r="D103" s="5865" t="s">
        <v>265</v>
      </c>
      <c r="E103" s="5091">
        <v>153</v>
      </c>
      <c r="F103" s="5092">
        <v>78</v>
      </c>
      <c r="G103" s="5093">
        <f t="shared" si="1"/>
        <v>50.980392156862742</v>
      </c>
      <c r="H103" s="5094">
        <v>0.80769230769230771</v>
      </c>
      <c r="I103" s="5094">
        <v>0.19230769230769235</v>
      </c>
      <c r="J103" s="5096">
        <v>0</v>
      </c>
      <c r="K103" s="5094">
        <v>1.5625E-2</v>
      </c>
      <c r="L103" s="5094">
        <v>4.6875E-2</v>
      </c>
      <c r="M103" s="5094">
        <v>0.109375</v>
      </c>
      <c r="N103" s="5094">
        <v>0.828125</v>
      </c>
      <c r="O103" s="2203"/>
      <c r="P103" s="2203"/>
      <c r="Q103" s="2203"/>
      <c r="R103" s="2203"/>
      <c r="S103" s="2203"/>
      <c r="T103" s="2203"/>
      <c r="U103" s="2203"/>
      <c r="V103" s="2203"/>
      <c r="W103" s="2203"/>
      <c r="X103" s="2203"/>
      <c r="Y103" s="2203"/>
      <c r="Z103" s="2203"/>
    </row>
    <row r="104" spans="1:26" s="4854" customFormat="1">
      <c r="A104" s="5865"/>
      <c r="B104" s="5865"/>
      <c r="C104" s="5095" t="s">
        <v>2491</v>
      </c>
      <c r="D104" s="5865"/>
      <c r="E104" s="5091">
        <v>274</v>
      </c>
      <c r="F104" s="5092">
        <v>129</v>
      </c>
      <c r="G104" s="5093">
        <f t="shared" si="1"/>
        <v>47.080291970802918</v>
      </c>
      <c r="H104" s="5094">
        <v>0.76744186046511631</v>
      </c>
      <c r="I104" s="5094">
        <v>0.23255813953488372</v>
      </c>
      <c r="J104" s="5094">
        <v>2.0408163265306124E-2</v>
      </c>
      <c r="K104" s="5094">
        <v>4.0816326530612249E-2</v>
      </c>
      <c r="L104" s="5094">
        <v>7.1428571428571425E-2</v>
      </c>
      <c r="M104" s="5094">
        <v>0.10204081632653061</v>
      </c>
      <c r="N104" s="5094">
        <v>0.76530612244897955</v>
      </c>
      <c r="O104" s="2203"/>
      <c r="P104" s="2203"/>
      <c r="Q104" s="2203"/>
      <c r="R104" s="2203"/>
      <c r="S104" s="2203"/>
      <c r="T104" s="2203"/>
      <c r="U104" s="2203"/>
      <c r="V104" s="2203"/>
      <c r="W104" s="2203"/>
      <c r="X104" s="2203"/>
      <c r="Y104" s="2203"/>
      <c r="Z104" s="2203"/>
    </row>
    <row r="105" spans="1:26" s="4854" customFormat="1">
      <c r="A105" s="5865"/>
      <c r="B105" s="5865"/>
      <c r="C105" s="5095" t="s">
        <v>3040</v>
      </c>
      <c r="D105" s="5865" t="s">
        <v>247</v>
      </c>
      <c r="E105" s="5091">
        <v>86</v>
      </c>
      <c r="F105" s="5092">
        <v>22</v>
      </c>
      <c r="G105" s="5093">
        <f t="shared" si="1"/>
        <v>25.581395348837209</v>
      </c>
      <c r="H105" s="5094">
        <v>0.81818181818181823</v>
      </c>
      <c r="I105" s="5094">
        <v>0.18181818181818182</v>
      </c>
      <c r="J105" s="5096">
        <v>0</v>
      </c>
      <c r="K105" s="5094">
        <v>5.8823529411764698E-2</v>
      </c>
      <c r="L105" s="5094">
        <v>0.1176470588235294</v>
      </c>
      <c r="M105" s="5094">
        <v>5.8823529411764698E-2</v>
      </c>
      <c r="N105" s="5094">
        <v>0.76470588235294112</v>
      </c>
      <c r="O105" s="2203"/>
      <c r="P105" s="2203"/>
      <c r="Q105" s="2203"/>
      <c r="R105" s="2203"/>
      <c r="S105" s="2203"/>
      <c r="T105" s="2203"/>
      <c r="U105" s="2203"/>
      <c r="V105" s="2203"/>
      <c r="W105" s="2203"/>
      <c r="X105" s="2203"/>
      <c r="Y105" s="2203"/>
      <c r="Z105" s="2203"/>
    </row>
    <row r="106" spans="1:26" s="4854" customFormat="1">
      <c r="A106" s="5865"/>
      <c r="B106" s="5865"/>
      <c r="C106" s="5095" t="s">
        <v>3041</v>
      </c>
      <c r="D106" s="5865"/>
      <c r="E106" s="5091">
        <v>115</v>
      </c>
      <c r="F106" s="5092">
        <v>37</v>
      </c>
      <c r="G106" s="5093">
        <f t="shared" si="1"/>
        <v>32.173913043478258</v>
      </c>
      <c r="H106" s="5094">
        <v>0.78378378378378377</v>
      </c>
      <c r="I106" s="5094">
        <v>0.2162162162162162</v>
      </c>
      <c r="J106" s="5094">
        <v>6.8965517241379309E-2</v>
      </c>
      <c r="K106" s="5096">
        <v>0</v>
      </c>
      <c r="L106" s="5094">
        <v>6.8965517241379309E-2</v>
      </c>
      <c r="M106" s="5094">
        <v>6.8965517241379309E-2</v>
      </c>
      <c r="N106" s="5094">
        <v>0.7931034482758621</v>
      </c>
      <c r="O106" s="2203"/>
      <c r="P106" s="2203"/>
      <c r="Q106" s="2203"/>
      <c r="R106" s="2203"/>
      <c r="S106" s="2203"/>
      <c r="T106" s="2203"/>
      <c r="U106" s="2203"/>
      <c r="V106" s="2203"/>
      <c r="W106" s="2203"/>
      <c r="X106" s="2203"/>
      <c r="Y106" s="2203"/>
      <c r="Z106" s="2203"/>
    </row>
    <row r="107" spans="1:26" s="4854" customFormat="1">
      <c r="A107" s="5865"/>
      <c r="B107" s="5865"/>
      <c r="C107" s="5095" t="s">
        <v>411</v>
      </c>
      <c r="D107" s="5865"/>
      <c r="E107" s="5091">
        <v>170</v>
      </c>
      <c r="F107" s="5092">
        <v>119</v>
      </c>
      <c r="G107" s="5093">
        <f t="shared" si="1"/>
        <v>70</v>
      </c>
      <c r="H107" s="5094">
        <v>0.8571428571428571</v>
      </c>
      <c r="I107" s="5094">
        <v>0.14285714285714285</v>
      </c>
      <c r="J107" s="5096">
        <v>0</v>
      </c>
      <c r="K107" s="5094">
        <v>2.8301886792452834E-2</v>
      </c>
      <c r="L107" s="5094">
        <v>0.12264150943396226</v>
      </c>
      <c r="M107" s="5094">
        <v>0.28301886792452829</v>
      </c>
      <c r="N107" s="5094">
        <v>0.56603773584905659</v>
      </c>
      <c r="O107" s="2203"/>
      <c r="P107" s="2203"/>
      <c r="Q107" s="2203"/>
      <c r="R107" s="2203"/>
      <c r="S107" s="2203"/>
      <c r="T107" s="2203"/>
      <c r="U107" s="2203"/>
      <c r="V107" s="2203"/>
      <c r="W107" s="2203"/>
      <c r="X107" s="2203"/>
      <c r="Y107" s="2203"/>
      <c r="Z107" s="2203"/>
    </row>
    <row r="108" spans="1:26" s="4854" customFormat="1">
      <c r="A108" s="5865"/>
      <c r="B108" s="5865"/>
      <c r="C108" s="5095" t="s">
        <v>2485</v>
      </c>
      <c r="D108" s="5865"/>
      <c r="E108" s="5091">
        <v>141</v>
      </c>
      <c r="F108" s="5092">
        <v>86</v>
      </c>
      <c r="G108" s="5093">
        <f t="shared" si="1"/>
        <v>60.99290780141844</v>
      </c>
      <c r="H108" s="5094">
        <v>0.82558139534883723</v>
      </c>
      <c r="I108" s="5094">
        <v>0.17441860465116277</v>
      </c>
      <c r="J108" s="5096">
        <v>0</v>
      </c>
      <c r="K108" s="5094">
        <v>4.3478260869565216E-2</v>
      </c>
      <c r="L108" s="5094">
        <v>7.2463768115942032E-2</v>
      </c>
      <c r="M108" s="5094">
        <v>0.21739130434782608</v>
      </c>
      <c r="N108" s="5094">
        <v>0.66666666666666652</v>
      </c>
      <c r="O108" s="2203"/>
      <c r="P108" s="2203"/>
      <c r="Q108" s="2203"/>
      <c r="R108" s="2203"/>
      <c r="S108" s="2203"/>
      <c r="T108" s="2203"/>
      <c r="U108" s="2203"/>
      <c r="V108" s="2203"/>
      <c r="W108" s="2203"/>
      <c r="X108" s="2203"/>
      <c r="Y108" s="2203"/>
      <c r="Z108" s="2203"/>
    </row>
    <row r="109" spans="1:26" s="4854" customFormat="1">
      <c r="A109" s="5865"/>
      <c r="B109" s="5865"/>
      <c r="C109" s="5095" t="s">
        <v>2486</v>
      </c>
      <c r="D109" s="5865"/>
      <c r="E109" s="5091">
        <v>101</v>
      </c>
      <c r="F109" s="5092">
        <v>2</v>
      </c>
      <c r="G109" s="5093">
        <f t="shared" si="1"/>
        <v>1.9801980198019802</v>
      </c>
      <c r="H109" s="5094">
        <v>1</v>
      </c>
      <c r="I109" s="5096">
        <v>0</v>
      </c>
      <c r="J109" s="5096">
        <v>0</v>
      </c>
      <c r="K109" s="5094">
        <v>0.5</v>
      </c>
      <c r="L109" s="5094">
        <v>0.5</v>
      </c>
      <c r="M109" s="5096">
        <v>0</v>
      </c>
      <c r="N109" s="5096">
        <v>0</v>
      </c>
      <c r="O109" s="2203"/>
      <c r="P109" s="2203"/>
      <c r="Q109" s="2203"/>
      <c r="R109" s="2203"/>
      <c r="S109" s="2203"/>
      <c r="T109" s="2203"/>
      <c r="U109" s="2203"/>
      <c r="V109" s="2203"/>
      <c r="W109" s="2203"/>
      <c r="X109" s="2203"/>
      <c r="Y109" s="2203"/>
      <c r="Z109" s="2203"/>
    </row>
    <row r="110" spans="1:26" s="4854" customFormat="1">
      <c r="A110" s="5865"/>
      <c r="B110" s="5865"/>
      <c r="C110" s="5095" t="s">
        <v>297</v>
      </c>
      <c r="D110" s="5865"/>
      <c r="E110" s="5091">
        <v>161</v>
      </c>
      <c r="F110" s="5092">
        <v>107</v>
      </c>
      <c r="G110" s="5093">
        <f t="shared" si="1"/>
        <v>66.459627329192543</v>
      </c>
      <c r="H110" s="5094">
        <v>0.78504672897196259</v>
      </c>
      <c r="I110" s="5094">
        <v>0.21495327102803738</v>
      </c>
      <c r="J110" s="5096">
        <v>0</v>
      </c>
      <c r="K110" s="5094">
        <v>2.3809523809523808E-2</v>
      </c>
      <c r="L110" s="5094">
        <v>0.15476190476190477</v>
      </c>
      <c r="M110" s="5094">
        <v>0.25</v>
      </c>
      <c r="N110" s="5094">
        <v>0.5714285714285714</v>
      </c>
      <c r="O110" s="2203"/>
      <c r="P110" s="2203"/>
      <c r="Q110" s="2203"/>
      <c r="R110" s="2203"/>
      <c r="S110" s="2203"/>
      <c r="T110" s="2203"/>
      <c r="U110" s="2203"/>
      <c r="V110" s="2203"/>
      <c r="W110" s="2203"/>
      <c r="X110" s="2203"/>
      <c r="Y110" s="2203"/>
      <c r="Z110" s="2203"/>
    </row>
    <row r="111" spans="1:26" s="4854" customFormat="1">
      <c r="A111" s="5865"/>
      <c r="B111" s="5865"/>
      <c r="C111" s="5095" t="s">
        <v>3042</v>
      </c>
      <c r="D111" s="5865"/>
      <c r="E111" s="5091">
        <v>21</v>
      </c>
      <c r="F111" s="5092">
        <v>4</v>
      </c>
      <c r="G111" s="5093">
        <f t="shared" si="1"/>
        <v>19.047619047619047</v>
      </c>
      <c r="H111" s="5094">
        <v>1</v>
      </c>
      <c r="I111" s="5096">
        <v>0</v>
      </c>
      <c r="J111" s="5096">
        <v>0</v>
      </c>
      <c r="K111" s="5096">
        <v>0</v>
      </c>
      <c r="L111" s="5096">
        <v>0</v>
      </c>
      <c r="M111" s="5096">
        <v>0</v>
      </c>
      <c r="N111" s="5094">
        <v>1</v>
      </c>
      <c r="O111" s="2203"/>
      <c r="P111" s="2203"/>
      <c r="Q111" s="2203"/>
      <c r="R111" s="2203"/>
      <c r="S111" s="2203"/>
      <c r="T111" s="2203"/>
      <c r="U111" s="2203"/>
      <c r="V111" s="2203"/>
      <c r="W111" s="2203"/>
      <c r="X111" s="2203"/>
      <c r="Y111" s="2203"/>
      <c r="Z111" s="2203"/>
    </row>
    <row r="112" spans="1:26" s="4854" customFormat="1">
      <c r="A112" s="5865"/>
      <c r="B112" s="5865"/>
      <c r="C112" s="5095" t="s">
        <v>298</v>
      </c>
      <c r="D112" s="5865"/>
      <c r="E112" s="5091">
        <v>140</v>
      </c>
      <c r="F112" s="5092">
        <v>108</v>
      </c>
      <c r="G112" s="5093">
        <f t="shared" si="1"/>
        <v>77.142857142857139</v>
      </c>
      <c r="H112" s="5094">
        <v>0.88888888888888884</v>
      </c>
      <c r="I112" s="5094">
        <v>0.1111111111111111</v>
      </c>
      <c r="J112" s="5094">
        <v>3.125E-2</v>
      </c>
      <c r="K112" s="5094">
        <v>3.125E-2</v>
      </c>
      <c r="L112" s="5094">
        <v>0.10416666666666669</v>
      </c>
      <c r="M112" s="5094">
        <v>0.32291666666666674</v>
      </c>
      <c r="N112" s="5094">
        <v>0.51041666666666663</v>
      </c>
      <c r="O112" s="2203"/>
      <c r="P112" s="2203"/>
      <c r="Q112" s="2203"/>
      <c r="R112" s="2203"/>
      <c r="S112" s="2203"/>
      <c r="T112" s="2203"/>
      <c r="U112" s="2203"/>
      <c r="V112" s="2203"/>
      <c r="W112" s="2203"/>
      <c r="X112" s="2203"/>
      <c r="Y112" s="2203"/>
      <c r="Z112" s="2203"/>
    </row>
    <row r="113" spans="1:26" s="4854" customFormat="1">
      <c r="A113" s="5865"/>
      <c r="B113" s="5865"/>
      <c r="C113" s="5095" t="s">
        <v>486</v>
      </c>
      <c r="D113" s="5865"/>
      <c r="E113" s="5091">
        <v>110</v>
      </c>
      <c r="F113" s="5092">
        <v>65</v>
      </c>
      <c r="G113" s="5093">
        <f t="shared" si="1"/>
        <v>59.090909090909093</v>
      </c>
      <c r="H113" s="5094">
        <v>0.76923076923076938</v>
      </c>
      <c r="I113" s="5094">
        <v>0.23076923076923075</v>
      </c>
      <c r="J113" s="5094">
        <v>2.0408163265306124E-2</v>
      </c>
      <c r="K113" s="5094">
        <v>2.0408163265306124E-2</v>
      </c>
      <c r="L113" s="5094">
        <v>0.14285714285714285</v>
      </c>
      <c r="M113" s="5094">
        <v>0.24489795918367346</v>
      </c>
      <c r="N113" s="5094">
        <v>0.5714285714285714</v>
      </c>
      <c r="O113" s="2203"/>
      <c r="P113" s="2203"/>
      <c r="Q113" s="2203"/>
      <c r="R113" s="2203"/>
      <c r="S113" s="2203"/>
      <c r="T113" s="2203"/>
      <c r="U113" s="2203"/>
      <c r="V113" s="2203"/>
      <c r="W113" s="2203"/>
      <c r="X113" s="2203"/>
      <c r="Y113" s="2203"/>
      <c r="Z113" s="2203"/>
    </row>
    <row r="114" spans="1:26" s="4854" customFormat="1">
      <c r="A114" s="5865"/>
      <c r="B114" s="5865"/>
      <c r="C114" s="5095" t="s">
        <v>2490</v>
      </c>
      <c r="D114" s="5865"/>
      <c r="E114" s="5091">
        <v>35</v>
      </c>
      <c r="F114" s="5092">
        <v>27</v>
      </c>
      <c r="G114" s="5093">
        <f t="shared" si="1"/>
        <v>77.142857142857139</v>
      </c>
      <c r="H114" s="5094">
        <v>0.53846153846153844</v>
      </c>
      <c r="I114" s="5094">
        <v>0.46153846153846151</v>
      </c>
      <c r="J114" s="5096">
        <v>0</v>
      </c>
      <c r="K114" s="5096">
        <v>0</v>
      </c>
      <c r="L114" s="5094">
        <v>0.14285714285714285</v>
      </c>
      <c r="M114" s="5094">
        <v>0.14285714285714285</v>
      </c>
      <c r="N114" s="5094">
        <v>0.7142857142857143</v>
      </c>
      <c r="O114" s="2203"/>
      <c r="P114" s="2203"/>
      <c r="Q114" s="2203"/>
      <c r="R114" s="2203"/>
      <c r="S114" s="2203"/>
      <c r="T114" s="2203"/>
      <c r="U114" s="2203"/>
      <c r="V114" s="2203"/>
      <c r="W114" s="2203"/>
      <c r="X114" s="2203"/>
      <c r="Y114" s="2203"/>
      <c r="Z114" s="2203"/>
    </row>
    <row r="115" spans="1:26" s="4854" customFormat="1">
      <c r="A115" s="5865"/>
      <c r="B115" s="5865"/>
      <c r="C115" s="5095" t="s">
        <v>2491</v>
      </c>
      <c r="D115" s="5865"/>
      <c r="E115" s="5091">
        <v>315</v>
      </c>
      <c r="F115" s="5092">
        <v>115</v>
      </c>
      <c r="G115" s="5093">
        <f t="shared" si="1"/>
        <v>36.507936507936506</v>
      </c>
      <c r="H115" s="5094">
        <v>0.64035087719298245</v>
      </c>
      <c r="I115" s="5094">
        <v>0.35964912280701755</v>
      </c>
      <c r="J115" s="5094">
        <v>1.3698630136986301E-2</v>
      </c>
      <c r="K115" s="5094">
        <v>6.8493150684931503E-2</v>
      </c>
      <c r="L115" s="5094">
        <v>9.5890410958904104E-2</v>
      </c>
      <c r="M115" s="5094">
        <v>0.26027397260273971</v>
      </c>
      <c r="N115" s="5094">
        <v>0.56164383561643838</v>
      </c>
      <c r="O115" s="2203"/>
      <c r="P115" s="2203"/>
      <c r="Q115" s="2203"/>
      <c r="R115" s="2203"/>
      <c r="S115" s="2203"/>
      <c r="T115" s="2203"/>
      <c r="U115" s="2203"/>
      <c r="V115" s="2203"/>
      <c r="W115" s="2203"/>
      <c r="X115" s="2203"/>
      <c r="Y115" s="2203"/>
      <c r="Z115" s="2203"/>
    </row>
    <row r="116" spans="1:26" s="4854" customFormat="1">
      <c r="A116" s="5865"/>
      <c r="B116" s="5865"/>
      <c r="C116" s="5095" t="s">
        <v>2328</v>
      </c>
      <c r="D116" s="5865"/>
      <c r="E116" s="5091">
        <v>48</v>
      </c>
      <c r="F116" s="5092">
        <v>22</v>
      </c>
      <c r="G116" s="5093">
        <f t="shared" si="1"/>
        <v>45.833333333333336</v>
      </c>
      <c r="H116" s="5094">
        <v>0.54545454545454541</v>
      </c>
      <c r="I116" s="5094">
        <v>0.45454545454545453</v>
      </c>
      <c r="J116" s="5096">
        <v>0</v>
      </c>
      <c r="K116" s="5096">
        <v>0</v>
      </c>
      <c r="L116" s="5094">
        <v>0.38461538461538469</v>
      </c>
      <c r="M116" s="5094">
        <v>0.38461538461538469</v>
      </c>
      <c r="N116" s="5094">
        <v>0.23076923076923075</v>
      </c>
      <c r="O116" s="2203"/>
      <c r="P116" s="2203"/>
      <c r="Q116" s="2203"/>
      <c r="R116" s="2203"/>
      <c r="S116" s="2203"/>
      <c r="T116" s="2203"/>
      <c r="U116" s="2203"/>
      <c r="V116" s="2203"/>
      <c r="W116" s="2203"/>
      <c r="X116" s="2203"/>
      <c r="Y116" s="2203"/>
      <c r="Z116" s="2203"/>
    </row>
    <row r="117" spans="1:26" s="4854" customFormat="1">
      <c r="A117" s="5865"/>
      <c r="B117" s="5865"/>
      <c r="C117" s="5095" t="s">
        <v>299</v>
      </c>
      <c r="D117" s="5865"/>
      <c r="E117" s="5091">
        <v>70</v>
      </c>
      <c r="F117" s="5092">
        <v>48</v>
      </c>
      <c r="G117" s="5093">
        <f t="shared" si="1"/>
        <v>68.571428571428569</v>
      </c>
      <c r="H117" s="5094">
        <v>0.6875</v>
      </c>
      <c r="I117" s="5094">
        <v>0.3125</v>
      </c>
      <c r="J117" s="5094">
        <v>3.125E-2</v>
      </c>
      <c r="K117" s="5094">
        <v>9.375E-2</v>
      </c>
      <c r="L117" s="5094">
        <v>0.15625</v>
      </c>
      <c r="M117" s="5094">
        <v>0.375</v>
      </c>
      <c r="N117" s="5094">
        <v>0.34375</v>
      </c>
      <c r="O117" s="2203"/>
      <c r="P117" s="2203"/>
      <c r="Q117" s="2203"/>
      <c r="R117" s="2203"/>
      <c r="S117" s="2203"/>
      <c r="T117" s="2203"/>
      <c r="U117" s="2203"/>
      <c r="V117" s="2203"/>
      <c r="W117" s="2203"/>
      <c r="X117" s="2203"/>
      <c r="Y117" s="2203"/>
      <c r="Z117" s="2203"/>
    </row>
    <row r="118" spans="1:26" s="4854" customFormat="1">
      <c r="A118" s="5865"/>
      <c r="B118" s="5865"/>
      <c r="C118" s="5095" t="s">
        <v>2282</v>
      </c>
      <c r="D118" s="5865"/>
      <c r="E118" s="5091">
        <v>36</v>
      </c>
      <c r="F118" s="5092">
        <v>13</v>
      </c>
      <c r="G118" s="5093">
        <f t="shared" si="1"/>
        <v>36.111111111111114</v>
      </c>
      <c r="H118" s="5094">
        <v>0.76923076923076938</v>
      </c>
      <c r="I118" s="5094">
        <v>0.23076923076923075</v>
      </c>
      <c r="J118" s="5096">
        <v>0</v>
      </c>
      <c r="K118" s="5094">
        <v>0.1</v>
      </c>
      <c r="L118" s="5094">
        <v>0.2</v>
      </c>
      <c r="M118" s="5094">
        <v>0.2</v>
      </c>
      <c r="N118" s="5094">
        <v>0.5</v>
      </c>
      <c r="O118" s="2203"/>
      <c r="P118" s="2203"/>
      <c r="Q118" s="2203"/>
      <c r="R118" s="2203"/>
      <c r="S118" s="2203"/>
      <c r="T118" s="2203"/>
      <c r="U118" s="2203"/>
      <c r="V118" s="2203"/>
      <c r="W118" s="2203"/>
      <c r="X118" s="2203"/>
      <c r="Y118" s="2203"/>
      <c r="Z118" s="2203"/>
    </row>
    <row r="119" spans="1:26" s="4854" customFormat="1">
      <c r="A119" s="5865"/>
      <c r="B119" s="5865"/>
      <c r="C119" s="5095" t="s">
        <v>3043</v>
      </c>
      <c r="D119" s="5865"/>
      <c r="E119" s="5091">
        <v>11</v>
      </c>
      <c r="F119" s="5092">
        <v>7</v>
      </c>
      <c r="G119" s="5093">
        <f t="shared" si="1"/>
        <v>63.636363636363633</v>
      </c>
      <c r="H119" s="5094">
        <v>0.8571428571428571</v>
      </c>
      <c r="I119" s="5094">
        <v>0.14285714285714285</v>
      </c>
      <c r="J119" s="5096">
        <v>0</v>
      </c>
      <c r="K119" s="5096">
        <v>0</v>
      </c>
      <c r="L119" s="5094">
        <v>0.5</v>
      </c>
      <c r="M119" s="5094">
        <v>0.16666666666666663</v>
      </c>
      <c r="N119" s="5094">
        <v>0.33333333333333326</v>
      </c>
      <c r="O119" s="2203"/>
      <c r="P119" s="2203"/>
      <c r="Q119" s="2203"/>
      <c r="R119" s="2203"/>
      <c r="S119" s="2203"/>
      <c r="T119" s="2203"/>
      <c r="U119" s="2203"/>
      <c r="V119" s="2203"/>
      <c r="W119" s="2203"/>
      <c r="X119" s="2203"/>
      <c r="Y119" s="2203"/>
      <c r="Z119" s="2203"/>
    </row>
    <row r="120" spans="1:26" s="4854" customFormat="1">
      <c r="A120" s="5865"/>
      <c r="B120" s="5865"/>
      <c r="C120" s="5095" t="s">
        <v>302</v>
      </c>
      <c r="D120" s="5865" t="s">
        <v>248</v>
      </c>
      <c r="E120" s="5091">
        <v>385</v>
      </c>
      <c r="F120" s="5092">
        <v>103</v>
      </c>
      <c r="G120" s="5093">
        <f t="shared" si="1"/>
        <v>26.753246753246753</v>
      </c>
      <c r="H120" s="5094">
        <v>0.96116504854368945</v>
      </c>
      <c r="I120" s="5094">
        <v>3.8834951456310676E-2</v>
      </c>
      <c r="J120" s="5094">
        <v>2.9702970297029702E-2</v>
      </c>
      <c r="K120" s="5096">
        <v>0</v>
      </c>
      <c r="L120" s="5094">
        <v>9.9009900990099011E-3</v>
      </c>
      <c r="M120" s="5094">
        <v>0.11881188118811881</v>
      </c>
      <c r="N120" s="5094">
        <v>0.84158415841584155</v>
      </c>
      <c r="O120" s="2203"/>
      <c r="P120" s="2203"/>
      <c r="Q120" s="2203"/>
      <c r="R120" s="2203"/>
      <c r="S120" s="2203"/>
      <c r="T120" s="2203"/>
      <c r="U120" s="2203"/>
      <c r="V120" s="2203"/>
      <c r="W120" s="2203"/>
      <c r="X120" s="2203"/>
      <c r="Y120" s="2203"/>
      <c r="Z120" s="2203"/>
    </row>
    <row r="121" spans="1:26" s="4854" customFormat="1">
      <c r="A121" s="5865"/>
      <c r="B121" s="5865"/>
      <c r="C121" s="5095" t="s">
        <v>2490</v>
      </c>
      <c r="D121" s="5865"/>
      <c r="E121" s="5091">
        <v>24</v>
      </c>
      <c r="F121" s="5092">
        <v>14</v>
      </c>
      <c r="G121" s="5093">
        <f t="shared" si="1"/>
        <v>58.333333333333336</v>
      </c>
      <c r="H121" s="5094">
        <v>0.9285714285714286</v>
      </c>
      <c r="I121" s="5094">
        <v>7.1428571428571425E-2</v>
      </c>
      <c r="J121" s="5096">
        <v>0</v>
      </c>
      <c r="K121" s="5096">
        <v>0</v>
      </c>
      <c r="L121" s="5096">
        <v>0</v>
      </c>
      <c r="M121" s="5094">
        <v>7.6923076923076927E-2</v>
      </c>
      <c r="N121" s="5094">
        <v>0.92307692307692302</v>
      </c>
      <c r="O121" s="2203"/>
      <c r="P121" s="2203"/>
      <c r="Q121" s="2203"/>
      <c r="R121" s="2203"/>
      <c r="S121" s="2203"/>
      <c r="T121" s="2203"/>
      <c r="U121" s="2203"/>
      <c r="V121" s="2203"/>
      <c r="W121" s="2203"/>
      <c r="X121" s="2203"/>
      <c r="Y121" s="2203"/>
      <c r="Z121" s="2203"/>
    </row>
    <row r="122" spans="1:26" s="4854" customFormat="1">
      <c r="A122" s="5865"/>
      <c r="B122" s="5865"/>
      <c r="C122" s="5095" t="s">
        <v>2491</v>
      </c>
      <c r="D122" s="5865"/>
      <c r="E122" s="5091">
        <v>83</v>
      </c>
      <c r="F122" s="5092">
        <v>56</v>
      </c>
      <c r="G122" s="5093">
        <f t="shared" si="1"/>
        <v>67.46987951807229</v>
      </c>
      <c r="H122" s="5094">
        <v>0.8928571428571429</v>
      </c>
      <c r="I122" s="5094">
        <v>0.10714285714285714</v>
      </c>
      <c r="J122" s="5096">
        <v>0</v>
      </c>
      <c r="K122" s="5096">
        <v>0</v>
      </c>
      <c r="L122" s="5094">
        <v>6.1224489795918366E-2</v>
      </c>
      <c r="M122" s="5094">
        <v>0.20408163265306123</v>
      </c>
      <c r="N122" s="5094">
        <v>0.73469387755102045</v>
      </c>
      <c r="O122" s="2203"/>
      <c r="P122" s="2203"/>
      <c r="Q122" s="2203"/>
      <c r="R122" s="2203"/>
      <c r="S122" s="2203"/>
      <c r="T122" s="2203"/>
      <c r="U122" s="2203"/>
      <c r="V122" s="2203"/>
      <c r="W122" s="2203"/>
      <c r="X122" s="2203"/>
      <c r="Y122" s="2203"/>
      <c r="Z122" s="2203"/>
    </row>
    <row r="123" spans="1:26" s="4854" customFormat="1">
      <c r="A123" s="5865"/>
      <c r="B123" s="5877" t="s">
        <v>2436</v>
      </c>
      <c r="C123" s="5098" t="s">
        <v>3044</v>
      </c>
      <c r="D123" s="5877" t="s">
        <v>265</v>
      </c>
      <c r="E123" s="5099">
        <v>101</v>
      </c>
      <c r="F123" s="5100">
        <v>79</v>
      </c>
      <c r="G123" s="5093">
        <f t="shared" si="1"/>
        <v>78.21782178217822</v>
      </c>
      <c r="H123" s="5101">
        <v>0.82278481012658233</v>
      </c>
      <c r="I123" s="5101">
        <v>0.17721518987341769</v>
      </c>
      <c r="J123" s="5096">
        <v>0</v>
      </c>
      <c r="K123" s="5101">
        <v>3.0303030303030304E-2</v>
      </c>
      <c r="L123" s="5101">
        <v>0.12121212121212122</v>
      </c>
      <c r="M123" s="5101">
        <v>9.0909090909090912E-2</v>
      </c>
      <c r="N123" s="5101">
        <v>0.75757575757575746</v>
      </c>
      <c r="O123" s="5102"/>
      <c r="P123" s="2203"/>
      <c r="Q123" s="2203"/>
      <c r="R123" s="2203"/>
      <c r="S123" s="2203"/>
      <c r="T123" s="2203"/>
      <c r="U123" s="2203"/>
      <c r="V123" s="2203"/>
      <c r="W123" s="2203"/>
      <c r="X123" s="2203"/>
      <c r="Y123" s="2203"/>
      <c r="Z123" s="2203"/>
    </row>
    <row r="124" spans="1:26" s="4854" customFormat="1">
      <c r="A124" s="5865"/>
      <c r="B124" s="5877"/>
      <c r="C124" s="5098" t="s">
        <v>3045</v>
      </c>
      <c r="D124" s="5877"/>
      <c r="E124" s="5099">
        <v>76</v>
      </c>
      <c r="F124" s="5100">
        <v>6</v>
      </c>
      <c r="G124" s="5093">
        <f t="shared" si="1"/>
        <v>7.8947368421052628</v>
      </c>
      <c r="H124" s="5101">
        <v>1</v>
      </c>
      <c r="I124" s="5096">
        <v>0</v>
      </c>
      <c r="J124" s="5096">
        <v>0</v>
      </c>
      <c r="K124" s="5096">
        <v>0</v>
      </c>
      <c r="L124" s="5101">
        <v>0.16666666666666663</v>
      </c>
      <c r="M124" s="5101">
        <v>0.16666666666666663</v>
      </c>
      <c r="N124" s="5101">
        <v>0.66666666666666652</v>
      </c>
      <c r="O124" s="5102"/>
      <c r="P124" s="2203"/>
      <c r="Q124" s="2203"/>
      <c r="R124" s="2203"/>
      <c r="S124" s="2203"/>
      <c r="T124" s="2203"/>
      <c r="U124" s="2203"/>
      <c r="V124" s="2203"/>
      <c r="W124" s="2203"/>
      <c r="X124" s="2203"/>
      <c r="Y124" s="2203"/>
      <c r="Z124" s="2203"/>
    </row>
    <row r="125" spans="1:26" s="4854" customFormat="1">
      <c r="A125" s="5865"/>
      <c r="B125" s="5877"/>
      <c r="C125" s="5098" t="s">
        <v>2493</v>
      </c>
      <c r="D125" s="5877"/>
      <c r="E125" s="5099">
        <v>45</v>
      </c>
      <c r="F125" s="5100">
        <v>30</v>
      </c>
      <c r="G125" s="5093">
        <f t="shared" si="1"/>
        <v>66.666666666666671</v>
      </c>
      <c r="H125" s="5101">
        <v>1</v>
      </c>
      <c r="I125" s="5096">
        <v>0</v>
      </c>
      <c r="J125" s="5101">
        <v>6.6666666666666666E-2</v>
      </c>
      <c r="K125" s="5101">
        <v>6.6666666666666666E-2</v>
      </c>
      <c r="L125" s="5101">
        <v>3.3333333333333333E-2</v>
      </c>
      <c r="M125" s="5101">
        <v>0.13333333333333333</v>
      </c>
      <c r="N125" s="5101">
        <v>0.7</v>
      </c>
      <c r="O125" s="5102"/>
      <c r="P125" s="2203"/>
      <c r="Q125" s="2203"/>
      <c r="R125" s="2203"/>
      <c r="S125" s="2203"/>
      <c r="T125" s="2203"/>
      <c r="U125" s="2203"/>
      <c r="V125" s="2203"/>
      <c r="W125" s="2203"/>
      <c r="X125" s="2203"/>
      <c r="Y125" s="2203"/>
      <c r="Z125" s="2203"/>
    </row>
    <row r="126" spans="1:26" s="4854" customFormat="1">
      <c r="A126" s="5865"/>
      <c r="B126" s="5877"/>
      <c r="C126" s="5098" t="s">
        <v>487</v>
      </c>
      <c r="D126" s="5877"/>
      <c r="E126" s="5099">
        <v>30</v>
      </c>
      <c r="F126" s="5100">
        <v>12</v>
      </c>
      <c r="G126" s="5093">
        <f t="shared" si="1"/>
        <v>40</v>
      </c>
      <c r="H126" s="5101">
        <v>0.83333333333333348</v>
      </c>
      <c r="I126" s="5101">
        <v>0.16666666666666663</v>
      </c>
      <c r="J126" s="5101">
        <v>0.1</v>
      </c>
      <c r="K126" s="5096">
        <v>0</v>
      </c>
      <c r="L126" s="5096">
        <v>0</v>
      </c>
      <c r="M126" s="5096">
        <v>0</v>
      </c>
      <c r="N126" s="5101">
        <v>0.9</v>
      </c>
      <c r="O126" s="5103"/>
      <c r="P126" s="2203"/>
      <c r="Q126" s="2203"/>
      <c r="R126" s="2203"/>
      <c r="S126" s="2203"/>
      <c r="T126" s="2203"/>
      <c r="U126" s="2203"/>
      <c r="V126" s="2203"/>
      <c r="W126" s="2203"/>
      <c r="X126" s="2203"/>
      <c r="Y126" s="2203"/>
      <c r="Z126" s="2203"/>
    </row>
    <row r="127" spans="1:26" s="4854" customFormat="1">
      <c r="A127" s="5865"/>
      <c r="B127" s="5877"/>
      <c r="C127" s="5098" t="s">
        <v>3044</v>
      </c>
      <c r="D127" s="5877" t="s">
        <v>247</v>
      </c>
      <c r="E127" s="5099">
        <v>201</v>
      </c>
      <c r="F127" s="5100">
        <v>118</v>
      </c>
      <c r="G127" s="5093">
        <f t="shared" si="1"/>
        <v>58.706467661691541</v>
      </c>
      <c r="H127" s="5101">
        <v>0.85593220338983056</v>
      </c>
      <c r="I127" s="5101">
        <v>0.1440677966101695</v>
      </c>
      <c r="J127" s="5101">
        <v>2.9702970297029702E-2</v>
      </c>
      <c r="K127" s="5101">
        <v>7.9207920792079209E-2</v>
      </c>
      <c r="L127" s="5101">
        <v>0.12871287128712872</v>
      </c>
      <c r="M127" s="5101">
        <v>0.22772277227722776</v>
      </c>
      <c r="N127" s="5101">
        <v>0.53465346534653468</v>
      </c>
      <c r="O127" s="5102"/>
      <c r="P127" s="2203"/>
      <c r="Q127" s="2203"/>
      <c r="R127" s="2203"/>
      <c r="S127" s="2203"/>
      <c r="T127" s="2203"/>
      <c r="U127" s="2203"/>
      <c r="V127" s="2203"/>
      <c r="W127" s="2203"/>
      <c r="X127" s="2203"/>
      <c r="Y127" s="2203"/>
      <c r="Z127" s="2203"/>
    </row>
    <row r="128" spans="1:26" s="4854" customFormat="1">
      <c r="A128" s="5865"/>
      <c r="B128" s="5877"/>
      <c r="C128" s="5098" t="s">
        <v>305</v>
      </c>
      <c r="D128" s="5877"/>
      <c r="E128" s="5099">
        <v>235</v>
      </c>
      <c r="F128" s="5100">
        <v>191</v>
      </c>
      <c r="G128" s="5093">
        <f t="shared" si="1"/>
        <v>81.276595744680847</v>
      </c>
      <c r="H128" s="5101">
        <v>0.88481675392670156</v>
      </c>
      <c r="I128" s="5101">
        <v>0.11518324607329843</v>
      </c>
      <c r="J128" s="5101">
        <v>3.9325842696629212E-2</v>
      </c>
      <c r="K128" s="5101">
        <v>3.9325842696629212E-2</v>
      </c>
      <c r="L128" s="5101">
        <v>0.17415730337078653</v>
      </c>
      <c r="M128" s="5101">
        <v>0.23595505617977527</v>
      </c>
      <c r="N128" s="5101">
        <v>0.5112359550561798</v>
      </c>
      <c r="O128" s="5102"/>
      <c r="P128" s="2203"/>
      <c r="Q128" s="2203"/>
      <c r="R128" s="2203"/>
      <c r="S128" s="2203"/>
      <c r="T128" s="2203"/>
      <c r="U128" s="2203"/>
      <c r="V128" s="2203"/>
      <c r="W128" s="2203"/>
      <c r="X128" s="2203"/>
      <c r="Y128" s="2203"/>
      <c r="Z128" s="2203"/>
    </row>
    <row r="129" spans="1:26" s="4854" customFormat="1">
      <c r="A129" s="5865"/>
      <c r="B129" s="5877"/>
      <c r="C129" s="5098" t="s">
        <v>490</v>
      </c>
      <c r="D129" s="5877"/>
      <c r="E129" s="5099">
        <v>126</v>
      </c>
      <c r="F129" s="5100">
        <v>109</v>
      </c>
      <c r="G129" s="5093">
        <f t="shared" si="1"/>
        <v>86.507936507936506</v>
      </c>
      <c r="H129" s="5101">
        <v>0.75229357798165142</v>
      </c>
      <c r="I129" s="5101">
        <v>0.24770642201834864</v>
      </c>
      <c r="J129" s="5101">
        <v>3.7499999999999999E-2</v>
      </c>
      <c r="K129" s="5101">
        <v>7.4999999999999997E-2</v>
      </c>
      <c r="L129" s="5101">
        <v>0.17499999999999999</v>
      </c>
      <c r="M129" s="5101">
        <v>0.23749999999999999</v>
      </c>
      <c r="N129" s="5101">
        <v>0.47499999999999998</v>
      </c>
      <c r="O129" s="5102"/>
      <c r="P129" s="2203"/>
      <c r="Q129" s="2203"/>
      <c r="R129" s="2203"/>
      <c r="S129" s="2203"/>
      <c r="T129" s="2203"/>
      <c r="U129" s="2203"/>
      <c r="V129" s="2203"/>
      <c r="W129" s="2203"/>
      <c r="X129" s="2203"/>
      <c r="Y129" s="2203"/>
      <c r="Z129" s="2203"/>
    </row>
    <row r="130" spans="1:26" s="4854" customFormat="1">
      <c r="A130" s="5865"/>
      <c r="B130" s="5877"/>
      <c r="C130" s="5098" t="s">
        <v>343</v>
      </c>
      <c r="D130" s="5877"/>
      <c r="E130" s="5099">
        <v>24</v>
      </c>
      <c r="F130" s="5100">
        <v>3</v>
      </c>
      <c r="G130" s="5093">
        <f t="shared" si="1"/>
        <v>12.5</v>
      </c>
      <c r="H130" s="5101">
        <v>0.66666666666666652</v>
      </c>
      <c r="I130" s="5101">
        <v>0.33333333333333326</v>
      </c>
      <c r="J130" s="5096">
        <v>0</v>
      </c>
      <c r="K130" s="5096">
        <v>0</v>
      </c>
      <c r="L130" s="5096">
        <v>0</v>
      </c>
      <c r="M130" s="5096">
        <v>0</v>
      </c>
      <c r="N130" s="5101">
        <v>1</v>
      </c>
      <c r="O130" s="5102"/>
      <c r="P130" s="2203"/>
      <c r="Q130" s="2203"/>
      <c r="R130" s="2203"/>
      <c r="S130" s="2203"/>
      <c r="T130" s="2203"/>
      <c r="U130" s="2203"/>
      <c r="V130" s="2203"/>
      <c r="W130" s="2203"/>
      <c r="X130" s="2203"/>
      <c r="Y130" s="2203"/>
      <c r="Z130" s="2203"/>
    </row>
    <row r="131" spans="1:26" s="4854" customFormat="1">
      <c r="A131" s="5865"/>
      <c r="B131" s="5877"/>
      <c r="C131" s="5098" t="s">
        <v>307</v>
      </c>
      <c r="D131" s="5877"/>
      <c r="E131" s="5099">
        <v>187</v>
      </c>
      <c r="F131" s="5100">
        <v>137</v>
      </c>
      <c r="G131" s="5093">
        <f t="shared" si="1"/>
        <v>73.262032085561501</v>
      </c>
      <c r="H131" s="5101">
        <v>0.72262773722627738</v>
      </c>
      <c r="I131" s="5101">
        <v>0.27737226277372262</v>
      </c>
      <c r="J131" s="5101">
        <v>1.9801980198019802E-2</v>
      </c>
      <c r="K131" s="5101">
        <v>1.9801980198019802E-2</v>
      </c>
      <c r="L131" s="5101">
        <v>0.11881188118811881</v>
      </c>
      <c r="M131" s="5101">
        <v>0.28712871287128711</v>
      </c>
      <c r="N131" s="5101">
        <v>0.5544554455445545</v>
      </c>
      <c r="O131" s="5102"/>
      <c r="P131" s="2203"/>
      <c r="Q131" s="2203"/>
      <c r="R131" s="2203"/>
      <c r="S131" s="2203"/>
      <c r="T131" s="2203"/>
      <c r="U131" s="2203"/>
      <c r="V131" s="2203"/>
      <c r="W131" s="2203"/>
      <c r="X131" s="2203"/>
      <c r="Y131" s="2203"/>
      <c r="Z131" s="2203"/>
    </row>
    <row r="132" spans="1:26" s="4854" customFormat="1">
      <c r="A132" s="5865"/>
      <c r="B132" s="5877"/>
      <c r="C132" s="5098" t="s">
        <v>304</v>
      </c>
      <c r="D132" s="5877"/>
      <c r="E132" s="5099">
        <v>212</v>
      </c>
      <c r="F132" s="5100">
        <v>163</v>
      </c>
      <c r="G132" s="5093">
        <f t="shared" si="1"/>
        <v>76.886792452830193</v>
      </c>
      <c r="H132" s="5101">
        <v>0.65030674846625769</v>
      </c>
      <c r="I132" s="5101">
        <v>0.34969325153374231</v>
      </c>
      <c r="J132" s="5101">
        <v>9.3457943925233641E-2</v>
      </c>
      <c r="K132" s="5101">
        <v>8.4112149532710276E-2</v>
      </c>
      <c r="L132" s="5101">
        <v>0.12149532710280374</v>
      </c>
      <c r="M132" s="5101">
        <v>0.23364485981308414</v>
      </c>
      <c r="N132" s="5101">
        <v>0.46728971962616828</v>
      </c>
      <c r="O132" s="5102"/>
      <c r="P132" s="2203"/>
      <c r="Q132" s="2203"/>
      <c r="R132" s="2203"/>
      <c r="S132" s="2203"/>
      <c r="T132" s="2203"/>
      <c r="U132" s="2203"/>
      <c r="V132" s="2203"/>
      <c r="W132" s="2203"/>
      <c r="X132" s="2203"/>
      <c r="Y132" s="2203"/>
      <c r="Z132" s="2203"/>
    </row>
    <row r="133" spans="1:26" s="4854" customFormat="1">
      <c r="A133" s="5865"/>
      <c r="B133" s="5877"/>
      <c r="C133" s="5098" t="s">
        <v>487</v>
      </c>
      <c r="D133" s="5877"/>
      <c r="E133" s="5099">
        <v>10</v>
      </c>
      <c r="F133" s="5100">
        <v>10</v>
      </c>
      <c r="G133" s="5093">
        <f t="shared" si="1"/>
        <v>100</v>
      </c>
      <c r="H133" s="5101">
        <v>0.9</v>
      </c>
      <c r="I133" s="5101">
        <v>0.1</v>
      </c>
      <c r="J133" s="5096">
        <v>0</v>
      </c>
      <c r="K133" s="5096">
        <v>0</v>
      </c>
      <c r="L133" s="5096">
        <v>0</v>
      </c>
      <c r="M133" s="5101">
        <v>0.22222222222222221</v>
      </c>
      <c r="N133" s="5101">
        <v>0.7777777777777779</v>
      </c>
      <c r="O133" s="5102"/>
      <c r="P133" s="2203"/>
      <c r="Q133" s="2203"/>
      <c r="R133" s="2203"/>
      <c r="S133" s="2203"/>
      <c r="T133" s="2203"/>
      <c r="U133" s="2203"/>
      <c r="V133" s="2203"/>
      <c r="W133" s="2203"/>
      <c r="X133" s="2203"/>
      <c r="Y133" s="2203"/>
      <c r="Z133" s="2203"/>
    </row>
    <row r="134" spans="1:26" s="4854" customFormat="1">
      <c r="A134" s="5865"/>
      <c r="B134" s="5877"/>
      <c r="C134" s="5098" t="s">
        <v>2331</v>
      </c>
      <c r="D134" s="5877"/>
      <c r="E134" s="5099">
        <v>22</v>
      </c>
      <c r="F134" s="5100">
        <v>19</v>
      </c>
      <c r="G134" s="5093">
        <f t="shared" si="1"/>
        <v>86.36363636363636</v>
      </c>
      <c r="H134" s="5101">
        <v>1</v>
      </c>
      <c r="I134" s="5096">
        <v>0</v>
      </c>
      <c r="J134" s="5096">
        <v>0</v>
      </c>
      <c r="K134" s="5096">
        <v>0</v>
      </c>
      <c r="L134" s="5101">
        <v>0.10526315789473684</v>
      </c>
      <c r="M134" s="5101">
        <v>0.36842105263157893</v>
      </c>
      <c r="N134" s="5101">
        <v>0.52631578947368418</v>
      </c>
      <c r="O134" s="5103"/>
      <c r="P134" s="2203"/>
      <c r="Q134" s="2203"/>
      <c r="R134" s="2203"/>
      <c r="S134" s="2203"/>
      <c r="T134" s="2203"/>
      <c r="U134" s="2203"/>
      <c r="V134" s="2203"/>
      <c r="W134" s="2203"/>
      <c r="X134" s="2203"/>
      <c r="Y134" s="2203"/>
      <c r="Z134" s="2203"/>
    </row>
    <row r="135" spans="1:26" s="4854" customFormat="1">
      <c r="A135" s="5865"/>
      <c r="B135" s="5877"/>
      <c r="C135" s="5098" t="s">
        <v>483</v>
      </c>
      <c r="D135" s="5877" t="s">
        <v>248</v>
      </c>
      <c r="E135" s="5099">
        <v>86</v>
      </c>
      <c r="F135" s="5100">
        <v>71</v>
      </c>
      <c r="G135" s="5093">
        <f t="shared" si="1"/>
        <v>82.558139534883722</v>
      </c>
      <c r="H135" s="5101">
        <v>0.94366197183098588</v>
      </c>
      <c r="I135" s="5101">
        <v>5.6338028169014093E-2</v>
      </c>
      <c r="J135" s="5096">
        <v>0</v>
      </c>
      <c r="K135" s="5096">
        <v>0</v>
      </c>
      <c r="L135" s="5096">
        <v>0</v>
      </c>
      <c r="M135" s="5101">
        <v>4.3478260869565216E-2</v>
      </c>
      <c r="N135" s="5101">
        <v>0.95652173913043481</v>
      </c>
      <c r="O135" s="5102"/>
      <c r="P135" s="2203"/>
      <c r="Q135" s="2203"/>
      <c r="R135" s="2203"/>
      <c r="S135" s="2203"/>
      <c r="T135" s="2203"/>
      <c r="U135" s="2203"/>
      <c r="V135" s="2203"/>
      <c r="W135" s="2203"/>
      <c r="X135" s="2203"/>
      <c r="Y135" s="2203"/>
      <c r="Z135" s="2203"/>
    </row>
    <row r="136" spans="1:26" s="4854" customFormat="1">
      <c r="A136" s="5865"/>
      <c r="B136" s="5877"/>
      <c r="C136" s="5098" t="s">
        <v>308</v>
      </c>
      <c r="D136" s="5877"/>
      <c r="E136" s="5099">
        <v>74</v>
      </c>
      <c r="F136" s="5100">
        <v>32</v>
      </c>
      <c r="G136" s="5093">
        <f t="shared" si="1"/>
        <v>43.243243243243242</v>
      </c>
      <c r="H136" s="5101">
        <v>0.96875</v>
      </c>
      <c r="I136" s="5101">
        <v>3.125E-2</v>
      </c>
      <c r="J136" s="5096">
        <v>0</v>
      </c>
      <c r="K136" s="5101">
        <v>3.4482758620689655E-2</v>
      </c>
      <c r="L136" s="5101">
        <v>3.4482758620689655E-2</v>
      </c>
      <c r="M136" s="5101">
        <v>0.20689655172413793</v>
      </c>
      <c r="N136" s="5101">
        <v>0.72413793103448265</v>
      </c>
      <c r="O136" s="5102"/>
      <c r="P136" s="2203"/>
      <c r="Q136" s="2203"/>
      <c r="R136" s="2203"/>
      <c r="S136" s="2203"/>
      <c r="T136" s="2203"/>
      <c r="U136" s="2203"/>
      <c r="V136" s="2203"/>
      <c r="W136" s="2203"/>
      <c r="X136" s="2203"/>
      <c r="Y136" s="2203"/>
      <c r="Z136" s="2203"/>
    </row>
    <row r="137" spans="1:26" s="4854" customFormat="1">
      <c r="A137" s="5865"/>
      <c r="B137" s="5877"/>
      <c r="C137" s="5098" t="s">
        <v>410</v>
      </c>
      <c r="D137" s="5877"/>
      <c r="E137" s="5099">
        <v>103</v>
      </c>
      <c r="F137" s="5100">
        <v>55</v>
      </c>
      <c r="G137" s="5093">
        <f t="shared" si="1"/>
        <v>53.398058252427184</v>
      </c>
      <c r="H137" s="5101">
        <v>0.94545454545454544</v>
      </c>
      <c r="I137" s="5101">
        <v>5.4545454545454543E-2</v>
      </c>
      <c r="J137" s="5096">
        <v>0</v>
      </c>
      <c r="K137" s="5096">
        <v>0</v>
      </c>
      <c r="L137" s="5101">
        <v>5.7692307692307689E-2</v>
      </c>
      <c r="M137" s="5101">
        <v>0.15384615384615385</v>
      </c>
      <c r="N137" s="5101">
        <v>0.78846153846153844</v>
      </c>
      <c r="O137" s="5102"/>
      <c r="P137" s="2203"/>
      <c r="Q137" s="2203"/>
      <c r="R137" s="2203"/>
      <c r="S137" s="2203"/>
      <c r="T137" s="2203"/>
      <c r="U137" s="2203"/>
      <c r="V137" s="2203"/>
      <c r="W137" s="2203"/>
      <c r="X137" s="2203"/>
      <c r="Y137" s="2203"/>
      <c r="Z137" s="2203"/>
    </row>
    <row r="138" spans="1:26" s="4854" customFormat="1">
      <c r="A138" s="5865"/>
      <c r="B138" s="5877"/>
      <c r="C138" s="5098" t="s">
        <v>587</v>
      </c>
      <c r="D138" s="5877"/>
      <c r="E138" s="5099">
        <v>16</v>
      </c>
      <c r="F138" s="5100">
        <v>10</v>
      </c>
      <c r="G138" s="5093">
        <f t="shared" si="1"/>
        <v>62.5</v>
      </c>
      <c r="H138" s="5101">
        <v>0.9</v>
      </c>
      <c r="I138" s="5101">
        <v>0.1</v>
      </c>
      <c r="J138" s="5096">
        <v>0</v>
      </c>
      <c r="K138" s="5101">
        <v>0.1111111111111111</v>
      </c>
      <c r="L138" s="5096">
        <v>0</v>
      </c>
      <c r="M138" s="5096">
        <v>0</v>
      </c>
      <c r="N138" s="5101">
        <v>0.88888888888888884</v>
      </c>
      <c r="O138" s="5103"/>
      <c r="P138" s="2203"/>
      <c r="Q138" s="2203"/>
      <c r="R138" s="2203"/>
      <c r="S138" s="2203"/>
      <c r="T138" s="2203"/>
      <c r="U138" s="2203"/>
      <c r="V138" s="2203"/>
      <c r="W138" s="2203"/>
      <c r="X138" s="2203"/>
      <c r="Y138" s="2203"/>
      <c r="Z138" s="2203"/>
    </row>
    <row r="139" spans="1:26" s="4854" customFormat="1">
      <c r="A139" s="5865"/>
      <c r="B139" s="5877" t="s">
        <v>2435</v>
      </c>
      <c r="C139" s="5098" t="s">
        <v>309</v>
      </c>
      <c r="D139" s="5877" t="s">
        <v>247</v>
      </c>
      <c r="E139" s="5099">
        <v>319</v>
      </c>
      <c r="F139" s="5100">
        <v>260</v>
      </c>
      <c r="G139" s="5093">
        <f t="shared" si="1"/>
        <v>81.504702194357364</v>
      </c>
      <c r="H139" s="5101">
        <v>0.74131274131274127</v>
      </c>
      <c r="I139" s="5101">
        <v>0.25868725868725867</v>
      </c>
      <c r="J139" s="5101">
        <v>8.2901554404145095E-2</v>
      </c>
      <c r="K139" s="5101">
        <v>4.6632124352331605E-2</v>
      </c>
      <c r="L139" s="5101">
        <v>0.15544041450777202</v>
      </c>
      <c r="M139" s="5101">
        <v>0.18134715025906736</v>
      </c>
      <c r="N139" s="5101">
        <v>0.53367875647668395</v>
      </c>
      <c r="O139" s="5102"/>
      <c r="P139" s="2203"/>
      <c r="Q139" s="2203"/>
      <c r="R139" s="2203"/>
      <c r="S139" s="2203"/>
      <c r="T139" s="2203"/>
      <c r="U139" s="2203"/>
      <c r="V139" s="2203"/>
      <c r="W139" s="2203"/>
      <c r="X139" s="2203"/>
      <c r="Y139" s="2203"/>
      <c r="Z139" s="2203"/>
    </row>
    <row r="140" spans="1:26" s="4854" customFormat="1">
      <c r="A140" s="5865"/>
      <c r="B140" s="5877"/>
      <c r="C140" s="5098" t="s">
        <v>2333</v>
      </c>
      <c r="D140" s="5877"/>
      <c r="E140" s="5099">
        <v>62</v>
      </c>
      <c r="F140" s="5100">
        <v>43</v>
      </c>
      <c r="G140" s="5093">
        <f t="shared" si="1"/>
        <v>69.354838709677423</v>
      </c>
      <c r="H140" s="5101">
        <v>0.81395348837209303</v>
      </c>
      <c r="I140" s="5101">
        <v>0.18604651162790697</v>
      </c>
      <c r="J140" s="5101">
        <v>5.7142857142857141E-2</v>
      </c>
      <c r="K140" s="5101">
        <v>5.7142857142857141E-2</v>
      </c>
      <c r="L140" s="5101">
        <v>0.2</v>
      </c>
      <c r="M140" s="5101">
        <v>0.22857142857142856</v>
      </c>
      <c r="N140" s="5101">
        <v>0.45714285714285713</v>
      </c>
      <c r="O140" s="5103"/>
      <c r="P140" s="2203"/>
      <c r="Q140" s="2203"/>
      <c r="R140" s="2203"/>
      <c r="S140" s="2203"/>
      <c r="T140" s="2203"/>
      <c r="U140" s="2203"/>
      <c r="V140" s="2203"/>
      <c r="W140" s="2203"/>
      <c r="X140" s="2203"/>
      <c r="Y140" s="2203"/>
      <c r="Z140" s="2203"/>
    </row>
    <row r="141" spans="1:26" s="4854" customFormat="1">
      <c r="A141" s="5865"/>
      <c r="B141" s="5877"/>
      <c r="C141" s="5098" t="s">
        <v>310</v>
      </c>
      <c r="D141" s="5104" t="s">
        <v>248</v>
      </c>
      <c r="E141" s="5099">
        <v>51</v>
      </c>
      <c r="F141" s="5100">
        <v>29</v>
      </c>
      <c r="G141" s="5093">
        <f t="shared" si="1"/>
        <v>56.862745098039213</v>
      </c>
      <c r="H141" s="5101">
        <v>0.96551724137931028</v>
      </c>
      <c r="I141" s="5101">
        <v>3.4482758620689655E-2</v>
      </c>
      <c r="J141" s="5101">
        <v>3.5714285714285712E-2</v>
      </c>
      <c r="K141" s="5101">
        <v>7.1428571428571425E-2</v>
      </c>
      <c r="L141" s="5101">
        <v>0.17857142857142858</v>
      </c>
      <c r="M141" s="5101">
        <v>0.25</v>
      </c>
      <c r="N141" s="5101">
        <v>0.4642857142857143</v>
      </c>
      <c r="O141" s="5103"/>
      <c r="P141" s="2203"/>
      <c r="Q141" s="2203"/>
      <c r="R141" s="2203"/>
      <c r="S141" s="2203"/>
      <c r="T141" s="2203"/>
      <c r="U141" s="2203"/>
      <c r="V141" s="2203"/>
      <c r="W141" s="2203"/>
      <c r="X141" s="2203"/>
      <c r="Y141" s="2203"/>
      <c r="Z141" s="2203"/>
    </row>
    <row r="142" spans="1:26" s="4854" customFormat="1">
      <c r="A142" s="5865" t="s">
        <v>59</v>
      </c>
      <c r="B142" s="5865" t="s">
        <v>2434</v>
      </c>
      <c r="C142" s="5095" t="s">
        <v>670</v>
      </c>
      <c r="D142" s="5097" t="s">
        <v>247</v>
      </c>
      <c r="E142" s="5091">
        <v>67</v>
      </c>
      <c r="F142" s="5092">
        <v>61</v>
      </c>
      <c r="G142" s="5093">
        <f t="shared" si="1"/>
        <v>91.044776119402982</v>
      </c>
      <c r="H142" s="5094">
        <v>0.57377049180327866</v>
      </c>
      <c r="I142" s="5094">
        <v>0.42622950819672129</v>
      </c>
      <c r="J142" s="5094">
        <v>8.1081081081081086E-2</v>
      </c>
      <c r="K142" s="5094">
        <v>5.405405405405405E-2</v>
      </c>
      <c r="L142" s="5094">
        <v>0.16216216216216217</v>
      </c>
      <c r="M142" s="5094">
        <v>0.3783783783783784</v>
      </c>
      <c r="N142" s="5094">
        <v>0.32432432432432434</v>
      </c>
      <c r="O142" s="2203"/>
      <c r="P142" s="2203"/>
      <c r="Q142" s="2203"/>
      <c r="R142" s="2203"/>
      <c r="S142" s="2203"/>
      <c r="T142" s="2203"/>
      <c r="U142" s="2203"/>
      <c r="V142" s="2203"/>
      <c r="W142" s="2203"/>
      <c r="X142" s="2203"/>
      <c r="Y142" s="2203"/>
      <c r="Z142" s="2203"/>
    </row>
    <row r="143" spans="1:26" s="4854" customFormat="1">
      <c r="A143" s="5865"/>
      <c r="B143" s="5865"/>
      <c r="C143" s="5095" t="s">
        <v>670</v>
      </c>
      <c r="D143" s="5097" t="s">
        <v>248</v>
      </c>
      <c r="E143" s="5091">
        <v>29</v>
      </c>
      <c r="F143" s="5092">
        <v>5</v>
      </c>
      <c r="G143" s="5093">
        <f t="shared" si="1"/>
        <v>17.241379310344829</v>
      </c>
      <c r="H143" s="5094">
        <v>1</v>
      </c>
      <c r="I143" s="5096">
        <v>0</v>
      </c>
      <c r="J143" s="5096">
        <v>0</v>
      </c>
      <c r="K143" s="5096">
        <v>0</v>
      </c>
      <c r="L143" s="5096">
        <v>0</v>
      </c>
      <c r="M143" s="5094">
        <v>0.25</v>
      </c>
      <c r="N143" s="5094">
        <v>0.75</v>
      </c>
      <c r="O143" s="2203"/>
      <c r="P143" s="2203"/>
      <c r="Q143" s="2203"/>
      <c r="R143" s="2203"/>
      <c r="S143" s="2203"/>
      <c r="T143" s="2203"/>
      <c r="U143" s="2203"/>
      <c r="V143" s="2203"/>
      <c r="W143" s="2203"/>
      <c r="X143" s="2203"/>
      <c r="Y143" s="2203"/>
      <c r="Z143" s="2203"/>
    </row>
    <row r="144" spans="1:26" s="4854" customFormat="1">
      <c r="A144" s="5865"/>
      <c r="B144" s="5095" t="s">
        <v>2437</v>
      </c>
      <c r="C144" s="5095" t="s">
        <v>412</v>
      </c>
      <c r="D144" s="5097" t="s">
        <v>247</v>
      </c>
      <c r="E144" s="5091">
        <v>92</v>
      </c>
      <c r="F144" s="5092">
        <v>86</v>
      </c>
      <c r="G144" s="5093">
        <f t="shared" si="1"/>
        <v>93.478260869565219</v>
      </c>
      <c r="H144" s="5094">
        <v>0.76744186046511631</v>
      </c>
      <c r="I144" s="5094">
        <v>0.23255813953488372</v>
      </c>
      <c r="J144" s="5096">
        <v>0</v>
      </c>
      <c r="K144" s="5094">
        <v>5.7142857142857141E-2</v>
      </c>
      <c r="L144" s="5094">
        <v>0.22857142857142856</v>
      </c>
      <c r="M144" s="5094">
        <v>0.31428571428571428</v>
      </c>
      <c r="N144" s="5094">
        <v>0.4</v>
      </c>
      <c r="O144" s="2203"/>
      <c r="P144" s="2203"/>
      <c r="Q144" s="2203"/>
      <c r="R144" s="2203"/>
      <c r="S144" s="2203"/>
      <c r="T144" s="2203"/>
      <c r="U144" s="2203"/>
      <c r="V144" s="2203"/>
      <c r="W144" s="2203"/>
      <c r="X144" s="2203"/>
      <c r="Y144" s="2203"/>
      <c r="Z144" s="2203"/>
    </row>
    <row r="145" spans="1:27" s="4854" customFormat="1">
      <c r="A145" s="5865"/>
      <c r="B145" s="5865" t="s">
        <v>2438</v>
      </c>
      <c r="C145" s="5095" t="s">
        <v>671</v>
      </c>
      <c r="D145" s="5097" t="s">
        <v>247</v>
      </c>
      <c r="E145" s="5091">
        <v>43</v>
      </c>
      <c r="F145" s="5092">
        <v>29</v>
      </c>
      <c r="G145" s="5093">
        <f t="shared" si="1"/>
        <v>67.441860465116278</v>
      </c>
      <c r="H145" s="5094">
        <v>0.44827586206896552</v>
      </c>
      <c r="I145" s="5094">
        <v>0.55172413793103448</v>
      </c>
      <c r="J145" s="5094">
        <v>0.15384615384615385</v>
      </c>
      <c r="K145" s="5094">
        <v>7.6923076923076927E-2</v>
      </c>
      <c r="L145" s="5094">
        <v>0.15384615384615385</v>
      </c>
      <c r="M145" s="5094">
        <v>0.30769230769230771</v>
      </c>
      <c r="N145" s="5094">
        <v>0.30769230769230771</v>
      </c>
      <c r="O145" s="2203"/>
      <c r="P145" s="2203"/>
      <c r="Q145" s="2203"/>
      <c r="R145" s="2203"/>
      <c r="S145" s="2203"/>
      <c r="T145" s="2203"/>
      <c r="U145" s="2203"/>
      <c r="V145" s="2203"/>
      <c r="W145" s="2203"/>
      <c r="X145" s="2203"/>
      <c r="Y145" s="2203"/>
      <c r="Z145" s="2203"/>
    </row>
    <row r="146" spans="1:27" s="4854" customFormat="1">
      <c r="A146" s="5865"/>
      <c r="B146" s="5865"/>
      <c r="C146" s="5095" t="s">
        <v>671</v>
      </c>
      <c r="D146" s="5097" t="s">
        <v>248</v>
      </c>
      <c r="E146" s="5091">
        <v>13</v>
      </c>
      <c r="F146" s="5092">
        <v>1</v>
      </c>
      <c r="G146" s="5093">
        <f t="shared" si="1"/>
        <v>7.6923076923076925</v>
      </c>
      <c r="H146" s="5094">
        <v>1</v>
      </c>
      <c r="I146" s="5096">
        <v>0</v>
      </c>
      <c r="J146" s="5096">
        <v>0</v>
      </c>
      <c r="K146" s="5096">
        <v>0</v>
      </c>
      <c r="L146" s="5096">
        <v>0</v>
      </c>
      <c r="M146" s="5094">
        <v>1</v>
      </c>
      <c r="N146" s="5096">
        <v>0</v>
      </c>
      <c r="O146" s="2203"/>
      <c r="P146" s="2203"/>
      <c r="Q146" s="2203"/>
      <c r="R146" s="2203"/>
      <c r="S146" s="2203"/>
      <c r="T146" s="2203"/>
      <c r="U146" s="2203"/>
      <c r="V146" s="2203"/>
      <c r="W146" s="2203"/>
      <c r="X146" s="2203"/>
      <c r="Y146" s="2203"/>
      <c r="Z146" s="2203"/>
    </row>
    <row r="147" spans="1:27" s="4854" customFormat="1">
      <c r="A147" s="5105"/>
      <c r="B147" s="5105"/>
      <c r="C147" s="5875" t="s">
        <v>15</v>
      </c>
      <c r="D147" s="5875"/>
      <c r="E147" s="5087"/>
      <c r="F147" s="5106">
        <v>14648</v>
      </c>
      <c r="G147" s="5107">
        <v>8259</v>
      </c>
      <c r="H147" s="5108">
        <f t="shared" si="1"/>
        <v>56.383123975969418</v>
      </c>
      <c r="I147" s="5109">
        <v>0.78004122711288959</v>
      </c>
      <c r="J147" s="5110">
        <v>0.21995877288711047</v>
      </c>
      <c r="K147" s="5110">
        <v>3.2332920792079209E-2</v>
      </c>
      <c r="L147" s="5110">
        <v>4.1460396039603963E-2</v>
      </c>
      <c r="M147" s="5110">
        <v>0.12020420792079207</v>
      </c>
      <c r="N147" s="5110">
        <v>0.19740099009900991</v>
      </c>
      <c r="O147" s="5110">
        <v>0.60860148514851486</v>
      </c>
      <c r="P147" s="2203"/>
      <c r="Q147" s="2203"/>
      <c r="R147" s="2203"/>
      <c r="S147" s="2203"/>
      <c r="T147" s="2203"/>
      <c r="U147" s="2203"/>
      <c r="V147" s="2203"/>
      <c r="W147" s="2203"/>
      <c r="X147" s="2203"/>
      <c r="Y147" s="2203"/>
      <c r="Z147" s="2203"/>
      <c r="AA147" s="2203"/>
    </row>
    <row r="148" spans="1:27" s="4854" customFormat="1" ht="15.6">
      <c r="A148" s="1914"/>
      <c r="D148" s="4853"/>
      <c r="E148" s="4853"/>
      <c r="F148" s="4853"/>
      <c r="G148" s="4853"/>
      <c r="H148" s="4853"/>
      <c r="I148" s="4853"/>
      <c r="J148" s="1921"/>
      <c r="K148" s="1921"/>
      <c r="L148" s="1922"/>
      <c r="M148" s="1922"/>
      <c r="N148" s="1922"/>
      <c r="O148" s="1922"/>
    </row>
    <row r="149" spans="1:27" s="4854" customFormat="1" ht="15.6">
      <c r="A149" s="1914"/>
      <c r="D149" s="4853"/>
      <c r="E149" s="4853"/>
      <c r="F149" s="4853"/>
      <c r="G149" s="4853"/>
      <c r="H149" s="4853"/>
      <c r="I149" s="4853"/>
      <c r="J149" s="1921"/>
      <c r="K149" s="1921"/>
      <c r="L149" s="1922"/>
      <c r="M149" s="1922"/>
      <c r="N149" s="1922"/>
      <c r="O149" s="1922"/>
    </row>
    <row r="150" spans="1:27" s="4259" customFormat="1" ht="17.399999999999999">
      <c r="A150" s="1923"/>
      <c r="B150" s="1923"/>
      <c r="C150" s="3043">
        <v>2019</v>
      </c>
      <c r="D150" s="1921"/>
      <c r="E150" s="1921"/>
      <c r="F150" s="1921"/>
      <c r="G150" s="1921"/>
      <c r="H150" s="1921"/>
      <c r="I150" s="1921"/>
      <c r="J150" s="1921"/>
      <c r="K150" s="1921"/>
      <c r="L150" s="1921"/>
      <c r="M150" s="1922"/>
      <c r="N150" s="167"/>
      <c r="O150" s="167"/>
    </row>
    <row r="151" spans="1:27" s="4259" customFormat="1" ht="15.75" customHeight="1">
      <c r="A151" s="5863" t="s">
        <v>2908</v>
      </c>
      <c r="B151" s="5864"/>
      <c r="C151" s="5864"/>
      <c r="D151" s="5864"/>
      <c r="E151" s="5864"/>
      <c r="F151" s="5864"/>
      <c r="G151" s="5864"/>
      <c r="H151" s="5864"/>
      <c r="I151" s="5864"/>
      <c r="J151" s="1924"/>
      <c r="K151" s="1924"/>
      <c r="L151" s="1924"/>
      <c r="M151" s="1924"/>
      <c r="N151" s="167"/>
      <c r="O151" s="167"/>
    </row>
    <row r="152" spans="1:27" s="4259" customFormat="1" ht="15.6">
      <c r="A152" s="5864"/>
      <c r="B152" s="5864"/>
      <c r="C152" s="5864"/>
      <c r="D152" s="5864"/>
      <c r="E152" s="5864"/>
      <c r="F152" s="5864"/>
      <c r="G152" s="5864"/>
      <c r="H152" s="5864"/>
      <c r="I152" s="5864"/>
      <c r="J152" s="1924"/>
      <c r="K152" s="1924"/>
      <c r="L152" s="1924"/>
      <c r="M152" s="1924"/>
      <c r="N152" s="167"/>
      <c r="O152" s="167"/>
    </row>
    <row r="153" spans="1:27" s="4259" customFormat="1" ht="15.6">
      <c r="A153" s="5864"/>
      <c r="B153" s="5864"/>
      <c r="C153" s="5864"/>
      <c r="D153" s="5864"/>
      <c r="E153" s="5864"/>
      <c r="F153" s="5864"/>
      <c r="G153" s="5864"/>
      <c r="H153" s="5864"/>
      <c r="I153" s="5864"/>
      <c r="J153" s="1924"/>
      <c r="K153" s="1924"/>
      <c r="L153" s="1924"/>
      <c r="M153" s="1924"/>
      <c r="N153" s="167"/>
      <c r="O153" s="167"/>
    </row>
    <row r="154" spans="1:27" s="4259" customFormat="1" ht="15.6">
      <c r="A154" s="5864"/>
      <c r="B154" s="5864"/>
      <c r="C154" s="5864"/>
      <c r="D154" s="5864"/>
      <c r="E154" s="5864"/>
      <c r="F154" s="5864"/>
      <c r="G154" s="5864"/>
      <c r="H154" s="5864"/>
      <c r="I154" s="5864"/>
      <c r="J154" s="1924"/>
      <c r="K154" s="1924"/>
      <c r="L154" s="1924"/>
      <c r="M154" s="1924"/>
      <c r="N154" s="167"/>
      <c r="O154" s="167"/>
    </row>
    <row r="155" spans="1:27" s="4259" customFormat="1" ht="15.6">
      <c r="A155" s="4261"/>
      <c r="B155" s="4261"/>
      <c r="C155" s="4261"/>
      <c r="D155" s="4261"/>
      <c r="E155" s="4858"/>
      <c r="F155" s="4261"/>
      <c r="G155" s="4261"/>
      <c r="H155" s="4261"/>
      <c r="I155" s="4261"/>
      <c r="J155" s="4261"/>
      <c r="K155" s="4261"/>
      <c r="L155" s="4261"/>
      <c r="M155" s="4261"/>
      <c r="N155" s="167"/>
      <c r="O155" s="167"/>
    </row>
    <row r="156" spans="1:27" s="4259" customFormat="1" ht="15.6">
      <c r="A156" s="4342" t="s">
        <v>2909</v>
      </c>
      <c r="B156" s="4261"/>
      <c r="C156" s="4261"/>
      <c r="D156" s="4261"/>
      <c r="E156" s="4858"/>
      <c r="F156" s="4261"/>
      <c r="G156" s="4261"/>
      <c r="H156" s="4261"/>
      <c r="I156" s="4261"/>
      <c r="J156" s="4261"/>
      <c r="K156" s="4261"/>
      <c r="L156" s="4261"/>
      <c r="M156" s="4261"/>
      <c r="N156" s="167"/>
      <c r="O156" s="167"/>
    </row>
    <row r="157" spans="1:27" s="4259" customFormat="1" ht="15.6">
      <c r="A157" s="4261"/>
      <c r="B157" s="4261"/>
      <c r="C157" s="4261"/>
      <c r="D157" s="4261"/>
      <c r="E157" s="4858"/>
      <c r="F157" s="4261"/>
      <c r="G157" s="4261"/>
      <c r="H157" s="4261"/>
      <c r="I157" s="4261"/>
      <c r="J157" s="4261"/>
      <c r="K157" s="4261"/>
      <c r="L157" s="4261"/>
      <c r="M157" s="4261"/>
      <c r="N157" s="167"/>
      <c r="O157" s="167"/>
    </row>
    <row r="158" spans="1:27" s="4259" customFormat="1" ht="15.6">
      <c r="A158" s="4342" t="s">
        <v>2444</v>
      </c>
      <c r="B158" s="4261"/>
      <c r="C158" s="4261"/>
      <c r="D158" s="4261"/>
      <c r="E158" s="4858"/>
      <c r="F158" s="4261"/>
      <c r="G158" s="4261"/>
      <c r="H158" s="4261"/>
      <c r="I158" s="4261"/>
      <c r="J158" s="4261"/>
      <c r="K158" s="4261"/>
      <c r="L158" s="4261"/>
      <c r="M158" s="4261"/>
      <c r="N158" s="167"/>
      <c r="O158" s="167"/>
    </row>
    <row r="159" spans="1:27" s="4259" customFormat="1" ht="15.6">
      <c r="A159" s="1923"/>
      <c r="B159" s="1923"/>
      <c r="C159" s="1921"/>
      <c r="D159" s="1921"/>
      <c r="E159" s="1921"/>
      <c r="F159" s="5841" t="s">
        <v>2445</v>
      </c>
      <c r="G159" s="5842"/>
      <c r="H159" s="5843" t="s">
        <v>1502</v>
      </c>
      <c r="I159" s="5844"/>
      <c r="J159" s="5844"/>
      <c r="K159" s="5844"/>
      <c r="L159" s="5845"/>
      <c r="M159" s="167"/>
      <c r="N159" s="167"/>
      <c r="O159" s="167"/>
    </row>
    <row r="160" spans="1:27" s="4259" customFormat="1">
      <c r="A160" s="4355" t="s">
        <v>0</v>
      </c>
      <c r="B160" s="4355" t="s">
        <v>2099</v>
      </c>
      <c r="C160" s="4355" t="s">
        <v>2105</v>
      </c>
      <c r="D160" s="4355" t="s">
        <v>2432</v>
      </c>
      <c r="E160" s="5111"/>
      <c r="F160" s="4354" t="s">
        <v>1038</v>
      </c>
      <c r="G160" s="4353" t="s">
        <v>1039</v>
      </c>
      <c r="H160" s="4356" t="s">
        <v>1503</v>
      </c>
      <c r="I160" s="4356" t="s">
        <v>1504</v>
      </c>
      <c r="J160" s="4357" t="s">
        <v>2446</v>
      </c>
      <c r="K160" s="4356" t="s">
        <v>1506</v>
      </c>
      <c r="L160" s="4358" t="s">
        <v>15</v>
      </c>
      <c r="M160" s="4345"/>
      <c r="N160" s="4345"/>
      <c r="O160" s="4345"/>
    </row>
    <row r="161" spans="1:15" s="4259" customFormat="1">
      <c r="A161" s="4346" t="s">
        <v>3</v>
      </c>
      <c r="B161" s="4347">
        <v>2666</v>
      </c>
      <c r="C161" s="4347">
        <v>1391</v>
      </c>
      <c r="D161" s="4348">
        <f>C161*100/B161</f>
        <v>52.175543885971493</v>
      </c>
      <c r="E161" s="5112"/>
      <c r="F161" s="4349">
        <v>79.400000000000006</v>
      </c>
      <c r="G161" s="4349">
        <v>20.599999999999998</v>
      </c>
      <c r="H161" s="4349">
        <v>4.8</v>
      </c>
      <c r="I161" s="4349">
        <v>4.3</v>
      </c>
      <c r="J161" s="4349">
        <v>13.700000000000001</v>
      </c>
      <c r="K161" s="4349">
        <v>18.600000000000001</v>
      </c>
      <c r="L161" s="4349">
        <v>58.599999999999994</v>
      </c>
      <c r="M161" s="4345"/>
      <c r="N161" s="4345"/>
      <c r="O161" s="4345"/>
    </row>
    <row r="162" spans="1:15" s="4259" customFormat="1">
      <c r="A162" s="4346" t="s">
        <v>25</v>
      </c>
      <c r="B162" s="4347">
        <v>7231</v>
      </c>
      <c r="C162" s="4347">
        <v>3690</v>
      </c>
      <c r="D162" s="4348">
        <f>C162*100/B162</f>
        <v>51.030286267459552</v>
      </c>
      <c r="E162" s="5112"/>
      <c r="F162" s="4349">
        <v>75.900000000000006</v>
      </c>
      <c r="G162" s="4349">
        <v>24.099999999999998</v>
      </c>
      <c r="H162" s="4349">
        <v>3</v>
      </c>
      <c r="I162" s="4349">
        <v>4.1000000000000005</v>
      </c>
      <c r="J162" s="4349">
        <v>11.200000000000001</v>
      </c>
      <c r="K162" s="4349">
        <v>17.8</v>
      </c>
      <c r="L162" s="4349">
        <v>63.9</v>
      </c>
      <c r="M162" s="4345"/>
      <c r="N162" s="4345"/>
      <c r="O162" s="4345"/>
    </row>
    <row r="163" spans="1:15" s="4259" customFormat="1">
      <c r="A163" s="4346" t="s">
        <v>48</v>
      </c>
      <c r="B163" s="4347">
        <v>4254</v>
      </c>
      <c r="C163" s="4347">
        <v>2139</v>
      </c>
      <c r="D163" s="4348">
        <f>C163*100/B163</f>
        <v>50.282087447108601</v>
      </c>
      <c r="E163" s="5112"/>
      <c r="F163" s="4349">
        <v>82</v>
      </c>
      <c r="G163" s="4349">
        <v>18</v>
      </c>
      <c r="H163" s="4349">
        <v>2.9000000000000004</v>
      </c>
      <c r="I163" s="4349">
        <v>3.6999999999999997</v>
      </c>
      <c r="J163" s="4349">
        <v>10.7</v>
      </c>
      <c r="K163" s="4349">
        <v>18.8</v>
      </c>
      <c r="L163" s="4349">
        <v>63.800000000000004</v>
      </c>
      <c r="M163" s="4345"/>
      <c r="N163" s="4345"/>
      <c r="O163" s="4345"/>
    </row>
    <row r="164" spans="1:15" s="4259" customFormat="1">
      <c r="A164" s="4346" t="s">
        <v>59</v>
      </c>
      <c r="B164" s="4347">
        <v>222</v>
      </c>
      <c r="C164" s="4347">
        <v>100</v>
      </c>
      <c r="D164" s="4348">
        <f>C164*100/B164</f>
        <v>45.045045045045043</v>
      </c>
      <c r="E164" s="5112"/>
      <c r="F164" s="4349">
        <v>76</v>
      </c>
      <c r="G164" s="4349">
        <v>24</v>
      </c>
      <c r="H164" s="4349">
        <v>3.8</v>
      </c>
      <c r="I164" s="4349">
        <v>3.8</v>
      </c>
      <c r="J164" s="4349">
        <v>19.2</v>
      </c>
      <c r="K164" s="4349">
        <v>33.300000000000004</v>
      </c>
      <c r="L164" s="4349">
        <v>39.700000000000003</v>
      </c>
      <c r="M164" s="4345"/>
      <c r="N164" s="4345"/>
      <c r="O164" s="4345"/>
    </row>
    <row r="165" spans="1:15" s="4259" customFormat="1">
      <c r="A165" s="4343" t="s">
        <v>15</v>
      </c>
      <c r="B165" s="4350">
        <f>SUM(B161:B164)</f>
        <v>14373</v>
      </c>
      <c r="C165" s="4350">
        <f>SUM(C161:C164)</f>
        <v>7320</v>
      </c>
      <c r="D165" s="4351">
        <f>C165*100/B165</f>
        <v>50.928824879983303</v>
      </c>
      <c r="E165" s="5113"/>
      <c r="F165" s="4354">
        <v>78.400000000000006</v>
      </c>
      <c r="G165" s="4352">
        <v>21.6</v>
      </c>
      <c r="H165" s="4344">
        <v>3.3000000000000003</v>
      </c>
      <c r="I165" s="4344">
        <v>4</v>
      </c>
      <c r="J165" s="4344">
        <v>11.600000000000001</v>
      </c>
      <c r="K165" s="4344">
        <v>18.5</v>
      </c>
      <c r="L165" s="4344">
        <v>62.5</v>
      </c>
      <c r="M165" s="4345"/>
      <c r="N165" s="4345"/>
      <c r="O165" s="4345"/>
    </row>
    <row r="166" spans="1:15" s="4259" customFormat="1">
      <c r="A166" s="1010"/>
      <c r="B166" s="1010"/>
      <c r="C166" s="1010"/>
      <c r="D166" s="1010"/>
      <c r="E166" s="1010"/>
      <c r="F166" s="1010"/>
      <c r="G166" s="1010"/>
      <c r="H166" s="1010"/>
      <c r="I166" s="1010"/>
      <c r="J166" s="1642"/>
      <c r="K166" s="1642"/>
      <c r="L166" s="4345"/>
      <c r="M166" s="4345"/>
      <c r="N166" s="4345"/>
      <c r="O166" s="4345"/>
    </row>
    <row r="167" spans="1:15" s="4259" customFormat="1">
      <c r="A167" s="43"/>
      <c r="B167" s="43"/>
      <c r="C167" s="43"/>
      <c r="D167" s="43"/>
      <c r="E167" s="43"/>
      <c r="F167" s="43"/>
      <c r="G167" s="43"/>
      <c r="H167" s="43"/>
      <c r="I167" s="5846" t="s">
        <v>2430</v>
      </c>
      <c r="J167" s="5847"/>
      <c r="K167" s="4362" t="s">
        <v>1502</v>
      </c>
      <c r="L167" s="4277"/>
      <c r="M167" s="4277"/>
      <c r="N167" s="4277"/>
      <c r="O167" s="4264"/>
    </row>
    <row r="168" spans="1:15" s="4259" customFormat="1">
      <c r="A168" s="4363" t="s">
        <v>0</v>
      </c>
      <c r="B168" s="4364" t="s">
        <v>1</v>
      </c>
      <c r="C168" s="4365" t="s">
        <v>2447</v>
      </c>
      <c r="D168" s="4363" t="s">
        <v>1009</v>
      </c>
      <c r="E168" s="5114"/>
      <c r="F168" s="4363" t="s">
        <v>2099</v>
      </c>
      <c r="G168" s="4363" t="s">
        <v>2105</v>
      </c>
      <c r="H168" s="4363" t="s">
        <v>2432</v>
      </c>
      <c r="I168" s="4366" t="s">
        <v>1038</v>
      </c>
      <c r="J168" s="4367" t="s">
        <v>1039</v>
      </c>
      <c r="K168" s="4368" t="s">
        <v>1503</v>
      </c>
      <c r="L168" s="4368" t="s">
        <v>1504</v>
      </c>
      <c r="M168" s="4369" t="s">
        <v>2446</v>
      </c>
      <c r="N168" s="4368" t="s">
        <v>1506</v>
      </c>
      <c r="O168" s="4368" t="s">
        <v>15</v>
      </c>
    </row>
    <row r="169" spans="1:15" s="4259" customFormat="1" ht="15" customHeight="1">
      <c r="A169" s="5848" t="s">
        <v>3</v>
      </c>
      <c r="B169" s="5849" t="s">
        <v>2439</v>
      </c>
      <c r="C169" s="4370" t="s">
        <v>2448</v>
      </c>
      <c r="D169" s="5858" t="s">
        <v>247</v>
      </c>
      <c r="E169" s="4856"/>
      <c r="F169" s="4371">
        <f>4+280+70</f>
        <v>354</v>
      </c>
      <c r="G169" s="4372">
        <v>246</v>
      </c>
      <c r="H169" s="4373">
        <f>G169*100/F169</f>
        <v>69.491525423728817</v>
      </c>
      <c r="I169" s="4374">
        <v>72.2</v>
      </c>
      <c r="J169" s="4374">
        <v>20.8</v>
      </c>
      <c r="K169" s="4264">
        <v>9.1</v>
      </c>
      <c r="L169" s="4264">
        <v>7.1</v>
      </c>
      <c r="M169" s="4264">
        <v>17.2</v>
      </c>
      <c r="N169" s="4264">
        <v>22.2</v>
      </c>
      <c r="O169" s="4375">
        <v>44.4</v>
      </c>
    </row>
    <row r="170" spans="1:15" s="4259" customFormat="1">
      <c r="A170" s="5848"/>
      <c r="B170" s="5849"/>
      <c r="C170" s="4370" t="s">
        <v>273</v>
      </c>
      <c r="D170" s="5859"/>
      <c r="E170" s="4857"/>
      <c r="F170" s="4371">
        <v>101</v>
      </c>
      <c r="G170" s="4372">
        <v>35</v>
      </c>
      <c r="H170" s="4373">
        <f t="shared" ref="H170:H233" si="2">G170*100/F170</f>
        <v>34.653465346534652</v>
      </c>
      <c r="I170" s="4374">
        <v>80</v>
      </c>
      <c r="J170" s="4374">
        <v>20</v>
      </c>
      <c r="K170" s="4264">
        <v>0</v>
      </c>
      <c r="L170" s="4264">
        <v>7.4</v>
      </c>
      <c r="M170" s="4264">
        <v>3.7</v>
      </c>
      <c r="N170" s="4264">
        <v>3.7</v>
      </c>
      <c r="O170" s="4264">
        <v>85.2</v>
      </c>
    </row>
    <row r="171" spans="1:15" s="4259" customFormat="1">
      <c r="A171" s="5848"/>
      <c r="B171" s="5849"/>
      <c r="C171" s="4370" t="s">
        <v>2631</v>
      </c>
      <c r="D171" s="5859"/>
      <c r="E171" s="4857"/>
      <c r="F171" s="4371">
        <v>117</v>
      </c>
      <c r="G171" s="4372">
        <v>64</v>
      </c>
      <c r="H171" s="4373">
        <f t="shared" si="2"/>
        <v>54.700854700854698</v>
      </c>
      <c r="I171" s="4374">
        <v>93.8</v>
      </c>
      <c r="J171" s="4374">
        <v>6.3</v>
      </c>
      <c r="K171" s="4264">
        <v>1.7</v>
      </c>
      <c r="L171" s="4264">
        <v>0</v>
      </c>
      <c r="M171" s="4264">
        <v>3.4</v>
      </c>
      <c r="N171" s="4264">
        <v>8.5</v>
      </c>
      <c r="O171" s="4264">
        <v>86.4</v>
      </c>
    </row>
    <row r="172" spans="1:15" s="4259" customFormat="1">
      <c r="A172" s="5848"/>
      <c r="B172" s="5849"/>
      <c r="C172" s="4370" t="s">
        <v>669</v>
      </c>
      <c r="D172" s="5859"/>
      <c r="E172" s="4857"/>
      <c r="F172" s="4371">
        <v>51</v>
      </c>
      <c r="G172" s="4372">
        <v>33</v>
      </c>
      <c r="H172" s="4373">
        <f t="shared" si="2"/>
        <v>64.705882352941174</v>
      </c>
      <c r="I172" s="4374">
        <v>57.6</v>
      </c>
      <c r="J172" s="4374">
        <v>42.4</v>
      </c>
      <c r="K172" s="4264">
        <v>15</v>
      </c>
      <c r="L172" s="4264">
        <v>15</v>
      </c>
      <c r="M172" s="4264">
        <v>30</v>
      </c>
      <c r="N172" s="4264">
        <v>5</v>
      </c>
      <c r="O172" s="4264">
        <v>35</v>
      </c>
    </row>
    <row r="173" spans="1:15" s="4259" customFormat="1">
      <c r="A173" s="5848"/>
      <c r="B173" s="5849"/>
      <c r="C173" s="4370" t="s">
        <v>668</v>
      </c>
      <c r="D173" s="5859"/>
      <c r="E173" s="4857"/>
      <c r="F173" s="4371">
        <v>16</v>
      </c>
      <c r="G173" s="4372">
        <v>14</v>
      </c>
      <c r="H173" s="4373">
        <f t="shared" si="2"/>
        <v>87.5</v>
      </c>
      <c r="I173" s="4374">
        <v>78.599999999999994</v>
      </c>
      <c r="J173" s="4374">
        <v>21.4</v>
      </c>
      <c r="K173" s="4264">
        <v>0</v>
      </c>
      <c r="L173" s="4264">
        <v>18.2</v>
      </c>
      <c r="M173" s="4264">
        <v>27.3</v>
      </c>
      <c r="N173" s="4264">
        <v>18.2</v>
      </c>
      <c r="O173" s="4264">
        <v>36.4</v>
      </c>
    </row>
    <row r="174" spans="1:15" s="4259" customFormat="1">
      <c r="A174" s="5848"/>
      <c r="B174" s="5849"/>
      <c r="C174" s="4370" t="s">
        <v>2448</v>
      </c>
      <c r="D174" s="5848" t="s">
        <v>248</v>
      </c>
      <c r="E174" s="5115"/>
      <c r="F174" s="4371">
        <v>88</v>
      </c>
      <c r="G174" s="4372">
        <v>72</v>
      </c>
      <c r="H174" s="4373">
        <f t="shared" si="2"/>
        <v>81.818181818181813</v>
      </c>
      <c r="I174" s="4374">
        <v>75</v>
      </c>
      <c r="J174" s="4374">
        <v>25</v>
      </c>
      <c r="K174" s="4264">
        <v>0</v>
      </c>
      <c r="L174" s="4264">
        <v>0</v>
      </c>
      <c r="M174" s="4264">
        <v>0</v>
      </c>
      <c r="N174" s="4264">
        <v>0</v>
      </c>
      <c r="O174" s="4264">
        <v>100</v>
      </c>
    </row>
    <row r="175" spans="1:15" s="4259" customFormat="1">
      <c r="A175" s="5848"/>
      <c r="B175" s="5849"/>
      <c r="C175" s="4370" t="s">
        <v>2631</v>
      </c>
      <c r="D175" s="5848"/>
      <c r="E175" s="5115"/>
      <c r="F175" s="4371">
        <v>9</v>
      </c>
      <c r="G175" s="4372">
        <v>8</v>
      </c>
      <c r="H175" s="4373">
        <f t="shared" si="2"/>
        <v>88.888888888888886</v>
      </c>
      <c r="I175" s="4374">
        <v>100</v>
      </c>
      <c r="J175" s="4374">
        <v>0</v>
      </c>
      <c r="K175" s="4264">
        <v>0</v>
      </c>
      <c r="L175" s="4264">
        <v>0</v>
      </c>
      <c r="M175" s="4264">
        <v>12.5</v>
      </c>
      <c r="N175" s="4264">
        <v>25</v>
      </c>
      <c r="O175" s="4264">
        <v>62.5</v>
      </c>
    </row>
    <row r="176" spans="1:15" s="4259" customFormat="1">
      <c r="A176" s="5848"/>
      <c r="B176" s="5849"/>
      <c r="C176" s="4370" t="s">
        <v>669</v>
      </c>
      <c r="D176" s="5848"/>
      <c r="E176" s="5115"/>
      <c r="F176" s="4371">
        <v>3</v>
      </c>
      <c r="G176" s="4372">
        <v>0</v>
      </c>
      <c r="H176" s="4373">
        <f t="shared" si="2"/>
        <v>0</v>
      </c>
      <c r="I176" s="4374" t="s">
        <v>618</v>
      </c>
      <c r="J176" s="4374" t="s">
        <v>618</v>
      </c>
      <c r="K176" s="4264" t="s">
        <v>618</v>
      </c>
      <c r="L176" s="4264" t="s">
        <v>618</v>
      </c>
      <c r="M176" s="4264" t="s">
        <v>618</v>
      </c>
      <c r="N176" s="4264" t="s">
        <v>618</v>
      </c>
      <c r="O176" s="4264" t="s">
        <v>618</v>
      </c>
    </row>
    <row r="177" spans="1:15" s="4259" customFormat="1">
      <c r="A177" s="5848"/>
      <c r="B177" s="5849"/>
      <c r="C177" s="4370" t="s">
        <v>668</v>
      </c>
      <c r="D177" s="5848"/>
      <c r="E177" s="5115"/>
      <c r="F177" s="4371">
        <v>3</v>
      </c>
      <c r="G177" s="4372">
        <v>3</v>
      </c>
      <c r="H177" s="4373">
        <f t="shared" si="2"/>
        <v>100</v>
      </c>
      <c r="I177" s="4374">
        <v>100</v>
      </c>
      <c r="J177" s="4374">
        <v>0</v>
      </c>
      <c r="K177" s="4264">
        <v>0</v>
      </c>
      <c r="L177" s="4264">
        <v>0</v>
      </c>
      <c r="M177" s="4264">
        <v>0</v>
      </c>
      <c r="N177" s="4264">
        <v>66.7</v>
      </c>
      <c r="O177" s="4264">
        <v>33.299999999999997</v>
      </c>
    </row>
    <row r="178" spans="1:15" s="4259" customFormat="1" ht="15" customHeight="1">
      <c r="A178" s="5848"/>
      <c r="B178" s="5849" t="s">
        <v>2434</v>
      </c>
      <c r="C178" s="4370" t="s">
        <v>2295</v>
      </c>
      <c r="D178" s="5848" t="s">
        <v>265</v>
      </c>
      <c r="E178" s="5115"/>
      <c r="F178" s="4371">
        <v>327</v>
      </c>
      <c r="G178" s="4372">
        <v>214</v>
      </c>
      <c r="H178" s="4373">
        <f t="shared" si="2"/>
        <v>65.443425076452598</v>
      </c>
      <c r="I178" s="4374">
        <v>84.1</v>
      </c>
      <c r="J178" s="4374">
        <v>15.9</v>
      </c>
      <c r="K178" s="4264">
        <v>6.1</v>
      </c>
      <c r="L178" s="4264">
        <v>1.1000000000000001</v>
      </c>
      <c r="M178" s="4264">
        <v>14.4</v>
      </c>
      <c r="N178" s="4264">
        <v>21.5</v>
      </c>
      <c r="O178" s="4264">
        <v>56.9</v>
      </c>
    </row>
    <row r="179" spans="1:15" s="4259" customFormat="1">
      <c r="A179" s="5848"/>
      <c r="B179" s="5849"/>
      <c r="C179" s="4370" t="s">
        <v>342</v>
      </c>
      <c r="D179" s="5848"/>
      <c r="E179" s="5115"/>
      <c r="F179" s="4371">
        <v>76</v>
      </c>
      <c r="G179" s="4372">
        <v>52</v>
      </c>
      <c r="H179" s="4373">
        <f t="shared" si="2"/>
        <v>68.421052631578945</v>
      </c>
      <c r="I179" s="4372">
        <v>86.5</v>
      </c>
      <c r="J179" s="4372">
        <v>13.5</v>
      </c>
      <c r="K179" s="4264">
        <v>2.2000000000000002</v>
      </c>
      <c r="L179" s="4264">
        <v>6.7</v>
      </c>
      <c r="M179" s="4264">
        <v>6.7</v>
      </c>
      <c r="N179" s="4264">
        <v>22.2</v>
      </c>
      <c r="O179" s="4264">
        <v>62.2</v>
      </c>
    </row>
    <row r="180" spans="1:15" s="4259" customFormat="1">
      <c r="A180" s="5848"/>
      <c r="B180" s="5849"/>
      <c r="C180" s="4370" t="s">
        <v>119</v>
      </c>
      <c r="D180" s="5848"/>
      <c r="E180" s="5115"/>
      <c r="F180" s="4371">
        <v>1</v>
      </c>
      <c r="G180" s="4372">
        <v>0</v>
      </c>
      <c r="H180" s="4373">
        <f t="shared" si="2"/>
        <v>0</v>
      </c>
      <c r="I180" s="4372" t="s">
        <v>618</v>
      </c>
      <c r="J180" s="4372" t="s">
        <v>618</v>
      </c>
      <c r="K180" s="4264" t="s">
        <v>618</v>
      </c>
      <c r="L180" s="4264" t="s">
        <v>618</v>
      </c>
      <c r="M180" s="4264" t="s">
        <v>618</v>
      </c>
      <c r="N180" s="4264" t="s">
        <v>618</v>
      </c>
      <c r="O180" s="4264" t="s">
        <v>618</v>
      </c>
    </row>
    <row r="181" spans="1:15" s="4259" customFormat="1">
      <c r="A181" s="5848"/>
      <c r="B181" s="5849"/>
      <c r="C181" s="4370" t="s">
        <v>278</v>
      </c>
      <c r="D181" s="5848" t="s">
        <v>247</v>
      </c>
      <c r="E181" s="5115"/>
      <c r="F181" s="4371">
        <v>186</v>
      </c>
      <c r="G181" s="4372">
        <v>131</v>
      </c>
      <c r="H181" s="4373">
        <f t="shared" si="2"/>
        <v>70.430107526881727</v>
      </c>
      <c r="I181" s="4372">
        <v>74.8</v>
      </c>
      <c r="J181" s="4372">
        <v>25.2</v>
      </c>
      <c r="K181" s="4264">
        <v>7</v>
      </c>
      <c r="L181" s="4264">
        <v>6</v>
      </c>
      <c r="M181" s="4264">
        <v>24</v>
      </c>
      <c r="N181" s="4264">
        <v>18</v>
      </c>
      <c r="O181" s="4264">
        <v>45</v>
      </c>
    </row>
    <row r="182" spans="1:15" s="4259" customFormat="1">
      <c r="A182" s="5848"/>
      <c r="B182" s="5849"/>
      <c r="C182" s="4370" t="s">
        <v>277</v>
      </c>
      <c r="D182" s="5848"/>
      <c r="E182" s="5115"/>
      <c r="F182" s="4371">
        <v>158</v>
      </c>
      <c r="G182" s="4372">
        <v>100</v>
      </c>
      <c r="H182" s="4373">
        <f t="shared" si="2"/>
        <v>63.291139240506332</v>
      </c>
      <c r="I182" s="4372">
        <v>79</v>
      </c>
      <c r="J182" s="4372">
        <v>21</v>
      </c>
      <c r="K182" s="4264">
        <v>3.8</v>
      </c>
      <c r="L182" s="4264">
        <v>3.8</v>
      </c>
      <c r="M182" s="4264">
        <v>19.2</v>
      </c>
      <c r="N182" s="4264">
        <v>30.8</v>
      </c>
      <c r="O182" s="4264">
        <v>42.3</v>
      </c>
    </row>
    <row r="183" spans="1:15" s="4259" customFormat="1">
      <c r="A183" s="5848"/>
      <c r="B183" s="5849"/>
      <c r="C183" s="4370" t="s">
        <v>472</v>
      </c>
      <c r="D183" s="5848"/>
      <c r="E183" s="5115"/>
      <c r="F183" s="4371">
        <v>59</v>
      </c>
      <c r="G183" s="4372">
        <v>34</v>
      </c>
      <c r="H183" s="4373">
        <f t="shared" si="2"/>
        <v>57.627118644067799</v>
      </c>
      <c r="I183" s="4372">
        <v>73.5</v>
      </c>
      <c r="J183" s="4372">
        <v>26.5</v>
      </c>
      <c r="K183" s="4375">
        <v>0</v>
      </c>
      <c r="L183" s="4264">
        <v>4.2</v>
      </c>
      <c r="M183" s="4264">
        <v>16.7</v>
      </c>
      <c r="N183" s="4264">
        <v>12.5</v>
      </c>
      <c r="O183" s="4264">
        <v>66.7</v>
      </c>
    </row>
    <row r="184" spans="1:15" s="4259" customFormat="1">
      <c r="A184" s="5848"/>
      <c r="B184" s="5849"/>
      <c r="C184" s="4370" t="s">
        <v>2490</v>
      </c>
      <c r="D184" s="5848"/>
      <c r="E184" s="5115"/>
      <c r="F184" s="4371">
        <v>8</v>
      </c>
      <c r="G184" s="4372">
        <v>7</v>
      </c>
      <c r="H184" s="4373">
        <f t="shared" si="2"/>
        <v>87.5</v>
      </c>
      <c r="I184" s="4372">
        <v>42.9</v>
      </c>
      <c r="J184" s="4372">
        <v>57.1</v>
      </c>
      <c r="K184" s="4264">
        <v>0</v>
      </c>
      <c r="L184" s="4264">
        <v>0</v>
      </c>
      <c r="M184" s="4264">
        <v>0</v>
      </c>
      <c r="N184" s="4264">
        <v>33.299999999999997</v>
      </c>
      <c r="O184" s="4264">
        <v>66.7</v>
      </c>
    </row>
    <row r="185" spans="1:15" s="4259" customFormat="1">
      <c r="A185" s="5848"/>
      <c r="B185" s="5849"/>
      <c r="C185" s="4370" t="s">
        <v>2632</v>
      </c>
      <c r="D185" s="5848"/>
      <c r="E185" s="5115"/>
      <c r="F185" s="4371">
        <v>90</v>
      </c>
      <c r="G185" s="4372">
        <v>30</v>
      </c>
      <c r="H185" s="4373">
        <f t="shared" si="2"/>
        <v>33.333333333333336</v>
      </c>
      <c r="I185" s="4372">
        <v>73.3</v>
      </c>
      <c r="J185" s="4372">
        <v>26.7</v>
      </c>
      <c r="K185" s="4264">
        <v>0</v>
      </c>
      <c r="L185" s="4264">
        <v>4.5</v>
      </c>
      <c r="M185" s="4264">
        <v>9.1</v>
      </c>
      <c r="N185" s="4264">
        <v>40.9</v>
      </c>
      <c r="O185" s="4264">
        <v>45.5</v>
      </c>
    </row>
    <row r="186" spans="1:15" s="4259" customFormat="1">
      <c r="A186" s="5848"/>
      <c r="B186" s="5849"/>
      <c r="C186" s="4370" t="s">
        <v>119</v>
      </c>
      <c r="D186" s="5848"/>
      <c r="E186" s="5115"/>
      <c r="F186" s="4371">
        <v>29</v>
      </c>
      <c r="G186" s="4372">
        <v>20</v>
      </c>
      <c r="H186" s="4373">
        <f t="shared" si="2"/>
        <v>68.965517241379317</v>
      </c>
      <c r="I186" s="4372">
        <v>55</v>
      </c>
      <c r="J186" s="4372">
        <v>45</v>
      </c>
      <c r="K186" s="4264">
        <v>0</v>
      </c>
      <c r="L186" s="4264">
        <v>0</v>
      </c>
      <c r="M186" s="4264">
        <v>10</v>
      </c>
      <c r="N186" s="4264">
        <v>40</v>
      </c>
      <c r="O186" s="4264">
        <v>50</v>
      </c>
    </row>
    <row r="187" spans="1:15" s="4259" customFormat="1">
      <c r="A187" s="5848"/>
      <c r="B187" s="5849"/>
      <c r="C187" s="4370" t="s">
        <v>1909</v>
      </c>
      <c r="D187" s="5848"/>
      <c r="E187" s="5115"/>
      <c r="F187" s="4371">
        <v>34</v>
      </c>
      <c r="G187" s="4372">
        <v>6</v>
      </c>
      <c r="H187" s="4373">
        <f t="shared" si="2"/>
        <v>17.647058823529413</v>
      </c>
      <c r="I187" s="4372">
        <v>83.3</v>
      </c>
      <c r="J187" s="4372">
        <v>16.7</v>
      </c>
      <c r="K187" s="4264">
        <v>0</v>
      </c>
      <c r="L187" s="4264">
        <v>0</v>
      </c>
      <c r="M187" s="4264">
        <v>0</v>
      </c>
      <c r="N187" s="4264">
        <v>20</v>
      </c>
      <c r="O187" s="4264">
        <v>80</v>
      </c>
    </row>
    <row r="188" spans="1:15" s="4259" customFormat="1">
      <c r="A188" s="5848"/>
      <c r="B188" s="5849"/>
      <c r="C188" s="4370" t="s">
        <v>2278</v>
      </c>
      <c r="D188" s="5848"/>
      <c r="E188" s="5115"/>
      <c r="F188" s="4371">
        <v>5</v>
      </c>
      <c r="G188" s="4372">
        <v>0</v>
      </c>
      <c r="H188" s="4373">
        <f t="shared" si="2"/>
        <v>0</v>
      </c>
      <c r="I188" s="4372" t="s">
        <v>618</v>
      </c>
      <c r="J188" s="4372" t="s">
        <v>618</v>
      </c>
      <c r="K188" s="4264" t="s">
        <v>618</v>
      </c>
      <c r="L188" s="4264" t="s">
        <v>618</v>
      </c>
      <c r="M188" s="4264" t="s">
        <v>618</v>
      </c>
      <c r="N188" s="4264" t="s">
        <v>618</v>
      </c>
      <c r="O188" s="4264" t="s">
        <v>618</v>
      </c>
    </row>
    <row r="189" spans="1:15" s="4259" customFormat="1">
      <c r="A189" s="5848"/>
      <c r="B189" s="5849"/>
      <c r="C189" s="4370" t="s">
        <v>2490</v>
      </c>
      <c r="D189" s="5848" t="s">
        <v>248</v>
      </c>
      <c r="E189" s="5115"/>
      <c r="F189" s="4371">
        <v>6</v>
      </c>
      <c r="G189" s="4372">
        <v>2</v>
      </c>
      <c r="H189" s="4373">
        <f t="shared" si="2"/>
        <v>33.333333333333336</v>
      </c>
      <c r="I189" s="4372">
        <v>100</v>
      </c>
      <c r="J189" s="4372">
        <v>0</v>
      </c>
      <c r="K189" s="4264">
        <v>0</v>
      </c>
      <c r="L189" s="4264">
        <v>0</v>
      </c>
      <c r="M189" s="4264">
        <v>0</v>
      </c>
      <c r="N189" s="4264">
        <v>50</v>
      </c>
      <c r="O189" s="4264">
        <v>50</v>
      </c>
    </row>
    <row r="190" spans="1:15" s="4259" customFormat="1">
      <c r="A190" s="5848"/>
      <c r="B190" s="5849"/>
      <c r="C190" s="4370" t="s">
        <v>2632</v>
      </c>
      <c r="D190" s="5848"/>
      <c r="E190" s="5115"/>
      <c r="F190" s="4371">
        <v>41</v>
      </c>
      <c r="G190" s="4372">
        <v>23</v>
      </c>
      <c r="H190" s="4373">
        <f t="shared" si="2"/>
        <v>56.097560975609753</v>
      </c>
      <c r="I190" s="4372">
        <v>73.900000000000006</v>
      </c>
      <c r="J190" s="4372">
        <v>26.1</v>
      </c>
      <c r="K190" s="4264">
        <v>0</v>
      </c>
      <c r="L190" s="4264">
        <v>0</v>
      </c>
      <c r="M190" s="4264">
        <v>5.9</v>
      </c>
      <c r="N190" s="4264">
        <v>17.600000000000001</v>
      </c>
      <c r="O190" s="4264">
        <v>76.5</v>
      </c>
    </row>
    <row r="191" spans="1:15" s="4259" customFormat="1">
      <c r="A191" s="5848"/>
      <c r="B191" s="5849"/>
      <c r="C191" s="4370" t="s">
        <v>119</v>
      </c>
      <c r="D191" s="5848"/>
      <c r="E191" s="5115"/>
      <c r="F191" s="4371">
        <v>27</v>
      </c>
      <c r="G191" s="4372">
        <v>11</v>
      </c>
      <c r="H191" s="4373">
        <f t="shared" si="2"/>
        <v>40.74074074074074</v>
      </c>
      <c r="I191" s="4372">
        <v>81.8</v>
      </c>
      <c r="J191" s="4372">
        <v>18.2</v>
      </c>
      <c r="K191" s="4264">
        <v>0</v>
      </c>
      <c r="L191" s="4264">
        <v>0</v>
      </c>
      <c r="M191" s="4264">
        <v>22.2</v>
      </c>
      <c r="N191" s="4264">
        <v>22.2</v>
      </c>
      <c r="O191" s="4264">
        <v>55.6</v>
      </c>
    </row>
    <row r="192" spans="1:15" s="4259" customFormat="1" ht="15" customHeight="1">
      <c r="A192" s="5848"/>
      <c r="B192" s="5849" t="s">
        <v>2435</v>
      </c>
      <c r="C192" s="4370" t="s">
        <v>2279</v>
      </c>
      <c r="D192" s="5848" t="s">
        <v>265</v>
      </c>
      <c r="E192" s="5115"/>
      <c r="F192" s="4371">
        <v>41</v>
      </c>
      <c r="G192" s="4372">
        <v>16</v>
      </c>
      <c r="H192" s="4373">
        <f t="shared" si="2"/>
        <v>39.024390243902438</v>
      </c>
      <c r="I192" s="4372">
        <v>81.3</v>
      </c>
      <c r="J192" s="4372">
        <v>18.8</v>
      </c>
      <c r="K192" s="4264">
        <v>0</v>
      </c>
      <c r="L192" s="4264">
        <v>0</v>
      </c>
      <c r="M192" s="4264">
        <v>15.4</v>
      </c>
      <c r="N192" s="4264">
        <v>7.7</v>
      </c>
      <c r="O192" s="4264">
        <v>76.900000000000006</v>
      </c>
    </row>
    <row r="193" spans="1:15" s="4259" customFormat="1">
      <c r="A193" s="5848"/>
      <c r="B193" s="5849"/>
      <c r="C193" s="4370" t="s">
        <v>2633</v>
      </c>
      <c r="D193" s="5848"/>
      <c r="E193" s="5115"/>
      <c r="F193" s="4371">
        <v>374</v>
      </c>
      <c r="G193" s="4372">
        <v>135</v>
      </c>
      <c r="H193" s="4373">
        <f t="shared" si="2"/>
        <v>36.096256684491976</v>
      </c>
      <c r="I193" s="4372">
        <v>88.1</v>
      </c>
      <c r="J193" s="4372">
        <v>11.9</v>
      </c>
      <c r="K193" s="4264">
        <v>4.3</v>
      </c>
      <c r="L193" s="4264">
        <v>2.6</v>
      </c>
      <c r="M193" s="4264">
        <v>9.4</v>
      </c>
      <c r="N193" s="4264">
        <v>12.8</v>
      </c>
      <c r="O193" s="4264">
        <v>70.900000000000006</v>
      </c>
    </row>
    <row r="194" spans="1:15" s="4259" customFormat="1">
      <c r="A194" s="5848"/>
      <c r="B194" s="5849"/>
      <c r="C194" s="4370" t="s">
        <v>1638</v>
      </c>
      <c r="D194" s="5848"/>
      <c r="E194" s="5115"/>
      <c r="F194" s="4371">
        <v>13</v>
      </c>
      <c r="G194" s="4372">
        <v>0</v>
      </c>
      <c r="H194" s="4373">
        <f t="shared" si="2"/>
        <v>0</v>
      </c>
      <c r="I194" s="4372" t="s">
        <v>618</v>
      </c>
      <c r="J194" s="4372" t="s">
        <v>618</v>
      </c>
      <c r="K194" s="4264" t="s">
        <v>618</v>
      </c>
      <c r="L194" s="4264" t="s">
        <v>618</v>
      </c>
      <c r="M194" s="4264" t="s">
        <v>618</v>
      </c>
      <c r="N194" s="4264" t="s">
        <v>618</v>
      </c>
      <c r="O194" s="4264" t="s">
        <v>618</v>
      </c>
    </row>
    <row r="195" spans="1:15" s="4259" customFormat="1">
      <c r="A195" s="5848"/>
      <c r="B195" s="5849"/>
      <c r="C195" s="4370" t="s">
        <v>1639</v>
      </c>
      <c r="D195" s="5848"/>
      <c r="E195" s="5115"/>
      <c r="F195" s="4371">
        <v>1</v>
      </c>
      <c r="G195" s="4372">
        <v>0</v>
      </c>
      <c r="H195" s="4373">
        <f t="shared" si="2"/>
        <v>0</v>
      </c>
      <c r="I195" s="4372" t="s">
        <v>618</v>
      </c>
      <c r="J195" s="4372" t="s">
        <v>618</v>
      </c>
      <c r="K195" s="4264" t="s">
        <v>618</v>
      </c>
      <c r="L195" s="4264" t="s">
        <v>618</v>
      </c>
      <c r="M195" s="4264" t="s">
        <v>618</v>
      </c>
      <c r="N195" s="4264" t="s">
        <v>618</v>
      </c>
      <c r="O195" s="4264" t="s">
        <v>618</v>
      </c>
    </row>
    <row r="196" spans="1:15" s="4259" customFormat="1">
      <c r="A196" s="5848"/>
      <c r="B196" s="5849"/>
      <c r="C196" s="4370" t="s">
        <v>1640</v>
      </c>
      <c r="D196" s="5848"/>
      <c r="E196" s="5115"/>
      <c r="F196" s="4371">
        <v>4</v>
      </c>
      <c r="G196" s="4372">
        <v>0</v>
      </c>
      <c r="H196" s="4373">
        <f t="shared" si="2"/>
        <v>0</v>
      </c>
      <c r="I196" s="4372" t="s">
        <v>618</v>
      </c>
      <c r="J196" s="4372" t="s">
        <v>618</v>
      </c>
      <c r="K196" s="4264" t="s">
        <v>618</v>
      </c>
      <c r="L196" s="4264" t="s">
        <v>618</v>
      </c>
      <c r="M196" s="4264" t="s">
        <v>618</v>
      </c>
      <c r="N196" s="4264" t="s">
        <v>618</v>
      </c>
      <c r="O196" s="4264" t="s">
        <v>618</v>
      </c>
    </row>
    <row r="197" spans="1:15" s="4259" customFormat="1">
      <c r="A197" s="5848"/>
      <c r="B197" s="5849"/>
      <c r="C197" s="4370" t="s">
        <v>1637</v>
      </c>
      <c r="D197" s="5848"/>
      <c r="E197" s="5115"/>
      <c r="F197" s="4371">
        <v>41</v>
      </c>
      <c r="G197" s="4372">
        <v>37</v>
      </c>
      <c r="H197" s="4373">
        <f t="shared" si="2"/>
        <v>90.243902439024396</v>
      </c>
      <c r="I197" s="4372">
        <v>74.099999999999994</v>
      </c>
      <c r="J197" s="4372">
        <v>25.9</v>
      </c>
      <c r="K197" s="4264">
        <v>5</v>
      </c>
      <c r="L197" s="4264">
        <v>5</v>
      </c>
      <c r="M197" s="4264">
        <v>15</v>
      </c>
      <c r="N197" s="4264">
        <v>20</v>
      </c>
      <c r="O197" s="4264">
        <v>55</v>
      </c>
    </row>
    <row r="198" spans="1:15" s="4259" customFormat="1">
      <c r="A198" s="5848"/>
      <c r="B198" s="5849"/>
      <c r="C198" s="4370" t="s">
        <v>1641</v>
      </c>
      <c r="D198" s="5848"/>
      <c r="E198" s="5115"/>
      <c r="F198" s="4371">
        <v>1</v>
      </c>
      <c r="G198" s="4372">
        <v>0</v>
      </c>
      <c r="H198" s="4373">
        <f t="shared" si="2"/>
        <v>0</v>
      </c>
      <c r="I198" s="4372" t="s">
        <v>618</v>
      </c>
      <c r="J198" s="4372" t="s">
        <v>618</v>
      </c>
      <c r="K198" s="4264" t="s">
        <v>618</v>
      </c>
      <c r="L198" s="4264" t="s">
        <v>618</v>
      </c>
      <c r="M198" s="4264" t="s">
        <v>618</v>
      </c>
      <c r="N198" s="4264" t="s">
        <v>618</v>
      </c>
      <c r="O198" s="4264" t="s">
        <v>618</v>
      </c>
    </row>
    <row r="199" spans="1:15" s="4259" customFormat="1">
      <c r="A199" s="5848"/>
      <c r="B199" s="5849"/>
      <c r="C199" s="4370" t="s">
        <v>2634</v>
      </c>
      <c r="D199" s="5848" t="s">
        <v>247</v>
      </c>
      <c r="E199" s="5115"/>
      <c r="F199" s="4371">
        <v>3</v>
      </c>
      <c r="G199" s="4372">
        <v>0</v>
      </c>
      <c r="H199" s="4373">
        <f t="shared" si="2"/>
        <v>0</v>
      </c>
      <c r="I199" s="4372" t="s">
        <v>618</v>
      </c>
      <c r="J199" s="4372" t="s">
        <v>618</v>
      </c>
      <c r="K199" s="4264" t="s">
        <v>618</v>
      </c>
      <c r="L199" s="4264" t="s">
        <v>618</v>
      </c>
      <c r="M199" s="4264" t="s">
        <v>618</v>
      </c>
      <c r="N199" s="4264" t="s">
        <v>618</v>
      </c>
      <c r="O199" s="4264" t="s">
        <v>618</v>
      </c>
    </row>
    <row r="200" spans="1:15" s="4259" customFormat="1">
      <c r="A200" s="5848"/>
      <c r="B200" s="5849"/>
      <c r="C200" s="4370" t="s">
        <v>2633</v>
      </c>
      <c r="D200" s="5848"/>
      <c r="E200" s="5115"/>
      <c r="F200" s="4371">
        <v>200</v>
      </c>
      <c r="G200" s="4372">
        <v>50</v>
      </c>
      <c r="H200" s="4373">
        <f t="shared" si="2"/>
        <v>25</v>
      </c>
      <c r="I200" s="4372">
        <v>76</v>
      </c>
      <c r="J200" s="4372">
        <v>24</v>
      </c>
      <c r="K200" s="4264">
        <v>2.6</v>
      </c>
      <c r="L200" s="4264">
        <v>7.7</v>
      </c>
      <c r="M200" s="4264">
        <v>10.3</v>
      </c>
      <c r="N200" s="4264">
        <v>20.5</v>
      </c>
      <c r="O200" s="4264">
        <v>59</v>
      </c>
    </row>
    <row r="201" spans="1:15" s="4259" customFormat="1">
      <c r="A201" s="5848"/>
      <c r="B201" s="5849"/>
      <c r="C201" s="4370" t="s">
        <v>1638</v>
      </c>
      <c r="D201" s="5848"/>
      <c r="E201" s="5115"/>
      <c r="F201" s="4371">
        <v>24</v>
      </c>
      <c r="G201" s="4372">
        <v>0</v>
      </c>
      <c r="H201" s="4373">
        <f t="shared" si="2"/>
        <v>0</v>
      </c>
      <c r="I201" s="4372" t="s">
        <v>618</v>
      </c>
      <c r="J201" s="4372" t="s">
        <v>618</v>
      </c>
      <c r="K201" s="4264" t="s">
        <v>618</v>
      </c>
      <c r="L201" s="4264" t="s">
        <v>618</v>
      </c>
      <c r="M201" s="4264" t="s">
        <v>618</v>
      </c>
      <c r="N201" s="4264" t="s">
        <v>618</v>
      </c>
      <c r="O201" s="4264" t="s">
        <v>618</v>
      </c>
    </row>
    <row r="202" spans="1:15" s="4259" customFormat="1">
      <c r="A202" s="5848"/>
      <c r="B202" s="5849"/>
      <c r="C202" s="4370" t="s">
        <v>1639</v>
      </c>
      <c r="D202" s="5848"/>
      <c r="E202" s="5115"/>
      <c r="F202" s="4371">
        <v>15</v>
      </c>
      <c r="G202" s="4372">
        <v>0</v>
      </c>
      <c r="H202" s="4373">
        <f t="shared" si="2"/>
        <v>0</v>
      </c>
      <c r="I202" s="4372" t="s">
        <v>618</v>
      </c>
      <c r="J202" s="4372" t="s">
        <v>618</v>
      </c>
      <c r="K202" s="4264" t="s">
        <v>618</v>
      </c>
      <c r="L202" s="4264" t="s">
        <v>618</v>
      </c>
      <c r="M202" s="4264" t="s">
        <v>618</v>
      </c>
      <c r="N202" s="4264" t="s">
        <v>618</v>
      </c>
      <c r="O202" s="4264" t="s">
        <v>618</v>
      </c>
    </row>
    <row r="203" spans="1:15" s="4259" customFormat="1">
      <c r="A203" s="5848"/>
      <c r="B203" s="5849"/>
      <c r="C203" s="4370" t="s">
        <v>1640</v>
      </c>
      <c r="D203" s="5848"/>
      <c r="E203" s="5115"/>
      <c r="F203" s="4371">
        <v>28</v>
      </c>
      <c r="G203" s="4372">
        <v>24</v>
      </c>
      <c r="H203" s="4373">
        <f t="shared" si="2"/>
        <v>85.714285714285708</v>
      </c>
      <c r="I203" s="4372">
        <v>50</v>
      </c>
      <c r="J203" s="4372">
        <v>50</v>
      </c>
      <c r="K203" s="4264">
        <v>0</v>
      </c>
      <c r="L203" s="4264">
        <v>16.7</v>
      </c>
      <c r="M203" s="4264">
        <v>16.7</v>
      </c>
      <c r="N203" s="4264">
        <v>16.7</v>
      </c>
      <c r="O203" s="4264">
        <v>50</v>
      </c>
    </row>
    <row r="204" spans="1:15" s="4259" customFormat="1">
      <c r="A204" s="5848"/>
      <c r="B204" s="5849"/>
      <c r="C204" s="4370" t="s">
        <v>1641</v>
      </c>
      <c r="D204" s="5848"/>
      <c r="E204" s="5115"/>
      <c r="F204" s="4371">
        <v>20</v>
      </c>
      <c r="G204" s="4372">
        <v>0</v>
      </c>
      <c r="H204" s="4373">
        <f t="shared" si="2"/>
        <v>0</v>
      </c>
      <c r="I204" s="4372" t="s">
        <v>618</v>
      </c>
      <c r="J204" s="4372" t="s">
        <v>618</v>
      </c>
      <c r="K204" s="4264" t="s">
        <v>618</v>
      </c>
      <c r="L204" s="4264" t="s">
        <v>618</v>
      </c>
      <c r="M204" s="4264" t="s">
        <v>618</v>
      </c>
      <c r="N204" s="4264" t="s">
        <v>618</v>
      </c>
      <c r="O204" s="4264" t="s">
        <v>618</v>
      </c>
    </row>
    <row r="205" spans="1:15" s="4259" customFormat="1">
      <c r="A205" s="5848"/>
      <c r="B205" s="5849"/>
      <c r="C205" s="4370" t="s">
        <v>1727</v>
      </c>
      <c r="D205" s="5848"/>
      <c r="E205" s="5115"/>
      <c r="F205" s="4371">
        <v>7</v>
      </c>
      <c r="G205" s="4372">
        <v>0</v>
      </c>
      <c r="H205" s="4373">
        <f t="shared" si="2"/>
        <v>0</v>
      </c>
      <c r="I205" s="4372" t="s">
        <v>618</v>
      </c>
      <c r="J205" s="4372" t="s">
        <v>618</v>
      </c>
      <c r="K205" s="4264" t="s">
        <v>618</v>
      </c>
      <c r="L205" s="4264" t="s">
        <v>618</v>
      </c>
      <c r="M205" s="4264" t="s">
        <v>618</v>
      </c>
      <c r="N205" s="4264" t="s">
        <v>618</v>
      </c>
      <c r="O205" s="4264" t="s">
        <v>618</v>
      </c>
    </row>
    <row r="206" spans="1:15" s="4259" customFormat="1">
      <c r="A206" s="5848"/>
      <c r="B206" s="5849"/>
      <c r="C206" s="4370" t="s">
        <v>2633</v>
      </c>
      <c r="D206" s="5848" t="s">
        <v>248</v>
      </c>
      <c r="E206" s="5115"/>
      <c r="F206" s="4371">
        <v>68</v>
      </c>
      <c r="G206" s="4372">
        <v>22</v>
      </c>
      <c r="H206" s="4373">
        <f t="shared" si="2"/>
        <v>32.352941176470587</v>
      </c>
      <c r="I206" s="4372">
        <v>90.9</v>
      </c>
      <c r="J206" s="4372">
        <v>9.1</v>
      </c>
      <c r="K206" s="4264">
        <v>5.3</v>
      </c>
      <c r="L206" s="4264">
        <v>5.3</v>
      </c>
      <c r="M206" s="4264">
        <v>15.8</v>
      </c>
      <c r="N206" s="4264">
        <v>5.3</v>
      </c>
      <c r="O206" s="4264">
        <v>68.400000000000006</v>
      </c>
    </row>
    <row r="207" spans="1:15" s="4259" customFormat="1">
      <c r="A207" s="5848"/>
      <c r="B207" s="5849"/>
      <c r="C207" s="4370" t="s">
        <v>1638</v>
      </c>
      <c r="D207" s="5848"/>
      <c r="E207" s="5115"/>
      <c r="F207" s="4371">
        <v>4</v>
      </c>
      <c r="G207" s="4372">
        <v>0</v>
      </c>
      <c r="H207" s="4373">
        <f t="shared" si="2"/>
        <v>0</v>
      </c>
      <c r="I207" s="4372" t="s">
        <v>618</v>
      </c>
      <c r="J207" s="4372" t="s">
        <v>618</v>
      </c>
      <c r="K207" s="4264" t="s">
        <v>618</v>
      </c>
      <c r="L207" s="4264" t="s">
        <v>618</v>
      </c>
      <c r="M207" s="4264" t="s">
        <v>618</v>
      </c>
      <c r="N207" s="4264" t="s">
        <v>618</v>
      </c>
      <c r="O207" s="4264" t="s">
        <v>618</v>
      </c>
    </row>
    <row r="208" spans="1:15" s="4259" customFormat="1">
      <c r="A208" s="5848"/>
      <c r="B208" s="5849"/>
      <c r="C208" s="4370" t="s">
        <v>1639</v>
      </c>
      <c r="D208" s="5848"/>
      <c r="E208" s="5115"/>
      <c r="F208" s="4371">
        <v>4</v>
      </c>
      <c r="G208" s="4372">
        <v>0</v>
      </c>
      <c r="H208" s="4373">
        <f t="shared" si="2"/>
        <v>0</v>
      </c>
      <c r="I208" s="4372" t="s">
        <v>618</v>
      </c>
      <c r="J208" s="4372" t="s">
        <v>618</v>
      </c>
      <c r="K208" s="4264" t="s">
        <v>618</v>
      </c>
      <c r="L208" s="4264" t="s">
        <v>618</v>
      </c>
      <c r="M208" s="4264" t="s">
        <v>618</v>
      </c>
      <c r="N208" s="4264" t="s">
        <v>618</v>
      </c>
      <c r="O208" s="4264" t="s">
        <v>618</v>
      </c>
    </row>
    <row r="209" spans="1:15" s="4259" customFormat="1">
      <c r="A209" s="5848"/>
      <c r="B209" s="5849"/>
      <c r="C209" s="4370" t="s">
        <v>1640</v>
      </c>
      <c r="D209" s="5848"/>
      <c r="E209" s="5115"/>
      <c r="F209" s="4371">
        <v>16</v>
      </c>
      <c r="G209" s="4372">
        <v>2</v>
      </c>
      <c r="H209" s="4373">
        <f t="shared" si="2"/>
        <v>12.5</v>
      </c>
      <c r="I209" s="4372">
        <v>100</v>
      </c>
      <c r="J209" s="4372">
        <v>0</v>
      </c>
      <c r="K209" s="4264">
        <v>0</v>
      </c>
      <c r="L209" s="4264">
        <v>50</v>
      </c>
      <c r="M209" s="4264">
        <v>50</v>
      </c>
      <c r="N209" s="4264">
        <v>0</v>
      </c>
      <c r="O209" s="4264">
        <v>0</v>
      </c>
    </row>
    <row r="210" spans="1:15" s="4259" customFormat="1">
      <c r="A210" s="5848"/>
      <c r="B210" s="5849"/>
      <c r="C210" s="4370" t="s">
        <v>1641</v>
      </c>
      <c r="D210" s="5848"/>
      <c r="E210" s="5115"/>
      <c r="F210" s="4371">
        <v>13</v>
      </c>
      <c r="G210" s="4372">
        <v>0</v>
      </c>
      <c r="H210" s="4373">
        <f t="shared" si="2"/>
        <v>0</v>
      </c>
      <c r="I210" s="4372" t="s">
        <v>618</v>
      </c>
      <c r="J210" s="4372" t="s">
        <v>618</v>
      </c>
      <c r="K210" s="4264" t="s">
        <v>618</v>
      </c>
      <c r="L210" s="4264" t="s">
        <v>618</v>
      </c>
      <c r="M210" s="4264" t="s">
        <v>618</v>
      </c>
      <c r="N210" s="4264" t="s">
        <v>618</v>
      </c>
      <c r="O210" s="4264" t="s">
        <v>618</v>
      </c>
    </row>
    <row r="211" spans="1:15" s="4259" customFormat="1" ht="15" customHeight="1">
      <c r="A211" s="5858" t="s">
        <v>25</v>
      </c>
      <c r="B211" s="5849" t="s">
        <v>2439</v>
      </c>
      <c r="C211" s="4370" t="s">
        <v>1817</v>
      </c>
      <c r="D211" s="4376" t="s">
        <v>265</v>
      </c>
      <c r="E211" s="5115"/>
      <c r="F211" s="4371">
        <v>2</v>
      </c>
      <c r="G211" s="4372">
        <v>0</v>
      </c>
      <c r="H211" s="4373">
        <f t="shared" si="2"/>
        <v>0</v>
      </c>
      <c r="I211" s="4372" t="s">
        <v>618</v>
      </c>
      <c r="J211" s="4372" t="s">
        <v>618</v>
      </c>
      <c r="K211" s="4264" t="s">
        <v>618</v>
      </c>
      <c r="L211" s="4264" t="s">
        <v>618</v>
      </c>
      <c r="M211" s="4264" t="s">
        <v>618</v>
      </c>
      <c r="N211" s="4264" t="s">
        <v>618</v>
      </c>
      <c r="O211" s="4264" t="s">
        <v>618</v>
      </c>
    </row>
    <row r="212" spans="1:15" s="4259" customFormat="1">
      <c r="A212" s="5859"/>
      <c r="B212" s="5849"/>
      <c r="C212" s="4370" t="s">
        <v>2454</v>
      </c>
      <c r="D212" s="5848" t="s">
        <v>247</v>
      </c>
      <c r="E212" s="5115"/>
      <c r="F212" s="4371">
        <v>78</v>
      </c>
      <c r="G212" s="4372">
        <v>27</v>
      </c>
      <c r="H212" s="4373">
        <f t="shared" si="2"/>
        <v>34.615384615384613</v>
      </c>
      <c r="I212" s="4372">
        <v>74.099999999999994</v>
      </c>
      <c r="J212" s="4372">
        <v>25.9</v>
      </c>
      <c r="K212" s="4264">
        <v>0</v>
      </c>
      <c r="L212" s="4264">
        <v>5</v>
      </c>
      <c r="M212" s="4264">
        <v>5</v>
      </c>
      <c r="N212" s="4264">
        <v>30</v>
      </c>
      <c r="O212" s="4264">
        <v>60</v>
      </c>
    </row>
    <row r="213" spans="1:15" s="4259" customFormat="1">
      <c r="A213" s="5859"/>
      <c r="B213" s="5849"/>
      <c r="C213" s="4370" t="s">
        <v>2455</v>
      </c>
      <c r="D213" s="5848"/>
      <c r="E213" s="5115"/>
      <c r="F213" s="4371">
        <v>159</v>
      </c>
      <c r="G213" s="4372">
        <v>71</v>
      </c>
      <c r="H213" s="4373">
        <f t="shared" si="2"/>
        <v>44.654088050314463</v>
      </c>
      <c r="I213" s="4372">
        <v>88.7</v>
      </c>
      <c r="J213" s="4372">
        <v>11.3</v>
      </c>
      <c r="K213" s="4264">
        <v>3.2</v>
      </c>
      <c r="L213" s="4264">
        <v>6.3</v>
      </c>
      <c r="M213" s="4264">
        <v>12.7</v>
      </c>
      <c r="N213" s="4264">
        <v>6.3</v>
      </c>
      <c r="O213" s="4264">
        <v>71.400000000000006</v>
      </c>
    </row>
    <row r="214" spans="1:15" s="4259" customFormat="1">
      <c r="A214" s="5859"/>
      <c r="B214" s="5849"/>
      <c r="C214" s="4370" t="s">
        <v>2456</v>
      </c>
      <c r="D214" s="5848"/>
      <c r="E214" s="5115"/>
      <c r="F214" s="4371">
        <v>58</v>
      </c>
      <c r="G214" s="4372">
        <v>9</v>
      </c>
      <c r="H214" s="4373">
        <f t="shared" si="2"/>
        <v>15.517241379310345</v>
      </c>
      <c r="I214" s="4372">
        <v>77.8</v>
      </c>
      <c r="J214" s="4372">
        <v>22.2</v>
      </c>
      <c r="K214" s="4264">
        <v>0</v>
      </c>
      <c r="L214" s="4264">
        <v>0</v>
      </c>
      <c r="M214" s="4264">
        <v>0</v>
      </c>
      <c r="N214" s="4264">
        <v>0</v>
      </c>
      <c r="O214" s="4264">
        <v>100</v>
      </c>
    </row>
    <row r="215" spans="1:15" s="4259" customFormat="1">
      <c r="A215" s="5859"/>
      <c r="B215" s="5849"/>
      <c r="C215" s="4370" t="s">
        <v>2457</v>
      </c>
      <c r="D215" s="5848"/>
      <c r="E215" s="5115"/>
      <c r="F215" s="4371">
        <v>112</v>
      </c>
      <c r="G215" s="4372">
        <v>45</v>
      </c>
      <c r="H215" s="4373">
        <f t="shared" si="2"/>
        <v>40.178571428571431</v>
      </c>
      <c r="I215" s="4372">
        <v>84.4</v>
      </c>
      <c r="J215" s="4372">
        <v>15.6</v>
      </c>
      <c r="K215" s="4264">
        <v>0</v>
      </c>
      <c r="L215" s="4264">
        <v>0</v>
      </c>
      <c r="M215" s="4264">
        <v>10.8</v>
      </c>
      <c r="N215" s="4264">
        <v>8.1</v>
      </c>
      <c r="O215" s="4264">
        <v>81.099999999999994</v>
      </c>
    </row>
    <row r="216" spans="1:15" s="4259" customFormat="1">
      <c r="A216" s="5859"/>
      <c r="B216" s="5849"/>
      <c r="C216" s="4370" t="s">
        <v>2458</v>
      </c>
      <c r="D216" s="5848"/>
      <c r="E216" s="5115"/>
      <c r="F216" s="4371">
        <v>36</v>
      </c>
      <c r="G216" s="4372">
        <v>25</v>
      </c>
      <c r="H216" s="4373">
        <f t="shared" si="2"/>
        <v>69.444444444444443</v>
      </c>
      <c r="I216" s="4372">
        <v>76</v>
      </c>
      <c r="J216" s="4372">
        <v>24</v>
      </c>
      <c r="K216" s="4264">
        <v>5.3</v>
      </c>
      <c r="L216" s="4264">
        <v>0</v>
      </c>
      <c r="M216" s="4264">
        <v>5.3</v>
      </c>
      <c r="N216" s="4264">
        <v>21.1</v>
      </c>
      <c r="O216" s="4264">
        <v>68.400000000000006</v>
      </c>
    </row>
    <row r="217" spans="1:15" s="4259" customFormat="1">
      <c r="A217" s="5859"/>
      <c r="B217" s="5849"/>
      <c r="C217" s="4370" t="s">
        <v>2464</v>
      </c>
      <c r="D217" s="5848"/>
      <c r="E217" s="5115"/>
      <c r="F217" s="4371">
        <v>1</v>
      </c>
      <c r="G217" s="4372">
        <v>0</v>
      </c>
      <c r="H217" s="4373">
        <f t="shared" si="2"/>
        <v>0</v>
      </c>
      <c r="I217" s="4372" t="s">
        <v>618</v>
      </c>
      <c r="J217" s="4372" t="s">
        <v>618</v>
      </c>
      <c r="K217" s="4264" t="s">
        <v>618</v>
      </c>
      <c r="L217" s="4264" t="s">
        <v>618</v>
      </c>
      <c r="M217" s="4264" t="s">
        <v>618</v>
      </c>
      <c r="N217" s="4264" t="s">
        <v>618</v>
      </c>
      <c r="O217" s="4264" t="s">
        <v>618</v>
      </c>
    </row>
    <row r="218" spans="1:15" s="4259" customFormat="1">
      <c r="A218" s="5859"/>
      <c r="B218" s="5849"/>
      <c r="C218" s="4370" t="s">
        <v>120</v>
      </c>
      <c r="D218" s="5848"/>
      <c r="E218" s="5115"/>
      <c r="F218" s="4371">
        <v>83</v>
      </c>
      <c r="G218" s="4372">
        <v>77</v>
      </c>
      <c r="H218" s="4373">
        <f t="shared" si="2"/>
        <v>92.771084337349393</v>
      </c>
      <c r="I218" s="4372">
        <v>53.2</v>
      </c>
      <c r="J218" s="4372">
        <v>46.8</v>
      </c>
      <c r="K218" s="4264">
        <v>11.1</v>
      </c>
      <c r="L218" s="4264">
        <v>4.4000000000000004</v>
      </c>
      <c r="M218" s="4264">
        <v>17.8</v>
      </c>
      <c r="N218" s="4264">
        <v>20</v>
      </c>
      <c r="O218" s="4264">
        <v>46.7</v>
      </c>
    </row>
    <row r="219" spans="1:15" s="4259" customFormat="1">
      <c r="A219" s="5859"/>
      <c r="B219" s="5849"/>
      <c r="C219" s="4370" t="s">
        <v>121</v>
      </c>
      <c r="D219" s="5848"/>
      <c r="E219" s="5115"/>
      <c r="F219" s="4371">
        <v>200</v>
      </c>
      <c r="G219" s="4372">
        <v>127</v>
      </c>
      <c r="H219" s="4373">
        <f t="shared" si="2"/>
        <v>63.5</v>
      </c>
      <c r="I219" s="4372">
        <v>77.2</v>
      </c>
      <c r="J219" s="4372">
        <v>22.8</v>
      </c>
      <c r="K219" s="4264">
        <v>4.0999999999999996</v>
      </c>
      <c r="L219" s="4264">
        <v>5.2</v>
      </c>
      <c r="M219" s="4264">
        <v>18.600000000000001</v>
      </c>
      <c r="N219" s="4264">
        <v>20.6</v>
      </c>
      <c r="O219" s="4264">
        <v>51.5</v>
      </c>
    </row>
    <row r="220" spans="1:15" s="4259" customFormat="1">
      <c r="A220" s="5859"/>
      <c r="B220" s="5849"/>
      <c r="C220" s="4370" t="s">
        <v>122</v>
      </c>
      <c r="D220" s="5848"/>
      <c r="E220" s="5115"/>
      <c r="F220" s="4371">
        <v>128</v>
      </c>
      <c r="G220" s="4372">
        <v>97</v>
      </c>
      <c r="H220" s="4373">
        <f t="shared" si="2"/>
        <v>75.78125</v>
      </c>
      <c r="I220" s="4372">
        <v>55.7</v>
      </c>
      <c r="J220" s="4372">
        <v>44.3</v>
      </c>
      <c r="K220" s="4264">
        <v>8.9</v>
      </c>
      <c r="L220" s="4264">
        <v>8.9</v>
      </c>
      <c r="M220" s="4264">
        <v>14.3</v>
      </c>
      <c r="N220" s="4264">
        <v>17.899999999999999</v>
      </c>
      <c r="O220" s="4264">
        <v>50</v>
      </c>
    </row>
    <row r="221" spans="1:15" s="4259" customFormat="1">
      <c r="A221" s="5859"/>
      <c r="B221" s="5849"/>
      <c r="C221" s="4370" t="s">
        <v>123</v>
      </c>
      <c r="D221" s="5848"/>
      <c r="E221" s="5115"/>
      <c r="F221" s="4371">
        <v>184</v>
      </c>
      <c r="G221" s="4372">
        <v>76</v>
      </c>
      <c r="H221" s="4373">
        <f t="shared" si="2"/>
        <v>41.304347826086953</v>
      </c>
      <c r="I221" s="4372">
        <v>63.2</v>
      </c>
      <c r="J221" s="4372">
        <v>36.799999999999997</v>
      </c>
      <c r="K221" s="4264">
        <v>2.1</v>
      </c>
      <c r="L221" s="4264">
        <v>8.3000000000000007</v>
      </c>
      <c r="M221" s="4264">
        <v>12.5</v>
      </c>
      <c r="N221" s="4264">
        <v>20.8</v>
      </c>
      <c r="O221" s="4264">
        <v>56.3</v>
      </c>
    </row>
    <row r="222" spans="1:15" s="4259" customFormat="1">
      <c r="A222" s="5859"/>
      <c r="B222" s="5849"/>
      <c r="C222" s="4370" t="s">
        <v>124</v>
      </c>
      <c r="D222" s="5848"/>
      <c r="E222" s="5115"/>
      <c r="F222" s="4371">
        <v>149</v>
      </c>
      <c r="G222" s="4372">
        <v>107</v>
      </c>
      <c r="H222" s="4373">
        <f t="shared" si="2"/>
        <v>71.812080536912745</v>
      </c>
      <c r="I222" s="4372">
        <v>72.900000000000006</v>
      </c>
      <c r="J222" s="4372">
        <v>27.1</v>
      </c>
      <c r="K222" s="4264">
        <v>6.4</v>
      </c>
      <c r="L222" s="4264">
        <v>3.8</v>
      </c>
      <c r="M222" s="4264">
        <v>16.7</v>
      </c>
      <c r="N222" s="4264">
        <v>21.8</v>
      </c>
      <c r="O222" s="4264">
        <v>51.3</v>
      </c>
    </row>
    <row r="223" spans="1:15" s="4259" customFormat="1">
      <c r="A223" s="5859"/>
      <c r="B223" s="5849"/>
      <c r="C223" s="4370" t="s">
        <v>281</v>
      </c>
      <c r="D223" s="5848"/>
      <c r="E223" s="5115"/>
      <c r="F223" s="4371">
        <v>17</v>
      </c>
      <c r="G223" s="4372">
        <v>10</v>
      </c>
      <c r="H223" s="4373">
        <f t="shared" si="2"/>
        <v>58.823529411764703</v>
      </c>
      <c r="I223" s="4372">
        <v>90</v>
      </c>
      <c r="J223" s="4372">
        <v>10</v>
      </c>
      <c r="K223" s="4264">
        <v>0</v>
      </c>
      <c r="L223" s="4264">
        <v>11.1</v>
      </c>
      <c r="M223" s="4264">
        <v>11.1</v>
      </c>
      <c r="N223" s="4264">
        <v>22.2</v>
      </c>
      <c r="O223" s="4264">
        <v>55.6</v>
      </c>
    </row>
    <row r="224" spans="1:15" s="4259" customFormat="1">
      <c r="A224" s="5859"/>
      <c r="B224" s="5849"/>
      <c r="C224" s="4370" t="s">
        <v>417</v>
      </c>
      <c r="D224" s="5848"/>
      <c r="E224" s="5115"/>
      <c r="F224" s="4371">
        <v>78</v>
      </c>
      <c r="G224" s="4372">
        <v>70</v>
      </c>
      <c r="H224" s="4373">
        <f t="shared" si="2"/>
        <v>89.743589743589737</v>
      </c>
      <c r="I224" s="4372">
        <v>74.3</v>
      </c>
      <c r="J224" s="4372">
        <v>25.7</v>
      </c>
      <c r="K224" s="4264">
        <v>0</v>
      </c>
      <c r="L224" s="4264">
        <v>5.8</v>
      </c>
      <c r="M224" s="4264">
        <v>13.5</v>
      </c>
      <c r="N224" s="4264">
        <v>25</v>
      </c>
      <c r="O224" s="4264">
        <v>55.8</v>
      </c>
    </row>
    <row r="225" spans="1:15" s="4259" customFormat="1">
      <c r="A225" s="5859"/>
      <c r="B225" s="5849"/>
      <c r="C225" s="4370" t="s">
        <v>795</v>
      </c>
      <c r="D225" s="5848"/>
      <c r="E225" s="5115"/>
      <c r="F225" s="4371">
        <v>58</v>
      </c>
      <c r="G225" s="4372">
        <v>40</v>
      </c>
      <c r="H225" s="4373">
        <f t="shared" si="2"/>
        <v>68.965517241379317</v>
      </c>
      <c r="I225" s="4372">
        <v>57.5</v>
      </c>
      <c r="J225" s="4372">
        <v>42.5</v>
      </c>
      <c r="K225" s="4264">
        <v>13</v>
      </c>
      <c r="L225" s="4264">
        <v>17.399999999999999</v>
      </c>
      <c r="M225" s="4264">
        <v>26.1</v>
      </c>
      <c r="N225" s="4264">
        <v>21.7</v>
      </c>
      <c r="O225" s="4264">
        <v>21.7</v>
      </c>
    </row>
    <row r="226" spans="1:15" s="4259" customFormat="1">
      <c r="A226" s="5859"/>
      <c r="B226" s="5849"/>
      <c r="C226" s="4370" t="s">
        <v>2464</v>
      </c>
      <c r="D226" s="5848" t="s">
        <v>248</v>
      </c>
      <c r="E226" s="5115"/>
      <c r="F226" s="4371">
        <v>302</v>
      </c>
      <c r="G226" s="4372">
        <v>180</v>
      </c>
      <c r="H226" s="4373">
        <f t="shared" si="2"/>
        <v>59.602649006622514</v>
      </c>
      <c r="I226" s="4372">
        <v>77.2</v>
      </c>
      <c r="J226" s="4372">
        <v>22.8</v>
      </c>
      <c r="K226" s="4264">
        <v>2.9</v>
      </c>
      <c r="L226" s="4264">
        <v>5.0999999999999996</v>
      </c>
      <c r="M226" s="4264">
        <v>8.8000000000000007</v>
      </c>
      <c r="N226" s="4264">
        <v>16.8</v>
      </c>
      <c r="O226" s="4264">
        <v>66.400000000000006</v>
      </c>
    </row>
    <row r="227" spans="1:15" s="4259" customFormat="1">
      <c r="A227" s="5859"/>
      <c r="B227" s="5849"/>
      <c r="C227" s="4370" t="s">
        <v>120</v>
      </c>
      <c r="D227" s="5848"/>
      <c r="E227" s="5115"/>
      <c r="F227" s="4371">
        <v>50</v>
      </c>
      <c r="G227" s="4372">
        <v>0</v>
      </c>
      <c r="H227" s="4373">
        <f t="shared" si="2"/>
        <v>0</v>
      </c>
      <c r="I227" s="4372" t="s">
        <v>618</v>
      </c>
      <c r="J227" s="4372" t="s">
        <v>618</v>
      </c>
      <c r="K227" s="4264" t="s">
        <v>618</v>
      </c>
      <c r="L227" s="4264" t="s">
        <v>618</v>
      </c>
      <c r="M227" s="4264" t="s">
        <v>618</v>
      </c>
      <c r="N227" s="4264" t="s">
        <v>618</v>
      </c>
      <c r="O227" s="4264" t="s">
        <v>618</v>
      </c>
    </row>
    <row r="228" spans="1:15" s="4259" customFormat="1">
      <c r="A228" s="5859"/>
      <c r="B228" s="5849"/>
      <c r="C228" s="4370" t="s">
        <v>121</v>
      </c>
      <c r="D228" s="5848"/>
      <c r="E228" s="5115"/>
      <c r="F228" s="4371">
        <v>65</v>
      </c>
      <c r="G228" s="4372">
        <v>10</v>
      </c>
      <c r="H228" s="4373">
        <f t="shared" si="2"/>
        <v>15.384615384615385</v>
      </c>
      <c r="I228" s="4372">
        <v>70</v>
      </c>
      <c r="J228" s="4372">
        <v>30</v>
      </c>
      <c r="K228" s="4264">
        <v>0</v>
      </c>
      <c r="L228" s="4264">
        <v>16.7</v>
      </c>
      <c r="M228" s="4264">
        <v>0</v>
      </c>
      <c r="N228" s="4264">
        <v>16.7</v>
      </c>
      <c r="O228" s="4264">
        <v>66.7</v>
      </c>
    </row>
    <row r="229" spans="1:15" s="4259" customFormat="1">
      <c r="A229" s="5859"/>
      <c r="B229" s="5849"/>
      <c r="C229" s="4370" t="s">
        <v>122</v>
      </c>
      <c r="D229" s="5848"/>
      <c r="E229" s="5115"/>
      <c r="F229" s="4371">
        <v>168</v>
      </c>
      <c r="G229" s="4372">
        <v>132</v>
      </c>
      <c r="H229" s="4373">
        <f t="shared" si="2"/>
        <v>78.571428571428569</v>
      </c>
      <c r="I229" s="4372">
        <v>84</v>
      </c>
      <c r="J229" s="4372">
        <v>16</v>
      </c>
      <c r="K229" s="4264">
        <v>2.7</v>
      </c>
      <c r="L229" s="4264">
        <v>0.9</v>
      </c>
      <c r="M229" s="4264">
        <v>6.2</v>
      </c>
      <c r="N229" s="4264">
        <v>20.399999999999999</v>
      </c>
      <c r="O229" s="4264">
        <v>69.900000000000006</v>
      </c>
    </row>
    <row r="230" spans="1:15" s="4259" customFormat="1">
      <c r="A230" s="5859"/>
      <c r="B230" s="5849"/>
      <c r="C230" s="4370" t="s">
        <v>123</v>
      </c>
      <c r="D230" s="5848"/>
      <c r="E230" s="5115"/>
      <c r="F230" s="4371">
        <v>80</v>
      </c>
      <c r="G230" s="4372">
        <v>32</v>
      </c>
      <c r="H230" s="4373">
        <f t="shared" si="2"/>
        <v>40</v>
      </c>
      <c r="I230" s="4372">
        <v>87.5</v>
      </c>
      <c r="J230" s="4372">
        <v>12.5</v>
      </c>
      <c r="K230" s="4264">
        <v>0</v>
      </c>
      <c r="L230" s="4264">
        <v>3.6</v>
      </c>
      <c r="M230" s="4264">
        <v>7.1</v>
      </c>
      <c r="N230" s="4264">
        <v>10.7</v>
      </c>
      <c r="O230" s="4264">
        <v>78.599999999999994</v>
      </c>
    </row>
    <row r="231" spans="1:15" s="4259" customFormat="1">
      <c r="A231" s="5859"/>
      <c r="B231" s="5849"/>
      <c r="C231" s="4370" t="s">
        <v>124</v>
      </c>
      <c r="D231" s="5848"/>
      <c r="E231" s="5115"/>
      <c r="F231" s="4371">
        <v>35</v>
      </c>
      <c r="G231" s="4372">
        <v>24</v>
      </c>
      <c r="H231" s="4373">
        <f t="shared" si="2"/>
        <v>68.571428571428569</v>
      </c>
      <c r="I231" s="4372">
        <v>100</v>
      </c>
      <c r="J231" s="4372">
        <v>0</v>
      </c>
      <c r="K231" s="4264">
        <v>0</v>
      </c>
      <c r="L231" s="4264">
        <v>0</v>
      </c>
      <c r="M231" s="4264">
        <v>4.2</v>
      </c>
      <c r="N231" s="4264">
        <v>25</v>
      </c>
      <c r="O231" s="4264">
        <v>70.8</v>
      </c>
    </row>
    <row r="232" spans="1:15" s="4259" customFormat="1">
      <c r="A232" s="5859"/>
      <c r="B232" s="5849"/>
      <c r="C232" s="4370" t="s">
        <v>417</v>
      </c>
      <c r="D232" s="5848"/>
      <c r="E232" s="5115"/>
      <c r="F232" s="4371">
        <v>10</v>
      </c>
      <c r="G232" s="4372">
        <v>7</v>
      </c>
      <c r="H232" s="4373">
        <f t="shared" si="2"/>
        <v>70</v>
      </c>
      <c r="I232" s="4372">
        <v>100</v>
      </c>
      <c r="J232" s="4372">
        <v>0</v>
      </c>
      <c r="K232" s="4264">
        <v>0</v>
      </c>
      <c r="L232" s="4264">
        <v>0</v>
      </c>
      <c r="M232" s="4264">
        <v>0</v>
      </c>
      <c r="N232" s="4264">
        <v>0</v>
      </c>
      <c r="O232" s="4264">
        <v>100</v>
      </c>
    </row>
    <row r="233" spans="1:15" s="4259" customFormat="1">
      <c r="A233" s="5859"/>
      <c r="B233" s="5849"/>
      <c r="C233" s="4370" t="s">
        <v>795</v>
      </c>
      <c r="D233" s="5848"/>
      <c r="E233" s="5115"/>
      <c r="F233" s="4371">
        <v>2</v>
      </c>
      <c r="G233" s="4372">
        <v>2</v>
      </c>
      <c r="H233" s="4373">
        <f t="shared" si="2"/>
        <v>100</v>
      </c>
      <c r="I233" s="4372">
        <v>50</v>
      </c>
      <c r="J233" s="4372">
        <v>50</v>
      </c>
      <c r="K233" s="4264">
        <v>0</v>
      </c>
      <c r="L233" s="4264">
        <v>0</v>
      </c>
      <c r="M233" s="4264">
        <v>0</v>
      </c>
      <c r="N233" s="4264">
        <v>50</v>
      </c>
      <c r="O233" s="4264">
        <v>50</v>
      </c>
    </row>
    <row r="234" spans="1:15" s="4259" customFormat="1" ht="15" customHeight="1">
      <c r="A234" s="5859"/>
      <c r="B234" s="5849" t="s">
        <v>2434</v>
      </c>
      <c r="C234" s="4370" t="s">
        <v>2466</v>
      </c>
      <c r="D234" s="5848" t="s">
        <v>265</v>
      </c>
      <c r="E234" s="5115"/>
      <c r="F234" s="4371">
        <v>6</v>
      </c>
      <c r="G234" s="4372">
        <v>0</v>
      </c>
      <c r="H234" s="4373">
        <f t="shared" ref="H234:H297" si="3">G234*100/F234</f>
        <v>0</v>
      </c>
      <c r="I234" s="4372" t="s">
        <v>618</v>
      </c>
      <c r="J234" s="4372" t="s">
        <v>618</v>
      </c>
      <c r="K234" s="4264" t="s">
        <v>618</v>
      </c>
      <c r="L234" s="4264" t="s">
        <v>618</v>
      </c>
      <c r="M234" s="4264" t="s">
        <v>618</v>
      </c>
      <c r="N234" s="4264" t="s">
        <v>618</v>
      </c>
      <c r="O234" s="4264" t="s">
        <v>618</v>
      </c>
    </row>
    <row r="235" spans="1:15" s="4259" customFormat="1">
      <c r="A235" s="5859"/>
      <c r="B235" s="5849"/>
      <c r="C235" s="4370" t="s">
        <v>2473</v>
      </c>
      <c r="D235" s="5848"/>
      <c r="E235" s="5115"/>
      <c r="F235" s="4371">
        <v>795</v>
      </c>
      <c r="G235" s="4372">
        <v>130</v>
      </c>
      <c r="H235" s="4373">
        <f t="shared" si="3"/>
        <v>16.352201257861637</v>
      </c>
      <c r="I235" s="4372">
        <v>90.8</v>
      </c>
      <c r="J235" s="4372">
        <v>9.1999999999999993</v>
      </c>
      <c r="K235" s="4264">
        <v>4.2</v>
      </c>
      <c r="L235" s="4264">
        <v>4.2</v>
      </c>
      <c r="M235" s="4264">
        <v>14.4</v>
      </c>
      <c r="N235" s="4264">
        <v>11</v>
      </c>
      <c r="O235" s="4264">
        <v>66.099999999999994</v>
      </c>
    </row>
    <row r="236" spans="1:15" s="4259" customFormat="1">
      <c r="A236" s="5859"/>
      <c r="B236" s="5849"/>
      <c r="C236" s="4370" t="s">
        <v>2466</v>
      </c>
      <c r="D236" s="5848" t="s">
        <v>247</v>
      </c>
      <c r="E236" s="5115"/>
      <c r="F236" s="4371">
        <v>80</v>
      </c>
      <c r="G236" s="4372">
        <v>22</v>
      </c>
      <c r="H236" s="4373">
        <f t="shared" si="3"/>
        <v>27.5</v>
      </c>
      <c r="I236" s="4372">
        <v>72.7</v>
      </c>
      <c r="J236" s="4372">
        <v>27.3</v>
      </c>
      <c r="K236" s="4264">
        <v>0</v>
      </c>
      <c r="L236" s="4264">
        <v>6.3</v>
      </c>
      <c r="M236" s="4264">
        <v>12.5</v>
      </c>
      <c r="N236" s="4264">
        <v>0</v>
      </c>
      <c r="O236" s="4264">
        <v>81.3</v>
      </c>
    </row>
    <row r="237" spans="1:15" s="4259" customFormat="1">
      <c r="A237" s="5859"/>
      <c r="B237" s="5849"/>
      <c r="C237" s="4370" t="s">
        <v>478</v>
      </c>
      <c r="D237" s="5848"/>
      <c r="E237" s="5115"/>
      <c r="F237" s="4371">
        <v>53</v>
      </c>
      <c r="G237" s="4372">
        <v>18</v>
      </c>
      <c r="H237" s="4373">
        <f t="shared" si="3"/>
        <v>33.962264150943398</v>
      </c>
      <c r="I237" s="4372">
        <v>88.9</v>
      </c>
      <c r="J237" s="4372">
        <v>11.1</v>
      </c>
      <c r="K237" s="4264">
        <v>0</v>
      </c>
      <c r="L237" s="4264">
        <v>0</v>
      </c>
      <c r="M237" s="4264">
        <v>18.8</v>
      </c>
      <c r="N237" s="4264">
        <v>6.3</v>
      </c>
      <c r="O237" s="4264">
        <v>75</v>
      </c>
    </row>
    <row r="238" spans="1:15" s="4259" customFormat="1">
      <c r="A238" s="5859"/>
      <c r="B238" s="5849"/>
      <c r="C238" s="4370" t="s">
        <v>2467</v>
      </c>
      <c r="D238" s="5848"/>
      <c r="E238" s="5115"/>
      <c r="F238" s="4371">
        <v>38</v>
      </c>
      <c r="G238" s="4372">
        <v>10</v>
      </c>
      <c r="H238" s="4373">
        <f t="shared" si="3"/>
        <v>26.315789473684209</v>
      </c>
      <c r="I238" s="4372">
        <v>90</v>
      </c>
      <c r="J238" s="4372">
        <v>10</v>
      </c>
      <c r="K238" s="4264">
        <v>11.1</v>
      </c>
      <c r="L238" s="4264">
        <v>0</v>
      </c>
      <c r="M238" s="4264">
        <v>22.2</v>
      </c>
      <c r="N238" s="4264">
        <v>0</v>
      </c>
      <c r="O238" s="4264">
        <v>66.7</v>
      </c>
    </row>
    <row r="239" spans="1:15" s="4259" customFormat="1">
      <c r="A239" s="5859"/>
      <c r="B239" s="5849"/>
      <c r="C239" s="4370" t="s">
        <v>2473</v>
      </c>
      <c r="D239" s="5848"/>
      <c r="E239" s="5115"/>
      <c r="F239" s="4371">
        <v>273</v>
      </c>
      <c r="G239" s="4372">
        <v>199</v>
      </c>
      <c r="H239" s="4373">
        <f t="shared" si="3"/>
        <v>72.893772893772891</v>
      </c>
      <c r="I239" s="4372">
        <v>75.900000000000006</v>
      </c>
      <c r="J239" s="4372">
        <v>24.1</v>
      </c>
      <c r="K239" s="4264">
        <v>1.3</v>
      </c>
      <c r="L239" s="4264">
        <v>1.3</v>
      </c>
      <c r="M239" s="4264">
        <v>6.7</v>
      </c>
      <c r="N239" s="4264">
        <v>24.7</v>
      </c>
      <c r="O239" s="4264">
        <v>66</v>
      </c>
    </row>
    <row r="240" spans="1:15" s="4259" customFormat="1">
      <c r="A240" s="5859"/>
      <c r="B240" s="5849"/>
      <c r="C240" s="4370" t="s">
        <v>2474</v>
      </c>
      <c r="D240" s="5848"/>
      <c r="E240" s="5115"/>
      <c r="F240" s="4371">
        <v>173</v>
      </c>
      <c r="G240" s="4372">
        <v>85</v>
      </c>
      <c r="H240" s="4373">
        <f t="shared" si="3"/>
        <v>49.132947976878611</v>
      </c>
      <c r="I240" s="4372">
        <v>78.599999999999994</v>
      </c>
      <c r="J240" s="4372">
        <v>21.4</v>
      </c>
      <c r="K240" s="4264">
        <v>1.5</v>
      </c>
      <c r="L240" s="4264">
        <v>6</v>
      </c>
      <c r="M240" s="4264">
        <v>14.9</v>
      </c>
      <c r="N240" s="4264">
        <v>19.399999999999999</v>
      </c>
      <c r="O240" s="4264">
        <v>58.2</v>
      </c>
    </row>
    <row r="241" spans="1:15" s="4259" customFormat="1">
      <c r="A241" s="5859"/>
      <c r="B241" s="5849"/>
      <c r="C241" s="4370" t="s">
        <v>2475</v>
      </c>
      <c r="D241" s="5848"/>
      <c r="E241" s="5115"/>
      <c r="F241" s="4371">
        <v>427</v>
      </c>
      <c r="G241" s="4372">
        <v>282</v>
      </c>
      <c r="H241" s="4373">
        <f t="shared" si="3"/>
        <v>66.042154566744728</v>
      </c>
      <c r="I241" s="4372">
        <v>72.599999999999994</v>
      </c>
      <c r="J241" s="4372">
        <v>27.4</v>
      </c>
      <c r="K241" s="4264">
        <v>1.9</v>
      </c>
      <c r="L241" s="4264">
        <v>6.8</v>
      </c>
      <c r="M241" s="4264">
        <v>19.399999999999999</v>
      </c>
      <c r="N241" s="4264">
        <v>27.2</v>
      </c>
      <c r="O241" s="4264">
        <v>44.7</v>
      </c>
    </row>
    <row r="242" spans="1:15" s="4259" customFormat="1">
      <c r="A242" s="5859"/>
      <c r="B242" s="5849"/>
      <c r="C242" s="4370" t="s">
        <v>2476</v>
      </c>
      <c r="D242" s="5848"/>
      <c r="E242" s="5115"/>
      <c r="F242" s="4371">
        <v>237</v>
      </c>
      <c r="G242" s="4372">
        <v>165</v>
      </c>
      <c r="H242" s="4373">
        <f t="shared" si="3"/>
        <v>69.620253164556956</v>
      </c>
      <c r="I242" s="4372">
        <v>71.5</v>
      </c>
      <c r="J242" s="4372">
        <v>28.5</v>
      </c>
      <c r="K242" s="4264">
        <v>5.9</v>
      </c>
      <c r="L242" s="4264">
        <v>4.2</v>
      </c>
      <c r="M242" s="4264">
        <v>11</v>
      </c>
      <c r="N242" s="4264">
        <v>18.600000000000001</v>
      </c>
      <c r="O242" s="4264">
        <v>60.2</v>
      </c>
    </row>
    <row r="243" spans="1:15" s="4259" customFormat="1">
      <c r="A243" s="5859"/>
      <c r="B243" s="5849"/>
      <c r="C243" s="4370" t="s">
        <v>2490</v>
      </c>
      <c r="D243" s="5848"/>
      <c r="E243" s="5115"/>
      <c r="F243" s="4371">
        <v>100</v>
      </c>
      <c r="G243" s="4372">
        <v>45</v>
      </c>
      <c r="H243" s="4373">
        <f t="shared" si="3"/>
        <v>45</v>
      </c>
      <c r="I243" s="4372">
        <v>22.2</v>
      </c>
      <c r="J243" s="4372">
        <v>77.8</v>
      </c>
      <c r="K243" s="4264">
        <v>0</v>
      </c>
      <c r="L243" s="4264">
        <v>0</v>
      </c>
      <c r="M243" s="4264">
        <v>10</v>
      </c>
      <c r="N243" s="4264">
        <v>30</v>
      </c>
      <c r="O243" s="4264">
        <v>60</v>
      </c>
    </row>
    <row r="244" spans="1:15" s="4259" customFormat="1">
      <c r="A244" s="5859"/>
      <c r="B244" s="5849"/>
      <c r="C244" s="4370" t="s">
        <v>2278</v>
      </c>
      <c r="D244" s="5848"/>
      <c r="E244" s="5115"/>
      <c r="F244" s="4371">
        <v>2</v>
      </c>
      <c r="G244" s="4372">
        <v>0</v>
      </c>
      <c r="H244" s="4373">
        <f t="shared" si="3"/>
        <v>0</v>
      </c>
      <c r="I244" s="4372" t="s">
        <v>618</v>
      </c>
      <c r="J244" s="4372" t="s">
        <v>618</v>
      </c>
      <c r="K244" s="4264" t="s">
        <v>618</v>
      </c>
      <c r="L244" s="4264" t="s">
        <v>618</v>
      </c>
      <c r="M244" s="4264" t="s">
        <v>618</v>
      </c>
      <c r="N244" s="4264" t="s">
        <v>618</v>
      </c>
      <c r="O244" s="4264" t="s">
        <v>618</v>
      </c>
    </row>
    <row r="245" spans="1:15" s="4259" customFormat="1">
      <c r="A245" s="5859"/>
      <c r="B245" s="5849"/>
      <c r="C245" s="4370" t="s">
        <v>280</v>
      </c>
      <c r="D245" s="5848" t="s">
        <v>248</v>
      </c>
      <c r="E245" s="5115"/>
      <c r="F245" s="4371">
        <v>19</v>
      </c>
      <c r="G245" s="4372">
        <v>4</v>
      </c>
      <c r="H245" s="4373">
        <f t="shared" si="3"/>
        <v>21.05263157894737</v>
      </c>
      <c r="I245" s="4372">
        <v>25</v>
      </c>
      <c r="J245" s="4372">
        <v>75</v>
      </c>
      <c r="K245" s="4264">
        <v>0</v>
      </c>
      <c r="L245" s="4264">
        <v>0</v>
      </c>
      <c r="M245" s="4264">
        <v>100</v>
      </c>
      <c r="N245" s="4264">
        <v>0</v>
      </c>
      <c r="O245" s="4264">
        <v>0</v>
      </c>
    </row>
    <row r="246" spans="1:15" s="4259" customFormat="1">
      <c r="A246" s="5859"/>
      <c r="B246" s="5849"/>
      <c r="C246" s="4370" t="s">
        <v>2473</v>
      </c>
      <c r="D246" s="5848"/>
      <c r="E246" s="5115"/>
      <c r="F246" s="4371">
        <v>208</v>
      </c>
      <c r="G246" s="4372">
        <v>123</v>
      </c>
      <c r="H246" s="4373">
        <f t="shared" si="3"/>
        <v>59.134615384615387</v>
      </c>
      <c r="I246" s="4372">
        <v>92.6</v>
      </c>
      <c r="J246" s="4372">
        <v>7.4</v>
      </c>
      <c r="K246" s="4264">
        <v>0</v>
      </c>
      <c r="L246" s="4264">
        <v>0.9</v>
      </c>
      <c r="M246" s="4264">
        <v>4.4000000000000004</v>
      </c>
      <c r="N246" s="4264">
        <v>21.2</v>
      </c>
      <c r="O246" s="4264">
        <v>73.5</v>
      </c>
    </row>
    <row r="247" spans="1:15" s="4259" customFormat="1">
      <c r="A247" s="5859"/>
      <c r="B247" s="5849"/>
      <c r="C247" s="4370" t="s">
        <v>2474</v>
      </c>
      <c r="D247" s="5848"/>
      <c r="E247" s="5115"/>
      <c r="F247" s="4371">
        <v>240</v>
      </c>
      <c r="G247" s="4372">
        <v>108</v>
      </c>
      <c r="H247" s="4373">
        <f t="shared" si="3"/>
        <v>45</v>
      </c>
      <c r="I247" s="4372">
        <v>98.1</v>
      </c>
      <c r="J247" s="4372">
        <v>1.9</v>
      </c>
      <c r="K247" s="4264">
        <v>1</v>
      </c>
      <c r="L247" s="4264">
        <v>1.9</v>
      </c>
      <c r="M247" s="4264">
        <v>6.8</v>
      </c>
      <c r="N247" s="4264">
        <v>21.4</v>
      </c>
      <c r="O247" s="4264">
        <v>68.900000000000006</v>
      </c>
    </row>
    <row r="248" spans="1:15" s="4259" customFormat="1">
      <c r="A248" s="5859"/>
      <c r="B248" s="5849"/>
      <c r="C248" s="4370" t="s">
        <v>2475</v>
      </c>
      <c r="D248" s="5848"/>
      <c r="E248" s="5115"/>
      <c r="F248" s="4371">
        <v>245</v>
      </c>
      <c r="G248" s="4372">
        <v>163</v>
      </c>
      <c r="H248" s="4373">
        <f t="shared" si="3"/>
        <v>66.530612244897952</v>
      </c>
      <c r="I248" s="4372">
        <v>88.3</v>
      </c>
      <c r="J248" s="4372">
        <v>11.7</v>
      </c>
      <c r="K248" s="4264">
        <v>1.4</v>
      </c>
      <c r="L248" s="4264">
        <v>3.4</v>
      </c>
      <c r="M248" s="4264">
        <v>11.6</v>
      </c>
      <c r="N248" s="4264">
        <v>21.1</v>
      </c>
      <c r="O248" s="4264">
        <v>62.6</v>
      </c>
    </row>
    <row r="249" spans="1:15" s="4259" customFormat="1">
      <c r="A249" s="5859"/>
      <c r="B249" s="5849"/>
      <c r="C249" s="4370" t="s">
        <v>2476</v>
      </c>
      <c r="D249" s="5848"/>
      <c r="E249" s="5115"/>
      <c r="F249" s="4371">
        <v>161</v>
      </c>
      <c r="G249" s="4372">
        <v>25</v>
      </c>
      <c r="H249" s="4373">
        <f t="shared" si="3"/>
        <v>15.527950310559007</v>
      </c>
      <c r="I249" s="4372">
        <v>88</v>
      </c>
      <c r="J249" s="4372">
        <v>12</v>
      </c>
      <c r="K249" s="4264">
        <v>0</v>
      </c>
      <c r="L249" s="4264">
        <v>4.5</v>
      </c>
      <c r="M249" s="4264">
        <v>13.6</v>
      </c>
      <c r="N249" s="4264">
        <v>9.1</v>
      </c>
      <c r="O249" s="4264">
        <v>72.7</v>
      </c>
    </row>
    <row r="250" spans="1:15" s="4259" customFormat="1">
      <c r="A250" s="5859"/>
      <c r="B250" s="5849"/>
      <c r="C250" s="4370" t="s">
        <v>2490</v>
      </c>
      <c r="D250" s="5848"/>
      <c r="E250" s="5115"/>
      <c r="F250" s="4371">
        <v>41</v>
      </c>
      <c r="G250" s="4372">
        <v>24</v>
      </c>
      <c r="H250" s="4373">
        <f t="shared" si="3"/>
        <v>58.536585365853661</v>
      </c>
      <c r="I250" s="4372">
        <v>79.2</v>
      </c>
      <c r="J250" s="4372">
        <v>20.8</v>
      </c>
      <c r="K250" s="4264">
        <v>0</v>
      </c>
      <c r="L250" s="4264">
        <v>5.3</v>
      </c>
      <c r="M250" s="4264">
        <v>5.3</v>
      </c>
      <c r="N250" s="4264">
        <v>31.6</v>
      </c>
      <c r="O250" s="4264">
        <v>57.9</v>
      </c>
    </row>
    <row r="251" spans="1:15" s="4259" customFormat="1" ht="15" customHeight="1">
      <c r="A251" s="5859"/>
      <c r="B251" s="5849" t="s">
        <v>2436</v>
      </c>
      <c r="C251" s="4370" t="s">
        <v>292</v>
      </c>
      <c r="D251" s="5848" t="s">
        <v>265</v>
      </c>
      <c r="E251" s="5115"/>
      <c r="F251" s="4371">
        <v>224</v>
      </c>
      <c r="G251" s="4372">
        <v>54</v>
      </c>
      <c r="H251" s="4373">
        <f t="shared" si="3"/>
        <v>24.107142857142858</v>
      </c>
      <c r="I251" s="4372">
        <v>66.7</v>
      </c>
      <c r="J251" s="4372">
        <v>33.299999999999997</v>
      </c>
      <c r="K251" s="4264">
        <v>8.3000000000000007</v>
      </c>
      <c r="L251" s="4264">
        <v>13.9</v>
      </c>
      <c r="M251" s="4264">
        <v>8.3000000000000007</v>
      </c>
      <c r="N251" s="4264">
        <v>0</v>
      </c>
      <c r="O251" s="4264">
        <v>69.400000000000006</v>
      </c>
    </row>
    <row r="252" spans="1:15" s="4259" customFormat="1">
      <c r="A252" s="5859"/>
      <c r="B252" s="5849"/>
      <c r="C252" s="4370" t="s">
        <v>293</v>
      </c>
      <c r="D252" s="5848"/>
      <c r="E252" s="5115"/>
      <c r="F252" s="4371">
        <v>106</v>
      </c>
      <c r="G252" s="4372">
        <v>32</v>
      </c>
      <c r="H252" s="4373">
        <f t="shared" si="3"/>
        <v>30.188679245283019</v>
      </c>
      <c r="I252" s="4372">
        <v>87.5</v>
      </c>
      <c r="J252" s="4372">
        <v>12.5</v>
      </c>
      <c r="K252" s="4264">
        <v>0</v>
      </c>
      <c r="L252" s="4264">
        <v>7.1</v>
      </c>
      <c r="M252" s="4264">
        <v>14.3</v>
      </c>
      <c r="N252" s="4264">
        <v>0</v>
      </c>
      <c r="O252" s="4264">
        <v>78.599999999999994</v>
      </c>
    </row>
    <row r="253" spans="1:15" s="4259" customFormat="1">
      <c r="A253" s="5859"/>
      <c r="B253" s="5849"/>
      <c r="C253" s="4370" t="s">
        <v>2322</v>
      </c>
      <c r="D253" s="5848" t="s">
        <v>247</v>
      </c>
      <c r="E253" s="5115"/>
      <c r="F253" s="4371">
        <v>89</v>
      </c>
      <c r="G253" s="4372">
        <v>55</v>
      </c>
      <c r="H253" s="4373">
        <f t="shared" si="3"/>
        <v>61.797752808988761</v>
      </c>
      <c r="I253" s="4372">
        <v>87.3</v>
      </c>
      <c r="J253" s="4372">
        <v>12.7</v>
      </c>
      <c r="K253" s="4264">
        <v>6.3</v>
      </c>
      <c r="L253" s="4264">
        <v>6.3</v>
      </c>
      <c r="M253" s="4264">
        <v>10.4</v>
      </c>
      <c r="N253" s="4264">
        <v>18.8</v>
      </c>
      <c r="O253" s="4264">
        <v>58.3</v>
      </c>
    </row>
    <row r="254" spans="1:15" s="4259" customFormat="1">
      <c r="A254" s="5859"/>
      <c r="B254" s="5849"/>
      <c r="C254" s="4370" t="s">
        <v>2478</v>
      </c>
      <c r="D254" s="5848"/>
      <c r="E254" s="5115"/>
      <c r="F254" s="4371">
        <v>119</v>
      </c>
      <c r="G254" s="4372">
        <v>48</v>
      </c>
      <c r="H254" s="4373">
        <f t="shared" si="3"/>
        <v>40.336134453781511</v>
      </c>
      <c r="I254" s="4372">
        <v>64.599999999999994</v>
      </c>
      <c r="J254" s="4372">
        <v>35.4</v>
      </c>
      <c r="K254" s="4264">
        <v>3.3</v>
      </c>
      <c r="L254" s="4264">
        <v>6.7</v>
      </c>
      <c r="M254" s="4264">
        <v>33.299999999999997</v>
      </c>
      <c r="N254" s="4264">
        <v>6.7</v>
      </c>
      <c r="O254" s="4264">
        <v>50</v>
      </c>
    </row>
    <row r="255" spans="1:15" s="4259" customFormat="1">
      <c r="A255" s="5859"/>
      <c r="B255" s="5849"/>
      <c r="C255" s="4370" t="s">
        <v>2479</v>
      </c>
      <c r="D255" s="5848"/>
      <c r="E255" s="5115"/>
      <c r="F255" s="4371">
        <v>22</v>
      </c>
      <c r="G255" s="4372">
        <v>7</v>
      </c>
      <c r="H255" s="4373">
        <f t="shared" si="3"/>
        <v>31.818181818181817</v>
      </c>
      <c r="I255" s="4372">
        <v>85.7</v>
      </c>
      <c r="J255" s="4372">
        <v>14.3</v>
      </c>
      <c r="K255" s="4264">
        <v>16.7</v>
      </c>
      <c r="L255" s="4264">
        <v>0</v>
      </c>
      <c r="M255" s="4264">
        <v>0</v>
      </c>
      <c r="N255" s="4264">
        <v>16.7</v>
      </c>
      <c r="O255" s="4264">
        <v>66.7</v>
      </c>
    </row>
    <row r="256" spans="1:15" s="4259" customFormat="1">
      <c r="A256" s="5859"/>
      <c r="B256" s="5849"/>
      <c r="C256" s="4370" t="s">
        <v>129</v>
      </c>
      <c r="D256" s="5848"/>
      <c r="E256" s="5115"/>
      <c r="F256" s="4371">
        <v>362</v>
      </c>
      <c r="G256" s="4372">
        <v>265</v>
      </c>
      <c r="H256" s="4373">
        <f t="shared" si="3"/>
        <v>73.204419889502759</v>
      </c>
      <c r="I256" s="4372">
        <v>64.5</v>
      </c>
      <c r="J256" s="4372">
        <v>35.5</v>
      </c>
      <c r="K256" s="4264">
        <v>1.8</v>
      </c>
      <c r="L256" s="4264">
        <v>3</v>
      </c>
      <c r="M256" s="4264">
        <v>10.8</v>
      </c>
      <c r="N256" s="4264">
        <v>13.9</v>
      </c>
      <c r="O256" s="4264">
        <v>70.5</v>
      </c>
    </row>
    <row r="257" spans="1:15" s="4259" customFormat="1">
      <c r="A257" s="5859"/>
      <c r="B257" s="5849"/>
      <c r="C257" s="4370" t="s">
        <v>130</v>
      </c>
      <c r="D257" s="5848"/>
      <c r="E257" s="5115"/>
      <c r="F257" s="4371">
        <v>228</v>
      </c>
      <c r="G257" s="4372">
        <v>106</v>
      </c>
      <c r="H257" s="4373">
        <f t="shared" si="3"/>
        <v>46.491228070175438</v>
      </c>
      <c r="I257" s="4372">
        <v>51.9</v>
      </c>
      <c r="J257" s="4372">
        <v>48.1</v>
      </c>
      <c r="K257" s="4264">
        <v>1.8</v>
      </c>
      <c r="L257" s="4264">
        <v>10.9</v>
      </c>
      <c r="M257" s="4264">
        <v>3.6</v>
      </c>
      <c r="N257" s="4264">
        <v>10.9</v>
      </c>
      <c r="O257" s="4264">
        <v>72.7</v>
      </c>
    </row>
    <row r="258" spans="1:15" s="4259" customFormat="1">
      <c r="A258" s="5859"/>
      <c r="B258" s="5849"/>
      <c r="C258" s="4370" t="s">
        <v>295</v>
      </c>
      <c r="D258" s="5848"/>
      <c r="E258" s="5115"/>
      <c r="F258" s="4371">
        <v>188</v>
      </c>
      <c r="G258" s="4372">
        <v>105</v>
      </c>
      <c r="H258" s="4373">
        <f t="shared" si="3"/>
        <v>55.851063829787236</v>
      </c>
      <c r="I258" s="4372">
        <v>61.5</v>
      </c>
      <c r="J258" s="4372">
        <v>38.5</v>
      </c>
      <c r="K258" s="4264">
        <v>11.6</v>
      </c>
      <c r="L258" s="4264">
        <v>5.8</v>
      </c>
      <c r="M258" s="4264">
        <v>13</v>
      </c>
      <c r="N258" s="4264">
        <v>17.399999999999999</v>
      </c>
      <c r="O258" s="4264">
        <v>52.2</v>
      </c>
    </row>
    <row r="259" spans="1:15" s="4259" customFormat="1">
      <c r="A259" s="5859"/>
      <c r="B259" s="5849"/>
      <c r="C259" s="4370" t="s">
        <v>129</v>
      </c>
      <c r="D259" s="5848" t="s">
        <v>248</v>
      </c>
      <c r="E259" s="5115"/>
      <c r="F259" s="4371">
        <v>227</v>
      </c>
      <c r="G259" s="4372">
        <v>175</v>
      </c>
      <c r="H259" s="4373">
        <f t="shared" si="3"/>
        <v>77.092511013215855</v>
      </c>
      <c r="I259" s="4372">
        <v>84</v>
      </c>
      <c r="J259" s="4372">
        <v>16</v>
      </c>
      <c r="K259" s="4264">
        <v>1.3</v>
      </c>
      <c r="L259" s="4264">
        <v>2.7</v>
      </c>
      <c r="M259" s="4264">
        <v>10.1</v>
      </c>
      <c r="N259" s="4264">
        <v>16.100000000000001</v>
      </c>
      <c r="O259" s="4264">
        <v>69.8</v>
      </c>
    </row>
    <row r="260" spans="1:15" s="4259" customFormat="1">
      <c r="A260" s="5859"/>
      <c r="B260" s="5849"/>
      <c r="C260" s="4370" t="s">
        <v>130</v>
      </c>
      <c r="D260" s="5848"/>
      <c r="E260" s="5115"/>
      <c r="F260" s="4371">
        <v>114</v>
      </c>
      <c r="G260" s="4372">
        <v>82</v>
      </c>
      <c r="H260" s="4373">
        <f t="shared" si="3"/>
        <v>71.929824561403507</v>
      </c>
      <c r="I260" s="4372">
        <v>87.8</v>
      </c>
      <c r="J260" s="4372">
        <v>12.2</v>
      </c>
      <c r="K260" s="4264">
        <v>2.9</v>
      </c>
      <c r="L260" s="4264">
        <v>1.4</v>
      </c>
      <c r="M260" s="4264">
        <v>7.1</v>
      </c>
      <c r="N260" s="4264">
        <v>21.4</v>
      </c>
      <c r="O260" s="4264">
        <v>67.099999999999994</v>
      </c>
    </row>
    <row r="261" spans="1:15" s="4259" customFormat="1">
      <c r="A261" s="5860"/>
      <c r="B261" s="5849"/>
      <c r="C261" s="4370" t="s">
        <v>410</v>
      </c>
      <c r="D261" s="5848"/>
      <c r="E261" s="5115"/>
      <c r="F261" s="4371">
        <v>399</v>
      </c>
      <c r="G261" s="4372">
        <v>190</v>
      </c>
      <c r="H261" s="4373">
        <f t="shared" si="3"/>
        <v>47.61904761904762</v>
      </c>
      <c r="I261" s="4372">
        <v>98.1</v>
      </c>
      <c r="J261" s="4372">
        <v>1.9</v>
      </c>
      <c r="K261" s="4264">
        <v>0</v>
      </c>
      <c r="L261" s="4264">
        <v>0</v>
      </c>
      <c r="M261" s="4264">
        <v>2.9</v>
      </c>
      <c r="N261" s="4264">
        <v>6.7</v>
      </c>
      <c r="O261" s="4264">
        <v>90.4</v>
      </c>
    </row>
    <row r="262" spans="1:15" s="4259" customFormat="1" ht="15" customHeight="1">
      <c r="A262" s="5858" t="s">
        <v>48</v>
      </c>
      <c r="B262" s="5849" t="s">
        <v>2434</v>
      </c>
      <c r="C262" s="4370" t="s">
        <v>2486</v>
      </c>
      <c r="D262" s="5848" t="s">
        <v>265</v>
      </c>
      <c r="E262" s="5115"/>
      <c r="F262" s="4371">
        <v>154</v>
      </c>
      <c r="G262" s="4372">
        <v>78</v>
      </c>
      <c r="H262" s="4373">
        <f t="shared" si="3"/>
        <v>50.649350649350652</v>
      </c>
      <c r="I262" s="4372">
        <v>80.8</v>
      </c>
      <c r="J262" s="4372">
        <v>19.2</v>
      </c>
      <c r="K262" s="4264">
        <v>0</v>
      </c>
      <c r="L262" s="4264">
        <v>1.6</v>
      </c>
      <c r="M262" s="4264">
        <v>4.7</v>
      </c>
      <c r="N262" s="4264">
        <v>10.9</v>
      </c>
      <c r="O262" s="4264">
        <v>82.8</v>
      </c>
    </row>
    <row r="263" spans="1:15" s="4259" customFormat="1">
      <c r="A263" s="5859"/>
      <c r="B263" s="5849"/>
      <c r="C263" s="4370" t="s">
        <v>2491</v>
      </c>
      <c r="D263" s="5848"/>
      <c r="E263" s="5115"/>
      <c r="F263" s="4371">
        <v>272</v>
      </c>
      <c r="G263" s="4372">
        <v>129</v>
      </c>
      <c r="H263" s="4373">
        <f t="shared" si="3"/>
        <v>47.426470588235297</v>
      </c>
      <c r="I263" s="4372">
        <v>76.7</v>
      </c>
      <c r="J263" s="4372">
        <v>23.3</v>
      </c>
      <c r="K263" s="4264">
        <v>2</v>
      </c>
      <c r="L263" s="4264">
        <v>4.0999999999999996</v>
      </c>
      <c r="M263" s="4264">
        <v>7.1</v>
      </c>
      <c r="N263" s="4264">
        <v>10.199999999999999</v>
      </c>
      <c r="O263" s="4264">
        <v>76.5</v>
      </c>
    </row>
    <row r="264" spans="1:15" s="4259" customFormat="1">
      <c r="A264" s="5859"/>
      <c r="B264" s="5849"/>
      <c r="C264" s="4370" t="s">
        <v>299</v>
      </c>
      <c r="D264" s="5848"/>
      <c r="E264" s="5115"/>
      <c r="F264" s="4371">
        <v>16</v>
      </c>
      <c r="G264" s="4372">
        <v>0</v>
      </c>
      <c r="H264" s="4373">
        <f t="shared" si="3"/>
        <v>0</v>
      </c>
      <c r="I264" s="4372" t="s">
        <v>618</v>
      </c>
      <c r="J264" s="4372" t="s">
        <v>618</v>
      </c>
      <c r="K264" s="4264" t="s">
        <v>618</v>
      </c>
      <c r="L264" s="4264" t="s">
        <v>618</v>
      </c>
      <c r="M264" s="4264" t="s">
        <v>618</v>
      </c>
      <c r="N264" s="4264" t="s">
        <v>618</v>
      </c>
      <c r="O264" s="4264" t="s">
        <v>618</v>
      </c>
    </row>
    <row r="265" spans="1:15" s="4259" customFormat="1">
      <c r="A265" s="5859"/>
      <c r="B265" s="5849"/>
      <c r="C265" s="4370" t="s">
        <v>2484</v>
      </c>
      <c r="D265" s="5848" t="s">
        <v>247</v>
      </c>
      <c r="E265" s="5115"/>
      <c r="F265" s="4371">
        <v>86</v>
      </c>
      <c r="G265" s="4372">
        <v>22</v>
      </c>
      <c r="H265" s="4373">
        <f t="shared" si="3"/>
        <v>25.581395348837209</v>
      </c>
      <c r="I265" s="4372">
        <v>81.8</v>
      </c>
      <c r="J265" s="4372">
        <v>18.2</v>
      </c>
      <c r="K265" s="4264">
        <v>0</v>
      </c>
      <c r="L265" s="4264">
        <v>5.9</v>
      </c>
      <c r="M265" s="4264">
        <v>11.8</v>
      </c>
      <c r="N265" s="4264">
        <v>5.9</v>
      </c>
      <c r="O265" s="4264">
        <v>76.5</v>
      </c>
    </row>
    <row r="266" spans="1:15" s="4259" customFormat="1">
      <c r="A266" s="5859"/>
      <c r="B266" s="5849"/>
      <c r="C266" s="4370" t="s">
        <v>485</v>
      </c>
      <c r="D266" s="5848"/>
      <c r="E266" s="5115"/>
      <c r="F266" s="4371">
        <v>115</v>
      </c>
      <c r="G266" s="4372">
        <v>37</v>
      </c>
      <c r="H266" s="4373">
        <f t="shared" si="3"/>
        <v>32.173913043478258</v>
      </c>
      <c r="I266" s="4372">
        <v>78.400000000000006</v>
      </c>
      <c r="J266" s="4372">
        <v>21.6</v>
      </c>
      <c r="K266" s="4264">
        <v>6.9</v>
      </c>
      <c r="L266" s="4264">
        <v>0</v>
      </c>
      <c r="M266" s="4264">
        <v>6.9</v>
      </c>
      <c r="N266" s="4264">
        <v>6.9</v>
      </c>
      <c r="O266" s="4264">
        <v>79.3</v>
      </c>
    </row>
    <row r="267" spans="1:15" s="4259" customFormat="1">
      <c r="A267" s="5859"/>
      <c r="B267" s="5849"/>
      <c r="C267" s="4370" t="s">
        <v>411</v>
      </c>
      <c r="D267" s="5848"/>
      <c r="E267" s="5115"/>
      <c r="F267" s="4371">
        <v>166</v>
      </c>
      <c r="G267" s="4372">
        <v>76</v>
      </c>
      <c r="H267" s="4373">
        <f t="shared" si="3"/>
        <v>45.783132530120483</v>
      </c>
      <c r="I267" s="4372">
        <v>86.8</v>
      </c>
      <c r="J267" s="4372">
        <v>13.2</v>
      </c>
      <c r="K267" s="4264">
        <v>1.5</v>
      </c>
      <c r="L267" s="4264">
        <v>0</v>
      </c>
      <c r="M267" s="4264">
        <v>13.6</v>
      </c>
      <c r="N267" s="4264">
        <v>22.7</v>
      </c>
      <c r="O267" s="4264">
        <v>62.1</v>
      </c>
    </row>
    <row r="268" spans="1:15" s="4259" customFormat="1">
      <c r="A268" s="5859"/>
      <c r="B268" s="5849"/>
      <c r="C268" s="4370" t="s">
        <v>2486</v>
      </c>
      <c r="D268" s="5848"/>
      <c r="E268" s="5115"/>
      <c r="F268" s="4371">
        <v>101</v>
      </c>
      <c r="G268" s="4372">
        <v>2</v>
      </c>
      <c r="H268" s="4373">
        <f t="shared" si="3"/>
        <v>1.9801980198019802</v>
      </c>
      <c r="I268" s="4372">
        <v>100</v>
      </c>
      <c r="J268" s="4372">
        <v>0</v>
      </c>
      <c r="K268" s="4264">
        <v>0</v>
      </c>
      <c r="L268" s="4264">
        <v>50</v>
      </c>
      <c r="M268" s="4264">
        <v>50</v>
      </c>
      <c r="N268" s="4264">
        <v>0</v>
      </c>
      <c r="O268" s="4264">
        <v>0</v>
      </c>
    </row>
    <row r="269" spans="1:15" s="4259" customFormat="1">
      <c r="A269" s="5859"/>
      <c r="B269" s="5849"/>
      <c r="C269" s="4370" t="s">
        <v>297</v>
      </c>
      <c r="D269" s="5848"/>
      <c r="E269" s="5115"/>
      <c r="F269" s="4371">
        <v>159</v>
      </c>
      <c r="G269" s="4372">
        <v>95</v>
      </c>
      <c r="H269" s="4373">
        <f t="shared" si="3"/>
        <v>59.748427672955977</v>
      </c>
      <c r="I269" s="4372">
        <v>83.2</v>
      </c>
      <c r="J269" s="4372">
        <v>16.8</v>
      </c>
      <c r="K269" s="4264">
        <v>0</v>
      </c>
      <c r="L269" s="4264">
        <v>2.5</v>
      </c>
      <c r="M269" s="4264">
        <v>13.9</v>
      </c>
      <c r="N269" s="4264">
        <v>25.3</v>
      </c>
      <c r="O269" s="4264">
        <v>58.2</v>
      </c>
    </row>
    <row r="270" spans="1:15" s="4259" customFormat="1">
      <c r="A270" s="5859"/>
      <c r="B270" s="5849"/>
      <c r="C270" s="4370" t="s">
        <v>2487</v>
      </c>
      <c r="D270" s="5848"/>
      <c r="E270" s="5115"/>
      <c r="F270" s="4371">
        <v>21</v>
      </c>
      <c r="G270" s="4372">
        <v>4</v>
      </c>
      <c r="H270" s="4373">
        <f t="shared" si="3"/>
        <v>19.047619047619047</v>
      </c>
      <c r="I270" s="4372">
        <v>100</v>
      </c>
      <c r="J270" s="4372">
        <v>0</v>
      </c>
      <c r="K270" s="4264">
        <v>0</v>
      </c>
      <c r="L270" s="4264">
        <v>0</v>
      </c>
      <c r="M270" s="4264">
        <v>0</v>
      </c>
      <c r="N270" s="4264">
        <v>0</v>
      </c>
      <c r="O270" s="4264">
        <v>100</v>
      </c>
    </row>
    <row r="271" spans="1:15" s="4259" customFormat="1">
      <c r="A271" s="5859"/>
      <c r="B271" s="5849"/>
      <c r="C271" s="4370" t="s">
        <v>298</v>
      </c>
      <c r="D271" s="5848"/>
      <c r="E271" s="5115"/>
      <c r="F271" s="4371">
        <v>140</v>
      </c>
      <c r="G271" s="4372">
        <v>93</v>
      </c>
      <c r="H271" s="4373">
        <f t="shared" si="3"/>
        <v>66.428571428571431</v>
      </c>
      <c r="I271" s="4372">
        <v>89.2</v>
      </c>
      <c r="J271" s="4372">
        <v>10.8</v>
      </c>
      <c r="K271" s="4264">
        <v>4.8</v>
      </c>
      <c r="L271" s="4264">
        <v>2.4</v>
      </c>
      <c r="M271" s="4264">
        <v>12</v>
      </c>
      <c r="N271" s="4264">
        <v>24.1</v>
      </c>
      <c r="O271" s="4264">
        <v>56.6</v>
      </c>
    </row>
    <row r="272" spans="1:15" s="4259" customFormat="1">
      <c r="A272" s="5859"/>
      <c r="B272" s="5849"/>
      <c r="C272" s="4370" t="s">
        <v>486</v>
      </c>
      <c r="D272" s="5848"/>
      <c r="E272" s="5115"/>
      <c r="F272" s="4371">
        <v>110</v>
      </c>
      <c r="G272" s="4372">
        <v>65</v>
      </c>
      <c r="H272" s="4373">
        <f t="shared" si="3"/>
        <v>59.090909090909093</v>
      </c>
      <c r="I272" s="4372">
        <v>76.900000000000006</v>
      </c>
      <c r="J272" s="4372">
        <v>23.1</v>
      </c>
      <c r="K272" s="4264">
        <v>2</v>
      </c>
      <c r="L272" s="4264">
        <v>2</v>
      </c>
      <c r="M272" s="4264">
        <v>14.3</v>
      </c>
      <c r="N272" s="4264">
        <v>24.5</v>
      </c>
      <c r="O272" s="4264">
        <v>57.1</v>
      </c>
    </row>
    <row r="273" spans="1:15" s="4259" customFormat="1">
      <c r="A273" s="5859"/>
      <c r="B273" s="5849"/>
      <c r="C273" s="4370" t="s">
        <v>2490</v>
      </c>
      <c r="D273" s="5848"/>
      <c r="E273" s="5115"/>
      <c r="F273" s="4371">
        <v>34</v>
      </c>
      <c r="G273" s="4372">
        <v>12</v>
      </c>
      <c r="H273" s="4373">
        <f t="shared" si="3"/>
        <v>35.294117647058826</v>
      </c>
      <c r="I273" s="4372">
        <v>58.3</v>
      </c>
      <c r="J273" s="4372">
        <v>41.7</v>
      </c>
      <c r="K273" s="4264">
        <v>0</v>
      </c>
      <c r="L273" s="4264">
        <v>14.3</v>
      </c>
      <c r="M273" s="4264">
        <v>0</v>
      </c>
      <c r="N273" s="4264">
        <v>0</v>
      </c>
      <c r="O273" s="4264">
        <v>85.7</v>
      </c>
    </row>
    <row r="274" spans="1:15" s="4259" customFormat="1">
      <c r="A274" s="5859"/>
      <c r="B274" s="5849"/>
      <c r="C274" s="4370" t="s">
        <v>2491</v>
      </c>
      <c r="D274" s="5848"/>
      <c r="E274" s="5115"/>
      <c r="F274" s="4371">
        <v>296</v>
      </c>
      <c r="G274" s="4372">
        <v>115</v>
      </c>
      <c r="H274" s="4373">
        <f t="shared" si="3"/>
        <v>38.851351351351354</v>
      </c>
      <c r="I274" s="4372">
        <v>64</v>
      </c>
      <c r="J274" s="4372">
        <v>36</v>
      </c>
      <c r="K274" s="4264">
        <v>1.4</v>
      </c>
      <c r="L274" s="4264">
        <v>6.8</v>
      </c>
      <c r="M274" s="4264">
        <v>9.6</v>
      </c>
      <c r="N274" s="4264">
        <v>26</v>
      </c>
      <c r="O274" s="4264">
        <v>56.2</v>
      </c>
    </row>
    <row r="275" spans="1:15" s="4259" customFormat="1">
      <c r="A275" s="5859"/>
      <c r="B275" s="5849"/>
      <c r="C275" s="4370" t="s">
        <v>2328</v>
      </c>
      <c r="D275" s="5848"/>
      <c r="E275" s="5115"/>
      <c r="F275" s="4371">
        <v>38</v>
      </c>
      <c r="G275" s="4372">
        <v>22</v>
      </c>
      <c r="H275" s="4373">
        <f t="shared" si="3"/>
        <v>57.89473684210526</v>
      </c>
      <c r="I275" s="4372">
        <v>54.5</v>
      </c>
      <c r="J275" s="4372">
        <v>45.5</v>
      </c>
      <c r="K275" s="4264">
        <v>0</v>
      </c>
      <c r="L275" s="4264">
        <v>0</v>
      </c>
      <c r="M275" s="4264">
        <v>38.5</v>
      </c>
      <c r="N275" s="4264">
        <v>38.5</v>
      </c>
      <c r="O275" s="4264">
        <v>23.1</v>
      </c>
    </row>
    <row r="276" spans="1:15" s="4259" customFormat="1">
      <c r="A276" s="5859"/>
      <c r="B276" s="5849"/>
      <c r="C276" s="4370" t="s">
        <v>299</v>
      </c>
      <c r="D276" s="5848"/>
      <c r="E276" s="5115"/>
      <c r="F276" s="4371">
        <v>65</v>
      </c>
      <c r="G276" s="4372">
        <v>17</v>
      </c>
      <c r="H276" s="4373">
        <f t="shared" si="3"/>
        <v>26.153846153846153</v>
      </c>
      <c r="I276" s="4372">
        <v>82.4</v>
      </c>
      <c r="J276" s="4372">
        <v>17.600000000000001</v>
      </c>
      <c r="K276" s="4264">
        <v>7.1</v>
      </c>
      <c r="L276" s="4264">
        <v>14.3</v>
      </c>
      <c r="M276" s="4264">
        <v>7.1</v>
      </c>
      <c r="N276" s="4264">
        <v>14.3</v>
      </c>
      <c r="O276" s="4264">
        <v>57.1</v>
      </c>
    </row>
    <row r="277" spans="1:15" s="4259" customFormat="1">
      <c r="A277" s="5859"/>
      <c r="B277" s="5849"/>
      <c r="C277" s="4370" t="s">
        <v>2282</v>
      </c>
      <c r="D277" s="5848"/>
      <c r="E277" s="5115"/>
      <c r="F277" s="4371">
        <v>177</v>
      </c>
      <c r="G277" s="4372">
        <v>99</v>
      </c>
      <c r="H277" s="4373">
        <f t="shared" si="3"/>
        <v>55.932203389830505</v>
      </c>
      <c r="I277" s="4372">
        <v>81.8</v>
      </c>
      <c r="J277" s="4372">
        <v>18.2</v>
      </c>
      <c r="K277" s="4264">
        <v>0</v>
      </c>
      <c r="L277" s="4264">
        <v>5.0999999999999996</v>
      </c>
      <c r="M277" s="4264">
        <v>8.9</v>
      </c>
      <c r="N277" s="4264">
        <v>21.5</v>
      </c>
      <c r="O277" s="4264">
        <v>64.599999999999994</v>
      </c>
    </row>
    <row r="278" spans="1:15" s="4259" customFormat="1">
      <c r="A278" s="5859"/>
      <c r="B278" s="5849"/>
      <c r="C278" s="4370" t="s">
        <v>2278</v>
      </c>
      <c r="D278" s="5848"/>
      <c r="E278" s="5115"/>
      <c r="F278" s="4371">
        <v>3</v>
      </c>
      <c r="G278" s="4372">
        <v>0</v>
      </c>
      <c r="H278" s="4373">
        <f t="shared" si="3"/>
        <v>0</v>
      </c>
      <c r="I278" s="4372" t="s">
        <v>618</v>
      </c>
      <c r="J278" s="4372" t="s">
        <v>618</v>
      </c>
      <c r="K278" s="4264" t="s">
        <v>618</v>
      </c>
      <c r="L278" s="4264" t="s">
        <v>618</v>
      </c>
      <c r="M278" s="4264" t="s">
        <v>618</v>
      </c>
      <c r="N278" s="4264" t="s">
        <v>618</v>
      </c>
      <c r="O278" s="4264" t="s">
        <v>618</v>
      </c>
    </row>
    <row r="279" spans="1:15" s="4259" customFormat="1">
      <c r="A279" s="5859"/>
      <c r="B279" s="5849"/>
      <c r="C279" s="4370" t="s">
        <v>2329</v>
      </c>
      <c r="D279" s="5848"/>
      <c r="E279" s="5115"/>
      <c r="F279" s="4371">
        <v>6</v>
      </c>
      <c r="G279" s="4372">
        <v>0</v>
      </c>
      <c r="H279" s="4373">
        <f t="shared" si="3"/>
        <v>0</v>
      </c>
      <c r="I279" s="4372" t="s">
        <v>618</v>
      </c>
      <c r="J279" s="4372" t="s">
        <v>618</v>
      </c>
      <c r="K279" s="4264" t="s">
        <v>618</v>
      </c>
      <c r="L279" s="4264" t="s">
        <v>618</v>
      </c>
      <c r="M279" s="4264" t="s">
        <v>618</v>
      </c>
      <c r="N279" s="4264" t="s">
        <v>618</v>
      </c>
      <c r="O279" s="4264" t="s">
        <v>618</v>
      </c>
    </row>
    <row r="280" spans="1:15" s="4259" customFormat="1">
      <c r="A280" s="5859"/>
      <c r="B280" s="5849"/>
      <c r="C280" s="4370" t="s">
        <v>302</v>
      </c>
      <c r="D280" s="5848" t="s">
        <v>248</v>
      </c>
      <c r="E280" s="5115"/>
      <c r="F280" s="4371">
        <v>373</v>
      </c>
      <c r="G280" s="4372">
        <v>103</v>
      </c>
      <c r="H280" s="4373">
        <f t="shared" si="3"/>
        <v>27.613941018766756</v>
      </c>
      <c r="I280" s="4372">
        <v>96.1</v>
      </c>
      <c r="J280" s="4372">
        <v>3.9</v>
      </c>
      <c r="K280" s="4264">
        <v>3</v>
      </c>
      <c r="L280" s="4264">
        <v>0</v>
      </c>
      <c r="M280" s="4264">
        <v>1</v>
      </c>
      <c r="N280" s="4264">
        <v>11.9</v>
      </c>
      <c r="O280" s="4264">
        <v>84.2</v>
      </c>
    </row>
    <row r="281" spans="1:15" s="4259" customFormat="1">
      <c r="A281" s="5859"/>
      <c r="B281" s="5849"/>
      <c r="C281" s="4370" t="s">
        <v>2490</v>
      </c>
      <c r="D281" s="5848"/>
      <c r="E281" s="5115"/>
      <c r="F281" s="4371">
        <v>23</v>
      </c>
      <c r="G281" s="4372">
        <v>17</v>
      </c>
      <c r="H281" s="4373">
        <f t="shared" si="3"/>
        <v>73.913043478260875</v>
      </c>
      <c r="I281" s="4372">
        <v>94.1</v>
      </c>
      <c r="J281" s="4372">
        <v>5.9</v>
      </c>
      <c r="K281" s="4264">
        <v>0</v>
      </c>
      <c r="L281" s="4264">
        <v>0</v>
      </c>
      <c r="M281" s="4264">
        <v>0</v>
      </c>
      <c r="N281" s="4264">
        <v>18.8</v>
      </c>
      <c r="O281" s="4264">
        <v>81.3</v>
      </c>
    </row>
    <row r="282" spans="1:15" s="4259" customFormat="1">
      <c r="A282" s="5859"/>
      <c r="B282" s="5849"/>
      <c r="C282" s="4370" t="s">
        <v>2491</v>
      </c>
      <c r="D282" s="5848"/>
      <c r="E282" s="5115"/>
      <c r="F282" s="4371">
        <v>70</v>
      </c>
      <c r="G282" s="4372">
        <v>56</v>
      </c>
      <c r="H282" s="4373">
        <f t="shared" si="3"/>
        <v>80</v>
      </c>
      <c r="I282" s="4372">
        <v>89.3</v>
      </c>
      <c r="J282" s="4372">
        <v>10.7</v>
      </c>
      <c r="K282" s="4264">
        <v>0</v>
      </c>
      <c r="L282" s="4264">
        <v>0</v>
      </c>
      <c r="M282" s="4264">
        <v>6.1</v>
      </c>
      <c r="N282" s="4264">
        <v>20.399999999999999</v>
      </c>
      <c r="O282" s="4264">
        <v>73.5</v>
      </c>
    </row>
    <row r="283" spans="1:15" s="4259" customFormat="1" ht="15" customHeight="1">
      <c r="A283" s="5859"/>
      <c r="B283" s="5849" t="s">
        <v>2436</v>
      </c>
      <c r="C283" s="4370" t="s">
        <v>2495</v>
      </c>
      <c r="D283" s="5848" t="s">
        <v>265</v>
      </c>
      <c r="E283" s="5115"/>
      <c r="F283" s="4371">
        <v>102</v>
      </c>
      <c r="G283" s="4372">
        <v>79</v>
      </c>
      <c r="H283" s="4373">
        <f t="shared" si="3"/>
        <v>77.450980392156865</v>
      </c>
      <c r="I283" s="4372">
        <v>82.1</v>
      </c>
      <c r="J283" s="4372">
        <v>17.899999999999999</v>
      </c>
      <c r="K283" s="4264">
        <v>0</v>
      </c>
      <c r="L283" s="4264">
        <v>3.1</v>
      </c>
      <c r="M283" s="4264">
        <v>12.3</v>
      </c>
      <c r="N283" s="4264">
        <v>9.1999999999999993</v>
      </c>
      <c r="O283" s="4264">
        <v>75.400000000000006</v>
      </c>
    </row>
    <row r="284" spans="1:15" s="4259" customFormat="1">
      <c r="A284" s="5859"/>
      <c r="B284" s="5849"/>
      <c r="C284" s="4370" t="s">
        <v>489</v>
      </c>
      <c r="D284" s="5848"/>
      <c r="E284" s="5115"/>
      <c r="F284" s="4371">
        <v>76</v>
      </c>
      <c r="G284" s="4372">
        <v>6</v>
      </c>
      <c r="H284" s="4373">
        <f t="shared" si="3"/>
        <v>7.8947368421052628</v>
      </c>
      <c r="I284" s="4372">
        <v>100</v>
      </c>
      <c r="J284" s="4372">
        <v>0</v>
      </c>
      <c r="K284" s="4264">
        <v>0</v>
      </c>
      <c r="L284" s="4264">
        <v>0</v>
      </c>
      <c r="M284" s="4264">
        <v>16.7</v>
      </c>
      <c r="N284" s="4264">
        <v>16.7</v>
      </c>
      <c r="O284" s="4264">
        <v>66.7</v>
      </c>
    </row>
    <row r="285" spans="1:15" s="4259" customFormat="1">
      <c r="A285" s="5859"/>
      <c r="B285" s="5849"/>
      <c r="C285" s="4370" t="s">
        <v>2493</v>
      </c>
      <c r="D285" s="5848"/>
      <c r="E285" s="5115"/>
      <c r="F285" s="4371">
        <v>45</v>
      </c>
      <c r="G285" s="4372">
        <v>30</v>
      </c>
      <c r="H285" s="4373">
        <f t="shared" si="3"/>
        <v>66.666666666666671</v>
      </c>
      <c r="I285" s="4372">
        <v>100</v>
      </c>
      <c r="J285" s="4372">
        <v>0</v>
      </c>
      <c r="K285" s="4264">
        <v>6.7</v>
      </c>
      <c r="L285" s="4264">
        <v>6.7</v>
      </c>
      <c r="M285" s="4264">
        <v>3.3</v>
      </c>
      <c r="N285" s="4264">
        <v>13.3</v>
      </c>
      <c r="O285" s="4264">
        <v>70</v>
      </c>
    </row>
    <row r="286" spans="1:15" s="4259" customFormat="1">
      <c r="A286" s="5859"/>
      <c r="B286" s="5849"/>
      <c r="C286" s="4370" t="s">
        <v>2494</v>
      </c>
      <c r="D286" s="5848"/>
      <c r="E286" s="5115"/>
      <c r="F286" s="4371">
        <v>30</v>
      </c>
      <c r="G286" s="4372">
        <v>12</v>
      </c>
      <c r="H286" s="4373">
        <f t="shared" si="3"/>
        <v>40</v>
      </c>
      <c r="I286" s="4372">
        <v>83.3</v>
      </c>
      <c r="J286" s="4372">
        <v>16.7</v>
      </c>
      <c r="K286" s="4264">
        <v>10</v>
      </c>
      <c r="L286" s="4264">
        <v>0</v>
      </c>
      <c r="M286" s="4264">
        <v>0</v>
      </c>
      <c r="N286" s="4264">
        <v>0</v>
      </c>
      <c r="O286" s="4264">
        <v>90</v>
      </c>
    </row>
    <row r="287" spans="1:15" s="4259" customFormat="1">
      <c r="A287" s="5859"/>
      <c r="B287" s="5849"/>
      <c r="C287" s="4370" t="s">
        <v>2331</v>
      </c>
      <c r="D287" s="5848"/>
      <c r="E287" s="5115"/>
      <c r="F287" s="4371">
        <v>10</v>
      </c>
      <c r="G287" s="4372">
        <v>0</v>
      </c>
      <c r="H287" s="4373">
        <f t="shared" si="3"/>
        <v>0</v>
      </c>
      <c r="I287" s="4372" t="s">
        <v>618</v>
      </c>
      <c r="J287" s="4372" t="s">
        <v>618</v>
      </c>
      <c r="K287" s="4264" t="s">
        <v>618</v>
      </c>
      <c r="L287" s="4264" t="s">
        <v>618</v>
      </c>
      <c r="M287" s="4264" t="s">
        <v>618</v>
      </c>
      <c r="N287" s="4264" t="s">
        <v>618</v>
      </c>
      <c r="O287" s="4264" t="s">
        <v>618</v>
      </c>
    </row>
    <row r="288" spans="1:15" s="4259" customFormat="1">
      <c r="A288" s="5859"/>
      <c r="B288" s="5849"/>
      <c r="C288" s="4370" t="s">
        <v>306</v>
      </c>
      <c r="D288" s="5848"/>
      <c r="E288" s="5115"/>
      <c r="F288" s="4371">
        <v>1</v>
      </c>
      <c r="G288" s="4372">
        <v>0</v>
      </c>
      <c r="H288" s="4373">
        <f t="shared" si="3"/>
        <v>0</v>
      </c>
      <c r="I288" s="4372" t="s">
        <v>618</v>
      </c>
      <c r="J288" s="4372" t="s">
        <v>618</v>
      </c>
      <c r="K288" s="4264" t="s">
        <v>618</v>
      </c>
      <c r="L288" s="4264" t="s">
        <v>618</v>
      </c>
      <c r="M288" s="4264" t="s">
        <v>618</v>
      </c>
      <c r="N288" s="4264" t="s">
        <v>618</v>
      </c>
      <c r="O288" s="4264" t="s">
        <v>618</v>
      </c>
    </row>
    <row r="289" spans="1:15" s="4259" customFormat="1">
      <c r="A289" s="5859"/>
      <c r="B289" s="5849"/>
      <c r="C289" s="4370" t="s">
        <v>2495</v>
      </c>
      <c r="D289" s="5848" t="s">
        <v>247</v>
      </c>
      <c r="E289" s="5115"/>
      <c r="F289" s="4371">
        <v>201</v>
      </c>
      <c r="G289" s="4372">
        <v>120</v>
      </c>
      <c r="H289" s="4373">
        <f t="shared" si="3"/>
        <v>59.701492537313435</v>
      </c>
      <c r="I289" s="4372">
        <v>85.8</v>
      </c>
      <c r="J289" s="4372">
        <v>14.2</v>
      </c>
      <c r="K289" s="4264">
        <v>2.9</v>
      </c>
      <c r="L289" s="4264">
        <v>8.6999999999999993</v>
      </c>
      <c r="M289" s="4264">
        <v>13.6</v>
      </c>
      <c r="N289" s="4264">
        <v>22.3</v>
      </c>
      <c r="O289" s="4264">
        <v>52.4</v>
      </c>
    </row>
    <row r="290" spans="1:15" s="4259" customFormat="1">
      <c r="A290" s="5859"/>
      <c r="B290" s="5849"/>
      <c r="C290" s="4370" t="s">
        <v>305</v>
      </c>
      <c r="D290" s="5848"/>
      <c r="E290" s="5115"/>
      <c r="F290" s="4371">
        <v>227</v>
      </c>
      <c r="G290" s="4372">
        <v>142</v>
      </c>
      <c r="H290" s="4373">
        <f t="shared" si="3"/>
        <v>62.555066079295152</v>
      </c>
      <c r="I290" s="4372">
        <v>89.4</v>
      </c>
      <c r="J290" s="4372">
        <v>10.6</v>
      </c>
      <c r="K290" s="4264">
        <v>3.2</v>
      </c>
      <c r="L290" s="4264">
        <v>4</v>
      </c>
      <c r="M290" s="4264">
        <v>16.7</v>
      </c>
      <c r="N290" s="4264">
        <v>23</v>
      </c>
      <c r="O290" s="4264">
        <v>53.2</v>
      </c>
    </row>
    <row r="291" spans="1:15" s="4259" customFormat="1">
      <c r="A291" s="5859"/>
      <c r="B291" s="5849"/>
      <c r="C291" s="4370" t="s">
        <v>758</v>
      </c>
      <c r="D291" s="5848"/>
      <c r="E291" s="5115"/>
      <c r="F291" s="4371">
        <v>123</v>
      </c>
      <c r="G291" s="4372">
        <v>109</v>
      </c>
      <c r="H291" s="4373">
        <f t="shared" si="3"/>
        <v>88.617886178861795</v>
      </c>
      <c r="I291" s="4372">
        <v>75.2</v>
      </c>
      <c r="J291" s="4372">
        <v>24.8</v>
      </c>
      <c r="K291" s="4264">
        <v>3.8</v>
      </c>
      <c r="L291" s="4264">
        <v>7.5</v>
      </c>
      <c r="M291" s="4264">
        <v>17.5</v>
      </c>
      <c r="N291" s="4264">
        <v>23.8</v>
      </c>
      <c r="O291" s="4264">
        <v>47.5</v>
      </c>
    </row>
    <row r="292" spans="1:15" s="4259" customFormat="1">
      <c r="A292" s="5859"/>
      <c r="B292" s="5849"/>
      <c r="C292" s="4370" t="s">
        <v>343</v>
      </c>
      <c r="D292" s="5848"/>
      <c r="E292" s="5115"/>
      <c r="F292" s="4371">
        <v>24</v>
      </c>
      <c r="G292" s="4372">
        <v>3</v>
      </c>
      <c r="H292" s="4373">
        <f t="shared" si="3"/>
        <v>12.5</v>
      </c>
      <c r="I292" s="4372">
        <v>66.7</v>
      </c>
      <c r="J292" s="4372">
        <v>33.299999999999997</v>
      </c>
      <c r="K292" s="4264">
        <v>0</v>
      </c>
      <c r="L292" s="4264">
        <v>0</v>
      </c>
      <c r="M292" s="4264">
        <v>0</v>
      </c>
      <c r="N292" s="4264">
        <v>0</v>
      </c>
      <c r="O292" s="4264">
        <v>100</v>
      </c>
    </row>
    <row r="293" spans="1:15" s="4259" customFormat="1">
      <c r="A293" s="5859"/>
      <c r="B293" s="5849"/>
      <c r="C293" s="4370" t="s">
        <v>307</v>
      </c>
      <c r="D293" s="5848"/>
      <c r="E293" s="5115"/>
      <c r="F293" s="4371">
        <v>180</v>
      </c>
      <c r="G293" s="4372">
        <v>108</v>
      </c>
      <c r="H293" s="4373">
        <f t="shared" si="3"/>
        <v>60</v>
      </c>
      <c r="I293" s="4372">
        <v>77.8</v>
      </c>
      <c r="J293" s="4372">
        <v>22.2</v>
      </c>
      <c r="K293" s="4264">
        <v>1.2</v>
      </c>
      <c r="L293" s="4264">
        <v>1.2</v>
      </c>
      <c r="M293" s="4264">
        <v>9.5</v>
      </c>
      <c r="N293" s="4264">
        <v>28.6</v>
      </c>
      <c r="O293" s="4264">
        <v>59.5</v>
      </c>
    </row>
    <row r="294" spans="1:15" s="4259" customFormat="1">
      <c r="A294" s="5859"/>
      <c r="B294" s="5849"/>
      <c r="C294" s="4370" t="s">
        <v>304</v>
      </c>
      <c r="D294" s="5848"/>
      <c r="E294" s="5115"/>
      <c r="F294" s="4371">
        <v>200</v>
      </c>
      <c r="G294" s="4372">
        <v>118</v>
      </c>
      <c r="H294" s="4373">
        <f t="shared" si="3"/>
        <v>59</v>
      </c>
      <c r="I294" s="4372">
        <v>65.2</v>
      </c>
      <c r="J294" s="4372">
        <v>34.799999999999997</v>
      </c>
      <c r="K294" s="4264">
        <v>9.1</v>
      </c>
      <c r="L294" s="4264">
        <v>6.8</v>
      </c>
      <c r="M294" s="4264">
        <v>18.2</v>
      </c>
      <c r="N294" s="4264">
        <v>29.5</v>
      </c>
      <c r="O294" s="4264">
        <v>36.4</v>
      </c>
    </row>
    <row r="295" spans="1:15" s="4259" customFormat="1">
      <c r="A295" s="5859"/>
      <c r="B295" s="5849"/>
      <c r="C295" s="4370" t="s">
        <v>2494</v>
      </c>
      <c r="D295" s="5848"/>
      <c r="E295" s="5115"/>
      <c r="F295" s="4371">
        <v>10</v>
      </c>
      <c r="G295" s="4372">
        <v>8</v>
      </c>
      <c r="H295" s="4373">
        <f t="shared" si="3"/>
        <v>80</v>
      </c>
      <c r="I295" s="4372">
        <v>87.5</v>
      </c>
      <c r="J295" s="4372">
        <v>12.5</v>
      </c>
      <c r="K295" s="4264">
        <v>0</v>
      </c>
      <c r="L295" s="4264">
        <v>0</v>
      </c>
      <c r="M295" s="4264">
        <v>0</v>
      </c>
      <c r="N295" s="4264">
        <v>28.6</v>
      </c>
      <c r="O295" s="4264">
        <v>71.400000000000006</v>
      </c>
    </row>
    <row r="296" spans="1:15" s="4259" customFormat="1">
      <c r="A296" s="5859"/>
      <c r="B296" s="5849"/>
      <c r="C296" s="4370" t="s">
        <v>672</v>
      </c>
      <c r="D296" s="5848"/>
      <c r="E296" s="5115"/>
      <c r="F296" s="4371">
        <v>21</v>
      </c>
      <c r="G296" s="4377">
        <v>13</v>
      </c>
      <c r="H296" s="4378">
        <f t="shared" si="3"/>
        <v>61.904761904761905</v>
      </c>
      <c r="I296" s="4377">
        <v>30.8</v>
      </c>
      <c r="J296" s="4377">
        <v>69.2</v>
      </c>
      <c r="K296" s="4375">
        <v>0</v>
      </c>
      <c r="L296" s="4375">
        <v>0</v>
      </c>
      <c r="M296" s="4375">
        <v>25</v>
      </c>
      <c r="N296" s="4375">
        <v>25</v>
      </c>
      <c r="O296" s="4375">
        <v>50</v>
      </c>
    </row>
    <row r="297" spans="1:15" s="4259" customFormat="1">
      <c r="A297" s="5859"/>
      <c r="B297" s="5849"/>
      <c r="C297" s="4370" t="s">
        <v>2331</v>
      </c>
      <c r="D297" s="5848"/>
      <c r="E297" s="5115"/>
      <c r="F297" s="4371">
        <v>19</v>
      </c>
      <c r="G297" s="4372">
        <v>16</v>
      </c>
      <c r="H297" s="4373">
        <f t="shared" si="3"/>
        <v>84.21052631578948</v>
      </c>
      <c r="I297" s="4372">
        <v>100</v>
      </c>
      <c r="J297" s="4372">
        <v>0</v>
      </c>
      <c r="K297" s="4264">
        <v>0</v>
      </c>
      <c r="L297" s="4264">
        <v>0</v>
      </c>
      <c r="M297" s="4264">
        <v>12.5</v>
      </c>
      <c r="N297" s="4264">
        <v>25</v>
      </c>
      <c r="O297" s="4264">
        <v>62.5</v>
      </c>
    </row>
    <row r="298" spans="1:15" s="4259" customFormat="1">
      <c r="A298" s="5859"/>
      <c r="B298" s="5849"/>
      <c r="C298" s="4370" t="s">
        <v>306</v>
      </c>
      <c r="D298" s="5848"/>
      <c r="E298" s="5115"/>
      <c r="F298" s="4371">
        <v>7</v>
      </c>
      <c r="G298" s="4372">
        <v>0</v>
      </c>
      <c r="H298" s="4373">
        <f t="shared" ref="H298:H311" si="4">G298*100/F298</f>
        <v>0</v>
      </c>
      <c r="I298" s="4372" t="s">
        <v>618</v>
      </c>
      <c r="J298" s="4372" t="s">
        <v>618</v>
      </c>
      <c r="K298" s="4264" t="s">
        <v>618</v>
      </c>
      <c r="L298" s="4264" t="s">
        <v>618</v>
      </c>
      <c r="M298" s="4264" t="s">
        <v>618</v>
      </c>
      <c r="N298" s="4264" t="s">
        <v>618</v>
      </c>
      <c r="O298" s="4264" t="s">
        <v>618</v>
      </c>
    </row>
    <row r="299" spans="1:15" s="4259" customFormat="1">
      <c r="A299" s="5859"/>
      <c r="B299" s="5849"/>
      <c r="C299" s="4370" t="s">
        <v>308</v>
      </c>
      <c r="D299" s="5848" t="s">
        <v>248</v>
      </c>
      <c r="E299" s="5115"/>
      <c r="F299" s="4371">
        <v>69</v>
      </c>
      <c r="G299" s="4372">
        <v>32</v>
      </c>
      <c r="H299" s="4373">
        <f t="shared" si="4"/>
        <v>46.376811594202898</v>
      </c>
      <c r="I299" s="4372">
        <v>96.9</v>
      </c>
      <c r="J299" s="4372">
        <v>3.1</v>
      </c>
      <c r="K299" s="4264">
        <v>0</v>
      </c>
      <c r="L299" s="4264">
        <v>3.4</v>
      </c>
      <c r="M299" s="4264">
        <v>3.4</v>
      </c>
      <c r="N299" s="4264">
        <v>20.7</v>
      </c>
      <c r="O299" s="4264">
        <v>72.400000000000006</v>
      </c>
    </row>
    <row r="300" spans="1:15" s="4259" customFormat="1">
      <c r="A300" s="5859"/>
      <c r="B300" s="5849"/>
      <c r="C300" s="4370" t="s">
        <v>587</v>
      </c>
      <c r="D300" s="5848"/>
      <c r="E300" s="5115"/>
      <c r="F300" s="4371">
        <v>11</v>
      </c>
      <c r="G300" s="4372">
        <v>5</v>
      </c>
      <c r="H300" s="4373">
        <f t="shared" si="4"/>
        <v>45.454545454545453</v>
      </c>
      <c r="I300" s="4372">
        <v>100</v>
      </c>
      <c r="J300" s="4372">
        <v>0</v>
      </c>
      <c r="K300" s="4264">
        <v>0</v>
      </c>
      <c r="L300" s="4264">
        <v>0</v>
      </c>
      <c r="M300" s="4264">
        <v>0</v>
      </c>
      <c r="N300" s="4264">
        <v>0</v>
      </c>
      <c r="O300" s="4264">
        <v>100</v>
      </c>
    </row>
    <row r="301" spans="1:15" s="4259" customFormat="1" ht="15" customHeight="1">
      <c r="A301" s="5859"/>
      <c r="B301" s="5849" t="s">
        <v>2435</v>
      </c>
      <c r="C301" s="4370" t="s">
        <v>309</v>
      </c>
      <c r="D301" s="5848" t="s">
        <v>247</v>
      </c>
      <c r="E301" s="5115"/>
      <c r="F301" s="4371">
        <v>301</v>
      </c>
      <c r="G301" s="4372">
        <v>236</v>
      </c>
      <c r="H301" s="4373">
        <f t="shared" si="4"/>
        <v>78.405315614617933</v>
      </c>
      <c r="I301" s="4372">
        <v>74</v>
      </c>
      <c r="J301" s="4372">
        <v>26</v>
      </c>
      <c r="K301" s="4264">
        <v>8.6</v>
      </c>
      <c r="L301" s="4264">
        <v>5.0999999999999996</v>
      </c>
      <c r="M301" s="4264">
        <v>13.7</v>
      </c>
      <c r="N301" s="4264">
        <v>16</v>
      </c>
      <c r="O301" s="4264">
        <v>56.6</v>
      </c>
    </row>
    <row r="302" spans="1:15" s="4259" customFormat="1">
      <c r="A302" s="5859"/>
      <c r="B302" s="5849"/>
      <c r="C302" s="4370" t="s">
        <v>2333</v>
      </c>
      <c r="D302" s="5848"/>
      <c r="E302" s="5115"/>
      <c r="F302" s="4371">
        <v>58</v>
      </c>
      <c r="G302" s="4372">
        <v>31</v>
      </c>
      <c r="H302" s="4373">
        <f t="shared" si="4"/>
        <v>53.448275862068968</v>
      </c>
      <c r="I302" s="4372">
        <v>93.5</v>
      </c>
      <c r="J302" s="4372">
        <v>6.5</v>
      </c>
      <c r="K302" s="4264">
        <v>6.9</v>
      </c>
      <c r="L302" s="4264">
        <v>6.9</v>
      </c>
      <c r="M302" s="4264">
        <v>17.2</v>
      </c>
      <c r="N302" s="4264">
        <v>20.7</v>
      </c>
      <c r="O302" s="4264">
        <v>48.3</v>
      </c>
    </row>
    <row r="303" spans="1:15" s="4259" customFormat="1">
      <c r="A303" s="5859"/>
      <c r="B303" s="5849"/>
      <c r="C303" s="4370" t="s">
        <v>2334</v>
      </c>
      <c r="D303" s="5848"/>
      <c r="E303" s="5115"/>
      <c r="F303" s="4371">
        <v>67</v>
      </c>
      <c r="G303" s="4372">
        <v>0</v>
      </c>
      <c r="H303" s="4373">
        <f t="shared" si="4"/>
        <v>0</v>
      </c>
      <c r="I303" s="4372" t="s">
        <v>618</v>
      </c>
      <c r="J303" s="4372" t="s">
        <v>618</v>
      </c>
      <c r="K303" s="4264" t="s">
        <v>618</v>
      </c>
      <c r="L303" s="4264" t="s">
        <v>618</v>
      </c>
      <c r="M303" s="4264" t="s">
        <v>618</v>
      </c>
      <c r="N303" s="4264" t="s">
        <v>618</v>
      </c>
      <c r="O303" s="4264" t="s">
        <v>618</v>
      </c>
    </row>
    <row r="304" spans="1:15" s="4259" customFormat="1">
      <c r="A304" s="5860"/>
      <c r="B304" s="5849"/>
      <c r="C304" s="4370" t="s">
        <v>310</v>
      </c>
      <c r="D304" s="4376" t="s">
        <v>248</v>
      </c>
      <c r="E304" s="5115"/>
      <c r="F304" s="4371">
        <v>47</v>
      </c>
      <c r="G304" s="4372">
        <v>29</v>
      </c>
      <c r="H304" s="4373">
        <f t="shared" si="4"/>
        <v>61.702127659574465</v>
      </c>
      <c r="I304" s="4372">
        <v>96.6</v>
      </c>
      <c r="J304" s="4372">
        <v>3.4</v>
      </c>
      <c r="K304" s="4264">
        <v>3.6</v>
      </c>
      <c r="L304" s="4264">
        <v>7.1</v>
      </c>
      <c r="M304" s="4264">
        <v>17.899999999999999</v>
      </c>
      <c r="N304" s="4264">
        <v>25</v>
      </c>
      <c r="O304" s="4264">
        <v>46.4</v>
      </c>
    </row>
    <row r="305" spans="1:15" s="4259" customFormat="1" ht="15" customHeight="1">
      <c r="A305" s="5858" t="s">
        <v>59</v>
      </c>
      <c r="B305" s="5849" t="s">
        <v>2434</v>
      </c>
      <c r="C305" s="4370" t="s">
        <v>670</v>
      </c>
      <c r="D305" s="4376" t="s">
        <v>247</v>
      </c>
      <c r="E305" s="5115"/>
      <c r="F305" s="4371">
        <v>62</v>
      </c>
      <c r="G305" s="4372">
        <v>35</v>
      </c>
      <c r="H305" s="4373">
        <f t="shared" si="4"/>
        <v>56.451612903225808</v>
      </c>
      <c r="I305" s="4372">
        <v>62.9</v>
      </c>
      <c r="J305" s="4372">
        <v>37.1</v>
      </c>
      <c r="K305" s="4264">
        <v>9.1</v>
      </c>
      <c r="L305" s="4264">
        <v>4.5</v>
      </c>
      <c r="M305" s="4264">
        <v>27.3</v>
      </c>
      <c r="N305" s="4264">
        <v>27.3</v>
      </c>
      <c r="O305" s="4264">
        <v>31.8</v>
      </c>
    </row>
    <row r="306" spans="1:15" s="4259" customFormat="1">
      <c r="A306" s="5859"/>
      <c r="B306" s="5849"/>
      <c r="C306" s="4370" t="s">
        <v>670</v>
      </c>
      <c r="D306" s="4376" t="s">
        <v>248</v>
      </c>
      <c r="E306" s="5115"/>
      <c r="F306" s="4371">
        <v>26</v>
      </c>
      <c r="G306" s="4372">
        <v>5</v>
      </c>
      <c r="H306" s="4373">
        <f t="shared" si="4"/>
        <v>19.23076923076923</v>
      </c>
      <c r="I306" s="4372">
        <v>100</v>
      </c>
      <c r="J306" s="4372">
        <v>0</v>
      </c>
      <c r="K306" s="4264">
        <v>0</v>
      </c>
      <c r="L306" s="4264">
        <v>0</v>
      </c>
      <c r="M306" s="4264">
        <v>0</v>
      </c>
      <c r="N306" s="4264">
        <v>25</v>
      </c>
      <c r="O306" s="4264">
        <v>75</v>
      </c>
    </row>
    <row r="307" spans="1:15" s="4259" customFormat="1" ht="30.6">
      <c r="A307" s="5859"/>
      <c r="B307" s="4379" t="s">
        <v>2437</v>
      </c>
      <c r="C307" s="4380" t="s">
        <v>412</v>
      </c>
      <c r="D307" s="4376" t="s">
        <v>247</v>
      </c>
      <c r="E307" s="5115"/>
      <c r="F307" s="4371">
        <v>81</v>
      </c>
      <c r="G307" s="4372">
        <v>53</v>
      </c>
      <c r="H307" s="4373">
        <f t="shared" si="4"/>
        <v>65.432098765432102</v>
      </c>
      <c r="I307" s="4372">
        <v>84.3</v>
      </c>
      <c r="J307" s="4372">
        <v>15.7</v>
      </c>
      <c r="K307" s="4264">
        <v>0</v>
      </c>
      <c r="L307" s="4264">
        <v>2.2000000000000002</v>
      </c>
      <c r="M307" s="4264">
        <v>15.6</v>
      </c>
      <c r="N307" s="4264">
        <v>35.6</v>
      </c>
      <c r="O307" s="4264">
        <v>46.7</v>
      </c>
    </row>
    <row r="308" spans="1:15" s="4259" customFormat="1" ht="15" customHeight="1">
      <c r="A308" s="5859"/>
      <c r="B308" s="5849" t="s">
        <v>2438</v>
      </c>
      <c r="C308" s="4370" t="s">
        <v>671</v>
      </c>
      <c r="D308" s="4376" t="s">
        <v>265</v>
      </c>
      <c r="E308" s="5115"/>
      <c r="F308" s="4371">
        <v>11</v>
      </c>
      <c r="G308" s="4372">
        <v>0</v>
      </c>
      <c r="H308" s="4373">
        <f t="shared" si="4"/>
        <v>0</v>
      </c>
      <c r="I308" s="4372" t="s">
        <v>618</v>
      </c>
      <c r="J308" s="4372" t="s">
        <v>618</v>
      </c>
      <c r="K308" s="4264" t="s">
        <v>618</v>
      </c>
      <c r="L308" s="4264" t="s">
        <v>618</v>
      </c>
      <c r="M308" s="4264" t="s">
        <v>618</v>
      </c>
      <c r="N308" s="4264" t="s">
        <v>618</v>
      </c>
      <c r="O308" s="4264" t="s">
        <v>618</v>
      </c>
    </row>
    <row r="309" spans="1:15" s="4259" customFormat="1">
      <c r="A309" s="5859"/>
      <c r="B309" s="5849"/>
      <c r="C309" s="4370" t="s">
        <v>671</v>
      </c>
      <c r="D309" s="4376" t="s">
        <v>247</v>
      </c>
      <c r="E309" s="5115"/>
      <c r="F309" s="4371">
        <v>34</v>
      </c>
      <c r="G309" s="4372">
        <v>7</v>
      </c>
      <c r="H309" s="4373">
        <f t="shared" si="4"/>
        <v>20.588235294117649</v>
      </c>
      <c r="I309" s="4372">
        <v>57.1</v>
      </c>
      <c r="J309" s="4372">
        <v>42.9</v>
      </c>
      <c r="K309" s="4264">
        <v>25</v>
      </c>
      <c r="L309" s="4264">
        <v>25</v>
      </c>
      <c r="M309" s="4264">
        <v>50</v>
      </c>
      <c r="N309" s="4264">
        <v>0</v>
      </c>
      <c r="O309" s="4264">
        <v>0</v>
      </c>
    </row>
    <row r="310" spans="1:15" s="4259" customFormat="1">
      <c r="A310" s="5860"/>
      <c r="B310" s="5849"/>
      <c r="C310" s="4370" t="s">
        <v>671</v>
      </c>
      <c r="D310" s="4376" t="s">
        <v>248</v>
      </c>
      <c r="E310" s="5115"/>
      <c r="F310" s="4371">
        <v>8</v>
      </c>
      <c r="G310" s="4372">
        <v>0</v>
      </c>
      <c r="H310" s="4373">
        <f t="shared" si="4"/>
        <v>0</v>
      </c>
      <c r="I310" s="4372">
        <v>100</v>
      </c>
      <c r="J310" s="4372">
        <v>0</v>
      </c>
      <c r="K310" s="4264">
        <v>0</v>
      </c>
      <c r="L310" s="4264">
        <v>0</v>
      </c>
      <c r="M310" s="4264">
        <v>0</v>
      </c>
      <c r="N310" s="4264">
        <v>100</v>
      </c>
      <c r="O310" s="4264">
        <v>0</v>
      </c>
    </row>
    <row r="311" spans="1:15" s="4259" customFormat="1">
      <c r="A311" s="37"/>
      <c r="B311" s="37"/>
      <c r="C311" s="5861" t="s">
        <v>15</v>
      </c>
      <c r="D311" s="5862"/>
      <c r="E311" s="4855"/>
      <c r="F311" s="4381">
        <f>SUM(F169:F310)</f>
        <v>14373</v>
      </c>
      <c r="G311" s="4382">
        <f>SUM(G169:G310)</f>
        <v>7320</v>
      </c>
      <c r="H311" s="4383">
        <f t="shared" si="4"/>
        <v>50.928824879983303</v>
      </c>
      <c r="I311" s="4384">
        <v>78.400000000000006</v>
      </c>
      <c r="J311" s="4382">
        <v>21.6</v>
      </c>
      <c r="K311" s="4385">
        <v>3.3</v>
      </c>
      <c r="L311" s="4385">
        <v>4</v>
      </c>
      <c r="M311" s="4385">
        <v>11.6</v>
      </c>
      <c r="N311" s="4385">
        <v>18.5</v>
      </c>
      <c r="O311" s="4385">
        <v>62.5</v>
      </c>
    </row>
    <row r="312" spans="1:15" s="4259" customFormat="1" ht="15.6">
      <c r="A312" s="1914"/>
      <c r="D312" s="4258"/>
      <c r="E312" s="4853"/>
      <c r="F312" s="4258"/>
      <c r="G312" s="4258"/>
      <c r="H312" s="4258"/>
      <c r="I312" s="4258"/>
      <c r="J312" s="1921"/>
      <c r="K312" s="1921"/>
      <c r="L312" s="1922"/>
      <c r="M312" s="1922"/>
      <c r="N312" s="1922"/>
      <c r="O312" s="1922"/>
    </row>
    <row r="313" spans="1:15" s="4259" customFormat="1" ht="15.6">
      <c r="A313" s="1914"/>
      <c r="D313" s="4258"/>
      <c r="E313" s="4853"/>
      <c r="F313" s="4258"/>
      <c r="G313" s="4258"/>
      <c r="H313" s="4258"/>
      <c r="I313" s="4258"/>
      <c r="J313" s="1921"/>
      <c r="K313" s="1921"/>
      <c r="L313" s="1922"/>
      <c r="M313" s="1922"/>
      <c r="N313" s="1922"/>
      <c r="O313" s="1922"/>
    </row>
    <row r="314" spans="1:15" ht="17.399999999999999">
      <c r="A314" s="1923"/>
      <c r="B314" s="1923"/>
      <c r="C314" s="270">
        <v>2018</v>
      </c>
      <c r="D314" s="1921"/>
      <c r="E314" s="1921"/>
      <c r="F314" s="1921"/>
      <c r="G314" s="1921"/>
      <c r="H314" s="1921"/>
      <c r="I314" s="1921"/>
      <c r="J314" s="1921"/>
      <c r="K314" s="1921"/>
      <c r="L314" s="1922"/>
      <c r="M314" s="1922"/>
      <c r="N314" s="1922"/>
      <c r="O314" s="1922"/>
    </row>
    <row r="315" spans="1:15" ht="15.75" customHeight="1">
      <c r="A315" s="5857" t="s">
        <v>2442</v>
      </c>
      <c r="B315" s="5857"/>
      <c r="C315" s="5857"/>
      <c r="D315" s="5857"/>
      <c r="E315" s="5857"/>
      <c r="F315" s="5857"/>
      <c r="G315" s="5857"/>
      <c r="H315" s="5857"/>
      <c r="I315" s="5857"/>
      <c r="J315" s="5857"/>
      <c r="K315" s="5857"/>
      <c r="L315" s="5857"/>
      <c r="M315" s="1924"/>
      <c r="N315" s="1924"/>
      <c r="O315" s="1922"/>
    </row>
    <row r="316" spans="1:15" ht="15.6">
      <c r="A316" s="5857"/>
      <c r="B316" s="5857"/>
      <c r="C316" s="5857"/>
      <c r="D316" s="5857"/>
      <c r="E316" s="5857"/>
      <c r="F316" s="5857"/>
      <c r="G316" s="5857"/>
      <c r="H316" s="5857"/>
      <c r="I316" s="5857"/>
      <c r="J316" s="5857"/>
      <c r="K316" s="5857"/>
      <c r="L316" s="5857"/>
      <c r="M316" s="1924"/>
      <c r="N316" s="1924"/>
      <c r="O316" s="1922"/>
    </row>
    <row r="317" spans="1:15" ht="15.6">
      <c r="A317" s="1925" t="s">
        <v>2629</v>
      </c>
      <c r="B317" s="1926"/>
      <c r="C317" s="1926"/>
      <c r="D317" s="1926"/>
      <c r="E317" s="4858"/>
      <c r="F317" s="1926"/>
      <c r="G317" s="1926"/>
      <c r="H317" s="1926"/>
      <c r="I317" s="1926"/>
      <c r="J317" s="1926"/>
      <c r="K317" s="1926"/>
      <c r="L317" s="1926"/>
      <c r="M317" s="1926"/>
      <c r="N317" s="1926"/>
      <c r="O317" s="1922"/>
    </row>
    <row r="318" spans="1:15" ht="15.6">
      <c r="A318" s="1926"/>
      <c r="B318" s="1926"/>
      <c r="C318" s="1926"/>
      <c r="D318" s="1926"/>
      <c r="E318" s="4858"/>
      <c r="F318" s="1926"/>
      <c r="G318" s="1926"/>
      <c r="H318" s="1926"/>
      <c r="I318" s="1926"/>
      <c r="J318" s="1926"/>
      <c r="K318" s="1926"/>
      <c r="L318" s="1926"/>
      <c r="M318" s="1926"/>
      <c r="N318" s="1922"/>
      <c r="O318" s="1922"/>
    </row>
    <row r="319" spans="1:15" ht="15.6">
      <c r="A319" s="1925" t="s">
        <v>2444</v>
      </c>
      <c r="B319" s="1926"/>
      <c r="C319" s="1926"/>
      <c r="D319" s="1926"/>
      <c r="E319" s="4858"/>
      <c r="F319" s="1926"/>
      <c r="G319" s="1926"/>
      <c r="H319" s="1926"/>
      <c r="I319" s="1926"/>
      <c r="J319" s="1926"/>
      <c r="K319" s="1926"/>
      <c r="L319" s="1926"/>
      <c r="M319" s="1926"/>
      <c r="N319" s="1922"/>
      <c r="O319" s="1922"/>
    </row>
    <row r="320" spans="1:15">
      <c r="A320" s="3077" t="s">
        <v>2104</v>
      </c>
      <c r="B320" s="3077" t="s">
        <v>2099</v>
      </c>
      <c r="C320" s="3077" t="s">
        <v>2105</v>
      </c>
      <c r="D320" s="3077" t="s">
        <v>2432</v>
      </c>
      <c r="E320" s="5111"/>
      <c r="F320" s="2216" t="s">
        <v>1038</v>
      </c>
      <c r="G320" s="3078" t="s">
        <v>1039</v>
      </c>
      <c r="H320" s="3079" t="s">
        <v>1503</v>
      </c>
      <c r="I320" s="3079" t="s">
        <v>1504</v>
      </c>
      <c r="J320" s="3080" t="s">
        <v>2446</v>
      </c>
      <c r="K320" s="3079" t="s">
        <v>1506</v>
      </c>
      <c r="L320" s="3081" t="s">
        <v>15</v>
      </c>
      <c r="M320" s="1927"/>
      <c r="N320" s="1927"/>
      <c r="O320" s="1927"/>
    </row>
    <row r="321" spans="1:15">
      <c r="A321" s="3087" t="s">
        <v>3</v>
      </c>
      <c r="B321" s="3087">
        <v>2545</v>
      </c>
      <c r="C321" s="3088">
        <v>1239</v>
      </c>
      <c r="D321" s="3089">
        <f>C321*100/B321</f>
        <v>48.683693516699414</v>
      </c>
      <c r="E321" s="3089"/>
      <c r="F321" s="3090">
        <v>0.80145278450363189</v>
      </c>
      <c r="G321" s="3090">
        <v>0.19854721549636803</v>
      </c>
      <c r="H321" s="3090">
        <v>4.1540020263424522E-2</v>
      </c>
      <c r="I321" s="3091">
        <v>4.0526849037487336E-2</v>
      </c>
      <c r="J321" s="3091">
        <v>0.13272543059777103</v>
      </c>
      <c r="K321" s="3092">
        <v>0.1773049645390071</v>
      </c>
      <c r="L321" s="3092">
        <v>0.60790273556231</v>
      </c>
      <c r="M321" s="1928"/>
      <c r="N321" s="1928"/>
      <c r="O321" s="1928"/>
    </row>
    <row r="322" spans="1:15">
      <c r="A322" s="3093" t="s">
        <v>25</v>
      </c>
      <c r="B322" s="3093">
        <v>6728</v>
      </c>
      <c r="C322" s="3094">
        <v>3228</v>
      </c>
      <c r="D322" s="3095">
        <f>C322*100/B322</f>
        <v>47.978596908442327</v>
      </c>
      <c r="E322" s="3095"/>
      <c r="F322" s="3096">
        <v>0.75512075817792723</v>
      </c>
      <c r="G322" s="3096">
        <v>0.24487924182207277</v>
      </c>
      <c r="H322" s="3096">
        <v>2.9268292682926828E-2</v>
      </c>
      <c r="I322" s="3097">
        <v>4.2682926829268296E-2</v>
      </c>
      <c r="J322" s="3097">
        <v>0.10365853658536585</v>
      </c>
      <c r="K322" s="3098">
        <v>0.17195121951219514</v>
      </c>
      <c r="L322" s="3098">
        <v>0.65243902439024393</v>
      </c>
      <c r="M322" s="1929"/>
      <c r="N322" s="1930"/>
      <c r="O322" s="1930"/>
    </row>
    <row r="323" spans="1:15">
      <c r="A323" s="3093" t="s">
        <v>48</v>
      </c>
      <c r="B323" s="3093">
        <v>4210</v>
      </c>
      <c r="C323" s="3094">
        <v>2042</v>
      </c>
      <c r="D323" s="3095">
        <f>C323*100/B323</f>
        <v>48.503562945368174</v>
      </c>
      <c r="E323" s="3095"/>
      <c r="F323" s="3096">
        <v>0.82479919678714864</v>
      </c>
      <c r="G323" s="3096">
        <v>0.17520080321285139</v>
      </c>
      <c r="H323" s="3096">
        <v>2.3809523809523808E-2</v>
      </c>
      <c r="I323" s="3097">
        <v>3.724053724053724E-2</v>
      </c>
      <c r="J323" s="3097">
        <v>0.10622710622710622</v>
      </c>
      <c r="K323" s="3098">
        <v>0.18437118437118435</v>
      </c>
      <c r="L323" s="3098">
        <v>0.64835164835164827</v>
      </c>
      <c r="M323" s="1929"/>
      <c r="N323" s="1930"/>
      <c r="O323" s="1930"/>
    </row>
    <row r="324" spans="1:15">
      <c r="A324" s="3099" t="s">
        <v>59</v>
      </c>
      <c r="B324" s="3099">
        <v>180</v>
      </c>
      <c r="C324" s="3100">
        <v>62</v>
      </c>
      <c r="D324" s="3101">
        <f>C324*100/B324</f>
        <v>34.444444444444443</v>
      </c>
      <c r="E324" s="3101"/>
      <c r="F324" s="3102">
        <v>0.72131147540983609</v>
      </c>
      <c r="G324" s="3102">
        <v>0.27868852459016397</v>
      </c>
      <c r="H324" s="3102">
        <v>6.9767441860465115E-2</v>
      </c>
      <c r="I324" s="3103">
        <v>4.6511627906976744E-2</v>
      </c>
      <c r="J324" s="3103">
        <v>0.23255813953488372</v>
      </c>
      <c r="K324" s="3104">
        <v>0.32558139534883723</v>
      </c>
      <c r="L324" s="3104">
        <v>0.32558139534883723</v>
      </c>
      <c r="M324" s="1929"/>
      <c r="N324" s="1930"/>
      <c r="O324" s="1930"/>
    </row>
    <row r="325" spans="1:15">
      <c r="A325" s="3077" t="s">
        <v>15</v>
      </c>
      <c r="B325" s="3077">
        <v>13663</v>
      </c>
      <c r="C325" s="3082">
        <f>SUM(C321:C324)</f>
        <v>6571</v>
      </c>
      <c r="D325" s="3083">
        <f>C325*100/B325</f>
        <v>48.093390909756273</v>
      </c>
      <c r="E325" s="5116"/>
      <c r="F325" s="2217">
        <v>0.78470211793387168</v>
      </c>
      <c r="G325" s="3084">
        <v>0.21529788206612829</v>
      </c>
      <c r="H325" s="3084">
        <v>3.0226209048361933E-2</v>
      </c>
      <c r="I325" s="3085">
        <v>4.056162246489859E-2</v>
      </c>
      <c r="J325" s="3085">
        <v>0.1111544461778471</v>
      </c>
      <c r="K325" s="3086">
        <v>0.17823712948517939</v>
      </c>
      <c r="L325" s="3086">
        <v>0.63982059282371295</v>
      </c>
      <c r="M325" s="1929"/>
      <c r="N325" s="1930"/>
      <c r="O325" s="1930"/>
    </row>
    <row r="326" spans="1:15" ht="15.6">
      <c r="A326" s="1923"/>
      <c r="B326" s="1923"/>
      <c r="C326" s="1921"/>
      <c r="D326" s="1921"/>
      <c r="E326" s="1921"/>
      <c r="F326" s="1921"/>
      <c r="G326" s="1921"/>
      <c r="H326" s="1921"/>
      <c r="I326" s="1921"/>
      <c r="J326" s="1921"/>
      <c r="K326" s="1921"/>
      <c r="L326" s="1931"/>
      <c r="M326" s="1932"/>
      <c r="N326" s="1929"/>
      <c r="O326" s="1930"/>
    </row>
    <row r="327" spans="1:15">
      <c r="A327" s="2203"/>
      <c r="B327" s="2214"/>
      <c r="C327" s="2203"/>
      <c r="D327" s="2203"/>
      <c r="E327" s="2203"/>
      <c r="F327" s="2203"/>
      <c r="G327" s="2203"/>
      <c r="H327" s="2203"/>
      <c r="I327" s="2215" t="s">
        <v>2445</v>
      </c>
      <c r="J327" s="2215"/>
      <c r="K327" s="2215" t="s">
        <v>1502</v>
      </c>
      <c r="L327" s="2215"/>
      <c r="M327" s="2215"/>
      <c r="N327" s="2215"/>
      <c r="O327" s="2215"/>
    </row>
    <row r="328" spans="1:15">
      <c r="A328" s="4293" t="s">
        <v>0</v>
      </c>
      <c r="B328" s="4294" t="s">
        <v>1</v>
      </c>
      <c r="C328" s="4295" t="s">
        <v>2447</v>
      </c>
      <c r="D328" s="4293" t="s">
        <v>1009</v>
      </c>
      <c r="E328" s="5117"/>
      <c r="F328" s="4295" t="s">
        <v>2630</v>
      </c>
      <c r="G328" s="4295" t="s">
        <v>2105</v>
      </c>
      <c r="H328" s="4294" t="s">
        <v>2432</v>
      </c>
      <c r="I328" s="4295" t="s">
        <v>1038</v>
      </c>
      <c r="J328" s="4295" t="s">
        <v>1039</v>
      </c>
      <c r="K328" s="4296" t="s">
        <v>1503</v>
      </c>
      <c r="L328" s="4296" t="s">
        <v>1504</v>
      </c>
      <c r="M328" s="4297" t="s">
        <v>2446</v>
      </c>
      <c r="N328" s="4296" t="s">
        <v>1506</v>
      </c>
      <c r="O328" s="4298" t="s">
        <v>15</v>
      </c>
    </row>
    <row r="329" spans="1:15">
      <c r="A329" s="5793" t="s">
        <v>3</v>
      </c>
      <c r="B329" s="5794" t="s">
        <v>2439</v>
      </c>
      <c r="C329" s="4299" t="s">
        <v>273</v>
      </c>
      <c r="D329" s="5799" t="s">
        <v>247</v>
      </c>
      <c r="E329" s="4859"/>
      <c r="F329" s="4300">
        <v>97</v>
      </c>
      <c r="G329" s="4300">
        <v>35</v>
      </c>
      <c r="H329" s="4301">
        <f>G329*100/F329</f>
        <v>36.082474226804123</v>
      </c>
      <c r="I329" s="4302">
        <v>0.8</v>
      </c>
      <c r="J329" s="4302">
        <v>0.2</v>
      </c>
      <c r="K329" s="4303">
        <v>0</v>
      </c>
      <c r="L329" s="4302">
        <v>7.407407407407407E-2</v>
      </c>
      <c r="M329" s="4302">
        <v>3.7037037037037035E-2</v>
      </c>
      <c r="N329" s="4302">
        <v>3.7037037037037035E-2</v>
      </c>
      <c r="O329" s="4302">
        <v>0.85185185185185186</v>
      </c>
    </row>
    <row r="330" spans="1:15">
      <c r="A330" s="5793"/>
      <c r="B330" s="5794"/>
      <c r="C330" s="4304" t="s">
        <v>2448</v>
      </c>
      <c r="D330" s="5796"/>
      <c r="E330" s="4860"/>
      <c r="F330" s="4305">
        <v>284</v>
      </c>
      <c r="G330" s="4305">
        <v>197</v>
      </c>
      <c r="H330" s="4306">
        <f t="shared" ref="H330:H393" si="5">G330*100/F330</f>
        <v>69.366197183098592</v>
      </c>
      <c r="I330" s="4307">
        <v>0.77419354838709675</v>
      </c>
      <c r="J330" s="4307">
        <v>0.22580645161290325</v>
      </c>
      <c r="K330" s="4307">
        <v>7.4999999999999997E-2</v>
      </c>
      <c r="L330" s="4307">
        <v>6.6666666666666666E-2</v>
      </c>
      <c r="M330" s="4307">
        <v>0.15833333333333333</v>
      </c>
      <c r="N330" s="4307">
        <v>0.20833333333333331</v>
      </c>
      <c r="O330" s="4307">
        <v>0.49166666666666664</v>
      </c>
    </row>
    <row r="331" spans="1:15">
      <c r="A331" s="5793"/>
      <c r="B331" s="5794"/>
      <c r="C331" s="4304" t="s">
        <v>2631</v>
      </c>
      <c r="D331" s="5796"/>
      <c r="E331" s="4860"/>
      <c r="F331" s="4305">
        <v>108</v>
      </c>
      <c r="G331" s="4305">
        <v>64</v>
      </c>
      <c r="H331" s="4306">
        <f t="shared" si="5"/>
        <v>59.25925925925926</v>
      </c>
      <c r="I331" s="4307">
        <v>0.9375</v>
      </c>
      <c r="J331" s="4307">
        <v>6.25E-2</v>
      </c>
      <c r="K331" s="4307">
        <v>1.6949152542372881E-2</v>
      </c>
      <c r="L331" s="4308">
        <v>0</v>
      </c>
      <c r="M331" s="4307">
        <v>3.3898305084745763E-2</v>
      </c>
      <c r="N331" s="4307">
        <v>8.4745762711864417E-2</v>
      </c>
      <c r="O331" s="4307">
        <v>0.86440677966101687</v>
      </c>
    </row>
    <row r="332" spans="1:15">
      <c r="A332" s="5793"/>
      <c r="B332" s="5794"/>
      <c r="C332" s="4304" t="s">
        <v>669</v>
      </c>
      <c r="D332" s="5796"/>
      <c r="E332" s="4860"/>
      <c r="F332" s="4305">
        <v>40</v>
      </c>
      <c r="G332" s="4305">
        <v>33</v>
      </c>
      <c r="H332" s="4306">
        <f t="shared" si="5"/>
        <v>82.5</v>
      </c>
      <c r="I332" s="4307">
        <v>0.5757575757575758</v>
      </c>
      <c r="J332" s="4307">
        <v>0.4242424242424242</v>
      </c>
      <c r="K332" s="4307">
        <v>0.15</v>
      </c>
      <c r="L332" s="4307">
        <v>0.15</v>
      </c>
      <c r="M332" s="4307">
        <v>0.3</v>
      </c>
      <c r="N332" s="4307">
        <v>0.05</v>
      </c>
      <c r="O332" s="4307">
        <v>0.35</v>
      </c>
    </row>
    <row r="333" spans="1:15">
      <c r="A333" s="5793"/>
      <c r="B333" s="5794"/>
      <c r="C333" s="4304" t="s">
        <v>668</v>
      </c>
      <c r="D333" s="5796"/>
      <c r="E333" s="4860"/>
      <c r="F333" s="4305">
        <v>14</v>
      </c>
      <c r="G333" s="4305">
        <v>4</v>
      </c>
      <c r="H333" s="4306">
        <f t="shared" si="5"/>
        <v>28.571428571428573</v>
      </c>
      <c r="I333" s="4307">
        <v>0.75</v>
      </c>
      <c r="J333" s="4307">
        <v>0.25</v>
      </c>
      <c r="K333" s="4308">
        <v>0</v>
      </c>
      <c r="L333" s="4307">
        <v>0.33333333333333337</v>
      </c>
      <c r="M333" s="4308">
        <v>0</v>
      </c>
      <c r="N333" s="4308">
        <v>0</v>
      </c>
      <c r="O333" s="4307">
        <v>0.66666666666666674</v>
      </c>
    </row>
    <row r="334" spans="1:15">
      <c r="A334" s="5793"/>
      <c r="B334" s="5794"/>
      <c r="C334" s="4304" t="s">
        <v>2537</v>
      </c>
      <c r="D334" s="5796"/>
      <c r="E334" s="4860"/>
      <c r="F334" s="4305">
        <v>52</v>
      </c>
      <c r="G334" s="4305">
        <v>0</v>
      </c>
      <c r="H334" s="4306">
        <f t="shared" si="5"/>
        <v>0</v>
      </c>
      <c r="I334" s="4305" t="s">
        <v>618</v>
      </c>
      <c r="J334" s="4305" t="s">
        <v>618</v>
      </c>
      <c r="K334" s="4309" t="s">
        <v>618</v>
      </c>
      <c r="L334" s="4310" t="s">
        <v>618</v>
      </c>
      <c r="M334" s="4310" t="s">
        <v>618</v>
      </c>
      <c r="N334" s="4310" t="s">
        <v>618</v>
      </c>
      <c r="O334" s="4310"/>
    </row>
    <row r="335" spans="1:15">
      <c r="A335" s="5793"/>
      <c r="B335" s="5794"/>
      <c r="C335" s="4304" t="s">
        <v>2448</v>
      </c>
      <c r="D335" s="5796" t="s">
        <v>248</v>
      </c>
      <c r="E335" s="4860"/>
      <c r="F335" s="4305">
        <v>77</v>
      </c>
      <c r="G335" s="4305">
        <v>25</v>
      </c>
      <c r="H335" s="4306">
        <f t="shared" si="5"/>
        <v>32.467532467532465</v>
      </c>
      <c r="I335" s="4307">
        <v>0.8</v>
      </c>
      <c r="J335" s="4307">
        <v>0.2</v>
      </c>
      <c r="K335" s="4307">
        <v>0.05</v>
      </c>
      <c r="L335" s="4308">
        <v>0</v>
      </c>
      <c r="M335" s="4307">
        <v>0.15</v>
      </c>
      <c r="N335" s="4307">
        <v>0.05</v>
      </c>
      <c r="O335" s="4307">
        <v>0.75</v>
      </c>
    </row>
    <row r="336" spans="1:15">
      <c r="A336" s="5793"/>
      <c r="B336" s="5794"/>
      <c r="C336" s="4304" t="s">
        <v>2631</v>
      </c>
      <c r="D336" s="5796"/>
      <c r="E336" s="4860"/>
      <c r="F336" s="4305">
        <v>9</v>
      </c>
      <c r="G336" s="4305">
        <v>8</v>
      </c>
      <c r="H336" s="4306">
        <f t="shared" si="5"/>
        <v>88.888888888888886</v>
      </c>
      <c r="I336" s="4307">
        <v>1</v>
      </c>
      <c r="J336" s="4308">
        <v>0</v>
      </c>
      <c r="K336" s="4308">
        <v>0</v>
      </c>
      <c r="L336" s="4308">
        <v>0</v>
      </c>
      <c r="M336" s="4307">
        <v>0.125</v>
      </c>
      <c r="N336" s="4307">
        <v>0.25</v>
      </c>
      <c r="O336" s="4307">
        <v>0.625</v>
      </c>
    </row>
    <row r="337" spans="1:15">
      <c r="A337" s="5793"/>
      <c r="B337" s="5794"/>
      <c r="C337" s="4304" t="s">
        <v>669</v>
      </c>
      <c r="D337" s="5796"/>
      <c r="E337" s="4860"/>
      <c r="F337" s="4305">
        <v>2</v>
      </c>
      <c r="G337" s="4305">
        <v>0</v>
      </c>
      <c r="H337" s="4306">
        <f t="shared" si="5"/>
        <v>0</v>
      </c>
      <c r="I337" s="4305" t="s">
        <v>618</v>
      </c>
      <c r="J337" s="4305" t="s">
        <v>618</v>
      </c>
      <c r="K337" s="4309" t="s">
        <v>618</v>
      </c>
      <c r="L337" s="4310" t="s">
        <v>618</v>
      </c>
      <c r="M337" s="4310" t="s">
        <v>618</v>
      </c>
      <c r="N337" s="4310" t="s">
        <v>618</v>
      </c>
      <c r="O337" s="4310" t="s">
        <v>618</v>
      </c>
    </row>
    <row r="338" spans="1:15">
      <c r="A338" s="5793"/>
      <c r="B338" s="5794"/>
      <c r="C338" s="4304" t="s">
        <v>668</v>
      </c>
      <c r="D338" s="5796"/>
      <c r="E338" s="4860"/>
      <c r="F338" s="4305">
        <v>3</v>
      </c>
      <c r="G338" s="4305">
        <v>0</v>
      </c>
      <c r="H338" s="4306">
        <f t="shared" si="5"/>
        <v>0</v>
      </c>
      <c r="I338" s="4305" t="s">
        <v>618</v>
      </c>
      <c r="J338" s="4305" t="s">
        <v>618</v>
      </c>
      <c r="K338" s="4309" t="s">
        <v>618</v>
      </c>
      <c r="L338" s="4310" t="s">
        <v>618</v>
      </c>
      <c r="M338" s="4310" t="s">
        <v>618</v>
      </c>
      <c r="N338" s="4310" t="s">
        <v>618</v>
      </c>
      <c r="O338" s="4310" t="s">
        <v>618</v>
      </c>
    </row>
    <row r="339" spans="1:15">
      <c r="A339" s="5793"/>
      <c r="B339" s="5794"/>
      <c r="C339" s="4311" t="s">
        <v>2537</v>
      </c>
      <c r="D339" s="5797"/>
      <c r="E339" s="4864"/>
      <c r="F339" s="4312">
        <v>7</v>
      </c>
      <c r="G339" s="4312">
        <v>0</v>
      </c>
      <c r="H339" s="4313">
        <f t="shared" si="5"/>
        <v>0</v>
      </c>
      <c r="I339" s="4312" t="s">
        <v>618</v>
      </c>
      <c r="J339" s="4312" t="s">
        <v>618</v>
      </c>
      <c r="K339" s="4314" t="s">
        <v>618</v>
      </c>
      <c r="L339" s="4315" t="s">
        <v>618</v>
      </c>
      <c r="M339" s="4315" t="s">
        <v>618</v>
      </c>
      <c r="N339" s="4315" t="s">
        <v>618</v>
      </c>
      <c r="O339" s="4315" t="s">
        <v>618</v>
      </c>
    </row>
    <row r="340" spans="1:15" ht="15" customHeight="1">
      <c r="A340" s="5793"/>
      <c r="B340" s="5794" t="s">
        <v>2434</v>
      </c>
      <c r="C340" s="4316" t="s">
        <v>2295</v>
      </c>
      <c r="D340" s="5795" t="s">
        <v>265</v>
      </c>
      <c r="E340" s="4861"/>
      <c r="F340" s="4317">
        <v>325</v>
      </c>
      <c r="G340" s="4317">
        <v>214</v>
      </c>
      <c r="H340" s="4318">
        <f t="shared" si="5"/>
        <v>65.84615384615384</v>
      </c>
      <c r="I340" s="4319">
        <v>0.84112149532710279</v>
      </c>
      <c r="J340" s="4319">
        <v>0.15887850467289721</v>
      </c>
      <c r="K340" s="4319">
        <v>6.0773480662983423E-2</v>
      </c>
      <c r="L340" s="4319">
        <v>1.1049723756906079E-2</v>
      </c>
      <c r="M340" s="4319">
        <v>0.143646408839779</v>
      </c>
      <c r="N340" s="4319">
        <v>0.21546961325966851</v>
      </c>
      <c r="O340" s="4319">
        <v>0.56906077348066297</v>
      </c>
    </row>
    <row r="341" spans="1:15">
      <c r="A341" s="5793"/>
      <c r="B341" s="5794"/>
      <c r="C341" s="4304" t="s">
        <v>342</v>
      </c>
      <c r="D341" s="5796"/>
      <c r="E341" s="4860"/>
      <c r="F341" s="4305">
        <v>76</v>
      </c>
      <c r="G341" s="4305">
        <v>52</v>
      </c>
      <c r="H341" s="4306">
        <f t="shared" si="5"/>
        <v>68.421052631578945</v>
      </c>
      <c r="I341" s="4307">
        <v>0.86538461538461531</v>
      </c>
      <c r="J341" s="4307">
        <v>0.13461538461538461</v>
      </c>
      <c r="K341" s="4307">
        <v>2.2222222222222223E-2</v>
      </c>
      <c r="L341" s="4307">
        <v>6.6666666666666666E-2</v>
      </c>
      <c r="M341" s="4307">
        <v>6.6666666666666666E-2</v>
      </c>
      <c r="N341" s="4307">
        <v>0.22222222222222221</v>
      </c>
      <c r="O341" s="4307">
        <v>0.62222222222222223</v>
      </c>
    </row>
    <row r="342" spans="1:15">
      <c r="A342" s="5793"/>
      <c r="B342" s="5794"/>
      <c r="C342" s="4304" t="s">
        <v>119</v>
      </c>
      <c r="D342" s="5796"/>
      <c r="E342" s="4860"/>
      <c r="F342" s="4305">
        <v>1</v>
      </c>
      <c r="G342" s="4305">
        <v>0</v>
      </c>
      <c r="H342" s="4306">
        <f t="shared" si="5"/>
        <v>0</v>
      </c>
      <c r="I342" s="4305" t="s">
        <v>618</v>
      </c>
      <c r="J342" s="4305" t="s">
        <v>618</v>
      </c>
      <c r="K342" s="4309" t="s">
        <v>618</v>
      </c>
      <c r="L342" s="4310" t="s">
        <v>618</v>
      </c>
      <c r="M342" s="4310" t="s">
        <v>618</v>
      </c>
      <c r="N342" s="4310" t="s">
        <v>618</v>
      </c>
      <c r="O342" s="4310" t="s">
        <v>618</v>
      </c>
    </row>
    <row r="343" spans="1:15">
      <c r="A343" s="5793"/>
      <c r="B343" s="5794"/>
      <c r="C343" s="4304" t="s">
        <v>278</v>
      </c>
      <c r="D343" s="5796" t="s">
        <v>247</v>
      </c>
      <c r="E343" s="4860"/>
      <c r="F343" s="4305">
        <v>177</v>
      </c>
      <c r="G343" s="4305">
        <v>88</v>
      </c>
      <c r="H343" s="4306">
        <f t="shared" si="5"/>
        <v>49.717514124293785</v>
      </c>
      <c r="I343" s="4307">
        <v>0.84090909090909094</v>
      </c>
      <c r="J343" s="4307">
        <v>0.15909090909090909</v>
      </c>
      <c r="K343" s="4307">
        <v>2.6666666666666665E-2</v>
      </c>
      <c r="L343" s="4307">
        <v>0.04</v>
      </c>
      <c r="M343" s="4307">
        <v>0.21333333333333332</v>
      </c>
      <c r="N343" s="4307">
        <v>0.12</v>
      </c>
      <c r="O343" s="4307">
        <v>0.6</v>
      </c>
    </row>
    <row r="344" spans="1:15">
      <c r="A344" s="5793"/>
      <c r="B344" s="5794"/>
      <c r="C344" s="4304" t="s">
        <v>277</v>
      </c>
      <c r="D344" s="5796"/>
      <c r="E344" s="4860"/>
      <c r="F344" s="4305">
        <v>156</v>
      </c>
      <c r="G344" s="4305">
        <v>100</v>
      </c>
      <c r="H344" s="4306">
        <f t="shared" si="5"/>
        <v>64.102564102564102</v>
      </c>
      <c r="I344" s="4307">
        <v>0.79</v>
      </c>
      <c r="J344" s="4307">
        <v>0.21</v>
      </c>
      <c r="K344" s="4307">
        <v>3.8461538461538464E-2</v>
      </c>
      <c r="L344" s="4307">
        <v>3.8461538461538464E-2</v>
      </c>
      <c r="M344" s="4307">
        <v>0.19230769230769229</v>
      </c>
      <c r="N344" s="4307">
        <v>0.30769230769230771</v>
      </c>
      <c r="O344" s="4307">
        <v>0.42307692307692307</v>
      </c>
    </row>
    <row r="345" spans="1:15">
      <c r="A345" s="5793"/>
      <c r="B345" s="5794"/>
      <c r="C345" s="4304" t="s">
        <v>472</v>
      </c>
      <c r="D345" s="5796"/>
      <c r="E345" s="4860"/>
      <c r="F345" s="4305">
        <v>59</v>
      </c>
      <c r="G345" s="4305">
        <v>34</v>
      </c>
      <c r="H345" s="4306">
        <f t="shared" si="5"/>
        <v>57.627118644067799</v>
      </c>
      <c r="I345" s="4307">
        <v>0.73529411764705888</v>
      </c>
      <c r="J345" s="4307">
        <v>0.26470588235294118</v>
      </c>
      <c r="K345" s="4308">
        <v>0</v>
      </c>
      <c r="L345" s="4307">
        <v>4.1666666666666671E-2</v>
      </c>
      <c r="M345" s="4307">
        <v>0.16666666666666669</v>
      </c>
      <c r="N345" s="4307">
        <v>0.125</v>
      </c>
      <c r="O345" s="4307">
        <v>0.66666666666666674</v>
      </c>
    </row>
    <row r="346" spans="1:15">
      <c r="A346" s="5793"/>
      <c r="B346" s="5794"/>
      <c r="C346" s="4304" t="s">
        <v>2490</v>
      </c>
      <c r="D346" s="5796"/>
      <c r="E346" s="4860"/>
      <c r="F346" s="4305">
        <v>8</v>
      </c>
      <c r="G346" s="4305">
        <v>7</v>
      </c>
      <c r="H346" s="4306">
        <f t="shared" si="5"/>
        <v>87.5</v>
      </c>
      <c r="I346" s="4307">
        <v>0.42857142857142855</v>
      </c>
      <c r="J346" s="4307">
        <v>0.57142857142857151</v>
      </c>
      <c r="K346" s="4308">
        <v>0</v>
      </c>
      <c r="L346" s="4308">
        <v>0</v>
      </c>
      <c r="M346" s="4308">
        <v>0</v>
      </c>
      <c r="N346" s="4307">
        <v>0.33333333333333337</v>
      </c>
      <c r="O346" s="4307">
        <v>0.66666666666666674</v>
      </c>
    </row>
    <row r="347" spans="1:15">
      <c r="A347" s="5793"/>
      <c r="B347" s="5794"/>
      <c r="C347" s="4304" t="s">
        <v>2632</v>
      </c>
      <c r="D347" s="5796"/>
      <c r="E347" s="4860"/>
      <c r="F347" s="4305">
        <v>87</v>
      </c>
      <c r="G347" s="4305">
        <v>30</v>
      </c>
      <c r="H347" s="4306">
        <f t="shared" si="5"/>
        <v>34.482758620689658</v>
      </c>
      <c r="I347" s="4307">
        <v>0.73333333333333328</v>
      </c>
      <c r="J347" s="4307">
        <v>0.26666666666666666</v>
      </c>
      <c r="K347" s="4308">
        <v>0</v>
      </c>
      <c r="L347" s="4307">
        <v>4.5454545454545456E-2</v>
      </c>
      <c r="M347" s="4307">
        <v>9.0909090909090912E-2</v>
      </c>
      <c r="N347" s="4307">
        <v>0.40909090909090906</v>
      </c>
      <c r="O347" s="4307">
        <v>0.45454545454545453</v>
      </c>
    </row>
    <row r="348" spans="1:15">
      <c r="A348" s="5793"/>
      <c r="B348" s="5794"/>
      <c r="C348" s="4304" t="s">
        <v>119</v>
      </c>
      <c r="D348" s="5796"/>
      <c r="E348" s="4860"/>
      <c r="F348" s="4305">
        <v>27</v>
      </c>
      <c r="G348" s="4305">
        <v>20</v>
      </c>
      <c r="H348" s="4306">
        <f t="shared" si="5"/>
        <v>74.074074074074076</v>
      </c>
      <c r="I348" s="4307">
        <v>0.55000000000000004</v>
      </c>
      <c r="J348" s="4307">
        <v>0.45</v>
      </c>
      <c r="K348" s="4308">
        <v>0</v>
      </c>
      <c r="L348" s="4308">
        <v>0</v>
      </c>
      <c r="M348" s="4307">
        <v>0.1</v>
      </c>
      <c r="N348" s="4307">
        <v>0.4</v>
      </c>
      <c r="O348" s="4307">
        <v>0.5</v>
      </c>
    </row>
    <row r="349" spans="1:15">
      <c r="A349" s="5793"/>
      <c r="B349" s="5794"/>
      <c r="C349" s="4304" t="s">
        <v>1909</v>
      </c>
      <c r="D349" s="5796"/>
      <c r="E349" s="4860"/>
      <c r="F349" s="4305">
        <v>27</v>
      </c>
      <c r="G349" s="4305">
        <v>6</v>
      </c>
      <c r="H349" s="4306">
        <f t="shared" si="5"/>
        <v>22.222222222222221</v>
      </c>
      <c r="I349" s="4307">
        <v>0.83333333333333326</v>
      </c>
      <c r="J349" s="4307">
        <v>0.16666666666666669</v>
      </c>
      <c r="K349" s="4308">
        <v>0</v>
      </c>
      <c r="L349" s="4308">
        <v>0</v>
      </c>
      <c r="M349" s="4308">
        <v>0</v>
      </c>
      <c r="N349" s="4307">
        <v>0.2</v>
      </c>
      <c r="O349" s="4307">
        <v>0.8</v>
      </c>
    </row>
    <row r="350" spans="1:15">
      <c r="A350" s="5793"/>
      <c r="B350" s="5794"/>
      <c r="C350" s="4304" t="s">
        <v>2490</v>
      </c>
      <c r="D350" s="5796" t="s">
        <v>248</v>
      </c>
      <c r="E350" s="4860"/>
      <c r="F350" s="4305">
        <v>6</v>
      </c>
      <c r="G350" s="4305">
        <v>2</v>
      </c>
      <c r="H350" s="4306">
        <f t="shared" si="5"/>
        <v>33.333333333333336</v>
      </c>
      <c r="I350" s="4307">
        <v>1</v>
      </c>
      <c r="J350" s="4308">
        <v>0</v>
      </c>
      <c r="K350" s="4308">
        <v>0</v>
      </c>
      <c r="L350" s="4308">
        <v>0</v>
      </c>
      <c r="M350" s="4308">
        <v>0</v>
      </c>
      <c r="N350" s="4307">
        <v>0.5</v>
      </c>
      <c r="O350" s="4307">
        <v>0.5</v>
      </c>
    </row>
    <row r="351" spans="1:15">
      <c r="A351" s="5793"/>
      <c r="B351" s="5794"/>
      <c r="C351" s="4304" t="s">
        <v>2632</v>
      </c>
      <c r="D351" s="5796"/>
      <c r="E351" s="4860"/>
      <c r="F351" s="4305">
        <v>37</v>
      </c>
      <c r="G351" s="4305">
        <v>23</v>
      </c>
      <c r="H351" s="4306">
        <f t="shared" si="5"/>
        <v>62.162162162162161</v>
      </c>
      <c r="I351" s="4307">
        <v>0.73913043478260876</v>
      </c>
      <c r="J351" s="4307">
        <v>0.2608695652173913</v>
      </c>
      <c r="K351" s="4308">
        <v>0</v>
      </c>
      <c r="L351" s="4308">
        <v>0</v>
      </c>
      <c r="M351" s="4307">
        <v>5.8823529411764712E-2</v>
      </c>
      <c r="N351" s="4307">
        <v>0.17647058823529413</v>
      </c>
      <c r="O351" s="4307">
        <v>0.76470588235294112</v>
      </c>
    </row>
    <row r="352" spans="1:15">
      <c r="A352" s="5793"/>
      <c r="B352" s="5794"/>
      <c r="C352" s="4311" t="s">
        <v>119</v>
      </c>
      <c r="D352" s="5797"/>
      <c r="E352" s="4864"/>
      <c r="F352" s="4312">
        <v>26</v>
      </c>
      <c r="G352" s="4312">
        <v>11</v>
      </c>
      <c r="H352" s="4313">
        <f t="shared" si="5"/>
        <v>42.307692307692307</v>
      </c>
      <c r="I352" s="4320">
        <v>0.81818181818181812</v>
      </c>
      <c r="J352" s="4320">
        <v>0.18181818181818182</v>
      </c>
      <c r="K352" s="4321">
        <v>0</v>
      </c>
      <c r="L352" s="4321">
        <v>0</v>
      </c>
      <c r="M352" s="4320">
        <v>0.22222222222222221</v>
      </c>
      <c r="N352" s="4320">
        <v>0.22222222222222221</v>
      </c>
      <c r="O352" s="4320">
        <v>0.55555555555555558</v>
      </c>
    </row>
    <row r="353" spans="1:15" ht="15" customHeight="1">
      <c r="A353" s="5793"/>
      <c r="B353" s="5794" t="s">
        <v>2435</v>
      </c>
      <c r="C353" s="4316" t="s">
        <v>2279</v>
      </c>
      <c r="D353" s="5795" t="s">
        <v>265</v>
      </c>
      <c r="E353" s="4861"/>
      <c r="F353" s="4317">
        <v>38</v>
      </c>
      <c r="G353" s="4317">
        <v>16</v>
      </c>
      <c r="H353" s="4318">
        <f t="shared" si="5"/>
        <v>42.10526315789474</v>
      </c>
      <c r="I353" s="4319">
        <v>0.8125</v>
      </c>
      <c r="J353" s="4319">
        <v>0.1875</v>
      </c>
      <c r="K353" s="4322">
        <v>0</v>
      </c>
      <c r="L353" s="4322">
        <v>0</v>
      </c>
      <c r="M353" s="4319">
        <v>0.15384615384615385</v>
      </c>
      <c r="N353" s="4319">
        <v>7.6923076923076927E-2</v>
      </c>
      <c r="O353" s="4319">
        <v>0.76923076923076916</v>
      </c>
    </row>
    <row r="354" spans="1:15">
      <c r="A354" s="5793"/>
      <c r="B354" s="5794"/>
      <c r="C354" s="4304" t="s">
        <v>2633</v>
      </c>
      <c r="D354" s="5796"/>
      <c r="E354" s="4860"/>
      <c r="F354" s="4305">
        <v>374</v>
      </c>
      <c r="G354" s="4305">
        <v>158</v>
      </c>
      <c r="H354" s="4306">
        <f t="shared" si="5"/>
        <v>42.245989304812831</v>
      </c>
      <c r="I354" s="4307">
        <v>0.88148148148148153</v>
      </c>
      <c r="J354" s="4307">
        <v>0.11851851851851851</v>
      </c>
      <c r="K354" s="4307">
        <v>4.2735042735042736E-2</v>
      </c>
      <c r="L354" s="4307">
        <v>2.5641025641025644E-2</v>
      </c>
      <c r="M354" s="4307">
        <v>9.4017094017094016E-2</v>
      </c>
      <c r="N354" s="4307">
        <v>0.12820512820512822</v>
      </c>
      <c r="O354" s="4307">
        <v>0.70940170940170943</v>
      </c>
    </row>
    <row r="355" spans="1:15">
      <c r="A355" s="5793"/>
      <c r="B355" s="5794"/>
      <c r="C355" s="4304" t="s">
        <v>1638</v>
      </c>
      <c r="D355" s="5796"/>
      <c r="E355" s="4860"/>
      <c r="F355" s="4305">
        <v>13</v>
      </c>
      <c r="G355" s="4305">
        <v>0</v>
      </c>
      <c r="H355" s="4306">
        <f t="shared" si="5"/>
        <v>0</v>
      </c>
      <c r="I355" s="4305" t="s">
        <v>618</v>
      </c>
      <c r="J355" s="4305" t="s">
        <v>618</v>
      </c>
      <c r="K355" s="4309" t="s">
        <v>618</v>
      </c>
      <c r="L355" s="4310" t="s">
        <v>618</v>
      </c>
      <c r="M355" s="4310" t="s">
        <v>618</v>
      </c>
      <c r="N355" s="4310" t="s">
        <v>618</v>
      </c>
      <c r="O355" s="4310" t="s">
        <v>618</v>
      </c>
    </row>
    <row r="356" spans="1:15">
      <c r="A356" s="5793"/>
      <c r="B356" s="5794"/>
      <c r="C356" s="4304" t="s">
        <v>1639</v>
      </c>
      <c r="D356" s="5796"/>
      <c r="E356" s="4860"/>
      <c r="F356" s="4305">
        <v>1</v>
      </c>
      <c r="G356" s="4305">
        <v>0</v>
      </c>
      <c r="H356" s="4306">
        <f t="shared" si="5"/>
        <v>0</v>
      </c>
      <c r="I356" s="4305" t="s">
        <v>618</v>
      </c>
      <c r="J356" s="4305" t="s">
        <v>618</v>
      </c>
      <c r="K356" s="4309" t="s">
        <v>618</v>
      </c>
      <c r="L356" s="4310" t="s">
        <v>618</v>
      </c>
      <c r="M356" s="4310" t="s">
        <v>618</v>
      </c>
      <c r="N356" s="4310" t="s">
        <v>618</v>
      </c>
      <c r="O356" s="4310" t="s">
        <v>618</v>
      </c>
    </row>
    <row r="357" spans="1:15">
      <c r="A357" s="5793"/>
      <c r="B357" s="5794"/>
      <c r="C357" s="4304" t="s">
        <v>1640</v>
      </c>
      <c r="D357" s="5796"/>
      <c r="E357" s="4860"/>
      <c r="F357" s="4305">
        <v>4</v>
      </c>
      <c r="G357" s="4305">
        <v>0</v>
      </c>
      <c r="H357" s="4306">
        <f t="shared" si="5"/>
        <v>0</v>
      </c>
      <c r="I357" s="4305" t="s">
        <v>618</v>
      </c>
      <c r="J357" s="4305" t="s">
        <v>618</v>
      </c>
      <c r="K357" s="4309" t="s">
        <v>618</v>
      </c>
      <c r="L357" s="4310" t="s">
        <v>618</v>
      </c>
      <c r="M357" s="4310" t="s">
        <v>618</v>
      </c>
      <c r="N357" s="4310" t="s">
        <v>618</v>
      </c>
      <c r="O357" s="4310" t="s">
        <v>618</v>
      </c>
    </row>
    <row r="358" spans="1:15">
      <c r="A358" s="5793"/>
      <c r="B358" s="5794"/>
      <c r="C358" s="4304" t="s">
        <v>1637</v>
      </c>
      <c r="D358" s="5796"/>
      <c r="E358" s="4860"/>
      <c r="F358" s="4305">
        <v>14</v>
      </c>
      <c r="G358" s="4305">
        <v>4</v>
      </c>
      <c r="H358" s="4306">
        <f t="shared" si="5"/>
        <v>28.571428571428573</v>
      </c>
      <c r="I358" s="4307">
        <v>0.74074074074074081</v>
      </c>
      <c r="J358" s="4307">
        <v>0.2592592592592593</v>
      </c>
      <c r="K358" s="4307">
        <v>0.05</v>
      </c>
      <c r="L358" s="4307">
        <v>0.05</v>
      </c>
      <c r="M358" s="4307">
        <v>0.15</v>
      </c>
      <c r="N358" s="4307">
        <v>0.2</v>
      </c>
      <c r="O358" s="4307">
        <v>0.55000000000000004</v>
      </c>
    </row>
    <row r="359" spans="1:15">
      <c r="A359" s="5793"/>
      <c r="B359" s="5794"/>
      <c r="C359" s="4304" t="s">
        <v>1641</v>
      </c>
      <c r="D359" s="5796"/>
      <c r="E359" s="4860"/>
      <c r="F359" s="4305">
        <v>2</v>
      </c>
      <c r="G359" s="4305">
        <v>0</v>
      </c>
      <c r="H359" s="4306">
        <f t="shared" si="5"/>
        <v>0</v>
      </c>
      <c r="I359" s="4305" t="s">
        <v>618</v>
      </c>
      <c r="J359" s="4305" t="s">
        <v>618</v>
      </c>
      <c r="K359" s="4309" t="s">
        <v>618</v>
      </c>
      <c r="L359" s="4310" t="s">
        <v>618</v>
      </c>
      <c r="M359" s="4310" t="s">
        <v>618</v>
      </c>
      <c r="N359" s="4310" t="s">
        <v>618</v>
      </c>
      <c r="O359" s="4310" t="s">
        <v>618</v>
      </c>
    </row>
    <row r="360" spans="1:15">
      <c r="A360" s="5793"/>
      <c r="B360" s="5794"/>
      <c r="C360" s="4304" t="s">
        <v>2634</v>
      </c>
      <c r="D360" s="5796" t="s">
        <v>247</v>
      </c>
      <c r="E360" s="4860"/>
      <c r="F360" s="4305">
        <v>3</v>
      </c>
      <c r="G360" s="4305">
        <v>0</v>
      </c>
      <c r="H360" s="4306">
        <f t="shared" si="5"/>
        <v>0</v>
      </c>
      <c r="I360" s="4305" t="s">
        <v>618</v>
      </c>
      <c r="J360" s="4305" t="s">
        <v>618</v>
      </c>
      <c r="K360" s="4309" t="s">
        <v>618</v>
      </c>
      <c r="L360" s="4310" t="s">
        <v>618</v>
      </c>
      <c r="M360" s="4310" t="s">
        <v>618</v>
      </c>
      <c r="N360" s="4310" t="s">
        <v>618</v>
      </c>
      <c r="O360" s="4310" t="s">
        <v>618</v>
      </c>
    </row>
    <row r="361" spans="1:15">
      <c r="A361" s="5793"/>
      <c r="B361" s="5794"/>
      <c r="C361" s="4304" t="s">
        <v>2633</v>
      </c>
      <c r="D361" s="5796"/>
      <c r="E361" s="4860"/>
      <c r="F361" s="4305">
        <v>200</v>
      </c>
      <c r="G361" s="4305">
        <v>59</v>
      </c>
      <c r="H361" s="4306">
        <f t="shared" si="5"/>
        <v>29.5</v>
      </c>
      <c r="I361" s="4307">
        <v>0.76</v>
      </c>
      <c r="J361" s="4307">
        <v>0.24</v>
      </c>
      <c r="K361" s="4307">
        <v>2.5641025641025644E-2</v>
      </c>
      <c r="L361" s="4307">
        <v>7.6923076923076927E-2</v>
      </c>
      <c r="M361" s="4307">
        <v>0.10256410256410257</v>
      </c>
      <c r="N361" s="4307">
        <v>0.20512820512820515</v>
      </c>
      <c r="O361" s="4307">
        <v>0.58974358974358976</v>
      </c>
    </row>
    <row r="362" spans="1:15">
      <c r="A362" s="5793"/>
      <c r="B362" s="5794"/>
      <c r="C362" s="4304" t="s">
        <v>1638</v>
      </c>
      <c r="D362" s="5796"/>
      <c r="E362" s="4860"/>
      <c r="F362" s="4305">
        <v>23</v>
      </c>
      <c r="G362" s="4305">
        <v>0</v>
      </c>
      <c r="H362" s="4306">
        <f t="shared" si="5"/>
        <v>0</v>
      </c>
      <c r="I362" s="4305" t="s">
        <v>618</v>
      </c>
      <c r="J362" s="4305" t="s">
        <v>618</v>
      </c>
      <c r="K362" s="4309" t="s">
        <v>618</v>
      </c>
      <c r="L362" s="4310" t="s">
        <v>618</v>
      </c>
      <c r="M362" s="4310" t="s">
        <v>618</v>
      </c>
      <c r="N362" s="4310" t="s">
        <v>618</v>
      </c>
      <c r="O362" s="4310" t="s">
        <v>618</v>
      </c>
    </row>
    <row r="363" spans="1:15">
      <c r="A363" s="5793"/>
      <c r="B363" s="5794"/>
      <c r="C363" s="4304" t="s">
        <v>1639</v>
      </c>
      <c r="D363" s="5796"/>
      <c r="E363" s="4860"/>
      <c r="F363" s="4305">
        <v>14</v>
      </c>
      <c r="G363" s="4305">
        <v>0</v>
      </c>
      <c r="H363" s="4306">
        <f t="shared" si="5"/>
        <v>0</v>
      </c>
      <c r="I363" s="4305" t="s">
        <v>618</v>
      </c>
      <c r="J363" s="4305" t="s">
        <v>618</v>
      </c>
      <c r="K363" s="4309" t="s">
        <v>618</v>
      </c>
      <c r="L363" s="4310" t="s">
        <v>618</v>
      </c>
      <c r="M363" s="4310" t="s">
        <v>618</v>
      </c>
      <c r="N363" s="4310" t="s">
        <v>618</v>
      </c>
      <c r="O363" s="4310" t="s">
        <v>618</v>
      </c>
    </row>
    <row r="364" spans="1:15">
      <c r="A364" s="5793"/>
      <c r="B364" s="5794"/>
      <c r="C364" s="4304" t="s">
        <v>1640</v>
      </c>
      <c r="D364" s="5796"/>
      <c r="E364" s="4860"/>
      <c r="F364" s="4305">
        <v>25</v>
      </c>
      <c r="G364" s="4305">
        <v>24</v>
      </c>
      <c r="H364" s="4306">
        <f t="shared" si="5"/>
        <v>96</v>
      </c>
      <c r="I364" s="4307">
        <v>0.5</v>
      </c>
      <c r="J364" s="4307">
        <v>0.5</v>
      </c>
      <c r="K364" s="4308">
        <v>0</v>
      </c>
      <c r="L364" s="4307">
        <v>0.16666666666666669</v>
      </c>
      <c r="M364" s="4307">
        <v>0.16666666666666669</v>
      </c>
      <c r="N364" s="4307">
        <v>0.16666666666666669</v>
      </c>
      <c r="O364" s="4307">
        <v>0.5</v>
      </c>
    </row>
    <row r="365" spans="1:15">
      <c r="A365" s="5793"/>
      <c r="B365" s="5794"/>
      <c r="C365" s="4304" t="s">
        <v>1637</v>
      </c>
      <c r="D365" s="5796"/>
      <c r="E365" s="4860"/>
      <c r="F365" s="4305">
        <v>9</v>
      </c>
      <c r="G365" s="4305">
        <v>1</v>
      </c>
      <c r="H365" s="4306">
        <f t="shared" si="5"/>
        <v>11.111111111111111</v>
      </c>
      <c r="I365" s="4307">
        <v>0.3</v>
      </c>
      <c r="J365" s="4307">
        <v>0.7</v>
      </c>
      <c r="K365" s="4308">
        <v>0</v>
      </c>
      <c r="L365" s="4308">
        <v>0</v>
      </c>
      <c r="M365" s="4307">
        <v>0.33333333333333337</v>
      </c>
      <c r="N365" s="4308">
        <v>0</v>
      </c>
      <c r="O365" s="4307">
        <v>0.66666666666666674</v>
      </c>
    </row>
    <row r="366" spans="1:15">
      <c r="A366" s="5793"/>
      <c r="B366" s="5794"/>
      <c r="C366" s="4304" t="s">
        <v>1641</v>
      </c>
      <c r="D366" s="5796"/>
      <c r="E366" s="4860"/>
      <c r="F366" s="4305">
        <v>19</v>
      </c>
      <c r="G366" s="4305">
        <v>0</v>
      </c>
      <c r="H366" s="4306">
        <f t="shared" si="5"/>
        <v>0</v>
      </c>
      <c r="I366" s="4305" t="s">
        <v>618</v>
      </c>
      <c r="J366" s="4305" t="s">
        <v>618</v>
      </c>
      <c r="K366" s="4309" t="s">
        <v>618</v>
      </c>
      <c r="L366" s="4310" t="s">
        <v>618</v>
      </c>
      <c r="M366" s="4310" t="s">
        <v>618</v>
      </c>
      <c r="N366" s="4310" t="s">
        <v>618</v>
      </c>
      <c r="O366" s="4310" t="s">
        <v>618</v>
      </c>
    </row>
    <row r="367" spans="1:15">
      <c r="A367" s="5793"/>
      <c r="B367" s="5794"/>
      <c r="C367" s="4304" t="s">
        <v>1727</v>
      </c>
      <c r="D367" s="5796"/>
      <c r="E367" s="4860"/>
      <c r="F367" s="4305">
        <v>6</v>
      </c>
      <c r="G367" s="4305">
        <v>0</v>
      </c>
      <c r="H367" s="4306">
        <f t="shared" si="5"/>
        <v>0</v>
      </c>
      <c r="I367" s="4305" t="s">
        <v>618</v>
      </c>
      <c r="J367" s="4305" t="s">
        <v>618</v>
      </c>
      <c r="K367" s="4309" t="s">
        <v>618</v>
      </c>
      <c r="L367" s="4310" t="s">
        <v>618</v>
      </c>
      <c r="M367" s="4310" t="s">
        <v>618</v>
      </c>
      <c r="N367" s="4310" t="s">
        <v>618</v>
      </c>
      <c r="O367" s="4310" t="s">
        <v>618</v>
      </c>
    </row>
    <row r="368" spans="1:15">
      <c r="A368" s="5793"/>
      <c r="B368" s="5794"/>
      <c r="C368" s="4304" t="s">
        <v>2633</v>
      </c>
      <c r="D368" s="5796" t="s">
        <v>248</v>
      </c>
      <c r="E368" s="4860"/>
      <c r="F368" s="4305">
        <v>68</v>
      </c>
      <c r="G368" s="4305">
        <v>22</v>
      </c>
      <c r="H368" s="4306">
        <f t="shared" si="5"/>
        <v>32.352941176470587</v>
      </c>
      <c r="I368" s="4307">
        <v>0.90909090909090906</v>
      </c>
      <c r="J368" s="4307">
        <v>9.0909090909090912E-2</v>
      </c>
      <c r="K368" s="4307">
        <v>5.2631578947368425E-2</v>
      </c>
      <c r="L368" s="4307">
        <v>5.2631578947368425E-2</v>
      </c>
      <c r="M368" s="4307">
        <v>0.15789473684210525</v>
      </c>
      <c r="N368" s="4307">
        <v>5.2631578947368425E-2</v>
      </c>
      <c r="O368" s="4307">
        <v>0.68421052631578949</v>
      </c>
    </row>
    <row r="369" spans="1:15">
      <c r="A369" s="5793"/>
      <c r="B369" s="5794"/>
      <c r="C369" s="4304" t="s">
        <v>1638</v>
      </c>
      <c r="D369" s="5796"/>
      <c r="E369" s="4860"/>
      <c r="F369" s="4305">
        <v>2</v>
      </c>
      <c r="G369" s="4305">
        <v>0</v>
      </c>
      <c r="H369" s="4306">
        <f t="shared" si="5"/>
        <v>0</v>
      </c>
      <c r="I369" s="4305" t="s">
        <v>618</v>
      </c>
      <c r="J369" s="4305" t="s">
        <v>618</v>
      </c>
      <c r="K369" s="4309" t="s">
        <v>618</v>
      </c>
      <c r="L369" s="4310" t="s">
        <v>618</v>
      </c>
      <c r="M369" s="4310" t="s">
        <v>618</v>
      </c>
      <c r="N369" s="4310" t="s">
        <v>618</v>
      </c>
      <c r="O369" s="4310" t="s">
        <v>618</v>
      </c>
    </row>
    <row r="370" spans="1:15">
      <c r="A370" s="5793"/>
      <c r="B370" s="5794"/>
      <c r="C370" s="4304" t="s">
        <v>1639</v>
      </c>
      <c r="D370" s="5796"/>
      <c r="E370" s="4860"/>
      <c r="F370" s="4305">
        <v>3</v>
      </c>
      <c r="G370" s="4305">
        <v>0</v>
      </c>
      <c r="H370" s="4306">
        <f t="shared" si="5"/>
        <v>0</v>
      </c>
      <c r="I370" s="4305" t="s">
        <v>618</v>
      </c>
      <c r="J370" s="4305" t="s">
        <v>618</v>
      </c>
      <c r="K370" s="4309" t="s">
        <v>618</v>
      </c>
      <c r="L370" s="4310" t="s">
        <v>618</v>
      </c>
      <c r="M370" s="4310" t="s">
        <v>618</v>
      </c>
      <c r="N370" s="4310" t="s">
        <v>618</v>
      </c>
      <c r="O370" s="4310" t="s">
        <v>618</v>
      </c>
    </row>
    <row r="371" spans="1:15">
      <c r="A371" s="5793"/>
      <c r="B371" s="5794"/>
      <c r="C371" s="4304" t="s">
        <v>1640</v>
      </c>
      <c r="D371" s="5796"/>
      <c r="E371" s="4860"/>
      <c r="F371" s="4305">
        <v>13</v>
      </c>
      <c r="G371" s="4305">
        <v>2</v>
      </c>
      <c r="H371" s="4306">
        <f t="shared" si="5"/>
        <v>15.384615384615385</v>
      </c>
      <c r="I371" s="4307">
        <v>1</v>
      </c>
      <c r="J371" s="4308">
        <v>0</v>
      </c>
      <c r="K371" s="4308">
        <v>0</v>
      </c>
      <c r="L371" s="4307">
        <v>0.5</v>
      </c>
      <c r="M371" s="4307">
        <v>0.5</v>
      </c>
      <c r="N371" s="4323" t="s">
        <v>618</v>
      </c>
      <c r="O371" s="4323" t="s">
        <v>618</v>
      </c>
    </row>
    <row r="372" spans="1:15">
      <c r="A372" s="5793"/>
      <c r="B372" s="5794"/>
      <c r="C372" s="4304" t="s">
        <v>1637</v>
      </c>
      <c r="D372" s="5796"/>
      <c r="E372" s="4860"/>
      <c r="F372" s="4305">
        <v>1</v>
      </c>
      <c r="G372" s="4305">
        <v>0</v>
      </c>
      <c r="H372" s="4306">
        <f t="shared" si="5"/>
        <v>0</v>
      </c>
      <c r="I372" s="4305" t="s">
        <v>618</v>
      </c>
      <c r="J372" s="4305" t="s">
        <v>618</v>
      </c>
      <c r="K372" s="4309" t="s">
        <v>618</v>
      </c>
      <c r="L372" s="4310" t="s">
        <v>618</v>
      </c>
      <c r="M372" s="4310" t="s">
        <v>618</v>
      </c>
      <c r="N372" s="4310" t="s">
        <v>618</v>
      </c>
      <c r="O372" s="4310" t="s">
        <v>618</v>
      </c>
    </row>
    <row r="373" spans="1:15">
      <c r="A373" s="5793"/>
      <c r="B373" s="5794"/>
      <c r="C373" s="4311" t="s">
        <v>1641</v>
      </c>
      <c r="D373" s="5797"/>
      <c r="E373" s="4864"/>
      <c r="F373" s="4312">
        <v>8</v>
      </c>
      <c r="G373" s="4312">
        <v>0</v>
      </c>
      <c r="H373" s="4313">
        <f t="shared" si="5"/>
        <v>0</v>
      </c>
      <c r="I373" s="4312" t="s">
        <v>618</v>
      </c>
      <c r="J373" s="4312" t="s">
        <v>618</v>
      </c>
      <c r="K373" s="4314" t="s">
        <v>618</v>
      </c>
      <c r="L373" s="4315" t="s">
        <v>618</v>
      </c>
      <c r="M373" s="4315" t="s">
        <v>618</v>
      </c>
      <c r="N373" s="4315" t="s">
        <v>618</v>
      </c>
      <c r="O373" s="4315" t="s">
        <v>618</v>
      </c>
    </row>
    <row r="374" spans="1:15" ht="15" customHeight="1">
      <c r="A374" s="5793" t="s">
        <v>25</v>
      </c>
      <c r="B374" s="5794" t="s">
        <v>2439</v>
      </c>
      <c r="C374" s="4316" t="s">
        <v>2454</v>
      </c>
      <c r="D374" s="5795" t="s">
        <v>247</v>
      </c>
      <c r="E374" s="4861"/>
      <c r="F374" s="4317">
        <v>78</v>
      </c>
      <c r="G374" s="4317">
        <v>27</v>
      </c>
      <c r="H374" s="4318">
        <f t="shared" si="5"/>
        <v>34.615384615384613</v>
      </c>
      <c r="I374" s="4319">
        <v>0.74074074074074081</v>
      </c>
      <c r="J374" s="4319">
        <v>0.2592592592592593</v>
      </c>
      <c r="K374" s="4322">
        <v>0</v>
      </c>
      <c r="L374" s="4319">
        <v>0.05</v>
      </c>
      <c r="M374" s="4319">
        <v>0.05</v>
      </c>
      <c r="N374" s="4319">
        <v>0.3</v>
      </c>
      <c r="O374" s="4319">
        <v>0.6</v>
      </c>
    </row>
    <row r="375" spans="1:15">
      <c r="A375" s="5793"/>
      <c r="B375" s="5794"/>
      <c r="C375" s="4304" t="s">
        <v>2455</v>
      </c>
      <c r="D375" s="5796"/>
      <c r="E375" s="4860"/>
      <c r="F375" s="4305">
        <v>159</v>
      </c>
      <c r="G375" s="4305">
        <v>71</v>
      </c>
      <c r="H375" s="4306">
        <f t="shared" si="5"/>
        <v>44.654088050314463</v>
      </c>
      <c r="I375" s="4307">
        <v>0.88732394366197187</v>
      </c>
      <c r="J375" s="4307">
        <v>0.11267605633802816</v>
      </c>
      <c r="K375" s="4307">
        <v>3.1746031746031744E-2</v>
      </c>
      <c r="L375" s="4307">
        <v>6.3492063492063489E-2</v>
      </c>
      <c r="M375" s="4307">
        <v>0.12698412698412698</v>
      </c>
      <c r="N375" s="4307">
        <v>6.3492063492063489E-2</v>
      </c>
      <c r="O375" s="4307">
        <v>0.7142857142857143</v>
      </c>
    </row>
    <row r="376" spans="1:15">
      <c r="A376" s="5793"/>
      <c r="B376" s="5794"/>
      <c r="C376" s="4304" t="s">
        <v>2456</v>
      </c>
      <c r="D376" s="5796"/>
      <c r="E376" s="4860"/>
      <c r="F376" s="4305">
        <v>58</v>
      </c>
      <c r="G376" s="4305">
        <v>9</v>
      </c>
      <c r="H376" s="4306">
        <f t="shared" si="5"/>
        <v>15.517241379310345</v>
      </c>
      <c r="I376" s="4307">
        <v>0.77777777777777768</v>
      </c>
      <c r="J376" s="4307">
        <v>0.22222222222222221</v>
      </c>
      <c r="K376" s="4308">
        <v>0</v>
      </c>
      <c r="L376" s="4308">
        <v>0</v>
      </c>
      <c r="M376" s="4308">
        <v>0</v>
      </c>
      <c r="N376" s="4308">
        <v>0</v>
      </c>
      <c r="O376" s="4307">
        <v>1</v>
      </c>
    </row>
    <row r="377" spans="1:15">
      <c r="A377" s="5793"/>
      <c r="B377" s="5794"/>
      <c r="C377" s="4304" t="s">
        <v>2457</v>
      </c>
      <c r="D377" s="5796"/>
      <c r="E377" s="4860"/>
      <c r="F377" s="4305">
        <v>112</v>
      </c>
      <c r="G377" s="4305">
        <v>45</v>
      </c>
      <c r="H377" s="4306">
        <f t="shared" si="5"/>
        <v>40.178571428571431</v>
      </c>
      <c r="I377" s="4307">
        <v>0.84444444444444444</v>
      </c>
      <c r="J377" s="4307">
        <v>0.15555555555555556</v>
      </c>
      <c r="K377" s="4308">
        <v>0</v>
      </c>
      <c r="L377" s="4308">
        <v>0</v>
      </c>
      <c r="M377" s="4307">
        <v>0.1081081081081081</v>
      </c>
      <c r="N377" s="4307">
        <v>8.1081081081081086E-2</v>
      </c>
      <c r="O377" s="4307">
        <v>0.81081081081081086</v>
      </c>
    </row>
    <row r="378" spans="1:15">
      <c r="A378" s="5793"/>
      <c r="B378" s="5794"/>
      <c r="C378" s="4304" t="s">
        <v>2458</v>
      </c>
      <c r="D378" s="5796"/>
      <c r="E378" s="4860"/>
      <c r="F378" s="4305">
        <v>36</v>
      </c>
      <c r="G378" s="4305">
        <v>25</v>
      </c>
      <c r="H378" s="4306">
        <f t="shared" si="5"/>
        <v>69.444444444444443</v>
      </c>
      <c r="I378" s="4307">
        <v>0.76</v>
      </c>
      <c r="J378" s="4307">
        <v>0.24</v>
      </c>
      <c r="K378" s="4307">
        <v>5.2631578947368425E-2</v>
      </c>
      <c r="L378" s="4308">
        <v>0</v>
      </c>
      <c r="M378" s="4307">
        <v>5.2631578947368425E-2</v>
      </c>
      <c r="N378" s="4307">
        <v>0.2105263157894737</v>
      </c>
      <c r="O378" s="4307">
        <v>0.68421052631578949</v>
      </c>
    </row>
    <row r="379" spans="1:15">
      <c r="A379" s="5793"/>
      <c r="B379" s="5794"/>
      <c r="C379" s="4304" t="s">
        <v>2464</v>
      </c>
      <c r="D379" s="5796"/>
      <c r="E379" s="4860"/>
      <c r="F379" s="4305">
        <v>1</v>
      </c>
      <c r="G379" s="4305">
        <v>0</v>
      </c>
      <c r="H379" s="4306">
        <f t="shared" si="5"/>
        <v>0</v>
      </c>
      <c r="I379" s="4305" t="s">
        <v>618</v>
      </c>
      <c r="J379" s="4305" t="s">
        <v>618</v>
      </c>
      <c r="K379" s="4309" t="s">
        <v>618</v>
      </c>
      <c r="L379" s="4310" t="s">
        <v>618</v>
      </c>
      <c r="M379" s="4310" t="s">
        <v>618</v>
      </c>
      <c r="N379" s="4310" t="s">
        <v>618</v>
      </c>
      <c r="O379" s="4310" t="s">
        <v>618</v>
      </c>
    </row>
    <row r="380" spans="1:15">
      <c r="A380" s="5793"/>
      <c r="B380" s="5794"/>
      <c r="C380" s="4304" t="s">
        <v>120</v>
      </c>
      <c r="D380" s="5796"/>
      <c r="E380" s="4860"/>
      <c r="F380" s="4305">
        <v>72</v>
      </c>
      <c r="G380" s="4305">
        <v>39</v>
      </c>
      <c r="H380" s="4306">
        <f t="shared" si="5"/>
        <v>54.166666666666664</v>
      </c>
      <c r="I380" s="4307">
        <v>0.66666666666666674</v>
      </c>
      <c r="J380" s="4307">
        <v>0.33333333333333337</v>
      </c>
      <c r="K380" s="4307">
        <v>7.6923076923076927E-2</v>
      </c>
      <c r="L380" s="4307">
        <v>7.6923076923076927E-2</v>
      </c>
      <c r="M380" s="4307">
        <v>0.15384615384615385</v>
      </c>
      <c r="N380" s="4307">
        <v>0.15384615384615385</v>
      </c>
      <c r="O380" s="4307">
        <v>0.53846153846153844</v>
      </c>
    </row>
    <row r="381" spans="1:15">
      <c r="A381" s="5793"/>
      <c r="B381" s="5794"/>
      <c r="C381" s="4304" t="s">
        <v>121</v>
      </c>
      <c r="D381" s="5796"/>
      <c r="E381" s="4860"/>
      <c r="F381" s="4305">
        <v>193</v>
      </c>
      <c r="G381" s="4305">
        <v>127</v>
      </c>
      <c r="H381" s="4306">
        <f t="shared" si="5"/>
        <v>65.803108808290162</v>
      </c>
      <c r="I381" s="4307">
        <v>0.77165354330708669</v>
      </c>
      <c r="J381" s="4307">
        <v>0.22834645669291337</v>
      </c>
      <c r="K381" s="4307">
        <v>4.1237113402061848E-2</v>
      </c>
      <c r="L381" s="4307">
        <v>5.1546391752577324E-2</v>
      </c>
      <c r="M381" s="4307">
        <v>0.18556701030927836</v>
      </c>
      <c r="N381" s="4307">
        <v>0.2061855670103093</v>
      </c>
      <c r="O381" s="4307">
        <v>0.51546391752577325</v>
      </c>
    </row>
    <row r="382" spans="1:15">
      <c r="A382" s="5793"/>
      <c r="B382" s="5794"/>
      <c r="C382" s="4304" t="s">
        <v>122</v>
      </c>
      <c r="D382" s="5796"/>
      <c r="E382" s="4860"/>
      <c r="F382" s="4305">
        <v>119</v>
      </c>
      <c r="G382" s="4305">
        <v>97</v>
      </c>
      <c r="H382" s="4306">
        <f t="shared" si="5"/>
        <v>81.512605042016801</v>
      </c>
      <c r="I382" s="4307">
        <v>0.55670103092783507</v>
      </c>
      <c r="J382" s="4307">
        <v>0.44329896907216493</v>
      </c>
      <c r="K382" s="4307">
        <v>8.9285714285714288E-2</v>
      </c>
      <c r="L382" s="4307">
        <v>8.9285714285714288E-2</v>
      </c>
      <c r="M382" s="4307">
        <v>0.14285714285714288</v>
      </c>
      <c r="N382" s="4307">
        <v>0.17857142857142858</v>
      </c>
      <c r="O382" s="4307">
        <v>0.5</v>
      </c>
    </row>
    <row r="383" spans="1:15">
      <c r="A383" s="5793"/>
      <c r="B383" s="5794"/>
      <c r="C383" s="4304" t="s">
        <v>123</v>
      </c>
      <c r="D383" s="5796"/>
      <c r="E383" s="4860"/>
      <c r="F383" s="4305">
        <v>179</v>
      </c>
      <c r="G383" s="4305">
        <v>76</v>
      </c>
      <c r="H383" s="4306">
        <f t="shared" si="5"/>
        <v>42.458100558659218</v>
      </c>
      <c r="I383" s="4307">
        <v>0.63157894736842102</v>
      </c>
      <c r="J383" s="4307">
        <v>0.36842105263157898</v>
      </c>
      <c r="K383" s="4307">
        <v>2.0833333333333336E-2</v>
      </c>
      <c r="L383" s="4307">
        <v>8.3333333333333343E-2</v>
      </c>
      <c r="M383" s="4307">
        <v>0.125</v>
      </c>
      <c r="N383" s="4307">
        <v>0.20833333333333331</v>
      </c>
      <c r="O383" s="4307">
        <v>0.5625</v>
      </c>
    </row>
    <row r="384" spans="1:15">
      <c r="A384" s="5793"/>
      <c r="B384" s="5794"/>
      <c r="C384" s="4304" t="s">
        <v>124</v>
      </c>
      <c r="D384" s="5796"/>
      <c r="E384" s="4860"/>
      <c r="F384" s="4305">
        <v>145</v>
      </c>
      <c r="G384" s="4305">
        <v>107</v>
      </c>
      <c r="H384" s="4306">
        <f t="shared" si="5"/>
        <v>73.793103448275858</v>
      </c>
      <c r="I384" s="4307">
        <v>0.7289719626168224</v>
      </c>
      <c r="J384" s="4307">
        <v>0.27102803738317754</v>
      </c>
      <c r="K384" s="4307">
        <v>6.4102564102564111E-2</v>
      </c>
      <c r="L384" s="4307">
        <v>3.8461538461538464E-2</v>
      </c>
      <c r="M384" s="4307">
        <v>0.16666666666666669</v>
      </c>
      <c r="N384" s="4307">
        <v>0.21794871794871795</v>
      </c>
      <c r="O384" s="4307">
        <v>0.51282051282051289</v>
      </c>
    </row>
    <row r="385" spans="1:15">
      <c r="A385" s="5793"/>
      <c r="B385" s="5794"/>
      <c r="C385" s="4304" t="s">
        <v>281</v>
      </c>
      <c r="D385" s="5796"/>
      <c r="E385" s="4860"/>
      <c r="F385" s="4305">
        <v>90</v>
      </c>
      <c r="G385" s="4305">
        <v>88</v>
      </c>
      <c r="H385" s="4306">
        <f t="shared" si="5"/>
        <v>97.777777777777771</v>
      </c>
      <c r="I385" s="4307">
        <v>0.88888888888888884</v>
      </c>
      <c r="J385" s="4307">
        <v>0.1111111111111111</v>
      </c>
      <c r="K385" s="4308">
        <v>0</v>
      </c>
      <c r="L385" s="4307">
        <v>6.25E-2</v>
      </c>
      <c r="M385" s="4307">
        <v>0.125</v>
      </c>
      <c r="N385" s="4307">
        <v>0.1875</v>
      </c>
      <c r="O385" s="4307">
        <v>0.625</v>
      </c>
    </row>
    <row r="386" spans="1:15">
      <c r="A386" s="5793"/>
      <c r="B386" s="5794"/>
      <c r="C386" s="4304" t="s">
        <v>795</v>
      </c>
      <c r="D386" s="5796"/>
      <c r="E386" s="4860"/>
      <c r="F386" s="4305">
        <v>47</v>
      </c>
      <c r="G386" s="4305">
        <v>8</v>
      </c>
      <c r="H386" s="4306">
        <f t="shared" si="5"/>
        <v>17.021276595744681</v>
      </c>
      <c r="I386" s="4307">
        <v>0.625</v>
      </c>
      <c r="J386" s="4307">
        <v>0.375</v>
      </c>
      <c r="K386" s="4308">
        <v>0</v>
      </c>
      <c r="L386" s="4307">
        <v>0.4</v>
      </c>
      <c r="M386" s="4307">
        <v>0.2</v>
      </c>
      <c r="N386" s="4308">
        <v>0</v>
      </c>
      <c r="O386" s="4307">
        <v>0.4</v>
      </c>
    </row>
    <row r="387" spans="1:15">
      <c r="A387" s="5793"/>
      <c r="B387" s="5794"/>
      <c r="C387" s="4304" t="s">
        <v>2464</v>
      </c>
      <c r="D387" s="5796" t="s">
        <v>248</v>
      </c>
      <c r="E387" s="4860"/>
      <c r="F387" s="4305">
        <v>302</v>
      </c>
      <c r="G387" s="4305">
        <v>180</v>
      </c>
      <c r="H387" s="4306">
        <f t="shared" si="5"/>
        <v>59.602649006622514</v>
      </c>
      <c r="I387" s="4307">
        <v>0.77222222222222225</v>
      </c>
      <c r="J387" s="4307">
        <v>0.22777777777777777</v>
      </c>
      <c r="K387" s="4307">
        <v>2.9197080291970802E-2</v>
      </c>
      <c r="L387" s="4307">
        <v>5.1094890510948912E-2</v>
      </c>
      <c r="M387" s="4307">
        <v>8.7591240875912413E-2</v>
      </c>
      <c r="N387" s="4307">
        <v>0.16788321167883211</v>
      </c>
      <c r="O387" s="4307">
        <v>0.66423357664233573</v>
      </c>
    </row>
    <row r="388" spans="1:15">
      <c r="A388" s="5793"/>
      <c r="B388" s="5794"/>
      <c r="C388" s="4304" t="s">
        <v>120</v>
      </c>
      <c r="D388" s="5796"/>
      <c r="E388" s="4860"/>
      <c r="F388" s="4305">
        <v>45</v>
      </c>
      <c r="G388" s="4305">
        <v>0</v>
      </c>
      <c r="H388" s="4306">
        <f t="shared" si="5"/>
        <v>0</v>
      </c>
      <c r="I388" s="4305" t="s">
        <v>618</v>
      </c>
      <c r="J388" s="4305" t="s">
        <v>618</v>
      </c>
      <c r="K388" s="4309" t="s">
        <v>618</v>
      </c>
      <c r="L388" s="4310" t="s">
        <v>618</v>
      </c>
      <c r="M388" s="4310" t="s">
        <v>618</v>
      </c>
      <c r="N388" s="4310" t="s">
        <v>618</v>
      </c>
      <c r="O388" s="4310" t="s">
        <v>618</v>
      </c>
    </row>
    <row r="389" spans="1:15">
      <c r="A389" s="5793"/>
      <c r="B389" s="5794"/>
      <c r="C389" s="4304" t="s">
        <v>121</v>
      </c>
      <c r="D389" s="5796"/>
      <c r="E389" s="4860"/>
      <c r="F389" s="4305">
        <v>58</v>
      </c>
      <c r="G389" s="4305">
        <v>10</v>
      </c>
      <c r="H389" s="4306">
        <f t="shared" si="5"/>
        <v>17.241379310344829</v>
      </c>
      <c r="I389" s="4307">
        <v>0.7</v>
      </c>
      <c r="J389" s="4307">
        <v>0.3</v>
      </c>
      <c r="K389" s="4308">
        <v>0</v>
      </c>
      <c r="L389" s="4307">
        <v>0.16666666666666669</v>
      </c>
      <c r="M389" s="4308">
        <v>0</v>
      </c>
      <c r="N389" s="4307">
        <v>0.16666666666666669</v>
      </c>
      <c r="O389" s="4307">
        <v>0.66666666666666674</v>
      </c>
    </row>
    <row r="390" spans="1:15">
      <c r="A390" s="5793"/>
      <c r="B390" s="5794"/>
      <c r="C390" s="4304" t="s">
        <v>122</v>
      </c>
      <c r="D390" s="5796"/>
      <c r="E390" s="4860"/>
      <c r="F390" s="4305">
        <v>157</v>
      </c>
      <c r="G390" s="4305">
        <v>132</v>
      </c>
      <c r="H390" s="4306">
        <f t="shared" si="5"/>
        <v>84.076433121019107</v>
      </c>
      <c r="I390" s="4307">
        <v>0.83969465648854968</v>
      </c>
      <c r="J390" s="4307">
        <v>0.1603053435114504</v>
      </c>
      <c r="K390" s="4307">
        <v>2.6548672566371681E-2</v>
      </c>
      <c r="L390" s="4307">
        <v>8.8495575221238937E-3</v>
      </c>
      <c r="M390" s="4307">
        <v>6.1946902654867256E-2</v>
      </c>
      <c r="N390" s="4307">
        <v>0.20353982300884954</v>
      </c>
      <c r="O390" s="4307">
        <v>0.69911504424778759</v>
      </c>
    </row>
    <row r="391" spans="1:15">
      <c r="A391" s="5793"/>
      <c r="B391" s="5794"/>
      <c r="C391" s="4304" t="s">
        <v>123</v>
      </c>
      <c r="D391" s="5796"/>
      <c r="E391" s="4860"/>
      <c r="F391" s="4305">
        <v>72</v>
      </c>
      <c r="G391" s="4305">
        <v>32</v>
      </c>
      <c r="H391" s="4306">
        <f t="shared" si="5"/>
        <v>44.444444444444443</v>
      </c>
      <c r="I391" s="4307">
        <v>0.875</v>
      </c>
      <c r="J391" s="4307">
        <v>0.125</v>
      </c>
      <c r="K391" s="4308">
        <v>0</v>
      </c>
      <c r="L391" s="4307">
        <v>3.5714285714285719E-2</v>
      </c>
      <c r="M391" s="4307">
        <v>7.1428571428571438E-2</v>
      </c>
      <c r="N391" s="4307">
        <v>0.10714285714285714</v>
      </c>
      <c r="O391" s="4307">
        <v>0.7857142857142857</v>
      </c>
    </row>
    <row r="392" spans="1:15">
      <c r="A392" s="5793"/>
      <c r="B392" s="5794"/>
      <c r="C392" s="4304" t="s">
        <v>124</v>
      </c>
      <c r="D392" s="5796"/>
      <c r="E392" s="4860"/>
      <c r="F392" s="4305">
        <v>35</v>
      </c>
      <c r="G392" s="4305">
        <v>24</v>
      </c>
      <c r="H392" s="4306">
        <f t="shared" si="5"/>
        <v>68.571428571428569</v>
      </c>
      <c r="I392" s="4307">
        <v>1</v>
      </c>
      <c r="J392" s="4308">
        <v>0</v>
      </c>
      <c r="K392" s="4308">
        <v>0</v>
      </c>
      <c r="L392" s="4308">
        <v>0</v>
      </c>
      <c r="M392" s="4307">
        <v>4.1666666666666671E-2</v>
      </c>
      <c r="N392" s="4307">
        <v>0.25</v>
      </c>
      <c r="O392" s="4307">
        <v>0.70833333333333326</v>
      </c>
    </row>
    <row r="393" spans="1:15">
      <c r="A393" s="5793"/>
      <c r="B393" s="5794"/>
      <c r="C393" s="4304" t="s">
        <v>417</v>
      </c>
      <c r="D393" s="5796"/>
      <c r="E393" s="4860"/>
      <c r="F393" s="4305">
        <v>8</v>
      </c>
      <c r="G393" s="4305">
        <v>7</v>
      </c>
      <c r="H393" s="4306">
        <f t="shared" si="5"/>
        <v>87.5</v>
      </c>
      <c r="I393" s="4307">
        <v>1</v>
      </c>
      <c r="J393" s="4308">
        <v>0</v>
      </c>
      <c r="K393" s="4308">
        <v>0</v>
      </c>
      <c r="L393" s="4308">
        <v>0</v>
      </c>
      <c r="M393" s="4308">
        <v>0</v>
      </c>
      <c r="N393" s="4308">
        <v>0</v>
      </c>
      <c r="O393" s="4307">
        <v>1</v>
      </c>
    </row>
    <row r="394" spans="1:15">
      <c r="A394" s="5793"/>
      <c r="B394" s="5794"/>
      <c r="C394" s="4311" t="s">
        <v>795</v>
      </c>
      <c r="D394" s="5797"/>
      <c r="E394" s="4864"/>
      <c r="F394" s="4312">
        <v>1</v>
      </c>
      <c r="G394" s="4312">
        <v>0</v>
      </c>
      <c r="H394" s="4313">
        <f t="shared" ref="H394:H457" si="6">G394*100/F394</f>
        <v>0</v>
      </c>
      <c r="I394" s="4312" t="s">
        <v>618</v>
      </c>
      <c r="J394" s="4312" t="s">
        <v>618</v>
      </c>
      <c r="K394" s="4314" t="s">
        <v>618</v>
      </c>
      <c r="L394" s="4315" t="s">
        <v>618</v>
      </c>
      <c r="M394" s="4315" t="s">
        <v>618</v>
      </c>
      <c r="N394" s="4315" t="s">
        <v>618</v>
      </c>
      <c r="O394" s="4315" t="s">
        <v>618</v>
      </c>
    </row>
    <row r="395" spans="1:15" ht="15" customHeight="1">
      <c r="A395" s="5793"/>
      <c r="B395" s="5794" t="s">
        <v>2434</v>
      </c>
      <c r="C395" s="4316" t="s">
        <v>2466</v>
      </c>
      <c r="D395" s="5795" t="s">
        <v>265</v>
      </c>
      <c r="E395" s="4861"/>
      <c r="F395" s="4317">
        <v>6</v>
      </c>
      <c r="G395" s="4317">
        <v>0</v>
      </c>
      <c r="H395" s="4318">
        <f t="shared" si="6"/>
        <v>0</v>
      </c>
      <c r="I395" s="4324" t="s">
        <v>618</v>
      </c>
      <c r="J395" s="4324" t="s">
        <v>618</v>
      </c>
      <c r="K395" s="4325" t="s">
        <v>618</v>
      </c>
      <c r="L395" s="4324" t="s">
        <v>618</v>
      </c>
      <c r="M395" s="4324" t="s">
        <v>618</v>
      </c>
      <c r="N395" s="4324" t="s">
        <v>618</v>
      </c>
      <c r="O395" s="4324" t="s">
        <v>618</v>
      </c>
    </row>
    <row r="396" spans="1:15">
      <c r="A396" s="5793"/>
      <c r="B396" s="5794"/>
      <c r="C396" s="4304" t="s">
        <v>2473</v>
      </c>
      <c r="D396" s="5796"/>
      <c r="E396" s="4860"/>
      <c r="F396" s="4305">
        <v>769</v>
      </c>
      <c r="G396" s="4305">
        <v>130</v>
      </c>
      <c r="H396" s="4306">
        <f t="shared" si="6"/>
        <v>16.905071521456438</v>
      </c>
      <c r="I396" s="4307">
        <v>0.90769230769230769</v>
      </c>
      <c r="J396" s="4307">
        <v>9.2307692307692299E-2</v>
      </c>
      <c r="K396" s="4307">
        <v>4.2372881355932208E-2</v>
      </c>
      <c r="L396" s="4307">
        <v>4.2372881355932208E-2</v>
      </c>
      <c r="M396" s="4307">
        <v>0.1440677966101695</v>
      </c>
      <c r="N396" s="4307">
        <v>0.11016949152542374</v>
      </c>
      <c r="O396" s="4307">
        <v>0.66101694915254239</v>
      </c>
    </row>
    <row r="397" spans="1:15">
      <c r="A397" s="5793"/>
      <c r="B397" s="5794"/>
      <c r="C397" s="4304" t="s">
        <v>2466</v>
      </c>
      <c r="D397" s="5796" t="s">
        <v>247</v>
      </c>
      <c r="E397" s="4860"/>
      <c r="F397" s="4305">
        <v>80</v>
      </c>
      <c r="G397" s="4305">
        <v>22</v>
      </c>
      <c r="H397" s="4306">
        <f t="shared" si="6"/>
        <v>27.5</v>
      </c>
      <c r="I397" s="4307">
        <v>0.72727272727272729</v>
      </c>
      <c r="J397" s="4307">
        <v>0.27272727272727271</v>
      </c>
      <c r="K397" s="4308">
        <v>0</v>
      </c>
      <c r="L397" s="4307">
        <v>6.25E-2</v>
      </c>
      <c r="M397" s="4307">
        <v>0.125</v>
      </c>
      <c r="N397" s="4308">
        <v>0</v>
      </c>
      <c r="O397" s="4307">
        <v>0.8125</v>
      </c>
    </row>
    <row r="398" spans="1:15">
      <c r="A398" s="5793"/>
      <c r="B398" s="5794"/>
      <c r="C398" s="4304" t="s">
        <v>478</v>
      </c>
      <c r="D398" s="5796"/>
      <c r="E398" s="4860"/>
      <c r="F398" s="4305">
        <v>53</v>
      </c>
      <c r="G398" s="4305">
        <v>18</v>
      </c>
      <c r="H398" s="4306">
        <f t="shared" si="6"/>
        <v>33.962264150943398</v>
      </c>
      <c r="I398" s="4307">
        <v>0.88888888888888884</v>
      </c>
      <c r="J398" s="4307">
        <v>0.1111111111111111</v>
      </c>
      <c r="K398" s="4308">
        <v>0</v>
      </c>
      <c r="L398" s="4308">
        <v>0</v>
      </c>
      <c r="M398" s="4307">
        <v>0.1875</v>
      </c>
      <c r="N398" s="4307">
        <v>6.25E-2</v>
      </c>
      <c r="O398" s="4307">
        <v>0.75</v>
      </c>
    </row>
    <row r="399" spans="1:15">
      <c r="A399" s="5793"/>
      <c r="B399" s="5794"/>
      <c r="C399" s="4304" t="s">
        <v>2467</v>
      </c>
      <c r="D399" s="5796"/>
      <c r="E399" s="4860"/>
      <c r="F399" s="4305">
        <v>38</v>
      </c>
      <c r="G399" s="4305">
        <v>10</v>
      </c>
      <c r="H399" s="4306">
        <f t="shared" si="6"/>
        <v>26.315789473684209</v>
      </c>
      <c r="I399" s="4307">
        <v>0.9</v>
      </c>
      <c r="J399" s="4307">
        <v>0.1</v>
      </c>
      <c r="K399" s="4307">
        <v>0.1111111111111111</v>
      </c>
      <c r="L399" s="4308">
        <v>0</v>
      </c>
      <c r="M399" s="4307">
        <v>0.22222222222222221</v>
      </c>
      <c r="N399" s="4308">
        <v>0</v>
      </c>
      <c r="O399" s="4307">
        <v>0.66666666666666674</v>
      </c>
    </row>
    <row r="400" spans="1:15">
      <c r="A400" s="5793"/>
      <c r="B400" s="5794"/>
      <c r="C400" s="4304" t="s">
        <v>2473</v>
      </c>
      <c r="D400" s="5796"/>
      <c r="E400" s="4860"/>
      <c r="F400" s="4305">
        <v>273</v>
      </c>
      <c r="G400" s="4305">
        <v>199</v>
      </c>
      <c r="H400" s="4306">
        <f t="shared" si="6"/>
        <v>72.893772893772891</v>
      </c>
      <c r="I400" s="4307">
        <v>0.7587939698492463</v>
      </c>
      <c r="J400" s="4307">
        <v>0.24120603015075379</v>
      </c>
      <c r="K400" s="4307">
        <v>1.3333333333333332E-2</v>
      </c>
      <c r="L400" s="4307">
        <v>1.3333333333333332E-2</v>
      </c>
      <c r="M400" s="4307">
        <v>6.6666666666666666E-2</v>
      </c>
      <c r="N400" s="4307">
        <v>0.24666666666666667</v>
      </c>
      <c r="O400" s="4307">
        <v>0.66</v>
      </c>
    </row>
    <row r="401" spans="1:15">
      <c r="A401" s="5793"/>
      <c r="B401" s="5794"/>
      <c r="C401" s="4304" t="s">
        <v>2474</v>
      </c>
      <c r="D401" s="5796"/>
      <c r="E401" s="4860"/>
      <c r="F401" s="4305">
        <v>170</v>
      </c>
      <c r="G401" s="4305">
        <v>85</v>
      </c>
      <c r="H401" s="4306">
        <f t="shared" si="6"/>
        <v>50</v>
      </c>
      <c r="I401" s="4307">
        <v>0.7857142857142857</v>
      </c>
      <c r="J401" s="4307">
        <v>0.21428571428571427</v>
      </c>
      <c r="K401" s="4307">
        <v>1.492537313432836E-2</v>
      </c>
      <c r="L401" s="4307">
        <v>5.9701492537313439E-2</v>
      </c>
      <c r="M401" s="4307">
        <v>0.1492537313432836</v>
      </c>
      <c r="N401" s="4307">
        <v>0.19402985074626866</v>
      </c>
      <c r="O401" s="4307">
        <v>0.58208955223880599</v>
      </c>
    </row>
    <row r="402" spans="1:15">
      <c r="A402" s="5793"/>
      <c r="B402" s="5794"/>
      <c r="C402" s="4304" t="s">
        <v>2475</v>
      </c>
      <c r="D402" s="5796"/>
      <c r="E402" s="4860"/>
      <c r="F402" s="4305">
        <v>398</v>
      </c>
      <c r="G402" s="4305">
        <v>162</v>
      </c>
      <c r="H402" s="4306">
        <f t="shared" si="6"/>
        <v>40.7035175879397</v>
      </c>
      <c r="I402" s="4307">
        <v>0.63124999999999998</v>
      </c>
      <c r="J402" s="4307">
        <v>0.36875000000000002</v>
      </c>
      <c r="K402" s="4307">
        <v>1.0101010101010102E-2</v>
      </c>
      <c r="L402" s="4307">
        <v>0.1111111111111111</v>
      </c>
      <c r="M402" s="4307">
        <v>0.13131313131313133</v>
      </c>
      <c r="N402" s="4307">
        <v>0.31313131313131309</v>
      </c>
      <c r="O402" s="4307">
        <v>0.43434343434343431</v>
      </c>
    </row>
    <row r="403" spans="1:15">
      <c r="A403" s="5793"/>
      <c r="B403" s="5794"/>
      <c r="C403" s="4304" t="s">
        <v>2476</v>
      </c>
      <c r="D403" s="5796"/>
      <c r="E403" s="4860"/>
      <c r="F403" s="4305">
        <v>232</v>
      </c>
      <c r="G403" s="4305">
        <v>165</v>
      </c>
      <c r="H403" s="4306">
        <f t="shared" si="6"/>
        <v>71.120689655172413</v>
      </c>
      <c r="I403" s="4307">
        <v>0.7151515151515152</v>
      </c>
      <c r="J403" s="4307">
        <v>0.28484848484848485</v>
      </c>
      <c r="K403" s="4307">
        <v>5.9322033898305086E-2</v>
      </c>
      <c r="L403" s="4307">
        <v>4.2372881355932208E-2</v>
      </c>
      <c r="M403" s="4307">
        <v>0.11016949152542374</v>
      </c>
      <c r="N403" s="4307">
        <v>0.1864406779661017</v>
      </c>
      <c r="O403" s="4307">
        <v>0.60169491525423735</v>
      </c>
    </row>
    <row r="404" spans="1:15">
      <c r="A404" s="5793"/>
      <c r="B404" s="5794"/>
      <c r="C404" s="4304" t="s">
        <v>2490</v>
      </c>
      <c r="D404" s="5796"/>
      <c r="E404" s="4860"/>
      <c r="F404" s="4305">
        <v>62</v>
      </c>
      <c r="G404" s="4305">
        <v>45</v>
      </c>
      <c r="H404" s="4306">
        <f t="shared" si="6"/>
        <v>72.58064516129032</v>
      </c>
      <c r="I404" s="4307">
        <v>0.22222222222222221</v>
      </c>
      <c r="J404" s="4307">
        <v>0.77777777777777768</v>
      </c>
      <c r="K404" s="4308">
        <v>0</v>
      </c>
      <c r="L404" s="4308">
        <v>0</v>
      </c>
      <c r="M404" s="4307">
        <v>0.1</v>
      </c>
      <c r="N404" s="4307">
        <v>0.3</v>
      </c>
      <c r="O404" s="4307">
        <v>0.6</v>
      </c>
    </row>
    <row r="405" spans="1:15">
      <c r="A405" s="5793"/>
      <c r="B405" s="5794"/>
      <c r="C405" s="4304" t="s">
        <v>280</v>
      </c>
      <c r="D405" s="5796" t="s">
        <v>248</v>
      </c>
      <c r="E405" s="4860"/>
      <c r="F405" s="4305">
        <v>19</v>
      </c>
      <c r="G405" s="4305">
        <v>4</v>
      </c>
      <c r="H405" s="4306">
        <f t="shared" si="6"/>
        <v>21.05263157894737</v>
      </c>
      <c r="I405" s="4307">
        <v>0.25</v>
      </c>
      <c r="J405" s="4307">
        <v>0.75</v>
      </c>
      <c r="K405" s="4308">
        <v>0</v>
      </c>
      <c r="L405" s="4308">
        <v>0</v>
      </c>
      <c r="M405" s="4307">
        <v>1</v>
      </c>
      <c r="N405" s="4308">
        <v>0</v>
      </c>
      <c r="O405" s="4308">
        <v>0</v>
      </c>
    </row>
    <row r="406" spans="1:15">
      <c r="A406" s="5793"/>
      <c r="B406" s="5794"/>
      <c r="C406" s="4304" t="s">
        <v>2473</v>
      </c>
      <c r="D406" s="5796"/>
      <c r="E406" s="4860"/>
      <c r="F406" s="4305">
        <v>194</v>
      </c>
      <c r="G406" s="4305">
        <v>123</v>
      </c>
      <c r="H406" s="4306">
        <f t="shared" si="6"/>
        <v>63.402061855670105</v>
      </c>
      <c r="I406" s="4307">
        <v>0.92622950819672123</v>
      </c>
      <c r="J406" s="4307">
        <v>7.3770491803278687E-2</v>
      </c>
      <c r="K406" s="4308">
        <v>0</v>
      </c>
      <c r="L406" s="4307">
        <v>8.8495575221238937E-3</v>
      </c>
      <c r="M406" s="4307">
        <v>4.4247787610619468E-2</v>
      </c>
      <c r="N406" s="4307">
        <v>0.21238938053097345</v>
      </c>
      <c r="O406" s="4307">
        <v>0.73451327433628322</v>
      </c>
    </row>
    <row r="407" spans="1:15">
      <c r="A407" s="5793"/>
      <c r="B407" s="5794"/>
      <c r="C407" s="4304" t="s">
        <v>2474</v>
      </c>
      <c r="D407" s="5796"/>
      <c r="E407" s="4860"/>
      <c r="F407" s="4305">
        <v>234</v>
      </c>
      <c r="G407" s="4305">
        <v>108</v>
      </c>
      <c r="H407" s="4306">
        <f t="shared" si="6"/>
        <v>46.153846153846153</v>
      </c>
      <c r="I407" s="4307">
        <v>0.98148148148148151</v>
      </c>
      <c r="J407" s="4307">
        <v>1.8518518518518517E-2</v>
      </c>
      <c r="K407" s="4307">
        <v>9.7087378640776708E-3</v>
      </c>
      <c r="L407" s="4307">
        <v>1.9417475728155342E-2</v>
      </c>
      <c r="M407" s="4307">
        <v>6.7961165048543687E-2</v>
      </c>
      <c r="N407" s="4307">
        <v>0.21359223300970875</v>
      </c>
      <c r="O407" s="4307">
        <v>0.68932038834951459</v>
      </c>
    </row>
    <row r="408" spans="1:15">
      <c r="A408" s="5793"/>
      <c r="B408" s="5794"/>
      <c r="C408" s="4304" t="s">
        <v>2475</v>
      </c>
      <c r="D408" s="5796"/>
      <c r="E408" s="4860"/>
      <c r="F408" s="4305">
        <v>223</v>
      </c>
      <c r="G408" s="4305">
        <v>79</v>
      </c>
      <c r="H408" s="4306">
        <f t="shared" si="6"/>
        <v>35.426008968609864</v>
      </c>
      <c r="I408" s="4307">
        <v>0.88607594936708867</v>
      </c>
      <c r="J408" s="4307">
        <v>0.11392405063291139</v>
      </c>
      <c r="K408" s="4308">
        <v>0</v>
      </c>
      <c r="L408" s="4307">
        <v>2.8169014084507039E-2</v>
      </c>
      <c r="M408" s="4307">
        <v>8.4507042253521125E-2</v>
      </c>
      <c r="N408" s="4307">
        <v>0.18309859154929575</v>
      </c>
      <c r="O408" s="4307">
        <v>0.70422535211267601</v>
      </c>
    </row>
    <row r="409" spans="1:15">
      <c r="A409" s="5793"/>
      <c r="B409" s="5794"/>
      <c r="C409" s="4304" t="s">
        <v>2476</v>
      </c>
      <c r="D409" s="5796"/>
      <c r="E409" s="4860"/>
      <c r="F409" s="4305">
        <v>147</v>
      </c>
      <c r="G409" s="4305">
        <v>25</v>
      </c>
      <c r="H409" s="4306">
        <f t="shared" si="6"/>
        <v>17.006802721088434</v>
      </c>
      <c r="I409" s="4307">
        <v>0.88</v>
      </c>
      <c r="J409" s="4307">
        <v>0.12</v>
      </c>
      <c r="K409" s="4308">
        <v>0</v>
      </c>
      <c r="L409" s="4307">
        <v>4.5454545454545456E-2</v>
      </c>
      <c r="M409" s="4307">
        <v>0.13636363636363635</v>
      </c>
      <c r="N409" s="4307">
        <v>9.0909090909090912E-2</v>
      </c>
      <c r="O409" s="4307">
        <v>0.72727272727272729</v>
      </c>
    </row>
    <row r="410" spans="1:15">
      <c r="A410" s="5793"/>
      <c r="B410" s="5794"/>
      <c r="C410" s="4326" t="s">
        <v>2490</v>
      </c>
      <c r="D410" s="5798"/>
      <c r="E410" s="4862"/>
      <c r="F410" s="4327">
        <v>39</v>
      </c>
      <c r="G410" s="4327">
        <v>24</v>
      </c>
      <c r="H410" s="4328">
        <f t="shared" si="6"/>
        <v>61.53846153846154</v>
      </c>
      <c r="I410" s="4329">
        <v>0.79166666666666674</v>
      </c>
      <c r="J410" s="4329">
        <v>0.20833333333333331</v>
      </c>
      <c r="K410" s="4330">
        <v>0</v>
      </c>
      <c r="L410" s="4329">
        <v>5.2631578947368425E-2</v>
      </c>
      <c r="M410" s="4329">
        <v>5.2631578947368425E-2</v>
      </c>
      <c r="N410" s="4329">
        <v>0.31578947368421051</v>
      </c>
      <c r="O410" s="4329">
        <v>0.57894736842105265</v>
      </c>
    </row>
    <row r="411" spans="1:15" ht="15" customHeight="1">
      <c r="A411" s="5793"/>
      <c r="B411" s="5794" t="s">
        <v>2436</v>
      </c>
      <c r="C411" s="4299" t="s">
        <v>292</v>
      </c>
      <c r="D411" s="5799" t="s">
        <v>265</v>
      </c>
      <c r="E411" s="4859"/>
      <c r="F411" s="4300">
        <v>217</v>
      </c>
      <c r="G411" s="4300">
        <v>54</v>
      </c>
      <c r="H411" s="4301">
        <f t="shared" si="6"/>
        <v>24.88479262672811</v>
      </c>
      <c r="I411" s="4302">
        <v>0.66666666666666674</v>
      </c>
      <c r="J411" s="4302">
        <v>0.33333333333333337</v>
      </c>
      <c r="K411" s="4302">
        <v>8.3333333333333343E-2</v>
      </c>
      <c r="L411" s="4302">
        <v>0.1388888888888889</v>
      </c>
      <c r="M411" s="4302">
        <v>8.3333333333333343E-2</v>
      </c>
      <c r="N411" s="4303">
        <v>0</v>
      </c>
      <c r="O411" s="4302">
        <v>0.69444444444444442</v>
      </c>
    </row>
    <row r="412" spans="1:15">
      <c r="A412" s="5793"/>
      <c r="B412" s="5794"/>
      <c r="C412" s="4304" t="s">
        <v>293</v>
      </c>
      <c r="D412" s="5796"/>
      <c r="E412" s="4860"/>
      <c r="F412" s="4305">
        <v>105</v>
      </c>
      <c r="G412" s="4305">
        <v>32</v>
      </c>
      <c r="H412" s="4306">
        <f t="shared" si="6"/>
        <v>30.476190476190474</v>
      </c>
      <c r="I412" s="4307">
        <v>0.875</v>
      </c>
      <c r="J412" s="4307">
        <v>0.125</v>
      </c>
      <c r="K412" s="4308">
        <v>0</v>
      </c>
      <c r="L412" s="4307">
        <v>7.1428571428571438E-2</v>
      </c>
      <c r="M412" s="4307">
        <v>0.14285714285714288</v>
      </c>
      <c r="N412" s="4308">
        <v>0</v>
      </c>
      <c r="O412" s="4307">
        <v>0.7857142857142857</v>
      </c>
    </row>
    <row r="413" spans="1:15">
      <c r="A413" s="5793"/>
      <c r="B413" s="5794"/>
      <c r="C413" s="4304" t="s">
        <v>2322</v>
      </c>
      <c r="D413" s="5796" t="s">
        <v>247</v>
      </c>
      <c r="E413" s="4860"/>
      <c r="F413" s="4305">
        <v>89</v>
      </c>
      <c r="G413" s="4305">
        <v>55</v>
      </c>
      <c r="H413" s="4306">
        <f t="shared" si="6"/>
        <v>61.797752808988761</v>
      </c>
      <c r="I413" s="4307">
        <v>0.87272727272727268</v>
      </c>
      <c r="J413" s="4307">
        <v>0.12727272727272726</v>
      </c>
      <c r="K413" s="4307">
        <v>6.25E-2</v>
      </c>
      <c r="L413" s="4307">
        <v>6.25E-2</v>
      </c>
      <c r="M413" s="4307">
        <v>0.10416666666666666</v>
      </c>
      <c r="N413" s="4307">
        <v>0.1875</v>
      </c>
      <c r="O413" s="4307">
        <v>0.58333333333333337</v>
      </c>
    </row>
    <row r="414" spans="1:15">
      <c r="A414" s="5793"/>
      <c r="B414" s="5794"/>
      <c r="C414" s="4304" t="s">
        <v>2478</v>
      </c>
      <c r="D414" s="5796"/>
      <c r="E414" s="4860"/>
      <c r="F414" s="4305">
        <v>109</v>
      </c>
      <c r="G414" s="4305">
        <v>48</v>
      </c>
      <c r="H414" s="4306">
        <f t="shared" si="6"/>
        <v>44.036697247706421</v>
      </c>
      <c r="I414" s="4307">
        <v>0.64583333333333326</v>
      </c>
      <c r="J414" s="4307">
        <v>0.35416666666666663</v>
      </c>
      <c r="K414" s="4307">
        <v>3.3333333333333333E-2</v>
      </c>
      <c r="L414" s="4307">
        <v>6.6666666666666666E-2</v>
      </c>
      <c r="M414" s="4307">
        <v>0.33333333333333337</v>
      </c>
      <c r="N414" s="4307">
        <v>6.6666666666666666E-2</v>
      </c>
      <c r="O414" s="4307">
        <v>0.5</v>
      </c>
    </row>
    <row r="415" spans="1:15">
      <c r="A415" s="5793"/>
      <c r="B415" s="5794"/>
      <c r="C415" s="4304" t="s">
        <v>2479</v>
      </c>
      <c r="D415" s="5796"/>
      <c r="E415" s="4860"/>
      <c r="F415" s="4305">
        <v>22</v>
      </c>
      <c r="G415" s="4305">
        <v>7</v>
      </c>
      <c r="H415" s="4306">
        <f t="shared" si="6"/>
        <v>31.818181818181817</v>
      </c>
      <c r="I415" s="4307">
        <v>0.8571428571428571</v>
      </c>
      <c r="J415" s="4307">
        <v>0.14285714285714288</v>
      </c>
      <c r="K415" s="4307">
        <v>0.16666666666666669</v>
      </c>
      <c r="L415" s="4308">
        <v>0</v>
      </c>
      <c r="M415" s="4308">
        <v>0</v>
      </c>
      <c r="N415" s="4307">
        <v>0.16666666666666669</v>
      </c>
      <c r="O415" s="4307">
        <v>0.66666666666666674</v>
      </c>
    </row>
    <row r="416" spans="1:15">
      <c r="A416" s="5793"/>
      <c r="B416" s="5794"/>
      <c r="C416" s="4304" t="s">
        <v>129</v>
      </c>
      <c r="D416" s="5796"/>
      <c r="E416" s="4860"/>
      <c r="F416" s="4305">
        <v>358</v>
      </c>
      <c r="G416" s="4305">
        <v>265</v>
      </c>
      <c r="H416" s="4306">
        <f t="shared" si="6"/>
        <v>74.022346368715077</v>
      </c>
      <c r="I416" s="4307">
        <v>0.6452830188679245</v>
      </c>
      <c r="J416" s="4307">
        <v>0.35471698113207545</v>
      </c>
      <c r="K416" s="4307">
        <v>1.8072289156626505E-2</v>
      </c>
      <c r="L416" s="4307">
        <v>3.0120481927710843E-2</v>
      </c>
      <c r="M416" s="4307">
        <v>0.10843373493975904</v>
      </c>
      <c r="N416" s="4307">
        <v>0.13855421686746988</v>
      </c>
      <c r="O416" s="4307">
        <v>0.70481927710843384</v>
      </c>
    </row>
    <row r="417" spans="1:15">
      <c r="A417" s="5793"/>
      <c r="B417" s="5794"/>
      <c r="C417" s="4304" t="s">
        <v>130</v>
      </c>
      <c r="D417" s="5796"/>
      <c r="E417" s="4860"/>
      <c r="F417" s="4305">
        <v>220</v>
      </c>
      <c r="G417" s="4305">
        <v>106</v>
      </c>
      <c r="H417" s="4306">
        <f t="shared" si="6"/>
        <v>48.18181818181818</v>
      </c>
      <c r="I417" s="4307">
        <v>0.51886792452830188</v>
      </c>
      <c r="J417" s="4307">
        <v>0.48113207547169812</v>
      </c>
      <c r="K417" s="4307">
        <v>1.8181818181818181E-2</v>
      </c>
      <c r="L417" s="4307">
        <v>0.10909090909090909</v>
      </c>
      <c r="M417" s="4307">
        <v>3.6363636363636362E-2</v>
      </c>
      <c r="N417" s="4307">
        <v>0.10909090909090909</v>
      </c>
      <c r="O417" s="4307">
        <v>0.72727272727272729</v>
      </c>
    </row>
    <row r="418" spans="1:15">
      <c r="A418" s="5793"/>
      <c r="B418" s="5794"/>
      <c r="C418" s="4304" t="s">
        <v>295</v>
      </c>
      <c r="D418" s="5796"/>
      <c r="E418" s="4860"/>
      <c r="F418" s="4305">
        <v>180</v>
      </c>
      <c r="G418" s="4305">
        <v>105</v>
      </c>
      <c r="H418" s="4306">
        <f t="shared" si="6"/>
        <v>58.333333333333336</v>
      </c>
      <c r="I418" s="4307">
        <v>0.61538461538461542</v>
      </c>
      <c r="J418" s="4307">
        <v>0.38461538461538458</v>
      </c>
      <c r="K418" s="4307">
        <v>0.11594202898550725</v>
      </c>
      <c r="L418" s="4307">
        <v>5.7971014492753624E-2</v>
      </c>
      <c r="M418" s="4307">
        <v>0.13043478260869565</v>
      </c>
      <c r="N418" s="4307">
        <v>0.17391304347826086</v>
      </c>
      <c r="O418" s="4307">
        <v>0.52173913043478259</v>
      </c>
    </row>
    <row r="419" spans="1:15">
      <c r="A419" s="5793"/>
      <c r="B419" s="5794"/>
      <c r="C419" s="4304" t="s">
        <v>129</v>
      </c>
      <c r="D419" s="5796" t="s">
        <v>248</v>
      </c>
      <c r="E419" s="4860"/>
      <c r="F419" s="4305">
        <v>213</v>
      </c>
      <c r="G419" s="4305">
        <v>63</v>
      </c>
      <c r="H419" s="4306">
        <f t="shared" si="6"/>
        <v>29.577464788732396</v>
      </c>
      <c r="I419" s="4307">
        <v>0.77777777777777768</v>
      </c>
      <c r="J419" s="4307">
        <v>0.22222222222222221</v>
      </c>
      <c r="K419" s="4307">
        <v>4.0816326530612249E-2</v>
      </c>
      <c r="L419" s="4307">
        <v>4.0816326530612249E-2</v>
      </c>
      <c r="M419" s="4307">
        <v>0.10204081632653061</v>
      </c>
      <c r="N419" s="4307">
        <v>0.14285714285714288</v>
      </c>
      <c r="O419" s="4307">
        <v>0.67346938775510212</v>
      </c>
    </row>
    <row r="420" spans="1:15">
      <c r="A420" s="5793"/>
      <c r="B420" s="5794"/>
      <c r="C420" s="4304" t="s">
        <v>483</v>
      </c>
      <c r="D420" s="5796"/>
      <c r="E420" s="4860"/>
      <c r="F420" s="4305">
        <v>141</v>
      </c>
      <c r="G420" s="4305">
        <v>103</v>
      </c>
      <c r="H420" s="4306">
        <f t="shared" si="6"/>
        <v>73.049645390070921</v>
      </c>
      <c r="I420" s="4305" t="s">
        <v>618</v>
      </c>
      <c r="J420" s="4305" t="s">
        <v>618</v>
      </c>
      <c r="K420" s="4309" t="s">
        <v>618</v>
      </c>
      <c r="L420" s="4310" t="s">
        <v>618</v>
      </c>
      <c r="M420" s="4310" t="s">
        <v>618</v>
      </c>
      <c r="N420" s="4310" t="s">
        <v>618</v>
      </c>
      <c r="O420" s="4310" t="s">
        <v>618</v>
      </c>
    </row>
    <row r="421" spans="1:15">
      <c r="A421" s="5793"/>
      <c r="B421" s="5794"/>
      <c r="C421" s="4304" t="s">
        <v>130</v>
      </c>
      <c r="D421" s="5796"/>
      <c r="E421" s="4860"/>
      <c r="F421" s="4305">
        <v>105</v>
      </c>
      <c r="G421" s="4305">
        <v>82</v>
      </c>
      <c r="H421" s="4306">
        <f t="shared" si="6"/>
        <v>78.095238095238102</v>
      </c>
      <c r="I421" s="4307">
        <v>0.87804878048780499</v>
      </c>
      <c r="J421" s="4307">
        <v>0.12195121951219512</v>
      </c>
      <c r="K421" s="4307">
        <v>2.8571428571428571E-2</v>
      </c>
      <c r="L421" s="4307">
        <v>1.4285714285714285E-2</v>
      </c>
      <c r="M421" s="4307">
        <v>7.1428571428571438E-2</v>
      </c>
      <c r="N421" s="4307">
        <v>0.21428571428571427</v>
      </c>
      <c r="O421" s="4307">
        <v>0.67142857142857137</v>
      </c>
    </row>
    <row r="422" spans="1:15">
      <c r="A422" s="5793"/>
      <c r="B422" s="5794"/>
      <c r="C422" s="4311" t="s">
        <v>410</v>
      </c>
      <c r="D422" s="5797"/>
      <c r="E422" s="4864"/>
      <c r="F422" s="4312">
        <v>65</v>
      </c>
      <c r="G422" s="4312">
        <v>5</v>
      </c>
      <c r="H422" s="4313">
        <f t="shared" si="6"/>
        <v>7.6923076923076925</v>
      </c>
      <c r="I422" s="4320">
        <v>0.98148148148148151</v>
      </c>
      <c r="J422" s="4320">
        <v>1.8518518518518517E-2</v>
      </c>
      <c r="K422" s="4321">
        <v>0</v>
      </c>
      <c r="L422" s="4321">
        <v>0</v>
      </c>
      <c r="M422" s="4320">
        <v>2.8846153846153844E-2</v>
      </c>
      <c r="N422" s="4320">
        <v>6.7307692307692304E-2</v>
      </c>
      <c r="O422" s="4320">
        <v>0.90384615384615385</v>
      </c>
    </row>
    <row r="423" spans="1:15" ht="15" customHeight="1">
      <c r="A423" s="5793" t="s">
        <v>48</v>
      </c>
      <c r="B423" s="5794" t="s">
        <v>2434</v>
      </c>
      <c r="C423" s="4316" t="s">
        <v>2486</v>
      </c>
      <c r="D423" s="5795" t="s">
        <v>265</v>
      </c>
      <c r="E423" s="4861"/>
      <c r="F423" s="4317">
        <v>170</v>
      </c>
      <c r="G423" s="4317">
        <v>78</v>
      </c>
      <c r="H423" s="4318">
        <f t="shared" si="6"/>
        <v>45.882352941176471</v>
      </c>
      <c r="I423" s="4319">
        <v>0.80769230769230771</v>
      </c>
      <c r="J423" s="4319">
        <v>0.19230769230769229</v>
      </c>
      <c r="K423" s="4322">
        <v>0</v>
      </c>
      <c r="L423" s="4319">
        <v>1.5625E-2</v>
      </c>
      <c r="M423" s="4319">
        <v>4.6875E-2</v>
      </c>
      <c r="N423" s="4319">
        <v>0.109375</v>
      </c>
      <c r="O423" s="4319">
        <v>0.828125</v>
      </c>
    </row>
    <row r="424" spans="1:15">
      <c r="A424" s="5793"/>
      <c r="B424" s="5794"/>
      <c r="C424" s="4304" t="s">
        <v>2491</v>
      </c>
      <c r="D424" s="5796"/>
      <c r="E424" s="4860"/>
      <c r="F424" s="4305">
        <v>245</v>
      </c>
      <c r="G424" s="4305">
        <v>129</v>
      </c>
      <c r="H424" s="4306">
        <f t="shared" si="6"/>
        <v>52.653061224489797</v>
      </c>
      <c r="I424" s="4307">
        <v>0.76744186046511631</v>
      </c>
      <c r="J424" s="4307">
        <v>0.23255813953488372</v>
      </c>
      <c r="K424" s="4307">
        <v>2.0408163265306124E-2</v>
      </c>
      <c r="L424" s="4307">
        <v>4.0816326530612249E-2</v>
      </c>
      <c r="M424" s="4307">
        <v>7.1428571428571438E-2</v>
      </c>
      <c r="N424" s="4307">
        <v>0.10204081632653061</v>
      </c>
      <c r="O424" s="4307">
        <v>0.76530612244897955</v>
      </c>
    </row>
    <row r="425" spans="1:15">
      <c r="A425" s="5793"/>
      <c r="B425" s="5794"/>
      <c r="C425" s="4304" t="s">
        <v>2484</v>
      </c>
      <c r="D425" s="5796" t="s">
        <v>247</v>
      </c>
      <c r="E425" s="4860"/>
      <c r="F425" s="4305">
        <v>86</v>
      </c>
      <c r="G425" s="4305">
        <v>22</v>
      </c>
      <c r="H425" s="4306">
        <f t="shared" si="6"/>
        <v>25.581395348837209</v>
      </c>
      <c r="I425" s="4307">
        <v>0.81818181818181812</v>
      </c>
      <c r="J425" s="4307">
        <v>0.18181818181818182</v>
      </c>
      <c r="K425" s="4308">
        <v>0</v>
      </c>
      <c r="L425" s="4307">
        <v>5.8823529411764712E-2</v>
      </c>
      <c r="M425" s="4307">
        <v>0.11764705882352942</v>
      </c>
      <c r="N425" s="4307">
        <v>5.8823529411764712E-2</v>
      </c>
      <c r="O425" s="4307">
        <v>0.76470588235294112</v>
      </c>
    </row>
    <row r="426" spans="1:15">
      <c r="A426" s="5793"/>
      <c r="B426" s="5794"/>
      <c r="C426" s="4304" t="s">
        <v>485</v>
      </c>
      <c r="D426" s="5796"/>
      <c r="E426" s="4860"/>
      <c r="F426" s="4305">
        <v>115</v>
      </c>
      <c r="G426" s="4305">
        <v>37</v>
      </c>
      <c r="H426" s="4306">
        <f t="shared" si="6"/>
        <v>32.173913043478258</v>
      </c>
      <c r="I426" s="4307">
        <v>0.78378378378378377</v>
      </c>
      <c r="J426" s="4307">
        <v>0.2162162162162162</v>
      </c>
      <c r="K426" s="4307">
        <v>6.8965517241379309E-2</v>
      </c>
      <c r="L426" s="4308">
        <v>0</v>
      </c>
      <c r="M426" s="4307">
        <v>6.8965517241379309E-2</v>
      </c>
      <c r="N426" s="4307">
        <v>6.8965517241379309E-2</v>
      </c>
      <c r="O426" s="4307">
        <v>0.7931034482758621</v>
      </c>
    </row>
    <row r="427" spans="1:15">
      <c r="A427" s="5793"/>
      <c r="B427" s="5794"/>
      <c r="C427" s="4304" t="s">
        <v>411</v>
      </c>
      <c r="D427" s="5796"/>
      <c r="E427" s="4860"/>
      <c r="F427" s="4305">
        <v>154</v>
      </c>
      <c r="G427" s="4305">
        <v>76</v>
      </c>
      <c r="H427" s="4306">
        <f t="shared" si="6"/>
        <v>49.350649350649348</v>
      </c>
      <c r="I427" s="4307">
        <v>0.86842105263157887</v>
      </c>
      <c r="J427" s="4307">
        <v>0.13157894736842105</v>
      </c>
      <c r="K427" s="4307">
        <v>1.5151515151515152E-2</v>
      </c>
      <c r="L427" s="4308">
        <v>0</v>
      </c>
      <c r="M427" s="4307">
        <v>0.13636363636363635</v>
      </c>
      <c r="N427" s="4307">
        <v>0.22727272727272727</v>
      </c>
      <c r="O427" s="4307">
        <v>0.62121212121212122</v>
      </c>
    </row>
    <row r="428" spans="1:15">
      <c r="A428" s="5793"/>
      <c r="B428" s="5794"/>
      <c r="C428" s="4304" t="s">
        <v>2486</v>
      </c>
      <c r="D428" s="5796"/>
      <c r="E428" s="4860"/>
      <c r="F428" s="4305">
        <v>101</v>
      </c>
      <c r="G428" s="4305">
        <v>2</v>
      </c>
      <c r="H428" s="4306">
        <f t="shared" si="6"/>
        <v>1.9801980198019802</v>
      </c>
      <c r="I428" s="4307">
        <v>1</v>
      </c>
      <c r="J428" s="4305" t="s">
        <v>618</v>
      </c>
      <c r="K428" s="4308">
        <v>0</v>
      </c>
      <c r="L428" s="4307">
        <v>0.5</v>
      </c>
      <c r="M428" s="4307">
        <v>0.5</v>
      </c>
      <c r="N428" s="4308">
        <v>0</v>
      </c>
      <c r="O428" s="4308">
        <v>0</v>
      </c>
    </row>
    <row r="429" spans="1:15">
      <c r="A429" s="5793"/>
      <c r="B429" s="5794"/>
      <c r="C429" s="4304" t="s">
        <v>297</v>
      </c>
      <c r="D429" s="5796"/>
      <c r="E429" s="4860"/>
      <c r="F429" s="4305">
        <v>144</v>
      </c>
      <c r="G429" s="4305">
        <v>95</v>
      </c>
      <c r="H429" s="4306">
        <f t="shared" si="6"/>
        <v>65.972222222222229</v>
      </c>
      <c r="I429" s="4307">
        <v>0.83157894736842108</v>
      </c>
      <c r="J429" s="4307">
        <v>0.16842105263157894</v>
      </c>
      <c r="K429" s="4308">
        <v>0</v>
      </c>
      <c r="L429" s="4307">
        <v>2.5316455696202535E-2</v>
      </c>
      <c r="M429" s="4307">
        <v>0.13924050632911392</v>
      </c>
      <c r="N429" s="4307">
        <v>0.25316455696202533</v>
      </c>
      <c r="O429" s="4307">
        <v>0.58227848101265822</v>
      </c>
    </row>
    <row r="430" spans="1:15">
      <c r="A430" s="5793"/>
      <c r="B430" s="5794"/>
      <c r="C430" s="4304" t="s">
        <v>2487</v>
      </c>
      <c r="D430" s="5796"/>
      <c r="E430" s="4860"/>
      <c r="F430" s="4305">
        <v>21</v>
      </c>
      <c r="G430" s="4305">
        <v>4</v>
      </c>
      <c r="H430" s="4306">
        <f t="shared" si="6"/>
        <v>19.047619047619047</v>
      </c>
      <c r="I430" s="4307">
        <v>1</v>
      </c>
      <c r="J430" s="4308">
        <v>0</v>
      </c>
      <c r="K430" s="4308">
        <v>0</v>
      </c>
      <c r="L430" s="4308">
        <v>0</v>
      </c>
      <c r="M430" s="4308">
        <v>0</v>
      </c>
      <c r="N430" s="4308">
        <v>0</v>
      </c>
      <c r="O430" s="4307">
        <v>1</v>
      </c>
    </row>
    <row r="431" spans="1:15">
      <c r="A431" s="5793"/>
      <c r="B431" s="5794"/>
      <c r="C431" s="4304" t="s">
        <v>298</v>
      </c>
      <c r="D431" s="5796"/>
      <c r="E431" s="4860"/>
      <c r="F431" s="4305">
        <v>125</v>
      </c>
      <c r="G431" s="4305">
        <v>93</v>
      </c>
      <c r="H431" s="4306">
        <f t="shared" si="6"/>
        <v>74.400000000000006</v>
      </c>
      <c r="I431" s="4307">
        <v>0.89247311827956988</v>
      </c>
      <c r="J431" s="4307">
        <v>0.1075268817204301</v>
      </c>
      <c r="K431" s="4307">
        <v>4.8192771084337352E-2</v>
      </c>
      <c r="L431" s="4307">
        <v>2.4096385542168676E-2</v>
      </c>
      <c r="M431" s="4307">
        <v>0.12048192771084337</v>
      </c>
      <c r="N431" s="4307">
        <v>0.24096385542168675</v>
      </c>
      <c r="O431" s="4307">
        <v>0.5662650602409639</v>
      </c>
    </row>
    <row r="432" spans="1:15">
      <c r="A432" s="5793"/>
      <c r="B432" s="5794"/>
      <c r="C432" s="4304" t="s">
        <v>486</v>
      </c>
      <c r="D432" s="5796"/>
      <c r="E432" s="4860"/>
      <c r="F432" s="4305">
        <v>96</v>
      </c>
      <c r="G432" s="4305">
        <v>65</v>
      </c>
      <c r="H432" s="4306">
        <f t="shared" si="6"/>
        <v>67.708333333333329</v>
      </c>
      <c r="I432" s="4307">
        <v>0.76923076923076916</v>
      </c>
      <c r="J432" s="4307">
        <v>0.23076923076923075</v>
      </c>
      <c r="K432" s="4307">
        <v>2.0408163265306124E-2</v>
      </c>
      <c r="L432" s="4307">
        <v>2.0408163265306124E-2</v>
      </c>
      <c r="M432" s="4307">
        <v>0.14285714285714288</v>
      </c>
      <c r="N432" s="4307">
        <v>0.24489795918367346</v>
      </c>
      <c r="O432" s="4307">
        <v>0.57142857142857151</v>
      </c>
    </row>
    <row r="433" spans="1:15">
      <c r="A433" s="5793"/>
      <c r="B433" s="5794"/>
      <c r="C433" s="4304" t="s">
        <v>2490</v>
      </c>
      <c r="D433" s="5796"/>
      <c r="E433" s="4860"/>
      <c r="F433" s="4305">
        <v>60</v>
      </c>
      <c r="G433" s="4305">
        <v>12</v>
      </c>
      <c r="H433" s="4306">
        <f t="shared" si="6"/>
        <v>20</v>
      </c>
      <c r="I433" s="4307">
        <v>0.58333333333333337</v>
      </c>
      <c r="J433" s="4307">
        <v>0.41666666666666663</v>
      </c>
      <c r="K433" s="4308">
        <v>0</v>
      </c>
      <c r="L433" s="4307">
        <v>0.14285714285714288</v>
      </c>
      <c r="M433" s="4308">
        <v>0</v>
      </c>
      <c r="N433" s="4308">
        <v>0</v>
      </c>
      <c r="O433" s="4307">
        <v>0.8571428571428571</v>
      </c>
    </row>
    <row r="434" spans="1:15">
      <c r="A434" s="5793"/>
      <c r="B434" s="5794"/>
      <c r="C434" s="4304" t="s">
        <v>2491</v>
      </c>
      <c r="D434" s="5796"/>
      <c r="E434" s="4860"/>
      <c r="F434" s="4305">
        <v>294</v>
      </c>
      <c r="G434" s="4305">
        <v>115</v>
      </c>
      <c r="H434" s="4306">
        <f t="shared" si="6"/>
        <v>39.115646258503403</v>
      </c>
      <c r="I434" s="4307">
        <v>0.64035087719298245</v>
      </c>
      <c r="J434" s="4307">
        <v>0.35964912280701755</v>
      </c>
      <c r="K434" s="4307">
        <v>1.3698630136986301E-2</v>
      </c>
      <c r="L434" s="4307">
        <v>6.8493150684931503E-2</v>
      </c>
      <c r="M434" s="4307">
        <v>9.5890410958904104E-2</v>
      </c>
      <c r="N434" s="4307">
        <v>0.26027397260273971</v>
      </c>
      <c r="O434" s="4307">
        <v>0.56164383561643838</v>
      </c>
    </row>
    <row r="435" spans="1:15">
      <c r="A435" s="5793"/>
      <c r="B435" s="5794"/>
      <c r="C435" s="4304" t="s">
        <v>2328</v>
      </c>
      <c r="D435" s="5796"/>
      <c r="E435" s="4860"/>
      <c r="F435" s="4305">
        <v>34</v>
      </c>
      <c r="G435" s="4305">
        <v>22</v>
      </c>
      <c r="H435" s="4306">
        <f t="shared" si="6"/>
        <v>64.705882352941174</v>
      </c>
      <c r="I435" s="4307">
        <v>0.54545454545454541</v>
      </c>
      <c r="J435" s="4307">
        <v>0.45454545454545453</v>
      </c>
      <c r="K435" s="4308">
        <v>0</v>
      </c>
      <c r="L435" s="4308">
        <v>0</v>
      </c>
      <c r="M435" s="4307">
        <v>0.38461538461538458</v>
      </c>
      <c r="N435" s="4307">
        <v>0.38461538461538458</v>
      </c>
      <c r="O435" s="4307">
        <v>0.23076923076923075</v>
      </c>
    </row>
    <row r="436" spans="1:15">
      <c r="A436" s="5793"/>
      <c r="B436" s="5794"/>
      <c r="C436" s="4304" t="s">
        <v>299</v>
      </c>
      <c r="D436" s="5796"/>
      <c r="E436" s="4860"/>
      <c r="F436" s="4305">
        <v>54</v>
      </c>
      <c r="G436" s="4305">
        <v>17</v>
      </c>
      <c r="H436" s="4306">
        <f t="shared" si="6"/>
        <v>31.481481481481481</v>
      </c>
      <c r="I436" s="4307">
        <v>0.82352941176470595</v>
      </c>
      <c r="J436" s="4307">
        <v>0.17647058823529413</v>
      </c>
      <c r="K436" s="4307">
        <v>7.1428571428571438E-2</v>
      </c>
      <c r="L436" s="4307">
        <v>0.14285714285714288</v>
      </c>
      <c r="M436" s="4307">
        <v>7.1428571428571438E-2</v>
      </c>
      <c r="N436" s="4307">
        <v>0.14285714285714288</v>
      </c>
      <c r="O436" s="4307">
        <v>0.57142857142857151</v>
      </c>
    </row>
    <row r="437" spans="1:15">
      <c r="A437" s="5793"/>
      <c r="B437" s="5794"/>
      <c r="C437" s="4304" t="s">
        <v>2282</v>
      </c>
      <c r="D437" s="5796"/>
      <c r="E437" s="4860"/>
      <c r="F437" s="4305">
        <v>161</v>
      </c>
      <c r="G437" s="4305">
        <v>99</v>
      </c>
      <c r="H437" s="4306">
        <f t="shared" si="6"/>
        <v>61.490683229813662</v>
      </c>
      <c r="I437" s="4307">
        <v>0.81818181818181812</v>
      </c>
      <c r="J437" s="4307">
        <v>0.18181818181818182</v>
      </c>
      <c r="K437" s="4308">
        <v>0</v>
      </c>
      <c r="L437" s="4307">
        <v>5.0632911392405069E-2</v>
      </c>
      <c r="M437" s="4307">
        <v>8.8607594936708847E-2</v>
      </c>
      <c r="N437" s="4307">
        <v>0.21518987341772153</v>
      </c>
      <c r="O437" s="4307">
        <v>0.64556962025316456</v>
      </c>
    </row>
    <row r="438" spans="1:15">
      <c r="A438" s="5793"/>
      <c r="B438" s="5794"/>
      <c r="C438" s="4304" t="s">
        <v>302</v>
      </c>
      <c r="D438" s="5796" t="s">
        <v>248</v>
      </c>
      <c r="E438" s="4860"/>
      <c r="F438" s="4305">
        <v>356</v>
      </c>
      <c r="G438" s="4305">
        <v>103</v>
      </c>
      <c r="H438" s="4306">
        <f t="shared" si="6"/>
        <v>28.932584269662922</v>
      </c>
      <c r="I438" s="4307">
        <v>0.96116504854368923</v>
      </c>
      <c r="J438" s="4307">
        <v>3.8834951456310683E-2</v>
      </c>
      <c r="K438" s="4307">
        <v>2.9702970297029702E-2</v>
      </c>
      <c r="L438" s="4308">
        <v>0</v>
      </c>
      <c r="M438" s="4307">
        <v>9.9009900990099011E-3</v>
      </c>
      <c r="N438" s="4307">
        <v>0.11881188118811881</v>
      </c>
      <c r="O438" s="4307">
        <v>0.84158415841584155</v>
      </c>
    </row>
    <row r="439" spans="1:15">
      <c r="A439" s="5793"/>
      <c r="B439" s="5794"/>
      <c r="C439" s="4304" t="s">
        <v>2490</v>
      </c>
      <c r="D439" s="5796"/>
      <c r="E439" s="4860"/>
      <c r="F439" s="4305">
        <v>21</v>
      </c>
      <c r="G439" s="4305">
        <v>17</v>
      </c>
      <c r="H439" s="4306">
        <f t="shared" si="6"/>
        <v>80.952380952380949</v>
      </c>
      <c r="I439" s="4307">
        <v>0.94117647058823539</v>
      </c>
      <c r="J439" s="4307">
        <v>5.8823529411764712E-2</v>
      </c>
      <c r="K439" s="4308">
        <v>0</v>
      </c>
      <c r="L439" s="4308">
        <v>0</v>
      </c>
      <c r="M439" s="4308">
        <v>0</v>
      </c>
      <c r="N439" s="4307">
        <v>0.1875</v>
      </c>
      <c r="O439" s="4307">
        <v>0.8125</v>
      </c>
    </row>
    <row r="440" spans="1:15">
      <c r="A440" s="5793"/>
      <c r="B440" s="5794"/>
      <c r="C440" s="4326" t="s">
        <v>2491</v>
      </c>
      <c r="D440" s="5798"/>
      <c r="E440" s="4862"/>
      <c r="F440" s="4327">
        <v>68</v>
      </c>
      <c r="G440" s="4327">
        <v>20</v>
      </c>
      <c r="H440" s="4328">
        <f t="shared" si="6"/>
        <v>29.411764705882351</v>
      </c>
      <c r="I440" s="4329">
        <v>0.95</v>
      </c>
      <c r="J440" s="4329">
        <v>0.05</v>
      </c>
      <c r="K440" s="4330">
        <v>0</v>
      </c>
      <c r="L440" s="4330">
        <v>0</v>
      </c>
      <c r="M440" s="4329">
        <v>0.26315789473684209</v>
      </c>
      <c r="N440" s="4329">
        <v>0.15789473684210525</v>
      </c>
      <c r="O440" s="4329">
        <v>0.57894736842105265</v>
      </c>
    </row>
    <row r="441" spans="1:15" ht="15" customHeight="1">
      <c r="A441" s="5793"/>
      <c r="B441" s="5794" t="s">
        <v>2436</v>
      </c>
      <c r="C441" s="4299" t="s">
        <v>2495</v>
      </c>
      <c r="D441" s="5799" t="s">
        <v>265</v>
      </c>
      <c r="E441" s="4859"/>
      <c r="F441" s="4300">
        <v>103</v>
      </c>
      <c r="G441" s="4300">
        <v>78</v>
      </c>
      <c r="H441" s="4301">
        <f t="shared" si="6"/>
        <v>75.728155339805824</v>
      </c>
      <c r="I441" s="4302">
        <v>0.8205128205128206</v>
      </c>
      <c r="J441" s="4302">
        <v>0.17948717948717949</v>
      </c>
      <c r="K441" s="4303">
        <v>0</v>
      </c>
      <c r="L441" s="4302">
        <v>3.0769230769230771E-2</v>
      </c>
      <c r="M441" s="4302">
        <v>0.12307692307692308</v>
      </c>
      <c r="N441" s="4302">
        <v>9.2307692307692299E-2</v>
      </c>
      <c r="O441" s="4302">
        <v>0.75384615384615383</v>
      </c>
    </row>
    <row r="442" spans="1:15">
      <c r="A442" s="5793"/>
      <c r="B442" s="5794"/>
      <c r="C442" s="4304" t="s">
        <v>489</v>
      </c>
      <c r="D442" s="5796"/>
      <c r="E442" s="4860"/>
      <c r="F442" s="4305">
        <v>76</v>
      </c>
      <c r="G442" s="4305">
        <v>6</v>
      </c>
      <c r="H442" s="4306">
        <f t="shared" si="6"/>
        <v>7.8947368421052628</v>
      </c>
      <c r="I442" s="4307">
        <v>1</v>
      </c>
      <c r="J442" s="4308">
        <v>0</v>
      </c>
      <c r="K442" s="4308">
        <v>0</v>
      </c>
      <c r="L442" s="4308">
        <v>0</v>
      </c>
      <c r="M442" s="4307">
        <v>0.16666666666666669</v>
      </c>
      <c r="N442" s="4307">
        <v>0.16666666666666669</v>
      </c>
      <c r="O442" s="4307">
        <v>0.66666666666666674</v>
      </c>
    </row>
    <row r="443" spans="1:15">
      <c r="A443" s="5793"/>
      <c r="B443" s="5794"/>
      <c r="C443" s="4304" t="s">
        <v>2493</v>
      </c>
      <c r="D443" s="5796"/>
      <c r="E443" s="4860"/>
      <c r="F443" s="4305">
        <v>45</v>
      </c>
      <c r="G443" s="4305">
        <v>30</v>
      </c>
      <c r="H443" s="4306">
        <f t="shared" si="6"/>
        <v>66.666666666666671</v>
      </c>
      <c r="I443" s="4307">
        <v>1</v>
      </c>
      <c r="J443" s="4308">
        <v>0</v>
      </c>
      <c r="K443" s="4307">
        <v>6.6666666666666666E-2</v>
      </c>
      <c r="L443" s="4307">
        <v>6.6666666666666666E-2</v>
      </c>
      <c r="M443" s="4307">
        <v>3.3333333333333333E-2</v>
      </c>
      <c r="N443" s="4307">
        <v>0.13333333333333333</v>
      </c>
      <c r="O443" s="4307">
        <v>0.7</v>
      </c>
    </row>
    <row r="444" spans="1:15">
      <c r="A444" s="5793"/>
      <c r="B444" s="5794"/>
      <c r="C444" s="4304" t="s">
        <v>2494</v>
      </c>
      <c r="D444" s="5796"/>
      <c r="E444" s="4860"/>
      <c r="F444" s="4305">
        <v>30</v>
      </c>
      <c r="G444" s="4305">
        <v>12</v>
      </c>
      <c r="H444" s="4306">
        <f t="shared" si="6"/>
        <v>40</v>
      </c>
      <c r="I444" s="4307">
        <v>0.83333333333333326</v>
      </c>
      <c r="J444" s="4307">
        <v>0.16666666666666669</v>
      </c>
      <c r="K444" s="4307">
        <v>0.1</v>
      </c>
      <c r="L444" s="4308">
        <v>0</v>
      </c>
      <c r="M444" s="4308">
        <v>0</v>
      </c>
      <c r="N444" s="4308">
        <v>0</v>
      </c>
      <c r="O444" s="4307">
        <v>0.9</v>
      </c>
    </row>
    <row r="445" spans="1:15">
      <c r="A445" s="5793"/>
      <c r="B445" s="5794"/>
      <c r="C445" s="4304" t="s">
        <v>2331</v>
      </c>
      <c r="D445" s="5796"/>
      <c r="E445" s="4860"/>
      <c r="F445" s="4305">
        <v>10</v>
      </c>
      <c r="G445" s="4305">
        <v>0</v>
      </c>
      <c r="H445" s="4306">
        <f t="shared" si="6"/>
        <v>0</v>
      </c>
      <c r="I445" s="4305" t="s">
        <v>618</v>
      </c>
      <c r="J445" s="4305" t="s">
        <v>618</v>
      </c>
      <c r="K445" s="4309" t="s">
        <v>618</v>
      </c>
      <c r="L445" s="4310" t="s">
        <v>618</v>
      </c>
      <c r="M445" s="4310" t="s">
        <v>618</v>
      </c>
      <c r="N445" s="4310" t="s">
        <v>618</v>
      </c>
      <c r="O445" s="4310" t="s">
        <v>618</v>
      </c>
    </row>
    <row r="446" spans="1:15">
      <c r="A446" s="5793"/>
      <c r="B446" s="5794"/>
      <c r="C446" s="4304" t="s">
        <v>2495</v>
      </c>
      <c r="D446" s="5796" t="s">
        <v>247</v>
      </c>
      <c r="E446" s="4860"/>
      <c r="F446" s="4305">
        <v>201</v>
      </c>
      <c r="G446" s="4305">
        <v>121</v>
      </c>
      <c r="H446" s="4306">
        <f t="shared" si="6"/>
        <v>60.199004975124382</v>
      </c>
      <c r="I446" s="4307">
        <v>0.85833333333333328</v>
      </c>
      <c r="J446" s="4307">
        <v>0.14166666666666666</v>
      </c>
      <c r="K446" s="4307">
        <v>2.9126213592233011E-2</v>
      </c>
      <c r="L446" s="4307">
        <v>8.7378640776699032E-2</v>
      </c>
      <c r="M446" s="4307">
        <v>0.13592233009708737</v>
      </c>
      <c r="N446" s="4307">
        <v>0.22330097087378639</v>
      </c>
      <c r="O446" s="4307">
        <v>0.52427184466019416</v>
      </c>
    </row>
    <row r="447" spans="1:15">
      <c r="A447" s="5793"/>
      <c r="B447" s="5794"/>
      <c r="C447" s="4304" t="s">
        <v>305</v>
      </c>
      <c r="D447" s="5796"/>
      <c r="E447" s="4860"/>
      <c r="F447" s="4305">
        <v>211</v>
      </c>
      <c r="G447" s="4305">
        <v>142</v>
      </c>
      <c r="H447" s="4306">
        <f t="shared" si="6"/>
        <v>67.29857819905213</v>
      </c>
      <c r="I447" s="4307">
        <v>0.8936170212765957</v>
      </c>
      <c r="J447" s="4307">
        <v>0.10638297872340426</v>
      </c>
      <c r="K447" s="4307">
        <v>3.1746031746031744E-2</v>
      </c>
      <c r="L447" s="4307">
        <v>3.968253968253968E-2</v>
      </c>
      <c r="M447" s="4307">
        <v>0.16666666666666669</v>
      </c>
      <c r="N447" s="4307">
        <v>0.23015873015873015</v>
      </c>
      <c r="O447" s="4307">
        <v>0.53174603174603174</v>
      </c>
    </row>
    <row r="448" spans="1:15">
      <c r="A448" s="5793"/>
      <c r="B448" s="5794"/>
      <c r="C448" s="4304" t="s">
        <v>758</v>
      </c>
      <c r="D448" s="5796"/>
      <c r="E448" s="4860"/>
      <c r="F448" s="4305">
        <v>119</v>
      </c>
      <c r="G448" s="4305">
        <v>109</v>
      </c>
      <c r="H448" s="4306">
        <f t="shared" si="6"/>
        <v>91.596638655462186</v>
      </c>
      <c r="I448" s="4307">
        <v>0.75229357798165142</v>
      </c>
      <c r="J448" s="4307">
        <v>0.24770642201834864</v>
      </c>
      <c r="K448" s="4307">
        <v>3.7499999999999999E-2</v>
      </c>
      <c r="L448" s="4307">
        <v>7.4999999999999997E-2</v>
      </c>
      <c r="M448" s="4307">
        <v>0.17499999999999999</v>
      </c>
      <c r="N448" s="4307">
        <v>0.23749999999999999</v>
      </c>
      <c r="O448" s="4307">
        <v>0.47499999999999998</v>
      </c>
    </row>
    <row r="449" spans="1:15">
      <c r="A449" s="5793"/>
      <c r="B449" s="5794"/>
      <c r="C449" s="4304" t="s">
        <v>343</v>
      </c>
      <c r="D449" s="5796"/>
      <c r="E449" s="4860"/>
      <c r="F449" s="4305">
        <v>24</v>
      </c>
      <c r="G449" s="4305">
        <v>3</v>
      </c>
      <c r="H449" s="4306">
        <f t="shared" si="6"/>
        <v>12.5</v>
      </c>
      <c r="I449" s="4307">
        <v>0.66666666666666674</v>
      </c>
      <c r="J449" s="4307">
        <v>0.33333333333333337</v>
      </c>
      <c r="K449" s="4308">
        <v>0</v>
      </c>
      <c r="L449" s="4308">
        <v>0</v>
      </c>
      <c r="M449" s="4308">
        <v>0</v>
      </c>
      <c r="N449" s="4308">
        <v>0</v>
      </c>
      <c r="O449" s="4307">
        <v>1</v>
      </c>
    </row>
    <row r="450" spans="1:15">
      <c r="A450" s="5793"/>
      <c r="B450" s="5794"/>
      <c r="C450" s="4304" t="s">
        <v>307</v>
      </c>
      <c r="D450" s="5796"/>
      <c r="E450" s="4860"/>
      <c r="F450" s="4305">
        <v>169</v>
      </c>
      <c r="G450" s="4305">
        <v>108</v>
      </c>
      <c r="H450" s="4306">
        <f t="shared" si="6"/>
        <v>63.905325443786985</v>
      </c>
      <c r="I450" s="4307">
        <v>0.77777777777777768</v>
      </c>
      <c r="J450" s="4307">
        <v>0.22222222222222221</v>
      </c>
      <c r="K450" s="4307">
        <v>1.1904761904761904E-2</v>
      </c>
      <c r="L450" s="4307">
        <v>1.1904761904761904E-2</v>
      </c>
      <c r="M450" s="4307">
        <v>9.5238095238095233E-2</v>
      </c>
      <c r="N450" s="4307">
        <v>0.28571428571428575</v>
      </c>
      <c r="O450" s="4307">
        <v>0.59523809523809523</v>
      </c>
    </row>
    <row r="451" spans="1:15">
      <c r="A451" s="5793"/>
      <c r="B451" s="5794"/>
      <c r="C451" s="4304" t="s">
        <v>304</v>
      </c>
      <c r="D451" s="5796"/>
      <c r="E451" s="4860"/>
      <c r="F451" s="4305">
        <v>190</v>
      </c>
      <c r="G451" s="4305">
        <v>118</v>
      </c>
      <c r="H451" s="4306">
        <f t="shared" si="6"/>
        <v>62.10526315789474</v>
      </c>
      <c r="I451" s="4307">
        <v>0.65217391304347827</v>
      </c>
      <c r="J451" s="4307">
        <v>0.34782608695652173</v>
      </c>
      <c r="K451" s="4307">
        <v>9.0909090909090912E-2</v>
      </c>
      <c r="L451" s="4307">
        <v>6.8181818181818177E-2</v>
      </c>
      <c r="M451" s="4307">
        <v>0.18181818181818182</v>
      </c>
      <c r="N451" s="4307">
        <v>0.29545454545454547</v>
      </c>
      <c r="O451" s="4307">
        <v>0.36363636363636365</v>
      </c>
    </row>
    <row r="452" spans="1:15">
      <c r="A452" s="5793"/>
      <c r="B452" s="5794"/>
      <c r="C452" s="4304" t="s">
        <v>2494</v>
      </c>
      <c r="D452" s="5796"/>
      <c r="E452" s="4860"/>
      <c r="F452" s="4305">
        <v>10</v>
      </c>
      <c r="G452" s="4305">
        <v>0</v>
      </c>
      <c r="H452" s="4306">
        <f t="shared" si="6"/>
        <v>0</v>
      </c>
      <c r="I452" s="4305" t="s">
        <v>618</v>
      </c>
      <c r="J452" s="4305" t="s">
        <v>618</v>
      </c>
      <c r="K452" s="4309" t="s">
        <v>618</v>
      </c>
      <c r="L452" s="4310" t="s">
        <v>618</v>
      </c>
      <c r="M452" s="4310" t="s">
        <v>618</v>
      </c>
      <c r="N452" s="4310" t="s">
        <v>618</v>
      </c>
      <c r="O452" s="4310" t="s">
        <v>618</v>
      </c>
    </row>
    <row r="453" spans="1:15">
      <c r="A453" s="5793"/>
      <c r="B453" s="5794"/>
      <c r="C453" s="4304" t="s">
        <v>672</v>
      </c>
      <c r="D453" s="5796"/>
      <c r="E453" s="4860"/>
      <c r="F453" s="4305">
        <v>14</v>
      </c>
      <c r="G453" s="4305">
        <v>0</v>
      </c>
      <c r="H453" s="4306">
        <f t="shared" si="6"/>
        <v>0</v>
      </c>
      <c r="I453" s="4305" t="s">
        <v>618</v>
      </c>
      <c r="J453" s="4305" t="s">
        <v>618</v>
      </c>
      <c r="K453" s="4309" t="s">
        <v>618</v>
      </c>
      <c r="L453" s="4310" t="s">
        <v>618</v>
      </c>
      <c r="M453" s="4310" t="s">
        <v>618</v>
      </c>
      <c r="N453" s="4310" t="s">
        <v>618</v>
      </c>
      <c r="O453" s="4310" t="s">
        <v>618</v>
      </c>
    </row>
    <row r="454" spans="1:15">
      <c r="A454" s="5793"/>
      <c r="B454" s="5794"/>
      <c r="C454" s="4304" t="s">
        <v>2331</v>
      </c>
      <c r="D454" s="5796"/>
      <c r="E454" s="4860"/>
      <c r="F454" s="4305">
        <v>14</v>
      </c>
      <c r="G454" s="4305">
        <v>0</v>
      </c>
      <c r="H454" s="4306">
        <f t="shared" si="6"/>
        <v>0</v>
      </c>
      <c r="I454" s="4305" t="s">
        <v>618</v>
      </c>
      <c r="J454" s="4305" t="s">
        <v>618</v>
      </c>
      <c r="K454" s="4309" t="s">
        <v>618</v>
      </c>
      <c r="L454" s="4310" t="s">
        <v>618</v>
      </c>
      <c r="M454" s="4310" t="s">
        <v>618</v>
      </c>
      <c r="N454" s="4310" t="s">
        <v>618</v>
      </c>
      <c r="O454" s="4310" t="s">
        <v>618</v>
      </c>
    </row>
    <row r="455" spans="1:15">
      <c r="A455" s="5793"/>
      <c r="B455" s="5794"/>
      <c r="C455" s="4304" t="s">
        <v>306</v>
      </c>
      <c r="D455" s="5796"/>
      <c r="E455" s="4860"/>
      <c r="F455" s="4305">
        <v>5</v>
      </c>
      <c r="G455" s="4305">
        <v>0</v>
      </c>
      <c r="H455" s="4306">
        <f t="shared" si="6"/>
        <v>0</v>
      </c>
      <c r="I455" s="4305" t="s">
        <v>618</v>
      </c>
      <c r="J455" s="4305" t="s">
        <v>618</v>
      </c>
      <c r="K455" s="4309" t="s">
        <v>618</v>
      </c>
      <c r="L455" s="4310" t="s">
        <v>618</v>
      </c>
      <c r="M455" s="4310" t="s">
        <v>618</v>
      </c>
      <c r="N455" s="4310" t="s">
        <v>618</v>
      </c>
      <c r="O455" s="4310" t="s">
        <v>618</v>
      </c>
    </row>
    <row r="456" spans="1:15">
      <c r="A456" s="5793"/>
      <c r="B456" s="5794"/>
      <c r="C456" s="4304" t="s">
        <v>483</v>
      </c>
      <c r="D456" s="5796" t="s">
        <v>248</v>
      </c>
      <c r="E456" s="4860"/>
      <c r="F456" s="4305">
        <v>86</v>
      </c>
      <c r="G456" s="4305">
        <v>64</v>
      </c>
      <c r="H456" s="4306">
        <f t="shared" si="6"/>
        <v>74.418604651162795</v>
      </c>
      <c r="I456" s="4305" t="s">
        <v>618</v>
      </c>
      <c r="J456" s="4305" t="s">
        <v>618</v>
      </c>
      <c r="K456" s="4309" t="s">
        <v>618</v>
      </c>
      <c r="L456" s="4310" t="s">
        <v>618</v>
      </c>
      <c r="M456" s="4310" t="s">
        <v>618</v>
      </c>
      <c r="N456" s="4310" t="s">
        <v>618</v>
      </c>
      <c r="O456" s="4310" t="s">
        <v>618</v>
      </c>
    </row>
    <row r="457" spans="1:15">
      <c r="A457" s="5793"/>
      <c r="B457" s="5794"/>
      <c r="C457" s="4304" t="s">
        <v>308</v>
      </c>
      <c r="D457" s="5796"/>
      <c r="E457" s="4860"/>
      <c r="F457" s="4305">
        <v>67</v>
      </c>
      <c r="G457" s="4305">
        <v>32</v>
      </c>
      <c r="H457" s="4306">
        <f t="shared" si="6"/>
        <v>47.761194029850749</v>
      </c>
      <c r="I457" s="4307">
        <v>0.96875</v>
      </c>
      <c r="J457" s="4307">
        <v>3.125E-2</v>
      </c>
      <c r="K457" s="4308">
        <v>0</v>
      </c>
      <c r="L457" s="4308">
        <v>0</v>
      </c>
      <c r="M457" s="4307">
        <v>1</v>
      </c>
      <c r="N457" s="4308">
        <v>0</v>
      </c>
      <c r="O457" s="4308">
        <v>0</v>
      </c>
    </row>
    <row r="458" spans="1:15">
      <c r="A458" s="5793"/>
      <c r="B458" s="5794"/>
      <c r="C458" s="4304" t="s">
        <v>410</v>
      </c>
      <c r="D458" s="5796"/>
      <c r="E458" s="4860"/>
      <c r="F458" s="4305">
        <v>84</v>
      </c>
      <c r="G458" s="4305">
        <v>18</v>
      </c>
      <c r="H458" s="4306">
        <f t="shared" ref="H458:H470" si="7">G458*100/F458</f>
        <v>21.428571428571427</v>
      </c>
      <c r="I458" s="4307">
        <v>0.96341463414634143</v>
      </c>
      <c r="J458" s="4307">
        <v>3.6585365853658541E-2</v>
      </c>
      <c r="K458" s="4308">
        <v>0</v>
      </c>
      <c r="L458" s="4307">
        <v>3.4482758620689655E-2</v>
      </c>
      <c r="M458" s="4307">
        <v>3.4482758620689655E-2</v>
      </c>
      <c r="N458" s="4307">
        <v>0.20689655172413793</v>
      </c>
      <c r="O458" s="4307">
        <v>0.72413793103448265</v>
      </c>
    </row>
    <row r="459" spans="1:15">
      <c r="A459" s="5793"/>
      <c r="B459" s="5794"/>
      <c r="C459" s="4311" t="s">
        <v>587</v>
      </c>
      <c r="D459" s="5797"/>
      <c r="E459" s="4864"/>
      <c r="F459" s="4312">
        <v>7</v>
      </c>
      <c r="G459" s="4312">
        <v>5</v>
      </c>
      <c r="H459" s="4313">
        <f t="shared" si="7"/>
        <v>71.428571428571431</v>
      </c>
      <c r="I459" s="4320">
        <v>1</v>
      </c>
      <c r="J459" s="4321">
        <v>0</v>
      </c>
      <c r="K459" s="4321">
        <v>0</v>
      </c>
      <c r="L459" s="4321">
        <v>0</v>
      </c>
      <c r="M459" s="4321">
        <v>0</v>
      </c>
      <c r="N459" s="4320">
        <v>6.25E-2</v>
      </c>
      <c r="O459" s="4320">
        <v>0.9375</v>
      </c>
    </row>
    <row r="460" spans="1:15" ht="15" customHeight="1">
      <c r="A460" s="5793"/>
      <c r="B460" s="5794" t="s">
        <v>2435</v>
      </c>
      <c r="C460" s="4316" t="s">
        <v>309</v>
      </c>
      <c r="D460" s="5795" t="s">
        <v>247</v>
      </c>
      <c r="E460" s="4861"/>
      <c r="F460" s="4317">
        <v>279</v>
      </c>
      <c r="G460" s="4317">
        <v>130</v>
      </c>
      <c r="H460" s="4318">
        <f t="shared" si="7"/>
        <v>46.594982078853043</v>
      </c>
      <c r="I460" s="4319">
        <v>0.79230769230769227</v>
      </c>
      <c r="J460" s="4319">
        <v>0.2076923076923077</v>
      </c>
      <c r="K460" s="4319">
        <v>2.9411764705882356E-2</v>
      </c>
      <c r="L460" s="4319">
        <v>3.9215686274509803E-2</v>
      </c>
      <c r="M460" s="4319">
        <v>8.8235294117647065E-2</v>
      </c>
      <c r="N460" s="4319">
        <v>0.10784313725490197</v>
      </c>
      <c r="O460" s="4319">
        <v>0.73529411764705888</v>
      </c>
    </row>
    <row r="461" spans="1:15">
      <c r="A461" s="5793"/>
      <c r="B461" s="5794"/>
      <c r="C461" s="4304" t="s">
        <v>2333</v>
      </c>
      <c r="D461" s="5796"/>
      <c r="E461" s="4860"/>
      <c r="F461" s="4305">
        <v>55</v>
      </c>
      <c r="G461" s="4305">
        <v>31</v>
      </c>
      <c r="H461" s="4306">
        <f t="shared" si="7"/>
        <v>56.363636363636367</v>
      </c>
      <c r="I461" s="4307">
        <v>0.93548387096774188</v>
      </c>
      <c r="J461" s="4307">
        <v>6.4516129032258063E-2</v>
      </c>
      <c r="K461" s="4307">
        <v>6.8965517241379309E-2</v>
      </c>
      <c r="L461" s="4307">
        <v>6.8965517241379309E-2</v>
      </c>
      <c r="M461" s="4307">
        <v>0.17241379310344829</v>
      </c>
      <c r="N461" s="4307">
        <v>0.20689655172413793</v>
      </c>
      <c r="O461" s="4307">
        <v>0.48275862068965514</v>
      </c>
    </row>
    <row r="462" spans="1:15">
      <c r="A462" s="5793"/>
      <c r="B462" s="5794"/>
      <c r="C462" s="4304" t="s">
        <v>2334</v>
      </c>
      <c r="D462" s="5796"/>
      <c r="E462" s="4860"/>
      <c r="F462" s="4305">
        <v>61</v>
      </c>
      <c r="G462" s="4305">
        <v>0</v>
      </c>
      <c r="H462" s="4306">
        <f t="shared" si="7"/>
        <v>0</v>
      </c>
      <c r="I462" s="4305" t="s">
        <v>618</v>
      </c>
      <c r="J462" s="4305" t="s">
        <v>618</v>
      </c>
      <c r="K462" s="4309" t="s">
        <v>618</v>
      </c>
      <c r="L462" s="4310" t="s">
        <v>618</v>
      </c>
      <c r="M462" s="4310" t="s">
        <v>618</v>
      </c>
      <c r="N462" s="4310" t="s">
        <v>618</v>
      </c>
      <c r="O462" s="4310"/>
    </row>
    <row r="463" spans="1:15">
      <c r="A463" s="5793"/>
      <c r="B463" s="5794"/>
      <c r="C463" s="4326" t="s">
        <v>310</v>
      </c>
      <c r="D463" s="4331" t="s">
        <v>248</v>
      </c>
      <c r="E463" s="4862"/>
      <c r="F463" s="4327">
        <v>45</v>
      </c>
      <c r="G463" s="4327">
        <v>29</v>
      </c>
      <c r="H463" s="4328">
        <f t="shared" si="7"/>
        <v>64.444444444444443</v>
      </c>
      <c r="I463" s="4329">
        <v>0.96551724137931028</v>
      </c>
      <c r="J463" s="4329">
        <v>3.4482758620689655E-2</v>
      </c>
      <c r="K463" s="4329">
        <v>3.5714285714285719E-2</v>
      </c>
      <c r="L463" s="4329">
        <v>7.1428571428571438E-2</v>
      </c>
      <c r="M463" s="4329">
        <v>0.17857142857142858</v>
      </c>
      <c r="N463" s="4329">
        <v>0.25</v>
      </c>
      <c r="O463" s="4329">
        <v>0.4642857142857143</v>
      </c>
    </row>
    <row r="464" spans="1:15" ht="15" customHeight="1">
      <c r="A464" s="5793" t="s">
        <v>59</v>
      </c>
      <c r="B464" s="5794" t="s">
        <v>2434</v>
      </c>
      <c r="C464" s="4299" t="s">
        <v>670</v>
      </c>
      <c r="D464" s="4332" t="s">
        <v>247</v>
      </c>
      <c r="E464" s="4859"/>
      <c r="F464" s="4300">
        <v>52</v>
      </c>
      <c r="G464" s="4300">
        <v>35</v>
      </c>
      <c r="H464" s="4301">
        <f t="shared" si="7"/>
        <v>67.307692307692307</v>
      </c>
      <c r="I464" s="4302">
        <v>0.62857142857142856</v>
      </c>
      <c r="J464" s="4302">
        <v>0.37142857142857144</v>
      </c>
      <c r="K464" s="4302">
        <v>9.0909090909090912E-2</v>
      </c>
      <c r="L464" s="4302">
        <v>4.5454545454545456E-2</v>
      </c>
      <c r="M464" s="4302">
        <v>0.27272727272727271</v>
      </c>
      <c r="N464" s="4302">
        <v>0.27272727272727271</v>
      </c>
      <c r="O464" s="4302">
        <v>0.31818181818181818</v>
      </c>
    </row>
    <row r="465" spans="1:16">
      <c r="A465" s="5793"/>
      <c r="B465" s="5794"/>
      <c r="C465" s="4311" t="s">
        <v>670</v>
      </c>
      <c r="D465" s="4314" t="s">
        <v>248</v>
      </c>
      <c r="E465" s="4864"/>
      <c r="F465" s="4312">
        <v>23</v>
      </c>
      <c r="G465" s="4312">
        <v>5</v>
      </c>
      <c r="H465" s="4313">
        <f t="shared" si="7"/>
        <v>21.739130434782609</v>
      </c>
      <c r="I465" s="4320">
        <v>1</v>
      </c>
      <c r="J465" s="4321">
        <v>0</v>
      </c>
      <c r="K465" s="4321">
        <v>0</v>
      </c>
      <c r="L465" s="4321">
        <v>0</v>
      </c>
      <c r="M465" s="4321">
        <v>0</v>
      </c>
      <c r="N465" s="4320">
        <v>0.25</v>
      </c>
      <c r="O465" s="4320">
        <v>0.75</v>
      </c>
    </row>
    <row r="466" spans="1:16" ht="30.6">
      <c r="A466" s="5793"/>
      <c r="B466" s="4333" t="s">
        <v>2437</v>
      </c>
      <c r="C466" s="4334" t="s">
        <v>412</v>
      </c>
      <c r="D466" s="4335" t="s">
        <v>247</v>
      </c>
      <c r="E466" s="5118"/>
      <c r="F466" s="4336">
        <v>59</v>
      </c>
      <c r="G466" s="4336">
        <v>14</v>
      </c>
      <c r="H466" s="4337">
        <f t="shared" si="7"/>
        <v>23.728813559322035</v>
      </c>
      <c r="I466" s="4283">
        <v>0.9285714285714286</v>
      </c>
      <c r="J466" s="4283">
        <v>7.1428571428571438E-2</v>
      </c>
      <c r="K466" s="4338">
        <v>0</v>
      </c>
      <c r="L466" s="4338">
        <v>0</v>
      </c>
      <c r="M466" s="4283">
        <v>0.16666666666666669</v>
      </c>
      <c r="N466" s="4283">
        <v>0.5</v>
      </c>
      <c r="O466" s="4283">
        <v>0.33333333333333337</v>
      </c>
    </row>
    <row r="467" spans="1:16" ht="15" customHeight="1">
      <c r="A467" s="5793"/>
      <c r="B467" s="5794" t="s">
        <v>2438</v>
      </c>
      <c r="C467" s="4316" t="s">
        <v>671</v>
      </c>
      <c r="D467" s="4325" t="s">
        <v>265</v>
      </c>
      <c r="E467" s="4861"/>
      <c r="F467" s="4317">
        <v>9</v>
      </c>
      <c r="G467" s="4317">
        <v>0</v>
      </c>
      <c r="H467" s="4318">
        <f t="shared" si="7"/>
        <v>0</v>
      </c>
      <c r="I467" s="4317" t="s">
        <v>618</v>
      </c>
      <c r="J467" s="4317" t="s">
        <v>618</v>
      </c>
      <c r="K467" s="4325" t="s">
        <v>618</v>
      </c>
      <c r="L467" s="4324" t="s">
        <v>618</v>
      </c>
      <c r="M467" s="4324" t="s">
        <v>618</v>
      </c>
      <c r="N467" s="4322" t="s">
        <v>618</v>
      </c>
      <c r="O467" s="4324" t="s">
        <v>618</v>
      </c>
    </row>
    <row r="468" spans="1:16">
      <c r="A468" s="5793"/>
      <c r="B468" s="5794"/>
      <c r="C468" s="4304" t="s">
        <v>671</v>
      </c>
      <c r="D468" s="4309" t="s">
        <v>247</v>
      </c>
      <c r="E468" s="4860"/>
      <c r="F468" s="4305">
        <v>29</v>
      </c>
      <c r="G468" s="4305">
        <v>7</v>
      </c>
      <c r="H468" s="4306">
        <f t="shared" si="7"/>
        <v>24.137931034482758</v>
      </c>
      <c r="I468" s="4307">
        <v>0.57142857142857151</v>
      </c>
      <c r="J468" s="4307">
        <v>0.42857142857142855</v>
      </c>
      <c r="K468" s="4307">
        <v>0.25</v>
      </c>
      <c r="L468" s="4307">
        <v>0.25</v>
      </c>
      <c r="M468" s="4307">
        <v>0.5</v>
      </c>
      <c r="N468" s="4308">
        <v>0</v>
      </c>
      <c r="O468" s="4308">
        <v>0</v>
      </c>
    </row>
    <row r="469" spans="1:16">
      <c r="A469" s="5793"/>
      <c r="B469" s="5794"/>
      <c r="C469" s="4304" t="s">
        <v>410</v>
      </c>
      <c r="D469" s="5796" t="s">
        <v>248</v>
      </c>
      <c r="E469" s="4860"/>
      <c r="F469" s="4305">
        <v>1</v>
      </c>
      <c r="G469" s="4305">
        <v>0</v>
      </c>
      <c r="H469" s="4306">
        <f t="shared" si="7"/>
        <v>0</v>
      </c>
      <c r="I469" s="4305" t="s">
        <v>618</v>
      </c>
      <c r="J469" s="4305" t="s">
        <v>618</v>
      </c>
      <c r="K469" s="4309" t="s">
        <v>618</v>
      </c>
      <c r="L469" s="4310" t="s">
        <v>618</v>
      </c>
      <c r="M469" s="4310" t="s">
        <v>618</v>
      </c>
      <c r="N469" s="4310" t="s">
        <v>618</v>
      </c>
      <c r="O469" s="4310" t="s">
        <v>618</v>
      </c>
    </row>
    <row r="470" spans="1:16">
      <c r="A470" s="5793"/>
      <c r="B470" s="5794"/>
      <c r="C470" s="4311" t="s">
        <v>671</v>
      </c>
      <c r="D470" s="5797"/>
      <c r="E470" s="4864"/>
      <c r="F470" s="4312">
        <v>7</v>
      </c>
      <c r="G470" s="4312">
        <v>1</v>
      </c>
      <c r="H470" s="4313">
        <f t="shared" si="7"/>
        <v>14.285714285714286</v>
      </c>
      <c r="I470" s="4320">
        <v>1</v>
      </c>
      <c r="J470" s="4321">
        <v>0</v>
      </c>
      <c r="K470" s="4321">
        <v>0</v>
      </c>
      <c r="L470" s="4321">
        <v>0</v>
      </c>
      <c r="M470" s="4321">
        <v>0</v>
      </c>
      <c r="N470" s="4320">
        <v>1</v>
      </c>
      <c r="O470" s="4321">
        <v>0</v>
      </c>
    </row>
    <row r="471" spans="1:16">
      <c r="A471" s="5790" t="s">
        <v>15</v>
      </c>
      <c r="B471" s="5791"/>
      <c r="C471" s="5791"/>
      <c r="D471" s="5792"/>
      <c r="E471" s="5119"/>
      <c r="F471" s="4339">
        <f>SUM(F329:F470)</f>
        <v>13663</v>
      </c>
      <c r="G471" s="4339">
        <f>SUM(G329:G470)</f>
        <v>6571</v>
      </c>
      <c r="H471" s="4340">
        <f>G471*100/F471</f>
        <v>48.093390909756273</v>
      </c>
      <c r="I471" s="4341">
        <v>0.78500000000000003</v>
      </c>
      <c r="J471" s="4341">
        <v>0.215</v>
      </c>
      <c r="K471" s="4341">
        <v>0.03</v>
      </c>
      <c r="L471" s="4341">
        <v>4.1000000000000002E-2</v>
      </c>
      <c r="M471" s="4341">
        <v>0.111</v>
      </c>
      <c r="N471" s="4341">
        <v>0.17799999999999999</v>
      </c>
      <c r="O471" s="4341">
        <v>0.64</v>
      </c>
    </row>
    <row r="472" spans="1:16" ht="18">
      <c r="B472" s="104"/>
      <c r="C472" s="104"/>
      <c r="D472" s="104"/>
      <c r="E472" s="104"/>
      <c r="F472" s="104"/>
      <c r="G472" s="104"/>
      <c r="H472" s="98"/>
    </row>
    <row r="473" spans="1:16" ht="18">
      <c r="B473" s="104"/>
      <c r="C473" s="104"/>
      <c r="D473" s="104"/>
      <c r="E473" s="104"/>
      <c r="F473" s="104"/>
      <c r="G473" s="104"/>
      <c r="H473" s="98"/>
    </row>
    <row r="474" spans="1:16" ht="17.399999999999999">
      <c r="A474" s="1913"/>
      <c r="B474"/>
      <c r="C474" s="270">
        <v>2017</v>
      </c>
      <c r="D474" s="238"/>
      <c r="E474" s="4853"/>
      <c r="F474" s="238"/>
      <c r="G474" s="238"/>
      <c r="H474" s="238"/>
      <c r="I474" s="238"/>
      <c r="J474" s="1921"/>
      <c r="K474" s="1921"/>
      <c r="L474" s="1922"/>
      <c r="M474" s="1922"/>
      <c r="N474" s="1922"/>
      <c r="O474" s="1922"/>
      <c r="P474" s="1922"/>
    </row>
    <row r="475" spans="1:16" ht="15.6">
      <c r="A475" s="1923"/>
      <c r="B475" s="1923"/>
      <c r="C475" s="1921"/>
      <c r="D475" s="1921"/>
      <c r="E475" s="1921"/>
      <c r="F475" s="1921"/>
      <c r="G475" s="1921"/>
      <c r="H475" s="1921"/>
      <c r="I475" s="1921"/>
      <c r="J475" s="1921"/>
      <c r="K475" s="1921"/>
      <c r="L475" s="1922"/>
      <c r="M475" s="1922"/>
      <c r="N475" s="1922"/>
      <c r="O475" s="1922"/>
      <c r="P475" s="1922"/>
    </row>
    <row r="476" spans="1:16" ht="15.6">
      <c r="A476" s="5857" t="s">
        <v>2442</v>
      </c>
      <c r="B476" s="5857"/>
      <c r="C476" s="5857"/>
      <c r="D476" s="5857"/>
      <c r="E476" s="5857"/>
      <c r="F476" s="5857"/>
      <c r="G476" s="5857"/>
      <c r="H476" s="5857"/>
      <c r="I476" s="5857"/>
      <c r="J476" s="5857"/>
      <c r="K476" s="5857"/>
      <c r="L476" s="5857"/>
      <c r="M476" s="1924"/>
      <c r="N476" s="1924"/>
      <c r="O476" s="1922"/>
      <c r="P476" s="1922"/>
    </row>
    <row r="477" spans="1:16" ht="15.6">
      <c r="A477" s="5857"/>
      <c r="B477" s="5857"/>
      <c r="C477" s="5857"/>
      <c r="D477" s="5857"/>
      <c r="E477" s="5857"/>
      <c r="F477" s="5857"/>
      <c r="G477" s="5857"/>
      <c r="H477" s="5857"/>
      <c r="I477" s="5857"/>
      <c r="J477" s="5857"/>
      <c r="K477" s="5857"/>
      <c r="L477" s="5857"/>
      <c r="M477" s="1924"/>
      <c r="N477" s="1924"/>
      <c r="O477" s="1922"/>
      <c r="P477" s="1922"/>
    </row>
    <row r="478" spans="1:16" ht="15.6">
      <c r="A478" s="1925" t="s">
        <v>2443</v>
      </c>
      <c r="B478" s="1926"/>
      <c r="C478" s="1926"/>
      <c r="D478" s="1926"/>
      <c r="E478" s="4858"/>
      <c r="F478" s="1926"/>
      <c r="G478" s="1926"/>
      <c r="H478" s="1926"/>
      <c r="I478" s="1926"/>
      <c r="J478" s="1926"/>
      <c r="K478" s="1926"/>
      <c r="L478" s="1926"/>
      <c r="M478" s="1926"/>
      <c r="N478" s="1926"/>
      <c r="O478" s="1922"/>
      <c r="P478" s="1922"/>
    </row>
    <row r="479" spans="1:16" ht="15.6">
      <c r="A479" s="1926"/>
      <c r="B479" s="1926"/>
      <c r="C479" s="1926"/>
      <c r="D479" s="1926"/>
      <c r="E479" s="4858"/>
      <c r="F479" s="1926"/>
      <c r="G479" s="1926"/>
      <c r="H479" s="1926"/>
      <c r="I479" s="1926"/>
      <c r="J479" s="1926"/>
      <c r="K479" s="1926"/>
      <c r="L479" s="1926"/>
      <c r="M479" s="1926"/>
      <c r="N479" s="1926"/>
      <c r="O479" s="1922"/>
      <c r="P479" s="1922"/>
    </row>
    <row r="480" spans="1:16" ht="15.6">
      <c r="A480" s="1925" t="s">
        <v>2444</v>
      </c>
      <c r="B480" s="1926"/>
      <c r="C480" s="1926"/>
      <c r="D480" s="1926"/>
      <c r="E480" s="4858"/>
      <c r="F480" s="1926"/>
      <c r="G480" s="1926"/>
      <c r="H480" s="1926"/>
      <c r="I480" s="1926"/>
      <c r="J480" s="1926"/>
      <c r="K480" s="1926"/>
      <c r="L480" s="1926"/>
      <c r="M480" s="1926"/>
      <c r="N480" s="1926"/>
      <c r="O480" s="1922"/>
      <c r="P480" s="1922"/>
    </row>
    <row r="481" spans="1:15">
      <c r="A481" s="1943" t="s">
        <v>2104</v>
      </c>
      <c r="B481" s="1943" t="s">
        <v>2099</v>
      </c>
      <c r="C481" s="1943" t="s">
        <v>2105</v>
      </c>
      <c r="D481" s="1943" t="s">
        <v>2432</v>
      </c>
      <c r="E481" s="5111"/>
      <c r="F481" s="1920" t="s">
        <v>1038</v>
      </c>
      <c r="G481" s="1920" t="s">
        <v>1039</v>
      </c>
      <c r="H481" s="1944" t="s">
        <v>1503</v>
      </c>
      <c r="I481" s="1944" t="s">
        <v>1504</v>
      </c>
      <c r="J481" s="1945" t="s">
        <v>2446</v>
      </c>
      <c r="K481" s="1944" t="s">
        <v>1506</v>
      </c>
      <c r="L481" s="1946" t="s">
        <v>15</v>
      </c>
      <c r="M481" s="1927"/>
      <c r="N481" s="1927"/>
      <c r="O481" s="1927"/>
    </row>
    <row r="482" spans="1:15">
      <c r="A482" s="3087" t="s">
        <v>3</v>
      </c>
      <c r="B482" s="3087">
        <v>2346</v>
      </c>
      <c r="C482" s="3088">
        <v>1117</v>
      </c>
      <c r="D482" s="3089">
        <f>C482*100/B482</f>
        <v>47.612958226768967</v>
      </c>
      <c r="E482" s="3089"/>
      <c r="F482" s="3090">
        <v>79.3</v>
      </c>
      <c r="G482" s="3090">
        <v>20.7</v>
      </c>
      <c r="H482" s="3090">
        <v>3.5</v>
      </c>
      <c r="I482" s="3091">
        <v>4.7</v>
      </c>
      <c r="J482" s="3091">
        <v>11.9</v>
      </c>
      <c r="K482" s="3092">
        <v>17.5</v>
      </c>
      <c r="L482" s="3092">
        <v>62.3</v>
      </c>
      <c r="M482" s="1928"/>
      <c r="N482" s="1928"/>
      <c r="O482" s="1928"/>
    </row>
    <row r="483" spans="1:15">
      <c r="A483" s="3093" t="s">
        <v>59</v>
      </c>
      <c r="B483" s="3093">
        <v>124</v>
      </c>
      <c r="C483" s="3094">
        <v>61</v>
      </c>
      <c r="D483" s="3095">
        <f>C483*100/B483</f>
        <v>49.193548387096776</v>
      </c>
      <c r="E483" s="3095"/>
      <c r="F483" s="3096">
        <v>72.099999999999994</v>
      </c>
      <c r="G483" s="3096">
        <v>27.9</v>
      </c>
      <c r="H483" s="3096">
        <v>7</v>
      </c>
      <c r="I483" s="3097">
        <v>4.7</v>
      </c>
      <c r="J483" s="3097">
        <v>23.3</v>
      </c>
      <c r="K483" s="3098">
        <v>32.6</v>
      </c>
      <c r="L483" s="3098">
        <v>32.6</v>
      </c>
      <c r="M483" s="1929"/>
      <c r="N483" s="1930"/>
      <c r="O483" s="1930"/>
    </row>
    <row r="484" spans="1:15">
      <c r="A484" s="3093" t="s">
        <v>25</v>
      </c>
      <c r="B484" s="3093">
        <v>6485</v>
      </c>
      <c r="C484" s="3094">
        <v>3057</v>
      </c>
      <c r="D484" s="3095">
        <f>C484*100/B484</f>
        <v>47.139552814186587</v>
      </c>
      <c r="E484" s="3095"/>
      <c r="F484" s="3096">
        <v>75.8</v>
      </c>
      <c r="G484" s="3096">
        <v>24.2</v>
      </c>
      <c r="H484" s="3096">
        <v>2.7</v>
      </c>
      <c r="I484" s="3097">
        <v>4</v>
      </c>
      <c r="J484" s="3097">
        <v>10.1</v>
      </c>
      <c r="K484" s="3098">
        <v>16.8</v>
      </c>
      <c r="L484" s="3098">
        <v>66.5</v>
      </c>
      <c r="M484" s="1929"/>
      <c r="N484" s="1930"/>
      <c r="O484" s="1930"/>
    </row>
    <row r="485" spans="1:15">
      <c r="A485" s="3099" t="s">
        <v>48</v>
      </c>
      <c r="B485" s="3099">
        <v>3649</v>
      </c>
      <c r="C485" s="3100">
        <v>1670</v>
      </c>
      <c r="D485" s="3101">
        <f>C485*100/B485</f>
        <v>45.765963277610304</v>
      </c>
      <c r="E485" s="3101"/>
      <c r="F485" s="3102">
        <v>83.1</v>
      </c>
      <c r="G485" s="3102">
        <v>16.899999999999999</v>
      </c>
      <c r="H485" s="3102">
        <v>2.5</v>
      </c>
      <c r="I485" s="3103">
        <v>3.3</v>
      </c>
      <c r="J485" s="3103">
        <v>10.199999999999999</v>
      </c>
      <c r="K485" s="3104">
        <v>18</v>
      </c>
      <c r="L485" s="3104">
        <v>66</v>
      </c>
      <c r="M485" s="1929"/>
      <c r="N485" s="1930"/>
      <c r="O485" s="1930"/>
    </row>
    <row r="486" spans="1:15">
      <c r="A486" s="3077" t="s">
        <v>15</v>
      </c>
      <c r="B486" s="3077">
        <f>SUM(B482:B485)</f>
        <v>12604</v>
      </c>
      <c r="C486" s="3082">
        <f>SUM(C482:C485)</f>
        <v>5905</v>
      </c>
      <c r="D486" s="3083">
        <f>C486*100/B486</f>
        <v>46.850206283719452</v>
      </c>
      <c r="E486" s="5116"/>
      <c r="F486" s="2217">
        <v>78.599999999999994</v>
      </c>
      <c r="G486" s="3084">
        <v>21.4</v>
      </c>
      <c r="H486" s="3084">
        <v>2.8</v>
      </c>
      <c r="I486" s="3085">
        <v>3.9</v>
      </c>
      <c r="J486" s="3085">
        <v>10.6</v>
      </c>
      <c r="K486" s="3086">
        <v>17.399999999999999</v>
      </c>
      <c r="L486" s="3086">
        <v>65.2</v>
      </c>
      <c r="M486" s="1929"/>
      <c r="N486" s="1930"/>
      <c r="O486" s="1930"/>
    </row>
    <row r="487" spans="1:15" ht="15.6">
      <c r="A487" s="1923"/>
      <c r="B487" s="1923"/>
      <c r="C487" s="1921"/>
      <c r="D487" s="1921"/>
      <c r="E487" s="1921"/>
      <c r="F487" s="1921"/>
      <c r="G487" s="1921"/>
      <c r="H487" s="1921"/>
      <c r="I487" s="1921"/>
      <c r="J487" s="1921"/>
      <c r="K487" s="1931"/>
      <c r="L487" s="1932"/>
      <c r="M487" s="1929"/>
      <c r="N487" s="1930"/>
      <c r="O487" s="1930"/>
    </row>
    <row r="488" spans="1:15" ht="15.6">
      <c r="A488" s="1933"/>
      <c r="B488" s="1923"/>
      <c r="C488" s="1921"/>
      <c r="D488" s="1921"/>
      <c r="E488" s="1921"/>
      <c r="F488" s="1921"/>
      <c r="G488" s="1921"/>
      <c r="H488" s="1921"/>
      <c r="I488" s="1921"/>
      <c r="J488" s="1921"/>
      <c r="K488" s="1922"/>
      <c r="L488" s="1922"/>
      <c r="M488" s="1922"/>
      <c r="N488" s="1922"/>
      <c r="O488" s="1922"/>
    </row>
    <row r="489" spans="1:15" ht="15" customHeight="1">
      <c r="A489" s="5839" t="s">
        <v>0</v>
      </c>
      <c r="B489" s="5839" t="s">
        <v>1</v>
      </c>
      <c r="C489" s="5839" t="s">
        <v>2447</v>
      </c>
      <c r="D489" s="5839" t="s">
        <v>1009</v>
      </c>
      <c r="E489" s="5120"/>
      <c r="F489" s="5839" t="s">
        <v>2099</v>
      </c>
      <c r="G489" s="5855" t="s">
        <v>2105</v>
      </c>
      <c r="H489" s="5855" t="s">
        <v>2432</v>
      </c>
      <c r="I489" s="5850" t="s">
        <v>2445</v>
      </c>
      <c r="J489" s="5851"/>
      <c r="K489" s="5852" t="s">
        <v>1502</v>
      </c>
      <c r="L489" s="5853"/>
      <c r="M489" s="5853"/>
      <c r="N489" s="5853"/>
      <c r="O489" s="5854"/>
    </row>
    <row r="490" spans="1:15">
      <c r="A490" s="5840"/>
      <c r="B490" s="5840"/>
      <c r="C490" s="5840"/>
      <c r="D490" s="5840"/>
      <c r="E490" s="5121"/>
      <c r="F490" s="5840"/>
      <c r="G490" s="5856"/>
      <c r="H490" s="5856"/>
      <c r="I490" s="4523" t="s">
        <v>1072</v>
      </c>
      <c r="J490" s="4523" t="s">
        <v>1039</v>
      </c>
      <c r="K490" s="4524" t="s">
        <v>1503</v>
      </c>
      <c r="L490" s="4524" t="s">
        <v>1504</v>
      </c>
      <c r="M490" s="4524" t="s">
        <v>1505</v>
      </c>
      <c r="N490" s="4524" t="s">
        <v>1506</v>
      </c>
      <c r="O490" s="4524" t="s">
        <v>15</v>
      </c>
    </row>
    <row r="491" spans="1:15" ht="15" customHeight="1">
      <c r="A491" s="5818" t="s">
        <v>3</v>
      </c>
      <c r="B491" s="5821" t="s">
        <v>2439</v>
      </c>
      <c r="C491" s="4525" t="s">
        <v>273</v>
      </c>
      <c r="D491" s="5824" t="s">
        <v>247</v>
      </c>
      <c r="E491" s="5122"/>
      <c r="F491" s="4526">
        <v>96</v>
      </c>
      <c r="G491" s="4527">
        <v>35</v>
      </c>
      <c r="H491" s="4528">
        <f>G491*100/F491</f>
        <v>36.458333333333336</v>
      </c>
      <c r="I491" s="4529">
        <v>0.8</v>
      </c>
      <c r="J491" s="4529">
        <v>0.2</v>
      </c>
      <c r="K491" s="4530">
        <v>0</v>
      </c>
      <c r="L491" s="4531">
        <v>7.407407407407407E-2</v>
      </c>
      <c r="M491" s="4531">
        <v>3.7037037037037035E-2</v>
      </c>
      <c r="N491" s="4531">
        <v>3.7037037037037035E-2</v>
      </c>
      <c r="O491" s="4531">
        <v>0.85185185185185186</v>
      </c>
    </row>
    <row r="492" spans="1:15">
      <c r="A492" s="5819"/>
      <c r="B492" s="5822"/>
      <c r="C492" s="4532" t="s">
        <v>274</v>
      </c>
      <c r="D492" s="5825"/>
      <c r="E492" s="5123"/>
      <c r="F492" s="4533">
        <v>101</v>
      </c>
      <c r="G492" s="4534">
        <v>62</v>
      </c>
      <c r="H492" s="4462">
        <f t="shared" ref="H492:H555" si="8">G492*100/F492</f>
        <v>61.386138613861384</v>
      </c>
      <c r="I492" s="4535">
        <v>0.93548387096774188</v>
      </c>
      <c r="J492" s="4535">
        <v>6.4516129032258063E-2</v>
      </c>
      <c r="K492" s="4536">
        <v>1.7543859649122806E-2</v>
      </c>
      <c r="L492" s="4536">
        <v>1.7543859649122806E-2</v>
      </c>
      <c r="M492" s="4536">
        <v>8.7719298245614044E-2</v>
      </c>
      <c r="N492" s="4536">
        <v>0.12280701754385966</v>
      </c>
      <c r="O492" s="4536">
        <v>0.75438596491228072</v>
      </c>
    </row>
    <row r="493" spans="1:15">
      <c r="A493" s="5819"/>
      <c r="B493" s="5822"/>
      <c r="C493" s="4532" t="s">
        <v>669</v>
      </c>
      <c r="D493" s="5825"/>
      <c r="E493" s="5123"/>
      <c r="F493" s="4533">
        <v>30</v>
      </c>
      <c r="G493" s="4534">
        <v>10</v>
      </c>
      <c r="H493" s="4462">
        <f t="shared" si="8"/>
        <v>33.333333333333336</v>
      </c>
      <c r="I493" s="4535">
        <v>0.3</v>
      </c>
      <c r="J493" s="4535">
        <v>0.7</v>
      </c>
      <c r="K493" s="4537">
        <v>0</v>
      </c>
      <c r="L493" s="4537">
        <v>0</v>
      </c>
      <c r="M493" s="4536">
        <v>0.33333333333333337</v>
      </c>
      <c r="N493" s="4536">
        <v>0.33333333333333337</v>
      </c>
      <c r="O493" s="4536">
        <v>0.33333333333333337</v>
      </c>
    </row>
    <row r="494" spans="1:15">
      <c r="A494" s="5819"/>
      <c r="B494" s="5822"/>
      <c r="C494" s="4532" t="s">
        <v>668</v>
      </c>
      <c r="D494" s="5825"/>
      <c r="E494" s="5123"/>
      <c r="F494" s="4533">
        <v>10</v>
      </c>
      <c r="G494" s="4534">
        <v>4</v>
      </c>
      <c r="H494" s="4462">
        <f t="shared" si="8"/>
        <v>40</v>
      </c>
      <c r="I494" s="4535">
        <v>0.75</v>
      </c>
      <c r="J494" s="4535">
        <v>0.25</v>
      </c>
      <c r="K494" s="4537">
        <v>0</v>
      </c>
      <c r="L494" s="4536">
        <v>0.33333333333333337</v>
      </c>
      <c r="M494" s="4537">
        <v>0</v>
      </c>
      <c r="N494" s="4537">
        <v>0</v>
      </c>
      <c r="O494" s="4536">
        <v>0.66666666666666674</v>
      </c>
    </row>
    <row r="495" spans="1:15">
      <c r="A495" s="5819"/>
      <c r="B495" s="5822"/>
      <c r="C495" s="4532" t="s">
        <v>2448</v>
      </c>
      <c r="D495" s="5825" t="s">
        <v>248</v>
      </c>
      <c r="E495" s="5123"/>
      <c r="F495" s="4533">
        <v>362</v>
      </c>
      <c r="G495" s="4534">
        <v>222</v>
      </c>
      <c r="H495" s="4462">
        <f t="shared" si="8"/>
        <v>61.325966850828728</v>
      </c>
      <c r="I495" s="4535">
        <v>0.79200000000000004</v>
      </c>
      <c r="J495" s="4535">
        <v>0.20799999999999999</v>
      </c>
      <c r="K495" s="4536">
        <v>6.9000000000000006E-2</v>
      </c>
      <c r="L495" s="4537">
        <v>5.7000000000000002E-2</v>
      </c>
      <c r="M495" s="4536">
        <v>0.13800000000000001</v>
      </c>
      <c r="N495" s="4536">
        <v>0.16700000000000001</v>
      </c>
      <c r="O495" s="4536">
        <v>0.56899999999999995</v>
      </c>
    </row>
    <row r="496" spans="1:15">
      <c r="A496" s="5819"/>
      <c r="B496" s="5823"/>
      <c r="C496" s="4538" t="s">
        <v>275</v>
      </c>
      <c r="D496" s="5826"/>
      <c r="E496" s="5124"/>
      <c r="F496" s="4539">
        <v>9</v>
      </c>
      <c r="G496" s="4540">
        <v>8</v>
      </c>
      <c r="H496" s="4541">
        <f t="shared" si="8"/>
        <v>88.888888888888886</v>
      </c>
      <c r="I496" s="4542">
        <v>1</v>
      </c>
      <c r="J496" s="4543">
        <v>0</v>
      </c>
      <c r="K496" s="4544">
        <v>0</v>
      </c>
      <c r="L496" s="4544">
        <v>0</v>
      </c>
      <c r="M496" s="4545">
        <v>0.125</v>
      </c>
      <c r="N496" s="4545">
        <v>0.25</v>
      </c>
      <c r="O496" s="4545">
        <v>0.625</v>
      </c>
    </row>
    <row r="497" spans="1:15" ht="15" customHeight="1">
      <c r="A497" s="5819"/>
      <c r="B497" s="5821" t="s">
        <v>2434</v>
      </c>
      <c r="C497" s="4525" t="s">
        <v>2295</v>
      </c>
      <c r="D497" s="5824" t="s">
        <v>265</v>
      </c>
      <c r="E497" s="5122"/>
      <c r="F497" s="4526">
        <v>306</v>
      </c>
      <c r="G497" s="4527">
        <v>132</v>
      </c>
      <c r="H497" s="4528">
        <f t="shared" si="8"/>
        <v>43.137254901960787</v>
      </c>
      <c r="I497" s="4529">
        <v>0.80303030303030298</v>
      </c>
      <c r="J497" s="4529">
        <v>0.19696969696969696</v>
      </c>
      <c r="K497" s="4531">
        <v>3.7735849056603772E-2</v>
      </c>
      <c r="L497" s="4531">
        <v>3.7735849056603772E-2</v>
      </c>
      <c r="M497" s="4531">
        <v>7.5471698113207544E-2</v>
      </c>
      <c r="N497" s="4531">
        <v>0.20754716981132076</v>
      </c>
      <c r="O497" s="4531">
        <v>0.64150943396226412</v>
      </c>
    </row>
    <row r="498" spans="1:15">
      <c r="A498" s="5819"/>
      <c r="B498" s="5822"/>
      <c r="C498" s="4532" t="s">
        <v>342</v>
      </c>
      <c r="D498" s="5825"/>
      <c r="E498" s="5123"/>
      <c r="F498" s="4533">
        <v>76</v>
      </c>
      <c r="G498" s="4534">
        <v>52</v>
      </c>
      <c r="H498" s="4462">
        <f t="shared" si="8"/>
        <v>68.421052631578945</v>
      </c>
      <c r="I498" s="4535">
        <v>0.86538461538461531</v>
      </c>
      <c r="J498" s="4535">
        <v>0.13461538461538461</v>
      </c>
      <c r="K498" s="4536">
        <v>2.2222222222222223E-2</v>
      </c>
      <c r="L498" s="4536">
        <v>6.6666666666666666E-2</v>
      </c>
      <c r="M498" s="4536">
        <v>6.6666666666666666E-2</v>
      </c>
      <c r="N498" s="4536">
        <v>0.22222222222222221</v>
      </c>
      <c r="O498" s="4536">
        <v>0.62222222222222223</v>
      </c>
    </row>
    <row r="499" spans="1:15">
      <c r="A499" s="5819"/>
      <c r="B499" s="5822"/>
      <c r="C499" s="4532" t="s">
        <v>278</v>
      </c>
      <c r="D499" s="5825" t="s">
        <v>247</v>
      </c>
      <c r="E499" s="5123"/>
      <c r="F499" s="4533">
        <v>175</v>
      </c>
      <c r="G499" s="4534">
        <v>88</v>
      </c>
      <c r="H499" s="4462">
        <f t="shared" si="8"/>
        <v>50.285714285714285</v>
      </c>
      <c r="I499" s="4535">
        <v>0.84090909090909094</v>
      </c>
      <c r="J499" s="4535">
        <v>0.15909090909090909</v>
      </c>
      <c r="K499" s="4536">
        <v>2.6666666666666665E-2</v>
      </c>
      <c r="L499" s="4536">
        <v>0.04</v>
      </c>
      <c r="M499" s="4536">
        <v>0.21333333333333332</v>
      </c>
      <c r="N499" s="4536">
        <v>0.12</v>
      </c>
      <c r="O499" s="4536">
        <v>0.6</v>
      </c>
    </row>
    <row r="500" spans="1:15">
      <c r="A500" s="5819"/>
      <c r="B500" s="5822"/>
      <c r="C500" s="4532" t="s">
        <v>277</v>
      </c>
      <c r="D500" s="5825"/>
      <c r="E500" s="5123"/>
      <c r="F500" s="4533">
        <v>147</v>
      </c>
      <c r="G500" s="4534">
        <v>85</v>
      </c>
      <c r="H500" s="4462">
        <f t="shared" si="8"/>
        <v>57.823129251700678</v>
      </c>
      <c r="I500" s="4535">
        <v>0.75294117647058822</v>
      </c>
      <c r="J500" s="4535">
        <v>0.24705882352941178</v>
      </c>
      <c r="K500" s="4536">
        <v>4.6875E-2</v>
      </c>
      <c r="L500" s="4536">
        <v>6.25E-2</v>
      </c>
      <c r="M500" s="4536">
        <v>0.140625</v>
      </c>
      <c r="N500" s="4536">
        <v>0.28125</v>
      </c>
      <c r="O500" s="4536">
        <v>0.46875</v>
      </c>
    </row>
    <row r="501" spans="1:15">
      <c r="A501" s="5819"/>
      <c r="B501" s="5822"/>
      <c r="C501" s="4532" t="s">
        <v>472</v>
      </c>
      <c r="D501" s="5825"/>
      <c r="E501" s="5123"/>
      <c r="F501" s="4533">
        <v>59</v>
      </c>
      <c r="G501" s="4534">
        <v>34</v>
      </c>
      <c r="H501" s="4462">
        <f t="shared" si="8"/>
        <v>57.627118644067799</v>
      </c>
      <c r="I501" s="4535">
        <v>0.73529411764705888</v>
      </c>
      <c r="J501" s="4535">
        <v>0.26470588235294118</v>
      </c>
      <c r="K501" s="4537">
        <v>0</v>
      </c>
      <c r="L501" s="4536">
        <v>4.1666666666666671E-2</v>
      </c>
      <c r="M501" s="4536">
        <v>0.16666666666666669</v>
      </c>
      <c r="N501" s="4536">
        <v>0.125</v>
      </c>
      <c r="O501" s="4536">
        <v>0.66666666666666674</v>
      </c>
    </row>
    <row r="502" spans="1:15">
      <c r="A502" s="5819"/>
      <c r="B502" s="5822"/>
      <c r="C502" s="4532" t="s">
        <v>276</v>
      </c>
      <c r="D502" s="5825"/>
      <c r="E502" s="5123"/>
      <c r="F502" s="4533">
        <v>7</v>
      </c>
      <c r="G502" s="4534">
        <v>7</v>
      </c>
      <c r="H502" s="4462">
        <f t="shared" si="8"/>
        <v>100</v>
      </c>
      <c r="I502" s="4535">
        <v>0.42857142857142855</v>
      </c>
      <c r="J502" s="4535">
        <v>0.57142857142857151</v>
      </c>
      <c r="K502" s="4537">
        <v>0</v>
      </c>
      <c r="L502" s="4537">
        <v>0</v>
      </c>
      <c r="M502" s="4537">
        <v>0</v>
      </c>
      <c r="N502" s="4536">
        <v>0.33333333333333337</v>
      </c>
      <c r="O502" s="4536">
        <v>0.66666666666666674</v>
      </c>
    </row>
    <row r="503" spans="1:15">
      <c r="A503" s="5819"/>
      <c r="B503" s="5822"/>
      <c r="C503" s="4532" t="s">
        <v>473</v>
      </c>
      <c r="D503" s="5825"/>
      <c r="E503" s="5123"/>
      <c r="F503" s="4533">
        <v>75</v>
      </c>
      <c r="G503" s="4534">
        <v>30</v>
      </c>
      <c r="H503" s="4462">
        <f t="shared" si="8"/>
        <v>40</v>
      </c>
      <c r="I503" s="4535">
        <v>0.73333333333333328</v>
      </c>
      <c r="J503" s="4535">
        <v>0.26666666666666666</v>
      </c>
      <c r="K503" s="4537">
        <v>0</v>
      </c>
      <c r="L503" s="4536">
        <v>4.5454545454545456E-2</v>
      </c>
      <c r="M503" s="4536">
        <v>9.0909090909090912E-2</v>
      </c>
      <c r="N503" s="4536">
        <v>0.40909090909090906</v>
      </c>
      <c r="O503" s="4536">
        <v>0.45454545454545453</v>
      </c>
    </row>
    <row r="504" spans="1:15">
      <c r="A504" s="5819"/>
      <c r="B504" s="5822"/>
      <c r="C504" s="4532" t="s">
        <v>119</v>
      </c>
      <c r="D504" s="5825"/>
      <c r="E504" s="5123"/>
      <c r="F504" s="4533">
        <v>26</v>
      </c>
      <c r="G504" s="4534">
        <v>20</v>
      </c>
      <c r="H504" s="4462">
        <f t="shared" si="8"/>
        <v>76.92307692307692</v>
      </c>
      <c r="I504" s="4535">
        <v>0.55000000000000004</v>
      </c>
      <c r="J504" s="4535">
        <v>0.45</v>
      </c>
      <c r="K504" s="4537">
        <v>0</v>
      </c>
      <c r="L504" s="4537">
        <v>0</v>
      </c>
      <c r="M504" s="4536">
        <v>0.1</v>
      </c>
      <c r="N504" s="4536">
        <v>0.4</v>
      </c>
      <c r="O504" s="4536">
        <v>0.5</v>
      </c>
    </row>
    <row r="505" spans="1:15">
      <c r="A505" s="5819"/>
      <c r="B505" s="5822"/>
      <c r="C505" s="4532" t="s">
        <v>1909</v>
      </c>
      <c r="D505" s="5825"/>
      <c r="E505" s="5123"/>
      <c r="F505" s="4533">
        <v>22</v>
      </c>
      <c r="G505" s="4534">
        <v>6</v>
      </c>
      <c r="H505" s="4462">
        <f t="shared" si="8"/>
        <v>27.272727272727273</v>
      </c>
      <c r="I505" s="4535">
        <v>0.83333333333333326</v>
      </c>
      <c r="J505" s="4535">
        <v>0.16666666666666669</v>
      </c>
      <c r="K505" s="4537">
        <v>0</v>
      </c>
      <c r="L505" s="4537">
        <v>0</v>
      </c>
      <c r="M505" s="4537">
        <v>0</v>
      </c>
      <c r="N505" s="4536">
        <v>0.2</v>
      </c>
      <c r="O505" s="4536">
        <v>0.8</v>
      </c>
    </row>
    <row r="506" spans="1:15">
      <c r="A506" s="5819"/>
      <c r="B506" s="5822"/>
      <c r="C506" s="4532" t="s">
        <v>2449</v>
      </c>
      <c r="D506" s="5825" t="s">
        <v>248</v>
      </c>
      <c r="E506" s="5123"/>
      <c r="F506" s="4533">
        <v>23</v>
      </c>
      <c r="G506" s="4534">
        <v>11</v>
      </c>
      <c r="H506" s="4462">
        <f t="shared" si="8"/>
        <v>47.826086956521742</v>
      </c>
      <c r="I506" s="4535">
        <v>0.81799999999999995</v>
      </c>
      <c r="J506" s="4535">
        <v>0.182</v>
      </c>
      <c r="K506" s="4537">
        <v>0</v>
      </c>
      <c r="L506" s="4537">
        <v>0</v>
      </c>
      <c r="M506" s="4546">
        <v>0.222</v>
      </c>
      <c r="N506" s="4536">
        <v>0.222</v>
      </c>
      <c r="O506" s="4536">
        <v>0.55600000000000005</v>
      </c>
    </row>
    <row r="507" spans="1:15">
      <c r="A507" s="5819"/>
      <c r="B507" s="5822"/>
      <c r="C507" s="4532" t="s">
        <v>2450</v>
      </c>
      <c r="D507" s="5825"/>
      <c r="E507" s="5123"/>
      <c r="F507" s="4533">
        <v>6</v>
      </c>
      <c r="G507" s="4534">
        <v>2</v>
      </c>
      <c r="H507" s="4462">
        <f t="shared" si="8"/>
        <v>33.333333333333336</v>
      </c>
      <c r="I507" s="4535">
        <v>1</v>
      </c>
      <c r="J507" s="4547">
        <v>0</v>
      </c>
      <c r="K507" s="4537">
        <v>0</v>
      </c>
      <c r="L507" s="4537">
        <v>0</v>
      </c>
      <c r="M507" s="4537">
        <v>0</v>
      </c>
      <c r="N507" s="4536">
        <v>0.5</v>
      </c>
      <c r="O507" s="4536">
        <v>0.5</v>
      </c>
    </row>
    <row r="508" spans="1:15">
      <c r="A508" s="5819"/>
      <c r="B508" s="5823"/>
      <c r="C508" s="4548" t="s">
        <v>279</v>
      </c>
      <c r="D508" s="5827"/>
      <c r="E508" s="5125"/>
      <c r="F508" s="4549">
        <v>34</v>
      </c>
      <c r="G508" s="4550">
        <v>23</v>
      </c>
      <c r="H508" s="4475">
        <f t="shared" si="8"/>
        <v>67.647058823529406</v>
      </c>
      <c r="I508" s="4551">
        <v>0.73913043478260876</v>
      </c>
      <c r="J508" s="4551">
        <v>0.2608695652173913</v>
      </c>
      <c r="K508" s="4552">
        <v>0</v>
      </c>
      <c r="L508" s="4552">
        <v>0</v>
      </c>
      <c r="M508" s="4553">
        <v>5.8823529411764712E-2</v>
      </c>
      <c r="N508" s="4553">
        <v>0.17647058823529413</v>
      </c>
      <c r="O508" s="4553">
        <v>0.76470588235294112</v>
      </c>
    </row>
    <row r="509" spans="1:15" ht="15" customHeight="1">
      <c r="A509" s="5819"/>
      <c r="B509" s="5821" t="s">
        <v>2435</v>
      </c>
      <c r="C509" s="4554" t="s">
        <v>2279</v>
      </c>
      <c r="D509" s="5828" t="s">
        <v>265</v>
      </c>
      <c r="E509" s="5126"/>
      <c r="F509" s="4555">
        <v>36</v>
      </c>
      <c r="G509" s="4556">
        <v>16</v>
      </c>
      <c r="H509" s="4472">
        <f t="shared" si="8"/>
        <v>44.444444444444443</v>
      </c>
      <c r="I509" s="4557">
        <v>0.8125</v>
      </c>
      <c r="J509" s="4557">
        <v>0.1875</v>
      </c>
      <c r="K509" s="4558">
        <v>0</v>
      </c>
      <c r="L509" s="4558">
        <v>0</v>
      </c>
      <c r="M509" s="4559">
        <v>0.15384615384615385</v>
      </c>
      <c r="N509" s="4559">
        <v>7.6923076923076927E-2</v>
      </c>
      <c r="O509" s="4559">
        <v>0.76923076923076916</v>
      </c>
    </row>
    <row r="510" spans="1:15">
      <c r="A510" s="5819"/>
      <c r="B510" s="5822"/>
      <c r="C510" s="4532" t="s">
        <v>2451</v>
      </c>
      <c r="D510" s="5825"/>
      <c r="E510" s="5123"/>
      <c r="F510" s="4533">
        <v>373</v>
      </c>
      <c r="G510" s="4534">
        <v>135</v>
      </c>
      <c r="H510" s="4462">
        <f t="shared" si="8"/>
        <v>36.193029490616624</v>
      </c>
      <c r="I510" s="4535">
        <v>0.88148148148148153</v>
      </c>
      <c r="J510" s="4535">
        <v>0.11851851851851851</v>
      </c>
      <c r="K510" s="4536">
        <v>4.2735042735042736E-2</v>
      </c>
      <c r="L510" s="4536">
        <v>2.5641025641025644E-2</v>
      </c>
      <c r="M510" s="4536">
        <v>9.4017094017094016E-2</v>
      </c>
      <c r="N510" s="4536">
        <v>0.12820512820512822</v>
      </c>
      <c r="O510" s="4536">
        <v>0.70940170940170943</v>
      </c>
    </row>
    <row r="511" spans="1:15">
      <c r="A511" s="5819"/>
      <c r="B511" s="5822"/>
      <c r="C511" s="4532" t="s">
        <v>2452</v>
      </c>
      <c r="D511" s="5825" t="s">
        <v>247</v>
      </c>
      <c r="E511" s="5123"/>
      <c r="F511" s="4533">
        <v>200</v>
      </c>
      <c r="G511" s="4534">
        <v>50</v>
      </c>
      <c r="H511" s="4462">
        <f t="shared" si="8"/>
        <v>25</v>
      </c>
      <c r="I511" s="4535">
        <v>0.76</v>
      </c>
      <c r="J511" s="4535">
        <v>0.24</v>
      </c>
      <c r="K511" s="4536">
        <v>2.5641025641025644E-2</v>
      </c>
      <c r="L511" s="4536">
        <v>7.6923076923076927E-2</v>
      </c>
      <c r="M511" s="4536">
        <v>0.10256410256410257</v>
      </c>
      <c r="N511" s="4536">
        <v>0.20512820512820515</v>
      </c>
      <c r="O511" s="4536">
        <v>0.58974358974358976</v>
      </c>
    </row>
    <row r="512" spans="1:15">
      <c r="A512" s="5819"/>
      <c r="B512" s="5822"/>
      <c r="C512" s="4532" t="s">
        <v>1640</v>
      </c>
      <c r="D512" s="5825"/>
      <c r="E512" s="5123"/>
      <c r="F512" s="4533">
        <v>42</v>
      </c>
      <c r="G512" s="4534">
        <v>26</v>
      </c>
      <c r="H512" s="4462">
        <f t="shared" si="8"/>
        <v>61.904761904761905</v>
      </c>
      <c r="I512" s="4535">
        <v>0.53800000000000003</v>
      </c>
      <c r="J512" s="4535">
        <v>0.46200000000000002</v>
      </c>
      <c r="K512" s="4537">
        <v>0</v>
      </c>
      <c r="L512" s="4536">
        <v>0.214</v>
      </c>
      <c r="M512" s="4536">
        <v>0.214</v>
      </c>
      <c r="N512" s="4536">
        <v>0.14299999999999999</v>
      </c>
      <c r="O512" s="4536">
        <v>0.42899999999999999</v>
      </c>
    </row>
    <row r="513" spans="1:15">
      <c r="A513" s="5819"/>
      <c r="B513" s="5822"/>
      <c r="C513" s="4532" t="s">
        <v>1637</v>
      </c>
      <c r="D513" s="5825" t="s">
        <v>248</v>
      </c>
      <c r="E513" s="5123"/>
      <c r="F513" s="4533">
        <v>63</v>
      </c>
      <c r="G513" s="4534">
        <v>37</v>
      </c>
      <c r="H513" s="4462">
        <f t="shared" si="8"/>
        <v>58.730158730158728</v>
      </c>
      <c r="I513" s="4535">
        <v>0.622</v>
      </c>
      <c r="J513" s="4560">
        <v>0.378</v>
      </c>
      <c r="K513" s="4546">
        <v>4.36E-2</v>
      </c>
      <c r="L513" s="4546">
        <v>4.2999999999999997E-2</v>
      </c>
      <c r="M513" s="4546">
        <v>0.17399999999999999</v>
      </c>
      <c r="N513" s="4546">
        <v>0.17399999999999999</v>
      </c>
      <c r="O513" s="4546">
        <v>0.56499999999999995</v>
      </c>
    </row>
    <row r="514" spans="1:15">
      <c r="A514" s="5820"/>
      <c r="B514" s="5823"/>
      <c r="C514" s="4538" t="s">
        <v>2453</v>
      </c>
      <c r="D514" s="5826"/>
      <c r="E514" s="5124"/>
      <c r="F514" s="4539">
        <v>68</v>
      </c>
      <c r="G514" s="4540">
        <v>22</v>
      </c>
      <c r="H514" s="4541">
        <f t="shared" si="8"/>
        <v>32.352941176470587</v>
      </c>
      <c r="I514" s="4542">
        <v>0.90909090909090906</v>
      </c>
      <c r="J514" s="4542">
        <v>9.0909090909090912E-2</v>
      </c>
      <c r="K514" s="4545">
        <v>5.2631578947368425E-2</v>
      </c>
      <c r="L514" s="4545">
        <v>5.2631578947368425E-2</v>
      </c>
      <c r="M514" s="4545">
        <v>0.15789473684210525</v>
      </c>
      <c r="N514" s="4545">
        <v>5.2631578947368425E-2</v>
      </c>
      <c r="O514" s="4545">
        <v>0.68421052631578949</v>
      </c>
    </row>
    <row r="515" spans="1:15" ht="15" customHeight="1">
      <c r="A515" s="5818" t="s">
        <v>25</v>
      </c>
      <c r="B515" s="5821" t="s">
        <v>2439</v>
      </c>
      <c r="C515" s="4525" t="s">
        <v>2454</v>
      </c>
      <c r="D515" s="5824" t="s">
        <v>247</v>
      </c>
      <c r="E515" s="5122"/>
      <c r="F515" s="4526">
        <v>78</v>
      </c>
      <c r="G515" s="4527">
        <v>27</v>
      </c>
      <c r="H515" s="4528">
        <f t="shared" si="8"/>
        <v>34.615384615384613</v>
      </c>
      <c r="I515" s="4529">
        <v>0.74074074074074081</v>
      </c>
      <c r="J515" s="4529">
        <v>0.2592592592592593</v>
      </c>
      <c r="K515" s="4530">
        <v>0</v>
      </c>
      <c r="L515" s="4531">
        <v>0.05</v>
      </c>
      <c r="M515" s="4531">
        <v>0.05</v>
      </c>
      <c r="N515" s="4531">
        <v>0.3</v>
      </c>
      <c r="O515" s="4531">
        <v>0.6</v>
      </c>
    </row>
    <row r="516" spans="1:15">
      <c r="A516" s="5819"/>
      <c r="B516" s="5822"/>
      <c r="C516" s="4532" t="s">
        <v>2455</v>
      </c>
      <c r="D516" s="5825"/>
      <c r="E516" s="5123"/>
      <c r="F516" s="4533">
        <v>159</v>
      </c>
      <c r="G516" s="4534">
        <v>71</v>
      </c>
      <c r="H516" s="4462">
        <f t="shared" si="8"/>
        <v>44.654088050314463</v>
      </c>
      <c r="I516" s="4535">
        <v>0.88732394366197187</v>
      </c>
      <c r="J516" s="4535">
        <v>0.11267605633802816</v>
      </c>
      <c r="K516" s="4536">
        <v>3.1746031746031744E-2</v>
      </c>
      <c r="L516" s="4536">
        <v>6.3492063492063489E-2</v>
      </c>
      <c r="M516" s="4536">
        <v>0.12698412698412698</v>
      </c>
      <c r="N516" s="4536">
        <v>6.3492063492063489E-2</v>
      </c>
      <c r="O516" s="4536">
        <v>0.7142857142857143</v>
      </c>
    </row>
    <row r="517" spans="1:15">
      <c r="A517" s="5819"/>
      <c r="B517" s="5822"/>
      <c r="C517" s="4532" t="s">
        <v>2456</v>
      </c>
      <c r="D517" s="5825"/>
      <c r="E517" s="5123"/>
      <c r="F517" s="4533">
        <v>58</v>
      </c>
      <c r="G517" s="4534">
        <v>9</v>
      </c>
      <c r="H517" s="4462">
        <f t="shared" si="8"/>
        <v>15.517241379310345</v>
      </c>
      <c r="I517" s="4535">
        <v>0.77777777777777768</v>
      </c>
      <c r="J517" s="4535">
        <v>0.22222222222222221</v>
      </c>
      <c r="K517" s="4537">
        <v>0</v>
      </c>
      <c r="L517" s="4537">
        <v>0</v>
      </c>
      <c r="M517" s="4537">
        <v>0</v>
      </c>
      <c r="N517" s="4537">
        <v>0</v>
      </c>
      <c r="O517" s="4536">
        <v>1</v>
      </c>
    </row>
    <row r="518" spans="1:15">
      <c r="A518" s="5819"/>
      <c r="B518" s="5822"/>
      <c r="C518" s="4532" t="s">
        <v>2457</v>
      </c>
      <c r="D518" s="5825"/>
      <c r="E518" s="5123"/>
      <c r="F518" s="4533">
        <v>112</v>
      </c>
      <c r="G518" s="4534">
        <v>45</v>
      </c>
      <c r="H518" s="4462">
        <f t="shared" si="8"/>
        <v>40.178571428571431</v>
      </c>
      <c r="I518" s="4535">
        <v>0.84444444444444444</v>
      </c>
      <c r="J518" s="4535">
        <v>0.15555555555555556</v>
      </c>
      <c r="K518" s="4537">
        <v>0</v>
      </c>
      <c r="L518" s="4537">
        <v>0</v>
      </c>
      <c r="M518" s="4536">
        <v>0.1081081081081081</v>
      </c>
      <c r="N518" s="4536">
        <v>8.1081081081081086E-2</v>
      </c>
      <c r="O518" s="4536">
        <v>0.81081081081081086</v>
      </c>
    </row>
    <row r="519" spans="1:15">
      <c r="A519" s="5819"/>
      <c r="B519" s="5822"/>
      <c r="C519" s="4532" t="s">
        <v>2458</v>
      </c>
      <c r="D519" s="5825"/>
      <c r="E519" s="5123"/>
      <c r="F519" s="4533">
        <v>36</v>
      </c>
      <c r="G519" s="4534">
        <v>25</v>
      </c>
      <c r="H519" s="4462">
        <f t="shared" si="8"/>
        <v>69.444444444444443</v>
      </c>
      <c r="I519" s="4535">
        <v>0.76</v>
      </c>
      <c r="J519" s="4535">
        <v>0.24</v>
      </c>
      <c r="K519" s="4536">
        <v>5.2631578947368425E-2</v>
      </c>
      <c r="L519" s="4537">
        <v>0</v>
      </c>
      <c r="M519" s="4536">
        <v>5.2631578947368425E-2</v>
      </c>
      <c r="N519" s="4536">
        <v>0.2105263157894737</v>
      </c>
      <c r="O519" s="4536">
        <v>0.68421052631578949</v>
      </c>
    </row>
    <row r="520" spans="1:15">
      <c r="A520" s="5819"/>
      <c r="B520" s="5822"/>
      <c r="C520" s="4532" t="s">
        <v>120</v>
      </c>
      <c r="D520" s="5825"/>
      <c r="E520" s="5123"/>
      <c r="F520" s="4533">
        <v>63</v>
      </c>
      <c r="G520" s="4534">
        <v>39</v>
      </c>
      <c r="H520" s="4462">
        <f t="shared" si="8"/>
        <v>61.904761904761905</v>
      </c>
      <c r="I520" s="4535">
        <v>0.66666666666666674</v>
      </c>
      <c r="J520" s="4535">
        <v>0.33333333333333337</v>
      </c>
      <c r="K520" s="4536">
        <v>7.6923076923076927E-2</v>
      </c>
      <c r="L520" s="4536">
        <v>7.6923076923076927E-2</v>
      </c>
      <c r="M520" s="4536">
        <v>0.15384615384615385</v>
      </c>
      <c r="N520" s="4536">
        <v>0.15384615384615385</v>
      </c>
      <c r="O520" s="4536">
        <v>0.53846153846153844</v>
      </c>
    </row>
    <row r="521" spans="1:15">
      <c r="A521" s="5819"/>
      <c r="B521" s="5822"/>
      <c r="C521" s="4532" t="s">
        <v>2459</v>
      </c>
      <c r="D521" s="5825"/>
      <c r="E521" s="5123"/>
      <c r="F521" s="4533">
        <v>182</v>
      </c>
      <c r="G521" s="4534">
        <v>127</v>
      </c>
      <c r="H521" s="4462">
        <f t="shared" si="8"/>
        <v>69.780219780219781</v>
      </c>
      <c r="I521" s="4535">
        <v>0.77200000000000002</v>
      </c>
      <c r="J521" s="4535">
        <v>0.22800000000000001</v>
      </c>
      <c r="K521" s="4536">
        <v>3.1E-2</v>
      </c>
      <c r="L521" s="4536">
        <v>3.9E-2</v>
      </c>
      <c r="M521" s="4536">
        <v>0.14199999999999999</v>
      </c>
      <c r="N521" s="4536">
        <v>0.157</v>
      </c>
      <c r="O521" s="4536">
        <v>0.39400000000000002</v>
      </c>
    </row>
    <row r="522" spans="1:15">
      <c r="A522" s="5819"/>
      <c r="B522" s="5822"/>
      <c r="C522" s="4532" t="s">
        <v>2460</v>
      </c>
      <c r="D522" s="5825"/>
      <c r="E522" s="5123"/>
      <c r="F522" s="4533">
        <v>106</v>
      </c>
      <c r="G522" s="4534">
        <v>43</v>
      </c>
      <c r="H522" s="4462">
        <f t="shared" si="8"/>
        <v>40.566037735849058</v>
      </c>
      <c r="I522" s="4535">
        <v>0.86046511627906985</v>
      </c>
      <c r="J522" s="4535">
        <v>0.13953488372093023</v>
      </c>
      <c r="K522" s="4536">
        <v>5.5555555555555552E-2</v>
      </c>
      <c r="L522" s="4536">
        <v>5.5555555555555552E-2</v>
      </c>
      <c r="M522" s="4536">
        <v>5.5555555555555552E-2</v>
      </c>
      <c r="N522" s="4536">
        <v>0.19444444444444442</v>
      </c>
      <c r="O522" s="4536">
        <v>0.63888888888888884</v>
      </c>
    </row>
    <row r="523" spans="1:15">
      <c r="A523" s="5819"/>
      <c r="B523" s="5822"/>
      <c r="C523" s="4532" t="s">
        <v>2461</v>
      </c>
      <c r="D523" s="5825"/>
      <c r="E523" s="5123"/>
      <c r="F523" s="4533">
        <v>169</v>
      </c>
      <c r="G523" s="4534">
        <v>76</v>
      </c>
      <c r="H523" s="4462">
        <f t="shared" si="8"/>
        <v>44.970414201183431</v>
      </c>
      <c r="I523" s="4535">
        <v>0.63157894736842102</v>
      </c>
      <c r="J523" s="4535">
        <v>0.36842105263157898</v>
      </c>
      <c r="K523" s="4536">
        <v>2.0833333333333336E-2</v>
      </c>
      <c r="L523" s="4536">
        <v>8.3333333333333343E-2</v>
      </c>
      <c r="M523" s="4536">
        <v>0.125</v>
      </c>
      <c r="N523" s="4536">
        <v>0.20833333333333331</v>
      </c>
      <c r="O523" s="4536">
        <v>0.5625</v>
      </c>
    </row>
    <row r="524" spans="1:15">
      <c r="A524" s="5819"/>
      <c r="B524" s="5822"/>
      <c r="C524" s="4532" t="s">
        <v>2462</v>
      </c>
      <c r="D524" s="5825"/>
      <c r="E524" s="5123"/>
      <c r="F524" s="4533">
        <v>140</v>
      </c>
      <c r="G524" s="4534">
        <v>107</v>
      </c>
      <c r="H524" s="4462">
        <f t="shared" si="8"/>
        <v>76.428571428571431</v>
      </c>
      <c r="I524" s="4535">
        <v>0.7289719626168224</v>
      </c>
      <c r="J524" s="4535">
        <v>0.27102803738317754</v>
      </c>
      <c r="K524" s="4536">
        <v>6.4102564102564111E-2</v>
      </c>
      <c r="L524" s="4536">
        <v>3.8461538461538464E-2</v>
      </c>
      <c r="M524" s="4536">
        <v>0.16666666666666669</v>
      </c>
      <c r="N524" s="4536">
        <v>0.21794871794871795</v>
      </c>
      <c r="O524" s="4536">
        <v>0.51282051282051289</v>
      </c>
    </row>
    <row r="525" spans="1:15">
      <c r="A525" s="5819"/>
      <c r="B525" s="5822"/>
      <c r="C525" s="4532" t="s">
        <v>281</v>
      </c>
      <c r="D525" s="5825"/>
      <c r="E525" s="5123"/>
      <c r="F525" s="4533">
        <v>17</v>
      </c>
      <c r="G525" s="4534">
        <v>18</v>
      </c>
      <c r="H525" s="4462">
        <f t="shared" si="8"/>
        <v>105.88235294117646</v>
      </c>
      <c r="I525" s="4535">
        <v>0.88888888888888884</v>
      </c>
      <c r="J525" s="4535">
        <v>0.1111111111111111</v>
      </c>
      <c r="K525" s="4537">
        <v>0</v>
      </c>
      <c r="L525" s="4536">
        <v>6.25E-2</v>
      </c>
      <c r="M525" s="4536">
        <v>0.125</v>
      </c>
      <c r="N525" s="4536">
        <v>0.1875</v>
      </c>
      <c r="O525" s="4536">
        <v>0.625</v>
      </c>
    </row>
    <row r="526" spans="1:15">
      <c r="A526" s="5819"/>
      <c r="B526" s="5822"/>
      <c r="C526" s="4532" t="s">
        <v>2463</v>
      </c>
      <c r="D526" s="5825"/>
      <c r="E526" s="5123"/>
      <c r="F526" s="4533">
        <v>65</v>
      </c>
      <c r="G526" s="4534">
        <v>39</v>
      </c>
      <c r="H526" s="4462">
        <f t="shared" si="8"/>
        <v>60</v>
      </c>
      <c r="I526" s="4535">
        <v>0.61538461538461542</v>
      </c>
      <c r="J526" s="4535">
        <v>0.38461538461538458</v>
      </c>
      <c r="K526" s="4537">
        <v>0</v>
      </c>
      <c r="L526" s="4536">
        <v>4.3478260869565216E-2</v>
      </c>
      <c r="M526" s="4536">
        <v>0.21739130434782608</v>
      </c>
      <c r="N526" s="4536">
        <v>0.30434782608695654</v>
      </c>
      <c r="O526" s="4536">
        <v>0.43478260869565216</v>
      </c>
    </row>
    <row r="527" spans="1:15">
      <c r="A527" s="5819"/>
      <c r="B527" s="5822"/>
      <c r="C527" s="4532" t="s">
        <v>795</v>
      </c>
      <c r="D527" s="5825"/>
      <c r="E527" s="5123"/>
      <c r="F527" s="4533">
        <v>22</v>
      </c>
      <c r="G527" s="4534">
        <v>8</v>
      </c>
      <c r="H527" s="4462">
        <f t="shared" si="8"/>
        <v>36.363636363636367</v>
      </c>
      <c r="I527" s="4535">
        <v>0.625</v>
      </c>
      <c r="J527" s="4535">
        <v>0.375</v>
      </c>
      <c r="K527" s="4537">
        <v>0</v>
      </c>
      <c r="L527" s="4536">
        <v>0.4</v>
      </c>
      <c r="M527" s="4536">
        <v>0.2</v>
      </c>
      <c r="N527" s="4537">
        <v>0</v>
      </c>
      <c r="O527" s="4536">
        <v>0.4</v>
      </c>
    </row>
    <row r="528" spans="1:15">
      <c r="A528" s="5819"/>
      <c r="B528" s="5822"/>
      <c r="C528" s="4532" t="s">
        <v>2464</v>
      </c>
      <c r="D528" s="5825" t="s">
        <v>248</v>
      </c>
      <c r="E528" s="5123"/>
      <c r="F528" s="4533">
        <v>302</v>
      </c>
      <c r="G528" s="4534">
        <v>180</v>
      </c>
      <c r="H528" s="4462">
        <f t="shared" si="8"/>
        <v>59.602649006622514</v>
      </c>
      <c r="I528" s="4535">
        <v>0.77222222222222225</v>
      </c>
      <c r="J528" s="4535">
        <v>0.22777777777777777</v>
      </c>
      <c r="K528" s="4536">
        <v>2.9197080291970802E-2</v>
      </c>
      <c r="L528" s="4536">
        <v>5.1094890510948912E-2</v>
      </c>
      <c r="M528" s="4536">
        <v>8.7591240875912413E-2</v>
      </c>
      <c r="N528" s="4536">
        <v>0.16788321167883211</v>
      </c>
      <c r="O528" s="4536">
        <v>0.66423357664233573</v>
      </c>
    </row>
    <row r="529" spans="1:15">
      <c r="A529" s="5819"/>
      <c r="B529" s="5822"/>
      <c r="C529" s="4532" t="s">
        <v>121</v>
      </c>
      <c r="D529" s="5825"/>
      <c r="E529" s="5123"/>
      <c r="F529" s="4533">
        <v>52</v>
      </c>
      <c r="G529" s="4534">
        <v>10</v>
      </c>
      <c r="H529" s="4462">
        <f t="shared" si="8"/>
        <v>19.23076923076923</v>
      </c>
      <c r="I529" s="4535">
        <v>0.7</v>
      </c>
      <c r="J529" s="4535">
        <v>0.3</v>
      </c>
      <c r="K529" s="4537">
        <v>0</v>
      </c>
      <c r="L529" s="4536">
        <v>0.16700000000000001</v>
      </c>
      <c r="M529" s="4537">
        <v>0</v>
      </c>
      <c r="N529" s="4536">
        <v>0.16700000000000001</v>
      </c>
      <c r="O529" s="4536">
        <v>0.66700000000000004</v>
      </c>
    </row>
    <row r="530" spans="1:15">
      <c r="A530" s="5819"/>
      <c r="B530" s="5822"/>
      <c r="C530" s="4532" t="s">
        <v>122</v>
      </c>
      <c r="D530" s="5825"/>
      <c r="E530" s="5123"/>
      <c r="F530" s="4533">
        <v>144</v>
      </c>
      <c r="G530" s="4534">
        <v>97</v>
      </c>
      <c r="H530" s="4462">
        <f t="shared" si="8"/>
        <v>67.361111111111114</v>
      </c>
      <c r="I530" s="4535">
        <v>0.78350515463917536</v>
      </c>
      <c r="J530" s="4535">
        <v>0.21649484536082475</v>
      </c>
      <c r="K530" s="4536">
        <v>1.2195121951219513E-2</v>
      </c>
      <c r="L530" s="4537">
        <v>0</v>
      </c>
      <c r="M530" s="4536">
        <v>2.4390243902439025E-2</v>
      </c>
      <c r="N530" s="4536">
        <v>0.28048780487804875</v>
      </c>
      <c r="O530" s="4536">
        <v>0.68292682926829273</v>
      </c>
    </row>
    <row r="531" spans="1:15">
      <c r="A531" s="5819"/>
      <c r="B531" s="5822"/>
      <c r="C531" s="4532" t="s">
        <v>123</v>
      </c>
      <c r="D531" s="5825"/>
      <c r="E531" s="5123"/>
      <c r="F531" s="4533">
        <v>70</v>
      </c>
      <c r="G531" s="4534">
        <v>32</v>
      </c>
      <c r="H531" s="4462">
        <f t="shared" si="8"/>
        <v>45.714285714285715</v>
      </c>
      <c r="I531" s="4535">
        <v>0.875</v>
      </c>
      <c r="J531" s="4535">
        <v>0.125</v>
      </c>
      <c r="K531" s="4537">
        <v>0</v>
      </c>
      <c r="L531" s="4536">
        <v>3.5714285714285719E-2</v>
      </c>
      <c r="M531" s="4536">
        <v>7.1428571428571438E-2</v>
      </c>
      <c r="N531" s="4536">
        <v>0.10714285714285714</v>
      </c>
      <c r="O531" s="4536">
        <v>0.7857142857142857</v>
      </c>
    </row>
    <row r="532" spans="1:15">
      <c r="A532" s="5819"/>
      <c r="B532" s="5822"/>
      <c r="C532" s="4532" t="s">
        <v>124</v>
      </c>
      <c r="D532" s="5825"/>
      <c r="E532" s="5123"/>
      <c r="F532" s="4533">
        <v>30</v>
      </c>
      <c r="G532" s="4534">
        <v>24</v>
      </c>
      <c r="H532" s="4462">
        <f t="shared" si="8"/>
        <v>80</v>
      </c>
      <c r="I532" s="4535">
        <v>1</v>
      </c>
      <c r="J532" s="4547">
        <v>0</v>
      </c>
      <c r="K532" s="4537">
        <v>0</v>
      </c>
      <c r="L532" s="4537">
        <v>0</v>
      </c>
      <c r="M532" s="4536">
        <v>4.1666666666666671E-2</v>
      </c>
      <c r="N532" s="4536">
        <v>0.25</v>
      </c>
      <c r="O532" s="4536">
        <v>0.70833333333333326</v>
      </c>
    </row>
    <row r="533" spans="1:15">
      <c r="A533" s="5819"/>
      <c r="B533" s="5823"/>
      <c r="C533" s="4548" t="s">
        <v>417</v>
      </c>
      <c r="D533" s="5827"/>
      <c r="E533" s="5125"/>
      <c r="F533" s="4549">
        <v>5</v>
      </c>
      <c r="G533" s="4550">
        <v>7</v>
      </c>
      <c r="H533" s="4475">
        <f t="shared" si="8"/>
        <v>140</v>
      </c>
      <c r="I533" s="4551">
        <v>1</v>
      </c>
      <c r="J533" s="4561">
        <v>0</v>
      </c>
      <c r="K533" s="4552">
        <v>0</v>
      </c>
      <c r="L533" s="4552">
        <v>0</v>
      </c>
      <c r="M533" s="4552">
        <v>0</v>
      </c>
      <c r="N533" s="4552">
        <v>0</v>
      </c>
      <c r="O533" s="4553">
        <v>1</v>
      </c>
    </row>
    <row r="534" spans="1:15" ht="15" customHeight="1">
      <c r="A534" s="5819"/>
      <c r="B534" s="5821" t="s">
        <v>2434</v>
      </c>
      <c r="C534" s="4554" t="s">
        <v>2465</v>
      </c>
      <c r="D534" s="4562" t="s">
        <v>265</v>
      </c>
      <c r="E534" s="5126"/>
      <c r="F534" s="4555">
        <v>717</v>
      </c>
      <c r="G534" s="4556">
        <v>130</v>
      </c>
      <c r="H534" s="4472">
        <f t="shared" si="8"/>
        <v>18.131101813110181</v>
      </c>
      <c r="I534" s="4557">
        <v>0.90769230769230769</v>
      </c>
      <c r="J534" s="4557">
        <v>9.2307692307692299E-2</v>
      </c>
      <c r="K534" s="4559">
        <v>4.2372881355932208E-2</v>
      </c>
      <c r="L534" s="4559">
        <v>4.2372881355932208E-2</v>
      </c>
      <c r="M534" s="4559">
        <v>0.1440677966101695</v>
      </c>
      <c r="N534" s="4559">
        <v>0.11016949152542374</v>
      </c>
      <c r="O534" s="4559">
        <v>0.66101694915254239</v>
      </c>
    </row>
    <row r="535" spans="1:15">
      <c r="A535" s="5819"/>
      <c r="B535" s="5822"/>
      <c r="C535" s="4532" t="s">
        <v>2466</v>
      </c>
      <c r="D535" s="5825" t="s">
        <v>247</v>
      </c>
      <c r="E535" s="5123"/>
      <c r="F535" s="4533">
        <v>80</v>
      </c>
      <c r="G535" s="4534">
        <v>22</v>
      </c>
      <c r="H535" s="4462">
        <f t="shared" si="8"/>
        <v>27.5</v>
      </c>
      <c r="I535" s="4535">
        <v>0.72727272727272729</v>
      </c>
      <c r="J535" s="4535">
        <v>0.27272727272727271</v>
      </c>
      <c r="K535" s="4537">
        <v>0</v>
      </c>
      <c r="L535" s="4536">
        <v>6.25E-2</v>
      </c>
      <c r="M535" s="4536">
        <v>0.125</v>
      </c>
      <c r="N535" s="4537">
        <v>0</v>
      </c>
      <c r="O535" s="4536">
        <v>0.8125</v>
      </c>
    </row>
    <row r="536" spans="1:15">
      <c r="A536" s="5819"/>
      <c r="B536" s="5822"/>
      <c r="C536" s="4532" t="s">
        <v>478</v>
      </c>
      <c r="D536" s="5825"/>
      <c r="E536" s="5123"/>
      <c r="F536" s="4533">
        <v>53</v>
      </c>
      <c r="G536" s="4534">
        <v>18</v>
      </c>
      <c r="H536" s="4462">
        <f t="shared" si="8"/>
        <v>33.962264150943398</v>
      </c>
      <c r="I536" s="4535">
        <v>0.88888888888888884</v>
      </c>
      <c r="J536" s="4535">
        <v>0.1111111111111111</v>
      </c>
      <c r="K536" s="4537">
        <v>0</v>
      </c>
      <c r="L536" s="4537">
        <v>0</v>
      </c>
      <c r="M536" s="4536">
        <v>0.1875</v>
      </c>
      <c r="N536" s="4536">
        <v>6.25E-2</v>
      </c>
      <c r="O536" s="4536">
        <v>0.75</v>
      </c>
    </row>
    <row r="537" spans="1:15">
      <c r="A537" s="5819"/>
      <c r="B537" s="5822"/>
      <c r="C537" s="4532" t="s">
        <v>2467</v>
      </c>
      <c r="D537" s="5825"/>
      <c r="E537" s="5123"/>
      <c r="F537" s="4533">
        <v>38</v>
      </c>
      <c r="G537" s="4534">
        <v>10</v>
      </c>
      <c r="H537" s="4462">
        <f t="shared" si="8"/>
        <v>26.315789473684209</v>
      </c>
      <c r="I537" s="4535">
        <v>0.9</v>
      </c>
      <c r="J537" s="4535">
        <v>0.1</v>
      </c>
      <c r="K537" s="4536">
        <v>0.1111111111111111</v>
      </c>
      <c r="L537" s="4537">
        <v>0</v>
      </c>
      <c r="M537" s="4536">
        <v>0.22222222222222221</v>
      </c>
      <c r="N537" s="4537">
        <v>0</v>
      </c>
      <c r="O537" s="4536">
        <v>0.66666666666666674</v>
      </c>
    </row>
    <row r="538" spans="1:15">
      <c r="A538" s="5819"/>
      <c r="B538" s="5822"/>
      <c r="C538" s="4532" t="s">
        <v>2468</v>
      </c>
      <c r="D538" s="5825"/>
      <c r="E538" s="5123"/>
      <c r="F538" s="4533">
        <v>263</v>
      </c>
      <c r="G538" s="4534">
        <v>199</v>
      </c>
      <c r="H538" s="4462">
        <f t="shared" si="8"/>
        <v>75.665399239543731</v>
      </c>
      <c r="I538" s="4535">
        <v>0.7587939698492463</v>
      </c>
      <c r="J538" s="4535">
        <v>0.24120603015075379</v>
      </c>
      <c r="K538" s="4536">
        <v>1.3333333333333332E-2</v>
      </c>
      <c r="L538" s="4536">
        <v>1.3333333333333332E-2</v>
      </c>
      <c r="M538" s="4536">
        <v>6.6666666666666666E-2</v>
      </c>
      <c r="N538" s="4536">
        <v>0.24666666666666667</v>
      </c>
      <c r="O538" s="4536">
        <v>0.66</v>
      </c>
    </row>
    <row r="539" spans="1:15">
      <c r="A539" s="5819"/>
      <c r="B539" s="5822"/>
      <c r="C539" s="4532" t="s">
        <v>2469</v>
      </c>
      <c r="D539" s="5825"/>
      <c r="E539" s="5123"/>
      <c r="F539" s="4533">
        <v>152</v>
      </c>
      <c r="G539" s="4534">
        <v>63</v>
      </c>
      <c r="H539" s="4462">
        <f t="shared" si="8"/>
        <v>41.44736842105263</v>
      </c>
      <c r="I539" s="4535">
        <v>0.82539682539682546</v>
      </c>
      <c r="J539" s="4535">
        <v>0.17460317460317459</v>
      </c>
      <c r="K539" s="4536">
        <v>1.8867924528301886E-2</v>
      </c>
      <c r="L539" s="4537">
        <v>0</v>
      </c>
      <c r="M539" s="4536">
        <v>7.5471698113207544E-2</v>
      </c>
      <c r="N539" s="4536">
        <v>0.13207547169811321</v>
      </c>
      <c r="O539" s="4536">
        <v>0.7735849056603773</v>
      </c>
    </row>
    <row r="540" spans="1:15">
      <c r="A540" s="5819"/>
      <c r="B540" s="5822"/>
      <c r="C540" s="4532" t="s">
        <v>2470</v>
      </c>
      <c r="D540" s="5825"/>
      <c r="E540" s="5123"/>
      <c r="F540" s="4533">
        <v>389</v>
      </c>
      <c r="G540" s="4534">
        <v>160</v>
      </c>
      <c r="H540" s="4462">
        <f t="shared" si="8"/>
        <v>41.131105398457585</v>
      </c>
      <c r="I540" s="4535">
        <v>0.63124999999999998</v>
      </c>
      <c r="J540" s="4535">
        <v>0.36875000000000002</v>
      </c>
      <c r="K540" s="4536">
        <v>1.0101010101010102E-2</v>
      </c>
      <c r="L540" s="4536">
        <v>0.1111111111111111</v>
      </c>
      <c r="M540" s="4536">
        <v>0.13131313131313133</v>
      </c>
      <c r="N540" s="4536">
        <v>0.31313131313131309</v>
      </c>
      <c r="O540" s="4536">
        <v>0.43434343434343431</v>
      </c>
    </row>
    <row r="541" spans="1:15">
      <c r="A541" s="5819"/>
      <c r="B541" s="5822"/>
      <c r="C541" s="4532" t="s">
        <v>2471</v>
      </c>
      <c r="D541" s="5825"/>
      <c r="E541" s="5123"/>
      <c r="F541" s="4533">
        <v>219</v>
      </c>
      <c r="G541" s="4534">
        <v>165</v>
      </c>
      <c r="H541" s="4462">
        <f t="shared" si="8"/>
        <v>75.342465753424662</v>
      </c>
      <c r="I541" s="4535">
        <v>0.7151515151515152</v>
      </c>
      <c r="J541" s="4535">
        <v>0.28484848484848485</v>
      </c>
      <c r="K541" s="4536">
        <v>5.9322033898305086E-2</v>
      </c>
      <c r="L541" s="4536">
        <v>4.2372881355932208E-2</v>
      </c>
      <c r="M541" s="4536">
        <v>0.11016949152542374</v>
      </c>
      <c r="N541" s="4536">
        <v>0.1864406779661017</v>
      </c>
      <c r="O541" s="4536">
        <v>0.60169491525423735</v>
      </c>
    </row>
    <row r="542" spans="1:15">
      <c r="A542" s="5819"/>
      <c r="B542" s="5822"/>
      <c r="C542" s="4532" t="s">
        <v>2472</v>
      </c>
      <c r="D542" s="5825"/>
      <c r="E542" s="5123"/>
      <c r="F542" s="4533">
        <v>96</v>
      </c>
      <c r="G542" s="4534">
        <v>45</v>
      </c>
      <c r="H542" s="4462">
        <f t="shared" si="8"/>
        <v>46.875</v>
      </c>
      <c r="I542" s="4535">
        <v>0.22222222222222221</v>
      </c>
      <c r="J542" s="4535">
        <v>0.77777777777777768</v>
      </c>
      <c r="K542" s="4537">
        <v>0</v>
      </c>
      <c r="L542" s="4537">
        <v>0</v>
      </c>
      <c r="M542" s="4536">
        <v>0.1</v>
      </c>
      <c r="N542" s="4536">
        <v>0.3</v>
      </c>
      <c r="O542" s="4536">
        <v>0.6</v>
      </c>
    </row>
    <row r="543" spans="1:15">
      <c r="A543" s="5819"/>
      <c r="B543" s="5822"/>
      <c r="C543" s="4532" t="s">
        <v>280</v>
      </c>
      <c r="D543" s="5825" t="s">
        <v>248</v>
      </c>
      <c r="E543" s="5123"/>
      <c r="F543" s="4533">
        <v>19</v>
      </c>
      <c r="G543" s="4534">
        <v>4</v>
      </c>
      <c r="H543" s="4462">
        <f t="shared" si="8"/>
        <v>21.05263157894737</v>
      </c>
      <c r="I543" s="4535">
        <v>0.25</v>
      </c>
      <c r="J543" s="4535">
        <v>0.75</v>
      </c>
      <c r="K543" s="4537">
        <v>0</v>
      </c>
      <c r="L543" s="4537">
        <v>0</v>
      </c>
      <c r="M543" s="4536">
        <v>1</v>
      </c>
      <c r="N543" s="4537">
        <v>0</v>
      </c>
      <c r="O543" s="4537">
        <v>0</v>
      </c>
    </row>
    <row r="544" spans="1:15">
      <c r="A544" s="5819"/>
      <c r="B544" s="5822"/>
      <c r="C544" s="4532" t="s">
        <v>2473</v>
      </c>
      <c r="D544" s="5825"/>
      <c r="E544" s="5123"/>
      <c r="F544" s="4533">
        <v>189</v>
      </c>
      <c r="G544" s="4534">
        <v>122</v>
      </c>
      <c r="H544" s="4462">
        <f t="shared" si="8"/>
        <v>64.550264550264544</v>
      </c>
      <c r="I544" s="4535">
        <v>0.92622950819672123</v>
      </c>
      <c r="J544" s="4535">
        <v>7.3770491803278687E-2</v>
      </c>
      <c r="K544" s="4537">
        <v>0</v>
      </c>
      <c r="L544" s="4563">
        <v>8.8495575221238937E-3</v>
      </c>
      <c r="M544" s="4536">
        <v>4.4247787610619468E-2</v>
      </c>
      <c r="N544" s="4536">
        <v>0.21238938053097345</v>
      </c>
      <c r="O544" s="4536">
        <v>0.73451327433628322</v>
      </c>
    </row>
    <row r="545" spans="1:15">
      <c r="A545" s="5819"/>
      <c r="B545" s="5822"/>
      <c r="C545" s="4532" t="s">
        <v>2474</v>
      </c>
      <c r="D545" s="5825"/>
      <c r="E545" s="5123"/>
      <c r="F545" s="4533">
        <v>213</v>
      </c>
      <c r="G545" s="4534">
        <v>68</v>
      </c>
      <c r="H545" s="4462">
        <f t="shared" si="8"/>
        <v>31.92488262910798</v>
      </c>
      <c r="I545" s="4535">
        <v>0.85294117647058831</v>
      </c>
      <c r="J545" s="4535">
        <v>0.14705882352941177</v>
      </c>
      <c r="K545" s="4536">
        <v>3.5087719298245612E-2</v>
      </c>
      <c r="L545" s="4537">
        <v>0</v>
      </c>
      <c r="M545" s="4536">
        <v>8.7719298245614044E-2</v>
      </c>
      <c r="N545" s="4536">
        <v>0.10526315789473685</v>
      </c>
      <c r="O545" s="4536">
        <v>0.77192982456140358</v>
      </c>
    </row>
    <row r="546" spans="1:15">
      <c r="A546" s="5819"/>
      <c r="B546" s="5822"/>
      <c r="C546" s="4532" t="s">
        <v>2475</v>
      </c>
      <c r="D546" s="5825"/>
      <c r="E546" s="5123"/>
      <c r="F546" s="4533">
        <v>217</v>
      </c>
      <c r="G546" s="4534">
        <v>79</v>
      </c>
      <c r="H546" s="4462">
        <f t="shared" si="8"/>
        <v>36.405529953917053</v>
      </c>
      <c r="I546" s="4535">
        <v>0.88607594936708867</v>
      </c>
      <c r="J546" s="4535">
        <v>0.11392405063291139</v>
      </c>
      <c r="K546" s="4537">
        <v>0</v>
      </c>
      <c r="L546" s="4536">
        <v>2.8169014084507039E-2</v>
      </c>
      <c r="M546" s="4536">
        <v>8.4507042253521125E-2</v>
      </c>
      <c r="N546" s="4536">
        <v>0.18309859154929575</v>
      </c>
      <c r="O546" s="4536">
        <v>0.70422535211267601</v>
      </c>
    </row>
    <row r="547" spans="1:15">
      <c r="A547" s="5819"/>
      <c r="B547" s="5822"/>
      <c r="C547" s="4532" t="s">
        <v>2476</v>
      </c>
      <c r="D547" s="5825"/>
      <c r="E547" s="5123"/>
      <c r="F547" s="4533">
        <v>138</v>
      </c>
      <c r="G547" s="4534">
        <v>25</v>
      </c>
      <c r="H547" s="4462">
        <f t="shared" si="8"/>
        <v>18.115942028985508</v>
      </c>
      <c r="I547" s="4535">
        <v>0.88</v>
      </c>
      <c r="J547" s="4535">
        <v>0.12</v>
      </c>
      <c r="K547" s="4537">
        <v>0</v>
      </c>
      <c r="L547" s="4536">
        <v>4.5454545454545456E-2</v>
      </c>
      <c r="M547" s="4536">
        <v>0.13636363636363635</v>
      </c>
      <c r="N547" s="4536">
        <v>9.0909090909090912E-2</v>
      </c>
      <c r="O547" s="4536">
        <v>0.72727272727272729</v>
      </c>
    </row>
    <row r="548" spans="1:15">
      <c r="A548" s="5819"/>
      <c r="B548" s="5823"/>
      <c r="C548" s="4538" t="s">
        <v>2477</v>
      </c>
      <c r="D548" s="5826"/>
      <c r="E548" s="5124"/>
      <c r="F548" s="4539">
        <v>32</v>
      </c>
      <c r="G548" s="4540">
        <v>24</v>
      </c>
      <c r="H548" s="4541">
        <f t="shared" si="8"/>
        <v>75</v>
      </c>
      <c r="I548" s="4542">
        <v>0.79166666666666674</v>
      </c>
      <c r="J548" s="4542">
        <v>0.20833333333333331</v>
      </c>
      <c r="K548" s="4544">
        <v>0</v>
      </c>
      <c r="L548" s="4545">
        <v>5.2631578947368425E-2</v>
      </c>
      <c r="M548" s="4545">
        <v>5.2631578947368425E-2</v>
      </c>
      <c r="N548" s="4545">
        <v>0.31578947368421051</v>
      </c>
      <c r="O548" s="4545">
        <v>0.57894736842105265</v>
      </c>
    </row>
    <row r="549" spans="1:15" ht="15" customHeight="1">
      <c r="A549" s="5819"/>
      <c r="B549" s="5821" t="s">
        <v>2436</v>
      </c>
      <c r="C549" s="4525" t="s">
        <v>292</v>
      </c>
      <c r="D549" s="5824" t="s">
        <v>265</v>
      </c>
      <c r="E549" s="5122"/>
      <c r="F549" s="4526">
        <v>210</v>
      </c>
      <c r="G549" s="4527">
        <v>54</v>
      </c>
      <c r="H549" s="4528">
        <f t="shared" si="8"/>
        <v>25.714285714285715</v>
      </c>
      <c r="I549" s="4529">
        <v>0.66666666666666674</v>
      </c>
      <c r="J549" s="4529">
        <v>0.33333333333333337</v>
      </c>
      <c r="K549" s="4531">
        <v>8.3333333333333343E-2</v>
      </c>
      <c r="L549" s="4531">
        <v>0.1388888888888889</v>
      </c>
      <c r="M549" s="4531">
        <v>8.3333333333333343E-2</v>
      </c>
      <c r="N549" s="4530">
        <v>0</v>
      </c>
      <c r="O549" s="4531">
        <v>0.69444444444444442</v>
      </c>
    </row>
    <row r="550" spans="1:15">
      <c r="A550" s="5819"/>
      <c r="B550" s="5822"/>
      <c r="C550" s="4532" t="s">
        <v>293</v>
      </c>
      <c r="D550" s="5825"/>
      <c r="E550" s="5123"/>
      <c r="F550" s="4533">
        <v>99</v>
      </c>
      <c r="G550" s="4534">
        <v>32</v>
      </c>
      <c r="H550" s="4462">
        <f t="shared" si="8"/>
        <v>32.323232323232325</v>
      </c>
      <c r="I550" s="4535">
        <v>0.875</v>
      </c>
      <c r="J550" s="4535">
        <v>0.125</v>
      </c>
      <c r="K550" s="4537">
        <v>0</v>
      </c>
      <c r="L550" s="4536">
        <v>7.1428571428571438E-2</v>
      </c>
      <c r="M550" s="4536">
        <v>0.14285714285714288</v>
      </c>
      <c r="N550" s="4537">
        <v>0</v>
      </c>
      <c r="O550" s="4536">
        <v>0.7857142857142857</v>
      </c>
    </row>
    <row r="551" spans="1:15">
      <c r="A551" s="5819"/>
      <c r="B551" s="5822"/>
      <c r="C551" s="4532" t="s">
        <v>2322</v>
      </c>
      <c r="D551" s="5825" t="s">
        <v>247</v>
      </c>
      <c r="E551" s="5123"/>
      <c r="F551" s="4533">
        <v>89</v>
      </c>
      <c r="G551" s="4534">
        <v>55</v>
      </c>
      <c r="H551" s="4462">
        <f t="shared" si="8"/>
        <v>61.797752808988761</v>
      </c>
      <c r="I551" s="4535">
        <v>0.87272727272727268</v>
      </c>
      <c r="J551" s="4535">
        <v>0.12727272727272726</v>
      </c>
      <c r="K551" s="4536">
        <v>6.25E-2</v>
      </c>
      <c r="L551" s="4536">
        <v>6.25E-2</v>
      </c>
      <c r="M551" s="4536">
        <v>0.10416666666666666</v>
      </c>
      <c r="N551" s="4536">
        <v>0.1875</v>
      </c>
      <c r="O551" s="4536">
        <v>0.58333333333333337</v>
      </c>
    </row>
    <row r="552" spans="1:15">
      <c r="A552" s="5819"/>
      <c r="B552" s="5822"/>
      <c r="C552" s="4532" t="s">
        <v>2478</v>
      </c>
      <c r="D552" s="5825"/>
      <c r="E552" s="5123"/>
      <c r="F552" s="4533">
        <v>100</v>
      </c>
      <c r="G552" s="4534">
        <v>48</v>
      </c>
      <c r="H552" s="4462">
        <f t="shared" si="8"/>
        <v>48</v>
      </c>
      <c r="I552" s="4535">
        <v>0.64583333333333326</v>
      </c>
      <c r="J552" s="4535">
        <v>0.35416666666666663</v>
      </c>
      <c r="K552" s="4536">
        <v>3.3333333333333333E-2</v>
      </c>
      <c r="L552" s="4536">
        <v>6.6666666666666666E-2</v>
      </c>
      <c r="M552" s="4536">
        <v>0.33333333333333337</v>
      </c>
      <c r="N552" s="4536">
        <v>6.6666666666666666E-2</v>
      </c>
      <c r="O552" s="4536">
        <v>0.5</v>
      </c>
    </row>
    <row r="553" spans="1:15">
      <c r="A553" s="5819"/>
      <c r="B553" s="5822"/>
      <c r="C553" s="4532" t="s">
        <v>2479</v>
      </c>
      <c r="D553" s="5825"/>
      <c r="E553" s="5123"/>
      <c r="F553" s="4533">
        <v>22</v>
      </c>
      <c r="G553" s="4534">
        <v>7</v>
      </c>
      <c r="H553" s="4462">
        <f t="shared" si="8"/>
        <v>31.818181818181817</v>
      </c>
      <c r="I553" s="4535">
        <v>0.8571428571428571</v>
      </c>
      <c r="J553" s="4535">
        <v>0.14285714285714288</v>
      </c>
      <c r="K553" s="4536">
        <v>0.16666666666666669</v>
      </c>
      <c r="L553" s="4537">
        <v>0</v>
      </c>
      <c r="M553" s="4537">
        <v>0</v>
      </c>
      <c r="N553" s="4536">
        <v>0.16666666666666669</v>
      </c>
      <c r="O553" s="4536">
        <v>0.66666666666666674</v>
      </c>
    </row>
    <row r="554" spans="1:15">
      <c r="A554" s="5819"/>
      <c r="B554" s="5822"/>
      <c r="C554" s="4532" t="s">
        <v>2480</v>
      </c>
      <c r="D554" s="5825"/>
      <c r="E554" s="5123"/>
      <c r="F554" s="4533">
        <v>345</v>
      </c>
      <c r="G554" s="4534">
        <v>265</v>
      </c>
      <c r="H554" s="4462">
        <f t="shared" si="8"/>
        <v>76.811594202898547</v>
      </c>
      <c r="I554" s="4535">
        <v>0.6452830188679245</v>
      </c>
      <c r="J554" s="4535">
        <v>0.35471698113207545</v>
      </c>
      <c r="K554" s="4536">
        <v>1.8072289156626505E-2</v>
      </c>
      <c r="L554" s="4536">
        <v>3.0120481927710843E-2</v>
      </c>
      <c r="M554" s="4536">
        <v>0.10843373493975904</v>
      </c>
      <c r="N554" s="4536">
        <v>0.13855421686746988</v>
      </c>
      <c r="O554" s="4536">
        <v>0.70481927710843384</v>
      </c>
    </row>
    <row r="555" spans="1:15">
      <c r="A555" s="5819"/>
      <c r="B555" s="5822"/>
      <c r="C555" s="4532" t="s">
        <v>2481</v>
      </c>
      <c r="D555" s="5825"/>
      <c r="E555" s="5123"/>
      <c r="F555" s="4533">
        <v>202</v>
      </c>
      <c r="G555" s="4534">
        <v>106</v>
      </c>
      <c r="H555" s="4462">
        <f t="shared" si="8"/>
        <v>52.475247524752476</v>
      </c>
      <c r="I555" s="4535">
        <v>0.51886792452830188</v>
      </c>
      <c r="J555" s="4535">
        <v>0.48113207547169812</v>
      </c>
      <c r="K555" s="4536">
        <v>1.8181818181818181E-2</v>
      </c>
      <c r="L555" s="4536">
        <v>0.10909090909090909</v>
      </c>
      <c r="M555" s="4536">
        <v>3.6363636363636362E-2</v>
      </c>
      <c r="N555" s="4536">
        <v>0.10909090909090909</v>
      </c>
      <c r="O555" s="4536">
        <v>0.72727272727272729</v>
      </c>
    </row>
    <row r="556" spans="1:15">
      <c r="A556" s="5819"/>
      <c r="B556" s="5822"/>
      <c r="C556" s="4532" t="s">
        <v>295</v>
      </c>
      <c r="D556" s="5825"/>
      <c r="E556" s="5123"/>
      <c r="F556" s="4533">
        <v>166</v>
      </c>
      <c r="G556" s="4534">
        <v>65</v>
      </c>
      <c r="H556" s="4462">
        <f t="shared" ref="H556:H597" si="9">G556*100/F556</f>
        <v>39.156626506024097</v>
      </c>
      <c r="I556" s="4535">
        <v>0.78461538461538471</v>
      </c>
      <c r="J556" s="4535">
        <v>0.2153846153846154</v>
      </c>
      <c r="K556" s="4536">
        <v>3.9215686274509803E-2</v>
      </c>
      <c r="L556" s="4536">
        <v>7.8431372549019607E-2</v>
      </c>
      <c r="M556" s="4536">
        <v>7.8431372549019607E-2</v>
      </c>
      <c r="N556" s="4536">
        <v>0.17647058823529413</v>
      </c>
      <c r="O556" s="4536">
        <v>0.62745098039215685</v>
      </c>
    </row>
    <row r="557" spans="1:15">
      <c r="A557" s="5819"/>
      <c r="B557" s="5822"/>
      <c r="C557" s="4532" t="s">
        <v>129</v>
      </c>
      <c r="D557" s="5825" t="s">
        <v>248</v>
      </c>
      <c r="E557" s="5123"/>
      <c r="F557" s="4533">
        <v>198</v>
      </c>
      <c r="G557" s="4534">
        <v>63</v>
      </c>
      <c r="H557" s="4462">
        <f t="shared" si="9"/>
        <v>31.818181818181817</v>
      </c>
      <c r="I557" s="4535">
        <v>0.77777777777777768</v>
      </c>
      <c r="J557" s="4535">
        <v>0.22222222222222221</v>
      </c>
      <c r="K557" s="4536">
        <v>4.0816326530612249E-2</v>
      </c>
      <c r="L557" s="4536">
        <v>4.0816326530612249E-2</v>
      </c>
      <c r="M557" s="4536">
        <v>0.10204081632653061</v>
      </c>
      <c r="N557" s="4536">
        <v>0.14285714285714288</v>
      </c>
      <c r="O557" s="4536">
        <v>0.67346938775510212</v>
      </c>
    </row>
    <row r="558" spans="1:15">
      <c r="A558" s="5819"/>
      <c r="B558" s="5822"/>
      <c r="C558" s="4532" t="s">
        <v>130</v>
      </c>
      <c r="D558" s="5825"/>
      <c r="E558" s="5123"/>
      <c r="F558" s="4533">
        <v>95</v>
      </c>
      <c r="G558" s="4534">
        <v>54</v>
      </c>
      <c r="H558" s="4462">
        <f t="shared" si="9"/>
        <v>56.842105263157897</v>
      </c>
      <c r="I558" s="4535">
        <v>0.88888888888888884</v>
      </c>
      <c r="J558" s="4535">
        <v>0.1111111111111111</v>
      </c>
      <c r="K558" s="4536">
        <v>2.1739130434782608E-2</v>
      </c>
      <c r="L558" s="4537">
        <v>0</v>
      </c>
      <c r="M558" s="4536">
        <v>0.10869565217391304</v>
      </c>
      <c r="N558" s="4536">
        <v>0.17391304347826086</v>
      </c>
      <c r="O558" s="4536">
        <v>0.69565217391304346</v>
      </c>
    </row>
    <row r="559" spans="1:15">
      <c r="A559" s="5820"/>
      <c r="B559" s="5823"/>
      <c r="C559" s="4548" t="s">
        <v>410</v>
      </c>
      <c r="D559" s="5827"/>
      <c r="E559" s="5125"/>
      <c r="F559" s="4549">
        <v>334</v>
      </c>
      <c r="G559" s="4550">
        <v>190</v>
      </c>
      <c r="H559" s="4475">
        <f t="shared" si="9"/>
        <v>56.886227544910177</v>
      </c>
      <c r="I559" s="4551">
        <v>0.97399999999999998</v>
      </c>
      <c r="J559" s="4551">
        <v>2.5999999999999999E-2</v>
      </c>
      <c r="K559" s="4552">
        <v>0</v>
      </c>
      <c r="L559" s="4564">
        <v>1.6E-2</v>
      </c>
      <c r="M559" s="4564">
        <v>0</v>
      </c>
      <c r="N559" s="4564">
        <v>6.5000000000000002E-2</v>
      </c>
      <c r="O559" s="4564">
        <v>0.91800000000000004</v>
      </c>
    </row>
    <row r="560" spans="1:15" ht="15" customHeight="1">
      <c r="A560" s="5818" t="s">
        <v>48</v>
      </c>
      <c r="B560" s="5821" t="s">
        <v>2434</v>
      </c>
      <c r="C560" s="4554" t="s">
        <v>2482</v>
      </c>
      <c r="D560" s="5828" t="s">
        <v>265</v>
      </c>
      <c r="E560" s="5126"/>
      <c r="F560" s="4555">
        <v>154</v>
      </c>
      <c r="G560" s="4556">
        <v>78</v>
      </c>
      <c r="H560" s="4472">
        <f t="shared" si="9"/>
        <v>50.649350649350652</v>
      </c>
      <c r="I560" s="4557">
        <v>0.80769230769230771</v>
      </c>
      <c r="J560" s="4557">
        <v>0.19230769230769229</v>
      </c>
      <c r="K560" s="4558">
        <v>0</v>
      </c>
      <c r="L560" s="4559">
        <v>1.5625E-2</v>
      </c>
      <c r="M560" s="4559">
        <v>4.6875E-2</v>
      </c>
      <c r="N560" s="4559">
        <v>0.109375</v>
      </c>
      <c r="O560" s="4559">
        <v>0.828125</v>
      </c>
    </row>
    <row r="561" spans="1:15">
      <c r="A561" s="5819"/>
      <c r="B561" s="5822"/>
      <c r="C561" s="4532" t="s">
        <v>2483</v>
      </c>
      <c r="D561" s="5825"/>
      <c r="E561" s="5123"/>
      <c r="F561" s="4533">
        <v>245</v>
      </c>
      <c r="G561" s="4534">
        <v>129</v>
      </c>
      <c r="H561" s="4462">
        <f t="shared" si="9"/>
        <v>52.653061224489797</v>
      </c>
      <c r="I561" s="4535">
        <v>0.76744186046511631</v>
      </c>
      <c r="J561" s="4535">
        <v>0.23255813953488372</v>
      </c>
      <c r="K561" s="4536">
        <v>2.0408163265306124E-2</v>
      </c>
      <c r="L561" s="4536">
        <v>4.0816326530612249E-2</v>
      </c>
      <c r="M561" s="4536">
        <v>7.1428571428571438E-2</v>
      </c>
      <c r="N561" s="4536">
        <v>0.10204081632653061</v>
      </c>
      <c r="O561" s="4536">
        <v>0.76530612244897955</v>
      </c>
    </row>
    <row r="562" spans="1:15">
      <c r="A562" s="5819"/>
      <c r="B562" s="5822"/>
      <c r="C562" s="4532" t="s">
        <v>2484</v>
      </c>
      <c r="D562" s="5825" t="s">
        <v>247</v>
      </c>
      <c r="E562" s="5123"/>
      <c r="F562" s="4533">
        <v>86</v>
      </c>
      <c r="G562" s="4534">
        <v>22</v>
      </c>
      <c r="H562" s="4462">
        <f t="shared" si="9"/>
        <v>25.581395348837209</v>
      </c>
      <c r="I562" s="4535">
        <v>0.81818181818181812</v>
      </c>
      <c r="J562" s="4535">
        <v>0.18181818181818182</v>
      </c>
      <c r="K562" s="4537">
        <v>0</v>
      </c>
      <c r="L562" s="4536">
        <v>5.8823529411764712E-2</v>
      </c>
      <c r="M562" s="4536">
        <v>0.11764705882352942</v>
      </c>
      <c r="N562" s="4536">
        <v>5.8823529411764712E-2</v>
      </c>
      <c r="O562" s="4536">
        <v>0.76470588235294112</v>
      </c>
    </row>
    <row r="563" spans="1:15">
      <c r="A563" s="5819"/>
      <c r="B563" s="5822"/>
      <c r="C563" s="4532" t="s">
        <v>485</v>
      </c>
      <c r="D563" s="5825"/>
      <c r="E563" s="5123"/>
      <c r="F563" s="4533">
        <v>115</v>
      </c>
      <c r="G563" s="4534">
        <v>37</v>
      </c>
      <c r="H563" s="4462">
        <f t="shared" si="9"/>
        <v>32.173913043478258</v>
      </c>
      <c r="I563" s="4535">
        <v>0.78378378378378377</v>
      </c>
      <c r="J563" s="4535">
        <v>0.2162162162162162</v>
      </c>
      <c r="K563" s="4536">
        <v>6.8965517241379309E-2</v>
      </c>
      <c r="L563" s="4537">
        <v>0</v>
      </c>
      <c r="M563" s="4536">
        <v>6.8965517241379309E-2</v>
      </c>
      <c r="N563" s="4536">
        <v>6.8965517241379309E-2</v>
      </c>
      <c r="O563" s="4536">
        <v>0.7931034482758621</v>
      </c>
    </row>
    <row r="564" spans="1:15">
      <c r="A564" s="5819"/>
      <c r="B564" s="5822"/>
      <c r="C564" s="4532" t="s">
        <v>411</v>
      </c>
      <c r="D564" s="5825"/>
      <c r="E564" s="5123"/>
      <c r="F564" s="4533">
        <v>142</v>
      </c>
      <c r="G564" s="4534">
        <v>76</v>
      </c>
      <c r="H564" s="4462">
        <f t="shared" si="9"/>
        <v>53.521126760563384</v>
      </c>
      <c r="I564" s="4535">
        <v>0.86842105263157887</v>
      </c>
      <c r="J564" s="4535">
        <v>0.13157894736842105</v>
      </c>
      <c r="K564" s="4536">
        <v>1.5151515151515152E-2</v>
      </c>
      <c r="L564" s="4537">
        <v>0</v>
      </c>
      <c r="M564" s="4536">
        <v>0.13636363636363635</v>
      </c>
      <c r="N564" s="4536">
        <v>0.22727272727272727</v>
      </c>
      <c r="O564" s="4536">
        <v>0.62121212121212122</v>
      </c>
    </row>
    <row r="565" spans="1:15">
      <c r="A565" s="5819"/>
      <c r="B565" s="5822"/>
      <c r="C565" s="4532" t="s">
        <v>2485</v>
      </c>
      <c r="D565" s="5825"/>
      <c r="E565" s="5123"/>
      <c r="F565" s="4533">
        <v>141</v>
      </c>
      <c r="G565" s="4534">
        <v>78</v>
      </c>
      <c r="H565" s="4462">
        <f t="shared" si="9"/>
        <v>55.319148936170215</v>
      </c>
      <c r="I565" s="4535">
        <v>0.84615384615384615</v>
      </c>
      <c r="J565" s="4535">
        <v>0.15384615384615385</v>
      </c>
      <c r="K565" s="4537">
        <v>0</v>
      </c>
      <c r="L565" s="4536">
        <v>3.0769230769230771E-2</v>
      </c>
      <c r="M565" s="4536">
        <v>6.1538461538461542E-2</v>
      </c>
      <c r="N565" s="4536">
        <v>0.2153846153846154</v>
      </c>
      <c r="O565" s="4536">
        <v>0.69230769230769229</v>
      </c>
    </row>
    <row r="566" spans="1:15">
      <c r="A566" s="5819"/>
      <c r="B566" s="5822"/>
      <c r="C566" s="4532" t="s">
        <v>2486</v>
      </c>
      <c r="D566" s="5825"/>
      <c r="E566" s="5123"/>
      <c r="F566" s="4533">
        <v>101</v>
      </c>
      <c r="G566" s="4534">
        <v>2</v>
      </c>
      <c r="H566" s="4462">
        <f t="shared" si="9"/>
        <v>1.9801980198019802</v>
      </c>
      <c r="I566" s="4535">
        <v>1</v>
      </c>
      <c r="J566" s="4547">
        <v>0</v>
      </c>
      <c r="K566" s="4537">
        <v>0</v>
      </c>
      <c r="L566" s="4536">
        <v>0.5</v>
      </c>
      <c r="M566" s="4536">
        <v>0.5</v>
      </c>
      <c r="N566" s="4537">
        <v>0</v>
      </c>
      <c r="O566" s="4537">
        <v>0</v>
      </c>
    </row>
    <row r="567" spans="1:15">
      <c r="A567" s="5819"/>
      <c r="B567" s="5822"/>
      <c r="C567" s="4532" t="s">
        <v>297</v>
      </c>
      <c r="D567" s="5825"/>
      <c r="E567" s="5123"/>
      <c r="F567" s="4533">
        <v>140</v>
      </c>
      <c r="G567" s="4534">
        <v>95</v>
      </c>
      <c r="H567" s="4462">
        <f t="shared" si="9"/>
        <v>67.857142857142861</v>
      </c>
      <c r="I567" s="4535">
        <v>0.83157894736842108</v>
      </c>
      <c r="J567" s="4535">
        <v>0.16842105263157894</v>
      </c>
      <c r="K567" s="4537">
        <v>0</v>
      </c>
      <c r="L567" s="4536">
        <v>2.5316455696202535E-2</v>
      </c>
      <c r="M567" s="4536">
        <v>0.13924050632911392</v>
      </c>
      <c r="N567" s="4536">
        <v>0.25316455696202533</v>
      </c>
      <c r="O567" s="4536">
        <v>0.58227848101265822</v>
      </c>
    </row>
    <row r="568" spans="1:15">
      <c r="A568" s="5819"/>
      <c r="B568" s="5822"/>
      <c r="C568" s="4532" t="s">
        <v>2487</v>
      </c>
      <c r="D568" s="5825"/>
      <c r="E568" s="5123"/>
      <c r="F568" s="4533">
        <v>21</v>
      </c>
      <c r="G568" s="4534">
        <v>4</v>
      </c>
      <c r="H568" s="4462">
        <f t="shared" si="9"/>
        <v>19.047619047619047</v>
      </c>
      <c r="I568" s="4535">
        <v>1</v>
      </c>
      <c r="J568" s="4547">
        <v>0</v>
      </c>
      <c r="K568" s="4537">
        <v>0</v>
      </c>
      <c r="L568" s="4537">
        <v>0</v>
      </c>
      <c r="M568" s="4537">
        <v>0</v>
      </c>
      <c r="N568" s="4537">
        <v>0</v>
      </c>
      <c r="O568" s="4536">
        <v>1</v>
      </c>
    </row>
    <row r="569" spans="1:15">
      <c r="A569" s="5819"/>
      <c r="B569" s="5822"/>
      <c r="C569" s="4532" t="s">
        <v>298</v>
      </c>
      <c r="D569" s="5825"/>
      <c r="E569" s="5123"/>
      <c r="F569" s="4533">
        <v>123</v>
      </c>
      <c r="G569" s="4534">
        <v>93</v>
      </c>
      <c r="H569" s="4462">
        <f t="shared" si="9"/>
        <v>75.609756097560975</v>
      </c>
      <c r="I569" s="4535">
        <v>0.89247311827956988</v>
      </c>
      <c r="J569" s="4535">
        <v>0.1075268817204301</v>
      </c>
      <c r="K569" s="4536">
        <v>4.8192771084337352E-2</v>
      </c>
      <c r="L569" s="4536">
        <v>2.4096385542168676E-2</v>
      </c>
      <c r="M569" s="4536">
        <v>0.12048192771084337</v>
      </c>
      <c r="N569" s="4536">
        <v>0.24096385542168675</v>
      </c>
      <c r="O569" s="4536">
        <v>0.5662650602409639</v>
      </c>
    </row>
    <row r="570" spans="1:15">
      <c r="A570" s="5819"/>
      <c r="B570" s="5822"/>
      <c r="C570" s="4532" t="s">
        <v>486</v>
      </c>
      <c r="D570" s="5825"/>
      <c r="E570" s="5123"/>
      <c r="F570" s="4533">
        <v>95</v>
      </c>
      <c r="G570" s="4534">
        <v>82</v>
      </c>
      <c r="H570" s="4462">
        <f t="shared" si="9"/>
        <v>86.315789473684205</v>
      </c>
      <c r="I570" s="4535">
        <v>0.74399999999999999</v>
      </c>
      <c r="J570" s="4535">
        <v>0.25600000000000001</v>
      </c>
      <c r="K570" s="4536">
        <v>3.4000000000000002E-2</v>
      </c>
      <c r="L570" s="4536">
        <v>3.4000000000000002E-2</v>
      </c>
      <c r="M570" s="4536">
        <v>0.13600000000000001</v>
      </c>
      <c r="N570" s="4536">
        <v>0.254</v>
      </c>
      <c r="O570" s="4536">
        <v>0.54200000000000004</v>
      </c>
    </row>
    <row r="571" spans="1:15">
      <c r="A571" s="5819"/>
      <c r="B571" s="5822"/>
      <c r="C571" s="4532" t="s">
        <v>2488</v>
      </c>
      <c r="D571" s="5825"/>
      <c r="E571" s="5123"/>
      <c r="F571" s="4533">
        <v>18</v>
      </c>
      <c r="G571" s="4534">
        <v>12</v>
      </c>
      <c r="H571" s="4462">
        <f t="shared" si="9"/>
        <v>66.666666666666671</v>
      </c>
      <c r="I571" s="4535">
        <v>0.58333333333333337</v>
      </c>
      <c r="J571" s="4535">
        <v>0.41666666666666663</v>
      </c>
      <c r="K571" s="4537">
        <v>0</v>
      </c>
      <c r="L571" s="4536">
        <v>0.14285714285714288</v>
      </c>
      <c r="M571" s="4537">
        <v>0</v>
      </c>
      <c r="N571" s="4537">
        <v>0</v>
      </c>
      <c r="O571" s="4536">
        <v>0.8571428571428571</v>
      </c>
    </row>
    <row r="572" spans="1:15">
      <c r="A572" s="5819"/>
      <c r="B572" s="5822"/>
      <c r="C572" s="4532" t="s">
        <v>2489</v>
      </c>
      <c r="D572" s="5825"/>
      <c r="E572" s="5123"/>
      <c r="F572" s="4533">
        <v>266</v>
      </c>
      <c r="G572" s="4534">
        <v>2</v>
      </c>
      <c r="H572" s="4462">
        <f t="shared" si="9"/>
        <v>0.75187969924812026</v>
      </c>
      <c r="I572" s="4547">
        <v>0</v>
      </c>
      <c r="J572" s="4535">
        <v>1</v>
      </c>
      <c r="K572" s="4537">
        <v>0</v>
      </c>
      <c r="L572" s="4537">
        <v>0</v>
      </c>
      <c r="M572" s="4537">
        <v>0</v>
      </c>
      <c r="N572" s="4537">
        <v>0</v>
      </c>
      <c r="O572" s="4537">
        <v>0</v>
      </c>
    </row>
    <row r="573" spans="1:15">
      <c r="A573" s="5819"/>
      <c r="B573" s="5822"/>
      <c r="C573" s="4532" t="s">
        <v>2328</v>
      </c>
      <c r="D573" s="5825"/>
      <c r="E573" s="5123"/>
      <c r="F573" s="4533">
        <v>23</v>
      </c>
      <c r="G573" s="4534">
        <v>10</v>
      </c>
      <c r="H573" s="4462">
        <f t="shared" si="9"/>
        <v>43.478260869565219</v>
      </c>
      <c r="I573" s="4535">
        <v>0.7</v>
      </c>
      <c r="J573" s="4535">
        <v>0.3</v>
      </c>
      <c r="K573" s="4537">
        <v>0</v>
      </c>
      <c r="L573" s="4536">
        <v>0.125</v>
      </c>
      <c r="M573" s="4537">
        <v>0</v>
      </c>
      <c r="N573" s="4536">
        <v>0.75</v>
      </c>
      <c r="O573" s="4536">
        <v>0.125</v>
      </c>
    </row>
    <row r="574" spans="1:15">
      <c r="A574" s="5819"/>
      <c r="B574" s="5822"/>
      <c r="C574" s="4532" t="s">
        <v>299</v>
      </c>
      <c r="D574" s="5825"/>
      <c r="E574" s="5123"/>
      <c r="F574" s="4533">
        <v>53</v>
      </c>
      <c r="G574" s="4534">
        <v>17</v>
      </c>
      <c r="H574" s="4462">
        <f t="shared" si="9"/>
        <v>32.075471698113205</v>
      </c>
      <c r="I574" s="4535">
        <v>0.82352941176470595</v>
      </c>
      <c r="J574" s="4535">
        <v>0.17647058823529413</v>
      </c>
      <c r="K574" s="4536">
        <v>7.1428571428571438E-2</v>
      </c>
      <c r="L574" s="4536">
        <v>0.14285714285714288</v>
      </c>
      <c r="M574" s="4536">
        <v>7.1428571428571438E-2</v>
      </c>
      <c r="N574" s="4536">
        <v>0.14285714285714288</v>
      </c>
      <c r="O574" s="4536">
        <v>0.57142857142857151</v>
      </c>
    </row>
    <row r="575" spans="1:15">
      <c r="A575" s="5819"/>
      <c r="B575" s="5822"/>
      <c r="C575" s="4532" t="s">
        <v>302</v>
      </c>
      <c r="D575" s="5825" t="s">
        <v>248</v>
      </c>
      <c r="E575" s="5123"/>
      <c r="F575" s="4533">
        <v>344</v>
      </c>
      <c r="G575" s="4534">
        <v>103</v>
      </c>
      <c r="H575" s="4462">
        <f t="shared" si="9"/>
        <v>29.941860465116278</v>
      </c>
      <c r="I575" s="4560">
        <v>0.96099999999999997</v>
      </c>
      <c r="J575" s="4560">
        <v>3.9E-2</v>
      </c>
      <c r="K575" s="4546">
        <v>0.03</v>
      </c>
      <c r="L575" s="4546">
        <v>0</v>
      </c>
      <c r="M575" s="4546">
        <v>0.01</v>
      </c>
      <c r="N575" s="4546">
        <v>0.11899999999999999</v>
      </c>
      <c r="O575" s="4546">
        <v>0.84199999999999997</v>
      </c>
    </row>
    <row r="576" spans="1:15">
      <c r="A576" s="5819"/>
      <c r="B576" s="5822"/>
      <c r="C576" s="4532" t="s">
        <v>2490</v>
      </c>
      <c r="D576" s="5825"/>
      <c r="E576" s="5123"/>
      <c r="F576" s="4533">
        <v>18</v>
      </c>
      <c r="G576" s="4534">
        <v>17</v>
      </c>
      <c r="H576" s="4462">
        <f t="shared" si="9"/>
        <v>94.444444444444443</v>
      </c>
      <c r="I576" s="4535">
        <v>0.94117647058823539</v>
      </c>
      <c r="J576" s="4535">
        <v>5.8823529411764712E-2</v>
      </c>
      <c r="K576" s="4537">
        <v>0</v>
      </c>
      <c r="L576" s="4537">
        <v>0</v>
      </c>
      <c r="M576" s="4537">
        <v>0</v>
      </c>
      <c r="N576" s="4536">
        <v>0.1875</v>
      </c>
      <c r="O576" s="4536">
        <v>0.8125</v>
      </c>
    </row>
    <row r="577" spans="1:15">
      <c r="A577" s="5819"/>
      <c r="B577" s="5823"/>
      <c r="C577" s="4538" t="s">
        <v>2491</v>
      </c>
      <c r="D577" s="5826"/>
      <c r="E577" s="5124"/>
      <c r="F577" s="4539">
        <v>61</v>
      </c>
      <c r="G577" s="4540">
        <v>20</v>
      </c>
      <c r="H577" s="4541">
        <f t="shared" si="9"/>
        <v>32.786885245901637</v>
      </c>
      <c r="I577" s="4542">
        <v>0.95</v>
      </c>
      <c r="J577" s="4542">
        <v>0.05</v>
      </c>
      <c r="K577" s="4544">
        <v>0</v>
      </c>
      <c r="L577" s="4544">
        <v>0</v>
      </c>
      <c r="M577" s="4545">
        <v>0.26315789473684209</v>
      </c>
      <c r="N577" s="4545">
        <v>0.15789473684210525</v>
      </c>
      <c r="O577" s="4545">
        <v>0.57894736842105265</v>
      </c>
    </row>
    <row r="578" spans="1:15" ht="15" customHeight="1">
      <c r="A578" s="5819"/>
      <c r="B578" s="5821" t="s">
        <v>2436</v>
      </c>
      <c r="C578" s="4525" t="s">
        <v>2492</v>
      </c>
      <c r="D578" s="5824" t="s">
        <v>265</v>
      </c>
      <c r="E578" s="5122"/>
      <c r="F578" s="4526">
        <v>108</v>
      </c>
      <c r="G578" s="4527">
        <v>78</v>
      </c>
      <c r="H578" s="4528">
        <f t="shared" si="9"/>
        <v>72.222222222222229</v>
      </c>
      <c r="I578" s="4529">
        <v>0.8205128205128206</v>
      </c>
      <c r="J578" s="4529">
        <v>0.17948717948717949</v>
      </c>
      <c r="K578" s="4530">
        <v>0</v>
      </c>
      <c r="L578" s="4531">
        <v>3.0769230769230771E-2</v>
      </c>
      <c r="M578" s="4531">
        <v>0.12307692307692308</v>
      </c>
      <c r="N578" s="4531">
        <v>9.2307692307692299E-2</v>
      </c>
      <c r="O578" s="4531">
        <v>0.75384615384615383</v>
      </c>
    </row>
    <row r="579" spans="1:15">
      <c r="A579" s="5819"/>
      <c r="B579" s="5822"/>
      <c r="C579" s="4532" t="s">
        <v>489</v>
      </c>
      <c r="D579" s="5825"/>
      <c r="E579" s="5123"/>
      <c r="F579" s="4533">
        <v>76</v>
      </c>
      <c r="G579" s="4534">
        <v>6</v>
      </c>
      <c r="H579" s="4462">
        <f t="shared" si="9"/>
        <v>7.8947368421052628</v>
      </c>
      <c r="I579" s="4535">
        <v>1</v>
      </c>
      <c r="J579" s="4547">
        <v>0</v>
      </c>
      <c r="K579" s="4537">
        <v>0</v>
      </c>
      <c r="L579" s="4537">
        <v>0</v>
      </c>
      <c r="M579" s="4536">
        <v>0.16666666666666669</v>
      </c>
      <c r="N579" s="4536">
        <v>0.16666666666666669</v>
      </c>
      <c r="O579" s="4536">
        <v>0.66666666666666674</v>
      </c>
    </row>
    <row r="580" spans="1:15">
      <c r="A580" s="5819"/>
      <c r="B580" s="5822"/>
      <c r="C580" s="4532" t="s">
        <v>2493</v>
      </c>
      <c r="D580" s="5825"/>
      <c r="E580" s="5123"/>
      <c r="F580" s="4533">
        <v>45</v>
      </c>
      <c r="G580" s="4534">
        <v>30</v>
      </c>
      <c r="H580" s="4462">
        <f t="shared" si="9"/>
        <v>66.666666666666671</v>
      </c>
      <c r="I580" s="4535">
        <v>1</v>
      </c>
      <c r="J580" s="4547">
        <v>0</v>
      </c>
      <c r="K580" s="4536">
        <v>6.6666666666666666E-2</v>
      </c>
      <c r="L580" s="4536">
        <v>6.6666666666666666E-2</v>
      </c>
      <c r="M580" s="4536">
        <v>3.3333333333333333E-2</v>
      </c>
      <c r="N580" s="4536">
        <v>0.13333333333333333</v>
      </c>
      <c r="O580" s="4536">
        <v>0.7</v>
      </c>
    </row>
    <row r="581" spans="1:15">
      <c r="A581" s="5819"/>
      <c r="B581" s="5822"/>
      <c r="C581" s="4532" t="s">
        <v>2494</v>
      </c>
      <c r="D581" s="5825"/>
      <c r="E581" s="5123"/>
      <c r="F581" s="4533">
        <v>30</v>
      </c>
      <c r="G581" s="4534">
        <v>12</v>
      </c>
      <c r="H581" s="4462">
        <f t="shared" si="9"/>
        <v>40</v>
      </c>
      <c r="I581" s="4535">
        <v>0.83333333333333326</v>
      </c>
      <c r="J581" s="4535">
        <v>0.16666666666666669</v>
      </c>
      <c r="K581" s="4536">
        <v>0.1</v>
      </c>
      <c r="L581" s="4537">
        <v>0</v>
      </c>
      <c r="M581" s="4537">
        <v>0</v>
      </c>
      <c r="N581" s="4537">
        <v>0</v>
      </c>
      <c r="O581" s="4536">
        <v>0.9</v>
      </c>
    </row>
    <row r="582" spans="1:15">
      <c r="A582" s="5819"/>
      <c r="B582" s="5822"/>
      <c r="C582" s="4532" t="s">
        <v>2495</v>
      </c>
      <c r="D582" s="5825" t="s">
        <v>247</v>
      </c>
      <c r="E582" s="5123"/>
      <c r="F582" s="4533">
        <v>197</v>
      </c>
      <c r="G582" s="4534">
        <v>40</v>
      </c>
      <c r="H582" s="4462">
        <f t="shared" si="9"/>
        <v>20.304568527918782</v>
      </c>
      <c r="I582" s="4535">
        <v>0.8</v>
      </c>
      <c r="J582" s="4535">
        <v>0.2</v>
      </c>
      <c r="K582" s="4537">
        <v>0</v>
      </c>
      <c r="L582" s="4536">
        <v>6.0606060606060608E-2</v>
      </c>
      <c r="M582" s="4536">
        <v>6.0606060606060608E-2</v>
      </c>
      <c r="N582" s="4536">
        <v>0.2121212121212121</v>
      </c>
      <c r="O582" s="4536">
        <v>0.66666666666666674</v>
      </c>
    </row>
    <row r="583" spans="1:15">
      <c r="A583" s="5819"/>
      <c r="B583" s="5822"/>
      <c r="C583" s="4532" t="s">
        <v>305</v>
      </c>
      <c r="D583" s="5825"/>
      <c r="E583" s="5123"/>
      <c r="F583" s="4533">
        <v>203</v>
      </c>
      <c r="G583" s="4534">
        <v>142</v>
      </c>
      <c r="H583" s="4462">
        <f t="shared" si="9"/>
        <v>69.950738916256157</v>
      </c>
      <c r="I583" s="4535">
        <v>0.89400000000000002</v>
      </c>
      <c r="J583" s="4535">
        <v>0.106</v>
      </c>
      <c r="K583" s="4536">
        <v>3.1E-2</v>
      </c>
      <c r="L583" s="4536">
        <v>3.9E-2</v>
      </c>
      <c r="M583" s="4536">
        <v>0.17299999999999999</v>
      </c>
      <c r="N583" s="4536">
        <v>0.22800000000000001</v>
      </c>
      <c r="O583" s="4536">
        <v>0.52800000000000002</v>
      </c>
    </row>
    <row r="584" spans="1:15">
      <c r="A584" s="5819"/>
      <c r="B584" s="5822"/>
      <c r="C584" s="4532" t="s">
        <v>758</v>
      </c>
      <c r="D584" s="5825"/>
      <c r="E584" s="5123"/>
      <c r="F584" s="4533">
        <v>117</v>
      </c>
      <c r="G584" s="4534">
        <v>109</v>
      </c>
      <c r="H584" s="4462">
        <f t="shared" si="9"/>
        <v>93.162393162393158</v>
      </c>
      <c r="I584" s="4535">
        <v>0.75229357798165142</v>
      </c>
      <c r="J584" s="4535">
        <v>0.24770642201834864</v>
      </c>
      <c r="K584" s="4536">
        <v>3.7499999999999999E-2</v>
      </c>
      <c r="L584" s="4536">
        <v>7.4999999999999997E-2</v>
      </c>
      <c r="M584" s="4536">
        <v>0.17499999999999999</v>
      </c>
      <c r="N584" s="4536">
        <v>0.23749999999999999</v>
      </c>
      <c r="O584" s="4536">
        <v>0.47499999999999998</v>
      </c>
    </row>
    <row r="585" spans="1:15">
      <c r="A585" s="5819"/>
      <c r="B585" s="5822"/>
      <c r="C585" s="4532" t="s">
        <v>343</v>
      </c>
      <c r="D585" s="5825"/>
      <c r="E585" s="5123"/>
      <c r="F585" s="4533">
        <v>24</v>
      </c>
      <c r="G585" s="4534">
        <v>3</v>
      </c>
      <c r="H585" s="4462">
        <f t="shared" si="9"/>
        <v>12.5</v>
      </c>
      <c r="I585" s="4535">
        <v>0.66666666666666674</v>
      </c>
      <c r="J585" s="4535">
        <v>0.33333333333333337</v>
      </c>
      <c r="K585" s="4537">
        <v>0</v>
      </c>
      <c r="L585" s="4537">
        <v>0</v>
      </c>
      <c r="M585" s="4537">
        <v>0</v>
      </c>
      <c r="N585" s="4537">
        <v>0</v>
      </c>
      <c r="O585" s="4536">
        <v>1</v>
      </c>
    </row>
    <row r="586" spans="1:15">
      <c r="A586" s="5819"/>
      <c r="B586" s="5822"/>
      <c r="C586" s="4532" t="s">
        <v>307</v>
      </c>
      <c r="D586" s="5825"/>
      <c r="E586" s="5123"/>
      <c r="F586" s="4533">
        <v>157</v>
      </c>
      <c r="G586" s="4534">
        <v>108</v>
      </c>
      <c r="H586" s="4462">
        <f t="shared" si="9"/>
        <v>68.789808917197448</v>
      </c>
      <c r="I586" s="4535">
        <v>0.77777777777777768</v>
      </c>
      <c r="J586" s="4535">
        <v>0.22222222222222221</v>
      </c>
      <c r="K586" s="4536">
        <v>1.1904761904761904E-2</v>
      </c>
      <c r="L586" s="4536">
        <v>1.1904761904761904E-2</v>
      </c>
      <c r="M586" s="4536">
        <v>9.5238095238095233E-2</v>
      </c>
      <c r="N586" s="4536">
        <v>0.28571428571428575</v>
      </c>
      <c r="O586" s="4536">
        <v>0.59523809523809523</v>
      </c>
    </row>
    <row r="587" spans="1:15">
      <c r="A587" s="5819"/>
      <c r="B587" s="5822"/>
      <c r="C587" s="4532" t="s">
        <v>304</v>
      </c>
      <c r="D587" s="5825"/>
      <c r="E587" s="5123"/>
      <c r="F587" s="4533">
        <v>179</v>
      </c>
      <c r="G587" s="4534">
        <v>69</v>
      </c>
      <c r="H587" s="4462">
        <f t="shared" si="9"/>
        <v>38.547486033519554</v>
      </c>
      <c r="I587" s="4535">
        <v>0.65217391304347827</v>
      </c>
      <c r="J587" s="4535">
        <v>0.34782608695652173</v>
      </c>
      <c r="K587" s="4536">
        <v>9.0909090909090912E-2</v>
      </c>
      <c r="L587" s="4536">
        <v>6.8181818181818177E-2</v>
      </c>
      <c r="M587" s="4536">
        <v>0.18181818181818182</v>
      </c>
      <c r="N587" s="4536">
        <v>0.29545454545454547</v>
      </c>
      <c r="O587" s="4536">
        <v>0.36363636363636365</v>
      </c>
    </row>
    <row r="588" spans="1:15">
      <c r="A588" s="5819"/>
      <c r="B588" s="5823"/>
      <c r="C588" s="4548" t="s">
        <v>672</v>
      </c>
      <c r="D588" s="5827"/>
      <c r="E588" s="5125"/>
      <c r="F588" s="4549">
        <v>8</v>
      </c>
      <c r="G588" s="4550">
        <v>6</v>
      </c>
      <c r="H588" s="4475">
        <f t="shared" si="9"/>
        <v>75</v>
      </c>
      <c r="I588" s="4551">
        <v>0.33333333333333337</v>
      </c>
      <c r="J588" s="4551">
        <v>0.66666666666666674</v>
      </c>
      <c r="K588" s="4552">
        <v>0</v>
      </c>
      <c r="L588" s="4552">
        <v>0</v>
      </c>
      <c r="M588" s="4553">
        <v>1</v>
      </c>
      <c r="N588" s="4552">
        <v>0</v>
      </c>
      <c r="O588" s="4552">
        <v>0</v>
      </c>
    </row>
    <row r="589" spans="1:15" ht="15" customHeight="1">
      <c r="A589" s="5819"/>
      <c r="B589" s="5821" t="s">
        <v>2435</v>
      </c>
      <c r="C589" s="4554" t="s">
        <v>309</v>
      </c>
      <c r="D589" s="5828" t="s">
        <v>247</v>
      </c>
      <c r="E589" s="5126"/>
      <c r="F589" s="4555">
        <v>265</v>
      </c>
      <c r="G589" s="4556">
        <v>130</v>
      </c>
      <c r="H589" s="4472">
        <f t="shared" si="9"/>
        <v>49.056603773584904</v>
      </c>
      <c r="I589" s="4557">
        <v>0.79230769230769227</v>
      </c>
      <c r="J589" s="4557">
        <v>0.2076923076923077</v>
      </c>
      <c r="K589" s="4559">
        <v>2.9411764705882356E-2</v>
      </c>
      <c r="L589" s="4559">
        <v>3.9215686274509803E-2</v>
      </c>
      <c r="M589" s="4559">
        <v>8.8235294117647065E-2</v>
      </c>
      <c r="N589" s="4559">
        <v>0.10784313725490197</v>
      </c>
      <c r="O589" s="4559">
        <v>0.73529411764705888</v>
      </c>
    </row>
    <row r="590" spans="1:15">
      <c r="A590" s="5819"/>
      <c r="B590" s="5822"/>
      <c r="C590" s="4532" t="s">
        <v>2333</v>
      </c>
      <c r="D590" s="5825"/>
      <c r="E590" s="5123"/>
      <c r="F590" s="4533">
        <v>53</v>
      </c>
      <c r="G590" s="4534">
        <v>31</v>
      </c>
      <c r="H590" s="4462">
        <f t="shared" si="9"/>
        <v>58.490566037735846</v>
      </c>
      <c r="I590" s="4535">
        <v>0.93548387096774188</v>
      </c>
      <c r="J590" s="4535">
        <v>6.4516129032258063E-2</v>
      </c>
      <c r="K590" s="4536">
        <v>6.8965517241379309E-2</v>
      </c>
      <c r="L590" s="4536">
        <v>6.8965517241379309E-2</v>
      </c>
      <c r="M590" s="4536">
        <v>0.17241379310344829</v>
      </c>
      <c r="N590" s="4536">
        <v>0.20689655172413793</v>
      </c>
      <c r="O590" s="4536">
        <v>0.48275862068965514</v>
      </c>
    </row>
    <row r="591" spans="1:15">
      <c r="A591" s="5820"/>
      <c r="B591" s="5823"/>
      <c r="C591" s="4538" t="s">
        <v>310</v>
      </c>
      <c r="D591" s="4565" t="s">
        <v>248</v>
      </c>
      <c r="E591" s="5124"/>
      <c r="F591" s="4539">
        <v>41</v>
      </c>
      <c r="G591" s="4540">
        <v>29</v>
      </c>
      <c r="H591" s="4541">
        <f t="shared" si="9"/>
        <v>70.731707317073173</v>
      </c>
      <c r="I591" s="4542">
        <v>0.96551724137931028</v>
      </c>
      <c r="J591" s="4542">
        <v>3.4482758620689655E-2</v>
      </c>
      <c r="K591" s="4545">
        <v>3.5714285714285719E-2</v>
      </c>
      <c r="L591" s="4545">
        <v>7.1428571428571438E-2</v>
      </c>
      <c r="M591" s="4545">
        <v>0.17857142857142858</v>
      </c>
      <c r="N591" s="4545">
        <v>0.25</v>
      </c>
      <c r="O591" s="4545">
        <v>0.4642857142857143</v>
      </c>
    </row>
    <row r="592" spans="1:15" ht="15" customHeight="1">
      <c r="A592" s="5818" t="s">
        <v>59</v>
      </c>
      <c r="B592" s="5821" t="s">
        <v>2434</v>
      </c>
      <c r="C592" s="4525" t="s">
        <v>2496</v>
      </c>
      <c r="D592" s="4566" t="s">
        <v>247</v>
      </c>
      <c r="E592" s="5122"/>
      <c r="F592" s="4526">
        <v>42</v>
      </c>
      <c r="G592" s="4527">
        <v>35</v>
      </c>
      <c r="H592" s="4528">
        <f t="shared" si="9"/>
        <v>83.333333333333329</v>
      </c>
      <c r="I592" s="4529">
        <v>0.62857142857142856</v>
      </c>
      <c r="J592" s="4529">
        <v>0.37142857142857144</v>
      </c>
      <c r="K592" s="4531">
        <v>9.0909090909090912E-2</v>
      </c>
      <c r="L592" s="4531">
        <v>4.5454545454545456E-2</v>
      </c>
      <c r="M592" s="4531">
        <v>0.27272727272727271</v>
      </c>
      <c r="N592" s="4531">
        <v>0.27272727272727271</v>
      </c>
      <c r="O592" s="4531">
        <v>0.31818181818181818</v>
      </c>
    </row>
    <row r="593" spans="1:16">
      <c r="A593" s="5819"/>
      <c r="B593" s="5823"/>
      <c r="C593" s="4548" t="s">
        <v>670</v>
      </c>
      <c r="D593" s="4567" t="s">
        <v>248</v>
      </c>
      <c r="E593" s="5125"/>
      <c r="F593" s="4549">
        <v>15</v>
      </c>
      <c r="G593" s="4550">
        <v>4</v>
      </c>
      <c r="H593" s="4475">
        <f t="shared" si="9"/>
        <v>26.666666666666668</v>
      </c>
      <c r="I593" s="4551">
        <v>1</v>
      </c>
      <c r="J593" s="4561">
        <v>0</v>
      </c>
      <c r="K593" s="4552">
        <v>0</v>
      </c>
      <c r="L593" s="4552">
        <v>0</v>
      </c>
      <c r="M593" s="4552">
        <v>0</v>
      </c>
      <c r="N593" s="4553">
        <v>0.25</v>
      </c>
      <c r="O593" s="4553">
        <v>0.75</v>
      </c>
    </row>
    <row r="594" spans="1:16" ht="15" customHeight="1">
      <c r="A594" s="5819"/>
      <c r="B594" s="5821" t="s">
        <v>2438</v>
      </c>
      <c r="C594" s="4554" t="s">
        <v>2497</v>
      </c>
      <c r="D594" s="5828" t="s">
        <v>247</v>
      </c>
      <c r="E594" s="5126"/>
      <c r="F594" s="4555">
        <v>23</v>
      </c>
      <c r="G594" s="4556">
        <v>7</v>
      </c>
      <c r="H594" s="4472">
        <f t="shared" si="9"/>
        <v>30.434782608695652</v>
      </c>
      <c r="I594" s="4557">
        <v>0.57142857142857151</v>
      </c>
      <c r="J594" s="4557">
        <v>0.42857142857142855</v>
      </c>
      <c r="K594" s="4559">
        <v>0.25</v>
      </c>
      <c r="L594" s="4559">
        <v>0.25</v>
      </c>
      <c r="M594" s="4559">
        <v>0.5</v>
      </c>
      <c r="N594" s="4558">
        <v>0</v>
      </c>
      <c r="O594" s="4558">
        <v>0</v>
      </c>
    </row>
    <row r="595" spans="1:16">
      <c r="A595" s="5819"/>
      <c r="B595" s="5822"/>
      <c r="C595" s="4532" t="s">
        <v>412</v>
      </c>
      <c r="D595" s="5825"/>
      <c r="E595" s="5123"/>
      <c r="F595" s="4533">
        <v>42</v>
      </c>
      <c r="G595" s="4534">
        <v>14</v>
      </c>
      <c r="H595" s="4462">
        <f t="shared" si="9"/>
        <v>33.333333333333336</v>
      </c>
      <c r="I595" s="4535">
        <v>0.9285714285714286</v>
      </c>
      <c r="J595" s="4535">
        <v>7.1428571428571438E-2</v>
      </c>
      <c r="K595" s="4537">
        <v>0</v>
      </c>
      <c r="L595" s="4537">
        <v>0</v>
      </c>
      <c r="M595" s="4536">
        <v>0.16666666666666669</v>
      </c>
      <c r="N595" s="4536">
        <v>0.5</v>
      </c>
      <c r="O595" s="4536">
        <v>0.33333333333333337</v>
      </c>
    </row>
    <row r="596" spans="1:16">
      <c r="A596" s="5820"/>
      <c r="B596" s="5823"/>
      <c r="C596" s="4548" t="s">
        <v>671</v>
      </c>
      <c r="D596" s="4567" t="s">
        <v>248</v>
      </c>
      <c r="E596" s="5125"/>
      <c r="F596" s="4549">
        <v>2</v>
      </c>
      <c r="G596" s="4550">
        <v>1</v>
      </c>
      <c r="H596" s="4475">
        <f t="shared" si="9"/>
        <v>50</v>
      </c>
      <c r="I596" s="4551">
        <v>1</v>
      </c>
      <c r="J596" s="4561">
        <v>0</v>
      </c>
      <c r="K596" s="4552">
        <v>0</v>
      </c>
      <c r="L596" s="4552">
        <v>0</v>
      </c>
      <c r="M596" s="4552">
        <v>0</v>
      </c>
      <c r="N596" s="4553">
        <v>1</v>
      </c>
      <c r="O596" s="4552">
        <v>0</v>
      </c>
    </row>
    <row r="597" spans="1:16">
      <c r="A597" s="4568"/>
      <c r="B597" s="4568"/>
      <c r="C597" s="4569" t="s">
        <v>15</v>
      </c>
      <c r="D597" s="4570"/>
      <c r="E597" s="5127"/>
      <c r="F597" s="4571">
        <f>SUM(F491:F596)</f>
        <v>12604</v>
      </c>
      <c r="G597" s="4572">
        <f>SUM(G491:G596)</f>
        <v>5905</v>
      </c>
      <c r="H597" s="4573">
        <f t="shared" si="9"/>
        <v>46.850206283719452</v>
      </c>
      <c r="I597" s="4574">
        <v>0.78600000000000003</v>
      </c>
      <c r="J597" s="4574">
        <v>0.214</v>
      </c>
      <c r="K597" s="4574">
        <v>2.8000000000000001E-2</v>
      </c>
      <c r="L597" s="4574">
        <v>3.9E-2</v>
      </c>
      <c r="M597" s="4574">
        <v>0.106</v>
      </c>
      <c r="N597" s="4574">
        <v>0.17399999999999999</v>
      </c>
      <c r="O597" s="4574">
        <v>0.65200000000000002</v>
      </c>
    </row>
    <row r="598" spans="1:16" ht="18">
      <c r="B598" s="104"/>
      <c r="C598" s="104"/>
      <c r="D598" s="104"/>
      <c r="E598" s="104"/>
      <c r="F598" s="104"/>
      <c r="G598" s="104"/>
      <c r="H598" s="98"/>
    </row>
    <row r="599" spans="1:16">
      <c r="A599" s="227"/>
      <c r="B599" s="227"/>
      <c r="C599" s="227"/>
      <c r="D599" s="227"/>
      <c r="E599" s="2908"/>
      <c r="F599" s="227"/>
      <c r="G599" s="227"/>
      <c r="H599" s="227"/>
    </row>
    <row r="600" spans="1:16" ht="17.399999999999999">
      <c r="A600" s="227"/>
      <c r="C600" s="270">
        <v>2016</v>
      </c>
      <c r="D600" s="227"/>
      <c r="E600" s="2908"/>
      <c r="F600" s="227"/>
      <c r="G600" s="227"/>
      <c r="H600" s="227"/>
    </row>
    <row r="601" spans="1:16">
      <c r="A601" s="1797"/>
      <c r="B601" s="1798" t="s">
        <v>2146</v>
      </c>
      <c r="C601" s="1799" t="s">
        <v>2147</v>
      </c>
      <c r="D601" s="1797"/>
      <c r="E601" s="1797"/>
      <c r="F601" s="1797"/>
      <c r="G601" s="1797"/>
      <c r="H601" s="1797"/>
      <c r="I601" s="1800"/>
      <c r="J601" s="1800"/>
      <c r="K601" s="1800"/>
      <c r="L601" s="1797"/>
      <c r="M601" s="1797"/>
      <c r="N601" s="1797"/>
      <c r="O601" s="1797"/>
      <c r="P601" s="1797"/>
    </row>
    <row r="602" spans="1:16">
      <c r="A602" s="1799"/>
      <c r="B602" s="1797"/>
      <c r="C602" s="1799" t="s">
        <v>2148</v>
      </c>
      <c r="D602" s="1797"/>
      <c r="E602" s="1797"/>
      <c r="F602" s="1797"/>
      <c r="G602" s="1797"/>
      <c r="H602" s="1797"/>
      <c r="I602" s="1800"/>
      <c r="J602" s="1800"/>
      <c r="K602" s="1800"/>
      <c r="L602" s="1797"/>
      <c r="M602" s="1797"/>
      <c r="N602" s="1797"/>
      <c r="O602" s="1797"/>
      <c r="P602" s="1797"/>
    </row>
    <row r="603" spans="1:16">
      <c r="A603" s="1799"/>
      <c r="B603" s="1797"/>
      <c r="C603" s="1799"/>
      <c r="D603" s="1797"/>
      <c r="E603" s="1797"/>
      <c r="F603" s="1797"/>
      <c r="G603" s="1797"/>
      <c r="H603" s="1797"/>
      <c r="I603" s="1800"/>
      <c r="J603" s="1800"/>
      <c r="K603" s="1800"/>
      <c r="L603" s="1797"/>
      <c r="M603" s="1797"/>
      <c r="N603" s="1797"/>
      <c r="O603" s="1797"/>
      <c r="P603" s="1797"/>
    </row>
    <row r="604" spans="1:16" ht="15" customHeight="1">
      <c r="A604" s="1797"/>
      <c r="B604" s="5830" t="s">
        <v>2149</v>
      </c>
      <c r="C604" s="5830"/>
      <c r="D604" s="5830"/>
      <c r="E604" s="5830"/>
      <c r="F604" s="5830"/>
      <c r="G604" s="5830"/>
      <c r="H604" s="5830"/>
      <c r="I604" s="5830"/>
      <c r="J604" s="5830"/>
      <c r="K604" s="5830"/>
      <c r="L604" s="5830"/>
      <c r="M604" s="5830"/>
      <c r="N604" s="1797"/>
      <c r="O604" s="1797"/>
      <c r="P604" s="1797"/>
    </row>
    <row r="605" spans="1:16">
      <c r="A605" s="1801"/>
      <c r="B605" s="1821"/>
      <c r="C605" s="1821"/>
      <c r="D605" s="1821"/>
      <c r="E605" s="1821"/>
      <c r="F605" s="1821"/>
      <c r="G605" s="1821"/>
      <c r="H605" s="1797"/>
      <c r="I605" s="1800"/>
      <c r="J605" s="1800"/>
      <c r="K605" s="1800"/>
      <c r="L605" s="1797"/>
      <c r="M605" s="1797"/>
      <c r="N605" s="1797"/>
      <c r="O605" s="1797"/>
      <c r="P605" s="1797"/>
    </row>
    <row r="606" spans="1:16" ht="39.6">
      <c r="A606" s="1802"/>
      <c r="B606" s="1769" t="s">
        <v>2104</v>
      </c>
      <c r="C606" s="1769" t="s">
        <v>2150</v>
      </c>
      <c r="D606" s="1769" t="s">
        <v>2151</v>
      </c>
      <c r="E606" s="5128"/>
      <c r="F606" s="1934"/>
      <c r="G606" s="1769" t="s">
        <v>2152</v>
      </c>
      <c r="H606" s="1803"/>
      <c r="I606" s="1804"/>
      <c r="J606" s="1804"/>
      <c r="K606" s="1804"/>
      <c r="L606" s="1797"/>
      <c r="M606" s="1797"/>
      <c r="N606" s="1797"/>
      <c r="O606" s="1797"/>
      <c r="P606" s="1797"/>
    </row>
    <row r="607" spans="1:16">
      <c r="A607" s="1802"/>
      <c r="B607" s="3105" t="s">
        <v>3</v>
      </c>
      <c r="C607" s="3105">
        <v>2212</v>
      </c>
      <c r="D607" s="3105">
        <v>1018</v>
      </c>
      <c r="E607" s="3105"/>
      <c r="F607" s="3105"/>
      <c r="G607" s="3106">
        <f>D607*100/C607</f>
        <v>46.021699819168177</v>
      </c>
      <c r="H607" s="1803"/>
      <c r="I607" s="1804"/>
      <c r="J607" s="1804"/>
      <c r="K607" s="1804"/>
      <c r="L607" s="1797"/>
      <c r="M607" s="1797"/>
      <c r="N607" s="1797"/>
      <c r="O607" s="1797"/>
      <c r="P607" s="1797"/>
    </row>
    <row r="608" spans="1:16">
      <c r="A608" s="1802"/>
      <c r="B608" s="3107" t="s">
        <v>59</v>
      </c>
      <c r="C608" s="3107">
        <v>82</v>
      </c>
      <c r="D608" s="3107">
        <v>39</v>
      </c>
      <c r="E608" s="3107"/>
      <c r="F608" s="3107"/>
      <c r="G608" s="3108">
        <f>D608*100/C608</f>
        <v>47.560975609756099</v>
      </c>
      <c r="H608" s="1803"/>
      <c r="I608" s="1804"/>
      <c r="J608" s="1804"/>
      <c r="K608" s="1804"/>
      <c r="L608" s="1797"/>
      <c r="M608" s="1797"/>
      <c r="N608" s="1797"/>
      <c r="O608" s="1797"/>
      <c r="P608" s="1797"/>
    </row>
    <row r="609" spans="1:16">
      <c r="A609" s="1802"/>
      <c r="B609" s="3107" t="s">
        <v>25</v>
      </c>
      <c r="C609" s="3107">
        <v>5979</v>
      </c>
      <c r="D609" s="3107">
        <v>2822</v>
      </c>
      <c r="E609" s="3107"/>
      <c r="F609" s="3107"/>
      <c r="G609" s="3108">
        <f>D609*100/C609</f>
        <v>47.198528181970232</v>
      </c>
      <c r="H609" s="1797"/>
      <c r="I609" s="1800"/>
      <c r="J609" s="1800"/>
      <c r="K609" s="1800"/>
      <c r="L609" s="1797"/>
      <c r="M609" s="1797"/>
      <c r="N609" s="1797"/>
      <c r="O609" s="1797"/>
      <c r="P609" s="1797"/>
    </row>
    <row r="610" spans="1:16">
      <c r="A610" s="1805"/>
      <c r="B610" s="3109" t="s">
        <v>48</v>
      </c>
      <c r="C610" s="3109">
        <v>3644</v>
      </c>
      <c r="D610" s="3109">
        <v>1475</v>
      </c>
      <c r="E610" s="3109"/>
      <c r="F610" s="3109"/>
      <c r="G610" s="3110">
        <f>D610*100/C610</f>
        <v>40.477497255762898</v>
      </c>
      <c r="H610" s="1797"/>
      <c r="I610" s="1800"/>
      <c r="J610" s="1800"/>
      <c r="K610" s="1800"/>
      <c r="L610" s="1797"/>
      <c r="M610" s="1797"/>
      <c r="N610" s="1797"/>
      <c r="O610" s="1797"/>
      <c r="P610" s="1797"/>
    </row>
    <row r="611" spans="1:16">
      <c r="A611" s="1805"/>
      <c r="B611" s="1769" t="s">
        <v>15</v>
      </c>
      <c r="C611" s="1769">
        <v>11917</v>
      </c>
      <c r="D611" s="1769">
        <f>SUM(D607:D610)</f>
        <v>5354</v>
      </c>
      <c r="E611" s="5128"/>
      <c r="F611" s="1934"/>
      <c r="G611" s="1806">
        <f>D611*100/C611</f>
        <v>44.927414617772932</v>
      </c>
      <c r="H611" s="1802"/>
      <c r="I611" s="1807"/>
      <c r="J611" s="1807"/>
      <c r="K611" s="1807"/>
      <c r="L611" s="1797"/>
      <c r="M611" s="1797"/>
      <c r="N611" s="1797"/>
      <c r="O611" s="1797"/>
      <c r="P611" s="1797"/>
    </row>
    <row r="612" spans="1:16">
      <c r="A612" s="1805"/>
      <c r="B612" s="1168"/>
      <c r="C612" s="1786"/>
      <c r="D612" s="1786"/>
      <c r="E612" s="1786"/>
      <c r="F612" s="1786"/>
      <c r="G612" s="1786"/>
      <c r="H612" s="1802"/>
      <c r="I612" s="1807"/>
      <c r="J612" s="1807"/>
      <c r="K612" s="1807"/>
      <c r="L612" s="1797"/>
      <c r="M612" s="1797"/>
      <c r="N612" s="1797"/>
      <c r="O612" s="1797"/>
      <c r="P612" s="1797"/>
    </row>
    <row r="613" spans="1:16">
      <c r="A613" s="1805"/>
      <c r="B613" s="1168"/>
      <c r="C613" s="1786"/>
      <c r="D613" s="1808"/>
      <c r="E613" s="1808"/>
      <c r="F613" s="1808"/>
      <c r="G613" s="1786"/>
      <c r="H613" s="1802"/>
      <c r="I613" s="1807"/>
      <c r="J613" s="1807"/>
      <c r="K613" s="1807"/>
      <c r="L613" s="1797"/>
      <c r="M613" s="1797"/>
      <c r="N613" s="1797"/>
      <c r="O613" s="1797"/>
      <c r="P613" s="1797"/>
    </row>
    <row r="614" spans="1:16" ht="26.4">
      <c r="A614" s="1802"/>
      <c r="B614" s="1823" t="s">
        <v>1036</v>
      </c>
      <c r="C614" s="1769" t="s">
        <v>102</v>
      </c>
      <c r="D614" s="1808"/>
      <c r="E614" s="1808"/>
      <c r="F614" s="1808"/>
      <c r="G614" s="5803" t="s">
        <v>1605</v>
      </c>
      <c r="H614" s="5803"/>
      <c r="I614" s="5803"/>
      <c r="J614" s="5803"/>
      <c r="K614" s="5803"/>
      <c r="L614" s="1797"/>
      <c r="M614" s="1797"/>
      <c r="N614" s="1797"/>
      <c r="O614" s="1797"/>
      <c r="P614" s="1797"/>
    </row>
    <row r="615" spans="1:16">
      <c r="A615" s="1802"/>
      <c r="B615" s="1824" t="s">
        <v>1038</v>
      </c>
      <c r="C615" s="1822">
        <v>79.52</v>
      </c>
      <c r="D615" s="1808"/>
      <c r="E615" s="1808"/>
      <c r="F615" s="1808"/>
      <c r="G615" s="1811" t="s">
        <v>1503</v>
      </c>
      <c r="H615" s="1811" t="s">
        <v>1504</v>
      </c>
      <c r="I615" s="1811" t="s">
        <v>1505</v>
      </c>
      <c r="J615" s="1811" t="s">
        <v>1506</v>
      </c>
      <c r="K615" s="1811" t="s">
        <v>15</v>
      </c>
      <c r="L615" s="1826" t="s">
        <v>2107</v>
      </c>
      <c r="M615" s="1797"/>
      <c r="N615" s="1797"/>
      <c r="O615" s="1797"/>
      <c r="P615" s="1797"/>
    </row>
    <row r="616" spans="1:16">
      <c r="A616" s="1802"/>
      <c r="B616" s="1809" t="s">
        <v>1039</v>
      </c>
      <c r="C616" s="1810">
        <v>20.48</v>
      </c>
      <c r="D616" s="1808"/>
      <c r="E616" s="1808"/>
      <c r="F616" s="1808"/>
      <c r="G616" s="1812">
        <v>2.53E-2</v>
      </c>
      <c r="H616" s="1812">
        <v>7.4899999999999994E-2</v>
      </c>
      <c r="I616" s="1812">
        <v>9.9699999999999997E-2</v>
      </c>
      <c r="J616" s="1812">
        <v>0.1537</v>
      </c>
      <c r="K616" s="1812">
        <v>0.64639999999999997</v>
      </c>
      <c r="L616" s="1813">
        <f>SUM(G616:K616)</f>
        <v>1</v>
      </c>
      <c r="M616" s="1797"/>
      <c r="N616" s="1797"/>
      <c r="O616" s="1797"/>
      <c r="P616" s="1797"/>
    </row>
    <row r="617" spans="1:16">
      <c r="A617" s="1802"/>
      <c r="B617" s="1769" t="s">
        <v>15</v>
      </c>
      <c r="C617" s="1769">
        <f>SUM(C615:C616)</f>
        <v>100</v>
      </c>
      <c r="D617" s="1808"/>
      <c r="E617" s="1808"/>
      <c r="F617" s="1808"/>
      <c r="G617" s="1814"/>
      <c r="H617" s="1803"/>
      <c r="I617" s="1804"/>
      <c r="J617" s="1804"/>
      <c r="K617" s="1804"/>
      <c r="L617" s="1797"/>
      <c r="M617" s="1797"/>
      <c r="N617" s="1797"/>
      <c r="O617" s="1797"/>
      <c r="P617" s="1797"/>
    </row>
    <row r="618" spans="1:16">
      <c r="A618" s="1802"/>
      <c r="B618" s="1802"/>
      <c r="C618" s="1797"/>
      <c r="D618" s="1797"/>
      <c r="E618" s="1797"/>
      <c r="F618" s="1797"/>
      <c r="G618" s="1797"/>
      <c r="H618" s="1797"/>
      <c r="I618" s="1800"/>
      <c r="J618" s="1800"/>
      <c r="K618" s="1800"/>
      <c r="L618" s="1797"/>
      <c r="M618" s="1797"/>
      <c r="N618" s="1797"/>
      <c r="O618" s="1797"/>
      <c r="P618" s="1797"/>
    </row>
    <row r="619" spans="1:16">
      <c r="A619" s="5804" t="s">
        <v>1</v>
      </c>
      <c r="B619" s="5804" t="s">
        <v>2153</v>
      </c>
      <c r="C619" s="5804" t="s">
        <v>2154</v>
      </c>
      <c r="D619" s="5804" t="s">
        <v>1009</v>
      </c>
      <c r="E619" s="5129"/>
      <c r="F619" s="1935"/>
      <c r="G619" s="5805" t="s">
        <v>2150</v>
      </c>
      <c r="H619" s="5805" t="s">
        <v>2151</v>
      </c>
      <c r="I619" s="5807" t="s">
        <v>2152</v>
      </c>
      <c r="J619" s="5835" t="s">
        <v>1501</v>
      </c>
      <c r="K619" s="5835"/>
      <c r="L619" s="5836" t="s">
        <v>1502</v>
      </c>
      <c r="M619" s="5837"/>
      <c r="N619" s="5837"/>
      <c r="O619" s="5837"/>
      <c r="P619" s="5838"/>
    </row>
    <row r="620" spans="1:16">
      <c r="A620" s="5804"/>
      <c r="B620" s="5804"/>
      <c r="C620" s="5804"/>
      <c r="D620" s="5804"/>
      <c r="E620" s="5130"/>
      <c r="F620" s="1936"/>
      <c r="G620" s="5806"/>
      <c r="H620" s="5806"/>
      <c r="I620" s="5808"/>
      <c r="J620" s="4263" t="s">
        <v>267</v>
      </c>
      <c r="K620" s="4263" t="s">
        <v>268</v>
      </c>
      <c r="L620" s="1815" t="s">
        <v>1503</v>
      </c>
      <c r="M620" s="1815" t="s">
        <v>1504</v>
      </c>
      <c r="N620" s="1815" t="s">
        <v>1505</v>
      </c>
      <c r="O620" s="1815" t="s">
        <v>1506</v>
      </c>
      <c r="P620" s="1815" t="s">
        <v>15</v>
      </c>
    </row>
    <row r="621" spans="1:16">
      <c r="A621" s="1816" t="s">
        <v>70</v>
      </c>
      <c r="B621" s="1817"/>
      <c r="C621" s="1817"/>
      <c r="D621" s="1817"/>
      <c r="E621" s="5131"/>
      <c r="F621" s="1937"/>
      <c r="G621" s="1817"/>
      <c r="H621" s="1817"/>
      <c r="I621" s="1817"/>
      <c r="J621" s="1817"/>
      <c r="K621" s="1817"/>
      <c r="L621" s="1818"/>
      <c r="M621" s="1818"/>
      <c r="N621" s="1818"/>
      <c r="O621" s="1818"/>
      <c r="P621" s="1818"/>
    </row>
    <row r="622" spans="1:16">
      <c r="A622" s="5809" t="s">
        <v>4</v>
      </c>
      <c r="B622" s="3111">
        <v>10</v>
      </c>
      <c r="C622" s="3112" t="s">
        <v>1509</v>
      </c>
      <c r="D622" s="3113" t="s">
        <v>2155</v>
      </c>
      <c r="E622" s="3113"/>
      <c r="F622" s="3113"/>
      <c r="G622" s="3111">
        <v>93</v>
      </c>
      <c r="H622" s="3111">
        <v>35</v>
      </c>
      <c r="I622" s="3114">
        <f>H622*100/G622</f>
        <v>37.634408602150536</v>
      </c>
      <c r="J622" s="3115">
        <v>80</v>
      </c>
      <c r="K622" s="3115">
        <v>20</v>
      </c>
      <c r="L622" s="3114">
        <v>0</v>
      </c>
      <c r="M622" s="3114">
        <v>7.4074074074074074</v>
      </c>
      <c r="N622" s="3114">
        <v>3.7037037037037037</v>
      </c>
      <c r="O622" s="3114">
        <v>3.7037037037037037</v>
      </c>
      <c r="P622" s="3114">
        <v>85.18518518518519</v>
      </c>
    </row>
    <row r="623" spans="1:16">
      <c r="A623" s="5809"/>
      <c r="B623" s="3116">
        <v>118</v>
      </c>
      <c r="C623" s="3117" t="s">
        <v>2156</v>
      </c>
      <c r="D623" s="3117" t="s">
        <v>2155</v>
      </c>
      <c r="E623" s="3117"/>
      <c r="F623" s="3117"/>
      <c r="G623" s="3116">
        <v>82</v>
      </c>
      <c r="H623" s="3116">
        <v>62</v>
      </c>
      <c r="I623" s="3118">
        <f t="shared" ref="I623:I660" si="10">H623*100/G623</f>
        <v>75.609756097560975</v>
      </c>
      <c r="J623" s="3119">
        <v>93.442622950819668</v>
      </c>
      <c r="K623" s="3119">
        <v>6.557377049180328</v>
      </c>
      <c r="L623" s="3118">
        <v>1.7857142857142858</v>
      </c>
      <c r="M623" s="3118">
        <v>1.7857142857142858</v>
      </c>
      <c r="N623" s="3118">
        <v>8.9285714285714288</v>
      </c>
      <c r="O623" s="3118">
        <v>12.5</v>
      </c>
      <c r="P623" s="3118">
        <v>75</v>
      </c>
    </row>
    <row r="624" spans="1:16">
      <c r="A624" s="5809"/>
      <c r="B624" s="3116">
        <v>118</v>
      </c>
      <c r="C624" s="3117" t="s">
        <v>2156</v>
      </c>
      <c r="D624" s="3117" t="s">
        <v>1514</v>
      </c>
      <c r="E624" s="3117"/>
      <c r="F624" s="3117"/>
      <c r="G624" s="3116">
        <v>8</v>
      </c>
      <c r="H624" s="3116">
        <v>8</v>
      </c>
      <c r="I624" s="3118">
        <f t="shared" si="10"/>
        <v>100</v>
      </c>
      <c r="J624" s="3119">
        <v>100</v>
      </c>
      <c r="K624" s="3119">
        <v>0</v>
      </c>
      <c r="L624" s="3118">
        <v>0</v>
      </c>
      <c r="M624" s="3118">
        <v>0</v>
      </c>
      <c r="N624" s="3118">
        <v>11.111111111111111</v>
      </c>
      <c r="O624" s="3118">
        <v>22.222222222222221</v>
      </c>
      <c r="P624" s="3118">
        <v>66.666666666666671</v>
      </c>
    </row>
    <row r="625" spans="1:16">
      <c r="A625" s="5809"/>
      <c r="B625" s="3116">
        <v>152</v>
      </c>
      <c r="C625" s="3117" t="s">
        <v>2157</v>
      </c>
      <c r="D625" s="3117" t="s">
        <v>2155</v>
      </c>
      <c r="E625" s="3117"/>
      <c r="F625" s="3117"/>
      <c r="G625" s="3116">
        <v>18</v>
      </c>
      <c r="H625" s="3116">
        <v>10</v>
      </c>
      <c r="I625" s="3118">
        <f t="shared" si="10"/>
        <v>55.555555555555557</v>
      </c>
      <c r="J625" s="3119">
        <v>30</v>
      </c>
      <c r="K625" s="3119">
        <v>70</v>
      </c>
      <c r="L625" s="3118">
        <v>0</v>
      </c>
      <c r="M625" s="3118">
        <v>0</v>
      </c>
      <c r="N625" s="3118">
        <v>33.333333333333336</v>
      </c>
      <c r="O625" s="3118">
        <v>33.333333333333336</v>
      </c>
      <c r="P625" s="3118">
        <v>33.333333333333336</v>
      </c>
    </row>
    <row r="626" spans="1:16">
      <c r="A626" s="5809"/>
      <c r="B626" s="3116">
        <v>152</v>
      </c>
      <c r="C626" s="3117" t="s">
        <v>2157</v>
      </c>
      <c r="D626" s="3117" t="s">
        <v>1514</v>
      </c>
      <c r="E626" s="3117"/>
      <c r="F626" s="3117"/>
      <c r="G626" s="3116">
        <v>0</v>
      </c>
      <c r="H626" s="3116">
        <v>0</v>
      </c>
      <c r="I626" s="3118">
        <v>0</v>
      </c>
      <c r="J626" s="3119">
        <v>0</v>
      </c>
      <c r="K626" s="3119">
        <v>0</v>
      </c>
      <c r="L626" s="3118">
        <v>0</v>
      </c>
      <c r="M626" s="3118">
        <v>0</v>
      </c>
      <c r="N626" s="3118">
        <v>0</v>
      </c>
      <c r="O626" s="3118">
        <v>0</v>
      </c>
      <c r="P626" s="3118">
        <v>0</v>
      </c>
    </row>
    <row r="627" spans="1:16">
      <c r="A627" s="5809"/>
      <c r="B627" s="3116">
        <v>154</v>
      </c>
      <c r="C627" s="3117" t="s">
        <v>2158</v>
      </c>
      <c r="D627" s="3117" t="s">
        <v>2155</v>
      </c>
      <c r="E627" s="3117"/>
      <c r="F627" s="3117"/>
      <c r="G627" s="3116">
        <v>7</v>
      </c>
      <c r="H627" s="3116">
        <v>4</v>
      </c>
      <c r="I627" s="3118">
        <f t="shared" si="10"/>
        <v>57.142857142857146</v>
      </c>
      <c r="J627" s="3119">
        <v>75</v>
      </c>
      <c r="K627" s="3119">
        <v>25</v>
      </c>
      <c r="L627" s="3118">
        <v>0</v>
      </c>
      <c r="M627" s="3118">
        <v>33.333333333333336</v>
      </c>
      <c r="N627" s="3118">
        <v>0</v>
      </c>
      <c r="O627" s="3118">
        <v>0</v>
      </c>
      <c r="P627" s="3118">
        <v>66.666666666666671</v>
      </c>
    </row>
    <row r="628" spans="1:16">
      <c r="A628" s="5809"/>
      <c r="B628" s="3116">
        <v>154</v>
      </c>
      <c r="C628" s="3117" t="s">
        <v>2158</v>
      </c>
      <c r="D628" s="3117" t="s">
        <v>1514</v>
      </c>
      <c r="E628" s="3117"/>
      <c r="F628" s="3117"/>
      <c r="G628" s="3116">
        <v>0</v>
      </c>
      <c r="H628" s="3116">
        <v>0</v>
      </c>
      <c r="I628" s="3118">
        <v>0</v>
      </c>
      <c r="J628" s="3119">
        <v>0</v>
      </c>
      <c r="K628" s="3119">
        <v>0</v>
      </c>
      <c r="L628" s="3118">
        <v>0</v>
      </c>
      <c r="M628" s="3118">
        <v>0</v>
      </c>
      <c r="N628" s="3118">
        <v>0</v>
      </c>
      <c r="O628" s="3118">
        <v>0</v>
      </c>
      <c r="P628" s="3118">
        <v>0</v>
      </c>
    </row>
    <row r="629" spans="1:16">
      <c r="A629" s="5809"/>
      <c r="B629" s="3116">
        <v>105</v>
      </c>
      <c r="C629" s="3117" t="s">
        <v>2159</v>
      </c>
      <c r="D629" s="3117" t="s">
        <v>2160</v>
      </c>
      <c r="E629" s="3117"/>
      <c r="F629" s="3117"/>
      <c r="G629" s="3116">
        <v>4</v>
      </c>
      <c r="H629" s="3116">
        <v>3</v>
      </c>
      <c r="I629" s="3118">
        <f>H629*100/G629</f>
        <v>75</v>
      </c>
      <c r="J629" s="3119">
        <v>100</v>
      </c>
      <c r="K629" s="3119">
        <v>0</v>
      </c>
      <c r="L629" s="3118">
        <v>0</v>
      </c>
      <c r="M629" s="3118">
        <v>0</v>
      </c>
      <c r="N629" s="3118">
        <v>0</v>
      </c>
      <c r="O629" s="3118">
        <v>66.67</v>
      </c>
      <c r="P629" s="3118">
        <v>33.33</v>
      </c>
    </row>
    <row r="630" spans="1:16">
      <c r="A630" s="5809"/>
      <c r="B630" s="3116">
        <v>105</v>
      </c>
      <c r="C630" s="3117" t="s">
        <v>2159</v>
      </c>
      <c r="D630" s="3117" t="s">
        <v>2155</v>
      </c>
      <c r="E630" s="3117"/>
      <c r="F630" s="3117"/>
      <c r="G630" s="3116">
        <v>273</v>
      </c>
      <c r="H630" s="3116">
        <v>176</v>
      </c>
      <c r="I630" s="3118">
        <f t="shared" si="10"/>
        <v>64.468864468864467</v>
      </c>
      <c r="J630" s="3119">
        <v>77.14</v>
      </c>
      <c r="K630" s="3119">
        <v>22.86</v>
      </c>
      <c r="L630" s="3118">
        <v>5.26</v>
      </c>
      <c r="M630" s="3118">
        <v>6.77</v>
      </c>
      <c r="N630" s="3118">
        <v>14.29</v>
      </c>
      <c r="O630" s="3118">
        <v>15.04</v>
      </c>
      <c r="P630" s="3118">
        <v>58.65</v>
      </c>
    </row>
    <row r="631" spans="1:16">
      <c r="A631" s="5809"/>
      <c r="B631" s="3128">
        <v>105</v>
      </c>
      <c r="C631" s="3129" t="s">
        <v>2159</v>
      </c>
      <c r="D631" s="3129" t="s">
        <v>1514</v>
      </c>
      <c r="E631" s="3129"/>
      <c r="F631" s="3129"/>
      <c r="G631" s="3128">
        <v>74</v>
      </c>
      <c r="H631" s="3128">
        <v>25</v>
      </c>
      <c r="I631" s="3130">
        <f t="shared" si="10"/>
        <v>33.783783783783782</v>
      </c>
      <c r="J631" s="3131">
        <v>80</v>
      </c>
      <c r="K631" s="3131">
        <v>20</v>
      </c>
      <c r="L631" s="3130">
        <v>5</v>
      </c>
      <c r="M631" s="3130">
        <v>0</v>
      </c>
      <c r="N631" s="3130">
        <v>15</v>
      </c>
      <c r="O631" s="3130">
        <v>5</v>
      </c>
      <c r="P631" s="3130">
        <v>75</v>
      </c>
    </row>
    <row r="632" spans="1:16">
      <c r="A632" s="5810" t="s">
        <v>16</v>
      </c>
      <c r="B632" s="3132">
        <v>95</v>
      </c>
      <c r="C632" s="3133" t="s">
        <v>2161</v>
      </c>
      <c r="D632" s="3133" t="s">
        <v>2160</v>
      </c>
      <c r="E632" s="3133"/>
      <c r="F632" s="3133"/>
      <c r="G632" s="3132">
        <v>279</v>
      </c>
      <c r="H632" s="3132">
        <v>132</v>
      </c>
      <c r="I632" s="3114">
        <f t="shared" si="10"/>
        <v>47.311827956989248</v>
      </c>
      <c r="J632" s="3115">
        <v>80.303030303030297</v>
      </c>
      <c r="K632" s="3115">
        <v>19.696969696969695</v>
      </c>
      <c r="L632" s="3114">
        <v>3.7735849056603774</v>
      </c>
      <c r="M632" s="3114">
        <v>3.7735849056603774</v>
      </c>
      <c r="N632" s="3114">
        <v>7.5471698113207548</v>
      </c>
      <c r="O632" s="3114">
        <v>20.754716981132077</v>
      </c>
      <c r="P632" s="3114">
        <v>64.15094339622641</v>
      </c>
    </row>
    <row r="633" spans="1:16">
      <c r="A633" s="5811"/>
      <c r="B633" s="3116">
        <v>126</v>
      </c>
      <c r="C633" s="3117" t="s">
        <v>2162</v>
      </c>
      <c r="D633" s="3117" t="s">
        <v>2160</v>
      </c>
      <c r="E633" s="3117"/>
      <c r="F633" s="3117"/>
      <c r="G633" s="3116">
        <v>72</v>
      </c>
      <c r="H633" s="3116">
        <v>52</v>
      </c>
      <c r="I633" s="3118">
        <f t="shared" si="10"/>
        <v>72.222222222222229</v>
      </c>
      <c r="J633" s="3119">
        <v>86.538461538461533</v>
      </c>
      <c r="K633" s="3119">
        <v>13.461538461538462</v>
      </c>
      <c r="L633" s="3118">
        <v>2.2222222222222223</v>
      </c>
      <c r="M633" s="3118">
        <v>6.666666666666667</v>
      </c>
      <c r="N633" s="3118">
        <v>6.666666666666667</v>
      </c>
      <c r="O633" s="3118">
        <v>22.222222222222221</v>
      </c>
      <c r="P633" s="3118">
        <v>62.222222222222221</v>
      </c>
    </row>
    <row r="634" spans="1:16">
      <c r="A634" s="5811"/>
      <c r="B634" s="3116">
        <v>15</v>
      </c>
      <c r="C634" s="3117" t="s">
        <v>2163</v>
      </c>
      <c r="D634" s="3117" t="s">
        <v>2155</v>
      </c>
      <c r="E634" s="3117"/>
      <c r="F634" s="3117"/>
      <c r="G634" s="3116">
        <v>165</v>
      </c>
      <c r="H634" s="3116">
        <v>88</v>
      </c>
      <c r="I634" s="3118">
        <f t="shared" si="10"/>
        <v>53.333333333333336</v>
      </c>
      <c r="J634" s="3119">
        <v>84.090909090909093</v>
      </c>
      <c r="K634" s="3119">
        <v>15.909090909090908</v>
      </c>
      <c r="L634" s="3118">
        <v>2.6666666666666665</v>
      </c>
      <c r="M634" s="3118">
        <v>4</v>
      </c>
      <c r="N634" s="3118">
        <v>21.333333333333332</v>
      </c>
      <c r="O634" s="3118">
        <v>12</v>
      </c>
      <c r="P634" s="3118">
        <v>60</v>
      </c>
    </row>
    <row r="635" spans="1:16">
      <c r="A635" s="5811"/>
      <c r="B635" s="3116">
        <v>16</v>
      </c>
      <c r="C635" s="3117" t="s">
        <v>2164</v>
      </c>
      <c r="D635" s="3117" t="s">
        <v>2155</v>
      </c>
      <c r="E635" s="3117"/>
      <c r="F635" s="3117"/>
      <c r="G635" s="3116">
        <v>145</v>
      </c>
      <c r="H635" s="3116">
        <v>85</v>
      </c>
      <c r="I635" s="3118">
        <f t="shared" si="10"/>
        <v>58.620689655172413</v>
      </c>
      <c r="J635" s="3119">
        <v>75.294117647058826</v>
      </c>
      <c r="K635" s="3119">
        <v>24.705882352941178</v>
      </c>
      <c r="L635" s="3118">
        <v>4.6875</v>
      </c>
      <c r="M635" s="3118">
        <v>6.25</v>
      </c>
      <c r="N635" s="3118">
        <v>14.0625</v>
      </c>
      <c r="O635" s="3118">
        <v>28.125</v>
      </c>
      <c r="P635" s="3118">
        <v>46.875</v>
      </c>
    </row>
    <row r="636" spans="1:16">
      <c r="A636" s="5811"/>
      <c r="B636" s="3116">
        <v>96</v>
      </c>
      <c r="C636" s="3117" t="s">
        <v>1520</v>
      </c>
      <c r="D636" s="3117" t="s">
        <v>2155</v>
      </c>
      <c r="E636" s="3117"/>
      <c r="F636" s="3117"/>
      <c r="G636" s="3116">
        <v>59</v>
      </c>
      <c r="H636" s="3116">
        <v>34</v>
      </c>
      <c r="I636" s="3118">
        <f t="shared" si="10"/>
        <v>57.627118644067799</v>
      </c>
      <c r="J636" s="3119">
        <v>73.529411764705884</v>
      </c>
      <c r="K636" s="3119">
        <v>26.470588235294116</v>
      </c>
      <c r="L636" s="3118">
        <v>0</v>
      </c>
      <c r="M636" s="3118">
        <v>4.166666666666667</v>
      </c>
      <c r="N636" s="3118">
        <v>16.666666666666668</v>
      </c>
      <c r="O636" s="3118">
        <v>12.5</v>
      </c>
      <c r="P636" s="3118">
        <v>66.666666666666671</v>
      </c>
    </row>
    <row r="637" spans="1:16">
      <c r="A637" s="5811"/>
      <c r="B637" s="3116">
        <v>151</v>
      </c>
      <c r="C637" s="3117" t="s">
        <v>2165</v>
      </c>
      <c r="D637" s="3117" t="s">
        <v>2155</v>
      </c>
      <c r="E637" s="3117"/>
      <c r="F637" s="3117"/>
      <c r="G637" s="3116">
        <v>9</v>
      </c>
      <c r="H637" s="3116">
        <v>6</v>
      </c>
      <c r="I637" s="3118">
        <f t="shared" si="10"/>
        <v>66.666666666666671</v>
      </c>
      <c r="J637" s="3119">
        <v>83.333333333333329</v>
      </c>
      <c r="K637" s="3119">
        <v>16.666666666666668</v>
      </c>
      <c r="L637" s="3118">
        <v>0</v>
      </c>
      <c r="M637" s="3118">
        <v>0</v>
      </c>
      <c r="N637" s="3118">
        <v>0</v>
      </c>
      <c r="O637" s="3118">
        <v>20</v>
      </c>
      <c r="P637" s="3118">
        <v>80</v>
      </c>
    </row>
    <row r="638" spans="1:16">
      <c r="A638" s="5811"/>
      <c r="B638" s="3116">
        <v>127</v>
      </c>
      <c r="C638" s="3117" t="s">
        <v>2166</v>
      </c>
      <c r="D638" s="3117" t="s">
        <v>2155</v>
      </c>
      <c r="E638" s="3117"/>
      <c r="F638" s="3117"/>
      <c r="G638" s="3116">
        <v>72</v>
      </c>
      <c r="H638" s="3116">
        <v>30</v>
      </c>
      <c r="I638" s="3118">
        <f t="shared" si="10"/>
        <v>41.666666666666664</v>
      </c>
      <c r="J638" s="3119">
        <v>73.333333333333329</v>
      </c>
      <c r="K638" s="3119">
        <v>26.666666666666668</v>
      </c>
      <c r="L638" s="3118">
        <v>0</v>
      </c>
      <c r="M638" s="3118">
        <v>4.5454545454545459</v>
      </c>
      <c r="N638" s="3118">
        <v>9.0909090909090917</v>
      </c>
      <c r="O638" s="3118">
        <v>40.909090909090907</v>
      </c>
      <c r="P638" s="3118">
        <v>45.454545454545453</v>
      </c>
    </row>
    <row r="639" spans="1:16">
      <c r="A639" s="5811"/>
      <c r="B639" s="3116">
        <v>127</v>
      </c>
      <c r="C639" s="3117" t="s">
        <v>2166</v>
      </c>
      <c r="D639" s="3117" t="s">
        <v>1514</v>
      </c>
      <c r="E639" s="3117"/>
      <c r="F639" s="3117"/>
      <c r="G639" s="3116">
        <v>31</v>
      </c>
      <c r="H639" s="3116">
        <v>8</v>
      </c>
      <c r="I639" s="3118">
        <f t="shared" si="10"/>
        <v>25.806451612903224</v>
      </c>
      <c r="J639" s="3119">
        <v>87.5</v>
      </c>
      <c r="K639" s="3119">
        <v>12.5</v>
      </c>
      <c r="L639" s="3118">
        <v>0</v>
      </c>
      <c r="M639" s="3118">
        <v>0</v>
      </c>
      <c r="N639" s="3118">
        <v>14.285714285714286</v>
      </c>
      <c r="O639" s="3118">
        <v>14.285714285714286</v>
      </c>
      <c r="P639" s="3118">
        <v>71.428571428571431</v>
      </c>
    </row>
    <row r="640" spans="1:16">
      <c r="A640" s="5811"/>
      <c r="B640" s="3116">
        <v>134</v>
      </c>
      <c r="C640" s="3117" t="s">
        <v>2167</v>
      </c>
      <c r="D640" s="3117" t="s">
        <v>2160</v>
      </c>
      <c r="E640" s="3117"/>
      <c r="F640" s="3117"/>
      <c r="G640" s="3116">
        <v>1</v>
      </c>
      <c r="H640" s="3116">
        <v>0</v>
      </c>
      <c r="I640" s="3118">
        <f t="shared" si="10"/>
        <v>0</v>
      </c>
      <c r="J640" s="3119">
        <v>0</v>
      </c>
      <c r="K640" s="3119">
        <v>0</v>
      </c>
      <c r="L640" s="3118">
        <v>0</v>
      </c>
      <c r="M640" s="3118">
        <v>0</v>
      </c>
      <c r="N640" s="3118">
        <v>0</v>
      </c>
      <c r="O640" s="3118">
        <v>0</v>
      </c>
      <c r="P640" s="3118">
        <v>0</v>
      </c>
    </row>
    <row r="641" spans="1:16">
      <c r="A641" s="5811"/>
      <c r="B641" s="3116">
        <v>134</v>
      </c>
      <c r="C641" s="3117" t="s">
        <v>2167</v>
      </c>
      <c r="D641" s="3117" t="s">
        <v>2155</v>
      </c>
      <c r="E641" s="3117"/>
      <c r="F641" s="3117"/>
      <c r="G641" s="3116">
        <v>20</v>
      </c>
      <c r="H641" s="3116">
        <v>11</v>
      </c>
      <c r="I641" s="3118">
        <f t="shared" si="10"/>
        <v>55</v>
      </c>
      <c r="J641" s="3119">
        <v>36.363636363636367</v>
      </c>
      <c r="K641" s="3119">
        <v>63.636363636363633</v>
      </c>
      <c r="L641" s="3118">
        <v>0</v>
      </c>
      <c r="M641" s="3118">
        <v>0</v>
      </c>
      <c r="N641" s="3118">
        <v>0</v>
      </c>
      <c r="O641" s="3118">
        <v>25</v>
      </c>
      <c r="P641" s="3118">
        <v>75</v>
      </c>
    </row>
    <row r="642" spans="1:16">
      <c r="A642" s="5812"/>
      <c r="B642" s="3123">
        <v>134</v>
      </c>
      <c r="C642" s="3124" t="s">
        <v>2167</v>
      </c>
      <c r="D642" s="3124" t="s">
        <v>1514</v>
      </c>
      <c r="E642" s="3124"/>
      <c r="F642" s="3124"/>
      <c r="G642" s="3123">
        <v>21</v>
      </c>
      <c r="H642" s="3123">
        <v>11</v>
      </c>
      <c r="I642" s="3138">
        <f t="shared" si="10"/>
        <v>52.38095238095238</v>
      </c>
      <c r="J642" s="3139">
        <v>81.818181818181813</v>
      </c>
      <c r="K642" s="3139">
        <v>18.181818181818183</v>
      </c>
      <c r="L642" s="3138">
        <v>0</v>
      </c>
      <c r="M642" s="3138">
        <v>0</v>
      </c>
      <c r="N642" s="3138">
        <v>22.222222222222221</v>
      </c>
      <c r="O642" s="3138">
        <v>22.222222222222221</v>
      </c>
      <c r="P642" s="3138">
        <v>55.555555555555557</v>
      </c>
    </row>
    <row r="643" spans="1:16">
      <c r="A643" s="5813" t="s">
        <v>21</v>
      </c>
      <c r="B643" s="3134">
        <v>21</v>
      </c>
      <c r="C643" s="3135" t="s">
        <v>2168</v>
      </c>
      <c r="D643" s="3135" t="s">
        <v>2160</v>
      </c>
      <c r="E643" s="3135"/>
      <c r="F643" s="3135"/>
      <c r="G643" s="3134">
        <v>36</v>
      </c>
      <c r="H643" s="3134">
        <v>16</v>
      </c>
      <c r="I643" s="3136">
        <f t="shared" si="10"/>
        <v>44.444444444444443</v>
      </c>
      <c r="J643" s="3137">
        <v>81.25</v>
      </c>
      <c r="K643" s="3137">
        <v>18.75</v>
      </c>
      <c r="L643" s="3136">
        <v>0</v>
      </c>
      <c r="M643" s="3136">
        <v>0</v>
      </c>
      <c r="N643" s="3136">
        <v>15.384615384615385</v>
      </c>
      <c r="O643" s="3136">
        <v>7.6923076923076925</v>
      </c>
      <c r="P643" s="3136">
        <v>76.92307692307692</v>
      </c>
    </row>
    <row r="644" spans="1:16">
      <c r="A644" s="5813"/>
      <c r="B644" s="3116">
        <v>20</v>
      </c>
      <c r="C644" s="3117" t="s">
        <v>2169</v>
      </c>
      <c r="D644" s="3117" t="s">
        <v>2155</v>
      </c>
      <c r="E644" s="3117"/>
      <c r="F644" s="3117"/>
      <c r="G644" s="3116">
        <v>3</v>
      </c>
      <c r="H644" s="3116">
        <v>0</v>
      </c>
      <c r="I644" s="3118">
        <f t="shared" si="10"/>
        <v>0</v>
      </c>
      <c r="J644" s="3119">
        <v>0</v>
      </c>
      <c r="K644" s="3119">
        <v>0</v>
      </c>
      <c r="L644" s="3118">
        <v>0</v>
      </c>
      <c r="M644" s="3118">
        <v>0</v>
      </c>
      <c r="N644" s="3118">
        <v>0</v>
      </c>
      <c r="O644" s="3118">
        <v>0</v>
      </c>
      <c r="P644" s="3118">
        <v>0</v>
      </c>
    </row>
    <row r="645" spans="1:16">
      <c r="A645" s="5813"/>
      <c r="B645" s="3116">
        <v>97</v>
      </c>
      <c r="C645" s="3117" t="s">
        <v>2170</v>
      </c>
      <c r="D645" s="3117" t="s">
        <v>2171</v>
      </c>
      <c r="E645" s="3117"/>
      <c r="F645" s="3117"/>
      <c r="G645" s="3116">
        <v>652</v>
      </c>
      <c r="H645" s="3116">
        <v>215</v>
      </c>
      <c r="I645" s="3118">
        <f t="shared" si="10"/>
        <v>32.975460122699388</v>
      </c>
      <c r="J645" s="3119">
        <v>86.04651162790698</v>
      </c>
      <c r="K645" s="3119">
        <v>13.953488372093023</v>
      </c>
      <c r="L645" s="3118">
        <v>3.8251366120218577</v>
      </c>
      <c r="M645" s="3118">
        <v>3.8251366120218577</v>
      </c>
      <c r="N645" s="3118">
        <v>10.928961748633879</v>
      </c>
      <c r="O645" s="3118">
        <v>13.66120218579235</v>
      </c>
      <c r="P645" s="3118">
        <v>67.759562841530055</v>
      </c>
    </row>
    <row r="646" spans="1:16">
      <c r="A646" s="5813"/>
      <c r="B646" s="3116">
        <v>164</v>
      </c>
      <c r="C646" s="3117" t="s">
        <v>2172</v>
      </c>
      <c r="D646" s="3117" t="s">
        <v>2160</v>
      </c>
      <c r="E646" s="3117"/>
      <c r="F646" s="3117"/>
      <c r="G646" s="3116">
        <v>10</v>
      </c>
      <c r="H646" s="3116">
        <v>0</v>
      </c>
      <c r="I646" s="3118">
        <f t="shared" si="10"/>
        <v>0</v>
      </c>
      <c r="J646" s="3119">
        <v>0</v>
      </c>
      <c r="K646" s="3119">
        <v>0</v>
      </c>
      <c r="L646" s="3118">
        <v>0</v>
      </c>
      <c r="M646" s="3118">
        <v>0</v>
      </c>
      <c r="N646" s="3118">
        <v>0</v>
      </c>
      <c r="O646" s="3118">
        <v>0</v>
      </c>
      <c r="P646" s="3118">
        <v>0</v>
      </c>
    </row>
    <row r="647" spans="1:16">
      <c r="A647" s="5813"/>
      <c r="B647" s="3116">
        <v>164</v>
      </c>
      <c r="C647" s="3117" t="s">
        <v>2172</v>
      </c>
      <c r="D647" s="3117" t="s">
        <v>2155</v>
      </c>
      <c r="E647" s="3117"/>
      <c r="F647" s="3117"/>
      <c r="G647" s="3116">
        <v>10</v>
      </c>
      <c r="H647" s="3116">
        <v>0</v>
      </c>
      <c r="I647" s="3118">
        <f t="shared" si="10"/>
        <v>0</v>
      </c>
      <c r="J647" s="3119">
        <v>0</v>
      </c>
      <c r="K647" s="3119">
        <v>0</v>
      </c>
      <c r="L647" s="3118">
        <v>0</v>
      </c>
      <c r="M647" s="3118">
        <v>0</v>
      </c>
      <c r="N647" s="3118">
        <v>0</v>
      </c>
      <c r="O647" s="3118">
        <v>0</v>
      </c>
      <c r="P647" s="3118">
        <v>0</v>
      </c>
    </row>
    <row r="648" spans="1:16">
      <c r="A648" s="5813"/>
      <c r="B648" s="3116">
        <v>165</v>
      </c>
      <c r="C648" s="3117" t="s">
        <v>2173</v>
      </c>
      <c r="D648" s="3117" t="s">
        <v>2160</v>
      </c>
      <c r="E648" s="3117"/>
      <c r="F648" s="3117"/>
      <c r="G648" s="3116">
        <v>1</v>
      </c>
      <c r="H648" s="3116">
        <v>0</v>
      </c>
      <c r="I648" s="3118">
        <f t="shared" si="10"/>
        <v>0</v>
      </c>
      <c r="J648" s="3119">
        <v>0</v>
      </c>
      <c r="K648" s="3119">
        <v>0</v>
      </c>
      <c r="L648" s="3118">
        <v>0</v>
      </c>
      <c r="M648" s="3118">
        <v>0</v>
      </c>
      <c r="N648" s="3118">
        <v>0</v>
      </c>
      <c r="O648" s="3118">
        <v>0</v>
      </c>
      <c r="P648" s="3118">
        <v>0</v>
      </c>
    </row>
    <row r="649" spans="1:16">
      <c r="A649" s="5813"/>
      <c r="B649" s="3116">
        <v>165</v>
      </c>
      <c r="C649" s="3117" t="s">
        <v>2173</v>
      </c>
      <c r="D649" s="3117" t="s">
        <v>2155</v>
      </c>
      <c r="E649" s="3117"/>
      <c r="F649" s="3117"/>
      <c r="G649" s="3116">
        <v>10</v>
      </c>
      <c r="H649" s="3116">
        <v>0</v>
      </c>
      <c r="I649" s="3118">
        <f t="shared" si="10"/>
        <v>0</v>
      </c>
      <c r="J649" s="3119">
        <v>0</v>
      </c>
      <c r="K649" s="3119">
        <v>0</v>
      </c>
      <c r="L649" s="3118">
        <v>0</v>
      </c>
      <c r="M649" s="3118">
        <v>0</v>
      </c>
      <c r="N649" s="3118">
        <v>0</v>
      </c>
      <c r="O649" s="3118">
        <v>0</v>
      </c>
      <c r="P649" s="3118">
        <v>0</v>
      </c>
    </row>
    <row r="650" spans="1:16">
      <c r="A650" s="5813"/>
      <c r="B650" s="3116">
        <v>166</v>
      </c>
      <c r="C650" s="3117" t="s">
        <v>2174</v>
      </c>
      <c r="D650" s="3117" t="s">
        <v>2160</v>
      </c>
      <c r="E650" s="3117"/>
      <c r="F650" s="3117"/>
      <c r="G650" s="3116">
        <v>1</v>
      </c>
      <c r="H650" s="3116">
        <v>0</v>
      </c>
      <c r="I650" s="3118">
        <f t="shared" si="10"/>
        <v>0</v>
      </c>
      <c r="J650" s="3119">
        <v>0</v>
      </c>
      <c r="K650" s="3119">
        <v>0</v>
      </c>
      <c r="L650" s="3118">
        <v>0</v>
      </c>
      <c r="M650" s="3118">
        <v>0</v>
      </c>
      <c r="N650" s="3118">
        <v>0</v>
      </c>
      <c r="O650" s="3118">
        <v>0</v>
      </c>
      <c r="P650" s="3118">
        <v>0</v>
      </c>
    </row>
    <row r="651" spans="1:16">
      <c r="A651" s="5813"/>
      <c r="B651" s="3116">
        <v>166</v>
      </c>
      <c r="C651" s="3117" t="s">
        <v>2174</v>
      </c>
      <c r="D651" s="3117" t="s">
        <v>2155</v>
      </c>
      <c r="E651" s="3117"/>
      <c r="F651" s="3117"/>
      <c r="G651" s="3116">
        <v>10</v>
      </c>
      <c r="H651" s="3116">
        <v>5</v>
      </c>
      <c r="I651" s="3118">
        <f t="shared" si="10"/>
        <v>50</v>
      </c>
      <c r="J651" s="3119">
        <v>20</v>
      </c>
      <c r="K651" s="3119">
        <v>80</v>
      </c>
      <c r="L651" s="3118">
        <v>0</v>
      </c>
      <c r="M651" s="3118">
        <v>0</v>
      </c>
      <c r="N651" s="3118">
        <v>100</v>
      </c>
      <c r="O651" s="3118">
        <v>0</v>
      </c>
      <c r="P651" s="3118">
        <v>0</v>
      </c>
    </row>
    <row r="652" spans="1:16">
      <c r="A652" s="5813"/>
      <c r="B652" s="3116">
        <v>166</v>
      </c>
      <c r="C652" s="3117" t="s">
        <v>2174</v>
      </c>
      <c r="D652" s="3117" t="s">
        <v>1514</v>
      </c>
      <c r="E652" s="3117"/>
      <c r="F652" s="3117"/>
      <c r="G652" s="3116">
        <v>5</v>
      </c>
      <c r="H652" s="3116">
        <v>2</v>
      </c>
      <c r="I652" s="3118">
        <f t="shared" si="10"/>
        <v>40</v>
      </c>
      <c r="J652" s="3119">
        <v>100</v>
      </c>
      <c r="K652" s="3119">
        <v>0</v>
      </c>
      <c r="L652" s="3118">
        <v>0</v>
      </c>
      <c r="M652" s="3118">
        <v>50</v>
      </c>
      <c r="N652" s="3118">
        <v>50</v>
      </c>
      <c r="O652" s="3118">
        <v>0</v>
      </c>
      <c r="P652" s="3118">
        <v>0</v>
      </c>
    </row>
    <row r="653" spans="1:16">
      <c r="A653" s="5813"/>
      <c r="B653" s="3116">
        <v>168</v>
      </c>
      <c r="C653" s="3117" t="s">
        <v>2175</v>
      </c>
      <c r="D653" s="3117" t="s">
        <v>2160</v>
      </c>
      <c r="E653" s="3117"/>
      <c r="F653" s="3117"/>
      <c r="G653" s="3116">
        <v>2</v>
      </c>
      <c r="H653" s="3116">
        <v>0</v>
      </c>
      <c r="I653" s="3118">
        <f t="shared" si="10"/>
        <v>0</v>
      </c>
      <c r="J653" s="3119">
        <v>0</v>
      </c>
      <c r="K653" s="3119">
        <v>0</v>
      </c>
      <c r="L653" s="3118">
        <v>0</v>
      </c>
      <c r="M653" s="3118">
        <v>0</v>
      </c>
      <c r="N653" s="3118">
        <v>0</v>
      </c>
      <c r="O653" s="3118">
        <v>0</v>
      </c>
      <c r="P653" s="3118">
        <v>0</v>
      </c>
    </row>
    <row r="654" spans="1:16">
      <c r="A654" s="5813"/>
      <c r="B654" s="3116">
        <v>168</v>
      </c>
      <c r="C654" s="3117" t="s">
        <v>2175</v>
      </c>
      <c r="D654" s="3117" t="s">
        <v>2155</v>
      </c>
      <c r="E654" s="3117"/>
      <c r="F654" s="3117"/>
      <c r="G654" s="3116">
        <v>8</v>
      </c>
      <c r="H654" s="3116">
        <v>0</v>
      </c>
      <c r="I654" s="3118">
        <f t="shared" si="10"/>
        <v>0</v>
      </c>
      <c r="J654" s="3119">
        <v>0</v>
      </c>
      <c r="K654" s="3119">
        <v>0</v>
      </c>
      <c r="L654" s="3118">
        <v>0</v>
      </c>
      <c r="M654" s="3118">
        <v>0</v>
      </c>
      <c r="N654" s="3118">
        <v>0</v>
      </c>
      <c r="O654" s="3118">
        <v>0</v>
      </c>
      <c r="P654" s="3118">
        <v>0</v>
      </c>
    </row>
    <row r="655" spans="1:16">
      <c r="A655" s="5813"/>
      <c r="B655" s="3116">
        <v>168</v>
      </c>
      <c r="C655" s="3117" t="s">
        <v>2175</v>
      </c>
      <c r="D655" s="3117" t="s">
        <v>1514</v>
      </c>
      <c r="E655" s="3117"/>
      <c r="F655" s="3117"/>
      <c r="G655" s="3116">
        <v>2</v>
      </c>
      <c r="H655" s="3116">
        <v>0</v>
      </c>
      <c r="I655" s="3118">
        <f t="shared" si="10"/>
        <v>0</v>
      </c>
      <c r="J655" s="3119">
        <v>0</v>
      </c>
      <c r="K655" s="3119">
        <v>0</v>
      </c>
      <c r="L655" s="3118">
        <v>0</v>
      </c>
      <c r="M655" s="3118">
        <v>0</v>
      </c>
      <c r="N655" s="3118">
        <v>0</v>
      </c>
      <c r="O655" s="3118">
        <v>0</v>
      </c>
      <c r="P655" s="3118">
        <v>0</v>
      </c>
    </row>
    <row r="656" spans="1:16">
      <c r="A656" s="5813"/>
      <c r="B656" s="3116">
        <v>169</v>
      </c>
      <c r="C656" s="3117" t="s">
        <v>2176</v>
      </c>
      <c r="D656" s="3117" t="s">
        <v>2155</v>
      </c>
      <c r="E656" s="3117"/>
      <c r="F656" s="3117"/>
      <c r="G656" s="3116">
        <v>0</v>
      </c>
      <c r="H656" s="3116">
        <v>0</v>
      </c>
      <c r="I656" s="3118">
        <v>0</v>
      </c>
      <c r="J656" s="3119">
        <v>0</v>
      </c>
      <c r="K656" s="3119">
        <v>0</v>
      </c>
      <c r="L656" s="3118">
        <v>0</v>
      </c>
      <c r="M656" s="3118">
        <v>0</v>
      </c>
      <c r="N656" s="3118">
        <v>0</v>
      </c>
      <c r="O656" s="3118">
        <v>0</v>
      </c>
      <c r="P656" s="3118">
        <v>0</v>
      </c>
    </row>
    <row r="657" spans="1:16">
      <c r="A657" s="5813"/>
      <c r="B657" s="3116">
        <v>169</v>
      </c>
      <c r="C657" s="3117" t="s">
        <v>2176</v>
      </c>
      <c r="D657" s="3117" t="s">
        <v>1514</v>
      </c>
      <c r="E657" s="3117"/>
      <c r="F657" s="3117"/>
      <c r="G657" s="3116">
        <v>0</v>
      </c>
      <c r="H657" s="3116">
        <v>0</v>
      </c>
      <c r="I657" s="3118">
        <v>0</v>
      </c>
      <c r="J657" s="3119">
        <v>0</v>
      </c>
      <c r="K657" s="3119">
        <v>0</v>
      </c>
      <c r="L657" s="3118">
        <v>0</v>
      </c>
      <c r="M657" s="3118">
        <v>0</v>
      </c>
      <c r="N657" s="3118">
        <v>0</v>
      </c>
      <c r="O657" s="3118">
        <v>0</v>
      </c>
      <c r="P657" s="3118">
        <v>0</v>
      </c>
    </row>
    <row r="658" spans="1:16">
      <c r="A658" s="5813"/>
      <c r="B658" s="3116">
        <v>167</v>
      </c>
      <c r="C658" s="3117" t="s">
        <v>2177</v>
      </c>
      <c r="D658" s="3117" t="s">
        <v>2160</v>
      </c>
      <c r="E658" s="3117"/>
      <c r="F658" s="3117"/>
      <c r="G658" s="3116">
        <v>7</v>
      </c>
      <c r="H658" s="3116">
        <v>0</v>
      </c>
      <c r="I658" s="3118">
        <f t="shared" si="10"/>
        <v>0</v>
      </c>
      <c r="J658" s="3119">
        <v>0</v>
      </c>
      <c r="K658" s="3119">
        <v>0</v>
      </c>
      <c r="L658" s="3118">
        <v>0</v>
      </c>
      <c r="M658" s="3118">
        <v>0</v>
      </c>
      <c r="N658" s="3118">
        <v>0</v>
      </c>
      <c r="O658" s="3118">
        <v>0</v>
      </c>
      <c r="P658" s="3118">
        <v>0</v>
      </c>
    </row>
    <row r="659" spans="1:16">
      <c r="A659" s="5813"/>
      <c r="B659" s="3116">
        <v>167</v>
      </c>
      <c r="C659" s="3117" t="s">
        <v>2177</v>
      </c>
      <c r="D659" s="3117" t="s">
        <v>2155</v>
      </c>
      <c r="E659" s="3117"/>
      <c r="F659" s="3117"/>
      <c r="G659" s="3116">
        <v>7</v>
      </c>
      <c r="H659" s="3116">
        <v>0</v>
      </c>
      <c r="I659" s="3118">
        <f t="shared" si="10"/>
        <v>0</v>
      </c>
      <c r="J659" s="3119">
        <v>0</v>
      </c>
      <c r="K659" s="3119">
        <v>0</v>
      </c>
      <c r="L659" s="3118">
        <v>0</v>
      </c>
      <c r="M659" s="3118">
        <v>0</v>
      </c>
      <c r="N659" s="3118">
        <v>0</v>
      </c>
      <c r="O659" s="3118">
        <v>0</v>
      </c>
      <c r="P659" s="3118">
        <v>0</v>
      </c>
    </row>
    <row r="660" spans="1:16">
      <c r="A660" s="5813"/>
      <c r="B660" s="3123">
        <v>167</v>
      </c>
      <c r="C660" s="3124" t="s">
        <v>2177</v>
      </c>
      <c r="D660" s="3124" t="s">
        <v>1514</v>
      </c>
      <c r="E660" s="3124"/>
      <c r="F660" s="3124"/>
      <c r="G660" s="3123">
        <v>1</v>
      </c>
      <c r="H660" s="3123">
        <v>0</v>
      </c>
      <c r="I660" s="3138">
        <f t="shared" si="10"/>
        <v>0</v>
      </c>
      <c r="J660" s="3139">
        <v>0</v>
      </c>
      <c r="K660" s="3139">
        <v>0</v>
      </c>
      <c r="L660" s="3138">
        <v>0</v>
      </c>
      <c r="M660" s="3138">
        <v>0</v>
      </c>
      <c r="N660" s="3138">
        <v>0</v>
      </c>
      <c r="O660" s="3138">
        <v>0</v>
      </c>
      <c r="P660" s="3138">
        <v>0</v>
      </c>
    </row>
    <row r="661" spans="1:16">
      <c r="A661" s="1819" t="s">
        <v>72</v>
      </c>
      <c r="B661" s="3141"/>
      <c r="C661" s="3141"/>
      <c r="D661" s="3141"/>
      <c r="E661" s="3141"/>
      <c r="F661" s="3141"/>
      <c r="G661" s="3141"/>
      <c r="H661" s="3141"/>
      <c r="I661" s="3141"/>
      <c r="J661" s="3141"/>
      <c r="K661" s="3141"/>
      <c r="L661" s="3142"/>
      <c r="M661" s="3142"/>
      <c r="N661" s="3142"/>
      <c r="O661" s="3142"/>
      <c r="P661" s="3142"/>
    </row>
    <row r="662" spans="1:16">
      <c r="A662" s="5811"/>
      <c r="B662" s="3132">
        <v>145</v>
      </c>
      <c r="C662" s="3133" t="s">
        <v>1589</v>
      </c>
      <c r="D662" s="3133" t="s">
        <v>2155</v>
      </c>
      <c r="E662" s="3133"/>
      <c r="F662" s="3133"/>
      <c r="G662" s="3132">
        <v>29</v>
      </c>
      <c r="H662" s="3132">
        <v>13</v>
      </c>
      <c r="I662" s="3143">
        <f t="shared" ref="I662:I667" si="11">H662*100/G662</f>
        <v>44.827586206896555</v>
      </c>
      <c r="J662" s="3115">
        <v>46.153846153846153</v>
      </c>
      <c r="K662" s="3115">
        <v>53.846153846153847</v>
      </c>
      <c r="L662" s="3114">
        <v>16.666666666666668</v>
      </c>
      <c r="M662" s="3114">
        <v>0</v>
      </c>
      <c r="N662" s="3114">
        <v>0</v>
      </c>
      <c r="O662" s="3114">
        <v>16.666666666666668</v>
      </c>
      <c r="P662" s="3114">
        <v>66.666666666666671</v>
      </c>
    </row>
    <row r="663" spans="1:16">
      <c r="A663" s="5811"/>
      <c r="B663" s="3116">
        <v>145</v>
      </c>
      <c r="C663" s="3117" t="s">
        <v>1589</v>
      </c>
      <c r="D663" s="3117" t="s">
        <v>1514</v>
      </c>
      <c r="E663" s="3117"/>
      <c r="F663" s="3117"/>
      <c r="G663" s="3116">
        <v>6</v>
      </c>
      <c r="H663" s="3116">
        <v>5</v>
      </c>
      <c r="I663" s="3120">
        <f t="shared" si="11"/>
        <v>83.333333333333329</v>
      </c>
      <c r="J663" s="3119">
        <v>100</v>
      </c>
      <c r="K663" s="3119">
        <v>0</v>
      </c>
      <c r="L663" s="3118">
        <v>0</v>
      </c>
      <c r="M663" s="3118">
        <v>0</v>
      </c>
      <c r="N663" s="3118">
        <v>0</v>
      </c>
      <c r="O663" s="3118">
        <v>25</v>
      </c>
      <c r="P663" s="3118">
        <v>75</v>
      </c>
    </row>
    <row r="664" spans="1:16">
      <c r="A664" s="5811"/>
      <c r="B664" s="3116">
        <v>155</v>
      </c>
      <c r="C664" s="3117" t="s">
        <v>2178</v>
      </c>
      <c r="D664" s="3117" t="s">
        <v>2155</v>
      </c>
      <c r="E664" s="3117"/>
      <c r="F664" s="3117"/>
      <c r="G664" s="3116">
        <v>24</v>
      </c>
      <c r="H664" s="3116">
        <v>14</v>
      </c>
      <c r="I664" s="3120">
        <f t="shared" si="11"/>
        <v>58.333333333333336</v>
      </c>
      <c r="J664" s="3119">
        <v>92.857142857142861</v>
      </c>
      <c r="K664" s="3119">
        <v>7.1428571428571432</v>
      </c>
      <c r="L664" s="3118">
        <v>0</v>
      </c>
      <c r="M664" s="3118">
        <v>0</v>
      </c>
      <c r="N664" s="3118">
        <v>16.666666666666668</v>
      </c>
      <c r="O664" s="3118">
        <v>50</v>
      </c>
      <c r="P664" s="3118">
        <v>33.333333333333336</v>
      </c>
    </row>
    <row r="665" spans="1:16">
      <c r="A665" s="5811"/>
      <c r="B665" s="3116">
        <v>153</v>
      </c>
      <c r="C665" s="3117" t="s">
        <v>2179</v>
      </c>
      <c r="D665" s="3117" t="s">
        <v>2160</v>
      </c>
      <c r="E665" s="3117"/>
      <c r="F665" s="3117"/>
      <c r="G665" s="3116">
        <v>8</v>
      </c>
      <c r="H665" s="3116">
        <v>0</v>
      </c>
      <c r="I665" s="3120">
        <f t="shared" si="11"/>
        <v>0</v>
      </c>
      <c r="J665" s="3119">
        <v>0</v>
      </c>
      <c r="K665" s="3119">
        <v>0</v>
      </c>
      <c r="L665" s="3118">
        <v>0</v>
      </c>
      <c r="M665" s="3118">
        <v>0</v>
      </c>
      <c r="N665" s="3118">
        <v>0</v>
      </c>
      <c r="O665" s="3118">
        <v>0</v>
      </c>
      <c r="P665" s="3118">
        <v>0</v>
      </c>
    </row>
    <row r="666" spans="1:16">
      <c r="A666" s="5811"/>
      <c r="B666" s="3116">
        <v>153</v>
      </c>
      <c r="C666" s="3117" t="s">
        <v>2179</v>
      </c>
      <c r="D666" s="3117" t="s">
        <v>2155</v>
      </c>
      <c r="E666" s="3117"/>
      <c r="F666" s="3117"/>
      <c r="G666" s="3116">
        <v>13</v>
      </c>
      <c r="H666" s="3116">
        <v>7</v>
      </c>
      <c r="I666" s="3120">
        <f t="shared" si="11"/>
        <v>53.846153846153847</v>
      </c>
      <c r="J666" s="3119">
        <v>57.142857142857146</v>
      </c>
      <c r="K666" s="3119">
        <v>42.857142857142854</v>
      </c>
      <c r="L666" s="3118">
        <v>25</v>
      </c>
      <c r="M666" s="3118">
        <v>25</v>
      </c>
      <c r="N666" s="3118">
        <v>50</v>
      </c>
      <c r="O666" s="3118">
        <v>0</v>
      </c>
      <c r="P666" s="3118">
        <v>0</v>
      </c>
    </row>
    <row r="667" spans="1:16">
      <c r="A667" s="5812"/>
      <c r="B667" s="3123">
        <v>153</v>
      </c>
      <c r="C667" s="3124" t="s">
        <v>2179</v>
      </c>
      <c r="D667" s="3124" t="s">
        <v>1514</v>
      </c>
      <c r="E667" s="3124"/>
      <c r="F667" s="3124"/>
      <c r="G667" s="3123">
        <v>1</v>
      </c>
      <c r="H667" s="3123">
        <v>0</v>
      </c>
      <c r="I667" s="3127">
        <f t="shared" si="11"/>
        <v>0</v>
      </c>
      <c r="J667" s="3139">
        <v>0</v>
      </c>
      <c r="K667" s="3139">
        <v>0</v>
      </c>
      <c r="L667" s="3138">
        <v>0</v>
      </c>
      <c r="M667" s="3138">
        <v>0</v>
      </c>
      <c r="N667" s="3138">
        <v>0</v>
      </c>
      <c r="O667" s="3138">
        <v>0</v>
      </c>
      <c r="P667" s="3138">
        <v>0</v>
      </c>
    </row>
    <row r="668" spans="1:16">
      <c r="A668" s="1819" t="s">
        <v>73</v>
      </c>
      <c r="B668" s="3141"/>
      <c r="C668" s="3141"/>
      <c r="D668" s="3141"/>
      <c r="E668" s="3141"/>
      <c r="F668" s="3141"/>
      <c r="G668" s="3141"/>
      <c r="H668" s="3141"/>
      <c r="I668" s="3141"/>
      <c r="J668" s="3141"/>
      <c r="K668" s="3141"/>
      <c r="L668" s="3142"/>
      <c r="M668" s="3142"/>
      <c r="N668" s="3142"/>
      <c r="O668" s="3142"/>
      <c r="P668" s="3142"/>
    </row>
    <row r="669" spans="1:16">
      <c r="A669" s="5810" t="s">
        <v>4</v>
      </c>
      <c r="B669" s="3132">
        <v>36</v>
      </c>
      <c r="C669" s="3133" t="s">
        <v>1558</v>
      </c>
      <c r="D669" s="3133" t="s">
        <v>1514</v>
      </c>
      <c r="E669" s="3133"/>
      <c r="F669" s="3133"/>
      <c r="G669" s="3132">
        <v>302</v>
      </c>
      <c r="H669" s="3132">
        <v>180</v>
      </c>
      <c r="I669" s="3143">
        <f>H669*100/G669</f>
        <v>59.602649006622514</v>
      </c>
      <c r="J669" s="3115">
        <v>77.222222222222229</v>
      </c>
      <c r="K669" s="3115">
        <v>22.777777777777779</v>
      </c>
      <c r="L669" s="3114">
        <v>2.9197080291970803</v>
      </c>
      <c r="M669" s="3114">
        <v>5.1094890510948909</v>
      </c>
      <c r="N669" s="3114">
        <v>8.7591240875912408</v>
      </c>
      <c r="O669" s="3114">
        <v>16.788321167883211</v>
      </c>
      <c r="P669" s="3114">
        <v>66.423357664233578</v>
      </c>
    </row>
    <row r="670" spans="1:16">
      <c r="A670" s="5811"/>
      <c r="B670" s="3116">
        <v>111</v>
      </c>
      <c r="C670" s="3117" t="s">
        <v>1549</v>
      </c>
      <c r="D670" s="3117" t="s">
        <v>2155</v>
      </c>
      <c r="E670" s="3117"/>
      <c r="F670" s="3117"/>
      <c r="G670" s="3116">
        <v>52</v>
      </c>
      <c r="H670" s="3116">
        <v>39</v>
      </c>
      <c r="I670" s="3120">
        <f t="shared" ref="I670:I708" si="12">H670*100/G670</f>
        <v>75</v>
      </c>
      <c r="J670" s="3119">
        <v>66.666666666666671</v>
      </c>
      <c r="K670" s="3119">
        <v>33.333333333333336</v>
      </c>
      <c r="L670" s="3118">
        <v>7.6923076923076925</v>
      </c>
      <c r="M670" s="3118">
        <v>7.6923076923076925</v>
      </c>
      <c r="N670" s="3118">
        <v>15.384615384615385</v>
      </c>
      <c r="O670" s="3118">
        <v>15.384615384615385</v>
      </c>
      <c r="P670" s="3118">
        <v>53.846153846153847</v>
      </c>
    </row>
    <row r="671" spans="1:16">
      <c r="A671" s="5811"/>
      <c r="B671" s="3116">
        <v>111</v>
      </c>
      <c r="C671" s="3117" t="s">
        <v>1549</v>
      </c>
      <c r="D671" s="3117" t="s">
        <v>1514</v>
      </c>
      <c r="E671" s="3117"/>
      <c r="F671" s="3117"/>
      <c r="G671" s="3116">
        <v>43</v>
      </c>
      <c r="H671" s="3116">
        <v>0</v>
      </c>
      <c r="I671" s="3120">
        <f t="shared" si="12"/>
        <v>0</v>
      </c>
      <c r="J671" s="3119">
        <v>0</v>
      </c>
      <c r="K671" s="3119">
        <v>0</v>
      </c>
      <c r="L671" s="3118">
        <v>0</v>
      </c>
      <c r="M671" s="3118">
        <v>0</v>
      </c>
      <c r="N671" s="3118">
        <v>0</v>
      </c>
      <c r="O671" s="3118">
        <v>0</v>
      </c>
      <c r="P671" s="3118">
        <v>0</v>
      </c>
    </row>
    <row r="672" spans="1:16">
      <c r="A672" s="5811"/>
      <c r="B672" s="3116">
        <v>112</v>
      </c>
      <c r="C672" s="3117" t="s">
        <v>1550</v>
      </c>
      <c r="D672" s="3117" t="s">
        <v>2160</v>
      </c>
      <c r="E672" s="3117"/>
      <c r="F672" s="3117"/>
      <c r="G672" s="3116">
        <v>3</v>
      </c>
      <c r="H672" s="3116">
        <v>3</v>
      </c>
      <c r="I672" s="3120">
        <f t="shared" si="12"/>
        <v>100</v>
      </c>
      <c r="J672" s="3119">
        <v>66.666666666666671</v>
      </c>
      <c r="K672" s="3119">
        <v>33.333333333333336</v>
      </c>
      <c r="L672" s="3118">
        <v>0</v>
      </c>
      <c r="M672" s="3118">
        <v>0</v>
      </c>
      <c r="N672" s="3118">
        <v>0</v>
      </c>
      <c r="O672" s="3118">
        <v>0</v>
      </c>
      <c r="P672" s="3118">
        <v>100</v>
      </c>
    </row>
    <row r="673" spans="1:16">
      <c r="A673" s="5811"/>
      <c r="B673" s="3116">
        <v>112</v>
      </c>
      <c r="C673" s="3117" t="s">
        <v>1550</v>
      </c>
      <c r="D673" s="3117" t="s">
        <v>2155</v>
      </c>
      <c r="E673" s="3117"/>
      <c r="F673" s="3117"/>
      <c r="G673" s="3116">
        <v>160</v>
      </c>
      <c r="H673" s="3116">
        <v>106</v>
      </c>
      <c r="I673" s="3120">
        <f t="shared" si="12"/>
        <v>66.25</v>
      </c>
      <c r="J673" s="3119">
        <v>81.132075471698116</v>
      </c>
      <c r="K673" s="3119">
        <v>18.867924528301888</v>
      </c>
      <c r="L673" s="3118">
        <v>2.2988505747126435</v>
      </c>
      <c r="M673" s="3118">
        <v>2.2988505747126435</v>
      </c>
      <c r="N673" s="3118">
        <v>12.64367816091954</v>
      </c>
      <c r="O673" s="3118">
        <v>19.540229885057471</v>
      </c>
      <c r="P673" s="3118">
        <v>63.218390804597703</v>
      </c>
    </row>
    <row r="674" spans="1:16">
      <c r="A674" s="5811"/>
      <c r="B674" s="3116">
        <v>112</v>
      </c>
      <c r="C674" s="3117" t="s">
        <v>1550</v>
      </c>
      <c r="D674" s="3117" t="s">
        <v>1514</v>
      </c>
      <c r="E674" s="3117"/>
      <c r="F674" s="3117"/>
      <c r="G674" s="3116">
        <v>43</v>
      </c>
      <c r="H674" s="3116">
        <v>9</v>
      </c>
      <c r="I674" s="3120">
        <f t="shared" si="12"/>
        <v>20.930232558139537</v>
      </c>
      <c r="J674" s="3119">
        <v>77.777777777777771</v>
      </c>
      <c r="K674" s="3119">
        <v>22.222222222222221</v>
      </c>
      <c r="L674" s="3118">
        <v>0</v>
      </c>
      <c r="M674" s="3118">
        <v>16.666666666666668</v>
      </c>
      <c r="N674" s="3118">
        <v>0</v>
      </c>
      <c r="O674" s="3118">
        <v>16.666666666666668</v>
      </c>
      <c r="P674" s="3118">
        <v>66.666666666666671</v>
      </c>
    </row>
    <row r="675" spans="1:16">
      <c r="A675" s="5811"/>
      <c r="B675" s="3116">
        <v>113</v>
      </c>
      <c r="C675" s="3117" t="s">
        <v>1551</v>
      </c>
      <c r="D675" s="3117" t="s">
        <v>2155</v>
      </c>
      <c r="E675" s="3117"/>
      <c r="F675" s="3117"/>
      <c r="G675" s="3116">
        <v>97</v>
      </c>
      <c r="H675" s="3116">
        <v>43</v>
      </c>
      <c r="I675" s="3120">
        <f t="shared" si="12"/>
        <v>44.329896907216494</v>
      </c>
      <c r="J675" s="3119">
        <v>86.04651162790698</v>
      </c>
      <c r="K675" s="3119">
        <v>13.953488372093023</v>
      </c>
      <c r="L675" s="3118">
        <v>5.5555555555555554</v>
      </c>
      <c r="M675" s="3118">
        <v>5.5555555555555554</v>
      </c>
      <c r="N675" s="3118">
        <v>5.5555555555555554</v>
      </c>
      <c r="O675" s="3118">
        <v>19.444444444444443</v>
      </c>
      <c r="P675" s="3118">
        <v>63.888888888888886</v>
      </c>
    </row>
    <row r="676" spans="1:16">
      <c r="A676" s="5811"/>
      <c r="B676" s="3116">
        <v>113</v>
      </c>
      <c r="C676" s="3117" t="s">
        <v>1551</v>
      </c>
      <c r="D676" s="3117" t="s">
        <v>1514</v>
      </c>
      <c r="E676" s="3117"/>
      <c r="F676" s="3117"/>
      <c r="G676" s="3116">
        <v>129</v>
      </c>
      <c r="H676" s="3116">
        <v>97</v>
      </c>
      <c r="I676" s="3120">
        <f t="shared" si="12"/>
        <v>75.193798449612402</v>
      </c>
      <c r="J676" s="3119">
        <v>78.350515463917532</v>
      </c>
      <c r="K676" s="3119">
        <v>21.649484536082475</v>
      </c>
      <c r="L676" s="3118">
        <v>1.2195121951219512</v>
      </c>
      <c r="M676" s="3118">
        <v>0</v>
      </c>
      <c r="N676" s="3118">
        <v>2.4390243902439024</v>
      </c>
      <c r="O676" s="3118">
        <v>28.048780487804876</v>
      </c>
      <c r="P676" s="3118">
        <v>68.292682926829272</v>
      </c>
    </row>
    <row r="677" spans="1:16">
      <c r="A677" s="5811"/>
      <c r="B677" s="3116">
        <v>114</v>
      </c>
      <c r="C677" s="3117" t="s">
        <v>2180</v>
      </c>
      <c r="D677" s="3117" t="s">
        <v>2155</v>
      </c>
      <c r="E677" s="3117"/>
      <c r="F677" s="3117"/>
      <c r="G677" s="3116">
        <v>159</v>
      </c>
      <c r="H677" s="3116">
        <v>76</v>
      </c>
      <c r="I677" s="3120">
        <f t="shared" si="12"/>
        <v>47.79874213836478</v>
      </c>
      <c r="J677" s="3119">
        <v>63.157894736842103</v>
      </c>
      <c r="K677" s="3119">
        <v>36.842105263157897</v>
      </c>
      <c r="L677" s="3118">
        <v>2.0833333333333335</v>
      </c>
      <c r="M677" s="3118">
        <v>8.3333333333333339</v>
      </c>
      <c r="N677" s="3118">
        <v>12.5</v>
      </c>
      <c r="O677" s="3118">
        <v>20.833333333333332</v>
      </c>
      <c r="P677" s="3118">
        <v>56.25</v>
      </c>
    </row>
    <row r="678" spans="1:16">
      <c r="A678" s="5811"/>
      <c r="B678" s="3116">
        <v>114</v>
      </c>
      <c r="C678" s="3117" t="s">
        <v>2180</v>
      </c>
      <c r="D678" s="3117" t="s">
        <v>1514</v>
      </c>
      <c r="E678" s="3117"/>
      <c r="F678" s="3117"/>
      <c r="G678" s="3116">
        <v>64</v>
      </c>
      <c r="H678" s="3116">
        <v>32</v>
      </c>
      <c r="I678" s="3120">
        <f t="shared" si="12"/>
        <v>50</v>
      </c>
      <c r="J678" s="3119">
        <v>87.5</v>
      </c>
      <c r="K678" s="3119">
        <v>12.5</v>
      </c>
      <c r="L678" s="3118">
        <v>0</v>
      </c>
      <c r="M678" s="3118">
        <v>3.5714285714285716</v>
      </c>
      <c r="N678" s="3118">
        <v>7.1428571428571432</v>
      </c>
      <c r="O678" s="3118">
        <v>10.714285714285714</v>
      </c>
      <c r="P678" s="3118">
        <v>78.571428571428569</v>
      </c>
    </row>
    <row r="679" spans="1:16">
      <c r="A679" s="5811"/>
      <c r="B679" s="3116">
        <v>115</v>
      </c>
      <c r="C679" s="3117" t="s">
        <v>1553</v>
      </c>
      <c r="D679" s="3117" t="s">
        <v>2155</v>
      </c>
      <c r="E679" s="3117"/>
      <c r="F679" s="3117"/>
      <c r="G679" s="3116">
        <v>136</v>
      </c>
      <c r="H679" s="3116">
        <v>71</v>
      </c>
      <c r="I679" s="3120">
        <f t="shared" si="12"/>
        <v>52.205882352941174</v>
      </c>
      <c r="J679" s="3119">
        <v>76.056338028169009</v>
      </c>
      <c r="K679" s="3119">
        <v>23.943661971830984</v>
      </c>
      <c r="L679" s="3118">
        <v>5.4545454545454541</v>
      </c>
      <c r="M679" s="3118">
        <v>7.2727272727272725</v>
      </c>
      <c r="N679" s="3118">
        <v>16.363636363636363</v>
      </c>
      <c r="O679" s="3118">
        <v>12.727272727272727</v>
      </c>
      <c r="P679" s="3118">
        <v>58.18181818181818</v>
      </c>
    </row>
    <row r="680" spans="1:16">
      <c r="A680" s="5811"/>
      <c r="B680" s="3116">
        <v>115</v>
      </c>
      <c r="C680" s="3117" t="s">
        <v>1553</v>
      </c>
      <c r="D680" s="3117" t="s">
        <v>1514</v>
      </c>
      <c r="E680" s="3117"/>
      <c r="F680" s="3117"/>
      <c r="G680" s="3116">
        <v>25</v>
      </c>
      <c r="H680" s="3116">
        <v>5</v>
      </c>
      <c r="I680" s="3120">
        <f t="shared" si="12"/>
        <v>20</v>
      </c>
      <c r="J680" s="3119">
        <v>100</v>
      </c>
      <c r="K680" s="3119">
        <v>0</v>
      </c>
      <c r="L680" s="3118">
        <v>0</v>
      </c>
      <c r="M680" s="3118">
        <v>0</v>
      </c>
      <c r="N680" s="3118">
        <v>0</v>
      </c>
      <c r="O680" s="3118">
        <v>20</v>
      </c>
      <c r="P680" s="3118">
        <v>80</v>
      </c>
    </row>
    <row r="681" spans="1:16">
      <c r="A681" s="5811"/>
      <c r="B681" s="3116">
        <v>143</v>
      </c>
      <c r="C681" s="3117" t="s">
        <v>1557</v>
      </c>
      <c r="D681" s="3117" t="s">
        <v>2155</v>
      </c>
      <c r="E681" s="3117"/>
      <c r="F681" s="3117"/>
      <c r="G681" s="3116">
        <v>56</v>
      </c>
      <c r="H681" s="3116">
        <v>45</v>
      </c>
      <c r="I681" s="3120">
        <f>H681*100/G681</f>
        <v>80.357142857142861</v>
      </c>
      <c r="J681" s="3119">
        <v>66.67</v>
      </c>
      <c r="K681" s="3119">
        <v>33.33</v>
      </c>
      <c r="L681" s="3118">
        <v>0</v>
      </c>
      <c r="M681" s="3118">
        <v>3.45</v>
      </c>
      <c r="N681" s="3118">
        <v>17.239999999999998</v>
      </c>
      <c r="O681" s="3118">
        <v>27.59</v>
      </c>
      <c r="P681" s="3118">
        <v>51.72</v>
      </c>
    </row>
    <row r="682" spans="1:16">
      <c r="A682" s="5811"/>
      <c r="B682" s="3116">
        <v>143</v>
      </c>
      <c r="C682" s="3117" t="s">
        <v>1557</v>
      </c>
      <c r="D682" s="3117" t="s">
        <v>1514</v>
      </c>
      <c r="E682" s="3117"/>
      <c r="F682" s="3117"/>
      <c r="G682" s="3116">
        <v>2</v>
      </c>
      <c r="H682" s="3116">
        <v>1</v>
      </c>
      <c r="I682" s="3120">
        <f t="shared" si="12"/>
        <v>50</v>
      </c>
      <c r="J682" s="3119">
        <v>100</v>
      </c>
      <c r="K682" s="3119">
        <v>0</v>
      </c>
      <c r="L682" s="3118">
        <v>0</v>
      </c>
      <c r="M682" s="3118">
        <v>0</v>
      </c>
      <c r="N682" s="3118">
        <v>0</v>
      </c>
      <c r="O682" s="3118">
        <v>0</v>
      </c>
      <c r="P682" s="3118">
        <v>100</v>
      </c>
    </row>
    <row r="683" spans="1:16">
      <c r="A683" s="5811"/>
      <c r="B683" s="3116">
        <v>157</v>
      </c>
      <c r="C683" s="3117" t="s">
        <v>2181</v>
      </c>
      <c r="D683" s="3117" t="s">
        <v>2155</v>
      </c>
      <c r="E683" s="3117"/>
      <c r="F683" s="3117"/>
      <c r="G683" s="3116">
        <v>10</v>
      </c>
      <c r="H683" s="3116">
        <v>8</v>
      </c>
      <c r="I683" s="3120">
        <f t="shared" si="12"/>
        <v>80</v>
      </c>
      <c r="J683" s="3119">
        <v>62.5</v>
      </c>
      <c r="K683" s="3119">
        <v>37.5</v>
      </c>
      <c r="L683" s="3118">
        <v>0</v>
      </c>
      <c r="M683" s="3118">
        <v>40</v>
      </c>
      <c r="N683" s="3118">
        <v>20</v>
      </c>
      <c r="O683" s="3118">
        <v>0</v>
      </c>
      <c r="P683" s="3118">
        <v>40</v>
      </c>
    </row>
    <row r="684" spans="1:16">
      <c r="A684" s="5812"/>
      <c r="B684" s="3123">
        <v>157</v>
      </c>
      <c r="C684" s="3124" t="s">
        <v>2181</v>
      </c>
      <c r="D684" s="3124" t="s">
        <v>1514</v>
      </c>
      <c r="E684" s="3124"/>
      <c r="F684" s="3124"/>
      <c r="G684" s="3123">
        <v>0</v>
      </c>
      <c r="H684" s="3123">
        <v>0</v>
      </c>
      <c r="I684" s="3127">
        <v>0</v>
      </c>
      <c r="J684" s="3139">
        <v>0</v>
      </c>
      <c r="K684" s="3139">
        <v>0</v>
      </c>
      <c r="L684" s="3138">
        <v>0</v>
      </c>
      <c r="M684" s="3138">
        <v>0</v>
      </c>
      <c r="N684" s="3138">
        <v>0</v>
      </c>
      <c r="O684" s="3138">
        <v>0</v>
      </c>
      <c r="P684" s="3138">
        <v>0</v>
      </c>
    </row>
    <row r="685" spans="1:16">
      <c r="A685" s="5813" t="s">
        <v>16</v>
      </c>
      <c r="B685" s="3134">
        <v>47</v>
      </c>
      <c r="C685" s="3135" t="s">
        <v>2182</v>
      </c>
      <c r="D685" s="3135" t="s">
        <v>2155</v>
      </c>
      <c r="E685" s="3135"/>
      <c r="F685" s="3135"/>
      <c r="G685" s="3134">
        <v>80</v>
      </c>
      <c r="H685" s="3134">
        <v>22</v>
      </c>
      <c r="I685" s="3144">
        <f t="shared" si="12"/>
        <v>27.5</v>
      </c>
      <c r="J685" s="3137">
        <v>72.727272727272734</v>
      </c>
      <c r="K685" s="3137">
        <v>27.272727272727273</v>
      </c>
      <c r="L685" s="3136">
        <v>0</v>
      </c>
      <c r="M685" s="3136">
        <v>6.25</v>
      </c>
      <c r="N685" s="3136">
        <v>12.5</v>
      </c>
      <c r="O685" s="3136">
        <v>0</v>
      </c>
      <c r="P685" s="3136">
        <v>81.25</v>
      </c>
    </row>
    <row r="686" spans="1:16">
      <c r="A686" s="5813"/>
      <c r="B686" s="3116">
        <v>48</v>
      </c>
      <c r="C686" s="3117" t="s">
        <v>2183</v>
      </c>
      <c r="D686" s="3117" t="s">
        <v>2155</v>
      </c>
      <c r="E686" s="3117"/>
      <c r="F686" s="3117"/>
      <c r="G686" s="3116">
        <v>53</v>
      </c>
      <c r="H686" s="3116">
        <v>18</v>
      </c>
      <c r="I686" s="3120">
        <f t="shared" si="12"/>
        <v>33.962264150943398</v>
      </c>
      <c r="J686" s="3119">
        <v>88.888888888888886</v>
      </c>
      <c r="K686" s="3119">
        <v>11.111111111111111</v>
      </c>
      <c r="L686" s="3118">
        <v>0</v>
      </c>
      <c r="M686" s="3118">
        <v>0</v>
      </c>
      <c r="N686" s="3118">
        <v>18.75</v>
      </c>
      <c r="O686" s="3118">
        <v>6.25</v>
      </c>
      <c r="P686" s="3118">
        <v>75</v>
      </c>
    </row>
    <row r="687" spans="1:16">
      <c r="A687" s="5813"/>
      <c r="B687" s="3116">
        <v>49</v>
      </c>
      <c r="C687" s="3117" t="s">
        <v>1540</v>
      </c>
      <c r="D687" s="3117" t="s">
        <v>2155</v>
      </c>
      <c r="E687" s="3117"/>
      <c r="F687" s="3117"/>
      <c r="G687" s="3116">
        <v>38</v>
      </c>
      <c r="H687" s="3116">
        <v>10</v>
      </c>
      <c r="I687" s="3120">
        <f t="shared" si="12"/>
        <v>26.315789473684209</v>
      </c>
      <c r="J687" s="3119">
        <v>90</v>
      </c>
      <c r="K687" s="3119">
        <v>10</v>
      </c>
      <c r="L687" s="3118">
        <v>11.111111111111111</v>
      </c>
      <c r="M687" s="3118">
        <v>0</v>
      </c>
      <c r="N687" s="3118">
        <v>22.222222222222221</v>
      </c>
      <c r="O687" s="3118">
        <v>0</v>
      </c>
      <c r="P687" s="3118">
        <v>66.666666666666671</v>
      </c>
    </row>
    <row r="688" spans="1:16">
      <c r="A688" s="5813"/>
      <c r="B688" s="3116">
        <v>50</v>
      </c>
      <c r="C688" s="3117" t="s">
        <v>2184</v>
      </c>
      <c r="D688" s="3117" t="s">
        <v>1514</v>
      </c>
      <c r="E688" s="3117"/>
      <c r="F688" s="3117"/>
      <c r="G688" s="3116">
        <v>19</v>
      </c>
      <c r="H688" s="3116">
        <v>4</v>
      </c>
      <c r="I688" s="3120">
        <f t="shared" si="12"/>
        <v>21.05263157894737</v>
      </c>
      <c r="J688" s="3119">
        <v>25</v>
      </c>
      <c r="K688" s="3119">
        <v>75</v>
      </c>
      <c r="L688" s="3118">
        <v>0</v>
      </c>
      <c r="M688" s="3118">
        <v>0</v>
      </c>
      <c r="N688" s="3118">
        <v>100</v>
      </c>
      <c r="O688" s="3118">
        <v>0</v>
      </c>
      <c r="P688" s="3118">
        <v>0</v>
      </c>
    </row>
    <row r="689" spans="1:16">
      <c r="A689" s="5813"/>
      <c r="B689" s="3116">
        <v>98</v>
      </c>
      <c r="C689" s="3117" t="s">
        <v>2185</v>
      </c>
      <c r="D689" s="3117" t="s">
        <v>2155</v>
      </c>
      <c r="E689" s="3117"/>
      <c r="F689" s="3117"/>
      <c r="G689" s="3116">
        <v>135</v>
      </c>
      <c r="H689" s="3116">
        <v>63</v>
      </c>
      <c r="I689" s="3120">
        <f t="shared" si="12"/>
        <v>46.666666666666664</v>
      </c>
      <c r="J689" s="3119">
        <v>82.539682539682545</v>
      </c>
      <c r="K689" s="3119">
        <v>17.460317460317459</v>
      </c>
      <c r="L689" s="3118">
        <v>1.8867924528301887</v>
      </c>
      <c r="M689" s="3118">
        <v>0</v>
      </c>
      <c r="N689" s="3118">
        <v>7.5471698113207548</v>
      </c>
      <c r="O689" s="3118">
        <v>13.20754716981132</v>
      </c>
      <c r="P689" s="3118">
        <v>77.35849056603773</v>
      </c>
    </row>
    <row r="690" spans="1:16">
      <c r="A690" s="5813"/>
      <c r="B690" s="3116">
        <v>98</v>
      </c>
      <c r="C690" s="3117" t="s">
        <v>2185</v>
      </c>
      <c r="D690" s="3117" t="s">
        <v>1514</v>
      </c>
      <c r="E690" s="3117"/>
      <c r="F690" s="3117"/>
      <c r="G690" s="3116">
        <v>208</v>
      </c>
      <c r="H690" s="3116">
        <v>68</v>
      </c>
      <c r="I690" s="3120">
        <f t="shared" si="12"/>
        <v>32.692307692307693</v>
      </c>
      <c r="J690" s="3119">
        <v>85.294117647058826</v>
      </c>
      <c r="K690" s="3119">
        <v>14.705882352941176</v>
      </c>
      <c r="L690" s="3118">
        <v>3.5087719298245612</v>
      </c>
      <c r="M690" s="3118">
        <v>0</v>
      </c>
      <c r="N690" s="3118">
        <v>8.7719298245614041</v>
      </c>
      <c r="O690" s="3118">
        <v>10.526315789473685</v>
      </c>
      <c r="P690" s="3118">
        <v>77.192982456140356</v>
      </c>
    </row>
    <row r="691" spans="1:16">
      <c r="A691" s="5813"/>
      <c r="B691" s="3116">
        <v>99</v>
      </c>
      <c r="C691" s="3117" t="s">
        <v>2186</v>
      </c>
      <c r="D691" s="3117" t="s">
        <v>2155</v>
      </c>
      <c r="E691" s="3117"/>
      <c r="F691" s="3117"/>
      <c r="G691" s="3116">
        <v>347</v>
      </c>
      <c r="H691" s="3116">
        <v>162</v>
      </c>
      <c r="I691" s="3120">
        <f t="shared" si="12"/>
        <v>46.685878962536023</v>
      </c>
      <c r="J691" s="3119">
        <v>63.125</v>
      </c>
      <c r="K691" s="3119">
        <v>36.875</v>
      </c>
      <c r="L691" s="3118">
        <v>1.0101010101010102</v>
      </c>
      <c r="M691" s="3118">
        <v>11.111111111111111</v>
      </c>
      <c r="N691" s="3118">
        <v>13.131313131313131</v>
      </c>
      <c r="O691" s="3118">
        <v>31.313131313131311</v>
      </c>
      <c r="P691" s="3118">
        <v>43.434343434343432</v>
      </c>
    </row>
    <row r="692" spans="1:16">
      <c r="A692" s="5813"/>
      <c r="B692" s="3116">
        <v>99</v>
      </c>
      <c r="C692" s="3117" t="s">
        <v>2186</v>
      </c>
      <c r="D692" s="3117" t="s">
        <v>1514</v>
      </c>
      <c r="E692" s="3117"/>
      <c r="F692" s="3117"/>
      <c r="G692" s="3116">
        <v>188</v>
      </c>
      <c r="H692" s="3116">
        <v>79</v>
      </c>
      <c r="I692" s="3120">
        <f t="shared" si="12"/>
        <v>42.021276595744681</v>
      </c>
      <c r="J692" s="3119">
        <v>88.607594936708864</v>
      </c>
      <c r="K692" s="3119">
        <v>11.39240506329114</v>
      </c>
      <c r="L692" s="3118">
        <v>0</v>
      </c>
      <c r="M692" s="3118">
        <v>2.816901408450704</v>
      </c>
      <c r="N692" s="3118">
        <v>8.4507042253521121</v>
      </c>
      <c r="O692" s="3118">
        <v>18.309859154929576</v>
      </c>
      <c r="P692" s="3118">
        <v>70.422535211267601</v>
      </c>
    </row>
    <row r="693" spans="1:16">
      <c r="A693" s="5813"/>
      <c r="B693" s="3116">
        <v>104</v>
      </c>
      <c r="C693" s="3117" t="s">
        <v>2187</v>
      </c>
      <c r="D693" s="3117" t="s">
        <v>2155</v>
      </c>
      <c r="E693" s="3117"/>
      <c r="F693" s="3117"/>
      <c r="G693" s="3116">
        <v>211</v>
      </c>
      <c r="H693" s="3116">
        <v>96</v>
      </c>
      <c r="I693" s="3120">
        <f t="shared" si="12"/>
        <v>45.497630331753555</v>
      </c>
      <c r="J693" s="3119">
        <v>86.458333333333329</v>
      </c>
      <c r="K693" s="3119">
        <v>13.541666666666666</v>
      </c>
      <c r="L693" s="3118">
        <v>7.4074074074074074</v>
      </c>
      <c r="M693" s="3118">
        <v>3.7037037037037037</v>
      </c>
      <c r="N693" s="3118">
        <v>11.111111111111111</v>
      </c>
      <c r="O693" s="3118">
        <v>9.8765432098765427</v>
      </c>
      <c r="P693" s="3118">
        <v>67.901234567901241</v>
      </c>
    </row>
    <row r="694" spans="1:16">
      <c r="A694" s="5813"/>
      <c r="B694" s="3116">
        <v>104</v>
      </c>
      <c r="C694" s="3117" t="s">
        <v>2187</v>
      </c>
      <c r="D694" s="3117" t="s">
        <v>1514</v>
      </c>
      <c r="E694" s="3117"/>
      <c r="F694" s="3117"/>
      <c r="G694" s="3116">
        <v>123</v>
      </c>
      <c r="H694" s="3116">
        <v>25</v>
      </c>
      <c r="I694" s="3120">
        <f t="shared" si="12"/>
        <v>20.325203252032519</v>
      </c>
      <c r="J694" s="3119">
        <v>88</v>
      </c>
      <c r="K694" s="3119">
        <v>12</v>
      </c>
      <c r="L694" s="3118">
        <v>0</v>
      </c>
      <c r="M694" s="3118">
        <v>4.5454545454545459</v>
      </c>
      <c r="N694" s="3118">
        <v>13.636363636363637</v>
      </c>
      <c r="O694" s="3118">
        <v>9.0909090909090917</v>
      </c>
      <c r="P694" s="3118">
        <v>72.727272727272734</v>
      </c>
    </row>
    <row r="695" spans="1:16">
      <c r="A695" s="5813"/>
      <c r="B695" s="3116">
        <v>110</v>
      </c>
      <c r="C695" s="3117" t="s">
        <v>2188</v>
      </c>
      <c r="D695" s="3117" t="s">
        <v>2155</v>
      </c>
      <c r="E695" s="3117"/>
      <c r="F695" s="3117"/>
      <c r="G695" s="3116">
        <v>113</v>
      </c>
      <c r="H695" s="3116">
        <v>64</v>
      </c>
      <c r="I695" s="3120">
        <f t="shared" si="12"/>
        <v>56.637168141592923</v>
      </c>
      <c r="J695" s="3119">
        <v>31.25</v>
      </c>
      <c r="K695" s="3119">
        <v>68.75</v>
      </c>
      <c r="L695" s="3118">
        <v>0</v>
      </c>
      <c r="M695" s="3118">
        <v>5</v>
      </c>
      <c r="N695" s="3118">
        <v>5</v>
      </c>
      <c r="O695" s="3118">
        <v>20</v>
      </c>
      <c r="P695" s="3118">
        <v>70</v>
      </c>
    </row>
    <row r="696" spans="1:16">
      <c r="A696" s="5813"/>
      <c r="B696" s="3116">
        <v>110</v>
      </c>
      <c r="C696" s="3117" t="s">
        <v>2188</v>
      </c>
      <c r="D696" s="3117" t="s">
        <v>1514</v>
      </c>
      <c r="E696" s="3117"/>
      <c r="F696" s="3117"/>
      <c r="G696" s="3116">
        <v>44</v>
      </c>
      <c r="H696" s="3116">
        <v>9</v>
      </c>
      <c r="I696" s="3120">
        <f t="shared" si="12"/>
        <v>20.454545454545453</v>
      </c>
      <c r="J696" s="3119">
        <v>88.888888888888886</v>
      </c>
      <c r="K696" s="3119">
        <v>11.111111111111111</v>
      </c>
      <c r="L696" s="3118">
        <v>0</v>
      </c>
      <c r="M696" s="3118">
        <v>0</v>
      </c>
      <c r="N696" s="3118">
        <v>12.5</v>
      </c>
      <c r="O696" s="3118">
        <v>25</v>
      </c>
      <c r="P696" s="3118">
        <v>62.5</v>
      </c>
    </row>
    <row r="697" spans="1:16">
      <c r="A697" s="5813"/>
      <c r="B697" s="3116">
        <v>51</v>
      </c>
      <c r="C697" s="3117" t="s">
        <v>2189</v>
      </c>
      <c r="D697" s="3117" t="s">
        <v>2160</v>
      </c>
      <c r="E697" s="3117"/>
      <c r="F697" s="3117"/>
      <c r="G697" s="3116">
        <v>694</v>
      </c>
      <c r="H697" s="3116">
        <v>130</v>
      </c>
      <c r="I697" s="3120">
        <f t="shared" si="12"/>
        <v>18.731988472622479</v>
      </c>
      <c r="J697" s="3119">
        <v>90.769230769230774</v>
      </c>
      <c r="K697" s="3119">
        <v>9.2307692307692299</v>
      </c>
      <c r="L697" s="3118">
        <v>4.2372881355932206</v>
      </c>
      <c r="M697" s="3118">
        <v>4.2372881355932206</v>
      </c>
      <c r="N697" s="3118">
        <v>14.40677966101695</v>
      </c>
      <c r="O697" s="3118">
        <v>11.016949152542374</v>
      </c>
      <c r="P697" s="3118">
        <v>66.101694915254242</v>
      </c>
    </row>
    <row r="698" spans="1:16">
      <c r="A698" s="5813"/>
      <c r="B698" s="3116">
        <v>51</v>
      </c>
      <c r="C698" s="3117" t="s">
        <v>2189</v>
      </c>
      <c r="D698" s="3117" t="s">
        <v>2155</v>
      </c>
      <c r="E698" s="3117"/>
      <c r="F698" s="3117"/>
      <c r="G698" s="3116">
        <v>259</v>
      </c>
      <c r="H698" s="3116">
        <v>199</v>
      </c>
      <c r="I698" s="3120">
        <f t="shared" si="12"/>
        <v>76.833976833976834</v>
      </c>
      <c r="J698" s="3119">
        <v>75.879396984924625</v>
      </c>
      <c r="K698" s="3119">
        <v>24.120603015075378</v>
      </c>
      <c r="L698" s="3118">
        <v>1.3333333333333333</v>
      </c>
      <c r="M698" s="3118">
        <v>1.3333333333333333</v>
      </c>
      <c r="N698" s="3118">
        <v>6.666666666666667</v>
      </c>
      <c r="O698" s="3118">
        <v>24.666666666666668</v>
      </c>
      <c r="P698" s="3118">
        <v>66</v>
      </c>
    </row>
    <row r="699" spans="1:16">
      <c r="A699" s="5813"/>
      <c r="B699" s="3128">
        <v>51</v>
      </c>
      <c r="C699" s="3129" t="s">
        <v>2189</v>
      </c>
      <c r="D699" s="3129" t="s">
        <v>1514</v>
      </c>
      <c r="E699" s="3129"/>
      <c r="F699" s="3129"/>
      <c r="G699" s="3128">
        <v>180</v>
      </c>
      <c r="H699" s="3128">
        <v>123</v>
      </c>
      <c r="I699" s="3145">
        <f t="shared" si="12"/>
        <v>68.333333333333329</v>
      </c>
      <c r="J699" s="3131">
        <v>92.622950819672127</v>
      </c>
      <c r="K699" s="3131">
        <v>7.3770491803278686</v>
      </c>
      <c r="L699" s="3130">
        <v>0</v>
      </c>
      <c r="M699" s="3130">
        <v>0.88495575221238942</v>
      </c>
      <c r="N699" s="3130">
        <v>4.4247787610619467</v>
      </c>
      <c r="O699" s="3130">
        <v>21.238938053097346</v>
      </c>
      <c r="P699" s="3130">
        <v>73.451327433628322</v>
      </c>
    </row>
    <row r="700" spans="1:16">
      <c r="A700" s="5813" t="s">
        <v>41</v>
      </c>
      <c r="B700" s="3132">
        <v>62</v>
      </c>
      <c r="C700" s="3133" t="s">
        <v>2190</v>
      </c>
      <c r="D700" s="3133" t="s">
        <v>2160</v>
      </c>
      <c r="E700" s="3133"/>
      <c r="F700" s="3133"/>
      <c r="G700" s="3132">
        <v>190</v>
      </c>
      <c r="H700" s="3132">
        <v>54</v>
      </c>
      <c r="I700" s="3143">
        <f t="shared" si="12"/>
        <v>28.421052631578949</v>
      </c>
      <c r="J700" s="3115">
        <v>66.666666666666671</v>
      </c>
      <c r="K700" s="3115">
        <v>33.333333333333336</v>
      </c>
      <c r="L700" s="3114">
        <v>8.3333333333333339</v>
      </c>
      <c r="M700" s="3114">
        <v>13.888888888888889</v>
      </c>
      <c r="N700" s="3114">
        <v>8.3333333333333339</v>
      </c>
      <c r="O700" s="3114">
        <v>0</v>
      </c>
      <c r="P700" s="3114">
        <v>69.444444444444443</v>
      </c>
    </row>
    <row r="701" spans="1:16">
      <c r="A701" s="5813"/>
      <c r="B701" s="3116">
        <v>107</v>
      </c>
      <c r="C701" s="3117" t="s">
        <v>2191</v>
      </c>
      <c r="D701" s="3117" t="s">
        <v>2160</v>
      </c>
      <c r="E701" s="3117"/>
      <c r="F701" s="3117"/>
      <c r="G701" s="3116">
        <v>96</v>
      </c>
      <c r="H701" s="3116">
        <v>32</v>
      </c>
      <c r="I701" s="3120">
        <f t="shared" si="12"/>
        <v>33.333333333333336</v>
      </c>
      <c r="J701" s="3119">
        <v>87.5</v>
      </c>
      <c r="K701" s="3119">
        <v>12.5</v>
      </c>
      <c r="L701" s="3118">
        <v>0</v>
      </c>
      <c r="M701" s="3118">
        <v>7.1428571428571432</v>
      </c>
      <c r="N701" s="3118">
        <v>14.285714285714286</v>
      </c>
      <c r="O701" s="3118">
        <v>0</v>
      </c>
      <c r="P701" s="3118">
        <v>78.571428571428569</v>
      </c>
    </row>
    <row r="702" spans="1:16">
      <c r="A702" s="5813"/>
      <c r="B702" s="3116">
        <v>59</v>
      </c>
      <c r="C702" s="3117" t="s">
        <v>2192</v>
      </c>
      <c r="D702" s="3117" t="s">
        <v>2155</v>
      </c>
      <c r="E702" s="3117"/>
      <c r="F702" s="3117"/>
      <c r="G702" s="3116">
        <v>82</v>
      </c>
      <c r="H702" s="3116">
        <v>37</v>
      </c>
      <c r="I702" s="3120">
        <f t="shared" si="12"/>
        <v>45.121951219512198</v>
      </c>
      <c r="J702" s="3119">
        <v>72.972972972972968</v>
      </c>
      <c r="K702" s="3119">
        <v>27.027027027027028</v>
      </c>
      <c r="L702" s="3118">
        <v>3.8461538461538463</v>
      </c>
      <c r="M702" s="3118">
        <v>3.8461538461538463</v>
      </c>
      <c r="N702" s="3118">
        <v>34.615384615384613</v>
      </c>
      <c r="O702" s="3118">
        <v>7.6923076923076925</v>
      </c>
      <c r="P702" s="3118">
        <v>50</v>
      </c>
    </row>
    <row r="703" spans="1:16">
      <c r="A703" s="5813"/>
      <c r="B703" s="3116">
        <v>117</v>
      </c>
      <c r="C703" s="3117" t="s">
        <v>2193</v>
      </c>
      <c r="D703" s="3117" t="s">
        <v>2155</v>
      </c>
      <c r="E703" s="3117"/>
      <c r="F703" s="3117"/>
      <c r="G703" s="3116">
        <v>147</v>
      </c>
      <c r="H703" s="3116">
        <v>65</v>
      </c>
      <c r="I703" s="3120">
        <f t="shared" si="12"/>
        <v>44.217687074829932</v>
      </c>
      <c r="J703" s="3119">
        <v>78.461538461538467</v>
      </c>
      <c r="K703" s="3119">
        <v>21.53846153846154</v>
      </c>
      <c r="L703" s="3118">
        <v>3.9215686274509802</v>
      </c>
      <c r="M703" s="3118">
        <v>7.8431372549019605</v>
      </c>
      <c r="N703" s="3118">
        <v>7.8431372549019605</v>
      </c>
      <c r="O703" s="3118">
        <v>17.647058823529413</v>
      </c>
      <c r="P703" s="3118">
        <v>62.745098039215684</v>
      </c>
    </row>
    <row r="704" spans="1:16">
      <c r="A704" s="5813"/>
      <c r="B704" s="3116">
        <v>146</v>
      </c>
      <c r="C704" s="3117" t="s">
        <v>2194</v>
      </c>
      <c r="D704" s="3117" t="s">
        <v>1514</v>
      </c>
      <c r="E704" s="3117"/>
      <c r="F704" s="3117"/>
      <c r="G704" s="3116">
        <v>115</v>
      </c>
      <c r="H704" s="3116">
        <v>190</v>
      </c>
      <c r="I704" s="3120">
        <f t="shared" si="12"/>
        <v>165.21739130434781</v>
      </c>
      <c r="J704" s="3119">
        <v>97.368421052631575</v>
      </c>
      <c r="K704" s="3119">
        <v>2.6315789473684212</v>
      </c>
      <c r="L704" s="3118">
        <v>0</v>
      </c>
      <c r="M704" s="3118">
        <v>0</v>
      </c>
      <c r="N704" s="3118">
        <v>1.6304347826086956</v>
      </c>
      <c r="O704" s="3118">
        <v>6.5217391304347823</v>
      </c>
      <c r="P704" s="3118">
        <v>91.847826086956516</v>
      </c>
    </row>
    <row r="705" spans="1:16">
      <c r="A705" s="5813"/>
      <c r="B705" s="3116">
        <v>61</v>
      </c>
      <c r="C705" s="3117" t="s">
        <v>1545</v>
      </c>
      <c r="D705" s="3117" t="s">
        <v>2155</v>
      </c>
      <c r="E705" s="3117"/>
      <c r="F705" s="3117"/>
      <c r="G705" s="3116">
        <v>329</v>
      </c>
      <c r="H705" s="3116">
        <v>193</v>
      </c>
      <c r="I705" s="3120">
        <f t="shared" si="12"/>
        <v>58.662613981762917</v>
      </c>
      <c r="J705" s="3119">
        <v>63.212435233160619</v>
      </c>
      <c r="K705" s="3119">
        <v>36.787564766839381</v>
      </c>
      <c r="L705" s="3118">
        <v>2.5423728813559321</v>
      </c>
      <c r="M705" s="3118">
        <v>3.3898305084745761</v>
      </c>
      <c r="N705" s="3118">
        <v>8.4745762711864412</v>
      </c>
      <c r="O705" s="3118">
        <v>11.864406779661017</v>
      </c>
      <c r="P705" s="3118">
        <v>73.728813559322035</v>
      </c>
    </row>
    <row r="706" spans="1:16">
      <c r="A706" s="5813"/>
      <c r="B706" s="3116">
        <v>61</v>
      </c>
      <c r="C706" s="3117" t="s">
        <v>1545</v>
      </c>
      <c r="D706" s="3117" t="s">
        <v>1514</v>
      </c>
      <c r="E706" s="3117"/>
      <c r="F706" s="3117"/>
      <c r="G706" s="3116">
        <v>181</v>
      </c>
      <c r="H706" s="3116">
        <v>63</v>
      </c>
      <c r="I706" s="3120">
        <f t="shared" si="12"/>
        <v>34.806629834254146</v>
      </c>
      <c r="J706" s="3119">
        <v>77.777777777777771</v>
      </c>
      <c r="K706" s="3119">
        <v>22.222222222222221</v>
      </c>
      <c r="L706" s="3118">
        <v>4.0816326530612246</v>
      </c>
      <c r="M706" s="3118">
        <v>4.0816326530612246</v>
      </c>
      <c r="N706" s="3118">
        <v>10.204081632653061</v>
      </c>
      <c r="O706" s="3118">
        <v>14.285714285714286</v>
      </c>
      <c r="P706" s="3118">
        <v>67.34693877551021</v>
      </c>
    </row>
    <row r="707" spans="1:16">
      <c r="A707" s="5813"/>
      <c r="B707" s="3116">
        <v>116</v>
      </c>
      <c r="C707" s="3117" t="s">
        <v>2195</v>
      </c>
      <c r="D707" s="3117" t="s">
        <v>2155</v>
      </c>
      <c r="E707" s="3117"/>
      <c r="F707" s="3117"/>
      <c r="G707" s="3116">
        <v>188</v>
      </c>
      <c r="H707" s="3116">
        <v>108</v>
      </c>
      <c r="I707" s="3120">
        <f t="shared" si="12"/>
        <v>57.446808510638299</v>
      </c>
      <c r="J707" s="3119">
        <v>50.925925925925924</v>
      </c>
      <c r="K707" s="3119">
        <v>49.074074074074076</v>
      </c>
      <c r="L707" s="3118">
        <v>1.8181818181818181</v>
      </c>
      <c r="M707" s="3118">
        <v>10.909090909090908</v>
      </c>
      <c r="N707" s="3118">
        <v>3.6363636363636362</v>
      </c>
      <c r="O707" s="3118">
        <v>10.909090909090908</v>
      </c>
      <c r="P707" s="3118">
        <v>72.727272727272734</v>
      </c>
    </row>
    <row r="708" spans="1:16">
      <c r="A708" s="5813"/>
      <c r="B708" s="3123">
        <v>116</v>
      </c>
      <c r="C708" s="3124" t="s">
        <v>2195</v>
      </c>
      <c r="D708" s="3124" t="s">
        <v>1514</v>
      </c>
      <c r="E708" s="3124"/>
      <c r="F708" s="3124"/>
      <c r="G708" s="3123">
        <v>77</v>
      </c>
      <c r="H708" s="3123">
        <v>54</v>
      </c>
      <c r="I708" s="3127">
        <f t="shared" si="12"/>
        <v>70.129870129870127</v>
      </c>
      <c r="J708" s="3139">
        <v>88.888888888888886</v>
      </c>
      <c r="K708" s="3139">
        <v>11.111111111111111</v>
      </c>
      <c r="L708" s="3138">
        <v>2.1739130434782608</v>
      </c>
      <c r="M708" s="3138">
        <v>0</v>
      </c>
      <c r="N708" s="3138">
        <v>10.869565217391305</v>
      </c>
      <c r="O708" s="3138">
        <v>17.391304347826086</v>
      </c>
      <c r="P708" s="3138">
        <v>69.565217391304344</v>
      </c>
    </row>
    <row r="709" spans="1:16">
      <c r="A709" s="1819" t="s">
        <v>74</v>
      </c>
      <c r="B709" s="3141"/>
      <c r="C709" s="3141"/>
      <c r="D709" s="3141"/>
      <c r="E709" s="3141"/>
      <c r="F709" s="3141"/>
      <c r="G709" s="3141"/>
      <c r="H709" s="3141"/>
      <c r="I709" s="3141"/>
      <c r="J709" s="3141"/>
      <c r="K709" s="3141"/>
      <c r="L709" s="3142"/>
      <c r="M709" s="3142"/>
      <c r="N709" s="3142"/>
      <c r="O709" s="3142"/>
      <c r="P709" s="3142"/>
    </row>
    <row r="710" spans="1:16">
      <c r="A710" s="5810" t="s">
        <v>16</v>
      </c>
      <c r="B710" s="3132" t="s">
        <v>2196</v>
      </c>
      <c r="C710" s="3146" t="s">
        <v>1569</v>
      </c>
      <c r="D710" s="3146" t="s">
        <v>2155</v>
      </c>
      <c r="E710" s="3146"/>
      <c r="F710" s="3146"/>
      <c r="G710" s="3132">
        <v>85</v>
      </c>
      <c r="H710" s="3132">
        <v>22</v>
      </c>
      <c r="I710" s="3143">
        <f>H710*100/G710</f>
        <v>25.882352941176471</v>
      </c>
      <c r="J710" s="3143">
        <v>22.222222222222221</v>
      </c>
      <c r="K710" s="3143">
        <v>18.181818181818183</v>
      </c>
      <c r="L710" s="3114">
        <v>0</v>
      </c>
      <c r="M710" s="3114">
        <v>5.882352941176471</v>
      </c>
      <c r="N710" s="3114">
        <v>11.764705882352942</v>
      </c>
      <c r="O710" s="3114">
        <v>5.882352941176471</v>
      </c>
      <c r="P710" s="3114">
        <v>76.470588235294116</v>
      </c>
    </row>
    <row r="711" spans="1:16">
      <c r="A711" s="5811"/>
      <c r="B711" s="3116">
        <v>70</v>
      </c>
      <c r="C711" s="3117" t="s">
        <v>2197</v>
      </c>
      <c r="D711" s="3117" t="s">
        <v>2155</v>
      </c>
      <c r="E711" s="3117"/>
      <c r="F711" s="3117"/>
      <c r="G711" s="3116">
        <v>132</v>
      </c>
      <c r="H711" s="3116">
        <v>76</v>
      </c>
      <c r="I711" s="3120">
        <f t="shared" ref="I711:I740" si="13">H711*100/G711</f>
        <v>57.575757575757578</v>
      </c>
      <c r="J711" s="3120">
        <v>15.151515151515152</v>
      </c>
      <c r="K711" s="3120">
        <v>13.157894736842104</v>
      </c>
      <c r="L711" s="3118">
        <v>1.5151515151515151</v>
      </c>
      <c r="M711" s="3118">
        <v>0</v>
      </c>
      <c r="N711" s="3118">
        <v>13.636363636363637</v>
      </c>
      <c r="O711" s="3118">
        <v>22.727272727272727</v>
      </c>
      <c r="P711" s="3118">
        <v>62.121212121212125</v>
      </c>
    </row>
    <row r="712" spans="1:16">
      <c r="A712" s="5811"/>
      <c r="B712" s="3116" t="s">
        <v>2198</v>
      </c>
      <c r="C712" s="3117" t="s">
        <v>2199</v>
      </c>
      <c r="D712" s="3117" t="s">
        <v>2160</v>
      </c>
      <c r="E712" s="3117"/>
      <c r="F712" s="3117"/>
      <c r="G712" s="3116">
        <v>154</v>
      </c>
      <c r="H712" s="3116">
        <v>78</v>
      </c>
      <c r="I712" s="3120">
        <f t="shared" si="13"/>
        <v>50.649350649350652</v>
      </c>
      <c r="J712" s="3120">
        <v>23.80952380952381</v>
      </c>
      <c r="K712" s="3120">
        <v>19.23076923076923</v>
      </c>
      <c r="L712" s="3118">
        <v>0</v>
      </c>
      <c r="M712" s="3118">
        <v>1.5625</v>
      </c>
      <c r="N712" s="3118">
        <v>4.6875</v>
      </c>
      <c r="O712" s="3118">
        <v>10.9375</v>
      </c>
      <c r="P712" s="3118">
        <v>82.8125</v>
      </c>
    </row>
    <row r="713" spans="1:16">
      <c r="A713" s="5811"/>
      <c r="B713" s="3116">
        <v>90</v>
      </c>
      <c r="C713" s="3117" t="s">
        <v>2199</v>
      </c>
      <c r="D713" s="3117" t="s">
        <v>2155</v>
      </c>
      <c r="E713" s="3117"/>
      <c r="F713" s="3117"/>
      <c r="G713" s="3116">
        <v>101</v>
      </c>
      <c r="H713" s="3116">
        <v>2</v>
      </c>
      <c r="I713" s="3120">
        <f t="shared" si="13"/>
        <v>1.9801980198019802</v>
      </c>
      <c r="J713" s="3120">
        <v>0</v>
      </c>
      <c r="K713" s="3120">
        <v>0</v>
      </c>
      <c r="L713" s="3118">
        <v>0</v>
      </c>
      <c r="M713" s="3118">
        <v>50</v>
      </c>
      <c r="N713" s="3118">
        <v>50</v>
      </c>
      <c r="O713" s="3118">
        <v>0</v>
      </c>
      <c r="P713" s="3118">
        <v>0</v>
      </c>
    </row>
    <row r="714" spans="1:16">
      <c r="A714" s="5811"/>
      <c r="B714" s="3116">
        <v>91</v>
      </c>
      <c r="C714" s="3117" t="s">
        <v>2200</v>
      </c>
      <c r="D714" s="3117" t="s">
        <v>2155</v>
      </c>
      <c r="E714" s="3117"/>
      <c r="F714" s="3117"/>
      <c r="G714" s="3116">
        <v>130</v>
      </c>
      <c r="H714" s="3116">
        <v>61</v>
      </c>
      <c r="I714" s="3120">
        <f t="shared" si="13"/>
        <v>46.92307692307692</v>
      </c>
      <c r="J714" s="3120">
        <v>15.09433962264151</v>
      </c>
      <c r="K714" s="3120">
        <v>13.114754098360656</v>
      </c>
      <c r="L714" s="3118">
        <v>0</v>
      </c>
      <c r="M714" s="3118">
        <v>3.7735849056603774</v>
      </c>
      <c r="N714" s="3118">
        <v>7.5471698113207548</v>
      </c>
      <c r="O714" s="3118">
        <v>30.188679245283019</v>
      </c>
      <c r="P714" s="3118">
        <v>58.490566037735846</v>
      </c>
    </row>
    <row r="715" spans="1:16">
      <c r="A715" s="5811"/>
      <c r="B715" s="3116">
        <v>93</v>
      </c>
      <c r="C715" s="3117" t="s">
        <v>2201</v>
      </c>
      <c r="D715" s="3117" t="s">
        <v>2155</v>
      </c>
      <c r="E715" s="3117"/>
      <c r="F715" s="3117"/>
      <c r="G715" s="3116">
        <v>111</v>
      </c>
      <c r="H715" s="3116">
        <v>71</v>
      </c>
      <c r="I715" s="3120">
        <f t="shared" si="13"/>
        <v>63.963963963963963</v>
      </c>
      <c r="J715" s="3120">
        <v>10.9375</v>
      </c>
      <c r="K715" s="3120">
        <v>9.8591549295774641</v>
      </c>
      <c r="L715" s="3118">
        <v>4.6875</v>
      </c>
      <c r="M715" s="3118">
        <v>1.5625</v>
      </c>
      <c r="N715" s="3118">
        <v>15.625</v>
      </c>
      <c r="O715" s="3118">
        <v>6.25</v>
      </c>
      <c r="P715" s="3118">
        <v>71.875</v>
      </c>
    </row>
    <row r="716" spans="1:16">
      <c r="A716" s="5811"/>
      <c r="B716" s="3116">
        <v>103</v>
      </c>
      <c r="C716" s="3117" t="s">
        <v>1581</v>
      </c>
      <c r="D716" s="3117" t="s">
        <v>2155</v>
      </c>
      <c r="E716" s="3117"/>
      <c r="F716" s="3117"/>
      <c r="G716" s="3116">
        <v>82</v>
      </c>
      <c r="H716" s="3116">
        <v>46</v>
      </c>
      <c r="I716" s="3120">
        <f t="shared" si="13"/>
        <v>56.097560975609753</v>
      </c>
      <c r="J716" s="3120">
        <v>31.428571428571427</v>
      </c>
      <c r="K716" s="3120">
        <v>23.913043478260871</v>
      </c>
      <c r="L716" s="3118">
        <v>2.9411764705882355</v>
      </c>
      <c r="M716" s="3118">
        <v>5.882352941176471</v>
      </c>
      <c r="N716" s="3118">
        <v>14.705882352941176</v>
      </c>
      <c r="O716" s="3118">
        <v>14.705882352941176</v>
      </c>
      <c r="P716" s="3118">
        <v>61.764705882352942</v>
      </c>
    </row>
    <row r="717" spans="1:16">
      <c r="A717" s="5811"/>
      <c r="B717" s="3116">
        <v>150</v>
      </c>
      <c r="C717" s="3117" t="s">
        <v>2202</v>
      </c>
      <c r="D717" s="3117" t="s">
        <v>2155</v>
      </c>
      <c r="E717" s="3117"/>
      <c r="F717" s="3117"/>
      <c r="G717" s="3116">
        <v>21</v>
      </c>
      <c r="H717" s="3116">
        <v>10</v>
      </c>
      <c r="I717" s="3120">
        <f t="shared" si="13"/>
        <v>47.61904761904762</v>
      </c>
      <c r="J717" s="3120">
        <v>42.857142857142854</v>
      </c>
      <c r="K717" s="3120">
        <v>30</v>
      </c>
      <c r="L717" s="3118">
        <v>0</v>
      </c>
      <c r="M717" s="3118">
        <v>12.5</v>
      </c>
      <c r="N717" s="3118">
        <v>0</v>
      </c>
      <c r="O717" s="3118">
        <v>75</v>
      </c>
      <c r="P717" s="3118">
        <v>12.5</v>
      </c>
    </row>
    <row r="718" spans="1:16">
      <c r="A718" s="5811"/>
      <c r="B718" s="3116">
        <v>156</v>
      </c>
      <c r="C718" s="3117" t="s">
        <v>1566</v>
      </c>
      <c r="D718" s="3117" t="s">
        <v>2160</v>
      </c>
      <c r="E718" s="3117"/>
      <c r="F718" s="3117"/>
      <c r="G718" s="3116">
        <v>16</v>
      </c>
      <c r="H718" s="3116">
        <v>0</v>
      </c>
      <c r="I718" s="3120">
        <f t="shared" si="13"/>
        <v>0</v>
      </c>
      <c r="J718" s="3120">
        <v>0</v>
      </c>
      <c r="K718" s="3120">
        <v>0</v>
      </c>
      <c r="L718" s="3118">
        <v>0</v>
      </c>
      <c r="M718" s="3118">
        <v>0</v>
      </c>
      <c r="N718" s="3118">
        <v>0</v>
      </c>
      <c r="O718" s="3118">
        <v>0</v>
      </c>
      <c r="P718" s="3118">
        <v>0</v>
      </c>
    </row>
    <row r="719" spans="1:16">
      <c r="A719" s="5811"/>
      <c r="B719" s="3116">
        <v>156</v>
      </c>
      <c r="C719" s="3117" t="s">
        <v>2203</v>
      </c>
      <c r="D719" s="3117" t="s">
        <v>2155</v>
      </c>
      <c r="E719" s="3117"/>
      <c r="F719" s="3117"/>
      <c r="G719" s="3116">
        <v>35</v>
      </c>
      <c r="H719" s="3116">
        <v>17</v>
      </c>
      <c r="I719" s="3120">
        <f t="shared" si="13"/>
        <v>48.571428571428569</v>
      </c>
      <c r="J719" s="3120">
        <v>21.428571428571427</v>
      </c>
      <c r="K719" s="3120">
        <v>17.647058823529413</v>
      </c>
      <c r="L719" s="3118">
        <v>7.6923076923076925</v>
      </c>
      <c r="M719" s="3118">
        <v>15.384615384615385</v>
      </c>
      <c r="N719" s="3118">
        <v>7.6923076923076925</v>
      </c>
      <c r="O719" s="3118">
        <v>7.6923076923076925</v>
      </c>
      <c r="P719" s="3118">
        <v>61.53846153846154</v>
      </c>
    </row>
    <row r="720" spans="1:16">
      <c r="A720" s="5811"/>
      <c r="B720" s="3116">
        <v>71</v>
      </c>
      <c r="C720" s="3117" t="s">
        <v>2204</v>
      </c>
      <c r="D720" s="3117" t="s">
        <v>2155</v>
      </c>
      <c r="E720" s="3117"/>
      <c r="F720" s="3117"/>
      <c r="G720" s="3116">
        <v>141</v>
      </c>
      <c r="H720" s="3116">
        <v>78</v>
      </c>
      <c r="I720" s="3120">
        <f>H720*100/G720</f>
        <v>55.319148936170215</v>
      </c>
      <c r="J720" s="3120">
        <v>84.62</v>
      </c>
      <c r="K720" s="3120">
        <v>15.38</v>
      </c>
      <c r="L720" s="3118">
        <v>0</v>
      </c>
      <c r="M720" s="3118">
        <v>3.08</v>
      </c>
      <c r="N720" s="3118">
        <v>6.15</v>
      </c>
      <c r="O720" s="3118">
        <v>21.54</v>
      </c>
      <c r="P720" s="3118">
        <v>69.23</v>
      </c>
    </row>
    <row r="721" spans="1:16">
      <c r="A721" s="5811"/>
      <c r="B721" s="3116">
        <v>72</v>
      </c>
      <c r="C721" s="3117" t="s">
        <v>2205</v>
      </c>
      <c r="D721" s="3117" t="s">
        <v>1514</v>
      </c>
      <c r="E721" s="3117"/>
      <c r="F721" s="3117"/>
      <c r="G721" s="3116">
        <v>314</v>
      </c>
      <c r="H721" s="3116">
        <v>103</v>
      </c>
      <c r="I721" s="3120">
        <f t="shared" si="13"/>
        <v>32.802547770700635</v>
      </c>
      <c r="J721" s="3120">
        <v>4.0404040404040407</v>
      </c>
      <c r="K721" s="3120">
        <v>3.883495145631068</v>
      </c>
      <c r="L721" s="3118">
        <v>2.9702970297029703</v>
      </c>
      <c r="M721" s="3118">
        <v>0</v>
      </c>
      <c r="N721" s="3118">
        <v>0.99009900990099009</v>
      </c>
      <c r="O721" s="3118">
        <v>11.881188118811881</v>
      </c>
      <c r="P721" s="3118">
        <v>84.158415841584159</v>
      </c>
    </row>
    <row r="722" spans="1:16">
      <c r="A722" s="5811"/>
      <c r="B722" s="3116">
        <v>119</v>
      </c>
      <c r="C722" s="3117" t="s">
        <v>2206</v>
      </c>
      <c r="D722" s="3117" t="s">
        <v>2160</v>
      </c>
      <c r="E722" s="3117"/>
      <c r="F722" s="3117"/>
      <c r="G722" s="3116">
        <v>210</v>
      </c>
      <c r="H722" s="3116">
        <v>129</v>
      </c>
      <c r="I722" s="3120">
        <f t="shared" si="13"/>
        <v>61.428571428571431</v>
      </c>
      <c r="J722" s="3120">
        <v>30.303030303030305</v>
      </c>
      <c r="K722" s="3120">
        <v>23.255813953488371</v>
      </c>
      <c r="L722" s="3118">
        <v>2.0408163265306123</v>
      </c>
      <c r="M722" s="3118">
        <v>4.0816326530612246</v>
      </c>
      <c r="N722" s="3118">
        <v>7.1428571428571432</v>
      </c>
      <c r="O722" s="3118">
        <v>10.204081632653061</v>
      </c>
      <c r="P722" s="3118">
        <v>76.530612244897952</v>
      </c>
    </row>
    <row r="723" spans="1:16">
      <c r="A723" s="5811"/>
      <c r="B723" s="3116">
        <v>119</v>
      </c>
      <c r="C723" s="3117" t="s">
        <v>2206</v>
      </c>
      <c r="D723" s="3117" t="s">
        <v>2155</v>
      </c>
      <c r="E723" s="3117"/>
      <c r="F723" s="3117"/>
      <c r="G723" s="3116">
        <v>258</v>
      </c>
      <c r="H723" s="3116">
        <v>2</v>
      </c>
      <c r="I723" s="3120">
        <f t="shared" si="13"/>
        <v>0.77519379844961245</v>
      </c>
      <c r="J723" s="3120">
        <v>0</v>
      </c>
      <c r="K723" s="3120">
        <v>100</v>
      </c>
      <c r="L723" s="3118">
        <v>0</v>
      </c>
      <c r="M723" s="3118">
        <v>0</v>
      </c>
      <c r="N723" s="3118">
        <v>0</v>
      </c>
      <c r="O723" s="3118">
        <v>0</v>
      </c>
      <c r="P723" s="3118">
        <v>0</v>
      </c>
    </row>
    <row r="724" spans="1:16">
      <c r="A724" s="5812"/>
      <c r="B724" s="3123">
        <v>119</v>
      </c>
      <c r="C724" s="3124" t="s">
        <v>2206</v>
      </c>
      <c r="D724" s="3124" t="s">
        <v>1514</v>
      </c>
      <c r="E724" s="3124"/>
      <c r="F724" s="3124"/>
      <c r="G724" s="3123">
        <v>55</v>
      </c>
      <c r="H724" s="3123">
        <v>20</v>
      </c>
      <c r="I724" s="3127">
        <f t="shared" si="13"/>
        <v>36.363636363636367</v>
      </c>
      <c r="J724" s="3127">
        <v>5.2631578947368425</v>
      </c>
      <c r="K724" s="3127">
        <v>5</v>
      </c>
      <c r="L724" s="3138">
        <v>0</v>
      </c>
      <c r="M724" s="3138">
        <v>0</v>
      </c>
      <c r="N724" s="3138">
        <v>26.315789473684209</v>
      </c>
      <c r="O724" s="3138">
        <v>15.789473684210526</v>
      </c>
      <c r="P724" s="3138">
        <v>57.89473684210526</v>
      </c>
    </row>
    <row r="725" spans="1:16">
      <c r="A725" s="5813" t="s">
        <v>41</v>
      </c>
      <c r="B725" s="3134">
        <v>102</v>
      </c>
      <c r="C725" s="3135" t="s">
        <v>2207</v>
      </c>
      <c r="D725" s="3135" t="s">
        <v>2160</v>
      </c>
      <c r="E725" s="3135"/>
      <c r="F725" s="3135"/>
      <c r="G725" s="3134">
        <v>0</v>
      </c>
      <c r="H725" s="3134">
        <v>0</v>
      </c>
      <c r="I725" s="3144">
        <v>0</v>
      </c>
      <c r="J725" s="3144">
        <v>0</v>
      </c>
      <c r="K725" s="3144">
        <v>0</v>
      </c>
      <c r="L725" s="3136">
        <v>0</v>
      </c>
      <c r="M725" s="3136">
        <v>0</v>
      </c>
      <c r="N725" s="3136">
        <v>0</v>
      </c>
      <c r="O725" s="3136">
        <v>0</v>
      </c>
      <c r="P725" s="3136">
        <v>0</v>
      </c>
    </row>
    <row r="726" spans="1:16">
      <c r="A726" s="5813"/>
      <c r="B726" s="3116">
        <v>82</v>
      </c>
      <c r="C726" s="3117" t="s">
        <v>1574</v>
      </c>
      <c r="D726" s="3117" t="s">
        <v>2155</v>
      </c>
      <c r="E726" s="3117"/>
      <c r="F726" s="3117"/>
      <c r="G726" s="3116">
        <v>189</v>
      </c>
      <c r="H726" s="3116">
        <v>142</v>
      </c>
      <c r="I726" s="3120">
        <f t="shared" si="13"/>
        <v>75.132275132275126</v>
      </c>
      <c r="J726" s="3120">
        <v>11.904761904761905</v>
      </c>
      <c r="K726" s="3120">
        <v>10.638297872340425</v>
      </c>
      <c r="L726" s="3118">
        <v>3.1746031746031744</v>
      </c>
      <c r="M726" s="3118">
        <v>3.9682539682539684</v>
      </c>
      <c r="N726" s="3118">
        <v>16.666666666666668</v>
      </c>
      <c r="O726" s="3118">
        <v>23.015873015873016</v>
      </c>
      <c r="P726" s="3118">
        <v>53.174603174603178</v>
      </c>
    </row>
    <row r="727" spans="1:16">
      <c r="A727" s="5813"/>
      <c r="B727" s="3116">
        <v>83</v>
      </c>
      <c r="C727" s="3117" t="s">
        <v>2208</v>
      </c>
      <c r="D727" s="3117" t="s">
        <v>2155</v>
      </c>
      <c r="E727" s="3117"/>
      <c r="F727" s="3117"/>
      <c r="G727" s="3116">
        <v>104</v>
      </c>
      <c r="H727" s="3116">
        <v>81</v>
      </c>
      <c r="I727" s="3120">
        <f t="shared" si="13"/>
        <v>77.884615384615387</v>
      </c>
      <c r="J727" s="3120">
        <v>20.895522388059703</v>
      </c>
      <c r="K727" s="3120">
        <v>17.283950617283949</v>
      </c>
      <c r="L727" s="3118">
        <v>1.5151515151515151</v>
      </c>
      <c r="M727" s="3118">
        <v>9.0909090909090917</v>
      </c>
      <c r="N727" s="3118">
        <v>16.666666666666668</v>
      </c>
      <c r="O727" s="3118">
        <v>15.151515151515152</v>
      </c>
      <c r="P727" s="3118">
        <v>57.575757575757578</v>
      </c>
    </row>
    <row r="728" spans="1:16">
      <c r="A728" s="5813"/>
      <c r="B728" s="3116">
        <v>100</v>
      </c>
      <c r="C728" s="3117" t="s">
        <v>2209</v>
      </c>
      <c r="D728" s="3117" t="s">
        <v>2155</v>
      </c>
      <c r="E728" s="3117"/>
      <c r="F728" s="3117"/>
      <c r="G728" s="3116">
        <v>20</v>
      </c>
      <c r="H728" s="3116">
        <v>3</v>
      </c>
      <c r="I728" s="3120">
        <f t="shared" si="13"/>
        <v>15</v>
      </c>
      <c r="J728" s="3120">
        <v>50</v>
      </c>
      <c r="K728" s="3120">
        <v>33.333333333333336</v>
      </c>
      <c r="L728" s="3118">
        <v>0</v>
      </c>
      <c r="M728" s="3118">
        <v>0</v>
      </c>
      <c r="N728" s="3118">
        <v>0</v>
      </c>
      <c r="O728" s="3118">
        <v>0</v>
      </c>
      <c r="P728" s="3118">
        <v>100</v>
      </c>
    </row>
    <row r="729" spans="1:16">
      <c r="A729" s="5813"/>
      <c r="B729" s="3116">
        <v>106</v>
      </c>
      <c r="C729" s="3117" t="s">
        <v>2210</v>
      </c>
      <c r="D729" s="3117" t="s">
        <v>2155</v>
      </c>
      <c r="E729" s="3117"/>
      <c r="F729" s="3117"/>
      <c r="G729" s="3116">
        <v>145</v>
      </c>
      <c r="H729" s="3116">
        <v>70</v>
      </c>
      <c r="I729" s="3120">
        <f t="shared" si="13"/>
        <v>48.275862068965516</v>
      </c>
      <c r="J729" s="3120">
        <v>34.615384615384613</v>
      </c>
      <c r="K729" s="3120">
        <v>25.714285714285715</v>
      </c>
      <c r="L729" s="3118">
        <v>1.9230769230769231</v>
      </c>
      <c r="M729" s="3118">
        <v>3.8461538461538463</v>
      </c>
      <c r="N729" s="3118">
        <v>15.384615384615385</v>
      </c>
      <c r="O729" s="3118">
        <v>25</v>
      </c>
      <c r="P729" s="3118">
        <v>53.846153846153847</v>
      </c>
    </row>
    <row r="730" spans="1:16">
      <c r="A730" s="5813"/>
      <c r="B730" s="3116">
        <v>120</v>
      </c>
      <c r="C730" s="3117" t="s">
        <v>2211</v>
      </c>
      <c r="D730" s="3117" t="s">
        <v>2155</v>
      </c>
      <c r="E730" s="3117"/>
      <c r="F730" s="3117"/>
      <c r="G730" s="3116">
        <v>159</v>
      </c>
      <c r="H730" s="3116">
        <v>90</v>
      </c>
      <c r="I730" s="3120">
        <f t="shared" si="13"/>
        <v>56.60377358490566</v>
      </c>
      <c r="J730" s="3120">
        <v>66.037735849056602</v>
      </c>
      <c r="K730" s="3120">
        <v>39.772727272727273</v>
      </c>
      <c r="L730" s="3118">
        <v>9.8039215686274517</v>
      </c>
      <c r="M730" s="3118">
        <v>1.9607843137254901</v>
      </c>
      <c r="N730" s="3118">
        <v>13.725490196078431</v>
      </c>
      <c r="O730" s="3118">
        <v>13.725490196078431</v>
      </c>
      <c r="P730" s="3118">
        <v>60.784313725490193</v>
      </c>
    </row>
    <row r="731" spans="1:16">
      <c r="A731" s="5813"/>
      <c r="B731" s="3116">
        <v>162</v>
      </c>
      <c r="C731" s="3117" t="s">
        <v>2212</v>
      </c>
      <c r="D731" s="3117" t="s">
        <v>2155</v>
      </c>
      <c r="E731" s="3117"/>
      <c r="F731" s="3117"/>
      <c r="G731" s="3116">
        <v>2</v>
      </c>
      <c r="H731" s="3116">
        <v>0</v>
      </c>
      <c r="I731" s="3120">
        <f t="shared" si="13"/>
        <v>0</v>
      </c>
      <c r="J731" s="3120">
        <v>0</v>
      </c>
      <c r="K731" s="3120">
        <v>0</v>
      </c>
      <c r="L731" s="3118">
        <v>0</v>
      </c>
      <c r="M731" s="3118">
        <v>0</v>
      </c>
      <c r="N731" s="3118">
        <v>0</v>
      </c>
      <c r="O731" s="3118">
        <v>0</v>
      </c>
      <c r="P731" s="3118">
        <v>0</v>
      </c>
    </row>
    <row r="732" spans="1:16">
      <c r="A732" s="5813"/>
      <c r="B732" s="3116">
        <v>163</v>
      </c>
      <c r="C732" s="3117" t="s">
        <v>2213</v>
      </c>
      <c r="D732" s="3117" t="s">
        <v>2155</v>
      </c>
      <c r="E732" s="3117"/>
      <c r="F732" s="3117"/>
      <c r="G732" s="3116">
        <v>16</v>
      </c>
      <c r="H732" s="3116">
        <v>0</v>
      </c>
      <c r="I732" s="3120">
        <f t="shared" si="13"/>
        <v>0</v>
      </c>
      <c r="J732" s="3120">
        <v>0</v>
      </c>
      <c r="K732" s="3120">
        <v>0</v>
      </c>
      <c r="L732" s="3118">
        <v>0</v>
      </c>
      <c r="M732" s="3118">
        <v>0</v>
      </c>
      <c r="N732" s="3118">
        <v>0</v>
      </c>
      <c r="O732" s="3118">
        <v>0</v>
      </c>
      <c r="P732" s="3118">
        <v>0</v>
      </c>
    </row>
    <row r="733" spans="1:16">
      <c r="A733" s="5813"/>
      <c r="B733" s="3116">
        <v>123</v>
      </c>
      <c r="C733" s="3117" t="s">
        <v>2214</v>
      </c>
      <c r="D733" s="3117" t="s">
        <v>1514</v>
      </c>
      <c r="E733" s="3117"/>
      <c r="F733" s="3117"/>
      <c r="G733" s="3116">
        <v>47</v>
      </c>
      <c r="H733" s="3116">
        <v>0</v>
      </c>
      <c r="I733" s="3120">
        <f t="shared" si="13"/>
        <v>0</v>
      </c>
      <c r="J733" s="3120">
        <v>0</v>
      </c>
      <c r="K733" s="3120">
        <v>0</v>
      </c>
      <c r="L733" s="3118">
        <v>0</v>
      </c>
      <c r="M733" s="3118">
        <v>0</v>
      </c>
      <c r="N733" s="3118">
        <v>0</v>
      </c>
      <c r="O733" s="3118">
        <v>0</v>
      </c>
      <c r="P733" s="3118">
        <v>0</v>
      </c>
    </row>
    <row r="734" spans="1:16">
      <c r="A734" s="5813"/>
      <c r="B734" s="3116">
        <v>158</v>
      </c>
      <c r="C734" s="3117" t="s">
        <v>2215</v>
      </c>
      <c r="D734" s="3117" t="s">
        <v>1514</v>
      </c>
      <c r="E734" s="3117"/>
      <c r="F734" s="3117"/>
      <c r="G734" s="3116">
        <v>0</v>
      </c>
      <c r="H734" s="3116">
        <v>0</v>
      </c>
      <c r="I734" s="3120">
        <v>0</v>
      </c>
      <c r="J734" s="3120">
        <v>0</v>
      </c>
      <c r="K734" s="3120">
        <v>0</v>
      </c>
      <c r="L734" s="3118">
        <v>0</v>
      </c>
      <c r="M734" s="3118">
        <v>0</v>
      </c>
      <c r="N734" s="3118">
        <v>0</v>
      </c>
      <c r="O734" s="3118">
        <v>0</v>
      </c>
      <c r="P734" s="3118">
        <v>0</v>
      </c>
    </row>
    <row r="735" spans="1:16">
      <c r="A735" s="5813"/>
      <c r="B735" s="3116">
        <v>81</v>
      </c>
      <c r="C735" s="3117" t="s">
        <v>2216</v>
      </c>
      <c r="D735" s="3117" t="s">
        <v>2160</v>
      </c>
      <c r="E735" s="3117"/>
      <c r="F735" s="3117"/>
      <c r="G735" s="3116">
        <v>94</v>
      </c>
      <c r="H735" s="3116">
        <v>79</v>
      </c>
      <c r="I735" s="3120">
        <f t="shared" si="13"/>
        <v>84.042553191489361</v>
      </c>
      <c r="J735" s="3120">
        <v>21.53846153846154</v>
      </c>
      <c r="K735" s="3120">
        <v>17.721518987341771</v>
      </c>
      <c r="L735" s="3118">
        <v>0</v>
      </c>
      <c r="M735" s="3118">
        <v>3.0303030303030303</v>
      </c>
      <c r="N735" s="3118">
        <v>12.121212121212121</v>
      </c>
      <c r="O735" s="3118">
        <v>9.0909090909090917</v>
      </c>
      <c r="P735" s="3118">
        <v>75.757575757575751</v>
      </c>
    </row>
    <row r="736" spans="1:16">
      <c r="A736" s="5813"/>
      <c r="B736" s="3128">
        <v>81</v>
      </c>
      <c r="C736" s="3129" t="s">
        <v>2216</v>
      </c>
      <c r="D736" s="3129" t="s">
        <v>2155</v>
      </c>
      <c r="E736" s="3129"/>
      <c r="F736" s="3129"/>
      <c r="G736" s="3128">
        <v>185</v>
      </c>
      <c r="H736" s="3128">
        <v>40</v>
      </c>
      <c r="I736" s="3145">
        <f t="shared" si="13"/>
        <v>21.621621621621621</v>
      </c>
      <c r="J736" s="3145">
        <v>25</v>
      </c>
      <c r="K736" s="3145">
        <v>20</v>
      </c>
      <c r="L736" s="3130">
        <v>0</v>
      </c>
      <c r="M736" s="3130">
        <v>6.0606060606060606</v>
      </c>
      <c r="N736" s="3130">
        <v>6.0606060606060606</v>
      </c>
      <c r="O736" s="3130">
        <v>21.212121212121211</v>
      </c>
      <c r="P736" s="3130">
        <v>66.666666666666671</v>
      </c>
    </row>
    <row r="737" spans="1:16">
      <c r="A737" s="5813" t="s">
        <v>21</v>
      </c>
      <c r="B737" s="3132">
        <v>108</v>
      </c>
      <c r="C737" s="3133" t="s">
        <v>2217</v>
      </c>
      <c r="D737" s="3133" t="s">
        <v>2155</v>
      </c>
      <c r="E737" s="3133"/>
      <c r="F737" s="3133"/>
      <c r="G737" s="3132">
        <v>238</v>
      </c>
      <c r="H737" s="3132">
        <v>130</v>
      </c>
      <c r="I737" s="3143">
        <f t="shared" si="13"/>
        <v>54.621848739495796</v>
      </c>
      <c r="J737" s="3143">
        <v>26.21359223300971</v>
      </c>
      <c r="K737" s="3143">
        <v>20.76923076923077</v>
      </c>
      <c r="L737" s="3114">
        <v>2.9411764705882355</v>
      </c>
      <c r="M737" s="3114">
        <v>3.9215686274509802</v>
      </c>
      <c r="N737" s="3114">
        <v>8.8235294117647065</v>
      </c>
      <c r="O737" s="3114">
        <v>10.784313725490197</v>
      </c>
      <c r="P737" s="3114">
        <v>73.529411764705884</v>
      </c>
    </row>
    <row r="738" spans="1:16">
      <c r="A738" s="5813"/>
      <c r="B738" s="3116">
        <v>139</v>
      </c>
      <c r="C738" s="3117" t="s">
        <v>1528</v>
      </c>
      <c r="D738" s="3117" t="s">
        <v>2155</v>
      </c>
      <c r="E738" s="3117"/>
      <c r="F738" s="3117"/>
      <c r="G738" s="3116">
        <v>38</v>
      </c>
      <c r="H738" s="3116">
        <v>25</v>
      </c>
      <c r="I738" s="3120">
        <f t="shared" si="13"/>
        <v>65.78947368421052</v>
      </c>
      <c r="J738" s="3120">
        <v>4.166666666666667</v>
      </c>
      <c r="K738" s="3120">
        <v>4</v>
      </c>
      <c r="L738" s="3118">
        <v>4.166666666666667</v>
      </c>
      <c r="M738" s="3118">
        <v>8.3333333333333339</v>
      </c>
      <c r="N738" s="3118">
        <v>20.833333333333332</v>
      </c>
      <c r="O738" s="3118">
        <v>4.166666666666667</v>
      </c>
      <c r="P738" s="3118">
        <v>62.5</v>
      </c>
    </row>
    <row r="739" spans="1:16">
      <c r="A739" s="5813"/>
      <c r="B739" s="3116">
        <v>142</v>
      </c>
      <c r="C739" s="3117" t="s">
        <v>2218</v>
      </c>
      <c r="D739" s="3117" t="s">
        <v>2155</v>
      </c>
      <c r="E739" s="3117"/>
      <c r="F739" s="3117"/>
      <c r="G739" s="3116">
        <v>51</v>
      </c>
      <c r="H739" s="3116">
        <v>0</v>
      </c>
      <c r="I739" s="3120">
        <f t="shared" si="13"/>
        <v>0</v>
      </c>
      <c r="J739" s="3120">
        <v>0</v>
      </c>
      <c r="K739" s="3120">
        <v>0</v>
      </c>
      <c r="L739" s="3118">
        <v>0</v>
      </c>
      <c r="M739" s="3118">
        <v>0</v>
      </c>
      <c r="N739" s="3118">
        <v>0</v>
      </c>
      <c r="O739" s="3118">
        <v>0</v>
      </c>
      <c r="P739" s="3118">
        <v>0</v>
      </c>
    </row>
    <row r="740" spans="1:16">
      <c r="A740" s="5813"/>
      <c r="B740" s="3123">
        <v>109</v>
      </c>
      <c r="C740" s="3124" t="s">
        <v>2219</v>
      </c>
      <c r="D740" s="3124" t="s">
        <v>1514</v>
      </c>
      <c r="E740" s="3124"/>
      <c r="F740" s="3124"/>
      <c r="G740" s="3123">
        <v>34</v>
      </c>
      <c r="H740" s="3123">
        <v>29</v>
      </c>
      <c r="I740" s="3127">
        <f t="shared" si="13"/>
        <v>85.294117647058826</v>
      </c>
      <c r="J740" s="3127">
        <v>0</v>
      </c>
      <c r="K740" s="3127">
        <v>0</v>
      </c>
      <c r="L740" s="3138">
        <v>3.5714285714285716</v>
      </c>
      <c r="M740" s="3138">
        <v>7.1428571428571432</v>
      </c>
      <c r="N740" s="3138">
        <v>17.857142857142858</v>
      </c>
      <c r="O740" s="3138">
        <v>25</v>
      </c>
      <c r="P740" s="3138">
        <v>46.428571428571431</v>
      </c>
    </row>
    <row r="741" spans="1:16">
      <c r="A741" s="1820"/>
      <c r="B741" s="3147"/>
      <c r="C741" s="3140"/>
      <c r="D741" s="3140"/>
      <c r="E741" s="3140"/>
      <c r="F741" s="3140"/>
      <c r="G741" s="3140"/>
      <c r="H741" s="3140"/>
      <c r="I741" s="3148"/>
      <c r="J741" s="3148"/>
      <c r="K741" s="3148"/>
      <c r="L741" s="3140"/>
      <c r="M741" s="3140"/>
      <c r="N741" s="3140"/>
      <c r="O741" s="3140"/>
      <c r="P741" s="3140"/>
    </row>
    <row r="742" spans="1:16">
      <c r="A742" s="4575" t="s">
        <v>2221</v>
      </c>
      <c r="B742" s="3149"/>
      <c r="C742" s="3150"/>
      <c r="D742" s="3150"/>
      <c r="E742" s="3150"/>
      <c r="F742" s="3150"/>
      <c r="G742" s="3150"/>
      <c r="H742" s="3150"/>
      <c r="I742" s="3151"/>
      <c r="J742" s="3151"/>
      <c r="K742" s="3151"/>
      <c r="L742" s="3150"/>
      <c r="M742" s="3150"/>
      <c r="N742" s="3150"/>
      <c r="O742" s="3150"/>
      <c r="P742" s="3150"/>
    </row>
    <row r="743" spans="1:16">
      <c r="A743" s="5804" t="s">
        <v>1</v>
      </c>
      <c r="B743" s="5831" t="s">
        <v>2153</v>
      </c>
      <c r="C743" s="5831" t="s">
        <v>2154</v>
      </c>
      <c r="D743" s="5831" t="s">
        <v>1009</v>
      </c>
      <c r="E743" s="5132"/>
      <c r="F743" s="4260"/>
      <c r="G743" s="5832" t="s">
        <v>2150</v>
      </c>
      <c r="H743" s="5832" t="s">
        <v>2151</v>
      </c>
      <c r="I743" s="5833" t="s">
        <v>2152</v>
      </c>
      <c r="J743" s="5834" t="s">
        <v>1501</v>
      </c>
      <c r="K743" s="5834"/>
      <c r="L743" s="5829" t="s">
        <v>1502</v>
      </c>
      <c r="M743" s="5829"/>
      <c r="N743" s="5829"/>
      <c r="O743" s="5829"/>
      <c r="P743" s="5829"/>
    </row>
    <row r="744" spans="1:16">
      <c r="A744" s="5804"/>
      <c r="B744" s="5831"/>
      <c r="C744" s="5831"/>
      <c r="D744" s="5831"/>
      <c r="E744" s="5132"/>
      <c r="F744" s="4260"/>
      <c r="G744" s="5832"/>
      <c r="H744" s="5832"/>
      <c r="I744" s="5833"/>
      <c r="J744" s="4262" t="s">
        <v>267</v>
      </c>
      <c r="K744" s="4262" t="s">
        <v>268</v>
      </c>
      <c r="L744" s="3154" t="s">
        <v>1503</v>
      </c>
      <c r="M744" s="3154" t="s">
        <v>1504</v>
      </c>
      <c r="N744" s="3154" t="s">
        <v>1505</v>
      </c>
      <c r="O744" s="3154" t="s">
        <v>1506</v>
      </c>
      <c r="P744" s="3154" t="s">
        <v>15</v>
      </c>
    </row>
    <row r="745" spans="1:16">
      <c r="A745" s="5817" t="s">
        <v>73</v>
      </c>
      <c r="B745" s="3132">
        <v>31</v>
      </c>
      <c r="C745" s="3133" t="s">
        <v>1533</v>
      </c>
      <c r="D745" s="3133" t="s">
        <v>2155</v>
      </c>
      <c r="E745" s="3155"/>
      <c r="F745" s="3155"/>
      <c r="G745" s="3156">
        <v>78</v>
      </c>
      <c r="H745" s="3132">
        <v>27</v>
      </c>
      <c r="I745" s="3143">
        <v>34.615384615384613</v>
      </c>
      <c r="J745" s="3143">
        <v>74.074074074074076</v>
      </c>
      <c r="K745" s="3143">
        <v>25.925925925925927</v>
      </c>
      <c r="L745" s="3143">
        <v>0</v>
      </c>
      <c r="M745" s="3143">
        <v>11.111111111111111</v>
      </c>
      <c r="N745" s="3143">
        <v>11.111111111111111</v>
      </c>
      <c r="O745" s="3143">
        <v>66.666666666666671</v>
      </c>
      <c r="P745" s="3143">
        <v>11.111111111111111</v>
      </c>
    </row>
    <row r="746" spans="1:16">
      <c r="A746" s="5817"/>
      <c r="B746" s="3116">
        <v>32</v>
      </c>
      <c r="C746" s="3117" t="s">
        <v>1534</v>
      </c>
      <c r="D746" s="3117" t="s">
        <v>2155</v>
      </c>
      <c r="E746" s="3121"/>
      <c r="F746" s="3121"/>
      <c r="G746" s="3122">
        <v>159</v>
      </c>
      <c r="H746" s="3116">
        <v>71</v>
      </c>
      <c r="I746" s="3120">
        <v>44.654088050314463</v>
      </c>
      <c r="J746" s="3120">
        <v>88.732394366197184</v>
      </c>
      <c r="K746" s="3120">
        <v>11.267605633802816</v>
      </c>
      <c r="L746" s="3120">
        <v>9.0909090909090917</v>
      </c>
      <c r="M746" s="3120">
        <v>18.181818181818183</v>
      </c>
      <c r="N746" s="3120">
        <v>36.363636363636367</v>
      </c>
      <c r="O746" s="3120">
        <v>18.181818181818183</v>
      </c>
      <c r="P746" s="3120">
        <v>18.181818181818183</v>
      </c>
    </row>
    <row r="747" spans="1:16">
      <c r="A747" s="5817"/>
      <c r="B747" s="3116">
        <v>33</v>
      </c>
      <c r="C747" s="3117" t="s">
        <v>1535</v>
      </c>
      <c r="D747" s="3117" t="s">
        <v>2155</v>
      </c>
      <c r="E747" s="3121"/>
      <c r="F747" s="3121"/>
      <c r="G747" s="3122">
        <v>58</v>
      </c>
      <c r="H747" s="3116">
        <v>9</v>
      </c>
      <c r="I747" s="3120">
        <v>15.517241379310345</v>
      </c>
      <c r="J747" s="3120">
        <v>77.777777777777771</v>
      </c>
      <c r="K747" s="3120">
        <v>22.222222222222221</v>
      </c>
      <c r="L747" s="3120">
        <v>0</v>
      </c>
      <c r="M747" s="3120">
        <v>0</v>
      </c>
      <c r="N747" s="3120">
        <v>0</v>
      </c>
      <c r="O747" s="3120">
        <v>0</v>
      </c>
      <c r="P747" s="3120">
        <v>100</v>
      </c>
    </row>
    <row r="748" spans="1:16">
      <c r="A748" s="5817"/>
      <c r="B748" s="3116">
        <v>34</v>
      </c>
      <c r="C748" s="3117" t="s">
        <v>1536</v>
      </c>
      <c r="D748" s="3117" t="s">
        <v>2155</v>
      </c>
      <c r="E748" s="3121"/>
      <c r="F748" s="3121"/>
      <c r="G748" s="3122">
        <v>112</v>
      </c>
      <c r="H748" s="3116">
        <v>45</v>
      </c>
      <c r="I748" s="3120">
        <v>40.178571428571431</v>
      </c>
      <c r="J748" s="3120">
        <v>84.444444444444443</v>
      </c>
      <c r="K748" s="3120">
        <v>15.555555555555555</v>
      </c>
      <c r="L748" s="3120">
        <v>0</v>
      </c>
      <c r="M748" s="3120">
        <v>0</v>
      </c>
      <c r="N748" s="3120">
        <v>10.810810810810811</v>
      </c>
      <c r="O748" s="3120">
        <v>8.1081081081081088</v>
      </c>
      <c r="P748" s="3120">
        <v>81.081081081081081</v>
      </c>
    </row>
    <row r="749" spans="1:16">
      <c r="A749" s="5817"/>
      <c r="B749" s="3116">
        <v>35</v>
      </c>
      <c r="C749" s="3117" t="s">
        <v>1537</v>
      </c>
      <c r="D749" s="3117" t="s">
        <v>2155</v>
      </c>
      <c r="E749" s="3121"/>
      <c r="F749" s="3121"/>
      <c r="G749" s="3122">
        <v>36</v>
      </c>
      <c r="H749" s="3116">
        <v>25</v>
      </c>
      <c r="I749" s="3120">
        <v>69.444444444444443</v>
      </c>
      <c r="J749" s="3120">
        <v>76</v>
      </c>
      <c r="K749" s="3120">
        <v>24</v>
      </c>
      <c r="L749" s="3120">
        <v>5.2631578947368425</v>
      </c>
      <c r="M749" s="3120">
        <v>0</v>
      </c>
      <c r="N749" s="3120">
        <v>5.2631578947368425</v>
      </c>
      <c r="O749" s="3120">
        <v>21.05263157894737</v>
      </c>
      <c r="P749" s="3120">
        <v>68.421052631578945</v>
      </c>
    </row>
    <row r="750" spans="1:16">
      <c r="A750" s="5817"/>
      <c r="B750" s="3116">
        <v>58</v>
      </c>
      <c r="C750" s="3117" t="s">
        <v>1542</v>
      </c>
      <c r="D750" s="3117" t="s">
        <v>2155</v>
      </c>
      <c r="E750" s="3121"/>
      <c r="F750" s="3121"/>
      <c r="G750" s="3122">
        <v>90</v>
      </c>
      <c r="H750" s="3116">
        <v>55</v>
      </c>
      <c r="I750" s="3120">
        <v>61.111111111111114</v>
      </c>
      <c r="J750" s="3120">
        <v>87.272727272727266</v>
      </c>
      <c r="K750" s="3120">
        <v>12.727272727272727</v>
      </c>
      <c r="L750" s="3120">
        <v>6.25</v>
      </c>
      <c r="M750" s="3120">
        <v>6.25</v>
      </c>
      <c r="N750" s="3120">
        <v>10.416666666666666</v>
      </c>
      <c r="O750" s="3120">
        <v>18.75</v>
      </c>
      <c r="P750" s="3120">
        <v>58.333333333333336</v>
      </c>
    </row>
    <row r="751" spans="1:16">
      <c r="A751" s="5817"/>
      <c r="B751" s="3123">
        <v>60</v>
      </c>
      <c r="C751" s="3124" t="s">
        <v>1544</v>
      </c>
      <c r="D751" s="3124" t="s">
        <v>2155</v>
      </c>
      <c r="E751" s="3125"/>
      <c r="F751" s="3125"/>
      <c r="G751" s="3126">
        <v>22</v>
      </c>
      <c r="H751" s="3123">
        <v>7</v>
      </c>
      <c r="I751" s="3127">
        <v>31.818181818181817</v>
      </c>
      <c r="J751" s="3127">
        <v>85.714285714285708</v>
      </c>
      <c r="K751" s="3127">
        <v>14.285714285714286</v>
      </c>
      <c r="L751" s="3127">
        <v>16.666666666666668</v>
      </c>
      <c r="M751" s="3127">
        <v>0</v>
      </c>
      <c r="N751" s="3127">
        <v>0</v>
      </c>
      <c r="O751" s="3127">
        <v>16.666666666666668</v>
      </c>
      <c r="P751" s="3127">
        <v>66.666666666666671</v>
      </c>
    </row>
    <row r="752" spans="1:16">
      <c r="A752" s="5700" t="s">
        <v>74</v>
      </c>
      <c r="B752" s="3134">
        <v>92</v>
      </c>
      <c r="C752" s="3135" t="s">
        <v>2220</v>
      </c>
      <c r="D752" s="3135" t="s">
        <v>2155</v>
      </c>
      <c r="E752" s="3152"/>
      <c r="F752" s="3152"/>
      <c r="G752" s="3153">
        <v>18</v>
      </c>
      <c r="H752" s="3134">
        <v>4</v>
      </c>
      <c r="I752" s="3144">
        <v>22.222222222222221</v>
      </c>
      <c r="J752" s="3144">
        <v>100</v>
      </c>
      <c r="K752" s="3144">
        <v>0</v>
      </c>
      <c r="L752" s="3144">
        <v>0</v>
      </c>
      <c r="M752" s="3144">
        <v>0</v>
      </c>
      <c r="N752" s="3144">
        <v>0</v>
      </c>
      <c r="O752" s="3144">
        <v>0</v>
      </c>
      <c r="P752" s="3144">
        <v>100</v>
      </c>
    </row>
    <row r="753" spans="1:16">
      <c r="A753" s="5701"/>
      <c r="B753" s="3116">
        <v>69</v>
      </c>
      <c r="C753" s="3117" t="s">
        <v>1570</v>
      </c>
      <c r="D753" s="3117" t="s">
        <v>2155</v>
      </c>
      <c r="E753" s="3121"/>
      <c r="F753" s="3121"/>
      <c r="G753" s="3122">
        <v>115</v>
      </c>
      <c r="H753" s="3116">
        <v>37</v>
      </c>
      <c r="I753" s="3120">
        <v>32.173913043478258</v>
      </c>
      <c r="J753" s="3120">
        <v>78.378378378378372</v>
      </c>
      <c r="K753" s="3120">
        <v>21.621621621621621</v>
      </c>
      <c r="L753" s="3120">
        <v>6.8965517241379306</v>
      </c>
      <c r="M753" s="3120">
        <v>0</v>
      </c>
      <c r="N753" s="3120">
        <v>6.8965517241379306</v>
      </c>
      <c r="O753" s="3120">
        <v>6.8965517241379306</v>
      </c>
      <c r="P753" s="3120">
        <v>79.310344827586206</v>
      </c>
    </row>
    <row r="754" spans="1:16">
      <c r="A754" s="5702"/>
      <c r="B754" s="3123">
        <v>84</v>
      </c>
      <c r="C754" s="3124" t="s">
        <v>1565</v>
      </c>
      <c r="D754" s="3124" t="s">
        <v>2160</v>
      </c>
      <c r="E754" s="3125"/>
      <c r="F754" s="3125"/>
      <c r="G754" s="3126">
        <v>76</v>
      </c>
      <c r="H754" s="3123">
        <v>30</v>
      </c>
      <c r="I754" s="3127">
        <v>39.473684210526315</v>
      </c>
      <c r="J754" s="3127">
        <v>100</v>
      </c>
      <c r="K754" s="3127">
        <v>0</v>
      </c>
      <c r="L754" s="3127">
        <v>3.4482758620689653</v>
      </c>
      <c r="M754" s="3127">
        <v>0</v>
      </c>
      <c r="N754" s="3127">
        <v>13.793103448275861</v>
      </c>
      <c r="O754" s="3127">
        <v>20.689655172413794</v>
      </c>
      <c r="P754" s="3127">
        <v>62.068965517241381</v>
      </c>
    </row>
    <row r="755" spans="1:16">
      <c r="A755" s="449"/>
      <c r="B755" s="227"/>
      <c r="C755" s="227"/>
      <c r="D755" s="227"/>
      <c r="E755" s="2908"/>
      <c r="F755" s="227"/>
      <c r="G755" s="227"/>
      <c r="H755" s="227"/>
    </row>
    <row r="756" spans="1:16">
      <c r="A756" s="269"/>
      <c r="C756" s="271"/>
      <c r="D756" s="271"/>
      <c r="E756" s="271"/>
      <c r="F756" s="271"/>
      <c r="G756" s="269"/>
      <c r="H756" s="269"/>
    </row>
    <row r="757" spans="1:16" ht="17.399999999999999">
      <c r="A757" s="269"/>
      <c r="B757" s="270">
        <v>2015</v>
      </c>
      <c r="C757" s="271"/>
      <c r="D757" s="271"/>
      <c r="E757" s="271"/>
      <c r="F757" s="271"/>
      <c r="G757" s="269"/>
      <c r="H757" s="269"/>
    </row>
    <row r="758" spans="1:16" ht="17.399999999999999">
      <c r="A758" s="1187" t="s">
        <v>1642</v>
      </c>
      <c r="B758" s="270"/>
      <c r="C758" s="271"/>
      <c r="D758" s="271"/>
      <c r="E758" s="271"/>
      <c r="F758" s="271"/>
      <c r="G758" s="269"/>
      <c r="H758" s="269"/>
    </row>
    <row r="759" spans="1:16" ht="17.399999999999999">
      <c r="A759" s="1187" t="s">
        <v>1643</v>
      </c>
      <c r="B759" s="270"/>
      <c r="C759" s="271"/>
      <c r="D759" s="271"/>
      <c r="E759" s="271"/>
      <c r="F759" s="271"/>
      <c r="G759" s="269"/>
      <c r="H759" s="269"/>
    </row>
    <row r="760" spans="1:16" ht="27.75" customHeight="1">
      <c r="A760" s="5802" t="s">
        <v>1644</v>
      </c>
      <c r="B760" s="5802"/>
      <c r="C760" s="5802"/>
      <c r="D760" s="5802"/>
      <c r="E760" s="5802"/>
      <c r="F760" s="5802"/>
      <c r="G760" s="5802"/>
      <c r="H760" s="5802"/>
    </row>
    <row r="761" spans="1:16">
      <c r="A761" s="272"/>
      <c r="B761" s="58"/>
      <c r="C761" s="273"/>
      <c r="D761" s="273"/>
      <c r="E761" s="273"/>
      <c r="F761" s="1938"/>
      <c r="G761" s="269"/>
      <c r="H761" s="269"/>
    </row>
    <row r="762" spans="1:16" ht="39.6">
      <c r="A762" s="1188" t="s">
        <v>1036</v>
      </c>
      <c r="B762" s="1189" t="s">
        <v>1062</v>
      </c>
      <c r="C762" s="1190" t="s">
        <v>102</v>
      </c>
      <c r="D762" s="1190" t="s">
        <v>1063</v>
      </c>
      <c r="E762" s="5133"/>
      <c r="F762" s="1938"/>
      <c r="G762" s="269"/>
      <c r="H762" s="269"/>
    </row>
    <row r="763" spans="1:16">
      <c r="A763" s="1191" t="s">
        <v>1038</v>
      </c>
      <c r="B763" s="1191">
        <v>3755</v>
      </c>
      <c r="C763" s="1192">
        <v>80.329270900149666</v>
      </c>
      <c r="D763" s="1193">
        <v>0.80300000000000005</v>
      </c>
      <c r="E763" s="5134"/>
      <c r="F763" s="1938"/>
      <c r="G763" s="68"/>
      <c r="H763" s="269"/>
    </row>
    <row r="764" spans="1:16">
      <c r="A764" s="1191" t="s">
        <v>1039</v>
      </c>
      <c r="B764" s="1191">
        <v>922</v>
      </c>
      <c r="C764" s="1192">
        <v>19.67072909985033</v>
      </c>
      <c r="D764" s="1194">
        <v>0.19700000000000001</v>
      </c>
      <c r="E764" s="5135"/>
      <c r="F764" s="1938"/>
      <c r="G764" s="269"/>
      <c r="H764" s="269"/>
    </row>
    <row r="765" spans="1:16">
      <c r="A765" s="1189" t="s">
        <v>15</v>
      </c>
      <c r="B765" s="1189">
        <v>4677</v>
      </c>
      <c r="C765" s="3157">
        <v>100</v>
      </c>
      <c r="D765" s="3158">
        <v>100</v>
      </c>
      <c r="E765" s="5136"/>
      <c r="F765" s="1814"/>
      <c r="G765" s="269"/>
      <c r="H765" s="269"/>
    </row>
    <row r="766" spans="1:16">
      <c r="A766" s="227"/>
      <c r="B766" s="227"/>
      <c r="C766" s="227"/>
      <c r="D766" s="227"/>
      <c r="E766" s="2908"/>
      <c r="F766" s="227"/>
      <c r="G766" s="227"/>
      <c r="H766" s="227"/>
    </row>
    <row r="767" spans="1:16">
      <c r="A767" s="227"/>
      <c r="B767" s="227"/>
      <c r="C767" s="227"/>
      <c r="D767" s="227"/>
      <c r="E767" s="2908"/>
      <c r="F767" s="227"/>
      <c r="G767" s="227"/>
      <c r="H767" s="227"/>
    </row>
    <row r="768" spans="1:16" ht="17.399999999999999">
      <c r="A768" s="269"/>
      <c r="B768" s="270">
        <v>2014</v>
      </c>
      <c r="C768" s="271"/>
      <c r="D768" s="271"/>
      <c r="E768" s="271"/>
      <c r="F768" s="271"/>
      <c r="G768" s="269"/>
      <c r="H768" s="269"/>
      <c r="I768" s="56"/>
    </row>
    <row r="769" spans="1:13">
      <c r="A769" s="272" t="s">
        <v>1060</v>
      </c>
      <c r="B769" s="272"/>
      <c r="C769" s="272"/>
      <c r="D769" s="272"/>
      <c r="E769" s="272"/>
      <c r="F769" s="272"/>
      <c r="G769" s="272"/>
      <c r="H769" s="272"/>
      <c r="I769" s="272"/>
    </row>
    <row r="770" spans="1:13">
      <c r="A770" s="272"/>
      <c r="B770" s="58"/>
      <c r="C770" s="273"/>
      <c r="D770" s="273"/>
      <c r="E770" s="273"/>
      <c r="F770" s="1939"/>
      <c r="G770" s="269"/>
      <c r="H770" s="269"/>
      <c r="I770" s="56"/>
    </row>
    <row r="771" spans="1:13" ht="26.4">
      <c r="A771" s="274" t="s">
        <v>1061</v>
      </c>
      <c r="B771" s="275" t="s">
        <v>1062</v>
      </c>
      <c r="C771" s="276" t="s">
        <v>102</v>
      </c>
      <c r="D771" s="276" t="s">
        <v>1063</v>
      </c>
      <c r="E771" s="5133"/>
      <c r="F771" s="1939"/>
      <c r="G771" s="269"/>
      <c r="H771" s="249"/>
      <c r="I771" s="56"/>
    </row>
    <row r="772" spans="1:13">
      <c r="A772" s="277" t="s">
        <v>1038</v>
      </c>
      <c r="B772" s="277">
        <v>3683</v>
      </c>
      <c r="C772" s="278">
        <f>B772*100/B$776</f>
        <v>83.495805939696211</v>
      </c>
      <c r="D772" s="279">
        <f>B772*100/B$774</f>
        <v>83.914331282752329</v>
      </c>
      <c r="E772" s="5137"/>
      <c r="F772" s="1939"/>
      <c r="G772" s="68"/>
      <c r="H772" s="269"/>
      <c r="I772" s="56"/>
    </row>
    <row r="773" spans="1:13">
      <c r="A773" s="277" t="s">
        <v>1039</v>
      </c>
      <c r="B773" s="277">
        <v>706</v>
      </c>
      <c r="C773" s="278">
        <f>B773*100/B$776</f>
        <v>16.005440943096804</v>
      </c>
      <c r="D773" s="280">
        <f>B773*100/B$774</f>
        <v>16.085668717247664</v>
      </c>
      <c r="E773" s="5138"/>
      <c r="F773" s="1939"/>
      <c r="G773" s="269"/>
      <c r="H773" s="269"/>
      <c r="I773" s="56"/>
    </row>
    <row r="774" spans="1:13">
      <c r="A774" s="2901" t="s">
        <v>15</v>
      </c>
      <c r="B774" s="2901">
        <v>4389</v>
      </c>
      <c r="C774" s="3159">
        <f>B774*100/B$776</f>
        <v>99.501246882793012</v>
      </c>
      <c r="D774" s="3159">
        <f>B774*100/B$774</f>
        <v>100</v>
      </c>
      <c r="E774" s="5139"/>
      <c r="F774" s="1939"/>
      <c r="G774" s="269"/>
      <c r="H774" s="269"/>
      <c r="I774" s="56"/>
    </row>
    <row r="775" spans="1:13">
      <c r="A775" s="277" t="s">
        <v>1064</v>
      </c>
      <c r="B775" s="277">
        <v>22</v>
      </c>
      <c r="C775" s="278">
        <f>B775*100/B$776</f>
        <v>0.49875311720698257</v>
      </c>
      <c r="D775" s="280"/>
      <c r="E775" s="5138"/>
      <c r="F775" s="1939"/>
      <c r="G775" s="269"/>
      <c r="H775" s="269"/>
      <c r="I775" s="56"/>
    </row>
    <row r="776" spans="1:13">
      <c r="A776" s="3199" t="s">
        <v>15</v>
      </c>
      <c r="B776" s="3199">
        <v>4411</v>
      </c>
      <c r="C776" s="3200">
        <f>B776*100/B$776</f>
        <v>100</v>
      </c>
      <c r="D776" s="3200"/>
      <c r="E776" s="5140"/>
      <c r="F776" s="1939"/>
      <c r="G776" s="269"/>
      <c r="H776" s="269"/>
      <c r="I776" s="56"/>
    </row>
    <row r="777" spans="1:13">
      <c r="A777" s="227"/>
      <c r="B777" s="227"/>
      <c r="C777" s="227"/>
      <c r="D777" s="227"/>
      <c r="E777" s="2908"/>
      <c r="F777" s="227"/>
      <c r="G777" s="227"/>
      <c r="H777" s="227"/>
    </row>
    <row r="778" spans="1:13">
      <c r="A778" s="37"/>
      <c r="B778" s="37"/>
      <c r="C778" s="37"/>
      <c r="D778" s="37"/>
      <c r="E778" s="37"/>
      <c r="F778" s="37"/>
      <c r="G778" s="5801" t="s">
        <v>1501</v>
      </c>
      <c r="H778" s="5801"/>
      <c r="I778" s="5814" t="s">
        <v>1502</v>
      </c>
      <c r="J778" s="5815"/>
      <c r="K778" s="5815"/>
      <c r="L778" s="5815"/>
      <c r="M778" s="5816"/>
    </row>
    <row r="779" spans="1:13">
      <c r="A779" s="1794" t="s">
        <v>0</v>
      </c>
      <c r="B779" s="1794" t="s">
        <v>1</v>
      </c>
      <c r="C779" s="1794" t="s">
        <v>1500</v>
      </c>
      <c r="D779" s="1794" t="s">
        <v>1009</v>
      </c>
      <c r="E779" s="5141"/>
      <c r="F779" s="1940"/>
      <c r="G779" s="1795" t="s">
        <v>267</v>
      </c>
      <c r="H779" s="1795" t="s">
        <v>268</v>
      </c>
      <c r="I779" s="1796" t="s">
        <v>1503</v>
      </c>
      <c r="J779" s="1796" t="s">
        <v>1504</v>
      </c>
      <c r="K779" s="1796" t="s">
        <v>1505</v>
      </c>
      <c r="L779" s="1796" t="s">
        <v>1506</v>
      </c>
      <c r="M779" s="1796" t="s">
        <v>15</v>
      </c>
    </row>
    <row r="780" spans="1:13">
      <c r="A780" s="5784" t="s">
        <v>70</v>
      </c>
      <c r="B780" s="5787" t="s">
        <v>21</v>
      </c>
      <c r="C780" s="3160" t="s">
        <v>1529</v>
      </c>
      <c r="D780" s="3161" t="s">
        <v>1514</v>
      </c>
      <c r="E780" s="3161"/>
      <c r="F780" s="3161"/>
      <c r="G780" s="3162">
        <v>90.9</v>
      </c>
      <c r="H780" s="3162">
        <v>9.1</v>
      </c>
      <c r="I780" s="3163">
        <v>5.3</v>
      </c>
      <c r="J780" s="3163">
        <v>5.3</v>
      </c>
      <c r="K780" s="3163">
        <v>15.7</v>
      </c>
      <c r="L780" s="3163">
        <v>5.3</v>
      </c>
      <c r="M780" s="3163">
        <v>68.400000000000006</v>
      </c>
    </row>
    <row r="781" spans="1:13">
      <c r="A781" s="5785"/>
      <c r="B781" s="5788"/>
      <c r="C781" s="3164" t="s">
        <v>1525</v>
      </c>
      <c r="D781" s="3165" t="s">
        <v>1508</v>
      </c>
      <c r="E781" s="3165"/>
      <c r="F781" s="3165"/>
      <c r="G781" s="3166">
        <v>81.3</v>
      </c>
      <c r="H781" s="3166">
        <v>18.8</v>
      </c>
      <c r="I781" s="3167">
        <v>0</v>
      </c>
      <c r="J781" s="3167">
        <v>0</v>
      </c>
      <c r="K781" s="3167">
        <v>15.4</v>
      </c>
      <c r="L781" s="3167">
        <v>7.7</v>
      </c>
      <c r="M781" s="3167">
        <v>76.900000000000006</v>
      </c>
    </row>
    <row r="782" spans="1:13">
      <c r="A782" s="5785"/>
      <c r="B782" s="5788"/>
      <c r="C782" s="3164" t="s">
        <v>1526</v>
      </c>
      <c r="D782" s="3165" t="s">
        <v>1508</v>
      </c>
      <c r="E782" s="3165"/>
      <c r="F782" s="3165"/>
      <c r="G782" s="3166">
        <v>88.8</v>
      </c>
      <c r="H782" s="3166">
        <v>11.200000000000001</v>
      </c>
      <c r="I782" s="3167">
        <v>4</v>
      </c>
      <c r="J782" s="3167">
        <v>2.4</v>
      </c>
      <c r="K782" s="3167">
        <v>10.4</v>
      </c>
      <c r="L782" s="3167">
        <v>12.8</v>
      </c>
      <c r="M782" s="3167">
        <v>70.399999999999991</v>
      </c>
    </row>
    <row r="783" spans="1:13">
      <c r="A783" s="5785"/>
      <c r="B783" s="5788"/>
      <c r="C783" s="3164" t="s">
        <v>1527</v>
      </c>
      <c r="D783" s="3165" t="s">
        <v>1510</v>
      </c>
      <c r="E783" s="3165"/>
      <c r="F783" s="3165"/>
      <c r="G783" s="3166">
        <v>76</v>
      </c>
      <c r="H783" s="3166">
        <v>24</v>
      </c>
      <c r="I783" s="3167">
        <v>2.5</v>
      </c>
      <c r="J783" s="3167">
        <v>7.7</v>
      </c>
      <c r="K783" s="3167">
        <v>10.299999999999999</v>
      </c>
      <c r="L783" s="3167">
        <v>20.5</v>
      </c>
      <c r="M783" s="3167">
        <v>59</v>
      </c>
    </row>
    <row r="784" spans="1:13">
      <c r="A784" s="5785"/>
      <c r="B784" s="5789"/>
      <c r="C784" s="3176" t="s">
        <v>1528</v>
      </c>
      <c r="D784" s="3177" t="s">
        <v>1510</v>
      </c>
      <c r="E784" s="3177"/>
      <c r="F784" s="3177"/>
      <c r="G784" s="3178">
        <v>92.300000000000011</v>
      </c>
      <c r="H784" s="3178">
        <v>7.7</v>
      </c>
      <c r="I784" s="3179">
        <v>8.3000000000000007</v>
      </c>
      <c r="J784" s="3179">
        <v>16.7</v>
      </c>
      <c r="K784" s="3179">
        <v>0</v>
      </c>
      <c r="L784" s="3179">
        <v>0</v>
      </c>
      <c r="M784" s="3179">
        <v>75</v>
      </c>
    </row>
    <row r="785" spans="1:13">
      <c r="A785" s="5785"/>
      <c r="B785" s="5787" t="s">
        <v>4</v>
      </c>
      <c r="C785" s="3160" t="s">
        <v>1513</v>
      </c>
      <c r="D785" s="3161" t="s">
        <v>1514</v>
      </c>
      <c r="E785" s="3161"/>
      <c r="F785" s="3161"/>
      <c r="G785" s="3162">
        <v>80</v>
      </c>
      <c r="H785" s="3162">
        <v>20</v>
      </c>
      <c r="I785" s="3163">
        <v>5</v>
      </c>
      <c r="J785" s="3163">
        <v>0</v>
      </c>
      <c r="K785" s="3163">
        <v>15</v>
      </c>
      <c r="L785" s="3163">
        <v>5</v>
      </c>
      <c r="M785" s="3163">
        <v>75</v>
      </c>
    </row>
    <row r="786" spans="1:13">
      <c r="A786" s="5785"/>
      <c r="B786" s="5788"/>
      <c r="C786" s="3164" t="s">
        <v>1515</v>
      </c>
      <c r="D786" s="3165" t="s">
        <v>1514</v>
      </c>
      <c r="E786" s="3165"/>
      <c r="F786" s="3165"/>
      <c r="G786" s="3166">
        <v>100</v>
      </c>
      <c r="H786" s="3166">
        <v>0</v>
      </c>
      <c r="I786" s="3167">
        <v>0</v>
      </c>
      <c r="J786" s="3167">
        <v>0</v>
      </c>
      <c r="K786" s="3167">
        <v>0</v>
      </c>
      <c r="L786" s="3167">
        <v>0</v>
      </c>
      <c r="M786" s="3167">
        <v>100</v>
      </c>
    </row>
    <row r="787" spans="1:13">
      <c r="A787" s="5785"/>
      <c r="B787" s="5788"/>
      <c r="C787" s="3164" t="s">
        <v>1507</v>
      </c>
      <c r="D787" s="3165" t="s">
        <v>1508</v>
      </c>
      <c r="E787" s="3165"/>
      <c r="F787" s="3165"/>
      <c r="G787" s="3166">
        <v>83.3</v>
      </c>
      <c r="H787" s="3166">
        <v>16.7</v>
      </c>
      <c r="I787" s="3167">
        <v>0</v>
      </c>
      <c r="J787" s="3167">
        <v>10</v>
      </c>
      <c r="K787" s="3167">
        <v>10</v>
      </c>
      <c r="L787" s="3167">
        <v>10</v>
      </c>
      <c r="M787" s="3167">
        <v>70</v>
      </c>
    </row>
    <row r="788" spans="1:13">
      <c r="A788" s="5785"/>
      <c r="B788" s="5788"/>
      <c r="C788" s="3164" t="s">
        <v>1509</v>
      </c>
      <c r="D788" s="3165" t="s">
        <v>1510</v>
      </c>
      <c r="E788" s="3165"/>
      <c r="F788" s="3165"/>
      <c r="G788" s="3166">
        <v>80</v>
      </c>
      <c r="H788" s="3166">
        <v>20</v>
      </c>
      <c r="I788" s="3167">
        <v>0</v>
      </c>
      <c r="J788" s="3167">
        <v>7.3999999999999995</v>
      </c>
      <c r="K788" s="3167">
        <v>3.6999999999999997</v>
      </c>
      <c r="L788" s="3167">
        <v>3.6999999999999997</v>
      </c>
      <c r="M788" s="3167">
        <v>85.2</v>
      </c>
    </row>
    <row r="789" spans="1:13">
      <c r="A789" s="5785"/>
      <c r="B789" s="5788"/>
      <c r="C789" s="3164" t="s">
        <v>1511</v>
      </c>
      <c r="D789" s="3165" t="s">
        <v>1510</v>
      </c>
      <c r="E789" s="3165"/>
      <c r="F789" s="3165"/>
      <c r="G789" s="3166">
        <v>94.699999999999989</v>
      </c>
      <c r="H789" s="3166">
        <v>5.3</v>
      </c>
      <c r="I789" s="3167">
        <v>5.7</v>
      </c>
      <c r="J789" s="3167">
        <v>7.5</v>
      </c>
      <c r="K789" s="3167">
        <v>5.7</v>
      </c>
      <c r="L789" s="3167">
        <v>9.4</v>
      </c>
      <c r="M789" s="3167">
        <v>71.7</v>
      </c>
    </row>
    <row r="790" spans="1:13">
      <c r="A790" s="5785"/>
      <c r="B790" s="5789"/>
      <c r="C790" s="3168" t="s">
        <v>1512</v>
      </c>
      <c r="D790" s="3169" t="s">
        <v>1510</v>
      </c>
      <c r="E790" s="3169"/>
      <c r="F790" s="3169"/>
      <c r="G790" s="3170">
        <v>90.9</v>
      </c>
      <c r="H790" s="3170">
        <v>9.1</v>
      </c>
      <c r="I790" s="3171">
        <v>5.3</v>
      </c>
      <c r="J790" s="3171">
        <v>5.3</v>
      </c>
      <c r="K790" s="3171">
        <v>5.3</v>
      </c>
      <c r="L790" s="3171">
        <v>0</v>
      </c>
      <c r="M790" s="3171">
        <v>84.1</v>
      </c>
    </row>
    <row r="791" spans="1:13">
      <c r="A791" s="5785"/>
      <c r="B791" s="5787" t="s">
        <v>16</v>
      </c>
      <c r="C791" s="3172" t="s">
        <v>1523</v>
      </c>
      <c r="D791" s="3173" t="s">
        <v>1514</v>
      </c>
      <c r="E791" s="3173"/>
      <c r="F791" s="3173"/>
      <c r="G791" s="3174">
        <v>100</v>
      </c>
      <c r="H791" s="3174">
        <v>0</v>
      </c>
      <c r="I791" s="3175">
        <v>0</v>
      </c>
      <c r="J791" s="3175">
        <v>0</v>
      </c>
      <c r="K791" s="3175">
        <v>0</v>
      </c>
      <c r="L791" s="3175">
        <v>100</v>
      </c>
      <c r="M791" s="3175">
        <v>0</v>
      </c>
    </row>
    <row r="792" spans="1:13">
      <c r="A792" s="5785"/>
      <c r="B792" s="5788"/>
      <c r="C792" s="3164" t="s">
        <v>1524</v>
      </c>
      <c r="D792" s="3165" t="s">
        <v>1514</v>
      </c>
      <c r="E792" s="3165"/>
      <c r="F792" s="3165"/>
      <c r="G792" s="3166">
        <v>87.5</v>
      </c>
      <c r="H792" s="3166">
        <v>12.5</v>
      </c>
      <c r="I792" s="3167">
        <v>0</v>
      </c>
      <c r="J792" s="3167">
        <v>0</v>
      </c>
      <c r="K792" s="3167">
        <v>14.299999999999999</v>
      </c>
      <c r="L792" s="3167">
        <v>14.299999999999999</v>
      </c>
      <c r="M792" s="3167">
        <v>71.399999999999991</v>
      </c>
    </row>
    <row r="793" spans="1:13">
      <c r="A793" s="5785"/>
      <c r="B793" s="5788"/>
      <c r="C793" s="3164" t="s">
        <v>1516</v>
      </c>
      <c r="D793" s="3165" t="s">
        <v>1508</v>
      </c>
      <c r="E793" s="3165"/>
      <c r="F793" s="3165"/>
      <c r="G793" s="3166">
        <v>81.8</v>
      </c>
      <c r="H793" s="3166">
        <v>18.2</v>
      </c>
      <c r="I793" s="3167">
        <v>3.8</v>
      </c>
      <c r="J793" s="3167">
        <v>3.8</v>
      </c>
      <c r="K793" s="3167">
        <v>7.4</v>
      </c>
      <c r="L793" s="3167">
        <v>20.8</v>
      </c>
      <c r="M793" s="3167">
        <v>64.2</v>
      </c>
    </row>
    <row r="794" spans="1:13">
      <c r="A794" s="5785"/>
      <c r="B794" s="5788"/>
      <c r="C794" s="3164" t="s">
        <v>1517</v>
      </c>
      <c r="D794" s="3165" t="s">
        <v>1508</v>
      </c>
      <c r="E794" s="3165"/>
      <c r="F794" s="3165"/>
      <c r="G794" s="3166">
        <v>86.5</v>
      </c>
      <c r="H794" s="3166">
        <v>13.5</v>
      </c>
      <c r="I794" s="3167">
        <v>2.1999999999999997</v>
      </c>
      <c r="J794" s="3167">
        <v>6.7</v>
      </c>
      <c r="K794" s="3167">
        <v>6.7</v>
      </c>
      <c r="L794" s="3167">
        <v>22.2</v>
      </c>
      <c r="M794" s="3167">
        <v>62.2</v>
      </c>
    </row>
    <row r="795" spans="1:13">
      <c r="A795" s="5785"/>
      <c r="B795" s="5788"/>
      <c r="C795" s="3164" t="s">
        <v>1518</v>
      </c>
      <c r="D795" s="3165" t="s">
        <v>1510</v>
      </c>
      <c r="E795" s="3165"/>
      <c r="F795" s="3165"/>
      <c r="G795" s="3166">
        <v>84.1</v>
      </c>
      <c r="H795" s="3166">
        <v>15.9</v>
      </c>
      <c r="I795" s="3167">
        <v>2.7</v>
      </c>
      <c r="J795" s="3167">
        <v>4</v>
      </c>
      <c r="K795" s="3167">
        <v>21.3</v>
      </c>
      <c r="L795" s="3167">
        <v>12</v>
      </c>
      <c r="M795" s="3167">
        <v>60</v>
      </c>
    </row>
    <row r="796" spans="1:13">
      <c r="A796" s="5785"/>
      <c r="B796" s="5788"/>
      <c r="C796" s="3164" t="s">
        <v>1519</v>
      </c>
      <c r="D796" s="3165" t="s">
        <v>1510</v>
      </c>
      <c r="E796" s="3165"/>
      <c r="F796" s="3165"/>
      <c r="G796" s="3166">
        <v>82.899999999999991</v>
      </c>
      <c r="H796" s="3166">
        <v>17.100000000000001</v>
      </c>
      <c r="I796" s="3167">
        <v>0</v>
      </c>
      <c r="J796" s="3167">
        <v>6.1</v>
      </c>
      <c r="K796" s="3167">
        <v>24.2</v>
      </c>
      <c r="L796" s="3167">
        <v>15.2</v>
      </c>
      <c r="M796" s="3167">
        <v>54.500000000000007</v>
      </c>
    </row>
    <row r="797" spans="1:13">
      <c r="A797" s="5785"/>
      <c r="B797" s="5788"/>
      <c r="C797" s="3164" t="s">
        <v>1520</v>
      </c>
      <c r="D797" s="3165" t="s">
        <v>1510</v>
      </c>
      <c r="E797" s="3165"/>
      <c r="F797" s="3165"/>
      <c r="G797" s="3166">
        <v>73.5</v>
      </c>
      <c r="H797" s="3166">
        <v>26.5</v>
      </c>
      <c r="I797" s="3167">
        <v>0</v>
      </c>
      <c r="J797" s="3167">
        <v>4.0999999999999996</v>
      </c>
      <c r="K797" s="3167">
        <v>16.7</v>
      </c>
      <c r="L797" s="3167">
        <v>12.5</v>
      </c>
      <c r="M797" s="3167">
        <v>66.7</v>
      </c>
    </row>
    <row r="798" spans="1:13">
      <c r="A798" s="5785"/>
      <c r="B798" s="5788"/>
      <c r="C798" s="3164" t="s">
        <v>1521</v>
      </c>
      <c r="D798" s="3165" t="s">
        <v>1510</v>
      </c>
      <c r="E798" s="3165"/>
      <c r="F798" s="3165"/>
      <c r="G798" s="3166">
        <v>75.599999999999994</v>
      </c>
      <c r="H798" s="3166">
        <v>24.4</v>
      </c>
      <c r="I798" s="3167">
        <v>3</v>
      </c>
      <c r="J798" s="3167">
        <v>0</v>
      </c>
      <c r="K798" s="3167">
        <v>15.2</v>
      </c>
      <c r="L798" s="3167">
        <v>9.1</v>
      </c>
      <c r="M798" s="3167">
        <v>72.7</v>
      </c>
    </row>
    <row r="799" spans="1:13">
      <c r="A799" s="5786"/>
      <c r="B799" s="5789"/>
      <c r="C799" s="3168" t="s">
        <v>1522</v>
      </c>
      <c r="D799" s="3169" t="s">
        <v>1510</v>
      </c>
      <c r="E799" s="3169"/>
      <c r="F799" s="3169"/>
      <c r="G799" s="3170">
        <v>36.4</v>
      </c>
      <c r="H799" s="3170">
        <v>63.6</v>
      </c>
      <c r="I799" s="3171">
        <v>0</v>
      </c>
      <c r="J799" s="3171">
        <v>0</v>
      </c>
      <c r="K799" s="3171">
        <v>0</v>
      </c>
      <c r="L799" s="3171">
        <v>25</v>
      </c>
      <c r="M799" s="3171">
        <v>75</v>
      </c>
    </row>
    <row r="800" spans="1:13">
      <c r="A800" s="3180" t="s">
        <v>72</v>
      </c>
      <c r="B800" s="3185" t="s">
        <v>16</v>
      </c>
      <c r="C800" s="3181" t="s">
        <v>1589</v>
      </c>
      <c r="D800" s="3182" t="s">
        <v>1510</v>
      </c>
      <c r="E800" s="5142"/>
      <c r="F800" s="3182"/>
      <c r="G800" s="3183">
        <v>46.2</v>
      </c>
      <c r="H800" s="3183">
        <v>53.800000000000004</v>
      </c>
      <c r="I800" s="3184">
        <v>16.600000000000001</v>
      </c>
      <c r="J800" s="3184">
        <v>0</v>
      </c>
      <c r="K800" s="3184">
        <v>0</v>
      </c>
      <c r="L800" s="3184">
        <v>16.7</v>
      </c>
      <c r="M800" s="3184">
        <v>66.7</v>
      </c>
    </row>
    <row r="801" spans="1:13">
      <c r="A801" s="5784" t="s">
        <v>73</v>
      </c>
      <c r="B801" s="5787" t="s">
        <v>4</v>
      </c>
      <c r="C801" s="3160" t="s">
        <v>1558</v>
      </c>
      <c r="D801" s="3161" t="s">
        <v>1514</v>
      </c>
      <c r="E801" s="3161"/>
      <c r="F801" s="3161"/>
      <c r="G801" s="3162">
        <v>77.2</v>
      </c>
      <c r="H801" s="3162">
        <v>22.8</v>
      </c>
      <c r="I801" s="3163">
        <v>2.9000000000000004</v>
      </c>
      <c r="J801" s="3163">
        <v>5.0999999999999996</v>
      </c>
      <c r="K801" s="3163">
        <v>8.7999999999999989</v>
      </c>
      <c r="L801" s="3163">
        <v>16.8</v>
      </c>
      <c r="M801" s="3163">
        <v>66.400000000000006</v>
      </c>
    </row>
    <row r="802" spans="1:13">
      <c r="A802" s="5785"/>
      <c r="B802" s="5788"/>
      <c r="C802" s="3164" t="s">
        <v>1551</v>
      </c>
      <c r="D802" s="3165" t="s">
        <v>1514</v>
      </c>
      <c r="E802" s="3165"/>
      <c r="F802" s="3165"/>
      <c r="G802" s="3166">
        <v>76.900000000000006</v>
      </c>
      <c r="H802" s="3166">
        <v>23.1</v>
      </c>
      <c r="I802" s="3167">
        <v>1.2</v>
      </c>
      <c r="J802" s="3167">
        <v>0</v>
      </c>
      <c r="K802" s="3167">
        <v>2.4</v>
      </c>
      <c r="L802" s="3167">
        <v>23.799999999999997</v>
      </c>
      <c r="M802" s="3167">
        <v>72.599999999999994</v>
      </c>
    </row>
    <row r="803" spans="1:13">
      <c r="A803" s="5785"/>
      <c r="B803" s="5788"/>
      <c r="C803" s="3164" t="s">
        <v>1553</v>
      </c>
      <c r="D803" s="3165" t="s">
        <v>1514</v>
      </c>
      <c r="E803" s="3165"/>
      <c r="F803" s="3165"/>
      <c r="G803" s="3166">
        <v>100</v>
      </c>
      <c r="H803" s="3166">
        <v>0</v>
      </c>
      <c r="I803" s="3167">
        <v>0</v>
      </c>
      <c r="J803" s="3167">
        <v>0</v>
      </c>
      <c r="K803" s="3167">
        <v>0</v>
      </c>
      <c r="L803" s="3167">
        <v>20</v>
      </c>
      <c r="M803" s="3167">
        <v>80</v>
      </c>
    </row>
    <row r="804" spans="1:13">
      <c r="A804" s="5785"/>
      <c r="B804" s="5788"/>
      <c r="C804" s="3164" t="s">
        <v>1533</v>
      </c>
      <c r="D804" s="3165" t="s">
        <v>1510</v>
      </c>
      <c r="E804" s="3165"/>
      <c r="F804" s="3165"/>
      <c r="G804" s="3166">
        <v>74.099999999999994</v>
      </c>
      <c r="H804" s="3166">
        <v>25.900000000000002</v>
      </c>
      <c r="I804" s="3167">
        <v>0</v>
      </c>
      <c r="J804" s="3167">
        <v>5</v>
      </c>
      <c r="K804" s="3167">
        <v>5</v>
      </c>
      <c r="L804" s="3167">
        <v>30</v>
      </c>
      <c r="M804" s="3167">
        <v>60</v>
      </c>
    </row>
    <row r="805" spans="1:13">
      <c r="A805" s="5785"/>
      <c r="B805" s="5788"/>
      <c r="C805" s="3164" t="s">
        <v>1534</v>
      </c>
      <c r="D805" s="3165" t="s">
        <v>1510</v>
      </c>
      <c r="E805" s="3165"/>
      <c r="F805" s="3165"/>
      <c r="G805" s="3166">
        <v>90.100000000000009</v>
      </c>
      <c r="H805" s="3166">
        <v>9.9</v>
      </c>
      <c r="I805" s="3167">
        <v>3.2</v>
      </c>
      <c r="J805" s="3167">
        <v>6.3</v>
      </c>
      <c r="K805" s="3167">
        <v>12.7</v>
      </c>
      <c r="L805" s="3167">
        <v>6.3</v>
      </c>
      <c r="M805" s="3167">
        <v>71.5</v>
      </c>
    </row>
    <row r="806" spans="1:13">
      <c r="A806" s="5785"/>
      <c r="B806" s="5788"/>
      <c r="C806" s="3164" t="s">
        <v>1535</v>
      </c>
      <c r="D806" s="3165" t="s">
        <v>1510</v>
      </c>
      <c r="E806" s="3165"/>
      <c r="F806" s="3165"/>
      <c r="G806" s="3166">
        <v>77.8</v>
      </c>
      <c r="H806" s="3166">
        <v>22.2</v>
      </c>
      <c r="I806" s="3167">
        <v>0</v>
      </c>
      <c r="J806" s="3167">
        <v>0</v>
      </c>
      <c r="K806" s="3167">
        <v>0</v>
      </c>
      <c r="L806" s="3167">
        <v>0</v>
      </c>
      <c r="M806" s="3167">
        <v>100</v>
      </c>
    </row>
    <row r="807" spans="1:13">
      <c r="A807" s="5785"/>
      <c r="B807" s="5788"/>
      <c r="C807" s="3164" t="s">
        <v>1536</v>
      </c>
      <c r="D807" s="3165" t="s">
        <v>1510</v>
      </c>
      <c r="E807" s="3165"/>
      <c r="F807" s="3165"/>
      <c r="G807" s="3166">
        <v>84.399999999999991</v>
      </c>
      <c r="H807" s="3166">
        <v>15.6</v>
      </c>
      <c r="I807" s="3167">
        <v>0</v>
      </c>
      <c r="J807" s="3167">
        <v>0</v>
      </c>
      <c r="K807" s="3167">
        <v>10.8</v>
      </c>
      <c r="L807" s="3167">
        <v>8.1</v>
      </c>
      <c r="M807" s="3167">
        <v>81.100000000000009</v>
      </c>
    </row>
    <row r="808" spans="1:13">
      <c r="A808" s="5785"/>
      <c r="B808" s="5788"/>
      <c r="C808" s="3164" t="s">
        <v>1537</v>
      </c>
      <c r="D808" s="3165" t="s">
        <v>1510</v>
      </c>
      <c r="E808" s="3165"/>
      <c r="F808" s="3165"/>
      <c r="G808" s="3166">
        <v>76</v>
      </c>
      <c r="H808" s="3166">
        <v>24</v>
      </c>
      <c r="I808" s="3167">
        <v>5.2</v>
      </c>
      <c r="J808" s="3167">
        <v>0</v>
      </c>
      <c r="K808" s="3167">
        <v>5.3</v>
      </c>
      <c r="L808" s="3167">
        <v>21.099999999999998</v>
      </c>
      <c r="M808" s="3167">
        <v>68.400000000000006</v>
      </c>
    </row>
    <row r="809" spans="1:13">
      <c r="A809" s="5785"/>
      <c r="B809" s="5788"/>
      <c r="C809" s="3164" t="s">
        <v>1549</v>
      </c>
      <c r="D809" s="3165" t="s">
        <v>1510</v>
      </c>
      <c r="E809" s="3165"/>
      <c r="F809" s="3165"/>
      <c r="G809" s="3166">
        <v>82.399999999999991</v>
      </c>
      <c r="H809" s="3166">
        <v>17.599999999999998</v>
      </c>
      <c r="I809" s="3167">
        <v>0</v>
      </c>
      <c r="J809" s="3167">
        <v>7.3999999999999995</v>
      </c>
      <c r="K809" s="3167">
        <v>0</v>
      </c>
      <c r="L809" s="3167">
        <v>11.1</v>
      </c>
      <c r="M809" s="3167">
        <v>81.5</v>
      </c>
    </row>
    <row r="810" spans="1:13">
      <c r="A810" s="5785"/>
      <c r="B810" s="5788"/>
      <c r="C810" s="3164" t="s">
        <v>1550</v>
      </c>
      <c r="D810" s="3165" t="s">
        <v>1510</v>
      </c>
      <c r="E810" s="3165"/>
      <c r="F810" s="3165"/>
      <c r="G810" s="3166">
        <v>92.2</v>
      </c>
      <c r="H810" s="3166">
        <v>7.8</v>
      </c>
      <c r="I810" s="3167">
        <v>3.4000000000000004</v>
      </c>
      <c r="J810" s="3167">
        <v>3.4000000000000004</v>
      </c>
      <c r="K810" s="3167">
        <v>10.1</v>
      </c>
      <c r="L810" s="3167">
        <v>6.8000000000000007</v>
      </c>
      <c r="M810" s="3167">
        <v>76.3</v>
      </c>
    </row>
    <row r="811" spans="1:13">
      <c r="A811" s="5785"/>
      <c r="B811" s="5788"/>
      <c r="C811" s="3164" t="s">
        <v>1551</v>
      </c>
      <c r="D811" s="3165" t="s">
        <v>1510</v>
      </c>
      <c r="E811" s="3165"/>
      <c r="F811" s="3165"/>
      <c r="G811" s="3166">
        <v>89</v>
      </c>
      <c r="H811" s="3166">
        <v>11</v>
      </c>
      <c r="I811" s="3167">
        <v>3.2</v>
      </c>
      <c r="J811" s="3167">
        <v>9.5</v>
      </c>
      <c r="K811" s="3167">
        <v>7.9</v>
      </c>
      <c r="L811" s="3167">
        <v>11.1</v>
      </c>
      <c r="M811" s="3167">
        <v>68.300000000000011</v>
      </c>
    </row>
    <row r="812" spans="1:13">
      <c r="A812" s="5785"/>
      <c r="B812" s="5788"/>
      <c r="C812" s="3164" t="s">
        <v>1552</v>
      </c>
      <c r="D812" s="3165" t="s">
        <v>1510</v>
      </c>
      <c r="E812" s="3165"/>
      <c r="F812" s="3165"/>
      <c r="G812" s="3166">
        <v>82</v>
      </c>
      <c r="H812" s="3166">
        <v>18</v>
      </c>
      <c r="I812" s="3167">
        <v>0</v>
      </c>
      <c r="J812" s="3167">
        <v>6</v>
      </c>
      <c r="K812" s="3167">
        <v>8</v>
      </c>
      <c r="L812" s="3167">
        <v>12</v>
      </c>
      <c r="M812" s="3167">
        <v>74</v>
      </c>
    </row>
    <row r="813" spans="1:13">
      <c r="A813" s="5785"/>
      <c r="B813" s="5788"/>
      <c r="C813" s="3164" t="s">
        <v>1553</v>
      </c>
      <c r="D813" s="3165" t="s">
        <v>1510</v>
      </c>
      <c r="E813" s="3165"/>
      <c r="F813" s="3165"/>
      <c r="G813" s="3166">
        <v>76.099999999999994</v>
      </c>
      <c r="H813" s="3166">
        <v>23.9</v>
      </c>
      <c r="I813" s="3167">
        <v>5.4</v>
      </c>
      <c r="J813" s="3167">
        <v>7.3</v>
      </c>
      <c r="K813" s="3167">
        <v>16.400000000000002</v>
      </c>
      <c r="L813" s="3167">
        <v>12.7</v>
      </c>
      <c r="M813" s="3167">
        <v>58.199999999999996</v>
      </c>
    </row>
    <row r="814" spans="1:13">
      <c r="A814" s="5785"/>
      <c r="B814" s="5788"/>
      <c r="C814" s="3164" t="s">
        <v>1556</v>
      </c>
      <c r="D814" s="3165" t="s">
        <v>1510</v>
      </c>
      <c r="E814" s="3165"/>
      <c r="F814" s="3165"/>
      <c r="G814" s="3166">
        <v>84.2</v>
      </c>
      <c r="H814" s="3166">
        <v>15.8</v>
      </c>
      <c r="I814" s="3167">
        <v>0</v>
      </c>
      <c r="J814" s="3167">
        <v>6.3</v>
      </c>
      <c r="K814" s="3167">
        <v>18.7</v>
      </c>
      <c r="L814" s="3167">
        <v>12.5</v>
      </c>
      <c r="M814" s="3167">
        <v>62.5</v>
      </c>
    </row>
    <row r="815" spans="1:13">
      <c r="A815" s="5785"/>
      <c r="B815" s="5789"/>
      <c r="C815" s="3176" t="s">
        <v>1557</v>
      </c>
      <c r="D815" s="3177" t="s">
        <v>1510</v>
      </c>
      <c r="E815" s="3177"/>
      <c r="F815" s="3177"/>
      <c r="G815" s="3178">
        <v>83.3</v>
      </c>
      <c r="H815" s="3178">
        <v>16.7</v>
      </c>
      <c r="I815" s="3179">
        <v>0</v>
      </c>
      <c r="J815" s="3179">
        <v>20</v>
      </c>
      <c r="K815" s="3179">
        <v>20</v>
      </c>
      <c r="L815" s="3179">
        <v>0</v>
      </c>
      <c r="M815" s="3179">
        <v>60</v>
      </c>
    </row>
    <row r="816" spans="1:13">
      <c r="A816" s="5785"/>
      <c r="B816" s="5787" t="s">
        <v>41</v>
      </c>
      <c r="C816" s="3160" t="s">
        <v>1545</v>
      </c>
      <c r="D816" s="3161" t="s">
        <v>1514</v>
      </c>
      <c r="E816" s="3161"/>
      <c r="F816" s="3161"/>
      <c r="G816" s="3162">
        <v>77.8</v>
      </c>
      <c r="H816" s="3162">
        <v>22.2</v>
      </c>
      <c r="I816" s="3163">
        <v>4.1000000000000005</v>
      </c>
      <c r="J816" s="3163">
        <v>4.1000000000000005</v>
      </c>
      <c r="K816" s="3163">
        <v>10.199999999999999</v>
      </c>
      <c r="L816" s="3163">
        <v>14.299999999999999</v>
      </c>
      <c r="M816" s="3163">
        <v>67.300000000000011</v>
      </c>
    </row>
    <row r="817" spans="1:13">
      <c r="A817" s="5785"/>
      <c r="B817" s="5788"/>
      <c r="C817" s="3164" t="s">
        <v>1560</v>
      </c>
      <c r="D817" s="3165" t="s">
        <v>1514</v>
      </c>
      <c r="E817" s="3165"/>
      <c r="F817" s="3165"/>
      <c r="G817" s="3166">
        <v>76.7</v>
      </c>
      <c r="H817" s="3166">
        <v>23.3</v>
      </c>
      <c r="I817" s="3167">
        <v>3.6</v>
      </c>
      <c r="J817" s="3167">
        <v>4.9000000000000004</v>
      </c>
      <c r="K817" s="3167">
        <v>11</v>
      </c>
      <c r="L817" s="3167">
        <v>7.3</v>
      </c>
      <c r="M817" s="3167">
        <v>73.2</v>
      </c>
    </row>
    <row r="818" spans="1:13">
      <c r="A818" s="5785"/>
      <c r="B818" s="5788"/>
      <c r="C818" s="3164" t="s">
        <v>1554</v>
      </c>
      <c r="D818" s="3165" t="s">
        <v>1514</v>
      </c>
      <c r="E818" s="3165"/>
      <c r="F818" s="3165"/>
      <c r="G818" s="3166">
        <v>94.1</v>
      </c>
      <c r="H818" s="3166">
        <v>5.8999999999999995</v>
      </c>
      <c r="I818" s="3167">
        <v>6.2</v>
      </c>
      <c r="J818" s="3167">
        <v>0</v>
      </c>
      <c r="K818" s="3167">
        <v>12.5</v>
      </c>
      <c r="L818" s="3167">
        <v>12.5</v>
      </c>
      <c r="M818" s="3167">
        <v>68.8</v>
      </c>
    </row>
    <row r="819" spans="1:13">
      <c r="A819" s="5785"/>
      <c r="B819" s="5788"/>
      <c r="C819" s="3164" t="s">
        <v>1532</v>
      </c>
      <c r="D819" s="3165" t="s">
        <v>1508</v>
      </c>
      <c r="E819" s="3165"/>
      <c r="F819" s="3165"/>
      <c r="G819" s="3166">
        <v>87.5</v>
      </c>
      <c r="H819" s="3166">
        <v>12.5</v>
      </c>
      <c r="I819" s="3167">
        <v>0</v>
      </c>
      <c r="J819" s="3167">
        <v>7.1</v>
      </c>
      <c r="K819" s="3167">
        <v>14.299999999999999</v>
      </c>
      <c r="L819" s="3167">
        <v>0</v>
      </c>
      <c r="M819" s="3167">
        <v>78.600000000000009</v>
      </c>
    </row>
    <row r="820" spans="1:13">
      <c r="A820" s="5785"/>
      <c r="B820" s="5788"/>
      <c r="C820" s="3164" t="s">
        <v>1542</v>
      </c>
      <c r="D820" s="3165" t="s">
        <v>1510</v>
      </c>
      <c r="E820" s="3165"/>
      <c r="F820" s="3165"/>
      <c r="G820" s="3166">
        <v>87.3</v>
      </c>
      <c r="H820" s="3166">
        <v>12.7</v>
      </c>
      <c r="I820" s="3167">
        <v>6.3</v>
      </c>
      <c r="J820" s="3167">
        <v>6.3</v>
      </c>
      <c r="K820" s="3167">
        <v>10.3</v>
      </c>
      <c r="L820" s="3167">
        <v>18.8</v>
      </c>
      <c r="M820" s="3167">
        <v>58.3</v>
      </c>
    </row>
    <row r="821" spans="1:13">
      <c r="A821" s="5785"/>
      <c r="B821" s="5788"/>
      <c r="C821" s="3164" t="s">
        <v>1543</v>
      </c>
      <c r="D821" s="3165" t="s">
        <v>1510</v>
      </c>
      <c r="E821" s="3165"/>
      <c r="F821" s="3165"/>
      <c r="G821" s="3166">
        <v>100</v>
      </c>
      <c r="H821" s="3166">
        <v>0</v>
      </c>
      <c r="I821" s="3167">
        <v>4.7</v>
      </c>
      <c r="J821" s="3167">
        <v>0</v>
      </c>
      <c r="K821" s="3167">
        <v>28.599999999999998</v>
      </c>
      <c r="L821" s="3167">
        <v>4.8</v>
      </c>
      <c r="M821" s="3167">
        <v>61.9</v>
      </c>
    </row>
    <row r="822" spans="1:13">
      <c r="A822" s="5785"/>
      <c r="B822" s="5788"/>
      <c r="C822" s="3164" t="s">
        <v>1544</v>
      </c>
      <c r="D822" s="3165" t="s">
        <v>1510</v>
      </c>
      <c r="E822" s="3165"/>
      <c r="F822" s="3165"/>
      <c r="G822" s="3166">
        <v>85.7</v>
      </c>
      <c r="H822" s="3166">
        <v>14.299999999999999</v>
      </c>
      <c r="I822" s="3167">
        <v>16.600000000000001</v>
      </c>
      <c r="J822" s="3167">
        <v>0</v>
      </c>
      <c r="K822" s="3167">
        <v>0</v>
      </c>
      <c r="L822" s="3167">
        <v>16.7</v>
      </c>
      <c r="M822" s="3167">
        <v>66.7</v>
      </c>
    </row>
    <row r="823" spans="1:13">
      <c r="A823" s="5785"/>
      <c r="B823" s="5788"/>
      <c r="C823" s="3164" t="s">
        <v>1545</v>
      </c>
      <c r="D823" s="3165" t="s">
        <v>1510</v>
      </c>
      <c r="E823" s="3165"/>
      <c r="F823" s="3165"/>
      <c r="G823" s="3166">
        <v>65.3</v>
      </c>
      <c r="H823" s="3166">
        <v>34.699999999999996</v>
      </c>
      <c r="I823" s="3167">
        <v>2.2999999999999998</v>
      </c>
      <c r="J823" s="3167">
        <v>3.3000000000000003</v>
      </c>
      <c r="K823" s="3167">
        <v>9.8000000000000007</v>
      </c>
      <c r="L823" s="3167">
        <v>11.4</v>
      </c>
      <c r="M823" s="3167">
        <v>73.2</v>
      </c>
    </row>
    <row r="824" spans="1:13">
      <c r="A824" s="5785"/>
      <c r="B824" s="5788"/>
      <c r="C824" s="3164" t="s">
        <v>1554</v>
      </c>
      <c r="D824" s="3165" t="s">
        <v>1510</v>
      </c>
      <c r="E824" s="3165"/>
      <c r="F824" s="3165"/>
      <c r="G824" s="3166">
        <v>78.400000000000006</v>
      </c>
      <c r="H824" s="3166">
        <v>21.6</v>
      </c>
      <c r="I824" s="3167">
        <v>0</v>
      </c>
      <c r="J824" s="3167">
        <v>10.299999999999999</v>
      </c>
      <c r="K824" s="3167">
        <v>0</v>
      </c>
      <c r="L824" s="3167">
        <v>3.4000000000000004</v>
      </c>
      <c r="M824" s="3167">
        <v>86.3</v>
      </c>
    </row>
    <row r="825" spans="1:13">
      <c r="A825" s="5785"/>
      <c r="B825" s="5789"/>
      <c r="C825" s="3168" t="s">
        <v>1555</v>
      </c>
      <c r="D825" s="3169" t="s">
        <v>1510</v>
      </c>
      <c r="E825" s="3169"/>
      <c r="F825" s="3169"/>
      <c r="G825" s="3170">
        <v>94.1</v>
      </c>
      <c r="H825" s="3170">
        <v>5.8999999999999995</v>
      </c>
      <c r="I825" s="3171">
        <v>3</v>
      </c>
      <c r="J825" s="3171">
        <v>6.3</v>
      </c>
      <c r="K825" s="3171">
        <v>3.1</v>
      </c>
      <c r="L825" s="3171">
        <v>6.3</v>
      </c>
      <c r="M825" s="3171">
        <v>81.3</v>
      </c>
    </row>
    <row r="826" spans="1:13">
      <c r="A826" s="5785"/>
      <c r="B826" s="5787" t="s">
        <v>16</v>
      </c>
      <c r="C826" s="3172" t="s">
        <v>1523</v>
      </c>
      <c r="D826" s="3173" t="s">
        <v>1514</v>
      </c>
      <c r="E826" s="3173"/>
      <c r="F826" s="3173"/>
      <c r="G826" s="3174">
        <v>25</v>
      </c>
      <c r="H826" s="3174">
        <v>75</v>
      </c>
      <c r="I826" s="3175">
        <v>0</v>
      </c>
      <c r="J826" s="3175">
        <v>0</v>
      </c>
      <c r="K826" s="3175">
        <v>100</v>
      </c>
      <c r="L826" s="3175">
        <v>0</v>
      </c>
      <c r="M826" s="3175">
        <v>0</v>
      </c>
    </row>
    <row r="827" spans="1:13">
      <c r="A827" s="5785"/>
      <c r="B827" s="5788"/>
      <c r="C827" s="3164" t="s">
        <v>1559</v>
      </c>
      <c r="D827" s="3165" t="s">
        <v>1514</v>
      </c>
      <c r="E827" s="3165"/>
      <c r="F827" s="3165"/>
      <c r="G827" s="3166">
        <v>71.399999999999991</v>
      </c>
      <c r="H827" s="3166">
        <v>28.599999999999998</v>
      </c>
      <c r="I827" s="3167">
        <v>0</v>
      </c>
      <c r="J827" s="3167">
        <v>0</v>
      </c>
      <c r="K827" s="3167">
        <v>25</v>
      </c>
      <c r="L827" s="3167">
        <v>0</v>
      </c>
      <c r="M827" s="3167">
        <v>75</v>
      </c>
    </row>
    <row r="828" spans="1:13">
      <c r="A828" s="5785"/>
      <c r="B828" s="5788"/>
      <c r="C828" s="3164" t="s">
        <v>1561</v>
      </c>
      <c r="D828" s="3165" t="s">
        <v>1514</v>
      </c>
      <c r="E828" s="3165"/>
      <c r="F828" s="3165"/>
      <c r="G828" s="3166">
        <v>85.3</v>
      </c>
      <c r="H828" s="3166">
        <v>14.7</v>
      </c>
      <c r="I828" s="3167">
        <v>3.5000000000000004</v>
      </c>
      <c r="J828" s="3167">
        <v>0</v>
      </c>
      <c r="K828" s="3167">
        <v>8.7999999999999989</v>
      </c>
      <c r="L828" s="3167">
        <v>10.5</v>
      </c>
      <c r="M828" s="3167">
        <v>77.2</v>
      </c>
    </row>
    <row r="829" spans="1:13">
      <c r="A829" s="5785"/>
      <c r="B829" s="5788"/>
      <c r="C829" s="3164" t="s">
        <v>1562</v>
      </c>
      <c r="D829" s="3165" t="s">
        <v>1514</v>
      </c>
      <c r="E829" s="3165"/>
      <c r="F829" s="3165"/>
      <c r="G829" s="3166">
        <v>79.2</v>
      </c>
      <c r="H829" s="3166">
        <v>20.8</v>
      </c>
      <c r="I829" s="3167">
        <v>2.8000000000000003</v>
      </c>
      <c r="J829" s="3167">
        <v>5.6000000000000005</v>
      </c>
      <c r="K829" s="3167">
        <v>13.900000000000002</v>
      </c>
      <c r="L829" s="3167">
        <v>8.3000000000000007</v>
      </c>
      <c r="M829" s="3167">
        <v>69.399999999999991</v>
      </c>
    </row>
    <row r="830" spans="1:13">
      <c r="A830" s="5785"/>
      <c r="B830" s="5788"/>
      <c r="C830" s="3164" t="s">
        <v>1563</v>
      </c>
      <c r="D830" s="3165" t="s">
        <v>1514</v>
      </c>
      <c r="E830" s="3165"/>
      <c r="F830" s="3165"/>
      <c r="G830" s="3166">
        <v>88</v>
      </c>
      <c r="H830" s="3166">
        <v>12</v>
      </c>
      <c r="I830" s="3167">
        <v>0</v>
      </c>
      <c r="J830" s="3167">
        <v>4.5</v>
      </c>
      <c r="K830" s="3167">
        <v>13.600000000000001</v>
      </c>
      <c r="L830" s="3167">
        <v>9.1</v>
      </c>
      <c r="M830" s="3167">
        <v>72.8</v>
      </c>
    </row>
    <row r="831" spans="1:13">
      <c r="A831" s="5785"/>
      <c r="B831" s="5788"/>
      <c r="C831" s="3164" t="s">
        <v>1530</v>
      </c>
      <c r="D831" s="3165" t="s">
        <v>1508</v>
      </c>
      <c r="E831" s="3165"/>
      <c r="F831" s="3165"/>
      <c r="G831" s="3166">
        <v>90.8</v>
      </c>
      <c r="H831" s="3166">
        <v>9.1999999999999993</v>
      </c>
      <c r="I831" s="3167">
        <v>4.2</v>
      </c>
      <c r="J831" s="3167">
        <v>4.2</v>
      </c>
      <c r="K831" s="3167">
        <v>14.399999999999999</v>
      </c>
      <c r="L831" s="3167">
        <v>11</v>
      </c>
      <c r="M831" s="3167">
        <v>66.2</v>
      </c>
    </row>
    <row r="832" spans="1:13">
      <c r="A832" s="5785"/>
      <c r="B832" s="5788"/>
      <c r="C832" s="3164" t="s">
        <v>1531</v>
      </c>
      <c r="D832" s="3165" t="s">
        <v>1508</v>
      </c>
      <c r="E832" s="3165"/>
      <c r="F832" s="3165"/>
      <c r="G832" s="3166">
        <v>66.7</v>
      </c>
      <c r="H832" s="3166">
        <v>33.300000000000004</v>
      </c>
      <c r="I832" s="3167">
        <v>8.3000000000000007</v>
      </c>
      <c r="J832" s="3167">
        <v>13.900000000000002</v>
      </c>
      <c r="K832" s="3167">
        <v>8.3000000000000007</v>
      </c>
      <c r="L832" s="3167">
        <v>0</v>
      </c>
      <c r="M832" s="3167">
        <v>69.5</v>
      </c>
    </row>
    <row r="833" spans="1:13">
      <c r="A833" s="5785"/>
      <c r="B833" s="5788"/>
      <c r="C833" s="3164" t="s">
        <v>1538</v>
      </c>
      <c r="D833" s="3165" t="s">
        <v>1510</v>
      </c>
      <c r="E833" s="3165"/>
      <c r="F833" s="3165"/>
      <c r="G833" s="3166">
        <v>72.7</v>
      </c>
      <c r="H833" s="3166">
        <v>27.3</v>
      </c>
      <c r="I833" s="3167">
        <v>0</v>
      </c>
      <c r="J833" s="3167">
        <v>6.2</v>
      </c>
      <c r="K833" s="3167">
        <v>12.5</v>
      </c>
      <c r="L833" s="3167">
        <v>0</v>
      </c>
      <c r="M833" s="3167">
        <v>81.3</v>
      </c>
    </row>
    <row r="834" spans="1:13">
      <c r="A834" s="5785"/>
      <c r="B834" s="5788"/>
      <c r="C834" s="3164" t="s">
        <v>1539</v>
      </c>
      <c r="D834" s="3165" t="s">
        <v>1510</v>
      </c>
      <c r="E834" s="3165"/>
      <c r="F834" s="3165"/>
      <c r="G834" s="3166">
        <v>88.9</v>
      </c>
      <c r="H834" s="3166">
        <v>11.1</v>
      </c>
      <c r="I834" s="3167">
        <v>0</v>
      </c>
      <c r="J834" s="3167">
        <v>0</v>
      </c>
      <c r="K834" s="3167">
        <v>18.7</v>
      </c>
      <c r="L834" s="3167">
        <v>6.3</v>
      </c>
      <c r="M834" s="3167">
        <v>75</v>
      </c>
    </row>
    <row r="835" spans="1:13">
      <c r="A835" s="5785"/>
      <c r="B835" s="5788"/>
      <c r="C835" s="3164" t="s">
        <v>1540</v>
      </c>
      <c r="D835" s="3165" t="s">
        <v>1510</v>
      </c>
      <c r="E835" s="3165"/>
      <c r="F835" s="3165"/>
      <c r="G835" s="3166">
        <v>90</v>
      </c>
      <c r="H835" s="3166">
        <v>10</v>
      </c>
      <c r="I835" s="3167">
        <v>11.1</v>
      </c>
      <c r="J835" s="3167">
        <v>0</v>
      </c>
      <c r="K835" s="3167">
        <v>22.2</v>
      </c>
      <c r="L835" s="3167">
        <v>0</v>
      </c>
      <c r="M835" s="3167">
        <v>66.7</v>
      </c>
    </row>
    <row r="836" spans="1:13">
      <c r="A836" s="5785"/>
      <c r="B836" s="5788"/>
      <c r="C836" s="3164" t="s">
        <v>1541</v>
      </c>
      <c r="D836" s="3165" t="s">
        <v>1510</v>
      </c>
      <c r="E836" s="3165"/>
      <c r="F836" s="3165"/>
      <c r="G836" s="3166">
        <v>70.3</v>
      </c>
      <c r="H836" s="3166">
        <v>29.7</v>
      </c>
      <c r="I836" s="3167">
        <v>0</v>
      </c>
      <c r="J836" s="3167">
        <v>6.5</v>
      </c>
      <c r="K836" s="3167">
        <v>8.6999999999999993</v>
      </c>
      <c r="L836" s="3167">
        <v>6.5</v>
      </c>
      <c r="M836" s="3167">
        <v>78.3</v>
      </c>
    </row>
    <row r="837" spans="1:13">
      <c r="A837" s="5785"/>
      <c r="B837" s="5788"/>
      <c r="C837" s="3164" t="s">
        <v>1546</v>
      </c>
      <c r="D837" s="3165" t="s">
        <v>1510</v>
      </c>
      <c r="E837" s="3165"/>
      <c r="F837" s="3165"/>
      <c r="G837" s="3166">
        <v>83.1</v>
      </c>
      <c r="H837" s="3166">
        <v>16.900000000000002</v>
      </c>
      <c r="I837" s="3167">
        <v>1.7999999999999998</v>
      </c>
      <c r="J837" s="3167">
        <v>0</v>
      </c>
      <c r="K837" s="3167">
        <v>7.3</v>
      </c>
      <c r="L837" s="3167">
        <v>12.7</v>
      </c>
      <c r="M837" s="3167">
        <v>78.2</v>
      </c>
    </row>
    <row r="838" spans="1:13">
      <c r="A838" s="5785"/>
      <c r="B838" s="5788"/>
      <c r="C838" s="3164" t="s">
        <v>1547</v>
      </c>
      <c r="D838" s="3165" t="s">
        <v>1510</v>
      </c>
      <c r="E838" s="3165"/>
      <c r="F838" s="3165"/>
      <c r="G838" s="3166">
        <v>85.8</v>
      </c>
      <c r="H838" s="3166">
        <v>14.2</v>
      </c>
      <c r="I838" s="3167">
        <v>0.89999999999999991</v>
      </c>
      <c r="J838" s="3167">
        <v>3.6999999999999997</v>
      </c>
      <c r="K838" s="3167">
        <v>7.5</v>
      </c>
      <c r="L838" s="3167">
        <v>10.299999999999999</v>
      </c>
      <c r="M838" s="3167">
        <v>77.600000000000009</v>
      </c>
    </row>
    <row r="839" spans="1:13">
      <c r="A839" s="5786"/>
      <c r="B839" s="5789"/>
      <c r="C839" s="3168" t="s">
        <v>1548</v>
      </c>
      <c r="D839" s="3169" t="s">
        <v>1510</v>
      </c>
      <c r="E839" s="3169"/>
      <c r="F839" s="3169"/>
      <c r="G839" s="3170">
        <v>86.5</v>
      </c>
      <c r="H839" s="3170">
        <v>13.5</v>
      </c>
      <c r="I839" s="3171">
        <v>7.3999999999999995</v>
      </c>
      <c r="J839" s="3171">
        <v>3.6999999999999997</v>
      </c>
      <c r="K839" s="3171">
        <v>11.1</v>
      </c>
      <c r="L839" s="3171">
        <v>9.9</v>
      </c>
      <c r="M839" s="3171">
        <v>67.900000000000006</v>
      </c>
    </row>
    <row r="840" spans="1:13">
      <c r="A840" s="5784" t="s">
        <v>74</v>
      </c>
      <c r="B840" s="5787" t="s">
        <v>21</v>
      </c>
      <c r="C840" s="3172" t="s">
        <v>1587</v>
      </c>
      <c r="D840" s="3173" t="s">
        <v>1514</v>
      </c>
      <c r="E840" s="3173"/>
      <c r="F840" s="3173"/>
      <c r="G840" s="3174">
        <v>100</v>
      </c>
      <c r="H840" s="3174">
        <v>0</v>
      </c>
      <c r="I840" s="3175">
        <v>8.3000000000000007</v>
      </c>
      <c r="J840" s="3175">
        <v>16.7</v>
      </c>
      <c r="K840" s="3175">
        <v>8.3000000000000007</v>
      </c>
      <c r="L840" s="3175">
        <v>33.300000000000004</v>
      </c>
      <c r="M840" s="3175">
        <v>33.4</v>
      </c>
    </row>
    <row r="841" spans="1:13">
      <c r="A841" s="5785"/>
      <c r="B841" s="5789"/>
      <c r="C841" s="3176" t="s">
        <v>1583</v>
      </c>
      <c r="D841" s="3177" t="s">
        <v>1510</v>
      </c>
      <c r="E841" s="3177"/>
      <c r="F841" s="3177"/>
      <c r="G841" s="3178">
        <v>79.5</v>
      </c>
      <c r="H841" s="3178">
        <v>20.5</v>
      </c>
      <c r="I841" s="3179">
        <v>2.9000000000000004</v>
      </c>
      <c r="J841" s="3179">
        <v>3.8</v>
      </c>
      <c r="K841" s="3179">
        <v>8.6999999999999993</v>
      </c>
      <c r="L841" s="3179">
        <v>11.5</v>
      </c>
      <c r="M841" s="3179">
        <v>73.099999999999994</v>
      </c>
    </row>
    <row r="842" spans="1:13">
      <c r="A842" s="5785"/>
      <c r="B842" s="5787" t="s">
        <v>41</v>
      </c>
      <c r="C842" s="3160" t="s">
        <v>1560</v>
      </c>
      <c r="D842" s="3161" t="s">
        <v>1514</v>
      </c>
      <c r="E842" s="3161"/>
      <c r="F842" s="3161"/>
      <c r="G842" s="3162">
        <v>85.9</v>
      </c>
      <c r="H842" s="3162">
        <v>14.099999999999998</v>
      </c>
      <c r="I842" s="3163">
        <v>0</v>
      </c>
      <c r="J842" s="3163">
        <v>8.7999999999999989</v>
      </c>
      <c r="K842" s="3163">
        <v>8.7999999999999989</v>
      </c>
      <c r="L842" s="3163">
        <v>8.7999999999999989</v>
      </c>
      <c r="M842" s="3163">
        <v>73.599999999999994</v>
      </c>
    </row>
    <row r="843" spans="1:13">
      <c r="A843" s="5785"/>
      <c r="B843" s="5788"/>
      <c r="C843" s="3164" t="s">
        <v>1564</v>
      </c>
      <c r="D843" s="3165" t="s">
        <v>1508</v>
      </c>
      <c r="E843" s="3165"/>
      <c r="F843" s="3165"/>
      <c r="G843" s="3166">
        <v>82.3</v>
      </c>
      <c r="H843" s="3166">
        <v>17.7</v>
      </c>
      <c r="I843" s="3167">
        <v>0</v>
      </c>
      <c r="J843" s="3167">
        <v>3</v>
      </c>
      <c r="K843" s="3167">
        <v>12.1</v>
      </c>
      <c r="L843" s="3167">
        <v>9.1</v>
      </c>
      <c r="M843" s="3167">
        <v>75.8</v>
      </c>
    </row>
    <row r="844" spans="1:13">
      <c r="A844" s="5785"/>
      <c r="B844" s="5788"/>
      <c r="C844" s="3164" t="s">
        <v>1565</v>
      </c>
      <c r="D844" s="3165" t="s">
        <v>1508</v>
      </c>
      <c r="E844" s="3165"/>
      <c r="F844" s="3165"/>
      <c r="G844" s="3166">
        <v>100</v>
      </c>
      <c r="H844" s="3166">
        <v>0</v>
      </c>
      <c r="I844" s="3167">
        <v>3.4000000000000004</v>
      </c>
      <c r="J844" s="3167">
        <v>0</v>
      </c>
      <c r="K844" s="3167">
        <v>13.8</v>
      </c>
      <c r="L844" s="3167">
        <v>20.7</v>
      </c>
      <c r="M844" s="3167">
        <v>62.1</v>
      </c>
    </row>
    <row r="845" spans="1:13">
      <c r="A845" s="5785"/>
      <c r="B845" s="5788"/>
      <c r="C845" s="3164" t="s">
        <v>1568</v>
      </c>
      <c r="D845" s="3165" t="s">
        <v>1508</v>
      </c>
      <c r="E845" s="3165"/>
      <c r="F845" s="3165"/>
      <c r="G845" s="3166">
        <v>92.300000000000011</v>
      </c>
      <c r="H845" s="3166">
        <v>7.7</v>
      </c>
      <c r="I845" s="3167">
        <v>5.5</v>
      </c>
      <c r="J845" s="3167">
        <v>4.2</v>
      </c>
      <c r="K845" s="3167">
        <v>11.1</v>
      </c>
      <c r="L845" s="3167">
        <v>11.1</v>
      </c>
      <c r="M845" s="3167">
        <v>68.100000000000009</v>
      </c>
    </row>
    <row r="846" spans="1:13">
      <c r="A846" s="5785"/>
      <c r="B846" s="5788"/>
      <c r="C846" s="3164" t="s">
        <v>1573</v>
      </c>
      <c r="D846" s="3165" t="s">
        <v>1510</v>
      </c>
      <c r="E846" s="3165"/>
      <c r="F846" s="3165"/>
      <c r="G846" s="3166">
        <v>76</v>
      </c>
      <c r="H846" s="3166">
        <v>24</v>
      </c>
      <c r="I846" s="3167">
        <v>0</v>
      </c>
      <c r="J846" s="3167">
        <v>0</v>
      </c>
      <c r="K846" s="3167">
        <v>10</v>
      </c>
      <c r="L846" s="3167">
        <v>10</v>
      </c>
      <c r="M846" s="3167">
        <v>80</v>
      </c>
    </row>
    <row r="847" spans="1:13">
      <c r="A847" s="5785"/>
      <c r="B847" s="5788"/>
      <c r="C847" s="3164" t="s">
        <v>1574</v>
      </c>
      <c r="D847" s="3165" t="s">
        <v>1510</v>
      </c>
      <c r="E847" s="3165"/>
      <c r="F847" s="3165"/>
      <c r="G847" s="3166">
        <v>83.899999999999991</v>
      </c>
      <c r="H847" s="3166">
        <v>16.100000000000001</v>
      </c>
      <c r="I847" s="3167">
        <v>5.3</v>
      </c>
      <c r="J847" s="3167">
        <v>5.3</v>
      </c>
      <c r="K847" s="3167">
        <v>12.5</v>
      </c>
      <c r="L847" s="3167">
        <v>7.3999999999999995</v>
      </c>
      <c r="M847" s="3167">
        <v>69.5</v>
      </c>
    </row>
    <row r="848" spans="1:13">
      <c r="A848" s="5785"/>
      <c r="B848" s="5788"/>
      <c r="C848" s="3164" t="s">
        <v>1580</v>
      </c>
      <c r="D848" s="3165" t="s">
        <v>1510</v>
      </c>
      <c r="E848" s="3165"/>
      <c r="F848" s="3165"/>
      <c r="G848" s="3166">
        <v>66.7</v>
      </c>
      <c r="H848" s="3166">
        <v>33.300000000000004</v>
      </c>
      <c r="I848" s="3167">
        <v>0</v>
      </c>
      <c r="J848" s="3167">
        <v>0</v>
      </c>
      <c r="K848" s="3167">
        <v>0</v>
      </c>
      <c r="L848" s="3167">
        <v>0</v>
      </c>
      <c r="M848" s="3167">
        <v>100</v>
      </c>
    </row>
    <row r="849" spans="1:13">
      <c r="A849" s="5785"/>
      <c r="B849" s="5788"/>
      <c r="C849" s="3164" t="s">
        <v>1582</v>
      </c>
      <c r="D849" s="3165" t="s">
        <v>1510</v>
      </c>
      <c r="E849" s="3165"/>
      <c r="F849" s="3165"/>
      <c r="G849" s="3166">
        <v>74.3</v>
      </c>
      <c r="H849" s="3166">
        <v>25.7</v>
      </c>
      <c r="I849" s="3167">
        <v>1.9</v>
      </c>
      <c r="J849" s="3167">
        <v>3.8</v>
      </c>
      <c r="K849" s="3167">
        <v>15.4</v>
      </c>
      <c r="L849" s="3167">
        <v>25</v>
      </c>
      <c r="M849" s="3167">
        <v>53.9</v>
      </c>
    </row>
    <row r="850" spans="1:13">
      <c r="A850" s="5785"/>
      <c r="B850" s="5789"/>
      <c r="C850" s="3168" t="s">
        <v>1584</v>
      </c>
      <c r="D850" s="3169" t="s">
        <v>1510</v>
      </c>
      <c r="E850" s="3169"/>
      <c r="F850" s="3169"/>
      <c r="G850" s="3170">
        <v>86.6</v>
      </c>
      <c r="H850" s="3170">
        <v>13.4</v>
      </c>
      <c r="I850" s="3171">
        <v>1.7999999999999998</v>
      </c>
      <c r="J850" s="3171">
        <v>1.7999999999999998</v>
      </c>
      <c r="K850" s="3171">
        <v>10.4</v>
      </c>
      <c r="L850" s="3171">
        <v>8.7999999999999989</v>
      </c>
      <c r="M850" s="3171">
        <v>77.2</v>
      </c>
    </row>
    <row r="851" spans="1:13">
      <c r="A851" s="5785"/>
      <c r="B851" s="5787" t="s">
        <v>16</v>
      </c>
      <c r="C851" s="3172" t="s">
        <v>1586</v>
      </c>
      <c r="D851" s="3173" t="s">
        <v>1514</v>
      </c>
      <c r="E851" s="3173"/>
      <c r="F851" s="3173"/>
      <c r="G851" s="3174">
        <v>80.5</v>
      </c>
      <c r="H851" s="3174">
        <v>19.5</v>
      </c>
      <c r="I851" s="3175">
        <v>0</v>
      </c>
      <c r="J851" s="3175">
        <v>9</v>
      </c>
      <c r="K851" s="3175">
        <v>7.5</v>
      </c>
      <c r="L851" s="3175">
        <v>13.4</v>
      </c>
      <c r="M851" s="3175">
        <v>70.099999999999994</v>
      </c>
    </row>
    <row r="852" spans="1:13">
      <c r="A852" s="5785"/>
      <c r="B852" s="5788"/>
      <c r="C852" s="3164" t="s">
        <v>1588</v>
      </c>
      <c r="D852" s="3165" t="s">
        <v>1514</v>
      </c>
      <c r="E852" s="3165"/>
      <c r="F852" s="3165"/>
      <c r="G852" s="3166">
        <v>87.5</v>
      </c>
      <c r="H852" s="3166">
        <v>12.5</v>
      </c>
      <c r="I852" s="3167">
        <v>0</v>
      </c>
      <c r="J852" s="3167">
        <v>0</v>
      </c>
      <c r="K852" s="3167">
        <v>14.299999999999999</v>
      </c>
      <c r="L852" s="3167">
        <v>14.299999999999999</v>
      </c>
      <c r="M852" s="3167">
        <v>71.399999999999991</v>
      </c>
    </row>
    <row r="853" spans="1:13">
      <c r="A853" s="5785"/>
      <c r="B853" s="5788"/>
      <c r="C853" s="3164" t="s">
        <v>1567</v>
      </c>
      <c r="D853" s="3165" t="s">
        <v>1514</v>
      </c>
      <c r="E853" s="3165"/>
      <c r="F853" s="3165"/>
      <c r="G853" s="3166">
        <v>94.1</v>
      </c>
      <c r="H853" s="3166">
        <v>5.8999999999999995</v>
      </c>
      <c r="I853" s="3167">
        <v>0</v>
      </c>
      <c r="J853" s="3167">
        <v>0</v>
      </c>
      <c r="K853" s="3167">
        <v>31.2</v>
      </c>
      <c r="L853" s="3167">
        <v>6.3</v>
      </c>
      <c r="M853" s="3167">
        <v>62.5</v>
      </c>
    </row>
    <row r="854" spans="1:13">
      <c r="A854" s="5785"/>
      <c r="B854" s="5788"/>
      <c r="C854" s="3164" t="s">
        <v>1566</v>
      </c>
      <c r="D854" s="3165" t="s">
        <v>1508</v>
      </c>
      <c r="E854" s="3165"/>
      <c r="F854" s="3165"/>
      <c r="G854" s="3166">
        <v>80.800000000000011</v>
      </c>
      <c r="H854" s="3166">
        <v>19.2</v>
      </c>
      <c r="I854" s="3167">
        <v>0</v>
      </c>
      <c r="J854" s="3167">
        <v>1.6</v>
      </c>
      <c r="K854" s="3167">
        <v>4.7</v>
      </c>
      <c r="L854" s="3167">
        <v>10.9</v>
      </c>
      <c r="M854" s="3167">
        <v>82.8</v>
      </c>
    </row>
    <row r="855" spans="1:13">
      <c r="A855" s="5785"/>
      <c r="B855" s="5788"/>
      <c r="C855" s="3164" t="s">
        <v>1567</v>
      </c>
      <c r="D855" s="3165" t="s">
        <v>1508</v>
      </c>
      <c r="E855" s="3165"/>
      <c r="F855" s="3165"/>
      <c r="G855" s="3166">
        <v>77.5</v>
      </c>
      <c r="H855" s="3166">
        <v>22.5</v>
      </c>
      <c r="I855" s="3167">
        <v>2</v>
      </c>
      <c r="J855" s="3167">
        <v>4.1000000000000005</v>
      </c>
      <c r="K855" s="3167">
        <v>7.1</v>
      </c>
      <c r="L855" s="3167">
        <v>10.199999999999999</v>
      </c>
      <c r="M855" s="3167">
        <v>76.599999999999994</v>
      </c>
    </row>
    <row r="856" spans="1:13">
      <c r="A856" s="5785"/>
      <c r="B856" s="5788"/>
      <c r="C856" s="3164" t="s">
        <v>1569</v>
      </c>
      <c r="D856" s="3165" t="s">
        <v>1510</v>
      </c>
      <c r="E856" s="3165"/>
      <c r="F856" s="3165"/>
      <c r="G856" s="3166">
        <v>81.8</v>
      </c>
      <c r="H856" s="3166">
        <v>18.2</v>
      </c>
      <c r="I856" s="3167">
        <v>0</v>
      </c>
      <c r="J856" s="3167">
        <v>5.8</v>
      </c>
      <c r="K856" s="3167">
        <v>11.799999999999999</v>
      </c>
      <c r="L856" s="3167">
        <v>5.8999999999999995</v>
      </c>
      <c r="M856" s="3167">
        <v>76.5</v>
      </c>
    </row>
    <row r="857" spans="1:13">
      <c r="A857" s="5785"/>
      <c r="B857" s="5788"/>
      <c r="C857" s="3164" t="s">
        <v>1570</v>
      </c>
      <c r="D857" s="3165" t="s">
        <v>1510</v>
      </c>
      <c r="E857" s="3165"/>
      <c r="F857" s="3165"/>
      <c r="G857" s="3166">
        <v>78.400000000000006</v>
      </c>
      <c r="H857" s="3166">
        <v>21.6</v>
      </c>
      <c r="I857" s="3167">
        <v>6.9</v>
      </c>
      <c r="J857" s="3167">
        <v>0</v>
      </c>
      <c r="K857" s="3167">
        <v>6.9</v>
      </c>
      <c r="L857" s="3167">
        <v>6.9</v>
      </c>
      <c r="M857" s="3167">
        <v>79.3</v>
      </c>
    </row>
    <row r="858" spans="1:13">
      <c r="A858" s="5785"/>
      <c r="B858" s="5788"/>
      <c r="C858" s="3164" t="s">
        <v>1571</v>
      </c>
      <c r="D858" s="3165" t="s">
        <v>1510</v>
      </c>
      <c r="E858" s="3165"/>
      <c r="F858" s="3165"/>
      <c r="G858" s="3166">
        <v>79.400000000000006</v>
      </c>
      <c r="H858" s="3166">
        <v>20.599999999999998</v>
      </c>
      <c r="I858" s="3167">
        <v>2</v>
      </c>
      <c r="J858" s="3167">
        <v>2</v>
      </c>
      <c r="K858" s="3167">
        <v>13.6</v>
      </c>
      <c r="L858" s="3167">
        <v>5.8999999999999995</v>
      </c>
      <c r="M858" s="3167">
        <v>76.5</v>
      </c>
    </row>
    <row r="859" spans="1:13">
      <c r="A859" s="5785"/>
      <c r="B859" s="5788"/>
      <c r="C859" s="3164" t="s">
        <v>1572</v>
      </c>
      <c r="D859" s="3165" t="s">
        <v>1510</v>
      </c>
      <c r="E859" s="3165"/>
      <c r="F859" s="3165"/>
      <c r="G859" s="3166">
        <v>88.3</v>
      </c>
      <c r="H859" s="3166">
        <v>11.799999999999999</v>
      </c>
      <c r="I859" s="3167">
        <v>0</v>
      </c>
      <c r="J859" s="3167">
        <v>2.4</v>
      </c>
      <c r="K859" s="3167">
        <v>7.1</v>
      </c>
      <c r="L859" s="3167">
        <v>9.5</v>
      </c>
      <c r="M859" s="3167">
        <v>81</v>
      </c>
    </row>
    <row r="860" spans="1:13">
      <c r="A860" s="5785"/>
      <c r="B860" s="5788"/>
      <c r="C860" s="3164" t="s">
        <v>1575</v>
      </c>
      <c r="D860" s="3165" t="s">
        <v>1510</v>
      </c>
      <c r="E860" s="3165"/>
      <c r="F860" s="3165"/>
      <c r="G860" s="3166">
        <v>83.1</v>
      </c>
      <c r="H860" s="3166">
        <v>16.900000000000002</v>
      </c>
      <c r="I860" s="3167">
        <v>1.5</v>
      </c>
      <c r="J860" s="3167">
        <v>8.7999999999999989</v>
      </c>
      <c r="K860" s="3167">
        <v>17.599999999999998</v>
      </c>
      <c r="L860" s="3167">
        <v>16.2</v>
      </c>
      <c r="M860" s="3167">
        <v>55.900000000000006</v>
      </c>
    </row>
    <row r="861" spans="1:13">
      <c r="A861" s="5785"/>
      <c r="B861" s="5788"/>
      <c r="C861" s="3164" t="s">
        <v>1576</v>
      </c>
      <c r="D861" s="3165" t="s">
        <v>1510</v>
      </c>
      <c r="E861" s="3165"/>
      <c r="F861" s="3165"/>
      <c r="G861" s="3166">
        <v>100</v>
      </c>
      <c r="H861" s="3166">
        <v>0</v>
      </c>
      <c r="I861" s="3167">
        <v>0</v>
      </c>
      <c r="J861" s="3167">
        <v>50</v>
      </c>
      <c r="K861" s="3167">
        <v>50</v>
      </c>
      <c r="L861" s="3167">
        <v>0</v>
      </c>
      <c r="M861" s="3167">
        <v>0</v>
      </c>
    </row>
    <row r="862" spans="1:13">
      <c r="A862" s="5785"/>
      <c r="B862" s="5788"/>
      <c r="C862" s="3164" t="s">
        <v>1577</v>
      </c>
      <c r="D862" s="3165" t="s">
        <v>1510</v>
      </c>
      <c r="E862" s="3165"/>
      <c r="F862" s="3165"/>
      <c r="G862" s="3166">
        <v>73.7</v>
      </c>
      <c r="H862" s="3166">
        <v>26.3</v>
      </c>
      <c r="I862" s="3167">
        <v>2.4</v>
      </c>
      <c r="J862" s="3167">
        <v>7.3</v>
      </c>
      <c r="K862" s="3167">
        <v>9.8000000000000007</v>
      </c>
      <c r="L862" s="3167">
        <v>19.5</v>
      </c>
      <c r="M862" s="3167">
        <v>61</v>
      </c>
    </row>
    <row r="863" spans="1:13">
      <c r="A863" s="5785"/>
      <c r="B863" s="5788"/>
      <c r="C863" s="3164" t="s">
        <v>1578</v>
      </c>
      <c r="D863" s="3165" t="s">
        <v>1510</v>
      </c>
      <c r="E863" s="3165"/>
      <c r="F863" s="3165"/>
      <c r="G863" s="3166">
        <v>100</v>
      </c>
      <c r="H863" s="3166">
        <v>0</v>
      </c>
      <c r="I863" s="3167">
        <v>0</v>
      </c>
      <c r="J863" s="3167">
        <v>0</v>
      </c>
      <c r="K863" s="3167">
        <v>0</v>
      </c>
      <c r="L863" s="3167">
        <v>0</v>
      </c>
      <c r="M863" s="3167">
        <v>100</v>
      </c>
    </row>
    <row r="864" spans="1:13">
      <c r="A864" s="5785"/>
      <c r="B864" s="5788"/>
      <c r="C864" s="3164" t="s">
        <v>1579</v>
      </c>
      <c r="D864" s="3165" t="s">
        <v>1510</v>
      </c>
      <c r="E864" s="3165"/>
      <c r="F864" s="3165"/>
      <c r="G864" s="3166">
        <v>90.100000000000009</v>
      </c>
      <c r="H864" s="3166">
        <v>9.9</v>
      </c>
      <c r="I864" s="3167">
        <v>4.5999999999999996</v>
      </c>
      <c r="J864" s="3167">
        <v>1.6</v>
      </c>
      <c r="K864" s="3167">
        <v>15.6</v>
      </c>
      <c r="L864" s="3167">
        <v>6.3</v>
      </c>
      <c r="M864" s="3167">
        <v>71.899999999999991</v>
      </c>
    </row>
    <row r="865" spans="1:13">
      <c r="A865" s="5785"/>
      <c r="B865" s="5788"/>
      <c r="C865" s="3164" t="s">
        <v>1581</v>
      </c>
      <c r="D865" s="3165" t="s">
        <v>1510</v>
      </c>
      <c r="E865" s="3165"/>
      <c r="F865" s="3165"/>
      <c r="G865" s="3166">
        <v>80.400000000000006</v>
      </c>
      <c r="H865" s="3166">
        <v>19.600000000000001</v>
      </c>
      <c r="I865" s="3167">
        <v>2.9000000000000004</v>
      </c>
      <c r="J865" s="3167">
        <v>5.8999999999999995</v>
      </c>
      <c r="K865" s="3167">
        <v>14.7</v>
      </c>
      <c r="L865" s="3167">
        <v>14.7</v>
      </c>
      <c r="M865" s="3167">
        <v>61.8</v>
      </c>
    </row>
    <row r="866" spans="1:13">
      <c r="A866" s="5786"/>
      <c r="B866" s="5789"/>
      <c r="C866" s="3168" t="s">
        <v>1585</v>
      </c>
      <c r="D866" s="3169" t="s">
        <v>1510</v>
      </c>
      <c r="E866" s="3169"/>
      <c r="F866" s="3169"/>
      <c r="G866" s="3170">
        <v>70</v>
      </c>
      <c r="H866" s="3170">
        <v>30</v>
      </c>
      <c r="I866" s="3171">
        <v>0</v>
      </c>
      <c r="J866" s="3171">
        <v>12.5</v>
      </c>
      <c r="K866" s="3171">
        <v>0</v>
      </c>
      <c r="L866" s="3171">
        <v>75</v>
      </c>
      <c r="M866" s="3171">
        <v>12.5</v>
      </c>
    </row>
    <row r="867" spans="1:13">
      <c r="A867" s="227"/>
      <c r="B867" s="227"/>
      <c r="C867" s="227"/>
      <c r="D867" s="227"/>
      <c r="E867" s="2908"/>
      <c r="F867" s="227"/>
      <c r="G867" s="227"/>
      <c r="H867" s="227"/>
    </row>
    <row r="868" spans="1:13">
      <c r="A868" s="227"/>
      <c r="B868" s="227"/>
      <c r="C868" s="227"/>
      <c r="D868" s="227"/>
      <c r="E868" s="2908"/>
      <c r="F868" s="227"/>
      <c r="G868" s="227"/>
      <c r="H868" s="227"/>
    </row>
    <row r="869" spans="1:13" ht="17.399999999999999">
      <c r="A869" s="227"/>
      <c r="C869" s="270">
        <v>2013</v>
      </c>
      <c r="D869" s="227"/>
      <c r="E869" s="2908"/>
      <c r="F869" s="227"/>
      <c r="G869" s="227"/>
      <c r="H869" s="227"/>
    </row>
    <row r="870" spans="1:13" ht="36.75" customHeight="1">
      <c r="A870" s="5800" t="s">
        <v>1060</v>
      </c>
      <c r="B870" s="5800"/>
      <c r="C870" s="5800"/>
      <c r="D870" s="5800"/>
      <c r="E870" s="4863"/>
      <c r="F870" s="1902"/>
      <c r="G870" s="282"/>
      <c r="H870" s="282"/>
      <c r="I870" s="282"/>
    </row>
    <row r="871" spans="1:13">
      <c r="A871" s="269"/>
      <c r="B871" s="269" t="s">
        <v>1065</v>
      </c>
      <c r="C871" s="269"/>
      <c r="D871" s="269"/>
      <c r="E871" s="269"/>
      <c r="F871" s="2902"/>
      <c r="G871" s="227"/>
      <c r="H871" s="227"/>
    </row>
    <row r="872" spans="1:13" ht="26.4">
      <c r="A872" s="274" t="s">
        <v>1061</v>
      </c>
      <c r="B872" s="239" t="s">
        <v>1062</v>
      </c>
      <c r="C872" s="239" t="s">
        <v>102</v>
      </c>
      <c r="D872" s="239" t="s">
        <v>1063</v>
      </c>
      <c r="E872" s="5143"/>
      <c r="F872" s="2902"/>
      <c r="G872" s="227"/>
      <c r="H872" s="227"/>
    </row>
    <row r="873" spans="1:13">
      <c r="A873" s="240" t="s">
        <v>1038</v>
      </c>
      <c r="B873" s="283">
        <v>3361</v>
      </c>
      <c r="C873" s="284">
        <v>82.155952089953558</v>
      </c>
      <c r="D873" s="285">
        <f>B873/B875</f>
        <v>0.82722126507506766</v>
      </c>
      <c r="E873" s="5144"/>
      <c r="F873" s="2902"/>
      <c r="G873" s="227"/>
      <c r="H873" s="227"/>
    </row>
    <row r="874" spans="1:13">
      <c r="A874" s="240" t="s">
        <v>1039</v>
      </c>
      <c r="B874" s="283">
        <v>702</v>
      </c>
      <c r="C874" s="284">
        <v>17.159618675140553</v>
      </c>
      <c r="D874" s="286">
        <v>17.277873492493232</v>
      </c>
      <c r="E874" s="5145"/>
      <c r="F874" s="2902"/>
      <c r="G874" s="227"/>
      <c r="H874" s="227"/>
    </row>
    <row r="875" spans="1:13">
      <c r="A875" s="3186" t="s">
        <v>15</v>
      </c>
      <c r="B875" s="3187">
        <v>4063</v>
      </c>
      <c r="C875" s="3188">
        <v>99.315570765094108</v>
      </c>
      <c r="D875" s="3188">
        <v>100</v>
      </c>
      <c r="E875" s="5146"/>
      <c r="F875" s="2902"/>
      <c r="G875" s="227"/>
      <c r="H875" s="227"/>
    </row>
    <row r="876" spans="1:13">
      <c r="A876" s="240" t="s">
        <v>1064</v>
      </c>
      <c r="B876" s="283">
        <v>28</v>
      </c>
      <c r="C876" s="288">
        <v>0.68442923490589103</v>
      </c>
      <c r="D876" s="289"/>
      <c r="E876" s="5147"/>
      <c r="F876" s="2902"/>
      <c r="G876" s="227"/>
      <c r="H876" s="227"/>
    </row>
    <row r="877" spans="1:13">
      <c r="A877" s="287" t="s">
        <v>15</v>
      </c>
      <c r="B877" s="283">
        <v>4091</v>
      </c>
      <c r="C877" s="284">
        <v>100</v>
      </c>
      <c r="D877" s="290"/>
      <c r="E877" s="5148"/>
      <c r="F877" s="2902"/>
      <c r="G877" s="227"/>
      <c r="H877" s="227"/>
    </row>
    <row r="878" spans="1:13">
      <c r="A878" s="227"/>
      <c r="B878" s="227"/>
      <c r="C878" s="227"/>
      <c r="D878" s="227"/>
      <c r="E878" s="2908"/>
      <c r="F878" s="2902"/>
      <c r="G878" s="227"/>
      <c r="H878" s="227"/>
    </row>
    <row r="879" spans="1:13" ht="15.6">
      <c r="A879" s="228"/>
      <c r="B879" s="228"/>
      <c r="C879" s="228"/>
      <c r="D879" s="228"/>
      <c r="E879" s="4867"/>
      <c r="F879" s="2902"/>
      <c r="G879" s="228"/>
      <c r="H879" s="228"/>
    </row>
    <row r="880" spans="1:13" ht="17.399999999999999">
      <c r="A880" s="269"/>
      <c r="C880" s="270">
        <v>2012</v>
      </c>
      <c r="D880" s="269"/>
      <c r="E880" s="269"/>
      <c r="F880" s="269"/>
      <c r="G880" s="269"/>
      <c r="H880" s="269"/>
      <c r="I880" s="56"/>
    </row>
    <row r="881" spans="1:11" ht="30.75" customHeight="1">
      <c r="A881" s="5800" t="s">
        <v>1060</v>
      </c>
      <c r="B881" s="5800"/>
      <c r="C881" s="5800"/>
      <c r="D881" s="5800"/>
      <c r="E881" s="5800"/>
      <c r="F881" s="5800"/>
      <c r="G881" s="5800"/>
      <c r="H881" s="282"/>
      <c r="I881" s="282"/>
    </row>
    <row r="882" spans="1:11">
      <c r="A882" s="272"/>
      <c r="B882" s="58"/>
      <c r="C882" s="58"/>
      <c r="D882" s="58"/>
      <c r="E882" s="58"/>
      <c r="F882" s="58"/>
      <c r="G882" s="269"/>
      <c r="H882" s="269"/>
      <c r="I882" s="56"/>
    </row>
    <row r="883" spans="1:11">
      <c r="A883" s="269"/>
      <c r="B883" s="269" t="s">
        <v>1065</v>
      </c>
      <c r="C883" s="269"/>
      <c r="D883" s="269"/>
      <c r="E883" s="269"/>
      <c r="F883" s="269"/>
      <c r="G883" s="269"/>
      <c r="H883" s="269"/>
      <c r="I883" s="56"/>
    </row>
    <row r="884" spans="1:11" ht="26.4">
      <c r="A884" s="274" t="s">
        <v>1061</v>
      </c>
      <c r="B884" s="275" t="s">
        <v>1062</v>
      </c>
      <c r="C884" s="275" t="s">
        <v>102</v>
      </c>
      <c r="D884" s="275" t="s">
        <v>1063</v>
      </c>
      <c r="E884" s="5143"/>
      <c r="F884" s="269"/>
      <c r="G884" s="56"/>
      <c r="H884" s="56"/>
      <c r="I884" s="56"/>
    </row>
    <row r="885" spans="1:11">
      <c r="A885" s="277" t="s">
        <v>1038</v>
      </c>
      <c r="B885" s="277">
        <v>2966</v>
      </c>
      <c r="C885" s="291">
        <f>B884:B885/B889</f>
        <v>0.85426267281105994</v>
      </c>
      <c r="D885" s="292">
        <v>0.85871453387376995</v>
      </c>
      <c r="E885" s="5149"/>
      <c r="F885" s="269"/>
      <c r="G885" s="56"/>
      <c r="H885" s="56"/>
      <c r="I885" s="56"/>
    </row>
    <row r="886" spans="1:11">
      <c r="A886" s="277" t="s">
        <v>1039</v>
      </c>
      <c r="B886" s="277">
        <v>488</v>
      </c>
      <c r="C886" s="293">
        <f>B886/B889</f>
        <v>0.14055299539170507</v>
      </c>
      <c r="D886" s="294">
        <f>(B886*100)/B887</f>
        <v>14.128546612623046</v>
      </c>
      <c r="E886" s="5150"/>
      <c r="F886" s="269"/>
      <c r="G886" s="56"/>
      <c r="H886" s="56"/>
      <c r="I886" s="56"/>
    </row>
    <row r="887" spans="1:11">
      <c r="A887" s="2901" t="s">
        <v>15</v>
      </c>
      <c r="B887" s="2901">
        <f>SUM(B885:B886)</f>
        <v>3454</v>
      </c>
      <c r="C887" s="3189">
        <f>SUM(C885:C886)</f>
        <v>0.99481566820276501</v>
      </c>
      <c r="D887" s="3190">
        <v>1</v>
      </c>
      <c r="E887" s="5151"/>
      <c r="F887" s="269"/>
      <c r="G887" s="56"/>
      <c r="H887" s="56"/>
      <c r="I887" s="56"/>
    </row>
    <row r="888" spans="1:11">
      <c r="A888" s="277" t="s">
        <v>1064</v>
      </c>
      <c r="B888" s="277">
        <v>18</v>
      </c>
      <c r="C888" s="291">
        <f>B888/B889</f>
        <v>5.1843317972350231E-3</v>
      </c>
      <c r="D888" s="289"/>
      <c r="E888" s="5147"/>
      <c r="F888" s="1941"/>
      <c r="G888" s="56"/>
      <c r="H888" s="56"/>
      <c r="I888" s="56"/>
    </row>
    <row r="889" spans="1:11">
      <c r="A889" s="281" t="s">
        <v>15</v>
      </c>
      <c r="B889" s="281">
        <f>SUM(B887:B888)</f>
        <v>3472</v>
      </c>
      <c r="C889" s="295">
        <f>SUM(C887:C888)</f>
        <v>1</v>
      </c>
      <c r="D889" s="290"/>
      <c r="E889" s="5148"/>
      <c r="F889" s="1942"/>
      <c r="G889" s="56"/>
      <c r="H889" s="56"/>
      <c r="I889" s="56"/>
    </row>
    <row r="890" spans="1:11">
      <c r="A890" s="245" t="s">
        <v>1066</v>
      </c>
    </row>
    <row r="891" spans="1:11" ht="15.6">
      <c r="A891" s="228"/>
      <c r="B891" s="228"/>
      <c r="C891" s="228"/>
      <c r="D891" s="228"/>
      <c r="E891" s="4867"/>
      <c r="F891" s="228"/>
      <c r="G891" s="228"/>
      <c r="H891" s="228"/>
    </row>
    <row r="892" spans="1:11" ht="15.6">
      <c r="A892" s="228"/>
      <c r="B892" s="228"/>
      <c r="C892" s="228"/>
      <c r="D892" s="228"/>
      <c r="E892" s="4867"/>
      <c r="F892" s="228"/>
      <c r="G892" s="228"/>
      <c r="H892" s="228"/>
    </row>
    <row r="893" spans="1:11" ht="17.399999999999999">
      <c r="A893" s="269"/>
      <c r="C893" s="270">
        <v>2011</v>
      </c>
      <c r="D893" s="269"/>
      <c r="E893" s="269"/>
      <c r="F893" s="269"/>
      <c r="G893" s="269"/>
      <c r="H893" s="269"/>
      <c r="I893" s="56"/>
      <c r="J893" s="56"/>
      <c r="K893" s="31"/>
    </row>
    <row r="894" spans="1:11" ht="28.5" customHeight="1">
      <c r="A894" s="5800" t="s">
        <v>1060</v>
      </c>
      <c r="B894" s="5800"/>
      <c r="C894" s="5800"/>
      <c r="D894" s="5800"/>
      <c r="E894" s="5800"/>
      <c r="F894" s="5800"/>
      <c r="G894" s="5800"/>
      <c r="H894" s="282"/>
      <c r="I894" s="282"/>
      <c r="J894" s="56"/>
      <c r="K894" s="31"/>
    </row>
    <row r="895" spans="1:11">
      <c r="A895" s="272"/>
      <c r="B895" s="58"/>
      <c r="C895" s="58"/>
      <c r="D895" s="58"/>
      <c r="E895" s="58"/>
      <c r="F895" s="58"/>
      <c r="G895" s="269"/>
      <c r="H895" s="269"/>
      <c r="I895" s="56"/>
      <c r="J895" s="56"/>
      <c r="K895" s="31"/>
    </row>
    <row r="896" spans="1:11" ht="26.4">
      <c r="A896" s="274" t="s">
        <v>1061</v>
      </c>
      <c r="B896" s="275" t="s">
        <v>1062</v>
      </c>
      <c r="C896" s="275" t="s">
        <v>102</v>
      </c>
      <c r="D896" s="275" t="s">
        <v>1063</v>
      </c>
      <c r="E896" s="5143"/>
      <c r="F896" s="58"/>
      <c r="G896" s="269"/>
      <c r="H896" s="269"/>
      <c r="I896" s="56"/>
      <c r="J896" s="56"/>
      <c r="K896" s="31"/>
    </row>
    <row r="897" spans="1:14">
      <c r="A897" s="277" t="s">
        <v>1038</v>
      </c>
      <c r="B897" s="277">
        <v>2761</v>
      </c>
      <c r="C897" s="291">
        <f>B896:B897/B901</f>
        <v>0.8563895781637717</v>
      </c>
      <c r="D897" s="296">
        <v>0.86119999999999997</v>
      </c>
      <c r="E897" s="5152"/>
      <c r="F897" s="58"/>
      <c r="G897" s="68"/>
      <c r="H897" s="269"/>
      <c r="I897" s="56"/>
      <c r="J897" s="56"/>
      <c r="K897" s="31"/>
    </row>
    <row r="898" spans="1:14">
      <c r="A898" s="277" t="s">
        <v>1039</v>
      </c>
      <c r="B898" s="277">
        <v>445</v>
      </c>
      <c r="C898" s="293">
        <f>B898/B901</f>
        <v>0.13802729528535981</v>
      </c>
      <c r="D898" s="291">
        <v>0.13880000000000001</v>
      </c>
      <c r="E898" s="5153"/>
      <c r="F898" s="58"/>
      <c r="G898" s="269"/>
      <c r="H898" s="269"/>
      <c r="I898" s="56"/>
      <c r="J898" s="56"/>
      <c r="K898" s="31"/>
    </row>
    <row r="899" spans="1:14">
      <c r="A899" s="2901" t="s">
        <v>15</v>
      </c>
      <c r="B899" s="2901">
        <v>3206</v>
      </c>
      <c r="C899" s="3189">
        <f>SUM(C897:C898)</f>
        <v>0.99441687344913154</v>
      </c>
      <c r="D899" s="3190">
        <v>1</v>
      </c>
      <c r="E899" s="5151"/>
      <c r="F899" s="58"/>
      <c r="G899" s="269"/>
      <c r="H899" s="269"/>
      <c r="I899" s="56"/>
      <c r="J899" s="56"/>
      <c r="K899" s="31"/>
    </row>
    <row r="900" spans="1:14">
      <c r="A900" s="277" t="s">
        <v>1064</v>
      </c>
      <c r="B900" s="277">
        <v>18</v>
      </c>
      <c r="C900" s="291">
        <f>B900/B901</f>
        <v>5.5831265508684861E-3</v>
      </c>
      <c r="D900" s="289"/>
      <c r="E900" s="5147"/>
      <c r="F900" s="58"/>
      <c r="G900" s="269"/>
      <c r="H900" s="269"/>
      <c r="I900" s="56"/>
      <c r="J900" s="56"/>
      <c r="K900" s="31"/>
    </row>
    <row r="901" spans="1:14">
      <c r="A901" s="281" t="s">
        <v>15</v>
      </c>
      <c r="B901" s="281">
        <v>3224</v>
      </c>
      <c r="C901" s="295">
        <f>SUM(C899:C900)</f>
        <v>1</v>
      </c>
      <c r="D901" s="290"/>
      <c r="E901" s="5148"/>
      <c r="F901" s="1942"/>
      <c r="G901" s="269"/>
      <c r="H901" s="269"/>
      <c r="I901" s="56"/>
      <c r="J901" s="56"/>
      <c r="K901" s="31"/>
    </row>
    <row r="902" spans="1:14">
      <c r="A902" s="297"/>
      <c r="B902" s="297"/>
      <c r="C902" s="297"/>
      <c r="D902" s="297"/>
      <c r="E902" s="297"/>
      <c r="F902" s="297"/>
      <c r="G902" s="269"/>
      <c r="H902" s="269"/>
      <c r="I902" s="56"/>
      <c r="J902" s="56"/>
      <c r="K902" s="31"/>
    </row>
    <row r="903" spans="1:14">
      <c r="A903" s="269"/>
      <c r="B903" s="269"/>
      <c r="C903" s="269"/>
      <c r="D903" s="269"/>
      <c r="E903" s="269"/>
      <c r="F903" s="269"/>
      <c r="G903" s="269"/>
      <c r="H903" s="269"/>
      <c r="I903" s="56"/>
      <c r="J903" s="56"/>
      <c r="K903" s="31"/>
    </row>
    <row r="904" spans="1:14" ht="17.399999999999999">
      <c r="A904" s="298"/>
      <c r="C904" s="270">
        <v>2010</v>
      </c>
      <c r="D904" s="56"/>
      <c r="E904" s="56"/>
      <c r="F904" s="56"/>
      <c r="G904" s="56"/>
      <c r="H904" s="269"/>
      <c r="I904" s="56"/>
      <c r="J904" s="56"/>
      <c r="K904" s="31"/>
    </row>
    <row r="905" spans="1:14" ht="15.75" customHeight="1">
      <c r="A905" s="299" t="s">
        <v>1067</v>
      </c>
      <c r="B905" s="300"/>
      <c r="C905" s="300"/>
      <c r="D905" s="300"/>
      <c r="E905" s="300"/>
      <c r="F905" s="300"/>
      <c r="G905" s="300"/>
      <c r="H905" s="56"/>
      <c r="I905" s="56"/>
      <c r="J905" s="56"/>
      <c r="K905" s="56"/>
      <c r="L905" s="56"/>
      <c r="M905" s="56"/>
      <c r="N905" s="56"/>
    </row>
    <row r="906" spans="1:14" ht="15.75" customHeight="1">
      <c r="A906" s="299" t="s">
        <v>1068</v>
      </c>
      <c r="B906" s="299"/>
      <c r="C906" s="299"/>
      <c r="D906" s="56"/>
      <c r="E906" s="56"/>
      <c r="F906" s="56"/>
      <c r="G906" s="56"/>
      <c r="H906" s="56"/>
      <c r="I906" s="56"/>
      <c r="J906" s="56"/>
      <c r="K906" s="56"/>
      <c r="L906" s="56"/>
      <c r="M906" s="56"/>
      <c r="N906" s="56"/>
    </row>
    <row r="907" spans="1:14">
      <c r="A907" s="247" t="s">
        <v>1069</v>
      </c>
      <c r="B907" s="247"/>
      <c r="C907" s="56"/>
      <c r="D907" s="56"/>
      <c r="E907" s="56"/>
      <c r="F907" s="56"/>
      <c r="G907" s="56"/>
      <c r="H907" s="56"/>
      <c r="I907" s="56"/>
      <c r="J907" s="56"/>
      <c r="K907" s="56"/>
      <c r="L907" s="56"/>
      <c r="M907" s="56"/>
      <c r="N907" s="56"/>
    </row>
    <row r="908" spans="1:14">
      <c r="A908" s="299" t="s">
        <v>1070</v>
      </c>
      <c r="B908" s="299"/>
      <c r="C908" s="56"/>
      <c r="D908" s="56"/>
      <c r="E908" s="56"/>
      <c r="F908" s="56"/>
      <c r="G908" s="56"/>
      <c r="H908" s="56"/>
      <c r="I908" s="56"/>
      <c r="J908" s="56"/>
      <c r="K908" s="56"/>
      <c r="L908" s="56"/>
      <c r="M908" s="56"/>
      <c r="N908" s="56"/>
    </row>
    <row r="909" spans="1:14">
      <c r="A909" s="247" t="s">
        <v>1071</v>
      </c>
      <c r="B909" s="247"/>
      <c r="C909" s="56"/>
      <c r="D909" s="56"/>
      <c r="E909" s="56"/>
      <c r="F909" s="56"/>
      <c r="G909" s="56"/>
      <c r="H909" s="56"/>
      <c r="I909" s="56"/>
      <c r="J909" s="56"/>
      <c r="K909" s="56"/>
      <c r="L909" s="56"/>
      <c r="M909" s="56"/>
      <c r="N909" s="56"/>
    </row>
    <row r="910" spans="1:14">
      <c r="A910" s="56"/>
      <c r="B910" s="57"/>
      <c r="C910" s="56"/>
      <c r="D910" s="56"/>
      <c r="E910" s="56"/>
      <c r="F910" s="56"/>
      <c r="G910" s="56"/>
      <c r="H910" s="56"/>
      <c r="I910" s="56"/>
      <c r="J910" s="56"/>
      <c r="K910" s="56"/>
      <c r="L910" s="56"/>
      <c r="M910" s="56"/>
      <c r="N910" s="56"/>
    </row>
    <row r="911" spans="1:14" ht="39.6">
      <c r="A911" s="301" t="s">
        <v>1036</v>
      </c>
      <c r="B911" s="301" t="s">
        <v>1072</v>
      </c>
      <c r="C911" s="302" t="s">
        <v>1039</v>
      </c>
      <c r="D911" s="303"/>
      <c r="E911" s="303"/>
      <c r="F911" s="303"/>
      <c r="G911" s="56"/>
      <c r="H911" s="56"/>
      <c r="I911" s="56"/>
      <c r="J911" s="56"/>
      <c r="K911" s="56"/>
      <c r="L911" s="56"/>
      <c r="M911" s="56"/>
      <c r="N911" s="56"/>
    </row>
    <row r="912" spans="1:14" ht="26.4">
      <c r="A912" s="3191" t="s">
        <v>1073</v>
      </c>
      <c r="B912" s="3192">
        <v>90.52</v>
      </c>
      <c r="C912" s="3192">
        <v>9.48</v>
      </c>
      <c r="D912" s="303"/>
      <c r="E912" s="303"/>
      <c r="F912" s="303"/>
      <c r="G912" s="56"/>
      <c r="H912" s="56"/>
      <c r="I912" s="56"/>
      <c r="J912" s="56"/>
      <c r="K912" s="56"/>
      <c r="L912" s="56"/>
      <c r="M912" s="56"/>
      <c r="N912" s="56"/>
    </row>
    <row r="913" spans="1:14" ht="39.6">
      <c r="A913" s="3193" t="s">
        <v>1074</v>
      </c>
      <c r="B913" s="3194">
        <v>92.11</v>
      </c>
      <c r="C913" s="3194">
        <v>7.89</v>
      </c>
      <c r="D913" s="303"/>
      <c r="E913" s="303"/>
      <c r="F913" s="303"/>
      <c r="G913" s="56"/>
      <c r="H913" s="56"/>
      <c r="I913" s="56"/>
      <c r="J913" s="56"/>
      <c r="K913" s="56"/>
      <c r="L913" s="56"/>
      <c r="M913" s="56"/>
      <c r="N913" s="56"/>
    </row>
    <row r="914" spans="1:14" ht="52.8">
      <c r="A914" s="3193" t="s">
        <v>1075</v>
      </c>
      <c r="B914" s="3194">
        <v>89.16</v>
      </c>
      <c r="C914" s="3194">
        <v>10.84</v>
      </c>
      <c r="D914" s="303"/>
      <c r="E914" s="303"/>
      <c r="F914" s="303"/>
      <c r="G914" s="56"/>
      <c r="H914" s="56"/>
      <c r="I914" s="56"/>
      <c r="J914" s="56"/>
      <c r="K914" s="56"/>
      <c r="L914" s="56"/>
      <c r="M914" s="56"/>
      <c r="N914" s="56"/>
    </row>
    <row r="915" spans="1:14" ht="39.6">
      <c r="A915" s="3195" t="s">
        <v>1076</v>
      </c>
      <c r="B915" s="3196">
        <v>91.07</v>
      </c>
      <c r="C915" s="3196">
        <v>8.93</v>
      </c>
      <c r="D915" s="303"/>
      <c r="E915" s="303"/>
      <c r="F915" s="303"/>
      <c r="G915" s="56"/>
      <c r="H915" s="56"/>
      <c r="I915" s="56"/>
      <c r="J915" s="56"/>
      <c r="K915" s="56"/>
      <c r="L915" s="56"/>
      <c r="M915" s="56"/>
      <c r="N915" s="56"/>
    </row>
    <row r="916" spans="1:14">
      <c r="A916" s="3197" t="s">
        <v>1077</v>
      </c>
      <c r="B916" s="3198">
        <v>86.84</v>
      </c>
      <c r="C916" s="3198">
        <v>13.16</v>
      </c>
      <c r="D916" s="303"/>
      <c r="E916" s="303"/>
      <c r="F916" s="303"/>
      <c r="G916" s="56"/>
      <c r="H916" s="56"/>
      <c r="I916" s="56"/>
      <c r="J916" s="56"/>
      <c r="K916" s="56"/>
      <c r="L916" s="56"/>
      <c r="M916" s="56"/>
      <c r="N916" s="56"/>
    </row>
    <row r="917" spans="1:14" ht="39.6">
      <c r="A917" s="3193" t="s">
        <v>1074</v>
      </c>
      <c r="B917" s="3194">
        <v>91.18</v>
      </c>
      <c r="C917" s="3194">
        <v>8.82</v>
      </c>
      <c r="D917" s="303"/>
      <c r="E917" s="303"/>
      <c r="F917" s="303"/>
      <c r="G917" s="56"/>
      <c r="H917" s="56"/>
      <c r="I917" s="56"/>
      <c r="J917" s="56"/>
      <c r="K917" s="56"/>
      <c r="L917" s="56"/>
      <c r="M917" s="56"/>
      <c r="N917" s="56"/>
    </row>
    <row r="918" spans="1:14" ht="52.8">
      <c r="A918" s="3193" t="s">
        <v>1075</v>
      </c>
      <c r="B918" s="3194">
        <v>84.86</v>
      </c>
      <c r="C918" s="3194">
        <v>15.14</v>
      </c>
      <c r="D918" s="303"/>
      <c r="E918" s="303"/>
      <c r="F918" s="303"/>
      <c r="G918" s="56"/>
      <c r="H918" s="56"/>
      <c r="I918" s="56"/>
      <c r="J918" s="56"/>
      <c r="K918" s="56"/>
      <c r="L918" s="56"/>
      <c r="M918" s="56"/>
      <c r="N918" s="56"/>
    </row>
    <row r="919" spans="1:14" ht="39.6">
      <c r="A919" s="3195" t="s">
        <v>1078</v>
      </c>
      <c r="B919" s="3196">
        <v>83.75</v>
      </c>
      <c r="C919" s="3196">
        <v>16.25</v>
      </c>
      <c r="D919" s="303"/>
      <c r="E919" s="303"/>
      <c r="F919" s="303"/>
      <c r="G919" s="56"/>
      <c r="H919" s="56"/>
      <c r="I919" s="56"/>
      <c r="J919" s="56"/>
      <c r="K919" s="56"/>
      <c r="L919" s="56"/>
      <c r="M919" s="56"/>
      <c r="N919" s="56"/>
    </row>
    <row r="920" spans="1:14">
      <c r="A920" s="3197" t="s">
        <v>1079</v>
      </c>
      <c r="B920" s="3198">
        <v>89.92</v>
      </c>
      <c r="C920" s="3198">
        <v>10.08</v>
      </c>
      <c r="D920" s="303"/>
      <c r="E920" s="303"/>
      <c r="F920" s="303"/>
      <c r="G920" s="56"/>
      <c r="H920" s="56"/>
      <c r="I920" s="56"/>
      <c r="J920" s="56"/>
      <c r="K920" s="56"/>
      <c r="L920" s="56"/>
      <c r="M920" s="56"/>
      <c r="N920" s="56"/>
    </row>
    <row r="921" spans="1:14" ht="52.8">
      <c r="A921" s="3193" t="s">
        <v>1075</v>
      </c>
      <c r="B921" s="3194">
        <v>87.73</v>
      </c>
      <c r="C921" s="3194">
        <v>12.27</v>
      </c>
      <c r="D921" s="303"/>
      <c r="E921" s="303"/>
      <c r="F921" s="303"/>
      <c r="G921" s="56"/>
      <c r="H921" s="56"/>
      <c r="I921" s="56"/>
      <c r="J921" s="56"/>
      <c r="K921" s="56"/>
      <c r="L921" s="56"/>
      <c r="M921" s="56"/>
      <c r="N921" s="56"/>
    </row>
    <row r="922" spans="1:14" ht="39.6">
      <c r="A922" s="3193" t="s">
        <v>1078</v>
      </c>
      <c r="B922" s="3194">
        <v>95.34</v>
      </c>
      <c r="C922" s="3194">
        <v>4.66</v>
      </c>
      <c r="D922" s="303"/>
      <c r="E922" s="303"/>
      <c r="F922" s="303"/>
      <c r="G922" s="56"/>
      <c r="H922" s="56"/>
      <c r="I922" s="56"/>
      <c r="J922" s="56"/>
      <c r="K922" s="56"/>
      <c r="L922" s="56"/>
      <c r="M922" s="56"/>
      <c r="N922" s="56"/>
    </row>
    <row r="923" spans="1:14" ht="39.6">
      <c r="A923" s="3195" t="s">
        <v>1076</v>
      </c>
      <c r="B923" s="3196">
        <v>81.48</v>
      </c>
      <c r="C923" s="3196">
        <v>18.52</v>
      </c>
      <c r="D923" s="303"/>
      <c r="E923" s="303"/>
      <c r="F923" s="303"/>
      <c r="G923" s="56"/>
      <c r="H923" s="56"/>
      <c r="I923" s="56"/>
      <c r="J923" s="56"/>
      <c r="K923" s="56"/>
      <c r="L923" s="56"/>
      <c r="M923" s="56"/>
      <c r="N923" s="56"/>
    </row>
    <row r="924" spans="1:14">
      <c r="A924" s="304" t="s">
        <v>1080</v>
      </c>
      <c r="B924" s="305">
        <v>88.52</v>
      </c>
      <c r="C924" s="306">
        <v>11.48</v>
      </c>
      <c r="D924" s="68"/>
      <c r="E924" s="68"/>
      <c r="F924" s="68"/>
      <c r="G924" s="56"/>
      <c r="H924" s="56"/>
      <c r="I924" s="56"/>
      <c r="J924" s="56"/>
      <c r="K924" s="56"/>
      <c r="L924" s="56"/>
      <c r="M924" s="56"/>
      <c r="N924" s="56"/>
    </row>
    <row r="925" spans="1:14">
      <c r="A925" s="56"/>
      <c r="B925" s="57"/>
      <c r="C925" s="56"/>
      <c r="D925" s="56"/>
      <c r="E925" s="56"/>
      <c r="F925" s="56"/>
      <c r="G925" s="56"/>
      <c r="H925" s="56"/>
      <c r="I925" s="56"/>
      <c r="J925" s="56"/>
      <c r="K925" s="56"/>
      <c r="L925" s="56"/>
      <c r="M925" s="56"/>
      <c r="N925" s="56"/>
    </row>
    <row r="926" spans="1:14">
      <c r="A926" s="56"/>
      <c r="B926" s="57"/>
      <c r="C926" s="56"/>
      <c r="D926" s="56"/>
      <c r="E926" s="56"/>
      <c r="F926" s="56"/>
      <c r="G926" s="56"/>
      <c r="H926" s="56"/>
      <c r="I926" s="56"/>
      <c r="J926" s="56"/>
      <c r="K926" s="56"/>
      <c r="L926" s="56"/>
      <c r="M926" s="56"/>
      <c r="N926" s="56"/>
    </row>
    <row r="927" spans="1:14">
      <c r="A927" s="56"/>
      <c r="B927" s="57"/>
      <c r="C927" s="56"/>
      <c r="D927" s="56"/>
      <c r="E927" s="56"/>
      <c r="F927" s="56"/>
      <c r="G927" s="56"/>
      <c r="H927" s="56"/>
      <c r="I927" s="56"/>
      <c r="J927" s="56"/>
      <c r="K927" s="56"/>
      <c r="L927" s="56"/>
      <c r="M927" s="56"/>
      <c r="N927" s="56"/>
    </row>
    <row r="928" spans="1:14">
      <c r="A928" s="56"/>
      <c r="B928" s="57"/>
      <c r="C928" s="56"/>
      <c r="D928" s="56"/>
      <c r="E928" s="56"/>
      <c r="F928" s="56"/>
      <c r="G928" s="56"/>
      <c r="H928" s="56"/>
      <c r="I928" s="56"/>
      <c r="J928" s="56"/>
      <c r="K928" s="56"/>
      <c r="L928" s="56"/>
      <c r="M928" s="56"/>
      <c r="N928" s="56"/>
    </row>
    <row r="929" spans="1:14">
      <c r="A929" s="56"/>
      <c r="B929" s="57"/>
      <c r="C929" s="56"/>
      <c r="D929" s="56"/>
      <c r="E929" s="56"/>
      <c r="F929" s="56"/>
      <c r="G929" s="56"/>
      <c r="H929" s="56"/>
      <c r="I929" s="56"/>
      <c r="J929" s="56"/>
      <c r="K929" s="56"/>
      <c r="L929" s="56"/>
      <c r="M929" s="56"/>
      <c r="N929" s="56"/>
    </row>
    <row r="930" spans="1:14">
      <c r="A930" s="56"/>
      <c r="B930" s="57"/>
      <c r="C930" s="56"/>
      <c r="D930" s="56"/>
      <c r="E930" s="56"/>
      <c r="F930" s="56"/>
      <c r="G930" s="56"/>
      <c r="H930" s="56"/>
      <c r="I930" s="56"/>
      <c r="J930" s="56"/>
      <c r="K930" s="56"/>
      <c r="L930" s="56"/>
      <c r="M930" s="56"/>
      <c r="N930" s="56"/>
    </row>
    <row r="931" spans="1:14">
      <c r="A931" s="56"/>
      <c r="B931" s="57"/>
      <c r="C931" s="56"/>
      <c r="D931" s="56"/>
      <c r="E931" s="56"/>
      <c r="F931" s="56"/>
      <c r="G931" s="56"/>
      <c r="H931" s="56"/>
      <c r="I931" s="56"/>
      <c r="J931" s="56"/>
      <c r="K931" s="56"/>
      <c r="L931" s="56"/>
      <c r="M931" s="56"/>
      <c r="N931" s="56"/>
    </row>
    <row r="932" spans="1:14">
      <c r="A932" s="56"/>
      <c r="B932" s="57"/>
      <c r="C932" s="56"/>
      <c r="D932" s="56"/>
      <c r="E932" s="56"/>
      <c r="F932" s="56"/>
      <c r="G932" s="56"/>
      <c r="H932" s="56"/>
      <c r="I932" s="56"/>
      <c r="J932" s="56"/>
      <c r="K932" s="56"/>
      <c r="L932" s="56"/>
      <c r="M932" s="56"/>
      <c r="N932" s="56"/>
    </row>
    <row r="933" spans="1:14">
      <c r="A933" s="56"/>
      <c r="B933" s="57"/>
      <c r="C933" s="56"/>
      <c r="D933" s="56"/>
      <c r="E933" s="56"/>
      <c r="F933" s="56"/>
      <c r="G933" s="56"/>
      <c r="H933" s="56"/>
      <c r="I933" s="56"/>
      <c r="J933" s="56"/>
      <c r="K933" s="56"/>
      <c r="L933" s="56"/>
      <c r="M933" s="56"/>
      <c r="N933" s="56"/>
    </row>
  </sheetData>
  <sheetProtection algorithmName="SHA-512" hashValue="6lKhg3n9IajDp/WJrEWHdAgvRW6sEXFWJRRBziGOxfCeVxIFPyuXDv3nANLVWh+8w5Lv723D3e+CquUbpbsf1Q==" saltValue="so47E0R5D3Ryv3x/B9dsFA==" spinCount="100000" sheet="1" objects="1" scenarios="1"/>
  <sortState ref="A163:K249">
    <sortCondition ref="A163:A249"/>
    <sortCondition ref="B163:B249"/>
  </sortState>
  <mergeCells count="226">
    <mergeCell ref="A142:A146"/>
    <mergeCell ref="B142:B143"/>
    <mergeCell ref="B145:B146"/>
    <mergeCell ref="C147:D147"/>
    <mergeCell ref="T10:AA11"/>
    <mergeCell ref="A103:A141"/>
    <mergeCell ref="B103:B122"/>
    <mergeCell ref="D103:D104"/>
    <mergeCell ref="D105:D119"/>
    <mergeCell ref="D120:D122"/>
    <mergeCell ref="B123:B138"/>
    <mergeCell ref="D123:D126"/>
    <mergeCell ref="D127:D134"/>
    <mergeCell ref="D135:D138"/>
    <mergeCell ref="B139:B141"/>
    <mergeCell ref="D139:D140"/>
    <mergeCell ref="A55:A102"/>
    <mergeCell ref="B55:B74"/>
    <mergeCell ref="D55:D67"/>
    <mergeCell ref="D68:D74"/>
    <mergeCell ref="B75:B90"/>
    <mergeCell ref="D76:D84"/>
    <mergeCell ref="D85:D90"/>
    <mergeCell ref="B91:B102"/>
    <mergeCell ref="D91:D92"/>
    <mergeCell ref="D93:D98"/>
    <mergeCell ref="D99:D102"/>
    <mergeCell ref="A5:I8"/>
    <mergeCell ref="F11:G11"/>
    <mergeCell ref="H11:L11"/>
    <mergeCell ref="V13:Z13"/>
    <mergeCell ref="I20:J20"/>
    <mergeCell ref="K20:O20"/>
    <mergeCell ref="A22:A54"/>
    <mergeCell ref="B22:B29"/>
    <mergeCell ref="D22:D26"/>
    <mergeCell ref="D27:D29"/>
    <mergeCell ref="B30:B41"/>
    <mergeCell ref="D30:D31"/>
    <mergeCell ref="D32:D38"/>
    <mergeCell ref="D39:D41"/>
    <mergeCell ref="B42:B54"/>
    <mergeCell ref="D42:D47"/>
    <mergeCell ref="D48:D52"/>
    <mergeCell ref="D53:D54"/>
    <mergeCell ref="C311:D311"/>
    <mergeCell ref="A305:A310"/>
    <mergeCell ref="B305:B306"/>
    <mergeCell ref="B308:B310"/>
    <mergeCell ref="A151:I154"/>
    <mergeCell ref="D169:D173"/>
    <mergeCell ref="D174:D177"/>
    <mergeCell ref="D178:D180"/>
    <mergeCell ref="D181:D188"/>
    <mergeCell ref="D189:D191"/>
    <mergeCell ref="D192:D198"/>
    <mergeCell ref="D199:D205"/>
    <mergeCell ref="D206:D210"/>
    <mergeCell ref="D212:D225"/>
    <mergeCell ref="D226:D233"/>
    <mergeCell ref="D234:D235"/>
    <mergeCell ref="D236:D244"/>
    <mergeCell ref="D245:D250"/>
    <mergeCell ref="D251:D252"/>
    <mergeCell ref="D253:D258"/>
    <mergeCell ref="D259:D261"/>
    <mergeCell ref="D262:D264"/>
    <mergeCell ref="D265:D279"/>
    <mergeCell ref="D280:D282"/>
    <mergeCell ref="A262:A304"/>
    <mergeCell ref="B262:B282"/>
    <mergeCell ref="B283:B300"/>
    <mergeCell ref="B301:B304"/>
    <mergeCell ref="A211:A261"/>
    <mergeCell ref="B211:B233"/>
    <mergeCell ref="B234:B250"/>
    <mergeCell ref="B251:B261"/>
    <mergeCell ref="D283:D288"/>
    <mergeCell ref="D289:D298"/>
    <mergeCell ref="D299:D300"/>
    <mergeCell ref="D301:D303"/>
    <mergeCell ref="F159:G159"/>
    <mergeCell ref="H159:L159"/>
    <mergeCell ref="I167:J167"/>
    <mergeCell ref="A169:A210"/>
    <mergeCell ref="B169:B177"/>
    <mergeCell ref="B178:B191"/>
    <mergeCell ref="B192:B210"/>
    <mergeCell ref="I489:J489"/>
    <mergeCell ref="K489:O489"/>
    <mergeCell ref="F489:F490"/>
    <mergeCell ref="G489:G490"/>
    <mergeCell ref="H489:H490"/>
    <mergeCell ref="A476:L477"/>
    <mergeCell ref="A315:L316"/>
    <mergeCell ref="D411:D412"/>
    <mergeCell ref="A329:A373"/>
    <mergeCell ref="B329:B339"/>
    <mergeCell ref="B340:B352"/>
    <mergeCell ref="B353:B373"/>
    <mergeCell ref="D395:D396"/>
    <mergeCell ref="D397:D404"/>
    <mergeCell ref="D405:D410"/>
    <mergeCell ref="D353:D359"/>
    <mergeCell ref="D360:D367"/>
    <mergeCell ref="D489:D490"/>
    <mergeCell ref="B489:B490"/>
    <mergeCell ref="A489:A490"/>
    <mergeCell ref="C489:C490"/>
    <mergeCell ref="A560:A591"/>
    <mergeCell ref="B560:B577"/>
    <mergeCell ref="D560:D561"/>
    <mergeCell ref="D562:D574"/>
    <mergeCell ref="D575:D577"/>
    <mergeCell ref="B578:B588"/>
    <mergeCell ref="D578:D581"/>
    <mergeCell ref="D582:D588"/>
    <mergeCell ref="B509:B514"/>
    <mergeCell ref="D513:D514"/>
    <mergeCell ref="B589:B591"/>
    <mergeCell ref="D589:D590"/>
    <mergeCell ref="A515:A559"/>
    <mergeCell ref="B515:B533"/>
    <mergeCell ref="D515:D527"/>
    <mergeCell ref="D528:D533"/>
    <mergeCell ref="B534:B548"/>
    <mergeCell ref="D535:D542"/>
    <mergeCell ref="D543:D548"/>
    <mergeCell ref="B549:B559"/>
    <mergeCell ref="D549:D550"/>
    <mergeCell ref="D551:D556"/>
    <mergeCell ref="D557:D559"/>
    <mergeCell ref="A737:A740"/>
    <mergeCell ref="A743:A744"/>
    <mergeCell ref="B743:B744"/>
    <mergeCell ref="C743:C744"/>
    <mergeCell ref="A592:A596"/>
    <mergeCell ref="B592:B593"/>
    <mergeCell ref="B594:B596"/>
    <mergeCell ref="D594:D595"/>
    <mergeCell ref="L743:P743"/>
    <mergeCell ref="B604:M604"/>
    <mergeCell ref="D743:D744"/>
    <mergeCell ref="G743:G744"/>
    <mergeCell ref="H743:H744"/>
    <mergeCell ref="I743:I744"/>
    <mergeCell ref="J743:K743"/>
    <mergeCell ref="J619:K619"/>
    <mergeCell ref="L619:P619"/>
    <mergeCell ref="A491:A514"/>
    <mergeCell ref="B491:B496"/>
    <mergeCell ref="D491:D494"/>
    <mergeCell ref="D495:D496"/>
    <mergeCell ref="B497:B508"/>
    <mergeCell ref="D497:D498"/>
    <mergeCell ref="D499:D505"/>
    <mergeCell ref="D506:D508"/>
    <mergeCell ref="D509:D510"/>
    <mergeCell ref="D511:D512"/>
    <mergeCell ref="A881:G881"/>
    <mergeCell ref="A894:G894"/>
    <mergeCell ref="G778:H778"/>
    <mergeCell ref="A760:H760"/>
    <mergeCell ref="G614:K614"/>
    <mergeCell ref="A619:A620"/>
    <mergeCell ref="B619:B620"/>
    <mergeCell ref="C619:C620"/>
    <mergeCell ref="D619:D620"/>
    <mergeCell ref="G619:G620"/>
    <mergeCell ref="H619:H620"/>
    <mergeCell ref="I619:I620"/>
    <mergeCell ref="A622:A631"/>
    <mergeCell ref="A632:A642"/>
    <mergeCell ref="A643:A660"/>
    <mergeCell ref="I778:M778"/>
    <mergeCell ref="A870:D870"/>
    <mergeCell ref="A662:A667"/>
    <mergeCell ref="A669:A684"/>
    <mergeCell ref="A685:A699"/>
    <mergeCell ref="A700:A708"/>
    <mergeCell ref="A710:A724"/>
    <mergeCell ref="A725:A736"/>
    <mergeCell ref="A745:A751"/>
    <mergeCell ref="D368:D373"/>
    <mergeCell ref="D329:D334"/>
    <mergeCell ref="D335:D339"/>
    <mergeCell ref="D340:D342"/>
    <mergeCell ref="D343:D349"/>
    <mergeCell ref="D350:D352"/>
    <mergeCell ref="D413:D418"/>
    <mergeCell ref="A464:A470"/>
    <mergeCell ref="B464:B465"/>
    <mergeCell ref="B467:B470"/>
    <mergeCell ref="A471:D471"/>
    <mergeCell ref="A423:A463"/>
    <mergeCell ref="B423:B440"/>
    <mergeCell ref="B441:B459"/>
    <mergeCell ref="B460:B463"/>
    <mergeCell ref="A374:A422"/>
    <mergeCell ref="B374:B394"/>
    <mergeCell ref="B395:B410"/>
    <mergeCell ref="B411:B422"/>
    <mergeCell ref="D374:D386"/>
    <mergeCell ref="D387:D394"/>
    <mergeCell ref="D446:D455"/>
    <mergeCell ref="D456:D459"/>
    <mergeCell ref="D460:D462"/>
    <mergeCell ref="D469:D470"/>
    <mergeCell ref="D419:D422"/>
    <mergeCell ref="D423:D424"/>
    <mergeCell ref="D425:D437"/>
    <mergeCell ref="D438:D440"/>
    <mergeCell ref="D441:D445"/>
    <mergeCell ref="A752:A754"/>
    <mergeCell ref="A780:A799"/>
    <mergeCell ref="A801:A839"/>
    <mergeCell ref="A840:A866"/>
    <mergeCell ref="B780:B784"/>
    <mergeCell ref="B785:B790"/>
    <mergeCell ref="B791:B799"/>
    <mergeCell ref="B801:B815"/>
    <mergeCell ref="B816:B825"/>
    <mergeCell ref="B826:B839"/>
    <mergeCell ref="B840:B841"/>
    <mergeCell ref="B842:B850"/>
    <mergeCell ref="B851:B866"/>
  </mergeCells>
  <conditionalFormatting sqref="C491:C596">
    <cfRule type="duplicateValues" dxfId="0" priority="1"/>
  </conditionalFormatting>
  <pageMargins left="0.7" right="0.7" top="0.75" bottom="0.75" header="0.3" footer="0.3"/>
  <pageSetup scale="64" orientation="portrait" r:id="rId1"/>
  <colBreaks count="1" manualBreakCount="1">
    <brk id="9"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499984740745262"/>
  </sheetPr>
  <dimension ref="A1:HO162"/>
  <sheetViews>
    <sheetView showGridLines="0" zoomScale="120" zoomScaleNormal="120" workbookViewId="0"/>
  </sheetViews>
  <sheetFormatPr baseColWidth="10" defaultRowHeight="14.4"/>
  <cols>
    <col min="1" max="1" width="1.77734375" customWidth="1"/>
    <col min="2" max="2" width="19.77734375" customWidth="1"/>
    <col min="3" max="3" width="11.77734375" customWidth="1"/>
    <col min="4" max="4" width="12.21875" customWidth="1"/>
    <col min="5" max="5" width="15.5546875" style="3939" customWidth="1"/>
    <col min="6" max="6" width="12.77734375" customWidth="1"/>
    <col min="7" max="7" width="11.44140625" customWidth="1"/>
    <col min="8" max="9" width="9.77734375" customWidth="1"/>
    <col min="10" max="10" width="13.5546875" customWidth="1"/>
    <col min="11" max="11" width="37.21875" bestFit="1" customWidth="1"/>
    <col min="12" max="12" width="18" bestFit="1" customWidth="1"/>
    <col min="13" max="13" width="18.77734375" bestFit="1" customWidth="1"/>
    <col min="14" max="14" width="20.77734375" customWidth="1"/>
    <col min="15" max="15" width="18.77734375" bestFit="1" customWidth="1"/>
    <col min="16" max="16" width="22.77734375" bestFit="1" customWidth="1"/>
    <col min="244" max="244" width="16.21875" customWidth="1"/>
    <col min="245" max="245" width="11.77734375" customWidth="1"/>
    <col min="246" max="247" width="16.21875" customWidth="1"/>
    <col min="248" max="248" width="27.77734375" customWidth="1"/>
    <col min="500" max="500" width="16.21875" customWidth="1"/>
    <col min="501" max="501" width="11.77734375" customWidth="1"/>
    <col min="502" max="503" width="16.21875" customWidth="1"/>
    <col min="504" max="504" width="27.77734375" customWidth="1"/>
    <col min="756" max="756" width="16.21875" customWidth="1"/>
    <col min="757" max="757" width="11.77734375" customWidth="1"/>
    <col min="758" max="759" width="16.21875" customWidth="1"/>
    <col min="760" max="760" width="27.77734375" customWidth="1"/>
    <col min="1012" max="1012" width="16.21875" customWidth="1"/>
    <col min="1013" max="1013" width="11.77734375" customWidth="1"/>
    <col min="1014" max="1015" width="16.21875" customWidth="1"/>
    <col min="1016" max="1016" width="27.77734375" customWidth="1"/>
    <col min="1268" max="1268" width="16.21875" customWidth="1"/>
    <col min="1269" max="1269" width="11.77734375" customWidth="1"/>
    <col min="1270" max="1271" width="16.21875" customWidth="1"/>
    <col min="1272" max="1272" width="27.77734375" customWidth="1"/>
    <col min="1524" max="1524" width="16.21875" customWidth="1"/>
    <col min="1525" max="1525" width="11.77734375" customWidth="1"/>
    <col min="1526" max="1527" width="16.21875" customWidth="1"/>
    <col min="1528" max="1528" width="27.77734375" customWidth="1"/>
    <col min="1780" max="1780" width="16.21875" customWidth="1"/>
    <col min="1781" max="1781" width="11.77734375" customWidth="1"/>
    <col min="1782" max="1783" width="16.21875" customWidth="1"/>
    <col min="1784" max="1784" width="27.77734375" customWidth="1"/>
    <col min="2036" max="2036" width="16.21875" customWidth="1"/>
    <col min="2037" max="2037" width="11.77734375" customWidth="1"/>
    <col min="2038" max="2039" width="16.21875" customWidth="1"/>
    <col min="2040" max="2040" width="27.77734375" customWidth="1"/>
    <col min="2292" max="2292" width="16.21875" customWidth="1"/>
    <col min="2293" max="2293" width="11.77734375" customWidth="1"/>
    <col min="2294" max="2295" width="16.21875" customWidth="1"/>
    <col min="2296" max="2296" width="27.77734375" customWidth="1"/>
    <col min="2548" max="2548" width="16.21875" customWidth="1"/>
    <col min="2549" max="2549" width="11.77734375" customWidth="1"/>
    <col min="2550" max="2551" width="16.21875" customWidth="1"/>
    <col min="2552" max="2552" width="27.77734375" customWidth="1"/>
    <col min="2804" max="2804" width="16.21875" customWidth="1"/>
    <col min="2805" max="2805" width="11.77734375" customWidth="1"/>
    <col min="2806" max="2807" width="16.21875" customWidth="1"/>
    <col min="2808" max="2808" width="27.77734375" customWidth="1"/>
    <col min="3060" max="3060" width="16.21875" customWidth="1"/>
    <col min="3061" max="3061" width="11.77734375" customWidth="1"/>
    <col min="3062" max="3063" width="16.21875" customWidth="1"/>
    <col min="3064" max="3064" width="27.77734375" customWidth="1"/>
    <col min="3316" max="3316" width="16.21875" customWidth="1"/>
    <col min="3317" max="3317" width="11.77734375" customWidth="1"/>
    <col min="3318" max="3319" width="16.21875" customWidth="1"/>
    <col min="3320" max="3320" width="27.77734375" customWidth="1"/>
    <col min="3572" max="3572" width="16.21875" customWidth="1"/>
    <col min="3573" max="3573" width="11.77734375" customWidth="1"/>
    <col min="3574" max="3575" width="16.21875" customWidth="1"/>
    <col min="3576" max="3576" width="27.77734375" customWidth="1"/>
    <col min="3828" max="3828" width="16.21875" customWidth="1"/>
    <col min="3829" max="3829" width="11.77734375" customWidth="1"/>
    <col min="3830" max="3831" width="16.21875" customWidth="1"/>
    <col min="3832" max="3832" width="27.77734375" customWidth="1"/>
    <col min="4084" max="4084" width="16.21875" customWidth="1"/>
    <col min="4085" max="4085" width="11.77734375" customWidth="1"/>
    <col min="4086" max="4087" width="16.21875" customWidth="1"/>
    <col min="4088" max="4088" width="27.77734375" customWidth="1"/>
    <col min="4340" max="4340" width="16.21875" customWidth="1"/>
    <col min="4341" max="4341" width="11.77734375" customWidth="1"/>
    <col min="4342" max="4343" width="16.21875" customWidth="1"/>
    <col min="4344" max="4344" width="27.77734375" customWidth="1"/>
    <col min="4596" max="4596" width="16.21875" customWidth="1"/>
    <col min="4597" max="4597" width="11.77734375" customWidth="1"/>
    <col min="4598" max="4599" width="16.21875" customWidth="1"/>
    <col min="4600" max="4600" width="27.77734375" customWidth="1"/>
    <col min="4852" max="4852" width="16.21875" customWidth="1"/>
    <col min="4853" max="4853" width="11.77734375" customWidth="1"/>
    <col min="4854" max="4855" width="16.21875" customWidth="1"/>
    <col min="4856" max="4856" width="27.77734375" customWidth="1"/>
    <col min="5108" max="5108" width="16.21875" customWidth="1"/>
    <col min="5109" max="5109" width="11.77734375" customWidth="1"/>
    <col min="5110" max="5111" width="16.21875" customWidth="1"/>
    <col min="5112" max="5112" width="27.77734375" customWidth="1"/>
    <col min="5364" max="5364" width="16.21875" customWidth="1"/>
    <col min="5365" max="5365" width="11.77734375" customWidth="1"/>
    <col min="5366" max="5367" width="16.21875" customWidth="1"/>
    <col min="5368" max="5368" width="27.77734375" customWidth="1"/>
    <col min="5620" max="5620" width="16.21875" customWidth="1"/>
    <col min="5621" max="5621" width="11.77734375" customWidth="1"/>
    <col min="5622" max="5623" width="16.21875" customWidth="1"/>
    <col min="5624" max="5624" width="27.77734375" customWidth="1"/>
    <col min="5876" max="5876" width="16.21875" customWidth="1"/>
    <col min="5877" max="5877" width="11.77734375" customWidth="1"/>
    <col min="5878" max="5879" width="16.21875" customWidth="1"/>
    <col min="5880" max="5880" width="27.77734375" customWidth="1"/>
    <col min="6132" max="6132" width="16.21875" customWidth="1"/>
    <col min="6133" max="6133" width="11.77734375" customWidth="1"/>
    <col min="6134" max="6135" width="16.21875" customWidth="1"/>
    <col min="6136" max="6136" width="27.77734375" customWidth="1"/>
    <col min="6388" max="6388" width="16.21875" customWidth="1"/>
    <col min="6389" max="6389" width="11.77734375" customWidth="1"/>
    <col min="6390" max="6391" width="16.21875" customWidth="1"/>
    <col min="6392" max="6392" width="27.77734375" customWidth="1"/>
    <col min="6644" max="6644" width="16.21875" customWidth="1"/>
    <col min="6645" max="6645" width="11.77734375" customWidth="1"/>
    <col min="6646" max="6647" width="16.21875" customWidth="1"/>
    <col min="6648" max="6648" width="27.77734375" customWidth="1"/>
    <col min="6900" max="6900" width="16.21875" customWidth="1"/>
    <col min="6901" max="6901" width="11.77734375" customWidth="1"/>
    <col min="6902" max="6903" width="16.21875" customWidth="1"/>
    <col min="6904" max="6904" width="27.77734375" customWidth="1"/>
    <col min="7156" max="7156" width="16.21875" customWidth="1"/>
    <col min="7157" max="7157" width="11.77734375" customWidth="1"/>
    <col min="7158" max="7159" width="16.21875" customWidth="1"/>
    <col min="7160" max="7160" width="27.77734375" customWidth="1"/>
    <col min="7412" max="7412" width="16.21875" customWidth="1"/>
    <col min="7413" max="7413" width="11.77734375" customWidth="1"/>
    <col min="7414" max="7415" width="16.21875" customWidth="1"/>
    <col min="7416" max="7416" width="27.77734375" customWidth="1"/>
    <col min="7668" max="7668" width="16.21875" customWidth="1"/>
    <col min="7669" max="7669" width="11.77734375" customWidth="1"/>
    <col min="7670" max="7671" width="16.21875" customWidth="1"/>
    <col min="7672" max="7672" width="27.77734375" customWidth="1"/>
    <col min="7924" max="7924" width="16.21875" customWidth="1"/>
    <col min="7925" max="7925" width="11.77734375" customWidth="1"/>
    <col min="7926" max="7927" width="16.21875" customWidth="1"/>
    <col min="7928" max="7928" width="27.77734375" customWidth="1"/>
    <col min="8180" max="8180" width="16.21875" customWidth="1"/>
    <col min="8181" max="8181" width="11.77734375" customWidth="1"/>
    <col min="8182" max="8183" width="16.21875" customWidth="1"/>
    <col min="8184" max="8184" width="27.77734375" customWidth="1"/>
    <col min="8436" max="8436" width="16.21875" customWidth="1"/>
    <col min="8437" max="8437" width="11.77734375" customWidth="1"/>
    <col min="8438" max="8439" width="16.21875" customWidth="1"/>
    <col min="8440" max="8440" width="27.77734375" customWidth="1"/>
    <col min="8692" max="8692" width="16.21875" customWidth="1"/>
    <col min="8693" max="8693" width="11.77734375" customWidth="1"/>
    <col min="8694" max="8695" width="16.21875" customWidth="1"/>
    <col min="8696" max="8696" width="27.77734375" customWidth="1"/>
    <col min="8948" max="8948" width="16.21875" customWidth="1"/>
    <col min="8949" max="8949" width="11.77734375" customWidth="1"/>
    <col min="8950" max="8951" width="16.21875" customWidth="1"/>
    <col min="8952" max="8952" width="27.77734375" customWidth="1"/>
    <col min="9204" max="9204" width="16.21875" customWidth="1"/>
    <col min="9205" max="9205" width="11.77734375" customWidth="1"/>
    <col min="9206" max="9207" width="16.21875" customWidth="1"/>
    <col min="9208" max="9208" width="27.77734375" customWidth="1"/>
    <col min="9460" max="9460" width="16.21875" customWidth="1"/>
    <col min="9461" max="9461" width="11.77734375" customWidth="1"/>
    <col min="9462" max="9463" width="16.21875" customWidth="1"/>
    <col min="9464" max="9464" width="27.77734375" customWidth="1"/>
    <col min="9716" max="9716" width="16.21875" customWidth="1"/>
    <col min="9717" max="9717" width="11.77734375" customWidth="1"/>
    <col min="9718" max="9719" width="16.21875" customWidth="1"/>
    <col min="9720" max="9720" width="27.77734375" customWidth="1"/>
    <col min="9972" max="9972" width="16.21875" customWidth="1"/>
    <col min="9973" max="9973" width="11.77734375" customWidth="1"/>
    <col min="9974" max="9975" width="16.21875" customWidth="1"/>
    <col min="9976" max="9976" width="27.77734375" customWidth="1"/>
    <col min="10228" max="10228" width="16.21875" customWidth="1"/>
    <col min="10229" max="10229" width="11.77734375" customWidth="1"/>
    <col min="10230" max="10231" width="16.21875" customWidth="1"/>
    <col min="10232" max="10232" width="27.77734375" customWidth="1"/>
    <col min="10484" max="10484" width="16.21875" customWidth="1"/>
    <col min="10485" max="10485" width="11.77734375" customWidth="1"/>
    <col min="10486" max="10487" width="16.21875" customWidth="1"/>
    <col min="10488" max="10488" width="27.77734375" customWidth="1"/>
    <col min="10740" max="10740" width="16.21875" customWidth="1"/>
    <col min="10741" max="10741" width="11.77734375" customWidth="1"/>
    <col min="10742" max="10743" width="16.21875" customWidth="1"/>
    <col min="10744" max="10744" width="27.77734375" customWidth="1"/>
    <col min="10996" max="10996" width="16.21875" customWidth="1"/>
    <col min="10997" max="10997" width="11.77734375" customWidth="1"/>
    <col min="10998" max="10999" width="16.21875" customWidth="1"/>
    <col min="11000" max="11000" width="27.77734375" customWidth="1"/>
    <col min="11252" max="11252" width="16.21875" customWidth="1"/>
    <col min="11253" max="11253" width="11.77734375" customWidth="1"/>
    <col min="11254" max="11255" width="16.21875" customWidth="1"/>
    <col min="11256" max="11256" width="27.77734375" customWidth="1"/>
    <col min="11508" max="11508" width="16.21875" customWidth="1"/>
    <col min="11509" max="11509" width="11.77734375" customWidth="1"/>
    <col min="11510" max="11511" width="16.21875" customWidth="1"/>
    <col min="11512" max="11512" width="27.77734375" customWidth="1"/>
    <col min="11764" max="11764" width="16.21875" customWidth="1"/>
    <col min="11765" max="11765" width="11.77734375" customWidth="1"/>
    <col min="11766" max="11767" width="16.21875" customWidth="1"/>
    <col min="11768" max="11768" width="27.77734375" customWidth="1"/>
    <col min="12020" max="12020" width="16.21875" customWidth="1"/>
    <col min="12021" max="12021" width="11.77734375" customWidth="1"/>
    <col min="12022" max="12023" width="16.21875" customWidth="1"/>
    <col min="12024" max="12024" width="27.77734375" customWidth="1"/>
    <col min="12276" max="12276" width="16.21875" customWidth="1"/>
    <col min="12277" max="12277" width="11.77734375" customWidth="1"/>
    <col min="12278" max="12279" width="16.21875" customWidth="1"/>
    <col min="12280" max="12280" width="27.77734375" customWidth="1"/>
    <col min="12532" max="12532" width="16.21875" customWidth="1"/>
    <col min="12533" max="12533" width="11.77734375" customWidth="1"/>
    <col min="12534" max="12535" width="16.21875" customWidth="1"/>
    <col min="12536" max="12536" width="27.77734375" customWidth="1"/>
    <col min="12788" max="12788" width="16.21875" customWidth="1"/>
    <col min="12789" max="12789" width="11.77734375" customWidth="1"/>
    <col min="12790" max="12791" width="16.21875" customWidth="1"/>
    <col min="12792" max="12792" width="27.77734375" customWidth="1"/>
    <col min="13044" max="13044" width="16.21875" customWidth="1"/>
    <col min="13045" max="13045" width="11.77734375" customWidth="1"/>
    <col min="13046" max="13047" width="16.21875" customWidth="1"/>
    <col min="13048" max="13048" width="27.77734375" customWidth="1"/>
    <col min="13300" max="13300" width="16.21875" customWidth="1"/>
    <col min="13301" max="13301" width="11.77734375" customWidth="1"/>
    <col min="13302" max="13303" width="16.21875" customWidth="1"/>
    <col min="13304" max="13304" width="27.77734375" customWidth="1"/>
    <col min="13556" max="13556" width="16.21875" customWidth="1"/>
    <col min="13557" max="13557" width="11.77734375" customWidth="1"/>
    <col min="13558" max="13559" width="16.21875" customWidth="1"/>
    <col min="13560" max="13560" width="27.77734375" customWidth="1"/>
    <col min="13812" max="13812" width="16.21875" customWidth="1"/>
    <col min="13813" max="13813" width="11.77734375" customWidth="1"/>
    <col min="13814" max="13815" width="16.21875" customWidth="1"/>
    <col min="13816" max="13816" width="27.77734375" customWidth="1"/>
    <col min="14068" max="14068" width="16.21875" customWidth="1"/>
    <col min="14069" max="14069" width="11.77734375" customWidth="1"/>
    <col min="14070" max="14071" width="16.21875" customWidth="1"/>
    <col min="14072" max="14072" width="27.77734375" customWidth="1"/>
    <col min="14324" max="14324" width="16.21875" customWidth="1"/>
    <col min="14325" max="14325" width="11.77734375" customWidth="1"/>
    <col min="14326" max="14327" width="16.21875" customWidth="1"/>
    <col min="14328" max="14328" width="27.77734375" customWidth="1"/>
    <col min="14580" max="14580" width="16.21875" customWidth="1"/>
    <col min="14581" max="14581" width="11.77734375" customWidth="1"/>
    <col min="14582" max="14583" width="16.21875" customWidth="1"/>
    <col min="14584" max="14584" width="27.77734375" customWidth="1"/>
    <col min="14836" max="14836" width="16.21875" customWidth="1"/>
    <col min="14837" max="14837" width="11.77734375" customWidth="1"/>
    <col min="14838" max="14839" width="16.21875" customWidth="1"/>
    <col min="14840" max="14840" width="27.77734375" customWidth="1"/>
    <col min="15092" max="15092" width="16.21875" customWidth="1"/>
    <col min="15093" max="15093" width="11.77734375" customWidth="1"/>
    <col min="15094" max="15095" width="16.21875" customWidth="1"/>
    <col min="15096" max="15096" width="27.77734375" customWidth="1"/>
    <col min="15348" max="15348" width="16.21875" customWidth="1"/>
    <col min="15349" max="15349" width="11.77734375" customWidth="1"/>
    <col min="15350" max="15351" width="16.21875" customWidth="1"/>
    <col min="15352" max="15352" width="27.77734375" customWidth="1"/>
    <col min="15604" max="15604" width="16.21875" customWidth="1"/>
    <col min="15605" max="15605" width="11.77734375" customWidth="1"/>
    <col min="15606" max="15607" width="16.21875" customWidth="1"/>
    <col min="15608" max="15608" width="27.77734375" customWidth="1"/>
    <col min="15860" max="15860" width="16.21875" customWidth="1"/>
    <col min="15861" max="15861" width="11.77734375" customWidth="1"/>
    <col min="15862" max="15863" width="16.21875" customWidth="1"/>
    <col min="15864" max="15864" width="27.77734375" customWidth="1"/>
    <col min="16116" max="16116" width="16.21875" customWidth="1"/>
    <col min="16117" max="16117" width="11.77734375" customWidth="1"/>
    <col min="16118" max="16119" width="16.21875" customWidth="1"/>
    <col min="16120" max="16120" width="27.77734375" customWidth="1"/>
  </cols>
  <sheetData>
    <row r="1" spans="2:223" ht="19.5" customHeight="1">
      <c r="B1" s="3592" t="s">
        <v>2747</v>
      </c>
      <c r="C1" s="3592"/>
      <c r="D1" s="3592"/>
      <c r="E1" s="3592"/>
      <c r="F1" s="3592"/>
      <c r="G1" s="3592"/>
      <c r="H1" s="3592"/>
      <c r="I1" s="1893"/>
      <c r="J1" s="1893"/>
    </row>
    <row r="2" spans="2:223" ht="25.5" customHeight="1">
      <c r="B2" s="1892"/>
      <c r="C2" s="1892"/>
      <c r="D2" s="1892"/>
      <c r="E2" s="1892"/>
      <c r="F2" s="1892"/>
      <c r="G2" s="1892"/>
      <c r="H2" s="1892"/>
      <c r="I2" s="1892"/>
      <c r="J2" s="1892"/>
    </row>
    <row r="3" spans="2:223" ht="15" customHeight="1">
      <c r="B3" s="4921"/>
      <c r="C3" s="4921"/>
      <c r="D3" s="4921"/>
      <c r="E3" s="4921"/>
      <c r="F3" s="5897" t="s">
        <v>2594</v>
      </c>
      <c r="G3" s="5897"/>
      <c r="H3" s="5897"/>
      <c r="I3" s="5897"/>
      <c r="J3" s="1892"/>
    </row>
    <row r="4" spans="2:223" ht="15.75" customHeight="1">
      <c r="B4" s="91"/>
      <c r="C4" s="5898" t="s">
        <v>2993</v>
      </c>
      <c r="D4" s="5898"/>
      <c r="E4" s="5898"/>
      <c r="F4" s="5899" t="s">
        <v>2803</v>
      </c>
      <c r="G4" s="5899"/>
      <c r="H4" s="5900" t="s">
        <v>2593</v>
      </c>
      <c r="I4" s="5900"/>
      <c r="J4" s="1892"/>
    </row>
    <row r="5" spans="2:223" ht="16.2" thickBot="1">
      <c r="B5" s="4828" t="s">
        <v>2592</v>
      </c>
      <c r="C5" s="3955" t="s">
        <v>15</v>
      </c>
      <c r="D5" s="3955" t="s">
        <v>2594</v>
      </c>
      <c r="E5" s="4922" t="s">
        <v>2595</v>
      </c>
      <c r="F5" s="3955" t="s">
        <v>15</v>
      </c>
      <c r="G5" s="4922" t="s">
        <v>76</v>
      </c>
      <c r="H5" s="3955" t="s">
        <v>15</v>
      </c>
      <c r="I5" s="3955" t="s">
        <v>76</v>
      </c>
      <c r="J5" s="1892"/>
    </row>
    <row r="6" spans="2:223" ht="15.6">
      <c r="B6" s="92"/>
      <c r="C6" s="92"/>
      <c r="D6" s="92"/>
      <c r="E6" s="92"/>
      <c r="F6" s="92"/>
      <c r="G6" s="92"/>
      <c r="H6" s="92"/>
      <c r="I6" s="92"/>
      <c r="J6" s="1892"/>
    </row>
    <row r="7" spans="2:223" ht="15.6">
      <c r="B7" s="2129" t="s">
        <v>4</v>
      </c>
      <c r="C7" s="2130">
        <v>10</v>
      </c>
      <c r="D7" s="2131">
        <v>10</v>
      </c>
      <c r="E7" s="4923">
        <f>C7-D7</f>
        <v>0</v>
      </c>
      <c r="F7" s="2131">
        <v>10</v>
      </c>
      <c r="G7" s="4924">
        <f>F7/D7</f>
        <v>1</v>
      </c>
      <c r="H7" s="2131">
        <f>D7-F7</f>
        <v>0</v>
      </c>
      <c r="I7" s="4925">
        <f t="shared" ref="I7:I32" si="0">1-G7</f>
        <v>0</v>
      </c>
      <c r="J7" s="1892"/>
    </row>
    <row r="8" spans="2:223" ht="15.6">
      <c r="B8" s="2132" t="s">
        <v>16</v>
      </c>
      <c r="C8" s="2133">
        <v>4</v>
      </c>
      <c r="D8" s="1582">
        <v>4</v>
      </c>
      <c r="E8" s="4926">
        <f t="shared" ref="E8:E29" si="1">C8-D8</f>
        <v>0</v>
      </c>
      <c r="F8" s="1582">
        <v>3</v>
      </c>
      <c r="G8" s="4927">
        <f>F8/D8</f>
        <v>0.75</v>
      </c>
      <c r="H8" s="1582">
        <f>D8-F8</f>
        <v>1</v>
      </c>
      <c r="I8" s="4928">
        <f t="shared" si="0"/>
        <v>0.25</v>
      </c>
      <c r="J8" s="1892"/>
    </row>
    <row r="9" spans="2:223" ht="15.6">
      <c r="B9" s="2132" t="s">
        <v>21</v>
      </c>
      <c r="C9" s="2133">
        <v>3</v>
      </c>
      <c r="D9" s="1582">
        <v>3</v>
      </c>
      <c r="E9" s="4926">
        <f t="shared" si="1"/>
        <v>0</v>
      </c>
      <c r="F9" s="1582">
        <v>3</v>
      </c>
      <c r="G9" s="4927">
        <f>F9/D9</f>
        <v>1</v>
      </c>
      <c r="H9" s="1582">
        <f>D9-F9</f>
        <v>0</v>
      </c>
      <c r="I9" s="4928">
        <f t="shared" si="0"/>
        <v>0</v>
      </c>
      <c r="J9" s="1892"/>
    </row>
    <row r="10" spans="2:223" ht="15.6">
      <c r="B10" s="3956" t="s">
        <v>3</v>
      </c>
      <c r="C10" s="3957">
        <f>SUM(C7:C9)</f>
        <v>17</v>
      </c>
      <c r="D10" s="3958">
        <f>SUM(D7:D9)</f>
        <v>17</v>
      </c>
      <c r="E10" s="4929">
        <f>SUM(E7:E9)</f>
        <v>0</v>
      </c>
      <c r="F10" s="3958">
        <f>SUM(F7:F9)</f>
        <v>16</v>
      </c>
      <c r="G10" s="4930">
        <f>F10/D10</f>
        <v>0.94117647058823528</v>
      </c>
      <c r="H10" s="3958">
        <f>D10-F10</f>
        <v>1</v>
      </c>
      <c r="I10" s="4931">
        <f t="shared" si="0"/>
        <v>5.8823529411764719E-2</v>
      </c>
      <c r="J10" s="1892"/>
    </row>
    <row r="11" spans="2:223" ht="15.6">
      <c r="B11" s="3959"/>
      <c r="C11" s="3960"/>
      <c r="D11" s="3960"/>
      <c r="E11" s="3960"/>
      <c r="F11" s="3960"/>
      <c r="G11" s="3960"/>
      <c r="H11" s="1583"/>
      <c r="I11" s="4932"/>
      <c r="J11" s="1892"/>
      <c r="HO11" s="4">
        <f>SUM(I11:HN11)</f>
        <v>0</v>
      </c>
    </row>
    <row r="12" spans="2:223" ht="15.6">
      <c r="B12" s="2129" t="s">
        <v>16</v>
      </c>
      <c r="C12" s="2130">
        <v>4</v>
      </c>
      <c r="D12" s="2131">
        <v>3</v>
      </c>
      <c r="E12" s="4923">
        <f t="shared" si="1"/>
        <v>1</v>
      </c>
      <c r="F12" s="2131">
        <v>0</v>
      </c>
      <c r="G12" s="4924">
        <f>F12/D12</f>
        <v>0</v>
      </c>
      <c r="H12" s="2131">
        <f>D12-F12</f>
        <v>3</v>
      </c>
      <c r="I12" s="4925">
        <f t="shared" si="0"/>
        <v>1</v>
      </c>
      <c r="J12" s="1892"/>
    </row>
    <row r="13" spans="2:223" ht="15.6">
      <c r="B13" s="2132" t="s">
        <v>61</v>
      </c>
      <c r="C13" s="2133">
        <v>3</v>
      </c>
      <c r="D13" s="1582">
        <v>3</v>
      </c>
      <c r="E13" s="4926">
        <f t="shared" si="1"/>
        <v>0</v>
      </c>
      <c r="F13" s="1582">
        <v>2</v>
      </c>
      <c r="G13" s="4927">
        <f>F13/D13</f>
        <v>0.66666666666666663</v>
      </c>
      <c r="H13" s="1582">
        <f>D13-F13</f>
        <v>1</v>
      </c>
      <c r="I13" s="4928">
        <f t="shared" si="0"/>
        <v>0.33333333333333337</v>
      </c>
      <c r="J13" s="1892"/>
    </row>
    <row r="14" spans="2:223" ht="15.6">
      <c r="B14" s="2132" t="s">
        <v>64</v>
      </c>
      <c r="C14" s="2133">
        <v>4</v>
      </c>
      <c r="D14" s="1582">
        <v>4</v>
      </c>
      <c r="E14" s="4926">
        <f t="shared" si="1"/>
        <v>0</v>
      </c>
      <c r="F14" s="1582">
        <v>4</v>
      </c>
      <c r="G14" s="4927">
        <f>F14/D14</f>
        <v>1</v>
      </c>
      <c r="H14" s="1582">
        <f>D14-F14</f>
        <v>0</v>
      </c>
      <c r="I14" s="4928">
        <f t="shared" si="0"/>
        <v>0</v>
      </c>
      <c r="J14" s="1892"/>
    </row>
    <row r="15" spans="2:223" ht="15.6">
      <c r="B15" s="3961" t="s">
        <v>59</v>
      </c>
      <c r="C15" s="3962">
        <f>SUM(C12:C14)</f>
        <v>11</v>
      </c>
      <c r="D15" s="3963">
        <f>SUM(D12:D14)</f>
        <v>10</v>
      </c>
      <c r="E15" s="4933">
        <f>SUM(E12:E14)</f>
        <v>1</v>
      </c>
      <c r="F15" s="3963">
        <f>SUM(F12:F14)</f>
        <v>6</v>
      </c>
      <c r="G15" s="4934">
        <f>F15/D15</f>
        <v>0.6</v>
      </c>
      <c r="H15" s="3963">
        <f>D15-F15</f>
        <v>4</v>
      </c>
      <c r="I15" s="4935">
        <f t="shared" si="0"/>
        <v>0.4</v>
      </c>
      <c r="J15" s="1892"/>
    </row>
    <row r="16" spans="2:223" ht="15.6">
      <c r="B16" s="1584"/>
      <c r="C16" s="3953"/>
      <c r="D16" s="3953"/>
      <c r="E16" s="3953"/>
      <c r="F16" s="3964"/>
      <c r="G16" s="3964"/>
      <c r="H16" s="3964"/>
      <c r="I16" s="4936"/>
      <c r="J16" s="1892"/>
    </row>
    <row r="17" spans="2:10" ht="15.6">
      <c r="B17" s="2129" t="s">
        <v>4</v>
      </c>
      <c r="C17" s="2130">
        <v>10</v>
      </c>
      <c r="D17" s="2131">
        <v>9</v>
      </c>
      <c r="E17" s="4923">
        <f t="shared" si="1"/>
        <v>1</v>
      </c>
      <c r="F17" s="2131">
        <v>3</v>
      </c>
      <c r="G17" s="4924">
        <f>F17/D17</f>
        <v>0.33333333333333331</v>
      </c>
      <c r="H17" s="2131">
        <f>D17-F17</f>
        <v>6</v>
      </c>
      <c r="I17" s="4925">
        <f t="shared" si="0"/>
        <v>0.66666666666666674</v>
      </c>
      <c r="J17" s="1892"/>
    </row>
    <row r="18" spans="2:10" ht="15.6">
      <c r="B18" s="2132" t="s">
        <v>16</v>
      </c>
      <c r="C18" s="2133">
        <v>11</v>
      </c>
      <c r="D18" s="1582">
        <v>11</v>
      </c>
      <c r="E18" s="4926">
        <f t="shared" si="1"/>
        <v>0</v>
      </c>
      <c r="F18" s="1582">
        <v>0</v>
      </c>
      <c r="G18" s="4927">
        <f>F18/D18</f>
        <v>0</v>
      </c>
      <c r="H18" s="1582">
        <f>D18-F18</f>
        <v>11</v>
      </c>
      <c r="I18" s="4928">
        <f t="shared" si="0"/>
        <v>1</v>
      </c>
      <c r="J18" s="1892"/>
    </row>
    <row r="19" spans="2:10" ht="15.6">
      <c r="B19" s="2132" t="s">
        <v>41</v>
      </c>
      <c r="C19" s="2133">
        <v>6</v>
      </c>
      <c r="D19" s="1582">
        <v>6</v>
      </c>
      <c r="E19" s="4926">
        <f t="shared" si="1"/>
        <v>0</v>
      </c>
      <c r="F19" s="1582">
        <v>1</v>
      </c>
      <c r="G19" s="4927">
        <f>F19/D19</f>
        <v>0.16666666666666666</v>
      </c>
      <c r="H19" s="1582">
        <f>D19-F19</f>
        <v>5</v>
      </c>
      <c r="I19" s="4928">
        <f t="shared" si="0"/>
        <v>0.83333333333333337</v>
      </c>
      <c r="J19" s="1892"/>
    </row>
    <row r="20" spans="2:10" ht="15" customHeight="1">
      <c r="B20" s="3965" t="s">
        <v>25</v>
      </c>
      <c r="C20" s="3966">
        <f>SUM(C17:C19)</f>
        <v>27</v>
      </c>
      <c r="D20" s="3967">
        <f>SUM(D17:D19)</f>
        <v>26</v>
      </c>
      <c r="E20" s="4937">
        <f>SUM(E17:E19)</f>
        <v>1</v>
      </c>
      <c r="F20" s="3967">
        <f>SUM(F17:F19)</f>
        <v>4</v>
      </c>
      <c r="G20" s="4938">
        <f>F20/D20</f>
        <v>0.15384615384615385</v>
      </c>
      <c r="H20" s="3967">
        <f>D20-F20</f>
        <v>22</v>
      </c>
      <c r="I20" s="4939">
        <f t="shared" si="0"/>
        <v>0.84615384615384615</v>
      </c>
      <c r="J20" s="1892"/>
    </row>
    <row r="21" spans="2:10" ht="15" customHeight="1">
      <c r="B21" s="93"/>
      <c r="C21" s="3953"/>
      <c r="D21" s="3953"/>
      <c r="E21" s="3953"/>
      <c r="F21" s="3964"/>
      <c r="G21" s="3968"/>
      <c r="H21" s="3968"/>
      <c r="I21" s="4940"/>
      <c r="J21" s="1892"/>
    </row>
    <row r="22" spans="2:10" ht="15" customHeight="1">
      <c r="B22" s="2129" t="s">
        <v>4</v>
      </c>
      <c r="C22" s="2130">
        <v>3</v>
      </c>
      <c r="D22" s="2131">
        <v>1</v>
      </c>
      <c r="E22" s="4923">
        <f t="shared" si="1"/>
        <v>2</v>
      </c>
      <c r="F22" s="2131">
        <v>1</v>
      </c>
      <c r="G22" s="4924">
        <f>F22/D22</f>
        <v>1</v>
      </c>
      <c r="H22" s="2131">
        <f>D22-F22</f>
        <v>0</v>
      </c>
      <c r="I22" s="4925">
        <f t="shared" si="0"/>
        <v>0</v>
      </c>
      <c r="J22" s="1892"/>
    </row>
    <row r="23" spans="2:10" ht="15" customHeight="1">
      <c r="B23" s="2132" t="s">
        <v>16</v>
      </c>
      <c r="C23" s="2133">
        <v>3</v>
      </c>
      <c r="D23" s="1582">
        <v>2</v>
      </c>
      <c r="E23" s="4926">
        <f t="shared" si="1"/>
        <v>1</v>
      </c>
      <c r="F23" s="1582">
        <v>0</v>
      </c>
      <c r="G23" s="4927">
        <f>F23/D23</f>
        <v>0</v>
      </c>
      <c r="H23" s="1582">
        <f>D23-F23</f>
        <v>2</v>
      </c>
      <c r="I23" s="4928">
        <f t="shared" si="0"/>
        <v>1</v>
      </c>
      <c r="J23" s="1892"/>
    </row>
    <row r="24" spans="2:10" ht="15" customHeight="1">
      <c r="B24" s="2132" t="s">
        <v>41</v>
      </c>
      <c r="C24" s="2133">
        <v>3</v>
      </c>
      <c r="D24" s="1582">
        <v>1</v>
      </c>
      <c r="E24" s="4926">
        <f t="shared" si="1"/>
        <v>2</v>
      </c>
      <c r="F24" s="1582">
        <v>0</v>
      </c>
      <c r="G24" s="4927">
        <f>F24/D24</f>
        <v>0</v>
      </c>
      <c r="H24" s="1582">
        <f>D24-F24</f>
        <v>1</v>
      </c>
      <c r="I24" s="4928">
        <f t="shared" si="0"/>
        <v>1</v>
      </c>
      <c r="J24" s="1892"/>
    </row>
    <row r="25" spans="2:10" ht="15" customHeight="1">
      <c r="B25" s="3969" t="s">
        <v>244</v>
      </c>
      <c r="C25" s="3970">
        <f>SUM(C22:C24)</f>
        <v>9</v>
      </c>
      <c r="D25" s="3971">
        <f>SUM(D22:D24)</f>
        <v>4</v>
      </c>
      <c r="E25" s="4941">
        <f>SUM(E22:E24)</f>
        <v>5</v>
      </c>
      <c r="F25" s="3971">
        <f>SUM(F22:F24)</f>
        <v>1</v>
      </c>
      <c r="G25" s="4942">
        <f>F25/D25</f>
        <v>0.25</v>
      </c>
      <c r="H25" s="3971">
        <f>D25-F25</f>
        <v>3</v>
      </c>
      <c r="I25" s="4943">
        <f t="shared" si="0"/>
        <v>0.75</v>
      </c>
      <c r="J25" s="1892"/>
    </row>
    <row r="26" spans="2:10" ht="15.6">
      <c r="B26" s="3972"/>
      <c r="C26" s="3964"/>
      <c r="D26" s="3964"/>
      <c r="E26" s="3964"/>
      <c r="F26" s="3964"/>
      <c r="G26" s="3964"/>
      <c r="H26" s="3964"/>
      <c r="I26" s="4936"/>
      <c r="J26" s="1892"/>
    </row>
    <row r="27" spans="2:10" ht="15" customHeight="1">
      <c r="B27" s="2129" t="s">
        <v>16</v>
      </c>
      <c r="C27" s="2130">
        <v>6</v>
      </c>
      <c r="D27" s="2131">
        <v>6</v>
      </c>
      <c r="E27" s="4923">
        <f t="shared" si="1"/>
        <v>0</v>
      </c>
      <c r="F27" s="2131">
        <v>5</v>
      </c>
      <c r="G27" s="4924">
        <f>F27/D27</f>
        <v>0.83333333333333337</v>
      </c>
      <c r="H27" s="2131">
        <f>D27-F27</f>
        <v>1</v>
      </c>
      <c r="I27" s="4925">
        <f t="shared" si="0"/>
        <v>0.16666666666666663</v>
      </c>
      <c r="J27" s="1892"/>
    </row>
    <row r="28" spans="2:10" ht="15.6">
      <c r="B28" s="2132" t="s">
        <v>41</v>
      </c>
      <c r="C28" s="2133">
        <v>8</v>
      </c>
      <c r="D28" s="1582">
        <v>8</v>
      </c>
      <c r="E28" s="4926">
        <f t="shared" si="1"/>
        <v>0</v>
      </c>
      <c r="F28" s="1582">
        <v>6</v>
      </c>
      <c r="G28" s="4927">
        <f>F28/D28</f>
        <v>0.75</v>
      </c>
      <c r="H28" s="1582">
        <f>D28-F28</f>
        <v>2</v>
      </c>
      <c r="I28" s="4928">
        <f t="shared" si="0"/>
        <v>0.25</v>
      </c>
      <c r="J28" s="1892"/>
    </row>
    <row r="29" spans="2:10" ht="15.6">
      <c r="B29" s="2132" t="s">
        <v>21</v>
      </c>
      <c r="C29" s="2133">
        <v>4</v>
      </c>
      <c r="D29" s="1582">
        <v>4</v>
      </c>
      <c r="E29" s="4926">
        <f t="shared" si="1"/>
        <v>0</v>
      </c>
      <c r="F29" s="1582">
        <v>2</v>
      </c>
      <c r="G29" s="4927">
        <f>F29/D29</f>
        <v>0.5</v>
      </c>
      <c r="H29" s="1582">
        <f>D29-F29</f>
        <v>2</v>
      </c>
      <c r="I29" s="4928">
        <f t="shared" si="0"/>
        <v>0.5</v>
      </c>
      <c r="J29" s="1892"/>
    </row>
    <row r="30" spans="2:10" ht="15.6">
      <c r="B30" s="3973" t="s">
        <v>48</v>
      </c>
      <c r="C30" s="3974">
        <f>SUM(C27:C29)</f>
        <v>18</v>
      </c>
      <c r="D30" s="3975">
        <f>SUM(D27:D29)</f>
        <v>18</v>
      </c>
      <c r="E30" s="4944">
        <f>SUM(E27:E29)</f>
        <v>0</v>
      </c>
      <c r="F30" s="3975">
        <f>SUM(F27:F29)</f>
        <v>13</v>
      </c>
      <c r="G30" s="4945">
        <f>F30/D30</f>
        <v>0.72222222222222221</v>
      </c>
      <c r="H30" s="3975">
        <f>D30-F30</f>
        <v>5</v>
      </c>
      <c r="I30" s="4946">
        <f t="shared" si="0"/>
        <v>0.27777777777777779</v>
      </c>
      <c r="J30" s="1892"/>
    </row>
    <row r="31" spans="2:10" ht="15.6">
      <c r="B31" s="3972"/>
      <c r="C31" s="3964"/>
      <c r="D31" s="3964"/>
      <c r="E31" s="3964"/>
      <c r="F31" s="3964"/>
      <c r="G31" s="3964"/>
      <c r="H31" s="3964"/>
      <c r="I31" s="4936"/>
      <c r="J31" s="1892"/>
    </row>
    <row r="32" spans="2:10" ht="15.6">
      <c r="B32" s="3976" t="s">
        <v>75</v>
      </c>
      <c r="C32" s="3977">
        <f>SUM(C10,C20,C30,C15,C25)</f>
        <v>82</v>
      </c>
      <c r="D32" s="3978">
        <f>SUM(D10,D20,D30,D15,D25)</f>
        <v>75</v>
      </c>
      <c r="E32" s="4947">
        <f>SUM(E10,E20,E30,E15,E25)</f>
        <v>7</v>
      </c>
      <c r="F32" s="3978">
        <f>SUM(F10,F15,F20,F25,F30)</f>
        <v>40</v>
      </c>
      <c r="G32" s="4948">
        <f>F32/D32</f>
        <v>0.53333333333333333</v>
      </c>
      <c r="H32" s="3978">
        <f>D32-F32</f>
        <v>35</v>
      </c>
      <c r="I32" s="4949">
        <f t="shared" si="0"/>
        <v>0.46666666666666667</v>
      </c>
      <c r="J32" s="1892"/>
    </row>
    <row r="33" spans="1:14" ht="15.6">
      <c r="A33" s="3954"/>
      <c r="B33" s="3954"/>
      <c r="C33" s="3954"/>
      <c r="D33" s="3954"/>
      <c r="E33" s="3954"/>
      <c r="F33" s="2134"/>
      <c r="G33" s="2135"/>
      <c r="H33" s="2135"/>
      <c r="I33" s="94"/>
      <c r="J33" s="1892"/>
    </row>
    <row r="34" spans="1:14" ht="15.6">
      <c r="J34" s="1892"/>
    </row>
    <row r="35" spans="1:14" ht="15.6">
      <c r="J35" s="26"/>
      <c r="K35" s="26"/>
      <c r="L35" s="26"/>
      <c r="M35" s="4136"/>
      <c r="N35" s="4137" t="s">
        <v>2994</v>
      </c>
    </row>
    <row r="36" spans="1:14" ht="29.4" thickBot="1">
      <c r="J36" s="2556" t="s">
        <v>69</v>
      </c>
      <c r="K36" s="3979" t="s">
        <v>2285</v>
      </c>
      <c r="L36" s="3979" t="s">
        <v>2596</v>
      </c>
      <c r="M36" s="2556" t="s">
        <v>2336</v>
      </c>
      <c r="N36" s="3979" t="s">
        <v>2287</v>
      </c>
    </row>
    <row r="37" spans="1:14">
      <c r="J37" s="26"/>
      <c r="K37" s="26"/>
      <c r="L37" s="26"/>
      <c r="M37" s="26"/>
      <c r="N37" s="26"/>
    </row>
    <row r="38" spans="1:14" ht="15" customHeight="1">
      <c r="J38" s="5889" t="s">
        <v>2288</v>
      </c>
      <c r="K38" s="3980" t="s">
        <v>2337</v>
      </c>
      <c r="L38" s="3981" t="s">
        <v>2338</v>
      </c>
      <c r="M38" s="3982">
        <v>45630</v>
      </c>
      <c r="N38" s="3983"/>
    </row>
    <row r="39" spans="1:14">
      <c r="J39" s="5894"/>
      <c r="K39" s="3984" t="s">
        <v>2339</v>
      </c>
      <c r="L39" s="3985" t="s">
        <v>2338</v>
      </c>
      <c r="M39" s="3988">
        <v>45630</v>
      </c>
      <c r="N39" s="3987"/>
    </row>
    <row r="40" spans="1:14">
      <c r="J40" s="5894"/>
      <c r="K40" s="3984" t="s">
        <v>2340</v>
      </c>
      <c r="L40" s="3985" t="s">
        <v>2338</v>
      </c>
      <c r="M40" s="3982">
        <v>45630</v>
      </c>
      <c r="N40" s="3987"/>
    </row>
    <row r="41" spans="1:14">
      <c r="J41" s="5894"/>
      <c r="K41" s="3984" t="s">
        <v>2341</v>
      </c>
      <c r="L41" s="3985" t="s">
        <v>2338</v>
      </c>
      <c r="M41" s="3982">
        <v>45630</v>
      </c>
      <c r="N41" s="3987"/>
    </row>
    <row r="42" spans="1:14">
      <c r="J42" s="5894"/>
      <c r="K42" s="3984" t="s">
        <v>2342</v>
      </c>
      <c r="L42" s="3985" t="s">
        <v>2338</v>
      </c>
      <c r="M42" s="3982">
        <v>45630</v>
      </c>
      <c r="N42" s="3987"/>
    </row>
    <row r="43" spans="1:14">
      <c r="J43" s="5894"/>
      <c r="K43" s="3984" t="s">
        <v>2343</v>
      </c>
      <c r="L43" s="3985" t="s">
        <v>2338</v>
      </c>
      <c r="M43" s="3982">
        <v>45630</v>
      </c>
      <c r="N43" s="3987"/>
    </row>
    <row r="44" spans="1:14">
      <c r="J44" s="5894"/>
      <c r="K44" s="3984" t="s">
        <v>2344</v>
      </c>
      <c r="L44" s="3985" t="s">
        <v>2338</v>
      </c>
      <c r="M44" s="3982">
        <v>45630</v>
      </c>
      <c r="N44" s="3987"/>
    </row>
    <row r="45" spans="1:14">
      <c r="J45" s="5894"/>
      <c r="K45" s="3984" t="s">
        <v>2345</v>
      </c>
      <c r="L45" s="3985" t="s">
        <v>2338</v>
      </c>
      <c r="M45" s="3982">
        <v>45630</v>
      </c>
      <c r="N45" s="3987"/>
    </row>
    <row r="46" spans="1:14">
      <c r="J46" s="5894"/>
      <c r="K46" s="3984" t="s">
        <v>2346</v>
      </c>
      <c r="L46" s="3985" t="s">
        <v>2338</v>
      </c>
      <c r="M46" s="3982">
        <v>45630</v>
      </c>
      <c r="N46" s="3987"/>
    </row>
    <row r="47" spans="1:14">
      <c r="J47" s="5894"/>
      <c r="K47" s="2140" t="s">
        <v>529</v>
      </c>
      <c r="L47" s="2141" t="s">
        <v>2338</v>
      </c>
      <c r="M47" s="4950">
        <v>45630</v>
      </c>
      <c r="N47" s="2142"/>
    </row>
    <row r="48" spans="1:14" ht="15" customHeight="1">
      <c r="J48" s="5890" t="s">
        <v>2293</v>
      </c>
      <c r="K48" s="3990" t="s">
        <v>17</v>
      </c>
      <c r="L48" s="3991" t="s">
        <v>2598</v>
      </c>
      <c r="M48" s="3992">
        <v>44994</v>
      </c>
      <c r="N48" s="3993"/>
    </row>
    <row r="49" spans="10:14">
      <c r="J49" s="5890"/>
      <c r="K49" s="3984" t="s">
        <v>18</v>
      </c>
      <c r="L49" s="3994"/>
      <c r="M49" s="3995"/>
      <c r="N49" s="3987"/>
    </row>
    <row r="50" spans="10:14">
      <c r="J50" s="5890"/>
      <c r="K50" s="3984" t="s">
        <v>19</v>
      </c>
      <c r="L50" s="3994" t="s">
        <v>2995</v>
      </c>
      <c r="M50" s="3986" t="s">
        <v>2996</v>
      </c>
      <c r="N50" s="3996" t="s">
        <v>2997</v>
      </c>
    </row>
    <row r="51" spans="10:14">
      <c r="J51" s="5890"/>
      <c r="K51" s="3997" t="s">
        <v>20</v>
      </c>
      <c r="L51" s="3998" t="s">
        <v>2348</v>
      </c>
      <c r="M51" s="3989">
        <v>43700</v>
      </c>
      <c r="N51" s="2142" t="s">
        <v>2597</v>
      </c>
    </row>
    <row r="52" spans="10:14" ht="15" customHeight="1">
      <c r="J52" s="5894" t="s">
        <v>2301</v>
      </c>
      <c r="K52" s="3990" t="s">
        <v>22</v>
      </c>
      <c r="L52" s="3991" t="s">
        <v>2349</v>
      </c>
      <c r="M52" s="4000">
        <v>45107</v>
      </c>
      <c r="N52" s="3993"/>
    </row>
    <row r="53" spans="10:14">
      <c r="J53" s="5894"/>
      <c r="K53" s="3984" t="s">
        <v>23</v>
      </c>
      <c r="L53" s="3994" t="s">
        <v>2350</v>
      </c>
      <c r="M53" s="4001">
        <v>43618</v>
      </c>
      <c r="N53" s="3983" t="s">
        <v>2597</v>
      </c>
    </row>
    <row r="54" spans="10:14">
      <c r="J54" s="5894"/>
      <c r="K54" s="3997" t="s">
        <v>24</v>
      </c>
      <c r="L54" s="3998" t="s">
        <v>2350</v>
      </c>
      <c r="M54" s="4002">
        <v>43618</v>
      </c>
      <c r="N54" s="3999" t="s">
        <v>2597</v>
      </c>
    </row>
    <row r="55" spans="10:14" ht="15" customHeight="1">
      <c r="J55" s="139" t="s">
        <v>2351</v>
      </c>
      <c r="K55" s="4003"/>
      <c r="L55" s="4003"/>
      <c r="M55" s="5878" t="s">
        <v>2599</v>
      </c>
      <c r="N55" s="5878"/>
    </row>
    <row r="56" spans="10:14">
      <c r="J56" s="139" t="s">
        <v>2804</v>
      </c>
      <c r="K56" s="1897"/>
      <c r="L56" s="1897"/>
      <c r="M56" s="5878"/>
      <c r="N56" s="5878"/>
    </row>
    <row r="57" spans="10:14">
      <c r="J57" s="139" t="s">
        <v>2352</v>
      </c>
      <c r="K57" s="139"/>
      <c r="L57" s="139"/>
      <c r="M57" s="4004"/>
      <c r="N57" s="4004"/>
    </row>
    <row r="58" spans="10:14">
      <c r="J58" s="139" t="s">
        <v>2353</v>
      </c>
      <c r="K58" s="139"/>
      <c r="L58" s="139"/>
      <c r="M58" s="4005"/>
      <c r="N58" s="4005"/>
    </row>
    <row r="59" spans="10:14">
      <c r="J59" s="1898" t="s">
        <v>2354</v>
      </c>
      <c r="K59" s="139"/>
      <c r="L59" s="139"/>
      <c r="M59" s="4005"/>
      <c r="N59" s="4005"/>
    </row>
    <row r="60" spans="10:14">
      <c r="J60" s="1898"/>
      <c r="K60" s="139"/>
      <c r="L60" s="139"/>
      <c r="M60" s="4005"/>
      <c r="N60" s="4005"/>
    </row>
    <row r="61" spans="10:14">
      <c r="J61" s="3952"/>
      <c r="K61" s="3952"/>
      <c r="L61" s="3952"/>
      <c r="M61" s="3952"/>
      <c r="N61" s="3952"/>
    </row>
    <row r="62" spans="10:14" ht="15.6">
      <c r="J62" s="4951"/>
      <c r="K62" s="26"/>
      <c r="L62" s="4952"/>
      <c r="M62" s="4953"/>
      <c r="N62" s="4954" t="s">
        <v>2998</v>
      </c>
    </row>
    <row r="63" spans="10:14" ht="29.4" thickBot="1">
      <c r="J63" s="2556" t="s">
        <v>69</v>
      </c>
      <c r="K63" s="3979" t="s">
        <v>2285</v>
      </c>
      <c r="L63" s="3979" t="s">
        <v>2596</v>
      </c>
      <c r="M63" s="2556" t="s">
        <v>2336</v>
      </c>
      <c r="N63" s="3979" t="s">
        <v>2287</v>
      </c>
    </row>
    <row r="64" spans="10:14">
      <c r="J64" s="26"/>
      <c r="K64" s="26"/>
      <c r="L64" s="26"/>
      <c r="M64" s="26"/>
      <c r="N64" s="26"/>
    </row>
    <row r="65" spans="10:14" ht="15" customHeight="1">
      <c r="J65" s="5895" t="s">
        <v>2293</v>
      </c>
      <c r="K65" s="2138" t="s">
        <v>2355</v>
      </c>
      <c r="L65" s="2146"/>
      <c r="M65" s="2147"/>
      <c r="N65" s="2148"/>
    </row>
    <row r="66" spans="10:14">
      <c r="J66" s="5886"/>
      <c r="K66" s="2139" t="s">
        <v>18</v>
      </c>
      <c r="L66" s="2149"/>
      <c r="M66" s="2150"/>
      <c r="N66" s="2151"/>
    </row>
    <row r="67" spans="10:14">
      <c r="J67" s="5886"/>
      <c r="K67" s="2139" t="s">
        <v>2356</v>
      </c>
      <c r="L67" s="2149"/>
      <c r="M67" s="2150"/>
      <c r="N67" s="2151"/>
    </row>
    <row r="68" spans="10:14">
      <c r="J68" s="5887"/>
      <c r="K68" s="2143" t="s">
        <v>413</v>
      </c>
      <c r="L68" s="2152"/>
      <c r="M68" s="2153"/>
      <c r="N68" s="2144"/>
    </row>
    <row r="69" spans="10:14" ht="15" customHeight="1">
      <c r="J69" s="5882" t="s">
        <v>2302</v>
      </c>
      <c r="K69" s="3990" t="s">
        <v>62</v>
      </c>
      <c r="L69" s="3991" t="s">
        <v>2350</v>
      </c>
      <c r="M69" s="4000">
        <v>44249</v>
      </c>
      <c r="N69" s="4006"/>
    </row>
    <row r="70" spans="10:14">
      <c r="J70" s="5883"/>
      <c r="K70" s="3984" t="s">
        <v>2357</v>
      </c>
      <c r="L70" s="4007"/>
      <c r="M70" s="4008"/>
      <c r="N70" s="4009"/>
    </row>
    <row r="71" spans="10:14">
      <c r="J71" s="5884"/>
      <c r="K71" s="3997" t="s">
        <v>63</v>
      </c>
      <c r="L71" s="3998" t="s">
        <v>2348</v>
      </c>
      <c r="M71" s="4010">
        <v>45034</v>
      </c>
      <c r="N71" s="3999"/>
    </row>
    <row r="72" spans="10:14" ht="15" customHeight="1">
      <c r="J72" s="5885" t="s">
        <v>2303</v>
      </c>
      <c r="K72" s="3990" t="s">
        <v>2358</v>
      </c>
      <c r="L72" s="2154" t="s">
        <v>2359</v>
      </c>
      <c r="M72" s="2155">
        <v>44695</v>
      </c>
      <c r="N72" s="2156"/>
    </row>
    <row r="73" spans="10:14">
      <c r="J73" s="5886"/>
      <c r="K73" s="3984" t="s">
        <v>65</v>
      </c>
      <c r="L73" s="2149" t="s">
        <v>2601</v>
      </c>
      <c r="M73" s="2150">
        <v>45309</v>
      </c>
      <c r="N73" s="2151"/>
    </row>
    <row r="74" spans="10:14">
      <c r="J74" s="5886"/>
      <c r="K74" s="3984" t="s">
        <v>2360</v>
      </c>
      <c r="L74" s="2149" t="s">
        <v>2338</v>
      </c>
      <c r="M74" s="2150" t="s">
        <v>2600</v>
      </c>
      <c r="N74" s="2157"/>
    </row>
    <row r="75" spans="10:14">
      <c r="J75" s="5887"/>
      <c r="K75" s="4011" t="s">
        <v>81</v>
      </c>
      <c r="L75" s="2152" t="s">
        <v>2361</v>
      </c>
      <c r="M75" s="2153" t="s">
        <v>2362</v>
      </c>
      <c r="N75" s="2158"/>
    </row>
    <row r="76" spans="10:14" ht="15" customHeight="1">
      <c r="J76" s="1898" t="s">
        <v>2354</v>
      </c>
      <c r="K76" s="4003"/>
      <c r="L76" s="4003"/>
      <c r="M76" s="5878" t="s">
        <v>2599</v>
      </c>
      <c r="N76" s="5878"/>
    </row>
    <row r="77" spans="10:14">
      <c r="J77" s="139" t="s">
        <v>2372</v>
      </c>
      <c r="K77" s="1899"/>
      <c r="L77" s="1899"/>
      <c r="M77" s="5878"/>
      <c r="N77" s="5878"/>
    </row>
    <row r="78" spans="10:14">
      <c r="J78" s="139" t="s">
        <v>2351</v>
      </c>
      <c r="K78" s="1900"/>
      <c r="L78" s="1900"/>
      <c r="M78" s="4005"/>
      <c r="N78" s="4005"/>
    </row>
    <row r="79" spans="10:14">
      <c r="J79" s="4003" t="s">
        <v>2363</v>
      </c>
      <c r="K79" s="1900"/>
      <c r="L79" s="1900"/>
      <c r="M79" s="4005"/>
      <c r="N79" s="4005"/>
    </row>
    <row r="80" spans="10:14">
      <c r="J80" s="3952"/>
      <c r="K80" s="3952"/>
      <c r="L80" s="3952"/>
      <c r="M80" s="3952"/>
      <c r="N80" s="3952"/>
    </row>
    <row r="81" spans="10:14">
      <c r="J81" s="3952"/>
      <c r="K81" s="3952"/>
      <c r="L81" s="3952"/>
      <c r="M81" s="3952"/>
      <c r="N81" s="3952"/>
    </row>
    <row r="82" spans="10:14" ht="15.6">
      <c r="J82" s="26"/>
      <c r="K82" s="26"/>
      <c r="L82" s="4955"/>
      <c r="M82" s="4956"/>
      <c r="N82" s="4957" t="s">
        <v>2999</v>
      </c>
    </row>
    <row r="83" spans="10:14" ht="29.4" thickBot="1">
      <c r="J83" s="2556" t="s">
        <v>69</v>
      </c>
      <c r="K83" s="3979" t="s">
        <v>2285</v>
      </c>
      <c r="L83" s="3979" t="s">
        <v>2596</v>
      </c>
      <c r="M83" s="2556" t="s">
        <v>2336</v>
      </c>
      <c r="N83" s="3979" t="s">
        <v>2287</v>
      </c>
    </row>
    <row r="84" spans="10:14">
      <c r="J84" s="223"/>
      <c r="K84" s="223"/>
      <c r="L84" s="223"/>
      <c r="M84" s="223"/>
      <c r="N84" s="223"/>
    </row>
    <row r="85" spans="10:14" ht="15" customHeight="1">
      <c r="J85" s="5888" t="s">
        <v>2288</v>
      </c>
      <c r="K85" s="3980" t="s">
        <v>2364</v>
      </c>
      <c r="L85" s="3981"/>
      <c r="M85" s="3982"/>
      <c r="N85" s="3983"/>
    </row>
    <row r="86" spans="10:14">
      <c r="J86" s="5888"/>
      <c r="K86" s="3984" t="s">
        <v>2365</v>
      </c>
      <c r="L86" s="3994"/>
      <c r="M86" s="3995"/>
      <c r="N86" s="4013"/>
    </row>
    <row r="87" spans="10:14">
      <c r="J87" s="5888"/>
      <c r="K87" s="3984" t="s">
        <v>2345</v>
      </c>
      <c r="L87" s="3994" t="s">
        <v>2366</v>
      </c>
      <c r="M87" s="3995">
        <v>44098</v>
      </c>
      <c r="N87" s="4014"/>
    </row>
    <row r="88" spans="10:14">
      <c r="J88" s="5888"/>
      <c r="K88" s="3984" t="s">
        <v>269</v>
      </c>
      <c r="L88" s="3994"/>
      <c r="M88" s="3995"/>
      <c r="N88" s="4014"/>
    </row>
    <row r="89" spans="10:14">
      <c r="J89" s="5888"/>
      <c r="K89" s="3984" t="s">
        <v>29</v>
      </c>
      <c r="L89" s="4015"/>
      <c r="M89" s="3995"/>
      <c r="N89" s="4013"/>
    </row>
    <row r="90" spans="10:14">
      <c r="J90" s="5888"/>
      <c r="K90" s="3984" t="s">
        <v>2346</v>
      </c>
      <c r="L90" s="3994"/>
      <c r="M90" s="3995"/>
      <c r="N90" s="4016"/>
    </row>
    <row r="91" spans="10:14">
      <c r="J91" s="5888"/>
      <c r="K91" s="3984" t="s">
        <v>2367</v>
      </c>
      <c r="L91" s="3994" t="s">
        <v>2601</v>
      </c>
      <c r="M91" s="3995">
        <v>45143</v>
      </c>
      <c r="N91" s="3987"/>
    </row>
    <row r="92" spans="10:14">
      <c r="J92" s="5888"/>
      <c r="K92" s="3984" t="s">
        <v>31</v>
      </c>
      <c r="L92" s="4958" t="s">
        <v>2602</v>
      </c>
      <c r="M92" s="3995">
        <v>44888</v>
      </c>
      <c r="N92" s="3987"/>
    </row>
    <row r="93" spans="10:14">
      <c r="J93" s="5888"/>
      <c r="K93" s="3984" t="s">
        <v>32</v>
      </c>
      <c r="L93" s="3994"/>
      <c r="M93" s="3995"/>
      <c r="N93" s="4013"/>
    </row>
    <row r="94" spans="10:14">
      <c r="J94" s="5889"/>
      <c r="K94" s="3997" t="s">
        <v>1816</v>
      </c>
      <c r="L94" s="4017"/>
      <c r="M94" s="4002"/>
      <c r="N94" s="4018"/>
    </row>
    <row r="95" spans="10:14" ht="15" customHeight="1">
      <c r="J95" s="5890" t="s">
        <v>2368</v>
      </c>
      <c r="K95" s="3980" t="s">
        <v>17</v>
      </c>
      <c r="L95" s="4019"/>
      <c r="M95" s="4020"/>
      <c r="N95" s="4021"/>
    </row>
    <row r="96" spans="10:14">
      <c r="J96" s="5890"/>
      <c r="K96" s="3984" t="s">
        <v>33</v>
      </c>
      <c r="L96" s="3994"/>
      <c r="M96" s="3995"/>
      <c r="N96" s="4013"/>
    </row>
    <row r="97" spans="10:14">
      <c r="J97" s="5890"/>
      <c r="K97" s="3984" t="s">
        <v>34</v>
      </c>
      <c r="L97" s="4015"/>
      <c r="M97" s="3995"/>
      <c r="N97" s="4013"/>
    </row>
    <row r="98" spans="10:14">
      <c r="J98" s="5890"/>
      <c r="K98" s="3984" t="s">
        <v>35</v>
      </c>
      <c r="L98" s="4015"/>
      <c r="M98" s="3995"/>
      <c r="N98" s="4013"/>
    </row>
    <row r="99" spans="10:14">
      <c r="J99" s="5890"/>
      <c r="K99" s="3984" t="s">
        <v>19</v>
      </c>
      <c r="L99" s="4015"/>
      <c r="M99" s="3995"/>
      <c r="N99" s="4013"/>
    </row>
    <row r="100" spans="10:14">
      <c r="J100" s="5890"/>
      <c r="K100" s="3984" t="s">
        <v>20</v>
      </c>
      <c r="L100" s="3994"/>
      <c r="M100" s="3995"/>
      <c r="N100" s="3987"/>
    </row>
    <row r="101" spans="10:14">
      <c r="J101" s="5890"/>
      <c r="K101" s="3984" t="s">
        <v>36</v>
      </c>
      <c r="L101" s="3994"/>
      <c r="M101" s="3995"/>
      <c r="N101" s="4013"/>
    </row>
    <row r="102" spans="10:14">
      <c r="J102" s="5890"/>
      <c r="K102" s="3984" t="s">
        <v>2369</v>
      </c>
      <c r="L102" s="4015"/>
      <c r="M102" s="3995"/>
      <c r="N102" s="4013"/>
    </row>
    <row r="103" spans="10:14">
      <c r="J103" s="5890"/>
      <c r="K103" s="3984" t="s">
        <v>38</v>
      </c>
      <c r="L103" s="4015"/>
      <c r="M103" s="3995"/>
      <c r="N103" s="4013"/>
    </row>
    <row r="104" spans="10:14">
      <c r="J104" s="5890"/>
      <c r="K104" s="3984" t="s">
        <v>39</v>
      </c>
      <c r="L104" s="4015"/>
      <c r="M104" s="3995"/>
      <c r="N104" s="4014"/>
    </row>
    <row r="105" spans="10:14">
      <c r="J105" s="5890"/>
      <c r="K105" s="3997" t="s">
        <v>2370</v>
      </c>
      <c r="L105" s="3998"/>
      <c r="M105" s="4002"/>
      <c r="N105" s="4022"/>
    </row>
    <row r="106" spans="10:14" ht="15" customHeight="1">
      <c r="J106" s="5896" t="s">
        <v>2603</v>
      </c>
      <c r="K106" s="3990" t="s">
        <v>42</v>
      </c>
      <c r="L106" s="4023"/>
      <c r="M106" s="3992"/>
      <c r="N106" s="4024"/>
    </row>
    <row r="107" spans="10:14">
      <c r="J107" s="5896"/>
      <c r="K107" s="3984" t="s">
        <v>2371</v>
      </c>
      <c r="L107" s="3994" t="s">
        <v>2361</v>
      </c>
      <c r="M107" s="3995">
        <v>45046</v>
      </c>
      <c r="N107" s="3987"/>
    </row>
    <row r="108" spans="10:14">
      <c r="J108" s="5896"/>
      <c r="K108" s="3984" t="s">
        <v>44</v>
      </c>
      <c r="L108" s="4015"/>
      <c r="M108" s="3995"/>
      <c r="N108" s="4013"/>
    </row>
    <row r="109" spans="10:14">
      <c r="J109" s="5896"/>
      <c r="K109" s="3984" t="s">
        <v>45</v>
      </c>
      <c r="L109" s="3994"/>
      <c r="M109" s="3995"/>
      <c r="N109" s="4013"/>
    </row>
    <row r="110" spans="10:14">
      <c r="J110" s="5896"/>
      <c r="K110" s="3984" t="s">
        <v>270</v>
      </c>
      <c r="L110" s="3994"/>
      <c r="M110" s="3995"/>
      <c r="N110" s="3987"/>
    </row>
    <row r="111" spans="10:14">
      <c r="J111" s="5896"/>
      <c r="K111" s="3997" t="s">
        <v>271</v>
      </c>
      <c r="L111" s="3998"/>
      <c r="M111" s="4002"/>
      <c r="N111" s="3999"/>
    </row>
    <row r="112" spans="10:14" ht="15" customHeight="1">
      <c r="J112" s="4003" t="s">
        <v>2351</v>
      </c>
      <c r="K112" s="4003"/>
      <c r="L112" s="4003"/>
      <c r="M112" s="5878" t="s">
        <v>2599</v>
      </c>
      <c r="N112" s="5878"/>
    </row>
    <row r="113" spans="10:14">
      <c r="J113" s="139" t="s">
        <v>2604</v>
      </c>
      <c r="K113" s="139"/>
      <c r="L113" s="139"/>
      <c r="M113" s="5878"/>
      <c r="N113" s="5878"/>
    </row>
    <row r="114" spans="10:14">
      <c r="J114" s="139" t="s">
        <v>2605</v>
      </c>
      <c r="K114" s="139"/>
      <c r="L114" s="139"/>
      <c r="M114" s="4005"/>
      <c r="N114" s="4005"/>
    </row>
    <row r="115" spans="10:14">
      <c r="J115" s="4003" t="s">
        <v>2363</v>
      </c>
      <c r="K115" s="139"/>
      <c r="L115" s="139"/>
      <c r="M115" s="2145"/>
      <c r="N115" s="2145"/>
    </row>
    <row r="116" spans="10:14">
      <c r="J116" s="3952"/>
      <c r="K116" s="3952"/>
      <c r="L116" s="3952"/>
      <c r="M116" s="3952"/>
      <c r="N116" s="3952"/>
    </row>
    <row r="117" spans="10:14">
      <c r="J117" s="3952"/>
      <c r="K117" s="3952"/>
      <c r="L117" s="3952"/>
      <c r="M117" s="3952"/>
      <c r="N117" s="3952"/>
    </row>
    <row r="118" spans="10:14" ht="15.6">
      <c r="J118" s="4959"/>
      <c r="K118" s="4959"/>
      <c r="L118" s="4959"/>
      <c r="M118" s="4960"/>
      <c r="N118" s="4961" t="s">
        <v>3000</v>
      </c>
    </row>
    <row r="119" spans="10:14" ht="36.6" thickBot="1">
      <c r="J119" s="2556" t="s">
        <v>69</v>
      </c>
      <c r="K119" s="3979" t="s">
        <v>2285</v>
      </c>
      <c r="L119" s="4025" t="s">
        <v>2805</v>
      </c>
      <c r="M119" s="2556" t="s">
        <v>2336</v>
      </c>
      <c r="N119" s="3979" t="s">
        <v>2806</v>
      </c>
    </row>
    <row r="120" spans="10:14">
      <c r="J120" s="223"/>
      <c r="K120" s="223"/>
      <c r="L120" s="223"/>
      <c r="M120" s="223"/>
      <c r="N120" s="223"/>
    </row>
    <row r="121" spans="10:14" ht="15" customHeight="1">
      <c r="J121" s="5880" t="s">
        <v>2288</v>
      </c>
      <c r="K121" s="3980" t="s">
        <v>2373</v>
      </c>
      <c r="L121" s="4026" t="s">
        <v>2347</v>
      </c>
      <c r="M121" s="4027" t="s">
        <v>2606</v>
      </c>
      <c r="N121" s="4012" t="s">
        <v>2607</v>
      </c>
    </row>
    <row r="122" spans="10:14" ht="28.8">
      <c r="J122" s="5880"/>
      <c r="K122" s="4028" t="s">
        <v>2275</v>
      </c>
      <c r="L122" s="4029"/>
      <c r="M122" s="4030"/>
      <c r="N122" s="3987">
        <v>42691</v>
      </c>
    </row>
    <row r="123" spans="10:14" ht="28.8">
      <c r="J123" s="5881"/>
      <c r="K123" s="4031" t="s">
        <v>2608</v>
      </c>
      <c r="L123" s="4032"/>
      <c r="M123" s="4033"/>
      <c r="N123" s="3999">
        <v>43200</v>
      </c>
    </row>
    <row r="124" spans="10:14" ht="15" customHeight="1">
      <c r="J124" s="5891" t="s">
        <v>2293</v>
      </c>
      <c r="K124" s="3990" t="s">
        <v>2374</v>
      </c>
      <c r="L124" s="4034"/>
      <c r="M124" s="4035"/>
      <c r="N124" s="3993"/>
    </row>
    <row r="125" spans="10:14">
      <c r="J125" s="5892"/>
      <c r="K125" s="3984" t="s">
        <v>551</v>
      </c>
      <c r="L125" s="4029"/>
      <c r="M125" s="4030"/>
      <c r="N125" s="3987"/>
    </row>
    <row r="126" spans="10:14">
      <c r="J126" s="5893"/>
      <c r="K126" s="3997" t="s">
        <v>2581</v>
      </c>
      <c r="L126" s="4032"/>
      <c r="M126" s="4033"/>
      <c r="N126" s="3999">
        <v>42895</v>
      </c>
    </row>
    <row r="127" spans="10:14" ht="15" customHeight="1">
      <c r="J127" s="5879" t="s">
        <v>2320</v>
      </c>
      <c r="K127" s="3990" t="s">
        <v>792</v>
      </c>
      <c r="L127" s="4034"/>
      <c r="M127" s="4035"/>
      <c r="N127" s="3993"/>
    </row>
    <row r="128" spans="10:14">
      <c r="J128" s="5880"/>
      <c r="K128" s="4036" t="s">
        <v>2276</v>
      </c>
      <c r="L128" s="4037"/>
      <c r="M128" s="4038"/>
      <c r="N128" s="4039">
        <v>42818</v>
      </c>
    </row>
    <row r="129" spans="10:14">
      <c r="J129" s="5881"/>
      <c r="K129" s="4031" t="s">
        <v>2609</v>
      </c>
      <c r="L129" s="4032"/>
      <c r="M129" s="4033"/>
      <c r="N129" s="3999">
        <v>43200</v>
      </c>
    </row>
    <row r="130" spans="10:14">
      <c r="J130" s="803" t="s">
        <v>2807</v>
      </c>
      <c r="K130" s="1900"/>
      <c r="L130" s="26"/>
      <c r="M130" s="26"/>
      <c r="N130" s="4040" t="s">
        <v>2375</v>
      </c>
    </row>
    <row r="131" spans="10:14">
      <c r="J131" s="3952"/>
      <c r="K131" s="3952"/>
      <c r="L131" s="3952"/>
      <c r="M131" s="3952"/>
      <c r="N131" s="3952"/>
    </row>
    <row r="132" spans="10:14">
      <c r="J132" s="3952"/>
      <c r="K132" s="3952"/>
      <c r="L132" s="3952"/>
      <c r="M132" s="3952"/>
      <c r="N132" s="3952"/>
    </row>
    <row r="133" spans="10:14" ht="15.6">
      <c r="J133" s="26"/>
      <c r="K133" s="26"/>
      <c r="L133" s="4138"/>
      <c r="M133" s="4139"/>
      <c r="N133" s="4140" t="s">
        <v>3001</v>
      </c>
    </row>
    <row r="134" spans="10:14" ht="29.4" thickBot="1">
      <c r="J134" s="2556" t="s">
        <v>69</v>
      </c>
      <c r="K134" s="3979" t="s">
        <v>2285</v>
      </c>
      <c r="L134" s="3979" t="s">
        <v>2596</v>
      </c>
      <c r="M134" s="2556" t="s">
        <v>2336</v>
      </c>
      <c r="N134" s="3979" t="s">
        <v>2287</v>
      </c>
    </row>
    <row r="135" spans="10:14">
      <c r="J135" s="26"/>
      <c r="K135" s="26"/>
      <c r="L135" s="26"/>
      <c r="M135" s="26"/>
      <c r="N135" s="26"/>
    </row>
    <row r="136" spans="10:14" ht="15" customHeight="1">
      <c r="J136" s="5880" t="s">
        <v>2293</v>
      </c>
      <c r="K136" s="3980" t="s">
        <v>17</v>
      </c>
      <c r="L136" s="4026" t="s">
        <v>2598</v>
      </c>
      <c r="M136" s="4020">
        <v>45274</v>
      </c>
      <c r="N136" s="3983"/>
    </row>
    <row r="137" spans="10:14">
      <c r="J137" s="5880"/>
      <c r="K137" s="3984" t="s">
        <v>49</v>
      </c>
      <c r="L137" s="3994" t="s">
        <v>2348</v>
      </c>
      <c r="M137" s="3986">
        <v>45034</v>
      </c>
      <c r="N137" s="3987"/>
    </row>
    <row r="138" spans="10:14">
      <c r="J138" s="5880"/>
      <c r="K138" s="3984" t="s">
        <v>19</v>
      </c>
      <c r="L138" s="3994"/>
      <c r="M138" s="3986"/>
      <c r="N138" s="4041"/>
    </row>
    <row r="139" spans="10:14" ht="15.6">
      <c r="J139" s="5880"/>
      <c r="K139" s="3984" t="s">
        <v>2376</v>
      </c>
      <c r="L139" s="4962" t="s">
        <v>2610</v>
      </c>
      <c r="M139" s="3995">
        <v>45005</v>
      </c>
      <c r="N139" s="3987"/>
    </row>
    <row r="140" spans="10:14">
      <c r="J140" s="5880"/>
      <c r="K140" s="3984" t="s">
        <v>20</v>
      </c>
      <c r="L140" s="3994" t="s">
        <v>2348</v>
      </c>
      <c r="M140" s="3995">
        <v>45102</v>
      </c>
      <c r="N140" s="3987"/>
    </row>
    <row r="141" spans="10:14">
      <c r="J141" s="5881"/>
      <c r="K141" s="3997" t="s">
        <v>51</v>
      </c>
      <c r="L141" s="3998" t="s">
        <v>2348</v>
      </c>
      <c r="M141" s="4042">
        <v>45225</v>
      </c>
      <c r="N141" s="3999"/>
    </row>
    <row r="142" spans="10:14" ht="15" customHeight="1">
      <c r="J142" s="5891" t="s">
        <v>2603</v>
      </c>
      <c r="K142" s="3990" t="s">
        <v>42</v>
      </c>
      <c r="L142" s="3991" t="s">
        <v>2361</v>
      </c>
      <c r="M142" s="3992">
        <v>43591</v>
      </c>
      <c r="N142" s="3983" t="s">
        <v>2597</v>
      </c>
    </row>
    <row r="143" spans="10:14">
      <c r="J143" s="5892"/>
      <c r="K143" s="3984" t="s">
        <v>52</v>
      </c>
      <c r="L143" s="3994" t="s">
        <v>2377</v>
      </c>
      <c r="M143" s="3995">
        <v>44286</v>
      </c>
      <c r="N143" s="3987"/>
    </row>
    <row r="144" spans="10:14">
      <c r="J144" s="5892"/>
      <c r="K144" s="3984" t="s">
        <v>2378</v>
      </c>
      <c r="L144" s="4043"/>
      <c r="M144" s="3995"/>
      <c r="N144" s="4044"/>
    </row>
    <row r="145" spans="10:14">
      <c r="J145" s="5892"/>
      <c r="K145" s="3984" t="s">
        <v>2379</v>
      </c>
      <c r="L145" s="3994" t="s">
        <v>2380</v>
      </c>
      <c r="M145" s="3995">
        <v>44259</v>
      </c>
      <c r="N145" s="3987"/>
    </row>
    <row r="146" spans="10:14">
      <c r="J146" s="5892"/>
      <c r="K146" s="3984" t="s">
        <v>55</v>
      </c>
      <c r="L146" s="3994"/>
      <c r="M146" s="3995"/>
      <c r="N146" s="4041"/>
    </row>
    <row r="147" spans="10:14">
      <c r="J147" s="5892"/>
      <c r="K147" s="3984" t="s">
        <v>56</v>
      </c>
      <c r="L147" s="3994" t="s">
        <v>2611</v>
      </c>
      <c r="M147" s="3995">
        <v>44947</v>
      </c>
      <c r="N147" s="3987"/>
    </row>
    <row r="148" spans="10:14">
      <c r="J148" s="5892"/>
      <c r="K148" s="3984" t="s">
        <v>2381</v>
      </c>
      <c r="L148" s="3994" t="s">
        <v>2382</v>
      </c>
      <c r="M148" s="3995">
        <v>44739</v>
      </c>
      <c r="N148" s="4013"/>
    </row>
    <row r="149" spans="10:14">
      <c r="J149" s="5893"/>
      <c r="K149" s="3997" t="s">
        <v>272</v>
      </c>
      <c r="L149" s="3998" t="s">
        <v>2383</v>
      </c>
      <c r="M149" s="4002">
        <v>44727</v>
      </c>
      <c r="N149" s="3999"/>
    </row>
    <row r="150" spans="10:14" ht="15" customHeight="1">
      <c r="J150" s="5879" t="s">
        <v>2612</v>
      </c>
      <c r="K150" s="3990" t="s">
        <v>22</v>
      </c>
      <c r="L150" s="3991" t="s">
        <v>2349</v>
      </c>
      <c r="M150" s="3992">
        <v>45473</v>
      </c>
      <c r="N150" s="4045"/>
    </row>
    <row r="151" spans="10:14">
      <c r="J151" s="5880"/>
      <c r="K151" s="3984" t="s">
        <v>23</v>
      </c>
      <c r="L151" s="4015"/>
      <c r="M151" s="3995"/>
      <c r="N151" s="4041"/>
    </row>
    <row r="152" spans="10:14">
      <c r="J152" s="5880"/>
      <c r="K152" s="3984" t="s">
        <v>24</v>
      </c>
      <c r="L152" s="3994"/>
      <c r="M152" s="3995"/>
      <c r="N152" s="4041"/>
    </row>
    <row r="153" spans="10:14">
      <c r="J153" s="5881"/>
      <c r="K153" s="3997" t="s">
        <v>2384</v>
      </c>
      <c r="L153" s="3998" t="s">
        <v>2349</v>
      </c>
      <c r="M153" s="4002">
        <v>45107</v>
      </c>
      <c r="N153" s="3999"/>
    </row>
    <row r="154" spans="10:14" ht="15" customHeight="1">
      <c r="J154" s="139" t="s">
        <v>2804</v>
      </c>
      <c r="K154" s="4003"/>
      <c r="L154" s="4003"/>
      <c r="M154" s="5878" t="s">
        <v>2599</v>
      </c>
      <c r="N154" s="5878"/>
    </row>
    <row r="155" spans="10:14">
      <c r="J155" s="4003" t="s">
        <v>2613</v>
      </c>
      <c r="K155" s="139"/>
      <c r="L155" s="139"/>
      <c r="M155" s="5878"/>
      <c r="N155" s="5878"/>
    </row>
    <row r="156" spans="10:14">
      <c r="J156" s="4003" t="s">
        <v>2363</v>
      </c>
      <c r="K156" s="139"/>
      <c r="L156" s="139"/>
      <c r="M156" s="4046"/>
      <c r="N156" s="4046"/>
    </row>
    <row r="157" spans="10:14">
      <c r="J157" s="4003" t="s">
        <v>2385</v>
      </c>
      <c r="K157" s="139"/>
      <c r="L157" s="139"/>
      <c r="M157" s="2145"/>
      <c r="N157" s="2145"/>
    </row>
    <row r="158" spans="10:14">
      <c r="J158" s="803" t="s">
        <v>2389</v>
      </c>
      <c r="K158" s="139"/>
      <c r="L158" s="139"/>
      <c r="M158" s="2145"/>
      <c r="N158" s="2145"/>
    </row>
    <row r="159" spans="10:14">
      <c r="J159" s="4003" t="s">
        <v>2614</v>
      </c>
      <c r="K159" s="139"/>
      <c r="L159" s="139"/>
      <c r="M159" s="139"/>
      <c r="N159" s="139"/>
    </row>
    <row r="160" spans="10:14">
      <c r="J160" s="4003" t="s">
        <v>2386</v>
      </c>
      <c r="K160" s="139"/>
      <c r="L160" s="139"/>
      <c r="M160" s="139"/>
      <c r="N160" s="139"/>
    </row>
    <row r="161" spans="10:14">
      <c r="J161" s="4003" t="s">
        <v>2387</v>
      </c>
      <c r="K161" s="139"/>
      <c r="L161" s="139"/>
      <c r="M161" s="139"/>
      <c r="N161" s="139"/>
    </row>
    <row r="162" spans="10:14">
      <c r="J162" s="4003" t="s">
        <v>2388</v>
      </c>
      <c r="K162" s="139"/>
      <c r="L162" s="139"/>
      <c r="M162" s="139"/>
      <c r="N162" s="139"/>
    </row>
  </sheetData>
  <sheetProtection algorithmName="SHA-512" hashValue="JfmlHk12nxEH0uGppKf+616GEt//3vIKyr1d+mrxskFHu2yveEQdWuCHbFuPvfjo+1ha+jidIVHZv/z+tbmj5g==" saltValue="DbQKI0U0/q/DsBhbDytelw==" spinCount="100000" sheet="1" objects="1" scenarios="1"/>
  <mergeCells count="23">
    <mergeCell ref="J38:J47"/>
    <mergeCell ref="F3:I3"/>
    <mergeCell ref="C4:E4"/>
    <mergeCell ref="F4:G4"/>
    <mergeCell ref="H4:I4"/>
    <mergeCell ref="J48:J51"/>
    <mergeCell ref="J52:J54"/>
    <mergeCell ref="M55:N56"/>
    <mergeCell ref="J65:J68"/>
    <mergeCell ref="J106:J111"/>
    <mergeCell ref="M112:N113"/>
    <mergeCell ref="J150:J153"/>
    <mergeCell ref="M154:N155"/>
    <mergeCell ref="J69:J71"/>
    <mergeCell ref="J72:J75"/>
    <mergeCell ref="M76:N77"/>
    <mergeCell ref="J85:J94"/>
    <mergeCell ref="J95:J105"/>
    <mergeCell ref="J121:J123"/>
    <mergeCell ref="J124:J126"/>
    <mergeCell ref="J127:J129"/>
    <mergeCell ref="J136:J141"/>
    <mergeCell ref="J142:J149"/>
  </mergeCells>
  <pageMargins left="0.7" right="0.7" top="0.75" bottom="0.75" header="0.3" footer="0.3"/>
  <pageSetup scale="6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499984740745262"/>
    <pageSetUpPr fitToPage="1"/>
  </sheetPr>
  <dimension ref="A1:V207"/>
  <sheetViews>
    <sheetView showGridLines="0" zoomScaleNormal="100" workbookViewId="0"/>
  </sheetViews>
  <sheetFormatPr baseColWidth="10" defaultRowHeight="14.4"/>
  <cols>
    <col min="1" max="1" width="17.77734375" customWidth="1"/>
    <col min="2" max="5" width="7.77734375" customWidth="1"/>
    <col min="6" max="9" width="7.77734375" style="4827" customWidth="1"/>
    <col min="10" max="10" width="8.77734375" customWidth="1"/>
    <col min="11" max="11" width="14.21875" customWidth="1"/>
    <col min="12" max="12" width="10.5546875" bestFit="1" customWidth="1"/>
    <col min="13" max="13" width="8.77734375" bestFit="1" customWidth="1"/>
    <col min="14" max="14" width="8" bestFit="1" customWidth="1"/>
    <col min="15" max="16" width="7.77734375" customWidth="1"/>
    <col min="17" max="17" width="8.77734375" customWidth="1"/>
    <col min="18" max="18" width="15.77734375" customWidth="1"/>
    <col min="19" max="19" width="15" bestFit="1" customWidth="1"/>
    <col min="20" max="20" width="55.77734375" bestFit="1" customWidth="1"/>
    <col min="21" max="21" width="25.21875" bestFit="1" customWidth="1"/>
    <col min="22" max="22" width="25.21875" customWidth="1"/>
    <col min="241" max="241" width="17.77734375" customWidth="1"/>
    <col min="243" max="243" width="15.21875" customWidth="1"/>
    <col min="244" max="244" width="11.77734375" bestFit="1" customWidth="1"/>
    <col min="245" max="249" width="10.77734375" customWidth="1"/>
    <col min="250" max="250" width="2" customWidth="1"/>
    <col min="251" max="251" width="14.5546875" customWidth="1"/>
    <col min="253" max="253" width="12.77734375" customWidth="1"/>
    <col min="497" max="497" width="17.77734375" customWidth="1"/>
    <col min="499" max="499" width="15.21875" customWidth="1"/>
    <col min="500" max="500" width="11.77734375" bestFit="1" customWidth="1"/>
    <col min="501" max="505" width="10.77734375" customWidth="1"/>
    <col min="506" max="506" width="2" customWidth="1"/>
    <col min="507" max="507" width="14.5546875" customWidth="1"/>
    <col min="509" max="509" width="12.77734375" customWidth="1"/>
    <col min="753" max="753" width="17.77734375" customWidth="1"/>
    <col min="755" max="755" width="15.21875" customWidth="1"/>
    <col min="756" max="756" width="11.77734375" bestFit="1" customWidth="1"/>
    <col min="757" max="761" width="10.77734375" customWidth="1"/>
    <col min="762" max="762" width="2" customWidth="1"/>
    <col min="763" max="763" width="14.5546875" customWidth="1"/>
    <col min="765" max="765" width="12.77734375" customWidth="1"/>
    <col min="1009" max="1009" width="17.77734375" customWidth="1"/>
    <col min="1011" max="1011" width="15.21875" customWidth="1"/>
    <col min="1012" max="1012" width="11.77734375" bestFit="1" customWidth="1"/>
    <col min="1013" max="1017" width="10.77734375" customWidth="1"/>
    <col min="1018" max="1018" width="2" customWidth="1"/>
    <col min="1019" max="1019" width="14.5546875" customWidth="1"/>
    <col min="1021" max="1021" width="12.77734375" customWidth="1"/>
    <col min="1265" max="1265" width="17.77734375" customWidth="1"/>
    <col min="1267" max="1267" width="15.21875" customWidth="1"/>
    <col min="1268" max="1268" width="11.77734375" bestFit="1" customWidth="1"/>
    <col min="1269" max="1273" width="10.77734375" customWidth="1"/>
    <col min="1274" max="1274" width="2" customWidth="1"/>
    <col min="1275" max="1275" width="14.5546875" customWidth="1"/>
    <col min="1277" max="1277" width="12.77734375" customWidth="1"/>
    <col min="1521" max="1521" width="17.77734375" customWidth="1"/>
    <col min="1523" max="1523" width="15.21875" customWidth="1"/>
    <col min="1524" max="1524" width="11.77734375" bestFit="1" customWidth="1"/>
    <col min="1525" max="1529" width="10.77734375" customWidth="1"/>
    <col min="1530" max="1530" width="2" customWidth="1"/>
    <col min="1531" max="1531" width="14.5546875" customWidth="1"/>
    <col min="1533" max="1533" width="12.77734375" customWidth="1"/>
    <col min="1777" max="1777" width="17.77734375" customWidth="1"/>
    <col min="1779" max="1779" width="15.21875" customWidth="1"/>
    <col min="1780" max="1780" width="11.77734375" bestFit="1" customWidth="1"/>
    <col min="1781" max="1785" width="10.77734375" customWidth="1"/>
    <col min="1786" max="1786" width="2" customWidth="1"/>
    <col min="1787" max="1787" width="14.5546875" customWidth="1"/>
    <col min="1789" max="1789" width="12.77734375" customWidth="1"/>
    <col min="2033" max="2033" width="17.77734375" customWidth="1"/>
    <col min="2035" max="2035" width="15.21875" customWidth="1"/>
    <col min="2036" max="2036" width="11.77734375" bestFit="1" customWidth="1"/>
    <col min="2037" max="2041" width="10.77734375" customWidth="1"/>
    <col min="2042" max="2042" width="2" customWidth="1"/>
    <col min="2043" max="2043" width="14.5546875" customWidth="1"/>
    <col min="2045" max="2045" width="12.77734375" customWidth="1"/>
    <col min="2289" max="2289" width="17.77734375" customWidth="1"/>
    <col min="2291" max="2291" width="15.21875" customWidth="1"/>
    <col min="2292" max="2292" width="11.77734375" bestFit="1" customWidth="1"/>
    <col min="2293" max="2297" width="10.77734375" customWidth="1"/>
    <col min="2298" max="2298" width="2" customWidth="1"/>
    <col min="2299" max="2299" width="14.5546875" customWidth="1"/>
    <col min="2301" max="2301" width="12.77734375" customWidth="1"/>
    <col min="2545" max="2545" width="17.77734375" customWidth="1"/>
    <col min="2547" max="2547" width="15.21875" customWidth="1"/>
    <col min="2548" max="2548" width="11.77734375" bestFit="1" customWidth="1"/>
    <col min="2549" max="2553" width="10.77734375" customWidth="1"/>
    <col min="2554" max="2554" width="2" customWidth="1"/>
    <col min="2555" max="2555" width="14.5546875" customWidth="1"/>
    <col min="2557" max="2557" width="12.77734375" customWidth="1"/>
    <col min="2801" max="2801" width="17.77734375" customWidth="1"/>
    <col min="2803" max="2803" width="15.21875" customWidth="1"/>
    <col min="2804" max="2804" width="11.77734375" bestFit="1" customWidth="1"/>
    <col min="2805" max="2809" width="10.77734375" customWidth="1"/>
    <col min="2810" max="2810" width="2" customWidth="1"/>
    <col min="2811" max="2811" width="14.5546875" customWidth="1"/>
    <col min="2813" max="2813" width="12.77734375" customWidth="1"/>
    <col min="3057" max="3057" width="17.77734375" customWidth="1"/>
    <col min="3059" max="3059" width="15.21875" customWidth="1"/>
    <col min="3060" max="3060" width="11.77734375" bestFit="1" customWidth="1"/>
    <col min="3061" max="3065" width="10.77734375" customWidth="1"/>
    <col min="3066" max="3066" width="2" customWidth="1"/>
    <col min="3067" max="3067" width="14.5546875" customWidth="1"/>
    <col min="3069" max="3069" width="12.77734375" customWidth="1"/>
    <col min="3313" max="3313" width="17.77734375" customWidth="1"/>
    <col min="3315" max="3315" width="15.21875" customWidth="1"/>
    <col min="3316" max="3316" width="11.77734375" bestFit="1" customWidth="1"/>
    <col min="3317" max="3321" width="10.77734375" customWidth="1"/>
    <col min="3322" max="3322" width="2" customWidth="1"/>
    <col min="3323" max="3323" width="14.5546875" customWidth="1"/>
    <col min="3325" max="3325" width="12.77734375" customWidth="1"/>
    <col min="3569" max="3569" width="17.77734375" customWidth="1"/>
    <col min="3571" max="3571" width="15.21875" customWidth="1"/>
    <col min="3572" max="3572" width="11.77734375" bestFit="1" customWidth="1"/>
    <col min="3573" max="3577" width="10.77734375" customWidth="1"/>
    <col min="3578" max="3578" width="2" customWidth="1"/>
    <col min="3579" max="3579" width="14.5546875" customWidth="1"/>
    <col min="3581" max="3581" width="12.77734375" customWidth="1"/>
    <col min="3825" max="3825" width="17.77734375" customWidth="1"/>
    <col min="3827" max="3827" width="15.21875" customWidth="1"/>
    <col min="3828" max="3828" width="11.77734375" bestFit="1" customWidth="1"/>
    <col min="3829" max="3833" width="10.77734375" customWidth="1"/>
    <col min="3834" max="3834" width="2" customWidth="1"/>
    <col min="3835" max="3835" width="14.5546875" customWidth="1"/>
    <col min="3837" max="3837" width="12.77734375" customWidth="1"/>
    <col min="4081" max="4081" width="17.77734375" customWidth="1"/>
    <col min="4083" max="4083" width="15.21875" customWidth="1"/>
    <col min="4084" max="4084" width="11.77734375" bestFit="1" customWidth="1"/>
    <col min="4085" max="4089" width="10.77734375" customWidth="1"/>
    <col min="4090" max="4090" width="2" customWidth="1"/>
    <col min="4091" max="4091" width="14.5546875" customWidth="1"/>
    <col min="4093" max="4093" width="12.77734375" customWidth="1"/>
    <col min="4337" max="4337" width="17.77734375" customWidth="1"/>
    <col min="4339" max="4339" width="15.21875" customWidth="1"/>
    <col min="4340" max="4340" width="11.77734375" bestFit="1" customWidth="1"/>
    <col min="4341" max="4345" width="10.77734375" customWidth="1"/>
    <col min="4346" max="4346" width="2" customWidth="1"/>
    <col min="4347" max="4347" width="14.5546875" customWidth="1"/>
    <col min="4349" max="4349" width="12.77734375" customWidth="1"/>
    <col min="4593" max="4593" width="17.77734375" customWidth="1"/>
    <col min="4595" max="4595" width="15.21875" customWidth="1"/>
    <col min="4596" max="4596" width="11.77734375" bestFit="1" customWidth="1"/>
    <col min="4597" max="4601" width="10.77734375" customWidth="1"/>
    <col min="4602" max="4602" width="2" customWidth="1"/>
    <col min="4603" max="4603" width="14.5546875" customWidth="1"/>
    <col min="4605" max="4605" width="12.77734375" customWidth="1"/>
    <col min="4849" max="4849" width="17.77734375" customWidth="1"/>
    <col min="4851" max="4851" width="15.21875" customWidth="1"/>
    <col min="4852" max="4852" width="11.77734375" bestFit="1" customWidth="1"/>
    <col min="4853" max="4857" width="10.77734375" customWidth="1"/>
    <col min="4858" max="4858" width="2" customWidth="1"/>
    <col min="4859" max="4859" width="14.5546875" customWidth="1"/>
    <col min="4861" max="4861" width="12.77734375" customWidth="1"/>
    <col min="5105" max="5105" width="17.77734375" customWidth="1"/>
    <col min="5107" max="5107" width="15.21875" customWidth="1"/>
    <col min="5108" max="5108" width="11.77734375" bestFit="1" customWidth="1"/>
    <col min="5109" max="5113" width="10.77734375" customWidth="1"/>
    <col min="5114" max="5114" width="2" customWidth="1"/>
    <col min="5115" max="5115" width="14.5546875" customWidth="1"/>
    <col min="5117" max="5117" width="12.77734375" customWidth="1"/>
    <col min="5361" max="5361" width="17.77734375" customWidth="1"/>
    <col min="5363" max="5363" width="15.21875" customWidth="1"/>
    <col min="5364" max="5364" width="11.77734375" bestFit="1" customWidth="1"/>
    <col min="5365" max="5369" width="10.77734375" customWidth="1"/>
    <col min="5370" max="5370" width="2" customWidth="1"/>
    <col min="5371" max="5371" width="14.5546875" customWidth="1"/>
    <col min="5373" max="5373" width="12.77734375" customWidth="1"/>
    <col min="5617" max="5617" width="17.77734375" customWidth="1"/>
    <col min="5619" max="5619" width="15.21875" customWidth="1"/>
    <col min="5620" max="5620" width="11.77734375" bestFit="1" customWidth="1"/>
    <col min="5621" max="5625" width="10.77734375" customWidth="1"/>
    <col min="5626" max="5626" width="2" customWidth="1"/>
    <col min="5627" max="5627" width="14.5546875" customWidth="1"/>
    <col min="5629" max="5629" width="12.77734375" customWidth="1"/>
    <col min="5873" max="5873" width="17.77734375" customWidth="1"/>
    <col min="5875" max="5875" width="15.21875" customWidth="1"/>
    <col min="5876" max="5876" width="11.77734375" bestFit="1" customWidth="1"/>
    <col min="5877" max="5881" width="10.77734375" customWidth="1"/>
    <col min="5882" max="5882" width="2" customWidth="1"/>
    <col min="5883" max="5883" width="14.5546875" customWidth="1"/>
    <col min="5885" max="5885" width="12.77734375" customWidth="1"/>
    <col min="6129" max="6129" width="17.77734375" customWidth="1"/>
    <col min="6131" max="6131" width="15.21875" customWidth="1"/>
    <col min="6132" max="6132" width="11.77734375" bestFit="1" customWidth="1"/>
    <col min="6133" max="6137" width="10.77734375" customWidth="1"/>
    <col min="6138" max="6138" width="2" customWidth="1"/>
    <col min="6139" max="6139" width="14.5546875" customWidth="1"/>
    <col min="6141" max="6141" width="12.77734375" customWidth="1"/>
    <col min="6385" max="6385" width="17.77734375" customWidth="1"/>
    <col min="6387" max="6387" width="15.21875" customWidth="1"/>
    <col min="6388" max="6388" width="11.77734375" bestFit="1" customWidth="1"/>
    <col min="6389" max="6393" width="10.77734375" customWidth="1"/>
    <col min="6394" max="6394" width="2" customWidth="1"/>
    <col min="6395" max="6395" width="14.5546875" customWidth="1"/>
    <col min="6397" max="6397" width="12.77734375" customWidth="1"/>
    <col min="6641" max="6641" width="17.77734375" customWidth="1"/>
    <col min="6643" max="6643" width="15.21875" customWidth="1"/>
    <col min="6644" max="6644" width="11.77734375" bestFit="1" customWidth="1"/>
    <col min="6645" max="6649" width="10.77734375" customWidth="1"/>
    <col min="6650" max="6650" width="2" customWidth="1"/>
    <col min="6651" max="6651" width="14.5546875" customWidth="1"/>
    <col min="6653" max="6653" width="12.77734375" customWidth="1"/>
    <col min="6897" max="6897" width="17.77734375" customWidth="1"/>
    <col min="6899" max="6899" width="15.21875" customWidth="1"/>
    <col min="6900" max="6900" width="11.77734375" bestFit="1" customWidth="1"/>
    <col min="6901" max="6905" width="10.77734375" customWidth="1"/>
    <col min="6906" max="6906" width="2" customWidth="1"/>
    <col min="6907" max="6907" width="14.5546875" customWidth="1"/>
    <col min="6909" max="6909" width="12.77734375" customWidth="1"/>
    <col min="7153" max="7153" width="17.77734375" customWidth="1"/>
    <col min="7155" max="7155" width="15.21875" customWidth="1"/>
    <col min="7156" max="7156" width="11.77734375" bestFit="1" customWidth="1"/>
    <col min="7157" max="7161" width="10.77734375" customWidth="1"/>
    <col min="7162" max="7162" width="2" customWidth="1"/>
    <col min="7163" max="7163" width="14.5546875" customWidth="1"/>
    <col min="7165" max="7165" width="12.77734375" customWidth="1"/>
    <col min="7409" max="7409" width="17.77734375" customWidth="1"/>
    <col min="7411" max="7411" width="15.21875" customWidth="1"/>
    <col min="7412" max="7412" width="11.77734375" bestFit="1" customWidth="1"/>
    <col min="7413" max="7417" width="10.77734375" customWidth="1"/>
    <col min="7418" max="7418" width="2" customWidth="1"/>
    <col min="7419" max="7419" width="14.5546875" customWidth="1"/>
    <col min="7421" max="7421" width="12.77734375" customWidth="1"/>
    <col min="7665" max="7665" width="17.77734375" customWidth="1"/>
    <col min="7667" max="7667" width="15.21875" customWidth="1"/>
    <col min="7668" max="7668" width="11.77734375" bestFit="1" customWidth="1"/>
    <col min="7669" max="7673" width="10.77734375" customWidth="1"/>
    <col min="7674" max="7674" width="2" customWidth="1"/>
    <col min="7675" max="7675" width="14.5546875" customWidth="1"/>
    <col min="7677" max="7677" width="12.77734375" customWidth="1"/>
    <col min="7921" max="7921" width="17.77734375" customWidth="1"/>
    <col min="7923" max="7923" width="15.21875" customWidth="1"/>
    <col min="7924" max="7924" width="11.77734375" bestFit="1" customWidth="1"/>
    <col min="7925" max="7929" width="10.77734375" customWidth="1"/>
    <col min="7930" max="7930" width="2" customWidth="1"/>
    <col min="7931" max="7931" width="14.5546875" customWidth="1"/>
    <col min="7933" max="7933" width="12.77734375" customWidth="1"/>
    <col min="8177" max="8177" width="17.77734375" customWidth="1"/>
    <col min="8179" max="8179" width="15.21875" customWidth="1"/>
    <col min="8180" max="8180" width="11.77734375" bestFit="1" customWidth="1"/>
    <col min="8181" max="8185" width="10.77734375" customWidth="1"/>
    <col min="8186" max="8186" width="2" customWidth="1"/>
    <col min="8187" max="8187" width="14.5546875" customWidth="1"/>
    <col min="8189" max="8189" width="12.77734375" customWidth="1"/>
    <col min="8433" max="8433" width="17.77734375" customWidth="1"/>
    <col min="8435" max="8435" width="15.21875" customWidth="1"/>
    <col min="8436" max="8436" width="11.77734375" bestFit="1" customWidth="1"/>
    <col min="8437" max="8441" width="10.77734375" customWidth="1"/>
    <col min="8442" max="8442" width="2" customWidth="1"/>
    <col min="8443" max="8443" width="14.5546875" customWidth="1"/>
    <col min="8445" max="8445" width="12.77734375" customWidth="1"/>
    <col min="8689" max="8689" width="17.77734375" customWidth="1"/>
    <col min="8691" max="8691" width="15.21875" customWidth="1"/>
    <col min="8692" max="8692" width="11.77734375" bestFit="1" customWidth="1"/>
    <col min="8693" max="8697" width="10.77734375" customWidth="1"/>
    <col min="8698" max="8698" width="2" customWidth="1"/>
    <col min="8699" max="8699" width="14.5546875" customWidth="1"/>
    <col min="8701" max="8701" width="12.77734375" customWidth="1"/>
    <col min="8945" max="8945" width="17.77734375" customWidth="1"/>
    <col min="8947" max="8947" width="15.21875" customWidth="1"/>
    <col min="8948" max="8948" width="11.77734375" bestFit="1" customWidth="1"/>
    <col min="8949" max="8953" width="10.77734375" customWidth="1"/>
    <col min="8954" max="8954" width="2" customWidth="1"/>
    <col min="8955" max="8955" width="14.5546875" customWidth="1"/>
    <col min="8957" max="8957" width="12.77734375" customWidth="1"/>
    <col min="9201" max="9201" width="17.77734375" customWidth="1"/>
    <col min="9203" max="9203" width="15.21875" customWidth="1"/>
    <col min="9204" max="9204" width="11.77734375" bestFit="1" customWidth="1"/>
    <col min="9205" max="9209" width="10.77734375" customWidth="1"/>
    <col min="9210" max="9210" width="2" customWidth="1"/>
    <col min="9211" max="9211" width="14.5546875" customWidth="1"/>
    <col min="9213" max="9213" width="12.77734375" customWidth="1"/>
    <col min="9457" max="9457" width="17.77734375" customWidth="1"/>
    <col min="9459" max="9459" width="15.21875" customWidth="1"/>
    <col min="9460" max="9460" width="11.77734375" bestFit="1" customWidth="1"/>
    <col min="9461" max="9465" width="10.77734375" customWidth="1"/>
    <col min="9466" max="9466" width="2" customWidth="1"/>
    <col min="9467" max="9467" width="14.5546875" customWidth="1"/>
    <col min="9469" max="9469" width="12.77734375" customWidth="1"/>
    <col min="9713" max="9713" width="17.77734375" customWidth="1"/>
    <col min="9715" max="9715" width="15.21875" customWidth="1"/>
    <col min="9716" max="9716" width="11.77734375" bestFit="1" customWidth="1"/>
    <col min="9717" max="9721" width="10.77734375" customWidth="1"/>
    <col min="9722" max="9722" width="2" customWidth="1"/>
    <col min="9723" max="9723" width="14.5546875" customWidth="1"/>
    <col min="9725" max="9725" width="12.77734375" customWidth="1"/>
    <col min="9969" max="9969" width="17.77734375" customWidth="1"/>
    <col min="9971" max="9971" width="15.21875" customWidth="1"/>
    <col min="9972" max="9972" width="11.77734375" bestFit="1" customWidth="1"/>
    <col min="9973" max="9977" width="10.77734375" customWidth="1"/>
    <col min="9978" max="9978" width="2" customWidth="1"/>
    <col min="9979" max="9979" width="14.5546875" customWidth="1"/>
    <col min="9981" max="9981" width="12.77734375" customWidth="1"/>
    <col min="10225" max="10225" width="17.77734375" customWidth="1"/>
    <col min="10227" max="10227" width="15.21875" customWidth="1"/>
    <col min="10228" max="10228" width="11.77734375" bestFit="1" customWidth="1"/>
    <col min="10229" max="10233" width="10.77734375" customWidth="1"/>
    <col min="10234" max="10234" width="2" customWidth="1"/>
    <col min="10235" max="10235" width="14.5546875" customWidth="1"/>
    <col min="10237" max="10237" width="12.77734375" customWidth="1"/>
    <col min="10481" max="10481" width="17.77734375" customWidth="1"/>
    <col min="10483" max="10483" width="15.21875" customWidth="1"/>
    <col min="10484" max="10484" width="11.77734375" bestFit="1" customWidth="1"/>
    <col min="10485" max="10489" width="10.77734375" customWidth="1"/>
    <col min="10490" max="10490" width="2" customWidth="1"/>
    <col min="10491" max="10491" width="14.5546875" customWidth="1"/>
    <col min="10493" max="10493" width="12.77734375" customWidth="1"/>
    <col min="10737" max="10737" width="17.77734375" customWidth="1"/>
    <col min="10739" max="10739" width="15.21875" customWidth="1"/>
    <col min="10740" max="10740" width="11.77734375" bestFit="1" customWidth="1"/>
    <col min="10741" max="10745" width="10.77734375" customWidth="1"/>
    <col min="10746" max="10746" width="2" customWidth="1"/>
    <col min="10747" max="10747" width="14.5546875" customWidth="1"/>
    <col min="10749" max="10749" width="12.77734375" customWidth="1"/>
    <col min="10993" max="10993" width="17.77734375" customWidth="1"/>
    <col min="10995" max="10995" width="15.21875" customWidth="1"/>
    <col min="10996" max="10996" width="11.77734375" bestFit="1" customWidth="1"/>
    <col min="10997" max="11001" width="10.77734375" customWidth="1"/>
    <col min="11002" max="11002" width="2" customWidth="1"/>
    <col min="11003" max="11003" width="14.5546875" customWidth="1"/>
    <col min="11005" max="11005" width="12.77734375" customWidth="1"/>
    <col min="11249" max="11249" width="17.77734375" customWidth="1"/>
    <col min="11251" max="11251" width="15.21875" customWidth="1"/>
    <col min="11252" max="11252" width="11.77734375" bestFit="1" customWidth="1"/>
    <col min="11253" max="11257" width="10.77734375" customWidth="1"/>
    <col min="11258" max="11258" width="2" customWidth="1"/>
    <col min="11259" max="11259" width="14.5546875" customWidth="1"/>
    <col min="11261" max="11261" width="12.77734375" customWidth="1"/>
    <col min="11505" max="11505" width="17.77734375" customWidth="1"/>
    <col min="11507" max="11507" width="15.21875" customWidth="1"/>
    <col min="11508" max="11508" width="11.77734375" bestFit="1" customWidth="1"/>
    <col min="11509" max="11513" width="10.77734375" customWidth="1"/>
    <col min="11514" max="11514" width="2" customWidth="1"/>
    <col min="11515" max="11515" width="14.5546875" customWidth="1"/>
    <col min="11517" max="11517" width="12.77734375" customWidth="1"/>
    <col min="11761" max="11761" width="17.77734375" customWidth="1"/>
    <col min="11763" max="11763" width="15.21875" customWidth="1"/>
    <col min="11764" max="11764" width="11.77734375" bestFit="1" customWidth="1"/>
    <col min="11765" max="11769" width="10.77734375" customWidth="1"/>
    <col min="11770" max="11770" width="2" customWidth="1"/>
    <col min="11771" max="11771" width="14.5546875" customWidth="1"/>
    <col min="11773" max="11773" width="12.77734375" customWidth="1"/>
    <col min="12017" max="12017" width="17.77734375" customWidth="1"/>
    <col min="12019" max="12019" width="15.21875" customWidth="1"/>
    <col min="12020" max="12020" width="11.77734375" bestFit="1" customWidth="1"/>
    <col min="12021" max="12025" width="10.77734375" customWidth="1"/>
    <col min="12026" max="12026" width="2" customWidth="1"/>
    <col min="12027" max="12027" width="14.5546875" customWidth="1"/>
    <col min="12029" max="12029" width="12.77734375" customWidth="1"/>
    <col min="12273" max="12273" width="17.77734375" customWidth="1"/>
    <col min="12275" max="12275" width="15.21875" customWidth="1"/>
    <col min="12276" max="12276" width="11.77734375" bestFit="1" customWidth="1"/>
    <col min="12277" max="12281" width="10.77734375" customWidth="1"/>
    <col min="12282" max="12282" width="2" customWidth="1"/>
    <col min="12283" max="12283" width="14.5546875" customWidth="1"/>
    <col min="12285" max="12285" width="12.77734375" customWidth="1"/>
    <col min="12529" max="12529" width="17.77734375" customWidth="1"/>
    <col min="12531" max="12531" width="15.21875" customWidth="1"/>
    <col min="12532" max="12532" width="11.77734375" bestFit="1" customWidth="1"/>
    <col min="12533" max="12537" width="10.77734375" customWidth="1"/>
    <col min="12538" max="12538" width="2" customWidth="1"/>
    <col min="12539" max="12539" width="14.5546875" customWidth="1"/>
    <col min="12541" max="12541" width="12.77734375" customWidth="1"/>
    <col min="12785" max="12785" width="17.77734375" customWidth="1"/>
    <col min="12787" max="12787" width="15.21875" customWidth="1"/>
    <col min="12788" max="12788" width="11.77734375" bestFit="1" customWidth="1"/>
    <col min="12789" max="12793" width="10.77734375" customWidth="1"/>
    <col min="12794" max="12794" width="2" customWidth="1"/>
    <col min="12795" max="12795" width="14.5546875" customWidth="1"/>
    <col min="12797" max="12797" width="12.77734375" customWidth="1"/>
    <col min="13041" max="13041" width="17.77734375" customWidth="1"/>
    <col min="13043" max="13043" width="15.21875" customWidth="1"/>
    <col min="13044" max="13044" width="11.77734375" bestFit="1" customWidth="1"/>
    <col min="13045" max="13049" width="10.77734375" customWidth="1"/>
    <col min="13050" max="13050" width="2" customWidth="1"/>
    <col min="13051" max="13051" width="14.5546875" customWidth="1"/>
    <col min="13053" max="13053" width="12.77734375" customWidth="1"/>
    <col min="13297" max="13297" width="17.77734375" customWidth="1"/>
    <col min="13299" max="13299" width="15.21875" customWidth="1"/>
    <col min="13300" max="13300" width="11.77734375" bestFit="1" customWidth="1"/>
    <col min="13301" max="13305" width="10.77734375" customWidth="1"/>
    <col min="13306" max="13306" width="2" customWidth="1"/>
    <col min="13307" max="13307" width="14.5546875" customWidth="1"/>
    <col min="13309" max="13309" width="12.77734375" customWidth="1"/>
    <col min="13553" max="13553" width="17.77734375" customWidth="1"/>
    <col min="13555" max="13555" width="15.21875" customWidth="1"/>
    <col min="13556" max="13556" width="11.77734375" bestFit="1" customWidth="1"/>
    <col min="13557" max="13561" width="10.77734375" customWidth="1"/>
    <col min="13562" max="13562" width="2" customWidth="1"/>
    <col min="13563" max="13563" width="14.5546875" customWidth="1"/>
    <col min="13565" max="13565" width="12.77734375" customWidth="1"/>
    <col min="13809" max="13809" width="17.77734375" customWidth="1"/>
    <col min="13811" max="13811" width="15.21875" customWidth="1"/>
    <col min="13812" max="13812" width="11.77734375" bestFit="1" customWidth="1"/>
    <col min="13813" max="13817" width="10.77734375" customWidth="1"/>
    <col min="13818" max="13818" width="2" customWidth="1"/>
    <col min="13819" max="13819" width="14.5546875" customWidth="1"/>
    <col min="13821" max="13821" width="12.77734375" customWidth="1"/>
    <col min="14065" max="14065" width="17.77734375" customWidth="1"/>
    <col min="14067" max="14067" width="15.21875" customWidth="1"/>
    <col min="14068" max="14068" width="11.77734375" bestFit="1" customWidth="1"/>
    <col min="14069" max="14073" width="10.77734375" customWidth="1"/>
    <col min="14074" max="14074" width="2" customWidth="1"/>
    <col min="14075" max="14075" width="14.5546875" customWidth="1"/>
    <col min="14077" max="14077" width="12.77734375" customWidth="1"/>
    <col min="14321" max="14321" width="17.77734375" customWidth="1"/>
    <col min="14323" max="14323" width="15.21875" customWidth="1"/>
    <col min="14324" max="14324" width="11.77734375" bestFit="1" customWidth="1"/>
    <col min="14325" max="14329" width="10.77734375" customWidth="1"/>
    <col min="14330" max="14330" width="2" customWidth="1"/>
    <col min="14331" max="14331" width="14.5546875" customWidth="1"/>
    <col min="14333" max="14333" width="12.77734375" customWidth="1"/>
    <col min="14577" max="14577" width="17.77734375" customWidth="1"/>
    <col min="14579" max="14579" width="15.21875" customWidth="1"/>
    <col min="14580" max="14580" width="11.77734375" bestFit="1" customWidth="1"/>
    <col min="14581" max="14585" width="10.77734375" customWidth="1"/>
    <col min="14586" max="14586" width="2" customWidth="1"/>
    <col min="14587" max="14587" width="14.5546875" customWidth="1"/>
    <col min="14589" max="14589" width="12.77734375" customWidth="1"/>
    <col min="14833" max="14833" width="17.77734375" customWidth="1"/>
    <col min="14835" max="14835" width="15.21875" customWidth="1"/>
    <col min="14836" max="14836" width="11.77734375" bestFit="1" customWidth="1"/>
    <col min="14837" max="14841" width="10.77734375" customWidth="1"/>
    <col min="14842" max="14842" width="2" customWidth="1"/>
    <col min="14843" max="14843" width="14.5546875" customWidth="1"/>
    <col min="14845" max="14845" width="12.77734375" customWidth="1"/>
    <col min="15089" max="15089" width="17.77734375" customWidth="1"/>
    <col min="15091" max="15091" width="15.21875" customWidth="1"/>
    <col min="15092" max="15092" width="11.77734375" bestFit="1" customWidth="1"/>
    <col min="15093" max="15097" width="10.77734375" customWidth="1"/>
    <col min="15098" max="15098" width="2" customWidth="1"/>
    <col min="15099" max="15099" width="14.5546875" customWidth="1"/>
    <col min="15101" max="15101" width="12.77734375" customWidth="1"/>
    <col min="15345" max="15345" width="17.77734375" customWidth="1"/>
    <col min="15347" max="15347" width="15.21875" customWidth="1"/>
    <col min="15348" max="15348" width="11.77734375" bestFit="1" customWidth="1"/>
    <col min="15349" max="15353" width="10.77734375" customWidth="1"/>
    <col min="15354" max="15354" width="2" customWidth="1"/>
    <col min="15355" max="15355" width="14.5546875" customWidth="1"/>
    <col min="15357" max="15357" width="12.77734375" customWidth="1"/>
    <col min="15601" max="15601" width="17.77734375" customWidth="1"/>
    <col min="15603" max="15603" width="15.21875" customWidth="1"/>
    <col min="15604" max="15604" width="11.77734375" bestFit="1" customWidth="1"/>
    <col min="15605" max="15609" width="10.77734375" customWidth="1"/>
    <col min="15610" max="15610" width="2" customWidth="1"/>
    <col min="15611" max="15611" width="14.5546875" customWidth="1"/>
    <col min="15613" max="15613" width="12.77734375" customWidth="1"/>
    <col min="15857" max="15857" width="17.77734375" customWidth="1"/>
    <col min="15859" max="15859" width="15.21875" customWidth="1"/>
    <col min="15860" max="15860" width="11.77734375" bestFit="1" customWidth="1"/>
    <col min="15861" max="15865" width="10.77734375" customWidth="1"/>
    <col min="15866" max="15866" width="2" customWidth="1"/>
    <col min="15867" max="15867" width="14.5546875" customWidth="1"/>
    <col min="15869" max="15869" width="12.77734375" customWidth="1"/>
    <col min="16113" max="16113" width="17.77734375" customWidth="1"/>
    <col min="16115" max="16115" width="15.21875" customWidth="1"/>
    <col min="16116" max="16116" width="11.77734375" bestFit="1" customWidth="1"/>
    <col min="16117" max="16121" width="10.77734375" customWidth="1"/>
    <col min="16122" max="16122" width="2" customWidth="1"/>
    <col min="16123" max="16123" width="14.5546875" customWidth="1"/>
    <col min="16125" max="16125" width="12.77734375" customWidth="1"/>
  </cols>
  <sheetData>
    <row r="1" spans="1:17" ht="18">
      <c r="A1" s="3591" t="s">
        <v>2748</v>
      </c>
      <c r="B1" s="3590"/>
      <c r="C1" s="3590"/>
      <c r="D1" s="3590"/>
      <c r="E1" s="3590"/>
      <c r="F1" s="3590"/>
      <c r="G1" s="3590"/>
      <c r="H1" s="3590"/>
      <c r="I1" s="3590"/>
      <c r="J1" s="3590"/>
      <c r="K1" s="3590"/>
      <c r="L1" s="3590"/>
      <c r="M1" s="3590"/>
      <c r="N1" s="3590"/>
      <c r="O1" s="3590"/>
      <c r="P1" s="1585"/>
    </row>
    <row r="2" spans="1:17">
      <c r="A2" s="91"/>
      <c r="B2" s="91"/>
      <c r="C2" s="91"/>
      <c r="D2" s="91"/>
      <c r="E2" s="91"/>
      <c r="F2" s="91"/>
      <c r="G2" s="91"/>
      <c r="H2" s="91"/>
      <c r="I2" s="91"/>
      <c r="J2" s="91"/>
      <c r="K2" s="91"/>
      <c r="L2" s="91"/>
      <c r="M2" s="91"/>
      <c r="N2" s="91"/>
      <c r="O2" s="91"/>
      <c r="P2" s="1584"/>
    </row>
    <row r="3" spans="1:17" ht="15" customHeight="1">
      <c r="A3" s="5919" t="s">
        <v>2592</v>
      </c>
      <c r="B3" s="5921" t="s">
        <v>3002</v>
      </c>
      <c r="C3" s="5921"/>
      <c r="D3" s="5921"/>
      <c r="E3" s="5921"/>
      <c r="F3" s="5921" t="s">
        <v>3928</v>
      </c>
      <c r="G3" s="5921"/>
      <c r="H3" s="5921"/>
      <c r="I3" s="5921"/>
      <c r="J3" s="5921"/>
      <c r="K3" s="5921" t="s">
        <v>3003</v>
      </c>
      <c r="L3" s="5921"/>
      <c r="M3" s="5921"/>
      <c r="N3" s="5921"/>
      <c r="O3" s="5921"/>
      <c r="P3" s="5925" t="s">
        <v>2615</v>
      </c>
      <c r="Q3" s="5925"/>
    </row>
    <row r="4" spans="1:17" ht="33" customHeight="1" thickBot="1">
      <c r="A4" s="5920"/>
      <c r="B4" s="4964" t="s">
        <v>708</v>
      </c>
      <c r="C4" s="4964" t="s">
        <v>709</v>
      </c>
      <c r="D4" s="4964" t="s">
        <v>3004</v>
      </c>
      <c r="E4" s="5536" t="s">
        <v>3929</v>
      </c>
      <c r="F4" s="4964" t="s">
        <v>708</v>
      </c>
      <c r="G4" s="4964" t="s">
        <v>709</v>
      </c>
      <c r="H4" s="4964" t="s">
        <v>3004</v>
      </c>
      <c r="I4" s="5537" t="s">
        <v>3929</v>
      </c>
      <c r="J4" s="4965" t="s">
        <v>76</v>
      </c>
      <c r="K4" s="4966" t="s">
        <v>261</v>
      </c>
      <c r="L4" s="4966" t="s">
        <v>262</v>
      </c>
      <c r="M4" s="4966" t="s">
        <v>263</v>
      </c>
      <c r="N4" s="4966" t="s">
        <v>264</v>
      </c>
      <c r="O4" s="4967" t="s">
        <v>3929</v>
      </c>
      <c r="P4" s="5535" t="s">
        <v>15</v>
      </c>
      <c r="Q4" s="4105" t="s">
        <v>76</v>
      </c>
    </row>
    <row r="5" spans="1:17">
      <c r="A5" s="92"/>
      <c r="B5" s="92"/>
      <c r="C5" s="92"/>
      <c r="D5" s="92"/>
      <c r="E5" s="92"/>
      <c r="F5" s="4968"/>
      <c r="G5" s="4968"/>
      <c r="H5" s="4968"/>
      <c r="I5" s="4968"/>
      <c r="J5" s="4968"/>
      <c r="K5" s="92"/>
      <c r="L5" s="3972"/>
      <c r="M5" s="3972"/>
      <c r="N5" s="3972"/>
      <c r="O5" s="4106"/>
      <c r="P5" s="2159"/>
      <c r="Q5" s="91"/>
    </row>
    <row r="6" spans="1:17">
      <c r="A6" s="4107" t="s">
        <v>4</v>
      </c>
      <c r="B6" s="4108"/>
      <c r="C6" s="4109">
        <v>6</v>
      </c>
      <c r="D6" s="4109">
        <v>4</v>
      </c>
      <c r="E6" s="4110">
        <f>SUM(B6,C6,D6)</f>
        <v>10</v>
      </c>
      <c r="F6" s="4969"/>
      <c r="G6" s="4109">
        <v>5</v>
      </c>
      <c r="H6" s="4970">
        <v>3</v>
      </c>
      <c r="I6" s="4963">
        <f>SUM(F6,G6,H6)</f>
        <v>8</v>
      </c>
      <c r="J6" s="4971">
        <f>+I6/E6</f>
        <v>0.8</v>
      </c>
      <c r="K6" s="4972"/>
      <c r="L6" s="4111">
        <v>4</v>
      </c>
      <c r="M6" s="4111">
        <v>3</v>
      </c>
      <c r="N6" s="4112">
        <v>1</v>
      </c>
      <c r="O6" s="4973">
        <f>SUM(K6:N6)</f>
        <v>8</v>
      </c>
      <c r="P6" s="4111">
        <f>E6-I6</f>
        <v>2</v>
      </c>
      <c r="Q6" s="4113">
        <f>1-J6</f>
        <v>0.19999999999999996</v>
      </c>
    </row>
    <row r="7" spans="1:17">
      <c r="A7" s="4114" t="s">
        <v>16</v>
      </c>
      <c r="B7" s="4115">
        <v>4</v>
      </c>
      <c r="C7" s="4116">
        <v>6</v>
      </c>
      <c r="D7" s="4116">
        <v>2</v>
      </c>
      <c r="E7" s="4110">
        <f>SUM(B7,C7,D7)</f>
        <v>12</v>
      </c>
      <c r="F7" s="4974">
        <v>1</v>
      </c>
      <c r="G7" s="4116">
        <v>6</v>
      </c>
      <c r="H7" s="4975">
        <v>2</v>
      </c>
      <c r="I7" s="4963">
        <f>SUM(F7,G7,H7)</f>
        <v>9</v>
      </c>
      <c r="J7" s="4976">
        <f>+I7/E7</f>
        <v>0.75</v>
      </c>
      <c r="K7" s="4977"/>
      <c r="L7" s="4117">
        <v>4</v>
      </c>
      <c r="M7" s="4118">
        <v>4</v>
      </c>
      <c r="N7" s="4117">
        <v>1</v>
      </c>
      <c r="O7" s="4978">
        <f>SUM(K7:N7)</f>
        <v>9</v>
      </c>
      <c r="P7" s="4111">
        <f>E7-I7</f>
        <v>3</v>
      </c>
      <c r="Q7" s="4119">
        <f>1-J7</f>
        <v>0.25</v>
      </c>
    </row>
    <row r="8" spans="1:17">
      <c r="A8" s="4114" t="s">
        <v>21</v>
      </c>
      <c r="B8" s="4115">
        <v>2</v>
      </c>
      <c r="C8" s="4116">
        <v>6</v>
      </c>
      <c r="D8" s="4116">
        <v>6</v>
      </c>
      <c r="E8" s="4110">
        <f>SUM(B8,C8,D8)</f>
        <v>14</v>
      </c>
      <c r="F8" s="4974">
        <v>1</v>
      </c>
      <c r="G8" s="4116">
        <v>1</v>
      </c>
      <c r="H8" s="4975">
        <v>1</v>
      </c>
      <c r="I8" s="4963">
        <f>SUM(F8,G8,H8)</f>
        <v>3</v>
      </c>
      <c r="J8" s="4976">
        <f>+I8/E8</f>
        <v>0.21428571428571427</v>
      </c>
      <c r="K8" s="4977"/>
      <c r="L8" s="4117"/>
      <c r="M8" s="4117">
        <v>3</v>
      </c>
      <c r="N8" s="4117"/>
      <c r="O8" s="4978">
        <f>SUM(K8:N8)</f>
        <v>3</v>
      </c>
      <c r="P8" s="4111">
        <f>E8-I8</f>
        <v>11</v>
      </c>
      <c r="Q8" s="4119">
        <f>1-J8</f>
        <v>0.7857142857142857</v>
      </c>
    </row>
    <row r="9" spans="1:17">
      <c r="A9" s="3956" t="s">
        <v>3</v>
      </c>
      <c r="B9" s="4120">
        <f t="shared" ref="B9:I9" si="0">SUM(B6:B8)</f>
        <v>6</v>
      </c>
      <c r="C9" s="4121">
        <f t="shared" si="0"/>
        <v>18</v>
      </c>
      <c r="D9" s="4121">
        <f t="shared" si="0"/>
        <v>12</v>
      </c>
      <c r="E9" s="4122">
        <f t="shared" si="0"/>
        <v>36</v>
      </c>
      <c r="F9" s="4979">
        <f t="shared" si="0"/>
        <v>2</v>
      </c>
      <c r="G9" s="4121">
        <f t="shared" si="0"/>
        <v>12</v>
      </c>
      <c r="H9" s="4131">
        <f t="shared" si="0"/>
        <v>6</v>
      </c>
      <c r="I9" s="4123">
        <f t="shared" si="0"/>
        <v>20</v>
      </c>
      <c r="J9" s="4980">
        <f>+I9/E9</f>
        <v>0.55555555555555558</v>
      </c>
      <c r="K9" s="4981">
        <f t="shared" ref="K9:P9" si="1">SUM(K6:K8)</f>
        <v>0</v>
      </c>
      <c r="L9" s="4123">
        <f t="shared" si="1"/>
        <v>8</v>
      </c>
      <c r="M9" s="4123">
        <f t="shared" si="1"/>
        <v>10</v>
      </c>
      <c r="N9" s="4123">
        <f t="shared" si="1"/>
        <v>2</v>
      </c>
      <c r="O9" s="4982">
        <f t="shared" si="1"/>
        <v>20</v>
      </c>
      <c r="P9" s="4123">
        <f t="shared" si="1"/>
        <v>16</v>
      </c>
      <c r="Q9" s="4124">
        <f>1-J9</f>
        <v>0.44444444444444442</v>
      </c>
    </row>
    <row r="10" spans="1:17">
      <c r="A10" s="4125"/>
      <c r="B10" s="4125"/>
      <c r="C10" s="4125"/>
      <c r="D10" s="4125"/>
      <c r="E10" s="4125"/>
      <c r="F10" s="4125"/>
      <c r="G10" s="4125"/>
      <c r="H10" s="4125"/>
      <c r="I10" s="4125"/>
      <c r="J10" s="4125"/>
      <c r="K10" s="4125"/>
      <c r="L10" s="4125"/>
      <c r="M10" s="4125"/>
      <c r="N10" s="4125"/>
      <c r="O10" s="4125"/>
      <c r="P10" s="4125"/>
      <c r="Q10" s="4125"/>
    </row>
    <row r="11" spans="1:17">
      <c r="A11" s="4107" t="s">
        <v>16</v>
      </c>
      <c r="B11" s="4108"/>
      <c r="C11" s="4109">
        <v>1</v>
      </c>
      <c r="D11" s="4109">
        <v>1</v>
      </c>
      <c r="E11" s="4110">
        <f>SUM(B11,C11,D11)</f>
        <v>2</v>
      </c>
      <c r="F11" s="4969"/>
      <c r="G11" s="4109">
        <v>1</v>
      </c>
      <c r="H11" s="4970">
        <v>1</v>
      </c>
      <c r="I11" s="4963">
        <f>SUM(F11,G11,H11)</f>
        <v>2</v>
      </c>
      <c r="J11" s="4971">
        <f>+I11/E11</f>
        <v>1</v>
      </c>
      <c r="K11" s="4972"/>
      <c r="L11" s="4111"/>
      <c r="M11" s="4111">
        <v>2</v>
      </c>
      <c r="N11" s="4112"/>
      <c r="O11" s="4973">
        <f>SUM(K11:N11)</f>
        <v>2</v>
      </c>
      <c r="P11" s="4111">
        <f>E11-I11</f>
        <v>0</v>
      </c>
      <c r="Q11" s="4113">
        <f>1-J11</f>
        <v>0</v>
      </c>
    </row>
    <row r="12" spans="1:17">
      <c r="A12" s="4114" t="s">
        <v>61</v>
      </c>
      <c r="B12" s="4115"/>
      <c r="C12" s="4116">
        <v>1</v>
      </c>
      <c r="D12" s="4116"/>
      <c r="E12" s="4110">
        <f>SUM(B12,C12,D12)</f>
        <v>1</v>
      </c>
      <c r="F12" s="4974"/>
      <c r="G12" s="4116">
        <v>1</v>
      </c>
      <c r="H12" s="4975"/>
      <c r="I12" s="4963">
        <f>SUM(F12,G12,H12)</f>
        <v>1</v>
      </c>
      <c r="J12" s="4976">
        <f>+I12/E12</f>
        <v>1</v>
      </c>
      <c r="K12" s="4977"/>
      <c r="L12" s="4117"/>
      <c r="M12" s="4118">
        <v>1</v>
      </c>
      <c r="N12" s="4117"/>
      <c r="O12" s="4978">
        <f>SUM(K12:N12)</f>
        <v>1</v>
      </c>
      <c r="P12" s="4111">
        <f>E12-I12</f>
        <v>0</v>
      </c>
      <c r="Q12" s="4119">
        <f>1-J12</f>
        <v>0</v>
      </c>
    </row>
    <row r="13" spans="1:17">
      <c r="A13" s="4114" t="s">
        <v>64</v>
      </c>
      <c r="B13" s="4115">
        <v>1</v>
      </c>
      <c r="C13" s="4116">
        <v>1</v>
      </c>
      <c r="D13" s="4116">
        <v>1</v>
      </c>
      <c r="E13" s="4110">
        <f>SUM(B13,C13,D13)</f>
        <v>3</v>
      </c>
      <c r="F13" s="4974"/>
      <c r="G13" s="4116">
        <v>1</v>
      </c>
      <c r="H13" s="4975">
        <v>1</v>
      </c>
      <c r="I13" s="4963">
        <f>SUM(F13,G13,H13)</f>
        <v>2</v>
      </c>
      <c r="J13" s="4976">
        <f>+I13/E13</f>
        <v>0.66666666666666663</v>
      </c>
      <c r="K13" s="4977"/>
      <c r="L13" s="4117"/>
      <c r="M13" s="4117">
        <v>2</v>
      </c>
      <c r="N13" s="4117"/>
      <c r="O13" s="4978">
        <f>SUM(K13:N13)</f>
        <v>2</v>
      </c>
      <c r="P13" s="4111">
        <f>E13-I13</f>
        <v>1</v>
      </c>
      <c r="Q13" s="4119">
        <f>1-J13</f>
        <v>0.33333333333333337</v>
      </c>
    </row>
    <row r="14" spans="1:17">
      <c r="A14" s="3961" t="s">
        <v>59</v>
      </c>
      <c r="B14" s="4120">
        <f>SUM(B11:B13)</f>
        <v>1</v>
      </c>
      <c r="C14" s="4121">
        <f>SUM(C11:C13)</f>
        <v>3</v>
      </c>
      <c r="D14" s="4121">
        <f>SUM(D11:D13)</f>
        <v>2</v>
      </c>
      <c r="E14" s="4122">
        <f>SUM(E11:E13)</f>
        <v>6</v>
      </c>
      <c r="F14" s="4979"/>
      <c r="G14" s="4121">
        <f>SUM(G11:G13)</f>
        <v>3</v>
      </c>
      <c r="H14" s="4131">
        <f>SUM(H11:H13)</f>
        <v>2</v>
      </c>
      <c r="I14" s="4123">
        <f>SUM(I11:I13)</f>
        <v>5</v>
      </c>
      <c r="J14" s="4980">
        <f>+I14/E14</f>
        <v>0.83333333333333337</v>
      </c>
      <c r="K14" s="4981">
        <f t="shared" ref="K14:P14" si="2">SUM(K11:K13)</f>
        <v>0</v>
      </c>
      <c r="L14" s="4123">
        <f t="shared" si="2"/>
        <v>0</v>
      </c>
      <c r="M14" s="4123">
        <f t="shared" si="2"/>
        <v>5</v>
      </c>
      <c r="N14" s="4123">
        <f t="shared" si="2"/>
        <v>0</v>
      </c>
      <c r="O14" s="4982">
        <f t="shared" si="2"/>
        <v>5</v>
      </c>
      <c r="P14" s="4123">
        <f t="shared" si="2"/>
        <v>1</v>
      </c>
      <c r="Q14" s="4124">
        <f>1-J14</f>
        <v>0.16666666666666663</v>
      </c>
    </row>
    <row r="15" spans="1:17">
      <c r="A15" s="2160"/>
      <c r="B15" s="2160"/>
      <c r="C15" s="2160"/>
      <c r="D15" s="2160"/>
      <c r="E15" s="2160"/>
      <c r="F15" s="2160"/>
      <c r="G15" s="2160"/>
      <c r="H15" s="2160"/>
      <c r="I15" s="2160"/>
      <c r="J15" s="2160"/>
      <c r="K15" s="2160"/>
      <c r="L15" s="2160"/>
      <c r="M15" s="2160"/>
      <c r="N15" s="2160"/>
      <c r="O15" s="4983"/>
      <c r="P15" s="2160"/>
      <c r="Q15" s="2160"/>
    </row>
    <row r="16" spans="1:17">
      <c r="A16" s="4107" t="s">
        <v>4</v>
      </c>
      <c r="B16" s="4108"/>
      <c r="C16" s="4109">
        <v>7</v>
      </c>
      <c r="D16" s="4109">
        <v>6</v>
      </c>
      <c r="E16" s="4110">
        <f>SUM(B16,C16,D16)</f>
        <v>13</v>
      </c>
      <c r="F16" s="4969"/>
      <c r="G16" s="4109">
        <v>7</v>
      </c>
      <c r="H16" s="4970">
        <v>5</v>
      </c>
      <c r="I16" s="4963">
        <f>SUM(F16,G16,H16)</f>
        <v>12</v>
      </c>
      <c r="J16" s="4971">
        <f>+I16/E16</f>
        <v>0.92307692307692313</v>
      </c>
      <c r="K16" s="4972"/>
      <c r="L16" s="4111">
        <v>8</v>
      </c>
      <c r="M16" s="4111">
        <v>4</v>
      </c>
      <c r="N16" s="4112"/>
      <c r="O16" s="4973">
        <f>SUM(K16:N16)</f>
        <v>12</v>
      </c>
      <c r="P16" s="4111">
        <f>E16-I16</f>
        <v>1</v>
      </c>
      <c r="Q16" s="4113">
        <f>1-J16</f>
        <v>7.6923076923076872E-2</v>
      </c>
    </row>
    <row r="17" spans="1:17">
      <c r="A17" s="4114" t="s">
        <v>16</v>
      </c>
      <c r="B17" s="4115">
        <v>1</v>
      </c>
      <c r="C17" s="4116">
        <v>5</v>
      </c>
      <c r="D17" s="4116">
        <v>5</v>
      </c>
      <c r="E17" s="4110">
        <f>SUM(B17,C17,D17)</f>
        <v>11</v>
      </c>
      <c r="F17" s="4974"/>
      <c r="G17" s="4116">
        <v>4</v>
      </c>
      <c r="H17" s="4975">
        <v>5</v>
      </c>
      <c r="I17" s="4963">
        <f>SUM(F17,G17,H17)</f>
        <v>9</v>
      </c>
      <c r="J17" s="4976">
        <f>+I17/E17</f>
        <v>0.81818181818181823</v>
      </c>
      <c r="K17" s="4977">
        <v>5</v>
      </c>
      <c r="L17" s="4117">
        <v>3</v>
      </c>
      <c r="M17" s="4118"/>
      <c r="N17" s="4117">
        <v>1</v>
      </c>
      <c r="O17" s="4978">
        <f>SUM(K17:N17)</f>
        <v>9</v>
      </c>
      <c r="P17" s="4111">
        <f>E17-I17</f>
        <v>2</v>
      </c>
      <c r="Q17" s="4119">
        <f>1-J17</f>
        <v>0.18181818181818177</v>
      </c>
    </row>
    <row r="18" spans="1:17">
      <c r="A18" s="4114" t="s">
        <v>41</v>
      </c>
      <c r="B18" s="4115">
        <v>2</v>
      </c>
      <c r="C18" s="4116">
        <v>4</v>
      </c>
      <c r="D18" s="4116">
        <v>2</v>
      </c>
      <c r="E18" s="4110">
        <f>SUM(B18,C18,D18)</f>
        <v>8</v>
      </c>
      <c r="F18" s="4974"/>
      <c r="G18" s="4116">
        <v>4</v>
      </c>
      <c r="H18" s="4975">
        <v>2</v>
      </c>
      <c r="I18" s="4963">
        <f>SUM(F18,G18,H18)</f>
        <v>6</v>
      </c>
      <c r="J18" s="4976">
        <f>+I18/E18</f>
        <v>0.75</v>
      </c>
      <c r="K18" s="4977">
        <v>1</v>
      </c>
      <c r="L18" s="4117">
        <v>4</v>
      </c>
      <c r="M18" s="4117">
        <v>1</v>
      </c>
      <c r="N18" s="4117"/>
      <c r="O18" s="4978">
        <f>SUM(K18:N18)</f>
        <v>6</v>
      </c>
      <c r="P18" s="4111">
        <f>E18-I18</f>
        <v>2</v>
      </c>
      <c r="Q18" s="4119">
        <f>1-J18</f>
        <v>0.25</v>
      </c>
    </row>
    <row r="19" spans="1:17">
      <c r="A19" s="4126" t="s">
        <v>2616</v>
      </c>
      <c r="B19" s="4127">
        <v>1</v>
      </c>
      <c r="C19" s="4128">
        <v>1</v>
      </c>
      <c r="D19" s="4128">
        <v>1</v>
      </c>
      <c r="E19" s="4110">
        <f>SUM(B19,C19,D19)</f>
        <v>3</v>
      </c>
      <c r="F19" s="4984"/>
      <c r="G19" s="4128">
        <v>1</v>
      </c>
      <c r="H19" s="4985">
        <v>1</v>
      </c>
      <c r="I19" s="4963">
        <f>SUM(F19,G19,H19)</f>
        <v>2</v>
      </c>
      <c r="J19" s="4976">
        <f>+I19/E19</f>
        <v>0.66666666666666663</v>
      </c>
      <c r="K19" s="4986"/>
      <c r="L19" s="4129"/>
      <c r="M19" s="4129">
        <v>2</v>
      </c>
      <c r="N19" s="4129"/>
      <c r="O19" s="4978">
        <f>SUM(K19:N19)</f>
        <v>2</v>
      </c>
      <c r="P19" s="4111">
        <f>E19-I19</f>
        <v>1</v>
      </c>
      <c r="Q19" s="4119">
        <f>1-J19</f>
        <v>0.33333333333333337</v>
      </c>
    </row>
    <row r="20" spans="1:17">
      <c r="A20" s="3965" t="s">
        <v>25</v>
      </c>
      <c r="B20" s="4120">
        <f>SUM(B17:B19)</f>
        <v>4</v>
      </c>
      <c r="C20" s="4121">
        <f>SUM(C16:C19)</f>
        <v>17</v>
      </c>
      <c r="D20" s="4121">
        <f>SUM(D16:D19)</f>
        <v>14</v>
      </c>
      <c r="E20" s="4122">
        <f>SUM(E16:E19)</f>
        <v>35</v>
      </c>
      <c r="F20" s="4979"/>
      <c r="G20" s="4121">
        <f>SUM(G16:G19)</f>
        <v>16</v>
      </c>
      <c r="H20" s="4131">
        <f>SUM(H16:H19)</f>
        <v>13</v>
      </c>
      <c r="I20" s="4123">
        <f>SUM(I16:I19)</f>
        <v>29</v>
      </c>
      <c r="J20" s="4980">
        <f>+I20/E20</f>
        <v>0.82857142857142863</v>
      </c>
      <c r="K20" s="4981">
        <f>SUM(K15:K19)</f>
        <v>6</v>
      </c>
      <c r="L20" s="4123">
        <f t="shared" ref="L20:N20" si="3">SUM(L15:L19)</f>
        <v>15</v>
      </c>
      <c r="M20" s="4123">
        <f t="shared" si="3"/>
        <v>7</v>
      </c>
      <c r="N20" s="4123">
        <f t="shared" si="3"/>
        <v>1</v>
      </c>
      <c r="O20" s="4982">
        <f>SUM(O16:O19)</f>
        <v>29</v>
      </c>
      <c r="P20" s="4123">
        <f>SUM(P16:P19)</f>
        <v>6</v>
      </c>
      <c r="Q20" s="4124">
        <f>1-J20</f>
        <v>0.17142857142857137</v>
      </c>
    </row>
    <row r="21" spans="1:17">
      <c r="A21" s="2161"/>
      <c r="B21" s="2161"/>
      <c r="C21" s="2161"/>
      <c r="D21" s="2161"/>
      <c r="E21" s="2161"/>
      <c r="F21" s="2161"/>
      <c r="G21" s="2161"/>
      <c r="H21" s="2161"/>
      <c r="I21" s="2161"/>
      <c r="J21" s="2161"/>
      <c r="K21" s="2161"/>
      <c r="L21" s="2161"/>
      <c r="M21" s="2161"/>
      <c r="N21" s="2161"/>
      <c r="O21" s="2161"/>
      <c r="P21" s="2161"/>
      <c r="Q21" s="2161"/>
    </row>
    <row r="22" spans="1:17" ht="15" customHeight="1">
      <c r="A22" s="4107" t="s">
        <v>16</v>
      </c>
      <c r="B22" s="4108">
        <v>1</v>
      </c>
      <c r="C22" s="4109">
        <v>9</v>
      </c>
      <c r="D22" s="4109">
        <v>4</v>
      </c>
      <c r="E22" s="4110">
        <f>SUM(B22,C22,D22)</f>
        <v>14</v>
      </c>
      <c r="F22" s="4969"/>
      <c r="G22" s="4109">
        <v>8</v>
      </c>
      <c r="H22" s="4970">
        <v>4</v>
      </c>
      <c r="I22" s="4963">
        <f>SUM(F22,G22,H22)</f>
        <v>12</v>
      </c>
      <c r="J22" s="4971">
        <f>+I22/E22</f>
        <v>0.8571428571428571</v>
      </c>
      <c r="K22" s="4972">
        <v>2</v>
      </c>
      <c r="L22" s="4111">
        <v>5</v>
      </c>
      <c r="M22" s="4111">
        <v>3</v>
      </c>
      <c r="N22" s="4112">
        <v>2</v>
      </c>
      <c r="O22" s="4973">
        <f>SUM(K22:N22)</f>
        <v>12</v>
      </c>
      <c r="P22" s="4111">
        <f>E22-I22</f>
        <v>2</v>
      </c>
      <c r="Q22" s="4113">
        <f>1-J22</f>
        <v>0.1428571428571429</v>
      </c>
    </row>
    <row r="23" spans="1:17">
      <c r="A23" s="4114" t="s">
        <v>41</v>
      </c>
      <c r="B23" s="4115">
        <v>1</v>
      </c>
      <c r="C23" s="4116">
        <v>9</v>
      </c>
      <c r="D23" s="4116">
        <v>3</v>
      </c>
      <c r="E23" s="4110">
        <f>SUM(B23,C23,D23)</f>
        <v>13</v>
      </c>
      <c r="F23" s="4974"/>
      <c r="G23" s="4116">
        <v>8</v>
      </c>
      <c r="H23" s="4975">
        <v>2</v>
      </c>
      <c r="I23" s="4963">
        <f>SUM(F23,G23,H23)</f>
        <v>10</v>
      </c>
      <c r="J23" s="4976">
        <f>+I23/E23</f>
        <v>0.76923076923076927</v>
      </c>
      <c r="K23" s="4977"/>
      <c r="L23" s="4117">
        <v>4</v>
      </c>
      <c r="M23" s="4118">
        <v>5</v>
      </c>
      <c r="N23" s="4117">
        <v>1</v>
      </c>
      <c r="O23" s="4978">
        <f>SUM(L23:N23)</f>
        <v>10</v>
      </c>
      <c r="P23" s="4111">
        <f>E23-I23</f>
        <v>3</v>
      </c>
      <c r="Q23" s="4119">
        <f>1-J23</f>
        <v>0.23076923076923073</v>
      </c>
    </row>
    <row r="24" spans="1:17" ht="15" customHeight="1">
      <c r="A24" s="4114" t="s">
        <v>21</v>
      </c>
      <c r="B24" s="4115"/>
      <c r="C24" s="4116">
        <v>3</v>
      </c>
      <c r="D24" s="4116">
        <v>1</v>
      </c>
      <c r="E24" s="4110">
        <f>SUM(B24,C24,D24)</f>
        <v>4</v>
      </c>
      <c r="F24" s="4974"/>
      <c r="G24" s="4116">
        <v>2</v>
      </c>
      <c r="H24" s="4975">
        <v>1</v>
      </c>
      <c r="I24" s="4963">
        <f>SUM(F24,G24,H24)</f>
        <v>3</v>
      </c>
      <c r="J24" s="4976">
        <f>+I24/E24</f>
        <v>0.75</v>
      </c>
      <c r="K24" s="4977"/>
      <c r="L24" s="4117">
        <v>1</v>
      </c>
      <c r="M24" s="4117">
        <v>2</v>
      </c>
      <c r="N24" s="4117"/>
      <c r="O24" s="4978">
        <f>SUM(L24:N24)</f>
        <v>3</v>
      </c>
      <c r="P24" s="4111">
        <f>E24-I24</f>
        <v>1</v>
      </c>
      <c r="Q24" s="4119">
        <f>1-J24</f>
        <v>0.25</v>
      </c>
    </row>
    <row r="25" spans="1:17">
      <c r="A25" s="3973" t="s">
        <v>48</v>
      </c>
      <c r="B25" s="4120">
        <f>SUM(B22:B24)</f>
        <v>2</v>
      </c>
      <c r="C25" s="4121">
        <f>SUM(C22:C24)</f>
        <v>21</v>
      </c>
      <c r="D25" s="4121">
        <f>SUM(D22:D24)</f>
        <v>8</v>
      </c>
      <c r="E25" s="4122">
        <f>SUM(E22:E24)</f>
        <v>31</v>
      </c>
      <c r="F25" s="4979"/>
      <c r="G25" s="4121">
        <f>SUM(G22:G24)</f>
        <v>18</v>
      </c>
      <c r="H25" s="4131">
        <f>SUM(H22:H24)</f>
        <v>7</v>
      </c>
      <c r="I25" s="4123">
        <f>SUM(I22:I24)</f>
        <v>25</v>
      </c>
      <c r="J25" s="4980">
        <f>+I25/E25</f>
        <v>0.80645161290322576</v>
      </c>
      <c r="K25" s="4981">
        <f t="shared" ref="K25:P25" si="4">SUM(K22:K24)</f>
        <v>2</v>
      </c>
      <c r="L25" s="4123">
        <f t="shared" si="4"/>
        <v>10</v>
      </c>
      <c r="M25" s="4123">
        <f t="shared" si="4"/>
        <v>10</v>
      </c>
      <c r="N25" s="4123">
        <f t="shared" si="4"/>
        <v>3</v>
      </c>
      <c r="O25" s="4982">
        <f t="shared" si="4"/>
        <v>25</v>
      </c>
      <c r="P25" s="4123">
        <f t="shared" si="4"/>
        <v>6</v>
      </c>
      <c r="Q25" s="4124">
        <f>1-J25</f>
        <v>0.19354838709677424</v>
      </c>
    </row>
    <row r="26" spans="1:17">
      <c r="A26" s="4130"/>
      <c r="B26" s="4130"/>
      <c r="C26" s="4130"/>
      <c r="D26" s="4130"/>
      <c r="E26" s="4130"/>
      <c r="F26" s="4130"/>
      <c r="G26" s="4130"/>
      <c r="H26" s="4130"/>
      <c r="I26" s="4130"/>
      <c r="J26" s="4130"/>
      <c r="K26" s="4130"/>
      <c r="L26" s="4130"/>
      <c r="M26" s="4130"/>
      <c r="N26" s="4130"/>
      <c r="O26" s="4130"/>
      <c r="P26" s="4130"/>
      <c r="Q26" s="4130"/>
    </row>
    <row r="27" spans="1:17">
      <c r="A27" s="4107" t="s">
        <v>16</v>
      </c>
      <c r="B27" s="4108"/>
      <c r="C27" s="4109">
        <v>2</v>
      </c>
      <c r="D27" s="4109">
        <v>2</v>
      </c>
      <c r="E27" s="4110">
        <f>SUM(B27,C27,D27)</f>
        <v>4</v>
      </c>
      <c r="F27" s="4969"/>
      <c r="G27" s="4109"/>
      <c r="H27" s="4970">
        <v>1</v>
      </c>
      <c r="I27" s="4963">
        <f>SUM(F27,G27,H27)</f>
        <v>1</v>
      </c>
      <c r="J27" s="4971">
        <f>+I27/E27</f>
        <v>0.25</v>
      </c>
      <c r="K27" s="4972"/>
      <c r="L27" s="4111"/>
      <c r="M27" s="4111">
        <v>1</v>
      </c>
      <c r="N27" s="4112"/>
      <c r="O27" s="4987">
        <f>SUM(K27:N27)</f>
        <v>1</v>
      </c>
      <c r="P27" s="4111">
        <f>E27-I27</f>
        <v>3</v>
      </c>
      <c r="Q27" s="4113">
        <f>1-J27</f>
        <v>0.75</v>
      </c>
    </row>
    <row r="28" spans="1:17">
      <c r="A28" s="4114" t="s">
        <v>516</v>
      </c>
      <c r="B28" s="4115"/>
      <c r="C28" s="4116"/>
      <c r="D28" s="4116">
        <v>1</v>
      </c>
      <c r="E28" s="4110">
        <f>SUM(B28,C28,D28)</f>
        <v>1</v>
      </c>
      <c r="F28" s="4974"/>
      <c r="G28" s="4116"/>
      <c r="H28" s="4975">
        <v>1</v>
      </c>
      <c r="I28" s="4963">
        <f>SUM(F28,G28,H28)</f>
        <v>1</v>
      </c>
      <c r="J28" s="4976">
        <f>+I28/E28</f>
        <v>1</v>
      </c>
      <c r="K28" s="4977"/>
      <c r="L28" s="4117">
        <v>1</v>
      </c>
      <c r="M28" s="4118"/>
      <c r="N28" s="4117"/>
      <c r="O28" s="4988">
        <f>SUM(K28:N28)</f>
        <v>1</v>
      </c>
      <c r="P28" s="4111">
        <f>E28-I28</f>
        <v>0</v>
      </c>
      <c r="Q28" s="4119">
        <f>1-J28</f>
        <v>0</v>
      </c>
    </row>
    <row r="29" spans="1:17">
      <c r="A29" s="4131" t="s">
        <v>2617</v>
      </c>
      <c r="B29" s="4132">
        <f>SUM(B27:B28)</f>
        <v>0</v>
      </c>
      <c r="C29" s="4133">
        <f>SUM(C27:C28)</f>
        <v>2</v>
      </c>
      <c r="D29" s="4133">
        <f>SUM(D27:D28)</f>
        <v>3</v>
      </c>
      <c r="E29" s="4122">
        <f>SUM(E27:E28)</f>
        <v>5</v>
      </c>
      <c r="F29" s="4989"/>
      <c r="G29" s="4133">
        <f>SUM(G27:G28)</f>
        <v>0</v>
      </c>
      <c r="H29" s="4990">
        <f>SUM(H27:H28)</f>
        <v>2</v>
      </c>
      <c r="I29" s="4123">
        <f>SUM(I27:I28)</f>
        <v>2</v>
      </c>
      <c r="J29" s="4980">
        <f>+I29/E29</f>
        <v>0.4</v>
      </c>
      <c r="K29" s="4981">
        <f t="shared" ref="K29:P29" si="5">SUM(K27:K28)</f>
        <v>0</v>
      </c>
      <c r="L29" s="4123">
        <f t="shared" si="5"/>
        <v>1</v>
      </c>
      <c r="M29" s="4123">
        <f t="shared" si="5"/>
        <v>1</v>
      </c>
      <c r="N29" s="4123">
        <f t="shared" si="5"/>
        <v>0</v>
      </c>
      <c r="O29" s="4982">
        <f t="shared" si="5"/>
        <v>2</v>
      </c>
      <c r="P29" s="4123">
        <f t="shared" si="5"/>
        <v>3</v>
      </c>
      <c r="Q29" s="4124">
        <f>1-J29</f>
        <v>0.6</v>
      </c>
    </row>
    <row r="30" spans="1:17" ht="15" customHeight="1">
      <c r="A30" s="91"/>
      <c r="B30" s="91"/>
      <c r="C30" s="91"/>
      <c r="D30" s="91"/>
      <c r="E30" s="91"/>
      <c r="F30" s="91"/>
      <c r="G30" s="91"/>
      <c r="H30" s="91"/>
      <c r="I30" s="91"/>
      <c r="J30" s="91"/>
      <c r="K30" s="91"/>
      <c r="L30" s="91"/>
      <c r="M30" s="91"/>
      <c r="N30" s="91"/>
      <c r="O30" s="91"/>
      <c r="P30" s="91"/>
      <c r="Q30" s="91"/>
    </row>
    <row r="31" spans="1:17">
      <c r="A31" s="3976" t="s">
        <v>3005</v>
      </c>
      <c r="B31" s="3977">
        <f t="shared" ref="B31:I31" si="6">SUM(B9,B14,B20,B25,B29)</f>
        <v>13</v>
      </c>
      <c r="C31" s="5538">
        <f t="shared" si="6"/>
        <v>61</v>
      </c>
      <c r="D31" s="5538">
        <f t="shared" si="6"/>
        <v>39</v>
      </c>
      <c r="E31" s="3977">
        <f t="shared" si="6"/>
        <v>113</v>
      </c>
      <c r="F31" s="4991">
        <f t="shared" si="6"/>
        <v>2</v>
      </c>
      <c r="G31" s="5538">
        <f t="shared" si="6"/>
        <v>49</v>
      </c>
      <c r="H31" s="5538">
        <f t="shared" si="6"/>
        <v>30</v>
      </c>
      <c r="I31" s="3977">
        <f t="shared" si="6"/>
        <v>81</v>
      </c>
      <c r="J31" s="5539">
        <f>+I31/E31</f>
        <v>0.7168141592920354</v>
      </c>
      <c r="K31" s="4992">
        <f>SUM(K9,K20,K25,K14,K29)</f>
        <v>8</v>
      </c>
      <c r="L31" s="5540">
        <f>SUM(L9,L20,L25,L14,L29)</f>
        <v>34</v>
      </c>
      <c r="M31" s="5540">
        <f>SUM(M9,M20,M25,M14,M29)</f>
        <v>33</v>
      </c>
      <c r="N31" s="4134">
        <f>SUM(N9,N20,N25,N14,N29)</f>
        <v>6</v>
      </c>
      <c r="O31" s="4993">
        <f>SUM(O9,O20,O25,O14,O29)</f>
        <v>81</v>
      </c>
      <c r="P31" s="5538">
        <f>E31-I31</f>
        <v>32</v>
      </c>
      <c r="Q31" s="5541">
        <f>1-J31</f>
        <v>0.2831858407079646</v>
      </c>
    </row>
    <row r="32" spans="1:17" ht="15" customHeight="1">
      <c r="A32" s="3972"/>
      <c r="B32" s="3972"/>
      <c r="C32" s="3972"/>
      <c r="D32" s="3972"/>
      <c r="E32" s="3972"/>
      <c r="F32" s="4994"/>
      <c r="G32" s="4994"/>
      <c r="H32" s="4994"/>
      <c r="I32" s="3972"/>
      <c r="J32" s="3972"/>
      <c r="K32" s="4994"/>
      <c r="L32" s="4994"/>
      <c r="M32" s="4994"/>
      <c r="N32" s="4994"/>
      <c r="O32" s="3972"/>
      <c r="P32" s="4104"/>
      <c r="Q32" s="4104"/>
    </row>
    <row r="33" spans="1:22">
      <c r="A33" s="3972"/>
      <c r="B33" s="3972"/>
      <c r="C33" s="3972"/>
      <c r="D33" s="3972"/>
      <c r="E33" s="3972"/>
      <c r="F33" s="3972"/>
      <c r="G33" s="3972"/>
      <c r="H33" s="3972"/>
      <c r="I33" s="3972"/>
      <c r="J33" s="3972"/>
      <c r="K33" s="3972"/>
      <c r="L33" s="3972"/>
      <c r="M33" s="3972"/>
      <c r="N33" s="3972"/>
      <c r="O33" s="91"/>
      <c r="P33" s="3972"/>
      <c r="Q33" s="4135" t="s">
        <v>2810</v>
      </c>
    </row>
    <row r="37" spans="1:22" ht="15.6">
      <c r="R37" s="4047"/>
      <c r="S37" s="4047"/>
      <c r="T37" s="4048"/>
      <c r="U37" s="5542"/>
      <c r="V37" s="5543" t="s">
        <v>2994</v>
      </c>
    </row>
    <row r="38" spans="1:22" ht="15" thickBot="1">
      <c r="R38" s="4049" t="s">
        <v>69</v>
      </c>
      <c r="S38" s="4049" t="s">
        <v>457</v>
      </c>
      <c r="T38" s="4049" t="s">
        <v>2808</v>
      </c>
      <c r="U38" s="4050" t="s">
        <v>2286</v>
      </c>
      <c r="V38" s="4050" t="s">
        <v>2287</v>
      </c>
    </row>
    <row r="39" spans="1:22" ht="15" customHeight="1">
      <c r="R39" s="5907" t="s">
        <v>2288</v>
      </c>
      <c r="S39" s="5926" t="s">
        <v>247</v>
      </c>
      <c r="T39" s="4051" t="s">
        <v>273</v>
      </c>
      <c r="U39" s="4051"/>
      <c r="V39" s="4052"/>
    </row>
    <row r="40" spans="1:22">
      <c r="R40" s="5903"/>
      <c r="S40" s="5927"/>
      <c r="T40" s="4053" t="s">
        <v>274</v>
      </c>
      <c r="U40" s="4054" t="s">
        <v>262</v>
      </c>
      <c r="V40" s="4055"/>
    </row>
    <row r="41" spans="1:22">
      <c r="R41" s="5903"/>
      <c r="S41" s="5927"/>
      <c r="T41" s="4053" t="s">
        <v>2289</v>
      </c>
      <c r="U41" s="4054" t="s">
        <v>262</v>
      </c>
      <c r="V41" s="4056"/>
    </row>
    <row r="42" spans="1:22">
      <c r="R42" s="5903"/>
      <c r="S42" s="5927"/>
      <c r="T42" s="4053" t="s">
        <v>2290</v>
      </c>
      <c r="U42" s="4054" t="s">
        <v>263</v>
      </c>
      <c r="V42" s="4056"/>
    </row>
    <row r="43" spans="1:22">
      <c r="R43" s="5903"/>
      <c r="S43" s="5927"/>
      <c r="T43" s="4053" t="s">
        <v>2618</v>
      </c>
      <c r="U43" s="4057" t="s">
        <v>263</v>
      </c>
      <c r="V43" s="4056"/>
    </row>
    <row r="44" spans="1:22">
      <c r="R44" s="5903"/>
      <c r="S44" s="5927"/>
      <c r="T44" s="4053" t="s">
        <v>2619</v>
      </c>
      <c r="U44" s="4054" t="s">
        <v>262</v>
      </c>
      <c r="V44" s="4058"/>
    </row>
    <row r="45" spans="1:22">
      <c r="R45" s="5903"/>
      <c r="S45" s="5908"/>
      <c r="T45" s="4053" t="s">
        <v>2583</v>
      </c>
      <c r="U45" s="4054" t="s">
        <v>264</v>
      </c>
      <c r="V45" s="4058"/>
    </row>
    <row r="46" spans="1:22">
      <c r="R46" s="5903"/>
      <c r="S46" s="5906" t="s">
        <v>248</v>
      </c>
      <c r="T46" s="2162" t="s">
        <v>275</v>
      </c>
      <c r="U46" s="2163" t="s">
        <v>263</v>
      </c>
      <c r="V46" s="2164"/>
    </row>
    <row r="47" spans="1:22">
      <c r="R47" s="5903"/>
      <c r="S47" s="5906"/>
      <c r="T47" s="2162" t="s">
        <v>2291</v>
      </c>
      <c r="U47" s="4995"/>
      <c r="V47" s="4996" t="s">
        <v>3006</v>
      </c>
    </row>
    <row r="48" spans="1:22">
      <c r="R48" s="5903"/>
      <c r="S48" s="5906"/>
      <c r="T48" s="2162" t="s">
        <v>2292</v>
      </c>
      <c r="U48" s="2163" t="s">
        <v>263</v>
      </c>
      <c r="V48" s="2170"/>
    </row>
    <row r="49" spans="18:22">
      <c r="R49" s="5903"/>
      <c r="S49" s="5906"/>
      <c r="T49" s="2162" t="s">
        <v>2618</v>
      </c>
      <c r="U49" s="2163"/>
      <c r="V49" s="2165"/>
    </row>
    <row r="50" spans="18:22">
      <c r="R50" s="5904"/>
      <c r="S50" s="5910"/>
      <c r="T50" s="2166" t="s">
        <v>2619</v>
      </c>
      <c r="U50" s="2167" t="s">
        <v>262</v>
      </c>
      <c r="V50" s="2168"/>
    </row>
    <row r="51" spans="18:22" ht="15" customHeight="1">
      <c r="R51" s="5907" t="s">
        <v>2293</v>
      </c>
      <c r="S51" s="5908" t="s">
        <v>2809</v>
      </c>
      <c r="T51" s="4051" t="s">
        <v>2294</v>
      </c>
      <c r="U51" s="4051"/>
      <c r="V51" s="4052"/>
    </row>
    <row r="52" spans="18:22">
      <c r="R52" s="5903"/>
      <c r="S52" s="5909"/>
      <c r="T52" s="4053" t="s">
        <v>2295</v>
      </c>
      <c r="U52" s="4054" t="s">
        <v>262</v>
      </c>
      <c r="V52" s="4055"/>
    </row>
    <row r="53" spans="18:22">
      <c r="R53" s="5903"/>
      <c r="S53" s="5909"/>
      <c r="T53" s="4053" t="s">
        <v>342</v>
      </c>
      <c r="U53" s="4054"/>
      <c r="V53" s="4055"/>
    </row>
    <row r="54" spans="18:22">
      <c r="R54" s="5903"/>
      <c r="S54" s="5909"/>
      <c r="T54" s="4053" t="s">
        <v>2648</v>
      </c>
      <c r="U54" s="4054"/>
      <c r="V54" s="4059"/>
    </row>
    <row r="55" spans="18:22">
      <c r="R55" s="5903"/>
      <c r="S55" s="5922" t="s">
        <v>247</v>
      </c>
      <c r="T55" s="2162" t="s">
        <v>2296</v>
      </c>
      <c r="U55" s="2163" t="s">
        <v>263</v>
      </c>
      <c r="V55" s="2169"/>
    </row>
    <row r="56" spans="18:22">
      <c r="R56" s="5903"/>
      <c r="S56" s="5923"/>
      <c r="T56" s="2162" t="s">
        <v>2297</v>
      </c>
      <c r="U56" s="2163" t="s">
        <v>262</v>
      </c>
      <c r="V56" s="2170"/>
    </row>
    <row r="57" spans="18:22">
      <c r="R57" s="5903"/>
      <c r="S57" s="5923"/>
      <c r="T57" s="2162" t="s">
        <v>277</v>
      </c>
      <c r="U57" s="2163" t="s">
        <v>263</v>
      </c>
      <c r="V57" s="2164"/>
    </row>
    <row r="58" spans="18:22">
      <c r="R58" s="5903"/>
      <c r="S58" s="5923"/>
      <c r="T58" s="2162" t="s">
        <v>278</v>
      </c>
      <c r="U58" s="2163" t="s">
        <v>262</v>
      </c>
      <c r="V58" s="2164"/>
    </row>
    <row r="59" spans="18:22">
      <c r="R59" s="5903"/>
      <c r="S59" s="5923"/>
      <c r="T59" s="2162" t="s">
        <v>1909</v>
      </c>
      <c r="U59" s="2163" t="s">
        <v>263</v>
      </c>
      <c r="V59" s="2171"/>
    </row>
    <row r="60" spans="18:22" ht="28.8">
      <c r="R60" s="5903"/>
      <c r="S60" s="5923"/>
      <c r="T60" s="2162" t="s">
        <v>276</v>
      </c>
      <c r="U60" s="2163" t="s">
        <v>262</v>
      </c>
      <c r="V60" s="2165" t="s">
        <v>2298</v>
      </c>
    </row>
    <row r="61" spans="18:22">
      <c r="R61" s="5903"/>
      <c r="S61" s="5923"/>
      <c r="T61" s="2162" t="s">
        <v>2299</v>
      </c>
      <c r="U61" s="2163" t="s">
        <v>264</v>
      </c>
      <c r="V61" s="2170"/>
    </row>
    <row r="62" spans="18:22" ht="28.8">
      <c r="R62" s="5903"/>
      <c r="S62" s="5924"/>
      <c r="T62" s="2162" t="s">
        <v>2278</v>
      </c>
      <c r="U62" s="2163"/>
      <c r="V62" s="2165" t="s">
        <v>2298</v>
      </c>
    </row>
    <row r="63" spans="18:22">
      <c r="R63" s="5903"/>
      <c r="S63" s="5909" t="s">
        <v>248</v>
      </c>
      <c r="T63" s="4051" t="s">
        <v>2300</v>
      </c>
      <c r="U63" s="4060" t="s">
        <v>263</v>
      </c>
      <c r="V63" s="4061"/>
    </row>
    <row r="64" spans="18:22">
      <c r="R64" s="5903"/>
      <c r="S64" s="5909"/>
      <c r="T64" s="4053" t="s">
        <v>279</v>
      </c>
      <c r="U64" s="4054" t="s">
        <v>262</v>
      </c>
      <c r="V64" s="4055"/>
    </row>
    <row r="65" spans="18:22" ht="30" customHeight="1">
      <c r="R65" s="5903"/>
      <c r="S65" s="5909"/>
      <c r="T65" s="4053" t="s">
        <v>280</v>
      </c>
      <c r="U65" s="4054" t="s">
        <v>263</v>
      </c>
      <c r="V65" s="4056" t="s">
        <v>2298</v>
      </c>
    </row>
    <row r="66" spans="18:22" ht="28.8">
      <c r="R66" s="5904"/>
      <c r="S66" s="5917"/>
      <c r="T66" s="4062" t="s">
        <v>2278</v>
      </c>
      <c r="U66" s="4063"/>
      <c r="V66" s="4064" t="s">
        <v>2298</v>
      </c>
    </row>
    <row r="67" spans="18:22">
      <c r="R67" s="5509"/>
      <c r="S67" s="5928" t="s">
        <v>2809</v>
      </c>
      <c r="T67" s="4065" t="s">
        <v>2279</v>
      </c>
      <c r="U67" s="4060"/>
      <c r="V67" s="4052"/>
    </row>
    <row r="68" spans="18:22" ht="28.8" customHeight="1">
      <c r="R68" s="5907" t="s">
        <v>2301</v>
      </c>
      <c r="S68" s="5908"/>
      <c r="T68" s="4065" t="s">
        <v>1637</v>
      </c>
      <c r="U68" s="4060" t="s">
        <v>263</v>
      </c>
      <c r="V68" s="4052"/>
    </row>
    <row r="69" spans="18:22">
      <c r="R69" s="5903"/>
      <c r="S69" s="5906" t="s">
        <v>247</v>
      </c>
      <c r="T69" s="2175" t="s">
        <v>1638</v>
      </c>
      <c r="U69" s="2163"/>
      <c r="V69" s="2164"/>
    </row>
    <row r="70" spans="18:22">
      <c r="R70" s="5903"/>
      <c r="S70" s="5906"/>
      <c r="T70" s="2175" t="s">
        <v>1639</v>
      </c>
      <c r="U70" s="2163"/>
      <c r="V70" s="2164"/>
    </row>
    <row r="71" spans="18:22">
      <c r="R71" s="5903"/>
      <c r="S71" s="5906"/>
      <c r="T71" s="2175" t="s">
        <v>1640</v>
      </c>
      <c r="U71" s="2163" t="s">
        <v>263</v>
      </c>
      <c r="V71" s="2164"/>
    </row>
    <row r="72" spans="18:22" ht="28.8">
      <c r="R72" s="5903"/>
      <c r="S72" s="5906"/>
      <c r="T72" s="2175" t="s">
        <v>1637</v>
      </c>
      <c r="U72" s="2163"/>
      <c r="V72" s="2164"/>
    </row>
    <row r="73" spans="18:22">
      <c r="R73" s="5903"/>
      <c r="S73" s="5906"/>
      <c r="T73" s="2175" t="s">
        <v>1641</v>
      </c>
      <c r="U73" s="2163"/>
      <c r="V73" s="2164"/>
    </row>
    <row r="74" spans="18:22" ht="28.8">
      <c r="R74" s="5903"/>
      <c r="S74" s="5906"/>
      <c r="T74" s="2175" t="s">
        <v>1727</v>
      </c>
      <c r="U74" s="2163"/>
      <c r="V74" s="2164"/>
    </row>
    <row r="75" spans="18:22">
      <c r="R75" s="5903"/>
      <c r="S75" s="5909" t="s">
        <v>248</v>
      </c>
      <c r="T75" s="4066" t="s">
        <v>1638</v>
      </c>
      <c r="U75" s="4054"/>
      <c r="V75" s="4055"/>
    </row>
    <row r="76" spans="18:22">
      <c r="R76" s="5903"/>
      <c r="S76" s="5909"/>
      <c r="T76" s="4066" t="s">
        <v>1639</v>
      </c>
      <c r="U76" s="4054"/>
      <c r="V76" s="4055"/>
    </row>
    <row r="77" spans="18:22">
      <c r="R77" s="5903"/>
      <c r="S77" s="5909"/>
      <c r="T77" s="4066" t="s">
        <v>1640</v>
      </c>
      <c r="U77" s="4054" t="s">
        <v>263</v>
      </c>
      <c r="V77" s="4055"/>
    </row>
    <row r="78" spans="18:22" ht="15" customHeight="1">
      <c r="R78" s="5903"/>
      <c r="S78" s="5909"/>
      <c r="T78" s="4066" t="s">
        <v>1637</v>
      </c>
      <c r="U78" s="4067"/>
      <c r="V78" s="4068"/>
    </row>
    <row r="79" spans="18:22">
      <c r="R79" s="5903"/>
      <c r="S79" s="5909"/>
      <c r="T79" s="4066" t="s">
        <v>1641</v>
      </c>
      <c r="U79" s="4054"/>
      <c r="V79" s="4055"/>
    </row>
    <row r="80" spans="18:22" ht="28.8">
      <c r="R80" s="5904"/>
      <c r="S80" s="5917"/>
      <c r="T80" s="4069" t="s">
        <v>1727</v>
      </c>
      <c r="U80" s="4063"/>
      <c r="V80" s="4070"/>
    </row>
    <row r="81" spans="18:22" ht="14.4" customHeight="1">
      <c r="R81" s="1894"/>
      <c r="S81" s="1894"/>
      <c r="T81" s="1894"/>
      <c r="U81" s="5901" t="s">
        <v>2620</v>
      </c>
      <c r="V81" s="5901"/>
    </row>
    <row r="82" spans="18:22">
      <c r="R82" s="4047"/>
      <c r="S82" s="4047"/>
      <c r="T82" s="4071"/>
      <c r="U82" s="5901"/>
      <c r="V82" s="5901"/>
    </row>
    <row r="83" spans="18:22">
      <c r="R83" s="4047"/>
      <c r="S83" s="4047"/>
      <c r="T83" s="4071"/>
      <c r="U83" s="5508"/>
      <c r="V83" s="5508"/>
    </row>
    <row r="84" spans="18:22" ht="15" customHeight="1">
      <c r="R84" s="4047"/>
      <c r="S84" s="4047"/>
      <c r="T84" s="4071"/>
      <c r="U84" s="5508"/>
      <c r="V84" s="5508"/>
    </row>
    <row r="85" spans="18:22" ht="15.6">
      <c r="R85" s="4072"/>
      <c r="S85" s="4072"/>
      <c r="T85" s="4073"/>
      <c r="U85" s="5544"/>
      <c r="V85" s="5545" t="s">
        <v>3930</v>
      </c>
    </row>
    <row r="86" spans="18:22" ht="15" thickBot="1">
      <c r="R86" s="4074" t="s">
        <v>69</v>
      </c>
      <c r="S86" s="4074" t="s">
        <v>457</v>
      </c>
      <c r="T86" s="4075" t="s">
        <v>2808</v>
      </c>
      <c r="U86" s="4076" t="s">
        <v>2286</v>
      </c>
      <c r="V86" s="4076" t="s">
        <v>2287</v>
      </c>
    </row>
    <row r="87" spans="18:22" ht="15" customHeight="1">
      <c r="R87" s="5915" t="s">
        <v>2293</v>
      </c>
      <c r="S87" s="4077" t="s">
        <v>247</v>
      </c>
      <c r="T87" s="4051" t="s">
        <v>670</v>
      </c>
      <c r="U87" s="4060" t="s">
        <v>263</v>
      </c>
      <c r="V87" s="4078"/>
    </row>
    <row r="88" spans="18:22">
      <c r="R88" s="5916"/>
      <c r="S88" s="5515" t="s">
        <v>248</v>
      </c>
      <c r="T88" s="2166" t="s">
        <v>670</v>
      </c>
      <c r="U88" s="5515" t="s">
        <v>263</v>
      </c>
      <c r="V88" s="2177"/>
    </row>
    <row r="89" spans="18:22" ht="43.2">
      <c r="R89" s="5546" t="s">
        <v>2302</v>
      </c>
      <c r="S89" s="4997" t="s">
        <v>247</v>
      </c>
      <c r="T89" s="4998" t="s">
        <v>412</v>
      </c>
      <c r="U89" s="4999" t="s">
        <v>263</v>
      </c>
      <c r="V89" s="5000"/>
    </row>
    <row r="90" spans="18:22" ht="14.4" customHeight="1">
      <c r="R90" s="5916" t="s">
        <v>2303</v>
      </c>
      <c r="S90" s="5513" t="s">
        <v>2809</v>
      </c>
      <c r="T90" s="4079" t="s">
        <v>2304</v>
      </c>
      <c r="U90" s="4080"/>
      <c r="V90" s="4081"/>
    </row>
    <row r="91" spans="18:22" ht="15" customHeight="1">
      <c r="R91" s="5916"/>
      <c r="S91" s="5510" t="s">
        <v>247</v>
      </c>
      <c r="T91" s="2162" t="s">
        <v>2305</v>
      </c>
      <c r="U91" s="2163" t="s">
        <v>263</v>
      </c>
      <c r="V91" s="2171"/>
    </row>
    <row r="92" spans="18:22">
      <c r="R92" s="5916"/>
      <c r="S92" s="5909" t="s">
        <v>248</v>
      </c>
      <c r="T92" s="4053" t="s">
        <v>2306</v>
      </c>
      <c r="U92" s="4054" t="s">
        <v>263</v>
      </c>
      <c r="V92" s="4055"/>
    </row>
    <row r="93" spans="18:22" ht="43.2">
      <c r="R93" s="5916"/>
      <c r="S93" s="5917"/>
      <c r="T93" s="4062" t="s">
        <v>410</v>
      </c>
      <c r="U93" s="4063" t="s">
        <v>262</v>
      </c>
      <c r="V93" s="4064" t="s">
        <v>2621</v>
      </c>
    </row>
    <row r="94" spans="18:22" ht="14.4" customHeight="1">
      <c r="R94" s="4071"/>
      <c r="S94" s="4071"/>
      <c r="T94" s="1894"/>
      <c r="U94" s="5901" t="s">
        <v>2620</v>
      </c>
      <c r="V94" s="5901"/>
    </row>
    <row r="95" spans="18:22">
      <c r="R95" s="4047"/>
      <c r="S95" s="4047"/>
      <c r="T95" s="4071"/>
      <c r="U95" s="5901"/>
      <c r="V95" s="5901"/>
    </row>
    <row r="96" spans="18:22">
      <c r="R96" s="1895"/>
      <c r="S96" s="1895"/>
      <c r="T96" s="1894"/>
      <c r="U96" s="4829"/>
      <c r="V96" s="4829"/>
    </row>
    <row r="97" spans="18:22" ht="15" customHeight="1">
      <c r="R97" s="1896"/>
      <c r="S97" s="1896"/>
      <c r="T97" s="1896"/>
      <c r="U97" s="1896"/>
      <c r="V97" s="1896"/>
    </row>
    <row r="98" spans="18:22" ht="15.6">
      <c r="R98" s="4082"/>
      <c r="S98" s="4082"/>
      <c r="T98" s="4082"/>
      <c r="U98" s="5547"/>
      <c r="V98" s="5548" t="s">
        <v>2999</v>
      </c>
    </row>
    <row r="99" spans="18:22" ht="15" thickBot="1">
      <c r="R99" s="4083" t="s">
        <v>69</v>
      </c>
      <c r="S99" s="4083" t="s">
        <v>457</v>
      </c>
      <c r="T99" s="4083" t="s">
        <v>2808</v>
      </c>
      <c r="U99" s="4084" t="s">
        <v>2286</v>
      </c>
      <c r="V99" s="4084" t="s">
        <v>2287</v>
      </c>
    </row>
    <row r="100" spans="18:22" ht="14.4" customHeight="1">
      <c r="R100" s="5914" t="s">
        <v>2288</v>
      </c>
      <c r="S100" s="5514" t="s">
        <v>2809</v>
      </c>
      <c r="T100" s="4051" t="s">
        <v>1817</v>
      </c>
      <c r="U100" s="4051"/>
      <c r="V100" s="4085" t="s">
        <v>2307</v>
      </c>
    </row>
    <row r="101" spans="18:22">
      <c r="R101" s="5914"/>
      <c r="S101" s="5906" t="s">
        <v>247</v>
      </c>
      <c r="T101" s="2162" t="s">
        <v>282</v>
      </c>
      <c r="U101" s="2163" t="s">
        <v>262</v>
      </c>
      <c r="V101" s="2164"/>
    </row>
    <row r="102" spans="18:22">
      <c r="R102" s="5914"/>
      <c r="S102" s="5906"/>
      <c r="T102" s="2162" t="s">
        <v>2308</v>
      </c>
      <c r="U102" s="2163" t="s">
        <v>263</v>
      </c>
      <c r="V102" s="5001"/>
    </row>
    <row r="103" spans="18:22">
      <c r="R103" s="5914"/>
      <c r="S103" s="5906"/>
      <c r="T103" s="2162" t="s">
        <v>2309</v>
      </c>
      <c r="U103" s="2163" t="s">
        <v>262</v>
      </c>
      <c r="V103" s="2164"/>
    </row>
    <row r="104" spans="18:22">
      <c r="R104" s="5914"/>
      <c r="S104" s="5906"/>
      <c r="T104" s="2162" t="s">
        <v>2310</v>
      </c>
      <c r="U104" s="2163" t="s">
        <v>263</v>
      </c>
      <c r="V104" s="2171"/>
    </row>
    <row r="105" spans="18:22">
      <c r="R105" s="5914"/>
      <c r="S105" s="5906"/>
      <c r="T105" s="2162" t="s">
        <v>2311</v>
      </c>
      <c r="U105" s="2163" t="s">
        <v>262</v>
      </c>
      <c r="V105" s="2164"/>
    </row>
    <row r="106" spans="18:22">
      <c r="R106" s="5914"/>
      <c r="S106" s="5906"/>
      <c r="T106" s="2162" t="s">
        <v>2312</v>
      </c>
      <c r="U106" s="2163" t="s">
        <v>262</v>
      </c>
      <c r="V106" s="2164"/>
    </row>
    <row r="107" spans="18:22">
      <c r="R107" s="5914"/>
      <c r="S107" s="5906"/>
      <c r="T107" s="2162" t="s">
        <v>281</v>
      </c>
      <c r="U107" s="2163" t="s">
        <v>262</v>
      </c>
      <c r="V107" s="2164"/>
    </row>
    <row r="108" spans="18:22">
      <c r="R108" s="5914"/>
      <c r="S108" s="5906"/>
      <c r="T108" s="2178" t="s">
        <v>2313</v>
      </c>
      <c r="U108" s="2163" t="s">
        <v>263</v>
      </c>
      <c r="V108" s="2179" t="s">
        <v>2307</v>
      </c>
    </row>
    <row r="109" spans="18:22">
      <c r="R109" s="5914"/>
      <c r="S109" s="5909" t="s">
        <v>248</v>
      </c>
      <c r="T109" s="4053" t="s">
        <v>2314</v>
      </c>
      <c r="U109" s="4054"/>
      <c r="V109" s="4055"/>
    </row>
    <row r="110" spans="18:22">
      <c r="R110" s="5914"/>
      <c r="S110" s="5909"/>
      <c r="T110" s="4053" t="s">
        <v>2315</v>
      </c>
      <c r="U110" s="4054" t="s">
        <v>262</v>
      </c>
      <c r="V110" s="5002"/>
    </row>
    <row r="111" spans="18:22">
      <c r="R111" s="5914"/>
      <c r="S111" s="5909"/>
      <c r="T111" s="4053" t="s">
        <v>2316</v>
      </c>
      <c r="U111" s="4054" t="s">
        <v>263</v>
      </c>
      <c r="V111" s="4087"/>
    </row>
    <row r="112" spans="18:22">
      <c r="R112" s="5914"/>
      <c r="S112" s="5909"/>
      <c r="T112" s="4053" t="s">
        <v>2317</v>
      </c>
      <c r="U112" s="4054" t="s">
        <v>262</v>
      </c>
      <c r="V112" s="4088"/>
    </row>
    <row r="113" spans="18:22" ht="15" customHeight="1">
      <c r="R113" s="5914"/>
      <c r="S113" s="5909"/>
      <c r="T113" s="4053" t="s">
        <v>2318</v>
      </c>
      <c r="U113" s="4054" t="s">
        <v>262</v>
      </c>
      <c r="V113" s="4089"/>
    </row>
    <row r="114" spans="18:22">
      <c r="R114" s="5914"/>
      <c r="S114" s="5909"/>
      <c r="T114" s="4053" t="s">
        <v>417</v>
      </c>
      <c r="U114" s="4054" t="s">
        <v>263</v>
      </c>
      <c r="V114" s="4087"/>
    </row>
    <row r="115" spans="18:22">
      <c r="R115" s="5915"/>
      <c r="S115" s="5917"/>
      <c r="T115" s="4090" t="s">
        <v>2319</v>
      </c>
      <c r="U115" s="4063" t="s">
        <v>263</v>
      </c>
      <c r="V115" s="4091" t="s">
        <v>2307</v>
      </c>
    </row>
    <row r="116" spans="18:22" ht="14.4" customHeight="1">
      <c r="R116" s="5916" t="s">
        <v>2293</v>
      </c>
      <c r="S116" s="5514" t="s">
        <v>2809</v>
      </c>
      <c r="T116" s="4051" t="s">
        <v>283</v>
      </c>
      <c r="U116" s="4051"/>
      <c r="V116" s="4052"/>
    </row>
    <row r="117" spans="18:22">
      <c r="R117" s="5916"/>
      <c r="S117" s="5922" t="s">
        <v>247</v>
      </c>
      <c r="T117" s="2162" t="s">
        <v>284</v>
      </c>
      <c r="U117" s="2163" t="s">
        <v>262</v>
      </c>
      <c r="V117" s="2171"/>
    </row>
    <row r="118" spans="18:22">
      <c r="R118" s="5916"/>
      <c r="S118" s="5923"/>
      <c r="T118" s="2162" t="s">
        <v>285</v>
      </c>
      <c r="U118" s="2163" t="s">
        <v>261</v>
      </c>
      <c r="V118" s="2180"/>
    </row>
    <row r="119" spans="18:22">
      <c r="R119" s="5916"/>
      <c r="S119" s="5923"/>
      <c r="T119" s="2162" t="s">
        <v>287</v>
      </c>
      <c r="U119" s="2163" t="s">
        <v>261</v>
      </c>
      <c r="V119" s="2165"/>
    </row>
    <row r="120" spans="18:22" ht="28.8">
      <c r="R120" s="5916"/>
      <c r="S120" s="5923"/>
      <c r="T120" s="2162" t="s">
        <v>276</v>
      </c>
      <c r="U120" s="2163" t="s">
        <v>262</v>
      </c>
      <c r="V120" s="2165" t="s">
        <v>2298</v>
      </c>
    </row>
    <row r="121" spans="18:22">
      <c r="R121" s="5916"/>
      <c r="S121" s="5923"/>
      <c r="T121" s="2162" t="s">
        <v>286</v>
      </c>
      <c r="U121" s="2163" t="s">
        <v>261</v>
      </c>
      <c r="V121" s="2165"/>
    </row>
    <row r="122" spans="18:22">
      <c r="R122" s="5916"/>
      <c r="S122" s="5923"/>
      <c r="T122" s="2162" t="s">
        <v>2622</v>
      </c>
      <c r="U122" s="2163"/>
      <c r="V122" s="2165"/>
    </row>
    <row r="123" spans="18:22" ht="28.8">
      <c r="R123" s="5916"/>
      <c r="S123" s="5924"/>
      <c r="T123" s="2162" t="s">
        <v>2278</v>
      </c>
      <c r="U123" s="5510"/>
      <c r="V123" s="2165" t="s">
        <v>2298</v>
      </c>
    </row>
    <row r="124" spans="18:22">
      <c r="R124" s="5916"/>
      <c r="S124" s="5909" t="s">
        <v>248</v>
      </c>
      <c r="T124" s="4051" t="s">
        <v>290</v>
      </c>
      <c r="U124" s="4060" t="s">
        <v>261</v>
      </c>
      <c r="V124" s="4061"/>
    </row>
    <row r="125" spans="18:22" ht="28.8">
      <c r="R125" s="5916"/>
      <c r="S125" s="5909"/>
      <c r="T125" s="4053" t="s">
        <v>280</v>
      </c>
      <c r="U125" s="4054" t="s">
        <v>263</v>
      </c>
      <c r="V125" s="4056" t="s">
        <v>2298</v>
      </c>
    </row>
    <row r="126" spans="18:22">
      <c r="R126" s="5916"/>
      <c r="S126" s="5909"/>
      <c r="T126" s="4053" t="s">
        <v>288</v>
      </c>
      <c r="U126" s="4054" t="s">
        <v>262</v>
      </c>
      <c r="V126" s="4087"/>
    </row>
    <row r="127" spans="18:22" ht="15" customHeight="1">
      <c r="R127" s="5916"/>
      <c r="S127" s="5909"/>
      <c r="T127" s="4053" t="s">
        <v>289</v>
      </c>
      <c r="U127" s="4054" t="s">
        <v>262</v>
      </c>
      <c r="V127" s="4055"/>
    </row>
    <row r="128" spans="18:22">
      <c r="R128" s="5916"/>
      <c r="S128" s="5909"/>
      <c r="T128" s="4053" t="s">
        <v>291</v>
      </c>
      <c r="U128" s="4054" t="s">
        <v>261</v>
      </c>
      <c r="V128" s="4055"/>
    </row>
    <row r="129" spans="18:22">
      <c r="R129" s="5916"/>
      <c r="S129" s="5909"/>
      <c r="T129" s="4053" t="s">
        <v>2622</v>
      </c>
      <c r="U129" s="4054" t="s">
        <v>264</v>
      </c>
      <c r="V129" s="4087"/>
    </row>
    <row r="130" spans="18:22" ht="28.8">
      <c r="R130" s="5916"/>
      <c r="S130" s="5917"/>
      <c r="T130" s="4062" t="s">
        <v>2278</v>
      </c>
      <c r="U130" s="5512"/>
      <c r="V130" s="4064" t="s">
        <v>2298</v>
      </c>
    </row>
    <row r="131" spans="18:22" ht="14.4" customHeight="1">
      <c r="R131" s="5916" t="s">
        <v>2320</v>
      </c>
      <c r="S131" s="5918" t="s">
        <v>2809</v>
      </c>
      <c r="T131" s="4051" t="s">
        <v>292</v>
      </c>
      <c r="U131" s="4051"/>
      <c r="V131" s="4052"/>
    </row>
    <row r="132" spans="18:22">
      <c r="R132" s="5916"/>
      <c r="S132" s="5909"/>
      <c r="T132" s="4053" t="s">
        <v>293</v>
      </c>
      <c r="U132" s="4054"/>
      <c r="V132" s="4055"/>
    </row>
    <row r="133" spans="18:22">
      <c r="R133" s="5916"/>
      <c r="S133" s="5909"/>
      <c r="T133" s="4053" t="s">
        <v>1817</v>
      </c>
      <c r="U133" s="4054"/>
      <c r="V133" s="4092" t="s">
        <v>2321</v>
      </c>
    </row>
    <row r="134" spans="18:22">
      <c r="R134" s="5916"/>
      <c r="S134" s="5906" t="s">
        <v>247</v>
      </c>
      <c r="T134" s="2162" t="s">
        <v>294</v>
      </c>
      <c r="U134" s="2163" t="s">
        <v>262</v>
      </c>
      <c r="V134" s="2181"/>
    </row>
    <row r="135" spans="18:22">
      <c r="R135" s="5916"/>
      <c r="S135" s="5906"/>
      <c r="T135" s="2162" t="s">
        <v>2322</v>
      </c>
      <c r="U135" s="2163" t="s">
        <v>262</v>
      </c>
      <c r="V135" s="5001"/>
    </row>
    <row r="136" spans="18:22">
      <c r="R136" s="5916"/>
      <c r="S136" s="5906"/>
      <c r="T136" s="2162" t="s">
        <v>295</v>
      </c>
      <c r="U136" s="2163" t="s">
        <v>262</v>
      </c>
      <c r="V136" s="2181"/>
    </row>
    <row r="137" spans="18:22">
      <c r="R137" s="5914"/>
      <c r="S137" s="5906"/>
      <c r="T137" s="2162" t="s">
        <v>480</v>
      </c>
      <c r="U137" s="2163" t="s">
        <v>263</v>
      </c>
      <c r="V137" s="2169"/>
    </row>
    <row r="138" spans="18:22">
      <c r="R138" s="5914"/>
      <c r="S138" s="5906"/>
      <c r="T138" s="2178" t="s">
        <v>2313</v>
      </c>
      <c r="U138" s="2163" t="s">
        <v>263</v>
      </c>
      <c r="V138" s="2182" t="s">
        <v>2321</v>
      </c>
    </row>
    <row r="139" spans="18:22">
      <c r="R139" s="5914"/>
      <c r="S139" s="5909" t="s">
        <v>248</v>
      </c>
      <c r="T139" s="4053" t="s">
        <v>296</v>
      </c>
      <c r="U139" s="4054" t="s">
        <v>261</v>
      </c>
      <c r="V139" s="4093"/>
    </row>
    <row r="140" spans="18:22">
      <c r="R140" s="5914"/>
      <c r="S140" s="5909"/>
      <c r="T140" s="4053" t="s">
        <v>2323</v>
      </c>
      <c r="U140" s="4054" t="s">
        <v>262</v>
      </c>
      <c r="V140" s="4093"/>
    </row>
    <row r="141" spans="18:22">
      <c r="R141" s="5914"/>
      <c r="S141" s="5909"/>
      <c r="T141" s="4094" t="s">
        <v>2319</v>
      </c>
      <c r="U141" s="4054" t="s">
        <v>264</v>
      </c>
      <c r="V141" s="4092" t="s">
        <v>2321</v>
      </c>
    </row>
    <row r="142" spans="18:22" ht="43.2">
      <c r="R142" s="5915"/>
      <c r="S142" s="5917"/>
      <c r="T142" s="4062" t="s">
        <v>410</v>
      </c>
      <c r="U142" s="4063" t="s">
        <v>262</v>
      </c>
      <c r="V142" s="4064" t="s">
        <v>2623</v>
      </c>
    </row>
    <row r="143" spans="18:22">
      <c r="R143" s="5913" t="s">
        <v>2616</v>
      </c>
      <c r="S143" s="5516" t="s">
        <v>2809</v>
      </c>
      <c r="T143" s="4079" t="s">
        <v>1817</v>
      </c>
      <c r="U143" s="4080"/>
      <c r="V143" s="4095"/>
    </row>
    <row r="144" spans="18:22">
      <c r="R144" s="5914"/>
      <c r="S144" s="5511" t="s">
        <v>247</v>
      </c>
      <c r="T144" s="2178" t="s">
        <v>2313</v>
      </c>
      <c r="U144" s="2163" t="s">
        <v>263</v>
      </c>
      <c r="V144" s="4056"/>
    </row>
    <row r="145" spans="18:22">
      <c r="R145" s="5915"/>
      <c r="S145" s="5512" t="s">
        <v>248</v>
      </c>
      <c r="T145" s="4090" t="s">
        <v>2319</v>
      </c>
      <c r="U145" s="4063" t="s">
        <v>263</v>
      </c>
      <c r="V145" s="4064"/>
    </row>
    <row r="146" spans="18:22" ht="14.4" customHeight="1">
      <c r="R146" s="4047"/>
      <c r="S146" s="4047"/>
      <c r="T146" s="1894"/>
      <c r="U146" s="5901" t="s">
        <v>2620</v>
      </c>
      <c r="V146" s="5901"/>
    </row>
    <row r="147" spans="18:22">
      <c r="R147" s="4071"/>
      <c r="S147" s="4071"/>
      <c r="T147" s="1894"/>
      <c r="U147" s="5901"/>
      <c r="V147" s="5901"/>
    </row>
    <row r="148" spans="18:22">
      <c r="R148" s="1894"/>
      <c r="S148" s="1894"/>
      <c r="T148" s="1894"/>
      <c r="U148" s="4829"/>
      <c r="V148" s="4829"/>
    </row>
    <row r="149" spans="18:22" ht="15" customHeight="1">
      <c r="R149" s="1896"/>
      <c r="S149" s="1896"/>
      <c r="T149" s="1896"/>
      <c r="U149" s="1896"/>
      <c r="V149" s="1896"/>
    </row>
    <row r="150" spans="18:22" ht="15.6">
      <c r="R150" s="1895"/>
      <c r="S150" s="1895"/>
      <c r="T150" s="2176"/>
      <c r="U150" s="5549"/>
      <c r="V150" s="5550" t="s">
        <v>3000</v>
      </c>
    </row>
    <row r="151" spans="18:22" ht="15" thickBot="1">
      <c r="R151" s="2183" t="s">
        <v>69</v>
      </c>
      <c r="S151" s="2183" t="s">
        <v>457</v>
      </c>
      <c r="T151" s="2184" t="s">
        <v>2579</v>
      </c>
      <c r="U151" s="2185" t="s">
        <v>2286</v>
      </c>
      <c r="V151" s="2185" t="s">
        <v>2287</v>
      </c>
    </row>
    <row r="152" spans="18:22" ht="43.2">
      <c r="R152" s="5551" t="s">
        <v>2320</v>
      </c>
      <c r="S152" s="2186" t="s">
        <v>248</v>
      </c>
      <c r="T152" s="2172" t="s">
        <v>410</v>
      </c>
      <c r="U152" s="2173" t="s">
        <v>262</v>
      </c>
      <c r="V152" s="2174" t="s">
        <v>2623</v>
      </c>
    </row>
    <row r="153" spans="18:22" ht="14.4" customHeight="1">
      <c r="R153" s="1896"/>
      <c r="S153" s="1896"/>
      <c r="T153" s="1896"/>
      <c r="U153" s="5911" t="s">
        <v>2620</v>
      </c>
      <c r="V153" s="5911"/>
    </row>
    <row r="154" spans="18:22">
      <c r="R154" s="1896"/>
      <c r="S154" s="1896"/>
      <c r="T154" s="1896"/>
      <c r="U154" s="5912"/>
      <c r="V154" s="5912"/>
    </row>
    <row r="155" spans="18:22" ht="15" customHeight="1">
      <c r="R155" s="1896"/>
      <c r="S155" s="1896"/>
      <c r="T155" s="1896"/>
      <c r="U155" s="4829"/>
      <c r="V155" s="4829"/>
    </row>
    <row r="156" spans="18:22">
      <c r="R156" s="1896"/>
      <c r="S156" s="1896"/>
      <c r="T156" s="1896"/>
      <c r="U156" s="1896"/>
      <c r="V156" s="1896"/>
    </row>
    <row r="157" spans="18:22" ht="15.6">
      <c r="R157" s="4047"/>
      <c r="S157" s="4047"/>
      <c r="T157" s="4073"/>
      <c r="U157" s="5544"/>
      <c r="V157" s="5552" t="s">
        <v>3001</v>
      </c>
    </row>
    <row r="158" spans="18:22" ht="15" thickBot="1">
      <c r="R158" s="4096" t="s">
        <v>69</v>
      </c>
      <c r="S158" s="4097" t="s">
        <v>457</v>
      </c>
      <c r="T158" s="4097" t="s">
        <v>2808</v>
      </c>
      <c r="U158" s="4098" t="s">
        <v>2286</v>
      </c>
      <c r="V158" s="4097" t="s">
        <v>2287</v>
      </c>
    </row>
    <row r="159" spans="18:22" ht="14.4" customHeight="1">
      <c r="R159" s="5907" t="s">
        <v>2293</v>
      </c>
      <c r="S159" s="5514" t="s">
        <v>2809</v>
      </c>
      <c r="T159" s="4051" t="s">
        <v>2324</v>
      </c>
      <c r="U159" s="4051"/>
      <c r="V159" s="4052"/>
    </row>
    <row r="160" spans="18:22">
      <c r="R160" s="5903"/>
      <c r="S160" s="5922" t="s">
        <v>247</v>
      </c>
      <c r="T160" s="2162" t="s">
        <v>297</v>
      </c>
      <c r="U160" s="2163" t="s">
        <v>263</v>
      </c>
      <c r="V160" s="2164"/>
    </row>
    <row r="161" spans="18:22">
      <c r="R161" s="5903"/>
      <c r="S161" s="5923"/>
      <c r="T161" s="2162" t="s">
        <v>2325</v>
      </c>
      <c r="U161" s="2163" t="s">
        <v>262</v>
      </c>
      <c r="V161" s="2164"/>
    </row>
    <row r="162" spans="18:22">
      <c r="R162" s="5903"/>
      <c r="S162" s="5923"/>
      <c r="T162" s="2162" t="s">
        <v>298</v>
      </c>
      <c r="U162" s="2163" t="s">
        <v>262</v>
      </c>
      <c r="V162" s="2164"/>
    </row>
    <row r="163" spans="18:22">
      <c r="R163" s="5903"/>
      <c r="S163" s="5923"/>
      <c r="T163" s="2162" t="s">
        <v>411</v>
      </c>
      <c r="U163" s="2163" t="s">
        <v>263</v>
      </c>
      <c r="V163" s="2164"/>
    </row>
    <row r="164" spans="18:22">
      <c r="R164" s="5903"/>
      <c r="S164" s="5923"/>
      <c r="T164" s="2162" t="s">
        <v>299</v>
      </c>
      <c r="U164" s="2163" t="s">
        <v>2326</v>
      </c>
      <c r="V164" s="2164"/>
    </row>
    <row r="165" spans="18:22">
      <c r="R165" s="5903"/>
      <c r="S165" s="5923"/>
      <c r="T165" s="2162" t="s">
        <v>2327</v>
      </c>
      <c r="U165" s="2163" t="s">
        <v>262</v>
      </c>
      <c r="V165" s="2164"/>
    </row>
    <row r="166" spans="18:22">
      <c r="R166" s="5903"/>
      <c r="S166" s="5923"/>
      <c r="T166" s="2162" t="s">
        <v>2282</v>
      </c>
      <c r="U166" s="2163" t="s">
        <v>2326</v>
      </c>
      <c r="V166" s="2164"/>
    </row>
    <row r="167" spans="18:22">
      <c r="R167" s="5903"/>
      <c r="S167" s="5923"/>
      <c r="T167" s="2162" t="s">
        <v>2328</v>
      </c>
      <c r="U167" s="2163" t="s">
        <v>262</v>
      </c>
      <c r="V167" s="2170"/>
    </row>
    <row r="168" spans="18:22">
      <c r="R168" s="5903"/>
      <c r="S168" s="5923"/>
      <c r="T168" s="2162" t="s">
        <v>2329</v>
      </c>
      <c r="U168" s="2187"/>
      <c r="V168" s="2188"/>
    </row>
    <row r="169" spans="18:22" ht="28.8">
      <c r="R169" s="5903"/>
      <c r="S169" s="5923"/>
      <c r="T169" s="2162" t="s">
        <v>276</v>
      </c>
      <c r="U169" s="2163" t="s">
        <v>262</v>
      </c>
      <c r="V169" s="2165" t="s">
        <v>2298</v>
      </c>
    </row>
    <row r="170" spans="18:22" ht="28.8">
      <c r="R170" s="5903"/>
      <c r="S170" s="5924"/>
      <c r="T170" s="2162" t="s">
        <v>2278</v>
      </c>
      <c r="U170" s="2163"/>
      <c r="V170" s="2165" t="s">
        <v>2298</v>
      </c>
    </row>
    <row r="171" spans="18:22" ht="28.8">
      <c r="R171" s="5903"/>
      <c r="S171" s="5909" t="s">
        <v>248</v>
      </c>
      <c r="T171" s="4053" t="s">
        <v>280</v>
      </c>
      <c r="U171" s="4054" t="s">
        <v>263</v>
      </c>
      <c r="V171" s="4056" t="s">
        <v>2298</v>
      </c>
    </row>
    <row r="172" spans="18:22" ht="15" customHeight="1">
      <c r="R172" s="5903"/>
      <c r="S172" s="5909"/>
      <c r="T172" s="4053" t="s">
        <v>301</v>
      </c>
      <c r="U172" s="4054" t="s">
        <v>262</v>
      </c>
      <c r="V172" s="4055"/>
    </row>
    <row r="173" spans="18:22">
      <c r="R173" s="5903"/>
      <c r="S173" s="5909"/>
      <c r="T173" s="4053" t="s">
        <v>302</v>
      </c>
      <c r="U173" s="4054" t="s">
        <v>263</v>
      </c>
      <c r="V173" s="4056"/>
    </row>
    <row r="174" spans="18:22">
      <c r="R174" s="5903"/>
      <c r="S174" s="5909"/>
      <c r="T174" s="4053" t="s">
        <v>288</v>
      </c>
      <c r="U174" s="4054" t="s">
        <v>264</v>
      </c>
      <c r="V174" s="4058"/>
    </row>
    <row r="175" spans="18:22">
      <c r="R175" s="5903"/>
      <c r="S175" s="5909"/>
      <c r="T175" s="4053" t="s">
        <v>2407</v>
      </c>
      <c r="U175" s="4054" t="s">
        <v>264</v>
      </c>
      <c r="V175" s="4099" t="s">
        <v>3007</v>
      </c>
    </row>
    <row r="176" spans="18:22" ht="28.8">
      <c r="R176" s="5904"/>
      <c r="S176" s="5917"/>
      <c r="T176" s="4062" t="s">
        <v>2278</v>
      </c>
      <c r="U176" s="4063"/>
      <c r="V176" s="4064" t="s">
        <v>2298</v>
      </c>
    </row>
    <row r="177" spans="18:22" ht="14.4" customHeight="1">
      <c r="R177" s="5913" t="s">
        <v>2320</v>
      </c>
      <c r="S177" s="5511" t="s">
        <v>2809</v>
      </c>
      <c r="T177" s="4053" t="s">
        <v>2330</v>
      </c>
      <c r="U177" s="4054"/>
      <c r="V177" s="4086"/>
    </row>
    <row r="178" spans="18:22">
      <c r="R178" s="5914"/>
      <c r="S178" s="5906" t="s">
        <v>247</v>
      </c>
      <c r="T178" s="2162" t="s">
        <v>2331</v>
      </c>
      <c r="U178" s="2163" t="s">
        <v>263</v>
      </c>
      <c r="V178" s="2189"/>
    </row>
    <row r="179" spans="18:22">
      <c r="R179" s="5914"/>
      <c r="S179" s="5906"/>
      <c r="T179" s="2190" t="s">
        <v>343</v>
      </c>
      <c r="U179" s="2163"/>
      <c r="V179" s="2164"/>
    </row>
    <row r="180" spans="18:22">
      <c r="R180" s="5914"/>
      <c r="S180" s="5906"/>
      <c r="T180" s="2162" t="s">
        <v>304</v>
      </c>
      <c r="U180" s="2163" t="s">
        <v>263</v>
      </c>
      <c r="V180" s="2164"/>
    </row>
    <row r="181" spans="18:22">
      <c r="R181" s="5914"/>
      <c r="S181" s="5906"/>
      <c r="T181" s="2162" t="s">
        <v>305</v>
      </c>
      <c r="U181" s="2163" t="s">
        <v>262</v>
      </c>
      <c r="V181" s="2164"/>
    </row>
    <row r="182" spans="18:22">
      <c r="R182" s="5914"/>
      <c r="S182" s="5906"/>
      <c r="T182" s="2162" t="s">
        <v>306</v>
      </c>
      <c r="U182" s="2163" t="s">
        <v>263</v>
      </c>
      <c r="V182" s="2171"/>
    </row>
    <row r="183" spans="18:22">
      <c r="R183" s="5914"/>
      <c r="S183" s="5906"/>
      <c r="T183" s="2162" t="s">
        <v>3931</v>
      </c>
      <c r="U183" s="2163" t="s">
        <v>262</v>
      </c>
      <c r="V183" s="2164"/>
    </row>
    <row r="184" spans="18:22">
      <c r="R184" s="5914"/>
      <c r="S184" s="5906"/>
      <c r="T184" s="2162" t="s">
        <v>2332</v>
      </c>
      <c r="U184" s="2163" t="s">
        <v>262</v>
      </c>
      <c r="V184" s="2169"/>
    </row>
    <row r="185" spans="18:22" ht="15" customHeight="1">
      <c r="R185" s="5914"/>
      <c r="S185" s="5906"/>
      <c r="T185" s="2162" t="s">
        <v>672</v>
      </c>
      <c r="U185" s="2163" t="s">
        <v>263</v>
      </c>
      <c r="V185" s="2171"/>
    </row>
    <row r="186" spans="18:22">
      <c r="R186" s="5914"/>
      <c r="S186" s="5906"/>
      <c r="T186" s="2191" t="s">
        <v>2411</v>
      </c>
      <c r="U186" s="2163" t="s">
        <v>264</v>
      </c>
      <c r="V186" s="2171"/>
    </row>
    <row r="187" spans="18:22">
      <c r="R187" s="5914"/>
      <c r="S187" s="5909" t="s">
        <v>248</v>
      </c>
      <c r="T187" s="4053" t="s">
        <v>587</v>
      </c>
      <c r="U187" s="4054" t="s">
        <v>263</v>
      </c>
      <c r="V187" s="4100"/>
    </row>
    <row r="188" spans="18:22">
      <c r="R188" s="5914"/>
      <c r="S188" s="5909"/>
      <c r="T188" s="4053" t="s">
        <v>3931</v>
      </c>
      <c r="U188" s="4054"/>
      <c r="V188" s="5553" t="s">
        <v>3007</v>
      </c>
    </row>
    <row r="189" spans="18:22">
      <c r="R189" s="5914"/>
      <c r="S189" s="5909"/>
      <c r="T189" s="4053" t="s">
        <v>308</v>
      </c>
      <c r="U189" s="4054" t="s">
        <v>262</v>
      </c>
      <c r="V189" s="4086"/>
    </row>
    <row r="190" spans="18:22" ht="14.4" customHeight="1">
      <c r="R190" s="5915"/>
      <c r="S190" s="5917"/>
      <c r="T190" s="4062" t="s">
        <v>410</v>
      </c>
      <c r="U190" s="4063" t="s">
        <v>262</v>
      </c>
      <c r="V190" s="4064" t="s">
        <v>2621</v>
      </c>
    </row>
    <row r="191" spans="18:22">
      <c r="R191" s="5902" t="s">
        <v>2301</v>
      </c>
      <c r="S191" s="5905" t="s">
        <v>247</v>
      </c>
      <c r="T191" s="2192" t="s">
        <v>309</v>
      </c>
      <c r="U191" s="2193" t="s">
        <v>262</v>
      </c>
      <c r="V191" s="2194"/>
    </row>
    <row r="192" spans="18:22">
      <c r="R192" s="5903"/>
      <c r="S192" s="5906"/>
      <c r="T192" s="2162" t="s">
        <v>2333</v>
      </c>
      <c r="U192" s="2163" t="s">
        <v>263</v>
      </c>
      <c r="V192" s="2171"/>
    </row>
    <row r="193" spans="18:22">
      <c r="R193" s="5903"/>
      <c r="S193" s="5906"/>
      <c r="T193" s="2162" t="s">
        <v>2334</v>
      </c>
      <c r="U193" s="2163"/>
      <c r="V193" s="2164"/>
    </row>
    <row r="194" spans="18:22" ht="14.4" customHeight="1">
      <c r="R194" s="5904"/>
      <c r="S194" s="5512" t="s">
        <v>248</v>
      </c>
      <c r="T194" s="4062" t="s">
        <v>310</v>
      </c>
      <c r="U194" s="4063" t="s">
        <v>263</v>
      </c>
      <c r="V194" s="4101"/>
    </row>
    <row r="195" spans="18:22">
      <c r="R195" s="1894"/>
      <c r="S195" s="1894"/>
      <c r="T195" s="4071"/>
      <c r="U195" s="5901" t="s">
        <v>2620</v>
      </c>
      <c r="V195" s="5901"/>
    </row>
    <row r="196" spans="18:22">
      <c r="R196" s="4047"/>
      <c r="S196" s="4047"/>
      <c r="T196" s="1894"/>
      <c r="U196" s="5901"/>
      <c r="V196" s="5901"/>
    </row>
    <row r="197" spans="18:22">
      <c r="R197" s="1896"/>
      <c r="S197" s="1896"/>
      <c r="T197" s="1896"/>
      <c r="U197" s="1896"/>
      <c r="V197" s="1896"/>
    </row>
    <row r="198" spans="18:22">
      <c r="R198" s="1896"/>
      <c r="S198" s="1896"/>
      <c r="T198" s="1896"/>
      <c r="U198" s="1896"/>
      <c r="V198" s="1896"/>
    </row>
    <row r="199" spans="18:22" ht="15.6">
      <c r="R199" s="4102"/>
      <c r="S199" s="4102"/>
      <c r="T199" s="4103"/>
      <c r="U199" s="5554"/>
      <c r="V199" s="5555" t="s">
        <v>3008</v>
      </c>
    </row>
    <row r="200" spans="18:22" ht="15" thickBot="1">
      <c r="R200" s="2195" t="s">
        <v>69</v>
      </c>
      <c r="S200" s="2195" t="s">
        <v>457</v>
      </c>
      <c r="T200" s="2196" t="s">
        <v>2285</v>
      </c>
      <c r="U200" s="2197" t="s">
        <v>2286</v>
      </c>
      <c r="V200" s="2197" t="s">
        <v>2287</v>
      </c>
    </row>
    <row r="201" spans="18:22" ht="28.8">
      <c r="R201" s="5907" t="s">
        <v>16</v>
      </c>
      <c r="S201" s="5908" t="s">
        <v>247</v>
      </c>
      <c r="T201" s="4051" t="s">
        <v>276</v>
      </c>
      <c r="U201" s="4060"/>
      <c r="V201" s="4061" t="s">
        <v>2298</v>
      </c>
    </row>
    <row r="202" spans="18:22" ht="28.8">
      <c r="R202" s="5903"/>
      <c r="S202" s="5909"/>
      <c r="T202" s="4053" t="s">
        <v>2278</v>
      </c>
      <c r="U202" s="4054"/>
      <c r="V202" s="4056" t="s">
        <v>2298</v>
      </c>
    </row>
    <row r="203" spans="18:22" ht="28.8">
      <c r="R203" s="5903"/>
      <c r="S203" s="5906" t="s">
        <v>248</v>
      </c>
      <c r="T203" s="2162" t="s">
        <v>280</v>
      </c>
      <c r="U203" s="2163" t="s">
        <v>263</v>
      </c>
      <c r="V203" s="2165" t="s">
        <v>2298</v>
      </c>
    </row>
    <row r="204" spans="18:22" ht="28.8">
      <c r="R204" s="5904"/>
      <c r="S204" s="5910"/>
      <c r="T204" s="2166" t="s">
        <v>2278</v>
      </c>
      <c r="U204" s="2167"/>
      <c r="V204" s="2198" t="s">
        <v>2298</v>
      </c>
    </row>
    <row r="205" spans="18:22" ht="14.4" customHeight="1">
      <c r="R205" s="5546" t="s">
        <v>2335</v>
      </c>
      <c r="S205" s="4997" t="s">
        <v>248</v>
      </c>
      <c r="T205" s="4998" t="s">
        <v>410</v>
      </c>
      <c r="U205" s="4999" t="s">
        <v>262</v>
      </c>
      <c r="V205" s="5003" t="s">
        <v>2623</v>
      </c>
    </row>
    <row r="206" spans="18:22">
      <c r="R206" s="1894"/>
      <c r="S206" s="1894"/>
      <c r="T206" s="1894"/>
      <c r="U206" s="5901" t="s">
        <v>2620</v>
      </c>
      <c r="V206" s="5901"/>
    </row>
    <row r="207" spans="18:22">
      <c r="R207" s="4047"/>
      <c r="S207" s="4047"/>
      <c r="T207" s="4071"/>
      <c r="U207" s="5901"/>
      <c r="V207" s="5901"/>
    </row>
  </sheetData>
  <sheetProtection algorithmName="SHA-512" hashValue="skQEtM3il/PdsiTyV5DHftMvagu0VlIDErsptJcoXyoMsirzpJU4ygM3Ba8Of9SknWpARERqAmXzG2kywbSvwA==" saltValue="skJTzRsLJ8S6XoMlfgl4uA==" spinCount="100000" sheet="1" objects="1" scenarios="1"/>
  <mergeCells count="47">
    <mergeCell ref="S178:S186"/>
    <mergeCell ref="R177:R190"/>
    <mergeCell ref="S187:S190"/>
    <mergeCell ref="P3:Q3"/>
    <mergeCell ref="R39:R50"/>
    <mergeCell ref="S39:S45"/>
    <mergeCell ref="S46:S50"/>
    <mergeCell ref="R51:R66"/>
    <mergeCell ref="S51:S54"/>
    <mergeCell ref="S55:S62"/>
    <mergeCell ref="S63:S66"/>
    <mergeCell ref="S67:S68"/>
    <mergeCell ref="R68:R80"/>
    <mergeCell ref="A3:A4"/>
    <mergeCell ref="B3:E3"/>
    <mergeCell ref="F3:J3"/>
    <mergeCell ref="K3:O3"/>
    <mergeCell ref="S160:S170"/>
    <mergeCell ref="S69:S74"/>
    <mergeCell ref="S75:S80"/>
    <mergeCell ref="S109:S115"/>
    <mergeCell ref="R116:R130"/>
    <mergeCell ref="S117:S123"/>
    <mergeCell ref="S124:S130"/>
    <mergeCell ref="U153:V154"/>
    <mergeCell ref="R143:R145"/>
    <mergeCell ref="R159:R176"/>
    <mergeCell ref="U81:V82"/>
    <mergeCell ref="R87:R88"/>
    <mergeCell ref="R90:R93"/>
    <mergeCell ref="S92:S93"/>
    <mergeCell ref="S171:S176"/>
    <mergeCell ref="R131:R142"/>
    <mergeCell ref="S131:S133"/>
    <mergeCell ref="S134:S138"/>
    <mergeCell ref="S139:S142"/>
    <mergeCell ref="U146:V147"/>
    <mergeCell ref="U94:V95"/>
    <mergeCell ref="R100:R115"/>
    <mergeCell ref="S101:S108"/>
    <mergeCell ref="U206:V207"/>
    <mergeCell ref="R191:R194"/>
    <mergeCell ref="S191:S193"/>
    <mergeCell ref="U195:V196"/>
    <mergeCell ref="R201:R204"/>
    <mergeCell ref="S201:S202"/>
    <mergeCell ref="S203:S204"/>
  </mergeCells>
  <pageMargins left="0.70866141732283472" right="0.70866141732283472" top="0.74803149606299213" bottom="0.74803149606299213" header="0.31496062992125984" footer="0.31496062992125984"/>
  <pageSetup scale="76" orientation="landscape"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499984740745262"/>
    <pageSetUpPr fitToPage="1"/>
  </sheetPr>
  <dimension ref="A1:BQ186"/>
  <sheetViews>
    <sheetView showGridLines="0" zoomScaleNormal="100" workbookViewId="0">
      <pane xSplit="3" ySplit="4" topLeftCell="AX5" activePane="bottomRight" state="frozen"/>
      <selection activeCell="AW107" sqref="AW107"/>
      <selection pane="topRight" activeCell="AW107" sqref="AW107"/>
      <selection pane="bottomLeft" activeCell="AW107" sqref="AW107"/>
      <selection pane="bottomRight" activeCell="BQ107" sqref="BQ107"/>
    </sheetView>
  </sheetViews>
  <sheetFormatPr baseColWidth="10" defaultColWidth="11.44140625" defaultRowHeight="11.4"/>
  <cols>
    <col min="1" max="1" width="3.77734375" style="1195" customWidth="1"/>
    <col min="2" max="2" width="33.77734375" style="1212" customWidth="1"/>
    <col min="3" max="3" width="15.77734375" style="1213" customWidth="1"/>
    <col min="4" max="4" width="6.77734375" style="1196" bestFit="1" customWidth="1"/>
    <col min="5" max="11" width="6.77734375" style="1196" customWidth="1"/>
    <col min="12" max="12" width="8" style="1196" customWidth="1"/>
    <col min="13" max="13" width="8.5546875" style="1196" customWidth="1"/>
    <col min="14" max="14" width="7.5546875" style="1196" customWidth="1"/>
    <col min="15" max="15" width="8.44140625" style="1196" bestFit="1" customWidth="1"/>
    <col min="16" max="16" width="8.44140625" style="1196" customWidth="1"/>
    <col min="17" max="17" width="6.77734375" style="1196" customWidth="1"/>
    <col min="18" max="18" width="7.44140625" style="1196" customWidth="1"/>
    <col min="19" max="20" width="6.77734375" style="1196" customWidth="1"/>
    <col min="21" max="21" width="8.77734375" style="1196" customWidth="1"/>
    <col min="22" max="22" width="6.77734375" style="1214" customWidth="1"/>
    <col min="23" max="24" width="6.77734375" style="1196" customWidth="1"/>
    <col min="25" max="25" width="6.77734375" style="1214" customWidth="1"/>
    <col min="26" max="26" width="6.77734375" style="1196" customWidth="1"/>
    <col min="27" max="27" width="7.77734375" style="1196" customWidth="1"/>
    <col min="28" max="31" width="6.77734375" style="1196" customWidth="1"/>
    <col min="32" max="32" width="9.21875" style="1196" customWidth="1"/>
    <col min="33" max="33" width="8" style="1196" customWidth="1"/>
    <col min="34" max="34" width="7.44140625" style="1196" customWidth="1"/>
    <col min="35" max="35" width="8.21875" style="1196" customWidth="1"/>
    <col min="36" max="37" width="6.77734375" style="1196" customWidth="1"/>
    <col min="38" max="38" width="8.77734375" style="1196" customWidth="1"/>
    <col min="39" max="39" width="6.77734375" style="1196" customWidth="1"/>
    <col min="40" max="40" width="6.77734375" style="1196" hidden="1" customWidth="1"/>
    <col min="41" max="58" width="6.77734375" style="1196" customWidth="1"/>
    <col min="59" max="64" width="7.21875" style="1195" customWidth="1"/>
    <col min="65" max="69" width="7.21875" style="1196" customWidth="1"/>
    <col min="70" max="16384" width="11.44140625" style="1196"/>
  </cols>
  <sheetData>
    <row r="1" spans="1:69" ht="18">
      <c r="B1" s="5929" t="s">
        <v>2745</v>
      </c>
      <c r="C1" s="5929"/>
      <c r="D1" s="2509"/>
      <c r="E1" s="2509"/>
      <c r="F1" s="2509"/>
      <c r="G1" s="2509"/>
      <c r="H1" s="2509"/>
      <c r="I1" s="2509"/>
      <c r="J1" s="2509"/>
      <c r="K1" s="2509"/>
      <c r="L1" s="2509"/>
      <c r="M1" s="2509"/>
      <c r="N1" s="2509"/>
      <c r="O1" s="2509"/>
      <c r="P1" s="2509"/>
      <c r="Q1" s="2509"/>
      <c r="R1" s="2509"/>
      <c r="S1" s="2509"/>
      <c r="T1" s="2509"/>
      <c r="U1" s="2509"/>
      <c r="V1" s="2509"/>
      <c r="W1" s="2509"/>
      <c r="X1" s="2509"/>
      <c r="Y1" s="2509"/>
      <c r="Z1" s="2509"/>
      <c r="AA1" s="2509"/>
      <c r="AB1" s="2509"/>
      <c r="AC1" s="2509"/>
      <c r="AD1" s="2509"/>
      <c r="AE1" s="2509"/>
      <c r="AF1" s="2509"/>
      <c r="AG1" s="2509"/>
      <c r="AH1" s="2509"/>
      <c r="AI1" s="2509"/>
      <c r="AJ1" s="2509"/>
      <c r="AK1" s="2509"/>
      <c r="AL1" s="2509"/>
      <c r="AM1" s="2509"/>
      <c r="AN1" s="2509"/>
      <c r="AO1" s="2509"/>
      <c r="AP1" s="2509"/>
      <c r="AQ1" s="2509"/>
      <c r="AR1" s="2509"/>
      <c r="AS1" s="2509"/>
      <c r="AT1" s="2509"/>
      <c r="AU1" s="2509"/>
      <c r="AV1" s="2509"/>
      <c r="AW1" s="2509"/>
      <c r="AX1" s="2509"/>
      <c r="AY1" s="2509"/>
      <c r="AZ1" s="2509"/>
      <c r="BA1" s="2509"/>
      <c r="BB1" s="2509"/>
      <c r="BC1" s="2509"/>
      <c r="BD1" s="2509"/>
      <c r="BE1" s="2509"/>
      <c r="BF1" s="2509"/>
      <c r="BG1" s="2509"/>
      <c r="BH1" s="2509"/>
      <c r="BI1" s="2509"/>
      <c r="BJ1" s="212"/>
    </row>
    <row r="2" spans="1:69" ht="18">
      <c r="B2" s="5929"/>
      <c r="C2" s="5929"/>
      <c r="D2" s="2509"/>
      <c r="E2" s="2509"/>
      <c r="F2" s="2509"/>
      <c r="G2" s="2509"/>
      <c r="H2" s="2509"/>
      <c r="I2" s="2509"/>
      <c r="J2" s="2509"/>
      <c r="K2" s="2509"/>
      <c r="L2" s="2509"/>
      <c r="M2" s="2509"/>
      <c r="N2" s="2509"/>
      <c r="O2" s="2509"/>
      <c r="P2" s="2509"/>
      <c r="Q2" s="2509"/>
      <c r="R2" s="2509"/>
      <c r="S2" s="2509"/>
      <c r="T2" s="2509"/>
      <c r="U2" s="2509"/>
      <c r="V2" s="2509"/>
      <c r="W2" s="2509"/>
      <c r="X2" s="2509"/>
      <c r="Y2" s="2509"/>
      <c r="Z2" s="2509"/>
      <c r="AA2" s="2509"/>
      <c r="AB2" s="2509"/>
      <c r="AC2" s="2509"/>
      <c r="AD2" s="2509"/>
      <c r="AE2" s="2509"/>
      <c r="AF2" s="2509"/>
      <c r="AG2" s="2509"/>
      <c r="AH2" s="2509"/>
      <c r="AI2" s="2509"/>
      <c r="AJ2" s="2509"/>
      <c r="AK2" s="2509"/>
      <c r="AL2" s="2509"/>
      <c r="AM2" s="2509"/>
      <c r="AN2" s="2509"/>
      <c r="AO2" s="2509"/>
      <c r="AP2" s="2509"/>
      <c r="AQ2" s="2509"/>
      <c r="AR2" s="2509"/>
      <c r="AS2" s="2509"/>
      <c r="AT2" s="2509"/>
      <c r="AU2" s="2509"/>
      <c r="AV2" s="2509"/>
      <c r="AW2" s="2509"/>
      <c r="AX2" s="2509"/>
      <c r="AY2" s="2509"/>
      <c r="AZ2" s="2509"/>
      <c r="BA2" s="2509"/>
      <c r="BB2" s="2509"/>
      <c r="BC2" s="2509"/>
      <c r="BD2" s="2509"/>
      <c r="BE2" s="2509"/>
      <c r="BF2" s="2509"/>
      <c r="BG2" s="2509"/>
      <c r="BH2" s="2509"/>
      <c r="BI2" s="2509"/>
      <c r="BJ2" s="212"/>
    </row>
    <row r="3" spans="1:69" ht="14.4">
      <c r="B3" s="172"/>
      <c r="C3" s="1197"/>
      <c r="D3" s="213"/>
      <c r="E3" s="213"/>
      <c r="F3" s="213"/>
      <c r="G3" s="213"/>
      <c r="H3" s="213"/>
      <c r="I3" s="213"/>
      <c r="J3" s="213"/>
      <c r="K3" s="213"/>
      <c r="L3" s="213"/>
      <c r="M3" s="213"/>
      <c r="N3" s="213"/>
      <c r="O3" s="213"/>
      <c r="P3" s="213"/>
      <c r="Q3" s="213"/>
      <c r="R3" s="213"/>
      <c r="S3" s="213"/>
      <c r="T3" s="213"/>
      <c r="U3" s="213"/>
      <c r="V3" s="214"/>
      <c r="W3" s="213"/>
      <c r="X3" s="213"/>
      <c r="Y3" s="214"/>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2"/>
      <c r="BH3" s="1198"/>
      <c r="BI3" s="212"/>
      <c r="BJ3" s="212"/>
    </row>
    <row r="4" spans="1:69" s="1202" customFormat="1" ht="84">
      <c r="A4" s="1199"/>
      <c r="B4" s="1200" t="s">
        <v>189</v>
      </c>
      <c r="C4" s="1618" t="s">
        <v>1663</v>
      </c>
      <c r="D4" s="1619" t="s">
        <v>559</v>
      </c>
      <c r="E4" s="1619" t="s">
        <v>851</v>
      </c>
      <c r="F4" s="1619" t="s">
        <v>852</v>
      </c>
      <c r="G4" s="1620" t="s">
        <v>853</v>
      </c>
      <c r="H4" s="1619" t="s">
        <v>560</v>
      </c>
      <c r="I4" s="1619" t="s">
        <v>561</v>
      </c>
      <c r="J4" s="1619" t="s">
        <v>562</v>
      </c>
      <c r="K4" s="1619" t="s">
        <v>563</v>
      </c>
      <c r="L4" s="1619" t="s">
        <v>564</v>
      </c>
      <c r="M4" s="1619" t="s">
        <v>565</v>
      </c>
      <c r="N4" s="1619" t="s">
        <v>566</v>
      </c>
      <c r="O4" s="1619" t="s">
        <v>567</v>
      </c>
      <c r="P4" s="1619" t="s">
        <v>568</v>
      </c>
      <c r="Q4" s="1619" t="s">
        <v>569</v>
      </c>
      <c r="R4" s="1619" t="s">
        <v>570</v>
      </c>
      <c r="S4" s="1619" t="s">
        <v>571</v>
      </c>
      <c r="T4" s="1619" t="s">
        <v>572</v>
      </c>
      <c r="U4" s="1619" t="s">
        <v>854</v>
      </c>
      <c r="V4" s="1619" t="s">
        <v>573</v>
      </c>
      <c r="W4" s="1619" t="s">
        <v>574</v>
      </c>
      <c r="X4" s="1619" t="s">
        <v>575</v>
      </c>
      <c r="Y4" s="1619" t="s">
        <v>576</v>
      </c>
      <c r="Z4" s="1619" t="s">
        <v>577</v>
      </c>
      <c r="AA4" s="1619" t="s">
        <v>578</v>
      </c>
      <c r="AB4" s="1619" t="s">
        <v>393</v>
      </c>
      <c r="AC4" s="1619" t="s">
        <v>394</v>
      </c>
      <c r="AD4" s="1619" t="s">
        <v>395</v>
      </c>
      <c r="AE4" s="1619" t="s">
        <v>579</v>
      </c>
      <c r="AF4" s="1619" t="s">
        <v>580</v>
      </c>
      <c r="AG4" s="1619" t="s">
        <v>581</v>
      </c>
      <c r="AH4" s="1619" t="s">
        <v>661</v>
      </c>
      <c r="AI4" s="1619" t="s">
        <v>662</v>
      </c>
      <c r="AJ4" s="1619" t="s">
        <v>663</v>
      </c>
      <c r="AK4" s="1619" t="s">
        <v>711</v>
      </c>
      <c r="AL4" s="1619" t="s">
        <v>716</v>
      </c>
      <c r="AM4" s="1619" t="s">
        <v>805</v>
      </c>
      <c r="AN4" s="1621" t="s">
        <v>1664</v>
      </c>
      <c r="AO4" s="1619" t="s">
        <v>1664</v>
      </c>
      <c r="AP4" s="1619" t="s">
        <v>1665</v>
      </c>
      <c r="AQ4" s="1619" t="s">
        <v>1666</v>
      </c>
      <c r="AR4" s="1619" t="s">
        <v>1667</v>
      </c>
      <c r="AS4" s="1619" t="s">
        <v>1671</v>
      </c>
      <c r="AT4" s="3920" t="s">
        <v>1898</v>
      </c>
      <c r="AU4" s="3920" t="s">
        <v>1918</v>
      </c>
      <c r="AV4" s="3920" t="s">
        <v>2393</v>
      </c>
      <c r="AW4" s="3920" t="s">
        <v>1699</v>
      </c>
      <c r="AX4" s="1622" t="s">
        <v>2408</v>
      </c>
      <c r="AY4" s="1622" t="s">
        <v>2396</v>
      </c>
      <c r="AZ4" s="1622" t="s">
        <v>2399</v>
      </c>
      <c r="BA4" s="1622" t="s">
        <v>2773</v>
      </c>
      <c r="BB4" s="1622" t="s">
        <v>2649</v>
      </c>
      <c r="BC4" s="2218" t="s">
        <v>2974</v>
      </c>
      <c r="BD4" s="3922" t="s">
        <v>2975</v>
      </c>
      <c r="BE4" s="3922" t="s">
        <v>2976</v>
      </c>
      <c r="BF4" s="2218" t="s">
        <v>2977</v>
      </c>
      <c r="BG4" s="183" t="s">
        <v>2792</v>
      </c>
      <c r="BH4" s="183" t="s">
        <v>2793</v>
      </c>
      <c r="BI4" s="183" t="s">
        <v>2794</v>
      </c>
      <c r="BJ4" s="183" t="s">
        <v>2795</v>
      </c>
      <c r="BK4" s="183" t="s">
        <v>2796</v>
      </c>
      <c r="BL4" s="183" t="s">
        <v>2797</v>
      </c>
      <c r="BM4" s="183" t="s">
        <v>2798</v>
      </c>
      <c r="BN4" s="183" t="s">
        <v>2799</v>
      </c>
      <c r="BO4" s="3914" t="s">
        <v>2800</v>
      </c>
      <c r="BP4" s="3914" t="s">
        <v>2801</v>
      </c>
      <c r="BQ4" s="168" t="s">
        <v>2979</v>
      </c>
    </row>
    <row r="5" spans="1:69" ht="14.4">
      <c r="B5" s="1623" t="s">
        <v>370</v>
      </c>
      <c r="C5" s="1624"/>
      <c r="D5" s="1625"/>
      <c r="E5" s="1625"/>
      <c r="F5" s="1625"/>
      <c r="G5" s="1625"/>
      <c r="H5" s="1625"/>
      <c r="I5" s="1625"/>
      <c r="J5" s="1625"/>
      <c r="K5" s="1625"/>
      <c r="L5" s="1625"/>
      <c r="M5" s="1625"/>
      <c r="N5" s="1625"/>
      <c r="O5" s="1625"/>
      <c r="P5" s="1625"/>
      <c r="Q5" s="1625"/>
      <c r="R5" s="1625"/>
      <c r="S5" s="1625"/>
      <c r="T5" s="1625"/>
      <c r="U5" s="1625"/>
      <c r="V5" s="1626"/>
      <c r="W5" s="1625"/>
      <c r="X5" s="1625"/>
      <c r="Y5" s="1626"/>
      <c r="Z5" s="1625"/>
      <c r="AA5" s="1625"/>
      <c r="AB5" s="1625"/>
      <c r="AC5" s="1625"/>
      <c r="AD5" s="1625"/>
      <c r="AE5" s="1625"/>
      <c r="AF5" s="1625"/>
      <c r="AG5" s="1625"/>
      <c r="AH5" s="1625"/>
      <c r="AI5" s="1625"/>
      <c r="AJ5" s="1625"/>
      <c r="AK5" s="1625"/>
      <c r="AL5" s="1625"/>
      <c r="AM5" s="1625"/>
      <c r="AN5" s="1625"/>
      <c r="AO5" s="1625"/>
      <c r="AP5" s="1625"/>
      <c r="AQ5" s="1625"/>
      <c r="AR5" s="1628"/>
      <c r="AS5" s="1628"/>
      <c r="AT5" s="1628"/>
      <c r="AU5" s="1628"/>
      <c r="AV5" s="1628"/>
      <c r="AW5" s="1628"/>
      <c r="AX5" s="1628"/>
      <c r="AY5" s="1628"/>
      <c r="AZ5" s="1628"/>
      <c r="BA5" s="3915"/>
      <c r="BB5" s="3915"/>
      <c r="BC5" s="4896"/>
      <c r="BD5" s="4896"/>
      <c r="BE5" s="4896"/>
      <c r="BF5" s="4896"/>
      <c r="BG5" s="1627"/>
      <c r="BH5" s="1627"/>
      <c r="BI5" s="1627"/>
      <c r="BJ5" s="1627"/>
      <c r="BK5" s="1627"/>
      <c r="BL5" s="1627"/>
      <c r="BM5" s="1627"/>
      <c r="BN5" s="1627"/>
      <c r="BO5" s="1627"/>
      <c r="BP5" s="1627"/>
      <c r="BQ5" s="4909"/>
    </row>
    <row r="6" spans="1:69" ht="22.05" customHeight="1">
      <c r="A6" s="1203">
        <v>1</v>
      </c>
      <c r="B6" s="3201" t="s">
        <v>855</v>
      </c>
      <c r="C6" s="3202" t="s">
        <v>1667</v>
      </c>
      <c r="D6" s="3203"/>
      <c r="E6" s="3203"/>
      <c r="F6" s="3204" t="s">
        <v>205</v>
      </c>
      <c r="G6" s="3203"/>
      <c r="H6" s="3203"/>
      <c r="I6" s="3204" t="s">
        <v>235</v>
      </c>
      <c r="J6" s="3203"/>
      <c r="K6" s="3203"/>
      <c r="L6" s="3203"/>
      <c r="M6" s="3204" t="s">
        <v>204</v>
      </c>
      <c r="N6" s="3204" t="s">
        <v>249</v>
      </c>
      <c r="O6" s="3203"/>
      <c r="P6" s="3203"/>
      <c r="Q6" s="3204" t="s">
        <v>856</v>
      </c>
      <c r="R6" s="3203" t="s">
        <v>202</v>
      </c>
      <c r="S6" s="3203"/>
      <c r="T6" s="3203"/>
      <c r="U6" s="3204" t="s">
        <v>857</v>
      </c>
      <c r="V6" s="3204" t="s">
        <v>858</v>
      </c>
      <c r="W6" s="3203"/>
      <c r="X6" s="3203"/>
      <c r="Y6" s="3203"/>
      <c r="Z6" s="3203"/>
      <c r="AA6" s="3203"/>
      <c r="AB6" s="3203"/>
      <c r="AC6" s="3203"/>
      <c r="AD6" s="3204" t="s">
        <v>859</v>
      </c>
      <c r="AE6" s="3205"/>
      <c r="AF6" s="3205"/>
      <c r="AG6" s="3206"/>
      <c r="AH6" s="3207" t="s">
        <v>860</v>
      </c>
      <c r="AI6" s="3203"/>
      <c r="AJ6" s="3203"/>
      <c r="AK6" s="3203"/>
      <c r="AL6" s="3203"/>
      <c r="AM6" s="3203"/>
      <c r="AN6" s="3203"/>
      <c r="AO6" s="3203"/>
      <c r="AP6" s="3203"/>
      <c r="AQ6" s="3208" t="s">
        <v>1668</v>
      </c>
      <c r="AR6" s="3203"/>
      <c r="AS6" s="3203"/>
      <c r="AT6" s="3203"/>
      <c r="AU6" s="3203"/>
      <c r="AV6" s="3203"/>
      <c r="AW6" s="3203"/>
      <c r="AX6" s="3203"/>
      <c r="AY6" s="3203"/>
      <c r="AZ6" s="3203"/>
      <c r="BA6" s="3203"/>
      <c r="BB6" s="3203"/>
      <c r="BC6" s="4895" t="s">
        <v>2978</v>
      </c>
      <c r="BD6" s="3203"/>
      <c r="BE6" s="3203"/>
      <c r="BF6" s="3203"/>
      <c r="BG6" s="3209">
        <v>1</v>
      </c>
      <c r="BH6" s="3210">
        <v>1</v>
      </c>
      <c r="BI6" s="3210">
        <v>1</v>
      </c>
      <c r="BJ6" s="3210">
        <v>1</v>
      </c>
      <c r="BK6" s="3210">
        <v>1</v>
      </c>
      <c r="BL6" s="3210">
        <v>1</v>
      </c>
      <c r="BM6" s="3210">
        <v>1</v>
      </c>
      <c r="BN6" s="3210">
        <v>1</v>
      </c>
      <c r="BO6" s="3210"/>
      <c r="BP6" s="3210"/>
      <c r="BQ6" s="3210">
        <v>1</v>
      </c>
    </row>
    <row r="7" spans="1:69" ht="22.05" customHeight="1">
      <c r="A7" s="1203">
        <v>2</v>
      </c>
      <c r="B7" s="3211" t="s">
        <v>861</v>
      </c>
      <c r="C7" s="3212" t="s">
        <v>1667</v>
      </c>
      <c r="D7" s="3213" t="s">
        <v>239</v>
      </c>
      <c r="E7" s="3214"/>
      <c r="F7" s="3213" t="s">
        <v>205</v>
      </c>
      <c r="G7" s="3214"/>
      <c r="H7" s="3214"/>
      <c r="I7" s="3213" t="s">
        <v>235</v>
      </c>
      <c r="J7" s="3214"/>
      <c r="K7" s="3214"/>
      <c r="L7" s="3214"/>
      <c r="M7" s="3214"/>
      <c r="N7" s="3213" t="s">
        <v>249</v>
      </c>
      <c r="O7" s="3214"/>
      <c r="P7" s="3214"/>
      <c r="Q7" s="3213" t="s">
        <v>856</v>
      </c>
      <c r="R7" s="3213" t="s">
        <v>862</v>
      </c>
      <c r="S7" s="3214"/>
      <c r="T7" s="3214" t="s">
        <v>203</v>
      </c>
      <c r="U7" s="3213" t="s">
        <v>857</v>
      </c>
      <c r="V7" s="3213" t="s">
        <v>207</v>
      </c>
      <c r="W7" s="3214"/>
      <c r="X7" s="3214"/>
      <c r="Y7" s="3214"/>
      <c r="Z7" s="3214"/>
      <c r="AA7" s="3214"/>
      <c r="AB7" s="3214"/>
      <c r="AC7" s="3214"/>
      <c r="AD7" s="3213" t="s">
        <v>859</v>
      </c>
      <c r="AE7" s="3215"/>
      <c r="AF7" s="3215"/>
      <c r="AG7" s="3216"/>
      <c r="AH7" s="3217" t="s">
        <v>863</v>
      </c>
      <c r="AI7" s="3214"/>
      <c r="AJ7" s="3214"/>
      <c r="AK7" s="3214"/>
      <c r="AL7" s="3214"/>
      <c r="AM7" s="3214"/>
      <c r="AN7" s="3214"/>
      <c r="AO7" s="3214"/>
      <c r="AP7" s="3214"/>
      <c r="AQ7" s="3218" t="s">
        <v>1668</v>
      </c>
      <c r="AR7" s="3214"/>
      <c r="AS7" s="3214"/>
      <c r="AT7" s="3214"/>
      <c r="AU7" s="3214"/>
      <c r="AV7" s="3214"/>
      <c r="AW7" s="3214"/>
      <c r="AX7" s="3214"/>
      <c r="AY7" s="3214"/>
      <c r="AZ7" s="3214"/>
      <c r="BA7" s="3214"/>
      <c r="BB7" s="3214"/>
      <c r="BC7" s="4895" t="s">
        <v>2978</v>
      </c>
      <c r="BD7" s="3214"/>
      <c r="BE7" s="3214"/>
      <c r="BF7" s="3214"/>
      <c r="BG7" s="3219">
        <v>1</v>
      </c>
      <c r="BH7" s="3220">
        <v>1</v>
      </c>
      <c r="BI7" s="3220">
        <v>1</v>
      </c>
      <c r="BJ7" s="3220">
        <v>1</v>
      </c>
      <c r="BK7" s="3220">
        <v>1</v>
      </c>
      <c r="BL7" s="3220">
        <v>1</v>
      </c>
      <c r="BM7" s="3220">
        <v>1</v>
      </c>
      <c r="BN7" s="3220">
        <v>1</v>
      </c>
      <c r="BO7" s="3220"/>
      <c r="BP7" s="3220"/>
      <c r="BQ7" s="3220">
        <v>1</v>
      </c>
    </row>
    <row r="8" spans="1:69" ht="22.05" customHeight="1">
      <c r="A8" s="1203">
        <v>3</v>
      </c>
      <c r="B8" s="3211" t="s">
        <v>864</v>
      </c>
      <c r="C8" s="3212" t="s">
        <v>1667</v>
      </c>
      <c r="D8" s="3213" t="s">
        <v>239</v>
      </c>
      <c r="E8" s="3214"/>
      <c r="F8" s="3213" t="s">
        <v>205</v>
      </c>
      <c r="G8" s="3214"/>
      <c r="H8" s="3214"/>
      <c r="I8" s="3214"/>
      <c r="J8" s="3214"/>
      <c r="K8" s="3214"/>
      <c r="L8" s="3214"/>
      <c r="M8" s="3213" t="s">
        <v>204</v>
      </c>
      <c r="N8" s="3213" t="s">
        <v>249</v>
      </c>
      <c r="O8" s="3214"/>
      <c r="P8" s="3214"/>
      <c r="Q8" s="3213" t="s">
        <v>856</v>
      </c>
      <c r="R8" s="3213" t="s">
        <v>862</v>
      </c>
      <c r="S8" s="3214"/>
      <c r="T8" s="3214"/>
      <c r="U8" s="3213" t="s">
        <v>857</v>
      </c>
      <c r="V8" s="3213" t="s">
        <v>207</v>
      </c>
      <c r="W8" s="3214"/>
      <c r="X8" s="3214"/>
      <c r="Y8" s="3214"/>
      <c r="Z8" s="3214"/>
      <c r="AA8" s="3214"/>
      <c r="AB8" s="3214"/>
      <c r="AC8" s="3214"/>
      <c r="AD8" s="3213" t="s">
        <v>859</v>
      </c>
      <c r="AE8" s="3215"/>
      <c r="AF8" s="3215"/>
      <c r="AG8" s="3216"/>
      <c r="AH8" s="3216"/>
      <c r="AI8" s="3217" t="s">
        <v>865</v>
      </c>
      <c r="AJ8" s="3216"/>
      <c r="AK8" s="3216"/>
      <c r="AL8" s="3216"/>
      <c r="AM8" s="3216"/>
      <c r="AN8" s="3216"/>
      <c r="AO8" s="3216"/>
      <c r="AP8" s="3216"/>
      <c r="AQ8" s="3218" t="s">
        <v>1668</v>
      </c>
      <c r="AR8" s="3214"/>
      <c r="AS8" s="3214"/>
      <c r="AT8" s="3214"/>
      <c r="AU8" s="3214"/>
      <c r="AV8" s="3214"/>
      <c r="AW8" s="3214"/>
      <c r="AX8" s="3214"/>
      <c r="AY8" s="3214"/>
      <c r="AZ8" s="3214"/>
      <c r="BA8" s="3214"/>
      <c r="BB8" s="3214"/>
      <c r="BC8" s="4895" t="s">
        <v>2978</v>
      </c>
      <c r="BD8" s="3214"/>
      <c r="BE8" s="3214"/>
      <c r="BF8" s="3214"/>
      <c r="BG8" s="3219">
        <v>1</v>
      </c>
      <c r="BH8" s="3220">
        <v>1</v>
      </c>
      <c r="BI8" s="3220">
        <v>1</v>
      </c>
      <c r="BJ8" s="3220">
        <v>1</v>
      </c>
      <c r="BK8" s="3220">
        <v>1</v>
      </c>
      <c r="BL8" s="3220">
        <v>1</v>
      </c>
      <c r="BM8" s="3220">
        <v>1</v>
      </c>
      <c r="BN8" s="3220">
        <v>1</v>
      </c>
      <c r="BO8" s="3220"/>
      <c r="BP8" s="3220"/>
      <c r="BQ8" s="3220">
        <v>1</v>
      </c>
    </row>
    <row r="9" spans="1:69" ht="22.05" customHeight="1">
      <c r="A9" s="1203">
        <v>4</v>
      </c>
      <c r="B9" s="3211" t="s">
        <v>866</v>
      </c>
      <c r="C9" s="3212" t="s">
        <v>1667</v>
      </c>
      <c r="D9" s="3214"/>
      <c r="E9" s="3214"/>
      <c r="F9" s="3213" t="s">
        <v>205</v>
      </c>
      <c r="G9" s="3214"/>
      <c r="H9" s="3213" t="s">
        <v>235</v>
      </c>
      <c r="I9" s="3214"/>
      <c r="J9" s="3214"/>
      <c r="K9" s="3214"/>
      <c r="L9" s="3214"/>
      <c r="M9" s="3213" t="s">
        <v>204</v>
      </c>
      <c r="N9" s="3213" t="s">
        <v>249</v>
      </c>
      <c r="O9" s="3214"/>
      <c r="P9" s="3214"/>
      <c r="Q9" s="3213" t="s">
        <v>856</v>
      </c>
      <c r="R9" s="3213" t="s">
        <v>862</v>
      </c>
      <c r="S9" s="3214"/>
      <c r="T9" s="3214"/>
      <c r="U9" s="3213" t="s">
        <v>857</v>
      </c>
      <c r="V9" s="3213" t="s">
        <v>207</v>
      </c>
      <c r="W9" s="3214"/>
      <c r="X9" s="3214"/>
      <c r="Y9" s="3214"/>
      <c r="Z9" s="3214"/>
      <c r="AA9" s="3214"/>
      <c r="AB9" s="3214"/>
      <c r="AC9" s="3214"/>
      <c r="AD9" s="3213" t="s">
        <v>859</v>
      </c>
      <c r="AE9" s="3215"/>
      <c r="AF9" s="3215"/>
      <c r="AG9" s="3216"/>
      <c r="AH9" s="3216"/>
      <c r="AI9" s="3217" t="s">
        <v>867</v>
      </c>
      <c r="AJ9" s="3216"/>
      <c r="AK9" s="3216"/>
      <c r="AL9" s="3216"/>
      <c r="AM9" s="3216"/>
      <c r="AN9" s="3216"/>
      <c r="AO9" s="3216"/>
      <c r="AP9" s="3216"/>
      <c r="AQ9" s="3218" t="s">
        <v>1668</v>
      </c>
      <c r="AR9" s="3214"/>
      <c r="AS9" s="3214"/>
      <c r="AT9" s="3214"/>
      <c r="AU9" s="3214"/>
      <c r="AV9" s="3214"/>
      <c r="AW9" s="3214"/>
      <c r="AX9" s="3214"/>
      <c r="AY9" s="3214"/>
      <c r="AZ9" s="3214"/>
      <c r="BA9" s="3214"/>
      <c r="BB9" s="3214"/>
      <c r="BC9" s="4895" t="s">
        <v>2978</v>
      </c>
      <c r="BD9" s="3214"/>
      <c r="BE9" s="3214"/>
      <c r="BF9" s="3214"/>
      <c r="BG9" s="3219">
        <v>1</v>
      </c>
      <c r="BH9" s="3220">
        <v>1</v>
      </c>
      <c r="BI9" s="3220">
        <v>1</v>
      </c>
      <c r="BJ9" s="3220">
        <v>1</v>
      </c>
      <c r="BK9" s="3220">
        <v>1</v>
      </c>
      <c r="BL9" s="3220">
        <v>1</v>
      </c>
      <c r="BM9" s="3220">
        <v>1</v>
      </c>
      <c r="BN9" s="3220">
        <v>1</v>
      </c>
      <c r="BO9" s="3220"/>
      <c r="BP9" s="3220"/>
      <c r="BQ9" s="3220">
        <v>1</v>
      </c>
    </row>
    <row r="10" spans="1:69" ht="22.05" customHeight="1">
      <c r="A10" s="1203">
        <v>5</v>
      </c>
      <c r="B10" s="3211" t="s">
        <v>868</v>
      </c>
      <c r="C10" s="3212" t="s">
        <v>1667</v>
      </c>
      <c r="D10" s="3213" t="s">
        <v>239</v>
      </c>
      <c r="E10" s="3214"/>
      <c r="F10" s="3213" t="s">
        <v>205</v>
      </c>
      <c r="G10" s="3214"/>
      <c r="H10" s="3214"/>
      <c r="I10" s="3214"/>
      <c r="J10" s="3214"/>
      <c r="K10" s="3214"/>
      <c r="L10" s="3214"/>
      <c r="M10" s="3214"/>
      <c r="N10" s="3213" t="s">
        <v>249</v>
      </c>
      <c r="O10" s="3214"/>
      <c r="P10" s="3214"/>
      <c r="Q10" s="3213" t="s">
        <v>856</v>
      </c>
      <c r="R10" s="3213" t="s">
        <v>862</v>
      </c>
      <c r="S10" s="3214"/>
      <c r="T10" s="3214"/>
      <c r="U10" s="3213" t="s">
        <v>857</v>
      </c>
      <c r="V10" s="3213" t="s">
        <v>207</v>
      </c>
      <c r="W10" s="3214"/>
      <c r="X10" s="3214"/>
      <c r="Y10" s="3214"/>
      <c r="Z10" s="3214"/>
      <c r="AA10" s="3214"/>
      <c r="AB10" s="3214"/>
      <c r="AC10" s="3214"/>
      <c r="AD10" s="3213" t="s">
        <v>859</v>
      </c>
      <c r="AE10" s="3215"/>
      <c r="AF10" s="3215"/>
      <c r="AG10" s="3216"/>
      <c r="AH10" s="3216"/>
      <c r="AI10" s="3217" t="s">
        <v>869</v>
      </c>
      <c r="AJ10" s="3216"/>
      <c r="AK10" s="3216"/>
      <c r="AL10" s="3216"/>
      <c r="AM10" s="3216"/>
      <c r="AN10" s="3216"/>
      <c r="AO10" s="3216"/>
      <c r="AP10" s="3216"/>
      <c r="AQ10" s="3218" t="s">
        <v>1668</v>
      </c>
      <c r="AR10" s="3214"/>
      <c r="AS10" s="3214"/>
      <c r="AT10" s="3214"/>
      <c r="AU10" s="3214"/>
      <c r="AV10" s="3214"/>
      <c r="AW10" s="3214"/>
      <c r="AX10" s="3214"/>
      <c r="AY10" s="3214"/>
      <c r="AZ10" s="3214"/>
      <c r="BA10" s="3214"/>
      <c r="BB10" s="3214"/>
      <c r="BC10" s="4895" t="s">
        <v>2978</v>
      </c>
      <c r="BD10" s="3214"/>
      <c r="BE10" s="3214"/>
      <c r="BF10" s="3214"/>
      <c r="BG10" s="3219">
        <v>1</v>
      </c>
      <c r="BH10" s="3220">
        <v>1</v>
      </c>
      <c r="BI10" s="3220">
        <v>1</v>
      </c>
      <c r="BJ10" s="3220">
        <v>1</v>
      </c>
      <c r="BK10" s="3220">
        <v>1</v>
      </c>
      <c r="BL10" s="3220">
        <v>1</v>
      </c>
      <c r="BM10" s="3220">
        <v>1</v>
      </c>
      <c r="BN10" s="3220">
        <v>1</v>
      </c>
      <c r="BO10" s="3220"/>
      <c r="BP10" s="3220"/>
      <c r="BQ10" s="3220">
        <v>1</v>
      </c>
    </row>
    <row r="11" spans="1:69" ht="22.05" customHeight="1">
      <c r="A11" s="1203">
        <v>6</v>
      </c>
      <c r="B11" s="3211" t="s">
        <v>870</v>
      </c>
      <c r="C11" s="3212" t="s">
        <v>1667</v>
      </c>
      <c r="D11" s="3213" t="s">
        <v>239</v>
      </c>
      <c r="E11" s="3214"/>
      <c r="F11" s="3213" t="s">
        <v>205</v>
      </c>
      <c r="G11" s="3214"/>
      <c r="H11" s="3214"/>
      <c r="I11" s="3214"/>
      <c r="J11" s="3214"/>
      <c r="K11" s="3214"/>
      <c r="L11" s="3214"/>
      <c r="M11" s="3214"/>
      <c r="N11" s="3213" t="s">
        <v>249</v>
      </c>
      <c r="O11" s="3214"/>
      <c r="P11" s="3214"/>
      <c r="Q11" s="3213" t="s">
        <v>856</v>
      </c>
      <c r="R11" s="3213" t="s">
        <v>862</v>
      </c>
      <c r="S11" s="3214"/>
      <c r="T11" s="3214"/>
      <c r="U11" s="3213" t="s">
        <v>857</v>
      </c>
      <c r="V11" s="3213" t="s">
        <v>858</v>
      </c>
      <c r="W11" s="3214"/>
      <c r="X11" s="3214"/>
      <c r="Y11" s="3214"/>
      <c r="Z11" s="3214"/>
      <c r="AA11" s="3214"/>
      <c r="AB11" s="3214"/>
      <c r="AC11" s="3214"/>
      <c r="AD11" s="3213" t="s">
        <v>859</v>
      </c>
      <c r="AE11" s="3215"/>
      <c r="AF11" s="3215"/>
      <c r="AG11" s="3216"/>
      <c r="AH11" s="3217" t="s">
        <v>871</v>
      </c>
      <c r="AI11" s="3214"/>
      <c r="AJ11" s="3216"/>
      <c r="AK11" s="3216"/>
      <c r="AL11" s="3216"/>
      <c r="AM11" s="3216"/>
      <c r="AN11" s="3216"/>
      <c r="AO11" s="3216"/>
      <c r="AP11" s="3216"/>
      <c r="AQ11" s="3218" t="s">
        <v>1668</v>
      </c>
      <c r="AR11" s="3214"/>
      <c r="AS11" s="3214"/>
      <c r="AT11" s="3214"/>
      <c r="AU11" s="3214"/>
      <c r="AV11" s="3214"/>
      <c r="AW11" s="3214"/>
      <c r="AX11" s="3214"/>
      <c r="AY11" s="3214"/>
      <c r="AZ11" s="3214"/>
      <c r="BA11" s="3214"/>
      <c r="BB11" s="3214"/>
      <c r="BC11" s="4895" t="s">
        <v>2978</v>
      </c>
      <c r="BD11" s="3214"/>
      <c r="BE11" s="3214"/>
      <c r="BF11" s="3214"/>
      <c r="BG11" s="3219">
        <v>1</v>
      </c>
      <c r="BH11" s="3220">
        <v>1</v>
      </c>
      <c r="BI11" s="3220">
        <v>1</v>
      </c>
      <c r="BJ11" s="3220">
        <v>1</v>
      </c>
      <c r="BK11" s="3220">
        <v>1</v>
      </c>
      <c r="BL11" s="3220">
        <v>1</v>
      </c>
      <c r="BM11" s="3220">
        <v>1</v>
      </c>
      <c r="BN11" s="3220">
        <v>1</v>
      </c>
      <c r="BO11" s="3220"/>
      <c r="BP11" s="3220"/>
      <c r="BQ11" s="3220">
        <v>1</v>
      </c>
    </row>
    <row r="12" spans="1:69" ht="22.05" customHeight="1">
      <c r="A12" s="1203">
        <v>7</v>
      </c>
      <c r="B12" s="3211" t="s">
        <v>872</v>
      </c>
      <c r="C12" s="3212" t="s">
        <v>1667</v>
      </c>
      <c r="D12" s="3213" t="s">
        <v>239</v>
      </c>
      <c r="E12" s="3214"/>
      <c r="F12" s="3213" t="s">
        <v>205</v>
      </c>
      <c r="G12" s="3214"/>
      <c r="H12" s="3213" t="s">
        <v>235</v>
      </c>
      <c r="I12" s="3214"/>
      <c r="J12" s="3214"/>
      <c r="K12" s="3214"/>
      <c r="L12" s="3214"/>
      <c r="M12" s="3214"/>
      <c r="N12" s="3213" t="s">
        <v>249</v>
      </c>
      <c r="O12" s="3214"/>
      <c r="P12" s="3213" t="s">
        <v>206</v>
      </c>
      <c r="Q12" s="3213" t="s">
        <v>856</v>
      </c>
      <c r="R12" s="3213" t="s">
        <v>862</v>
      </c>
      <c r="S12" s="3214"/>
      <c r="T12" s="3214"/>
      <c r="U12" s="3213" t="s">
        <v>857</v>
      </c>
      <c r="V12" s="3213" t="s">
        <v>207</v>
      </c>
      <c r="W12" s="3214"/>
      <c r="X12" s="3214"/>
      <c r="Y12" s="3214"/>
      <c r="Z12" s="3214"/>
      <c r="AA12" s="3214"/>
      <c r="AB12" s="3214"/>
      <c r="AC12" s="3214"/>
      <c r="AD12" s="3213" t="s">
        <v>859</v>
      </c>
      <c r="AE12" s="3215"/>
      <c r="AF12" s="3215"/>
      <c r="AG12" s="3216"/>
      <c r="AH12" s="3216"/>
      <c r="AI12" s="3217" t="s">
        <v>873</v>
      </c>
      <c r="AJ12" s="3216"/>
      <c r="AK12" s="3216"/>
      <c r="AL12" s="3216"/>
      <c r="AM12" s="3216"/>
      <c r="AN12" s="3216"/>
      <c r="AO12" s="3216"/>
      <c r="AP12" s="3216"/>
      <c r="AQ12" s="3218" t="s">
        <v>1668</v>
      </c>
      <c r="AR12" s="3214"/>
      <c r="AS12" s="3214"/>
      <c r="AT12" s="3214"/>
      <c r="AU12" s="3214"/>
      <c r="AV12" s="3214"/>
      <c r="AW12" s="3214"/>
      <c r="AX12" s="3214"/>
      <c r="AY12" s="3214"/>
      <c r="AZ12" s="3214"/>
      <c r="BA12" s="3214"/>
      <c r="BB12" s="3214"/>
      <c r="BC12" s="4895" t="s">
        <v>2978</v>
      </c>
      <c r="BD12" s="3214"/>
      <c r="BE12" s="3214"/>
      <c r="BF12" s="3214"/>
      <c r="BG12" s="3219">
        <v>1</v>
      </c>
      <c r="BH12" s="3220">
        <v>1</v>
      </c>
      <c r="BI12" s="3220">
        <v>1</v>
      </c>
      <c r="BJ12" s="3220">
        <v>1</v>
      </c>
      <c r="BK12" s="3220">
        <v>1</v>
      </c>
      <c r="BL12" s="3220">
        <v>1</v>
      </c>
      <c r="BM12" s="3220">
        <v>1</v>
      </c>
      <c r="BN12" s="3220">
        <v>1</v>
      </c>
      <c r="BO12" s="3220"/>
      <c r="BP12" s="3220"/>
      <c r="BQ12" s="3220">
        <v>1</v>
      </c>
    </row>
    <row r="13" spans="1:69" ht="22.05" customHeight="1">
      <c r="A13" s="1203">
        <v>8</v>
      </c>
      <c r="B13" s="3211" t="s">
        <v>874</v>
      </c>
      <c r="C13" s="3212" t="s">
        <v>1667</v>
      </c>
      <c r="D13" s="3213" t="s">
        <v>239</v>
      </c>
      <c r="E13" s="3214"/>
      <c r="F13" s="3213" t="s">
        <v>205</v>
      </c>
      <c r="G13" s="3214"/>
      <c r="H13" s="3213" t="s">
        <v>235</v>
      </c>
      <c r="I13" s="3214"/>
      <c r="J13" s="3214"/>
      <c r="K13" s="3221"/>
      <c r="L13" s="3213" t="s">
        <v>250</v>
      </c>
      <c r="M13" s="3214"/>
      <c r="N13" s="3213" t="s">
        <v>249</v>
      </c>
      <c r="O13" s="3214"/>
      <c r="P13" s="3214"/>
      <c r="Q13" s="3213" t="s">
        <v>856</v>
      </c>
      <c r="R13" s="3214"/>
      <c r="S13" s="3214"/>
      <c r="T13" s="3214"/>
      <c r="U13" s="3213" t="s">
        <v>857</v>
      </c>
      <c r="V13" s="3213" t="s">
        <v>858</v>
      </c>
      <c r="W13" s="3214"/>
      <c r="X13" s="3214"/>
      <c r="Y13" s="3214"/>
      <c r="Z13" s="3214"/>
      <c r="AA13" s="3214"/>
      <c r="AB13" s="3214"/>
      <c r="AC13" s="3214"/>
      <c r="AD13" s="3213" t="s">
        <v>859</v>
      </c>
      <c r="AE13" s="3215"/>
      <c r="AF13" s="3215"/>
      <c r="AG13" s="3216"/>
      <c r="AH13" s="3217" t="s">
        <v>875</v>
      </c>
      <c r="AI13" s="3214"/>
      <c r="AJ13" s="3216"/>
      <c r="AK13" s="3216"/>
      <c r="AL13" s="3216"/>
      <c r="AM13" s="3216"/>
      <c r="AN13" s="3216"/>
      <c r="AO13" s="3216"/>
      <c r="AP13" s="3216"/>
      <c r="AQ13" s="3218" t="s">
        <v>1668</v>
      </c>
      <c r="AR13" s="3214"/>
      <c r="AS13" s="3214"/>
      <c r="AT13" s="3214"/>
      <c r="AU13" s="3214"/>
      <c r="AV13" s="3214"/>
      <c r="AW13" s="3214"/>
      <c r="AX13" s="3214"/>
      <c r="AY13" s="3214"/>
      <c r="AZ13" s="3214"/>
      <c r="BA13" s="3214"/>
      <c r="BB13" s="3214"/>
      <c r="BC13" s="4895" t="s">
        <v>2978</v>
      </c>
      <c r="BD13" s="3214"/>
      <c r="BE13" s="3214"/>
      <c r="BF13" s="3214"/>
      <c r="BG13" s="3219">
        <v>1</v>
      </c>
      <c r="BH13" s="3220">
        <v>1</v>
      </c>
      <c r="BI13" s="3220">
        <v>1</v>
      </c>
      <c r="BJ13" s="3220">
        <v>1</v>
      </c>
      <c r="BK13" s="3220">
        <v>1</v>
      </c>
      <c r="BL13" s="3220">
        <v>1</v>
      </c>
      <c r="BM13" s="3220">
        <v>1</v>
      </c>
      <c r="BN13" s="3220">
        <v>1</v>
      </c>
      <c r="BO13" s="3220"/>
      <c r="BP13" s="3220"/>
      <c r="BQ13" s="3220">
        <v>1</v>
      </c>
    </row>
    <row r="14" spans="1:69" ht="22.05" customHeight="1">
      <c r="A14" s="1203">
        <v>9</v>
      </c>
      <c r="B14" s="3211" t="s">
        <v>876</v>
      </c>
      <c r="C14" s="3212" t="s">
        <v>1667</v>
      </c>
      <c r="D14" s="3213" t="s">
        <v>239</v>
      </c>
      <c r="E14" s="3214"/>
      <c r="F14" s="3213" t="s">
        <v>205</v>
      </c>
      <c r="G14" s="3214"/>
      <c r="H14" s="3214"/>
      <c r="I14" s="3214"/>
      <c r="J14" s="3214"/>
      <c r="K14" s="3214"/>
      <c r="L14" s="3214"/>
      <c r="M14" s="3214"/>
      <c r="N14" s="3213" t="s">
        <v>249</v>
      </c>
      <c r="O14" s="3214"/>
      <c r="P14" s="3214"/>
      <c r="Q14" s="3213" t="s">
        <v>856</v>
      </c>
      <c r="R14" s="3213" t="s">
        <v>862</v>
      </c>
      <c r="S14" s="3214"/>
      <c r="T14" s="3214"/>
      <c r="U14" s="3213" t="s">
        <v>857</v>
      </c>
      <c r="V14" s="3213" t="s">
        <v>207</v>
      </c>
      <c r="W14" s="3214"/>
      <c r="X14" s="3214"/>
      <c r="Y14" s="3214"/>
      <c r="Z14" s="3214"/>
      <c r="AA14" s="3214"/>
      <c r="AB14" s="3214"/>
      <c r="AC14" s="3214"/>
      <c r="AD14" s="3213" t="s">
        <v>859</v>
      </c>
      <c r="AE14" s="3215"/>
      <c r="AF14" s="3215"/>
      <c r="AG14" s="3216"/>
      <c r="AH14" s="3217" t="s">
        <v>877</v>
      </c>
      <c r="AI14" s="3214"/>
      <c r="AJ14" s="3214"/>
      <c r="AK14" s="3214"/>
      <c r="AL14" s="3214"/>
      <c r="AM14" s="3214"/>
      <c r="AN14" s="3214"/>
      <c r="AO14" s="3214"/>
      <c r="AP14" s="3214"/>
      <c r="AQ14" s="3218" t="s">
        <v>1668</v>
      </c>
      <c r="AR14" s="3214"/>
      <c r="AS14" s="3214"/>
      <c r="AT14" s="3214"/>
      <c r="AU14" s="3214"/>
      <c r="AV14" s="3214"/>
      <c r="AW14" s="3214"/>
      <c r="AX14" s="3214"/>
      <c r="AY14" s="3214"/>
      <c r="AZ14" s="3214"/>
      <c r="BA14" s="3214"/>
      <c r="BB14" s="3214"/>
      <c r="BC14" s="4895" t="s">
        <v>2978</v>
      </c>
      <c r="BD14" s="3214"/>
      <c r="BE14" s="3214"/>
      <c r="BF14" s="3214"/>
      <c r="BG14" s="3219">
        <v>1</v>
      </c>
      <c r="BH14" s="3220">
        <v>1</v>
      </c>
      <c r="BI14" s="3220">
        <v>1</v>
      </c>
      <c r="BJ14" s="3220">
        <v>1</v>
      </c>
      <c r="BK14" s="3220">
        <v>1</v>
      </c>
      <c r="BL14" s="3220">
        <v>1</v>
      </c>
      <c r="BM14" s="3220">
        <v>1</v>
      </c>
      <c r="BN14" s="3220">
        <v>1</v>
      </c>
      <c r="BO14" s="3220"/>
      <c r="BP14" s="3220"/>
      <c r="BQ14" s="3220">
        <v>1</v>
      </c>
    </row>
    <row r="15" spans="1:69" ht="22.05" customHeight="1">
      <c r="A15" s="1203">
        <v>10</v>
      </c>
      <c r="B15" s="3211" t="s">
        <v>878</v>
      </c>
      <c r="C15" s="3212" t="s">
        <v>1667</v>
      </c>
      <c r="D15" s="3222" t="s">
        <v>879</v>
      </c>
      <c r="E15" s="3214"/>
      <c r="F15" s="3214"/>
      <c r="G15" s="3214"/>
      <c r="H15" s="3214"/>
      <c r="I15" s="3214"/>
      <c r="J15" s="3214"/>
      <c r="K15" s="3214"/>
      <c r="L15" s="3214"/>
      <c r="M15" s="3214"/>
      <c r="N15" s="3213" t="s">
        <v>249</v>
      </c>
      <c r="O15" s="3214"/>
      <c r="P15" s="3214"/>
      <c r="Q15" s="3213" t="s">
        <v>856</v>
      </c>
      <c r="R15" s="3213" t="s">
        <v>862</v>
      </c>
      <c r="S15" s="3214"/>
      <c r="T15" s="3214"/>
      <c r="U15" s="3213" t="s">
        <v>857</v>
      </c>
      <c r="V15" s="3213" t="s">
        <v>207</v>
      </c>
      <c r="W15" s="3214"/>
      <c r="X15" s="3214"/>
      <c r="Y15" s="3214"/>
      <c r="Z15" s="3214"/>
      <c r="AA15" s="3214"/>
      <c r="AB15" s="3214"/>
      <c r="AC15" s="3214"/>
      <c r="AD15" s="3213" t="s">
        <v>859</v>
      </c>
      <c r="AE15" s="3215"/>
      <c r="AF15" s="3215"/>
      <c r="AG15" s="3216"/>
      <c r="AH15" s="3217" t="s">
        <v>880</v>
      </c>
      <c r="AI15" s="3214"/>
      <c r="AJ15" s="3214"/>
      <c r="AK15" s="3214"/>
      <c r="AL15" s="3214"/>
      <c r="AM15" s="3214"/>
      <c r="AN15" s="3214"/>
      <c r="AO15" s="3214"/>
      <c r="AP15" s="3214"/>
      <c r="AQ15" s="3218" t="s">
        <v>1668</v>
      </c>
      <c r="AR15" s="3214"/>
      <c r="AS15" s="3214"/>
      <c r="AT15" s="3214"/>
      <c r="AU15" s="3214"/>
      <c r="AV15" s="3214"/>
      <c r="AW15" s="3214"/>
      <c r="AX15" s="3214"/>
      <c r="AY15" s="3214"/>
      <c r="AZ15" s="3214"/>
      <c r="BA15" s="3214"/>
      <c r="BB15" s="3214"/>
      <c r="BC15" s="4895" t="s">
        <v>2978</v>
      </c>
      <c r="BD15" s="3214"/>
      <c r="BE15" s="3214"/>
      <c r="BF15" s="3214"/>
      <c r="BG15" s="3219">
        <v>1</v>
      </c>
      <c r="BH15" s="3220">
        <v>1</v>
      </c>
      <c r="BI15" s="3220">
        <v>1</v>
      </c>
      <c r="BJ15" s="3220">
        <v>1</v>
      </c>
      <c r="BK15" s="3220">
        <v>1</v>
      </c>
      <c r="BL15" s="3220">
        <v>1</v>
      </c>
      <c r="BM15" s="3220">
        <v>1</v>
      </c>
      <c r="BN15" s="3220">
        <v>1</v>
      </c>
      <c r="BO15" s="3220"/>
      <c r="BP15" s="3220"/>
      <c r="BQ15" s="3220">
        <v>1</v>
      </c>
    </row>
    <row r="16" spans="1:69" ht="14.4">
      <c r="A16" s="218"/>
      <c r="B16" s="3223" t="s">
        <v>371</v>
      </c>
      <c r="C16" s="3224"/>
      <c r="D16" s="3225"/>
      <c r="E16" s="3225"/>
      <c r="F16" s="3225"/>
      <c r="G16" s="3225"/>
      <c r="H16" s="3225"/>
      <c r="I16" s="3225"/>
      <c r="J16" s="3225"/>
      <c r="K16" s="3225"/>
      <c r="L16" s="3225"/>
      <c r="M16" s="3225"/>
      <c r="N16" s="3225"/>
      <c r="O16" s="3225"/>
      <c r="P16" s="3225"/>
      <c r="Q16" s="3225"/>
      <c r="R16" s="3225"/>
      <c r="S16" s="3225"/>
      <c r="T16" s="3225"/>
      <c r="U16" s="3225"/>
      <c r="V16" s="3226"/>
      <c r="W16" s="3225"/>
      <c r="X16" s="3225"/>
      <c r="Y16" s="3226"/>
      <c r="Z16" s="3225"/>
      <c r="AA16" s="3225"/>
      <c r="AB16" s="3225"/>
      <c r="AC16" s="3225"/>
      <c r="AD16" s="3225"/>
      <c r="AE16" s="3225"/>
      <c r="AF16" s="3225"/>
      <c r="AG16" s="3225"/>
      <c r="AH16" s="3225"/>
      <c r="AI16" s="3225"/>
      <c r="AJ16" s="3225"/>
      <c r="AK16" s="3227"/>
      <c r="AL16" s="3227"/>
      <c r="AM16" s="3227"/>
      <c r="AN16" s="3227"/>
      <c r="AO16" s="3227"/>
      <c r="AP16" s="3227"/>
      <c r="AQ16" s="3227"/>
      <c r="AR16" s="3227"/>
      <c r="AS16" s="3227"/>
      <c r="AT16" s="3227"/>
      <c r="AU16" s="3227"/>
      <c r="AV16" s="3227"/>
      <c r="AW16" s="3227"/>
      <c r="AX16" s="3227"/>
      <c r="AY16" s="3227"/>
      <c r="AZ16" s="3227"/>
      <c r="BA16" s="3227"/>
      <c r="BB16" s="3227"/>
      <c r="BC16" s="4910"/>
      <c r="BD16" s="4910"/>
      <c r="BE16" s="4910"/>
      <c r="BF16" s="4910"/>
      <c r="BG16" s="3228"/>
      <c r="BH16" s="3228"/>
      <c r="BI16" s="3228"/>
      <c r="BJ16" s="3228"/>
      <c r="BK16" s="3228"/>
      <c r="BL16" s="3228"/>
      <c r="BM16" s="3228"/>
      <c r="BN16" s="3228"/>
      <c r="BO16" s="3228"/>
      <c r="BP16" s="3228"/>
      <c r="BQ16" s="3228"/>
    </row>
    <row r="17" spans="1:69" ht="22.05" customHeight="1">
      <c r="A17" s="1203">
        <v>11</v>
      </c>
      <c r="B17" s="3211" t="s">
        <v>881</v>
      </c>
      <c r="C17" s="3212" t="s">
        <v>716</v>
      </c>
      <c r="D17" s="3214"/>
      <c r="E17" s="3214"/>
      <c r="F17" s="3214"/>
      <c r="G17" s="3229"/>
      <c r="H17" s="3213" t="s">
        <v>208</v>
      </c>
      <c r="I17" s="3214"/>
      <c r="J17" s="3214"/>
      <c r="K17" s="3214"/>
      <c r="L17" s="3213" t="s">
        <v>250</v>
      </c>
      <c r="M17" s="3221"/>
      <c r="N17" s="3214"/>
      <c r="O17" s="3214"/>
      <c r="P17" s="3214"/>
      <c r="Q17" s="3214"/>
      <c r="R17" s="3214"/>
      <c r="S17" s="3214"/>
      <c r="T17" s="3214"/>
      <c r="U17" s="3214"/>
      <c r="V17" s="3214"/>
      <c r="W17" s="3214"/>
      <c r="X17" s="3214"/>
      <c r="Y17" s="3214"/>
      <c r="Z17" s="3214"/>
      <c r="AA17" s="3214"/>
      <c r="AB17" s="3214"/>
      <c r="AC17" s="3213" t="s">
        <v>882</v>
      </c>
      <c r="AD17" s="3214"/>
      <c r="AE17" s="3215"/>
      <c r="AF17" s="3215"/>
      <c r="AG17" s="3216"/>
      <c r="AH17" s="3230" t="s">
        <v>664</v>
      </c>
      <c r="AI17" s="3231"/>
      <c r="AJ17" s="3230" t="s">
        <v>664</v>
      </c>
      <c r="AK17" s="3231"/>
      <c r="AL17" s="3230" t="s">
        <v>939</v>
      </c>
      <c r="AM17" s="3231"/>
      <c r="AN17" s="3231"/>
      <c r="AO17" s="3231"/>
      <c r="AP17" s="3231"/>
      <c r="AQ17" s="3232"/>
      <c r="AR17" s="3231"/>
      <c r="AS17" s="3230" t="s">
        <v>1899</v>
      </c>
      <c r="AT17" s="3230" t="s">
        <v>1903</v>
      </c>
      <c r="AU17" s="3231"/>
      <c r="AV17" s="3231"/>
      <c r="AW17" s="3231"/>
      <c r="AX17" s="3231"/>
      <c r="AY17" s="3231"/>
      <c r="AZ17" s="3231"/>
      <c r="BA17" s="3231"/>
      <c r="BB17" s="3231"/>
      <c r="BC17" s="3231"/>
      <c r="BD17" s="3231"/>
      <c r="BE17" s="3231"/>
      <c r="BF17" s="3231"/>
      <c r="BG17" s="3219"/>
      <c r="BH17" s="3220">
        <v>1</v>
      </c>
      <c r="BI17" s="3220">
        <v>1</v>
      </c>
      <c r="BJ17" s="3220">
        <v>1</v>
      </c>
      <c r="BK17" s="3220">
        <v>1</v>
      </c>
      <c r="BL17" s="3220">
        <v>1</v>
      </c>
      <c r="BM17" s="3220">
        <v>1</v>
      </c>
      <c r="BN17" s="3220">
        <v>1</v>
      </c>
      <c r="BO17" s="3220">
        <v>1</v>
      </c>
      <c r="BP17" s="3220"/>
      <c r="BQ17" s="3220"/>
    </row>
    <row r="18" spans="1:69" ht="22.05" customHeight="1">
      <c r="A18" s="1203">
        <v>12</v>
      </c>
      <c r="B18" s="3211" t="s">
        <v>883</v>
      </c>
      <c r="C18" s="3212" t="s">
        <v>663</v>
      </c>
      <c r="D18" s="3214"/>
      <c r="E18" s="3213" t="s">
        <v>884</v>
      </c>
      <c r="F18" s="3214"/>
      <c r="G18" s="3214"/>
      <c r="H18" s="3213" t="s">
        <v>884</v>
      </c>
      <c r="I18" s="3214"/>
      <c r="J18" s="3213" t="s">
        <v>1669</v>
      </c>
      <c r="K18" s="3214"/>
      <c r="L18" s="3214"/>
      <c r="M18" s="3214"/>
      <c r="N18" s="3214"/>
      <c r="O18" s="3214"/>
      <c r="P18" s="3214"/>
      <c r="Q18" s="3214"/>
      <c r="R18" s="3214"/>
      <c r="S18" s="3214"/>
      <c r="T18" s="3214"/>
      <c r="U18" s="3214"/>
      <c r="V18" s="3214"/>
      <c r="W18" s="3214"/>
      <c r="X18" s="3214"/>
      <c r="Y18" s="3214"/>
      <c r="Z18" s="3214"/>
      <c r="AA18" s="3214"/>
      <c r="AB18" s="3214"/>
      <c r="AC18" s="3213" t="s">
        <v>882</v>
      </c>
      <c r="AD18" s="3214"/>
      <c r="AE18" s="3215"/>
      <c r="AF18" s="3215"/>
      <c r="AG18" s="3216"/>
      <c r="AH18" s="3230" t="s">
        <v>664</v>
      </c>
      <c r="AI18" s="3231"/>
      <c r="AJ18" s="3231"/>
      <c r="AK18" s="3231"/>
      <c r="AL18" s="3231"/>
      <c r="AM18" s="3231"/>
      <c r="AN18" s="3231"/>
      <c r="AO18" s="3231"/>
      <c r="AP18" s="3231"/>
      <c r="AQ18" s="3232"/>
      <c r="AR18" s="3231"/>
      <c r="AS18" s="3230" t="s">
        <v>1899</v>
      </c>
      <c r="AT18" s="3231"/>
      <c r="AU18" s="3231"/>
      <c r="AV18" s="3231"/>
      <c r="AW18" s="3231"/>
      <c r="AX18" s="3231"/>
      <c r="AY18" s="3231"/>
      <c r="AZ18" s="3230" t="s">
        <v>2635</v>
      </c>
      <c r="BA18" s="3231"/>
      <c r="BB18" s="3231"/>
      <c r="BC18" s="3231"/>
      <c r="BD18" s="3231"/>
      <c r="BE18" s="3231"/>
      <c r="BF18" s="3231"/>
      <c r="BG18" s="3219"/>
      <c r="BH18" s="3220">
        <v>1</v>
      </c>
      <c r="BI18" s="3220">
        <v>1</v>
      </c>
      <c r="BJ18" s="3220">
        <v>1</v>
      </c>
      <c r="BK18" s="3220">
        <v>1</v>
      </c>
      <c r="BL18" s="3220">
        <v>1</v>
      </c>
      <c r="BM18" s="3220">
        <v>1</v>
      </c>
      <c r="BN18" s="3220">
        <v>1</v>
      </c>
      <c r="BO18" s="3220">
        <v>1</v>
      </c>
      <c r="BP18" s="3220">
        <v>1</v>
      </c>
      <c r="BQ18" s="3220">
        <v>1</v>
      </c>
    </row>
    <row r="19" spans="1:69" ht="22.05" customHeight="1">
      <c r="A19" s="1203">
        <v>13</v>
      </c>
      <c r="B19" s="3211" t="s">
        <v>885</v>
      </c>
      <c r="C19" s="3212" t="s">
        <v>716</v>
      </c>
      <c r="D19" s="3214"/>
      <c r="E19" s="3214"/>
      <c r="F19" s="3214"/>
      <c r="G19" s="3214"/>
      <c r="H19" s="3214"/>
      <c r="I19" s="3213" t="s">
        <v>209</v>
      </c>
      <c r="J19" s="3221"/>
      <c r="K19" s="3214"/>
      <c r="L19" s="3214"/>
      <c r="M19" s="3213" t="s">
        <v>204</v>
      </c>
      <c r="N19" s="3214"/>
      <c r="O19" s="3221"/>
      <c r="P19" s="3214"/>
      <c r="Q19" s="3229"/>
      <c r="R19" s="3233" t="s">
        <v>1670</v>
      </c>
      <c r="S19" s="3214"/>
      <c r="T19" s="3221"/>
      <c r="U19" s="3213" t="s">
        <v>886</v>
      </c>
      <c r="V19" s="3221"/>
      <c r="W19" s="3213" t="s">
        <v>887</v>
      </c>
      <c r="X19" s="3214"/>
      <c r="Y19" s="3221"/>
      <c r="Z19" s="3214"/>
      <c r="AA19" s="3214"/>
      <c r="AB19" s="3214"/>
      <c r="AC19" s="3213" t="s">
        <v>234</v>
      </c>
      <c r="AD19" s="3214"/>
      <c r="AE19" s="3215"/>
      <c r="AF19" s="3215"/>
      <c r="AG19" s="3216"/>
      <c r="AH19" s="3230" t="s">
        <v>664</v>
      </c>
      <c r="AI19" s="3231"/>
      <c r="AJ19" s="3230" t="s">
        <v>664</v>
      </c>
      <c r="AK19" s="3231"/>
      <c r="AL19" s="3230" t="s">
        <v>939</v>
      </c>
      <c r="AM19" s="3231"/>
      <c r="AN19" s="3231"/>
      <c r="AO19" s="3231"/>
      <c r="AP19" s="3231"/>
      <c r="AQ19" s="3232"/>
      <c r="AR19" s="3231"/>
      <c r="AS19" s="3230" t="s">
        <v>1899</v>
      </c>
      <c r="AT19" s="3231"/>
      <c r="AU19" s="3231"/>
      <c r="AV19" s="3231"/>
      <c r="AW19" s="3231"/>
      <c r="AX19" s="3231"/>
      <c r="AY19" s="3230" t="s">
        <v>2636</v>
      </c>
      <c r="AZ19" s="3231"/>
      <c r="BA19" s="3230" t="s">
        <v>2778</v>
      </c>
      <c r="BB19" s="3231"/>
      <c r="BC19" s="3231"/>
      <c r="BD19" s="3230" t="s">
        <v>2980</v>
      </c>
      <c r="BE19" s="3231"/>
      <c r="BF19" s="3231"/>
      <c r="BG19" s="3219">
        <v>1</v>
      </c>
      <c r="BH19" s="3220">
        <v>1</v>
      </c>
      <c r="BI19" s="3220">
        <v>1</v>
      </c>
      <c r="BJ19" s="3220">
        <v>1</v>
      </c>
      <c r="BK19" s="3220">
        <v>1</v>
      </c>
      <c r="BL19" s="3220">
        <v>1</v>
      </c>
      <c r="BM19" s="3220">
        <v>1</v>
      </c>
      <c r="BN19" s="3220">
        <v>1</v>
      </c>
      <c r="BO19" s="3220">
        <v>1</v>
      </c>
      <c r="BP19" s="3220">
        <v>1</v>
      </c>
      <c r="BQ19" s="3220">
        <v>1</v>
      </c>
    </row>
    <row r="20" spans="1:69" ht="22.05" customHeight="1">
      <c r="A20" s="1203">
        <v>14</v>
      </c>
      <c r="B20" s="3211" t="s">
        <v>888</v>
      </c>
      <c r="C20" s="3212" t="s">
        <v>716</v>
      </c>
      <c r="D20" s="3214"/>
      <c r="E20" s="3213" t="s">
        <v>889</v>
      </c>
      <c r="F20" s="3221"/>
      <c r="G20" s="3214"/>
      <c r="H20" s="3213" t="s">
        <v>205</v>
      </c>
      <c r="I20" s="3214"/>
      <c r="J20" s="3214"/>
      <c r="K20" s="3214"/>
      <c r="L20" s="3214"/>
      <c r="M20" s="3214"/>
      <c r="N20" s="3214"/>
      <c r="O20" s="3214"/>
      <c r="P20" s="3214"/>
      <c r="Q20" s="3213" t="s">
        <v>210</v>
      </c>
      <c r="R20" s="3214"/>
      <c r="S20" s="3214"/>
      <c r="T20" s="3213" t="s">
        <v>251</v>
      </c>
      <c r="U20" s="3214"/>
      <c r="V20" s="3214"/>
      <c r="W20" s="3214"/>
      <c r="X20" s="3214"/>
      <c r="Y20" s="3214"/>
      <c r="Z20" s="3214"/>
      <c r="AA20" s="3214"/>
      <c r="AB20" s="3214"/>
      <c r="AC20" s="3213" t="s">
        <v>882</v>
      </c>
      <c r="AD20" s="3214"/>
      <c r="AE20" s="3215"/>
      <c r="AF20" s="3215"/>
      <c r="AG20" s="3216"/>
      <c r="AH20" s="3230" t="s">
        <v>664</v>
      </c>
      <c r="AI20" s="3231"/>
      <c r="AJ20" s="3230" t="s">
        <v>664</v>
      </c>
      <c r="AK20" s="3231"/>
      <c r="AL20" s="3230" t="s">
        <v>939</v>
      </c>
      <c r="AM20" s="3231"/>
      <c r="AN20" s="3231"/>
      <c r="AO20" s="3231"/>
      <c r="AP20" s="3231"/>
      <c r="AQ20" s="3232"/>
      <c r="AR20" s="3231"/>
      <c r="AS20" s="3230" t="s">
        <v>1899</v>
      </c>
      <c r="AT20" s="3231"/>
      <c r="AU20" s="3231"/>
      <c r="AV20" s="3231"/>
      <c r="AW20" s="3231"/>
      <c r="AX20" s="3231"/>
      <c r="AY20" s="3231"/>
      <c r="AZ20" s="3231"/>
      <c r="BA20" s="3231"/>
      <c r="BB20" s="3231"/>
      <c r="BC20" s="3231"/>
      <c r="BD20" s="3231"/>
      <c r="BE20" s="3231"/>
      <c r="BF20" s="3231"/>
      <c r="BG20" s="3219">
        <v>1</v>
      </c>
      <c r="BH20" s="3220">
        <v>1</v>
      </c>
      <c r="BI20" s="3220">
        <v>1</v>
      </c>
      <c r="BJ20" s="3220">
        <v>1</v>
      </c>
      <c r="BK20" s="3220">
        <v>1</v>
      </c>
      <c r="BL20" s="3220">
        <v>1</v>
      </c>
      <c r="BM20" s="3220">
        <v>1</v>
      </c>
      <c r="BN20" s="3220">
        <v>1</v>
      </c>
      <c r="BO20" s="3220">
        <v>1</v>
      </c>
      <c r="BP20" s="3220"/>
      <c r="BQ20" s="3220">
        <v>1</v>
      </c>
    </row>
    <row r="21" spans="1:69" ht="14.4">
      <c r="A21" s="218"/>
      <c r="B21" s="3223" t="s">
        <v>372</v>
      </c>
      <c r="C21" s="3224"/>
      <c r="D21" s="3225"/>
      <c r="E21" s="3225"/>
      <c r="F21" s="3225"/>
      <c r="G21" s="3225"/>
      <c r="H21" s="3225"/>
      <c r="I21" s="3225"/>
      <c r="J21" s="3225"/>
      <c r="K21" s="3225"/>
      <c r="L21" s="3225"/>
      <c r="M21" s="3225"/>
      <c r="N21" s="3225"/>
      <c r="O21" s="3225"/>
      <c r="P21" s="3225"/>
      <c r="Q21" s="3225"/>
      <c r="R21" s="3225"/>
      <c r="S21" s="3225"/>
      <c r="T21" s="3225"/>
      <c r="U21" s="3225"/>
      <c r="V21" s="3226"/>
      <c r="W21" s="3225"/>
      <c r="X21" s="3225"/>
      <c r="Y21" s="3226"/>
      <c r="Z21" s="3225"/>
      <c r="AA21" s="3225"/>
      <c r="AB21" s="3225"/>
      <c r="AC21" s="3225"/>
      <c r="AD21" s="3225"/>
      <c r="AE21" s="3225"/>
      <c r="AF21" s="3225"/>
      <c r="AG21" s="3225"/>
      <c r="AH21" s="3225"/>
      <c r="AI21" s="3225"/>
      <c r="AJ21" s="3225"/>
      <c r="AK21" s="3227"/>
      <c r="AL21" s="3227"/>
      <c r="AM21" s="3227"/>
      <c r="AN21" s="3227"/>
      <c r="AO21" s="3227"/>
      <c r="AP21" s="3227"/>
      <c r="AQ21" s="3227"/>
      <c r="AR21" s="3227"/>
      <c r="AS21" s="3227"/>
      <c r="AT21" s="3227"/>
      <c r="AU21" s="3227"/>
      <c r="AV21" s="3227"/>
      <c r="AW21" s="3227"/>
      <c r="AX21" s="3227"/>
      <c r="AY21" s="3227"/>
      <c r="AZ21" s="3227"/>
      <c r="BA21" s="3227"/>
      <c r="BB21" s="3227"/>
      <c r="BC21" s="4910"/>
      <c r="BD21" s="4910"/>
      <c r="BE21" s="4910"/>
      <c r="BF21" s="4910"/>
      <c r="BG21" s="3228"/>
      <c r="BH21" s="3228"/>
      <c r="BI21" s="3228"/>
      <c r="BJ21" s="3228"/>
      <c r="BK21" s="3228"/>
      <c r="BL21" s="3228"/>
      <c r="BM21" s="3228"/>
      <c r="BN21" s="3228"/>
      <c r="BO21" s="3228"/>
      <c r="BP21" s="3228"/>
      <c r="BQ21" s="3228"/>
    </row>
    <row r="22" spans="1:69" ht="22.05" customHeight="1">
      <c r="A22" s="1203">
        <v>15</v>
      </c>
      <c r="B22" s="3211" t="s">
        <v>890</v>
      </c>
      <c r="C22" s="3212" t="s">
        <v>564</v>
      </c>
      <c r="D22" s="3214"/>
      <c r="E22" s="3214"/>
      <c r="F22" s="3214"/>
      <c r="G22" s="3214"/>
      <c r="H22" s="3214"/>
      <c r="I22" s="3214"/>
      <c r="J22" s="3213" t="s">
        <v>891</v>
      </c>
      <c r="K22" s="3214"/>
      <c r="L22" s="3214"/>
      <c r="M22" s="3214"/>
      <c r="N22" s="3214"/>
      <c r="O22" s="3214"/>
      <c r="P22" s="3214"/>
      <c r="Q22" s="3214"/>
      <c r="R22" s="3214"/>
      <c r="S22" s="3214"/>
      <c r="T22" s="3214"/>
      <c r="U22" s="3214"/>
      <c r="V22" s="3214"/>
      <c r="W22" s="3214"/>
      <c r="X22" s="3214"/>
      <c r="Y22" s="3214"/>
      <c r="Z22" s="3214"/>
      <c r="AA22" s="3214"/>
      <c r="AB22" s="3214"/>
      <c r="AC22" s="3214"/>
      <c r="AD22" s="3214"/>
      <c r="AE22" s="3215"/>
      <c r="AF22" s="3215"/>
      <c r="AG22" s="3215"/>
      <c r="AH22" s="3215"/>
      <c r="AI22" s="3215"/>
      <c r="AJ22" s="3215"/>
      <c r="AK22" s="3215"/>
      <c r="AL22" s="3215"/>
      <c r="AM22" s="3231"/>
      <c r="AN22" s="3215"/>
      <c r="AO22" s="3215"/>
      <c r="AP22" s="3215"/>
      <c r="AQ22" s="3234"/>
      <c r="AR22" s="3215"/>
      <c r="AS22" s="3215"/>
      <c r="AT22" s="3230" t="s">
        <v>1903</v>
      </c>
      <c r="AU22" s="3231"/>
      <c r="AV22" s="3231"/>
      <c r="AW22" s="3231"/>
      <c r="AX22" s="3231"/>
      <c r="AY22" s="3231"/>
      <c r="AZ22" s="3231"/>
      <c r="BA22" s="3231"/>
      <c r="BB22" s="3231"/>
      <c r="BC22" s="3231"/>
      <c r="BD22" s="4895" t="s">
        <v>2981</v>
      </c>
      <c r="BE22" s="3231"/>
      <c r="BF22" s="3231"/>
      <c r="BG22" s="3219"/>
      <c r="BH22" s="3220"/>
      <c r="BI22" s="3220"/>
      <c r="BJ22" s="3220"/>
      <c r="BK22" s="3220"/>
      <c r="BL22" s="3220"/>
      <c r="BM22" s="3220">
        <v>1</v>
      </c>
      <c r="BN22" s="3220">
        <v>1</v>
      </c>
      <c r="BO22" s="3220">
        <v>1</v>
      </c>
      <c r="BP22" s="3220">
        <v>1</v>
      </c>
      <c r="BQ22" s="3220">
        <v>1</v>
      </c>
    </row>
    <row r="23" spans="1:69" ht="28.8">
      <c r="A23" s="1203">
        <v>16</v>
      </c>
      <c r="B23" s="3211" t="s">
        <v>892</v>
      </c>
      <c r="C23" s="3212" t="s">
        <v>564</v>
      </c>
      <c r="D23" s="3214"/>
      <c r="E23" s="3214"/>
      <c r="F23" s="3214"/>
      <c r="G23" s="3214"/>
      <c r="H23" s="3214"/>
      <c r="I23" s="3214"/>
      <c r="J23" s="3213" t="s">
        <v>891</v>
      </c>
      <c r="K23" s="3214"/>
      <c r="L23" s="3214"/>
      <c r="M23" s="3214"/>
      <c r="N23" s="3214"/>
      <c r="O23" s="3214"/>
      <c r="P23" s="3214"/>
      <c r="Q23" s="3214"/>
      <c r="R23" s="3214"/>
      <c r="S23" s="3214"/>
      <c r="T23" s="3214"/>
      <c r="U23" s="3214"/>
      <c r="V23" s="3214"/>
      <c r="W23" s="3214"/>
      <c r="X23" s="3214"/>
      <c r="Y23" s="3214"/>
      <c r="Z23" s="3214"/>
      <c r="AA23" s="3214"/>
      <c r="AB23" s="3214"/>
      <c r="AC23" s="3214"/>
      <c r="AD23" s="3214"/>
      <c r="AE23" s="3215"/>
      <c r="AF23" s="3215"/>
      <c r="AG23" s="3215"/>
      <c r="AH23" s="3215"/>
      <c r="AI23" s="3215"/>
      <c r="AJ23" s="3215"/>
      <c r="AK23" s="3215"/>
      <c r="AL23" s="3215"/>
      <c r="AM23" s="3215"/>
      <c r="AN23" s="3215"/>
      <c r="AO23" s="3215"/>
      <c r="AP23" s="3215"/>
      <c r="AQ23" s="3234"/>
      <c r="AR23" s="3215"/>
      <c r="AS23" s="3215"/>
      <c r="AT23" s="3230" t="s">
        <v>1903</v>
      </c>
      <c r="AU23" s="3231"/>
      <c r="AV23" s="3231"/>
      <c r="AW23" s="3231"/>
      <c r="AX23" s="3231"/>
      <c r="AY23" s="3231"/>
      <c r="AZ23" s="3231"/>
      <c r="BA23" s="3231"/>
      <c r="BB23" s="3231"/>
      <c r="BC23" s="3231"/>
      <c r="BD23" s="4895" t="s">
        <v>2981</v>
      </c>
      <c r="BE23" s="3231"/>
      <c r="BF23" s="3231"/>
      <c r="BG23" s="3219"/>
      <c r="BH23" s="3220"/>
      <c r="BI23" s="3220"/>
      <c r="BJ23" s="3220"/>
      <c r="BK23" s="3220"/>
      <c r="BL23" s="3220"/>
      <c r="BM23" s="3220">
        <v>1</v>
      </c>
      <c r="BN23" s="3220">
        <v>1</v>
      </c>
      <c r="BO23" s="3220">
        <v>1</v>
      </c>
      <c r="BP23" s="3220">
        <v>1</v>
      </c>
      <c r="BQ23" s="3220">
        <v>1</v>
      </c>
    </row>
    <row r="24" spans="1:69" ht="14.4">
      <c r="A24" s="1203">
        <v>17</v>
      </c>
      <c r="B24" s="3211" t="s">
        <v>893</v>
      </c>
      <c r="C24" s="3212" t="s">
        <v>564</v>
      </c>
      <c r="D24" s="3214"/>
      <c r="E24" s="3214"/>
      <c r="F24" s="3214"/>
      <c r="G24" s="3214"/>
      <c r="H24" s="3214"/>
      <c r="I24" s="3214"/>
      <c r="J24" s="3213" t="s">
        <v>891</v>
      </c>
      <c r="K24" s="3214"/>
      <c r="L24" s="3214"/>
      <c r="M24" s="3214"/>
      <c r="N24" s="3214"/>
      <c r="O24" s="3214"/>
      <c r="P24" s="3214"/>
      <c r="Q24" s="3214"/>
      <c r="R24" s="3214"/>
      <c r="S24" s="3214"/>
      <c r="T24" s="3214"/>
      <c r="U24" s="3214"/>
      <c r="V24" s="3214"/>
      <c r="W24" s="3214"/>
      <c r="X24" s="3214"/>
      <c r="Y24" s="3214"/>
      <c r="Z24" s="3214"/>
      <c r="AA24" s="3214"/>
      <c r="AB24" s="3214"/>
      <c r="AC24" s="3214"/>
      <c r="AD24" s="3214"/>
      <c r="AE24" s="3215"/>
      <c r="AF24" s="3215"/>
      <c r="AG24" s="3215"/>
      <c r="AH24" s="3215"/>
      <c r="AI24" s="3215"/>
      <c r="AJ24" s="3215"/>
      <c r="AK24" s="3215"/>
      <c r="AL24" s="3215"/>
      <c r="AM24" s="3215"/>
      <c r="AN24" s="3215"/>
      <c r="AO24" s="3215"/>
      <c r="AP24" s="3215"/>
      <c r="AQ24" s="3234"/>
      <c r="AR24" s="3215"/>
      <c r="AS24" s="3215"/>
      <c r="AT24" s="3230" t="s">
        <v>1903</v>
      </c>
      <c r="AU24" s="3231"/>
      <c r="AV24" s="3231"/>
      <c r="AW24" s="3231"/>
      <c r="AX24" s="3231"/>
      <c r="AY24" s="3231"/>
      <c r="AZ24" s="3231"/>
      <c r="BA24" s="3231"/>
      <c r="BB24" s="3231"/>
      <c r="BC24" s="3231"/>
      <c r="BD24" s="4895" t="s">
        <v>2981</v>
      </c>
      <c r="BE24" s="3231"/>
      <c r="BF24" s="3231"/>
      <c r="BG24" s="3219"/>
      <c r="BH24" s="3220"/>
      <c r="BI24" s="3220"/>
      <c r="BJ24" s="3220"/>
      <c r="BK24" s="3220"/>
      <c r="BL24" s="3220"/>
      <c r="BM24" s="3220">
        <v>1</v>
      </c>
      <c r="BN24" s="3220">
        <v>1</v>
      </c>
      <c r="BO24" s="3220">
        <v>1</v>
      </c>
      <c r="BP24" s="3220">
        <v>1</v>
      </c>
      <c r="BQ24" s="3220">
        <v>1</v>
      </c>
    </row>
    <row r="25" spans="1:69" ht="14.4">
      <c r="A25" s="218"/>
      <c r="B25" s="3235" t="s">
        <v>373</v>
      </c>
      <c r="C25" s="3236"/>
      <c r="D25" s="3237"/>
      <c r="E25" s="3237"/>
      <c r="F25" s="3237"/>
      <c r="G25" s="3237"/>
      <c r="H25" s="3237"/>
      <c r="I25" s="3237"/>
      <c r="J25" s="3237"/>
      <c r="K25" s="3237"/>
      <c r="L25" s="3237"/>
      <c r="M25" s="3237"/>
      <c r="N25" s="3237"/>
      <c r="O25" s="3237"/>
      <c r="P25" s="3237"/>
      <c r="Q25" s="3237"/>
      <c r="R25" s="3237"/>
      <c r="S25" s="3237"/>
      <c r="T25" s="3237"/>
      <c r="U25" s="3237"/>
      <c r="V25" s="3237"/>
      <c r="W25" s="3237"/>
      <c r="X25" s="3237"/>
      <c r="Y25" s="3237"/>
      <c r="Z25" s="3237"/>
      <c r="AA25" s="3237"/>
      <c r="AB25" s="3237"/>
      <c r="AC25" s="3237"/>
      <c r="AD25" s="3237"/>
      <c r="AE25" s="3237"/>
      <c r="AF25" s="3237"/>
      <c r="AG25" s="3237"/>
      <c r="AH25" s="3237"/>
      <c r="AI25" s="3237"/>
      <c r="AJ25" s="3237"/>
      <c r="AK25" s="3238"/>
      <c r="AL25" s="3238"/>
      <c r="AM25" s="3238"/>
      <c r="AN25" s="3238"/>
      <c r="AO25" s="3238"/>
      <c r="AP25" s="3238"/>
      <c r="AQ25" s="3238"/>
      <c r="AR25" s="3238"/>
      <c r="AS25" s="3238"/>
      <c r="AT25" s="3238"/>
      <c r="AU25" s="3238"/>
      <c r="AV25" s="3238"/>
      <c r="AW25" s="3238"/>
      <c r="AX25" s="3238"/>
      <c r="AY25" s="3238"/>
      <c r="AZ25" s="3238"/>
      <c r="BA25" s="3238"/>
      <c r="BB25" s="3238"/>
      <c r="BC25" s="4898"/>
      <c r="BD25" s="4899"/>
      <c r="BE25" s="4899"/>
      <c r="BF25" s="4899"/>
      <c r="BG25" s="3239"/>
      <c r="BH25" s="3239"/>
      <c r="BI25" s="3239"/>
      <c r="BJ25" s="3239"/>
      <c r="BK25" s="3239"/>
      <c r="BL25" s="3239"/>
      <c r="BM25" s="3240"/>
      <c r="BN25" s="3240"/>
      <c r="BO25" s="3240"/>
      <c r="BP25" s="3240"/>
      <c r="BQ25" s="3240"/>
    </row>
    <row r="26" spans="1:69" ht="22.05" customHeight="1">
      <c r="A26" s="218">
        <v>18</v>
      </c>
      <c r="B26" s="3211" t="s">
        <v>894</v>
      </c>
      <c r="C26" s="3212" t="s">
        <v>1671</v>
      </c>
      <c r="D26" s="3214"/>
      <c r="E26" s="3221"/>
      <c r="F26" s="3214"/>
      <c r="G26" s="3214"/>
      <c r="H26" s="3214"/>
      <c r="I26" s="3214"/>
      <c r="J26" s="3214"/>
      <c r="K26" s="3214"/>
      <c r="L26" s="3214"/>
      <c r="M26" s="3213" t="s">
        <v>900</v>
      </c>
      <c r="N26" s="3214"/>
      <c r="O26" s="3217" t="s">
        <v>895</v>
      </c>
      <c r="P26" s="3214"/>
      <c r="Q26" s="3214"/>
      <c r="R26" s="3214"/>
      <c r="S26" s="3214"/>
      <c r="T26" s="3214"/>
      <c r="U26" s="3214"/>
      <c r="V26" s="3214"/>
      <c r="W26" s="3214"/>
      <c r="X26" s="3214"/>
      <c r="Y26" s="3213" t="s">
        <v>896</v>
      </c>
      <c r="Z26" s="3214"/>
      <c r="AA26" s="3213" t="s">
        <v>211</v>
      </c>
      <c r="AB26" s="3214"/>
      <c r="AC26" s="3214"/>
      <c r="AD26" s="3214"/>
      <c r="AE26" s="3215"/>
      <c r="AF26" s="3213" t="s">
        <v>511</v>
      </c>
      <c r="AG26" s="3230" t="s">
        <v>897</v>
      </c>
      <c r="AH26" s="3231"/>
      <c r="AI26" s="3231"/>
      <c r="AJ26" s="3231"/>
      <c r="AK26" s="3231"/>
      <c r="AL26" s="3241" t="s">
        <v>898</v>
      </c>
      <c r="AM26" s="3231"/>
      <c r="AN26" s="3231"/>
      <c r="AO26" s="3231"/>
      <c r="AP26" s="3231"/>
      <c r="AQ26" s="3218" t="s">
        <v>1668</v>
      </c>
      <c r="AR26" s="3214"/>
      <c r="AS26" s="3214"/>
      <c r="AT26" s="3214"/>
      <c r="AU26" s="3214"/>
      <c r="AV26" s="3214"/>
      <c r="AW26" s="3214"/>
      <c r="AX26" s="3214"/>
      <c r="AY26" s="3213" t="s">
        <v>2637</v>
      </c>
      <c r="AZ26" s="3214"/>
      <c r="BA26" s="3214"/>
      <c r="BB26" s="3214"/>
      <c r="BC26" s="4897"/>
      <c r="BD26" s="3214"/>
      <c r="BE26" s="3214"/>
      <c r="BF26" s="3214"/>
      <c r="BG26" s="3219">
        <v>1</v>
      </c>
      <c r="BH26" s="3220">
        <v>1</v>
      </c>
      <c r="BI26" s="3220">
        <v>1</v>
      </c>
      <c r="BJ26" s="3220">
        <v>1</v>
      </c>
      <c r="BK26" s="3220">
        <v>1</v>
      </c>
      <c r="BL26" s="3220">
        <v>1</v>
      </c>
      <c r="BM26" s="3220">
        <v>1</v>
      </c>
      <c r="BN26" s="3220">
        <v>1</v>
      </c>
      <c r="BO26" s="3220">
        <v>1</v>
      </c>
      <c r="BP26" s="3220">
        <v>1</v>
      </c>
      <c r="BQ26" s="3220">
        <v>1</v>
      </c>
    </row>
    <row r="27" spans="1:69" ht="22.05" customHeight="1">
      <c r="A27" s="218">
        <v>19</v>
      </c>
      <c r="B27" s="3211" t="s">
        <v>899</v>
      </c>
      <c r="C27" s="3212" t="s">
        <v>1671</v>
      </c>
      <c r="D27" s="3214"/>
      <c r="E27" s="3214"/>
      <c r="F27" s="3214"/>
      <c r="G27" s="3214"/>
      <c r="H27" s="3214"/>
      <c r="I27" s="3214"/>
      <c r="J27" s="3214"/>
      <c r="K27" s="3214"/>
      <c r="L27" s="3214"/>
      <c r="M27" s="3213" t="s">
        <v>900</v>
      </c>
      <c r="N27" s="3214"/>
      <c r="O27" s="3216"/>
      <c r="P27" s="3214"/>
      <c r="Q27" s="3214"/>
      <c r="R27" s="3214"/>
      <c r="S27" s="3214"/>
      <c r="T27" s="3214"/>
      <c r="U27" s="3214"/>
      <c r="V27" s="3214"/>
      <c r="W27" s="3214"/>
      <c r="X27" s="3214"/>
      <c r="Y27" s="3213" t="s">
        <v>901</v>
      </c>
      <c r="Z27" s="3214"/>
      <c r="AA27" s="3214"/>
      <c r="AB27" s="3214"/>
      <c r="AC27" s="3214"/>
      <c r="AD27" s="3214"/>
      <c r="AE27" s="3215"/>
      <c r="AF27" s="3213" t="s">
        <v>511</v>
      </c>
      <c r="AG27" s="3241" t="s">
        <v>902</v>
      </c>
      <c r="AH27" s="3215"/>
      <c r="AI27" s="3217" t="s">
        <v>903</v>
      </c>
      <c r="AJ27" s="3216"/>
      <c r="AK27" s="3216"/>
      <c r="AL27" s="3241" t="s">
        <v>898</v>
      </c>
      <c r="AM27" s="3216"/>
      <c r="AN27" s="3216"/>
      <c r="AO27" s="3216"/>
      <c r="AP27" s="3216"/>
      <c r="AQ27" s="3218" t="s">
        <v>1668</v>
      </c>
      <c r="AR27" s="3214"/>
      <c r="AS27" s="3214"/>
      <c r="AT27" s="3214"/>
      <c r="AU27" s="3214"/>
      <c r="AV27" s="3214"/>
      <c r="AW27" s="3214"/>
      <c r="AX27" s="3213" t="s">
        <v>2636</v>
      </c>
      <c r="AY27" s="3214"/>
      <c r="AZ27" s="3214"/>
      <c r="BA27" s="3214"/>
      <c r="BB27" s="3214"/>
      <c r="BC27" s="4897"/>
      <c r="BD27" s="3214"/>
      <c r="BE27" s="3214"/>
      <c r="BF27" s="3214"/>
      <c r="BG27" s="3219">
        <v>1</v>
      </c>
      <c r="BH27" s="3220">
        <v>1</v>
      </c>
      <c r="BI27" s="3220">
        <v>1</v>
      </c>
      <c r="BJ27" s="3220">
        <v>1</v>
      </c>
      <c r="BK27" s="3220">
        <v>1</v>
      </c>
      <c r="BL27" s="3220">
        <v>1</v>
      </c>
      <c r="BM27" s="3220">
        <v>1</v>
      </c>
      <c r="BN27" s="3220">
        <v>1</v>
      </c>
      <c r="BO27" s="3220">
        <v>1</v>
      </c>
      <c r="BP27" s="3220">
        <v>1</v>
      </c>
      <c r="BQ27" s="3220">
        <v>1</v>
      </c>
    </row>
    <row r="28" spans="1:69" ht="22.05" customHeight="1">
      <c r="A28" s="218">
        <v>20</v>
      </c>
      <c r="B28" s="3211" t="s">
        <v>874</v>
      </c>
      <c r="C28" s="3212" t="s">
        <v>1671</v>
      </c>
      <c r="D28" s="3214"/>
      <c r="E28" s="3214"/>
      <c r="F28" s="3214"/>
      <c r="G28" s="3214"/>
      <c r="H28" s="3214"/>
      <c r="I28" s="3214"/>
      <c r="J28" s="3213" t="s">
        <v>891</v>
      </c>
      <c r="K28" s="3214"/>
      <c r="L28" s="3214"/>
      <c r="M28" s="3213" t="s">
        <v>900</v>
      </c>
      <c r="N28" s="3214"/>
      <c r="O28" s="3216"/>
      <c r="P28" s="3214"/>
      <c r="Q28" s="3214"/>
      <c r="R28" s="3214"/>
      <c r="S28" s="3214"/>
      <c r="T28" s="3214"/>
      <c r="U28" s="3214"/>
      <c r="V28" s="3214"/>
      <c r="W28" s="3214"/>
      <c r="X28" s="3214"/>
      <c r="Y28" s="3213" t="s">
        <v>901</v>
      </c>
      <c r="Z28" s="3214"/>
      <c r="AA28" s="3214"/>
      <c r="AB28" s="3217" t="s">
        <v>904</v>
      </c>
      <c r="AC28" s="3221"/>
      <c r="AD28" s="3214"/>
      <c r="AE28" s="3215"/>
      <c r="AF28" s="3213" t="s">
        <v>511</v>
      </c>
      <c r="AG28" s="3241" t="s">
        <v>902</v>
      </c>
      <c r="AH28" s="3215"/>
      <c r="AI28" s="3215"/>
      <c r="AJ28" s="3215"/>
      <c r="AK28" s="3230" t="s">
        <v>664</v>
      </c>
      <c r="AL28" s="3241" t="s">
        <v>898</v>
      </c>
      <c r="AM28" s="3215"/>
      <c r="AN28" s="3215"/>
      <c r="AO28" s="3215"/>
      <c r="AP28" s="3215"/>
      <c r="AQ28" s="3218" t="s">
        <v>1668</v>
      </c>
      <c r="AR28" s="3214"/>
      <c r="AS28" s="3214"/>
      <c r="AT28" s="3214"/>
      <c r="AU28" s="3214"/>
      <c r="AV28" s="3214"/>
      <c r="AW28" s="3214"/>
      <c r="AX28" s="3214"/>
      <c r="AY28" s="3214"/>
      <c r="AZ28" s="3214"/>
      <c r="BA28" s="3214"/>
      <c r="BB28" s="3214"/>
      <c r="BC28" s="4897"/>
      <c r="BD28" s="3214"/>
      <c r="BE28" s="3214"/>
      <c r="BF28" s="3214"/>
      <c r="BG28" s="3219">
        <v>1</v>
      </c>
      <c r="BH28" s="3220">
        <v>1</v>
      </c>
      <c r="BI28" s="3220">
        <v>1</v>
      </c>
      <c r="BJ28" s="3220">
        <v>1</v>
      </c>
      <c r="BK28" s="3220">
        <v>1</v>
      </c>
      <c r="BL28" s="3220">
        <v>1</v>
      </c>
      <c r="BM28" s="3220">
        <v>1</v>
      </c>
      <c r="BN28" s="3220">
        <v>1</v>
      </c>
      <c r="BO28" s="3220"/>
      <c r="BP28" s="3220"/>
      <c r="BQ28" s="3220"/>
    </row>
    <row r="29" spans="1:69" ht="22.05" customHeight="1">
      <c r="A29" s="218">
        <v>21</v>
      </c>
      <c r="B29" s="3211" t="s">
        <v>905</v>
      </c>
      <c r="C29" s="3212" t="s">
        <v>1671</v>
      </c>
      <c r="D29" s="3214"/>
      <c r="E29" s="3214"/>
      <c r="F29" s="3214"/>
      <c r="G29" s="3214"/>
      <c r="H29" s="3214"/>
      <c r="I29" s="3214"/>
      <c r="J29" s="3214"/>
      <c r="K29" s="3214"/>
      <c r="L29" s="3214"/>
      <c r="M29" s="3213" t="s">
        <v>900</v>
      </c>
      <c r="N29" s="3214"/>
      <c r="O29" s="3216"/>
      <c r="P29" s="3214"/>
      <c r="Q29" s="3214"/>
      <c r="R29" s="3214"/>
      <c r="S29" s="3214"/>
      <c r="T29" s="3214"/>
      <c r="U29" s="3214"/>
      <c r="V29" s="3214"/>
      <c r="W29" s="3214"/>
      <c r="X29" s="3214"/>
      <c r="Y29" s="3213" t="s">
        <v>901</v>
      </c>
      <c r="Z29" s="3214"/>
      <c r="AA29" s="3214"/>
      <c r="AB29" s="3214"/>
      <c r="AC29" s="3217" t="s">
        <v>906</v>
      </c>
      <c r="AD29" s="3214"/>
      <c r="AE29" s="3215"/>
      <c r="AF29" s="3213" t="s">
        <v>511</v>
      </c>
      <c r="AG29" s="3241" t="s">
        <v>902</v>
      </c>
      <c r="AH29" s="3215"/>
      <c r="AI29" s="3215"/>
      <c r="AJ29" s="3215"/>
      <c r="AK29" s="3215"/>
      <c r="AL29" s="3241" t="s">
        <v>898</v>
      </c>
      <c r="AM29" s="3215"/>
      <c r="AN29" s="3215"/>
      <c r="AO29" s="3215"/>
      <c r="AP29" s="3215"/>
      <c r="AQ29" s="3218" t="s">
        <v>1668</v>
      </c>
      <c r="AR29" s="3214"/>
      <c r="AS29" s="3214"/>
      <c r="AT29" s="3214"/>
      <c r="AU29" s="3214"/>
      <c r="AV29" s="3214"/>
      <c r="AW29" s="3214"/>
      <c r="AX29" s="3214"/>
      <c r="AY29" s="3214"/>
      <c r="AZ29" s="3214"/>
      <c r="BA29" s="3214"/>
      <c r="BB29" s="3214"/>
      <c r="BC29" s="4897"/>
      <c r="BD29" s="3214"/>
      <c r="BE29" s="3214"/>
      <c r="BF29" s="3214"/>
      <c r="BG29" s="3219">
        <v>1</v>
      </c>
      <c r="BH29" s="3220">
        <v>1</v>
      </c>
      <c r="BI29" s="3220">
        <v>1</v>
      </c>
      <c r="BJ29" s="3220">
        <v>1</v>
      </c>
      <c r="BK29" s="3220">
        <v>1</v>
      </c>
      <c r="BL29" s="3220">
        <v>1</v>
      </c>
      <c r="BM29" s="3220">
        <v>1</v>
      </c>
      <c r="BN29" s="3220">
        <v>1</v>
      </c>
      <c r="BO29" s="3220"/>
      <c r="BP29" s="3220"/>
      <c r="BQ29" s="3220"/>
    </row>
    <row r="30" spans="1:69" ht="22.05" customHeight="1">
      <c r="A30" s="218">
        <v>22</v>
      </c>
      <c r="B30" s="3211" t="s">
        <v>907</v>
      </c>
      <c r="C30" s="3212" t="s">
        <v>1671</v>
      </c>
      <c r="D30" s="3214"/>
      <c r="E30" s="3214"/>
      <c r="F30" s="3214"/>
      <c r="G30" s="3214"/>
      <c r="H30" s="3214"/>
      <c r="I30" s="3214"/>
      <c r="J30" s="3214"/>
      <c r="K30" s="3214"/>
      <c r="L30" s="3214"/>
      <c r="M30" s="3213" t="s">
        <v>900</v>
      </c>
      <c r="N30" s="3214"/>
      <c r="O30" s="3216"/>
      <c r="P30" s="3214"/>
      <c r="Q30" s="3214"/>
      <c r="R30" s="3214"/>
      <c r="S30" s="3214"/>
      <c r="T30" s="3214"/>
      <c r="U30" s="3214"/>
      <c r="V30" s="3214"/>
      <c r="W30" s="3214"/>
      <c r="X30" s="3214"/>
      <c r="Y30" s="3213" t="s">
        <v>901</v>
      </c>
      <c r="Z30" s="3214"/>
      <c r="AA30" s="3214"/>
      <c r="AB30" s="3214"/>
      <c r="AC30" s="3214"/>
      <c r="AD30" s="3214"/>
      <c r="AE30" s="3215"/>
      <c r="AF30" s="3213" t="s">
        <v>511</v>
      </c>
      <c r="AG30" s="3241" t="s">
        <v>902</v>
      </c>
      <c r="AH30" s="3230" t="s">
        <v>664</v>
      </c>
      <c r="AI30" s="3231"/>
      <c r="AJ30" s="3231"/>
      <c r="AK30" s="3231"/>
      <c r="AL30" s="3241" t="s">
        <v>898</v>
      </c>
      <c r="AM30" s="3231"/>
      <c r="AN30" s="3231"/>
      <c r="AO30" s="3231"/>
      <c r="AP30" s="3231"/>
      <c r="AQ30" s="3218" t="s">
        <v>1668</v>
      </c>
      <c r="AR30" s="3214"/>
      <c r="AS30" s="3214"/>
      <c r="AT30" s="3214"/>
      <c r="AU30" s="3214"/>
      <c r="AV30" s="3214"/>
      <c r="AW30" s="3214"/>
      <c r="AX30" s="3214"/>
      <c r="AY30" s="3214"/>
      <c r="AZ30" s="3214"/>
      <c r="BA30" s="3214"/>
      <c r="BB30" s="3214"/>
      <c r="BC30" s="4897"/>
      <c r="BD30" s="3214"/>
      <c r="BE30" s="3214"/>
      <c r="BF30" s="3214"/>
      <c r="BG30" s="3219">
        <v>1</v>
      </c>
      <c r="BH30" s="3220">
        <v>1</v>
      </c>
      <c r="BI30" s="3220">
        <v>1</v>
      </c>
      <c r="BJ30" s="3220">
        <v>1</v>
      </c>
      <c r="BK30" s="3220">
        <v>1</v>
      </c>
      <c r="BL30" s="3220">
        <v>1</v>
      </c>
      <c r="BM30" s="3220">
        <v>1</v>
      </c>
      <c r="BN30" s="3220">
        <v>1</v>
      </c>
      <c r="BO30" s="3220"/>
      <c r="BP30" s="3220"/>
      <c r="BQ30" s="3220"/>
    </row>
    <row r="31" spans="1:69" ht="22.05" customHeight="1">
      <c r="A31" s="218">
        <v>23</v>
      </c>
      <c r="B31" s="3211" t="s">
        <v>876</v>
      </c>
      <c r="C31" s="3212" t="s">
        <v>1671</v>
      </c>
      <c r="D31" s="3213" t="s">
        <v>889</v>
      </c>
      <c r="E31" s="3221"/>
      <c r="F31" s="3214"/>
      <c r="G31" s="3214"/>
      <c r="H31" s="3214"/>
      <c r="I31" s="3214"/>
      <c r="J31" s="3214"/>
      <c r="K31" s="3214"/>
      <c r="L31" s="3214"/>
      <c r="M31" s="3213" t="s">
        <v>900</v>
      </c>
      <c r="N31" s="3214"/>
      <c r="O31" s="3216"/>
      <c r="P31" s="3214"/>
      <c r="Q31" s="3214"/>
      <c r="R31" s="3214"/>
      <c r="S31" s="3214"/>
      <c r="T31" s="3214"/>
      <c r="U31" s="3214"/>
      <c r="V31" s="3214"/>
      <c r="W31" s="3214"/>
      <c r="X31" s="3214"/>
      <c r="Y31" s="3213" t="s">
        <v>901</v>
      </c>
      <c r="Z31" s="3214"/>
      <c r="AA31" s="3214"/>
      <c r="AB31" s="3214"/>
      <c r="AC31" s="3214"/>
      <c r="AD31" s="3214"/>
      <c r="AE31" s="3215"/>
      <c r="AF31" s="3213" t="s">
        <v>511</v>
      </c>
      <c r="AG31" s="3241" t="s">
        <v>902</v>
      </c>
      <c r="AH31" s="3215"/>
      <c r="AI31" s="3215"/>
      <c r="AJ31" s="3215"/>
      <c r="AK31" s="3215"/>
      <c r="AL31" s="3241" t="s">
        <v>898</v>
      </c>
      <c r="AM31" s="3215"/>
      <c r="AN31" s="3215"/>
      <c r="AO31" s="3215"/>
      <c r="AP31" s="3215"/>
      <c r="AQ31" s="3218" t="s">
        <v>1668</v>
      </c>
      <c r="AR31" s="3214"/>
      <c r="AS31" s="3214"/>
      <c r="AT31" s="3214"/>
      <c r="AU31" s="3214"/>
      <c r="AV31" s="3214"/>
      <c r="AW31" s="3214"/>
      <c r="AX31" s="3214"/>
      <c r="AY31" s="3214"/>
      <c r="AZ31" s="3214"/>
      <c r="BA31" s="3214"/>
      <c r="BB31" s="3214"/>
      <c r="BC31" s="4897"/>
      <c r="BD31" s="3214"/>
      <c r="BE31" s="3214"/>
      <c r="BF31" s="3214"/>
      <c r="BG31" s="3219">
        <v>1</v>
      </c>
      <c r="BH31" s="3220">
        <v>1</v>
      </c>
      <c r="BI31" s="3220">
        <v>1</v>
      </c>
      <c r="BJ31" s="3220">
        <v>1</v>
      </c>
      <c r="BK31" s="3220">
        <v>1</v>
      </c>
      <c r="BL31" s="3220">
        <v>1</v>
      </c>
      <c r="BM31" s="3220">
        <v>1</v>
      </c>
      <c r="BN31" s="3220">
        <v>1</v>
      </c>
      <c r="BO31" s="3220"/>
      <c r="BP31" s="3220"/>
      <c r="BQ31" s="3220"/>
    </row>
    <row r="32" spans="1:69" ht="22.05" customHeight="1">
      <c r="A32" s="218">
        <v>24</v>
      </c>
      <c r="B32" s="3211" t="s">
        <v>908</v>
      </c>
      <c r="C32" s="3212" t="s">
        <v>1671</v>
      </c>
      <c r="D32" s="3214"/>
      <c r="E32" s="3213" t="s">
        <v>252</v>
      </c>
      <c r="F32" s="3221"/>
      <c r="G32" s="3214"/>
      <c r="H32" s="3214"/>
      <c r="I32" s="3214"/>
      <c r="J32" s="3214"/>
      <c r="K32" s="3214"/>
      <c r="L32" s="3214"/>
      <c r="M32" s="3213" t="s">
        <v>900</v>
      </c>
      <c r="N32" s="3214"/>
      <c r="O32" s="3216"/>
      <c r="P32" s="3214"/>
      <c r="Q32" s="3214"/>
      <c r="R32" s="3214"/>
      <c r="S32" s="3214"/>
      <c r="T32" s="3214"/>
      <c r="U32" s="3214"/>
      <c r="V32" s="3214"/>
      <c r="W32" s="3214"/>
      <c r="X32" s="3214"/>
      <c r="Y32" s="3213" t="s">
        <v>901</v>
      </c>
      <c r="Z32" s="3214"/>
      <c r="AA32" s="3214"/>
      <c r="AB32" s="3214"/>
      <c r="AC32" s="3214"/>
      <c r="AD32" s="3214"/>
      <c r="AE32" s="3215"/>
      <c r="AF32" s="3213" t="s">
        <v>511</v>
      </c>
      <c r="AG32" s="3241" t="s">
        <v>902</v>
      </c>
      <c r="AH32" s="3215"/>
      <c r="AI32" s="3217" t="s">
        <v>909</v>
      </c>
      <c r="AJ32" s="3216"/>
      <c r="AK32" s="3216"/>
      <c r="AL32" s="3241" t="s">
        <v>898</v>
      </c>
      <c r="AM32" s="3216"/>
      <c r="AN32" s="3216"/>
      <c r="AO32" s="3216"/>
      <c r="AP32" s="3216"/>
      <c r="AQ32" s="3218" t="s">
        <v>1668</v>
      </c>
      <c r="AR32" s="3214"/>
      <c r="AS32" s="3214"/>
      <c r="AT32" s="3214"/>
      <c r="AU32" s="3214"/>
      <c r="AV32" s="3214"/>
      <c r="AW32" s="3214"/>
      <c r="AX32" s="3214"/>
      <c r="AY32" s="3214"/>
      <c r="AZ32" s="3214"/>
      <c r="BA32" s="3214"/>
      <c r="BB32" s="3214"/>
      <c r="BC32" s="4897"/>
      <c r="BD32" s="3214"/>
      <c r="BE32" s="3214"/>
      <c r="BF32" s="3214"/>
      <c r="BG32" s="3219">
        <v>1</v>
      </c>
      <c r="BH32" s="3220">
        <v>1</v>
      </c>
      <c r="BI32" s="3220">
        <v>1</v>
      </c>
      <c r="BJ32" s="3220">
        <v>1</v>
      </c>
      <c r="BK32" s="3220">
        <v>1</v>
      </c>
      <c r="BL32" s="3220">
        <v>1</v>
      </c>
      <c r="BM32" s="3220">
        <v>1</v>
      </c>
      <c r="BN32" s="3220">
        <v>1</v>
      </c>
      <c r="BO32" s="3220"/>
      <c r="BP32" s="3220"/>
      <c r="BQ32" s="3220"/>
    </row>
    <row r="33" spans="1:69" ht="22.05" customHeight="1">
      <c r="A33" s="218">
        <v>25</v>
      </c>
      <c r="B33" s="3211" t="s">
        <v>910</v>
      </c>
      <c r="C33" s="3212" t="s">
        <v>1671</v>
      </c>
      <c r="D33" s="3214"/>
      <c r="E33" s="3213" t="s">
        <v>252</v>
      </c>
      <c r="F33" s="3214"/>
      <c r="G33" s="3221"/>
      <c r="H33" s="3214"/>
      <c r="I33" s="3214"/>
      <c r="J33" s="3214"/>
      <c r="K33" s="3214"/>
      <c r="L33" s="3214"/>
      <c r="M33" s="3213" t="s">
        <v>900</v>
      </c>
      <c r="N33" s="3214"/>
      <c r="O33" s="3216"/>
      <c r="P33" s="3214"/>
      <c r="Q33" s="3214"/>
      <c r="R33" s="3214"/>
      <c r="S33" s="3214"/>
      <c r="T33" s="3214"/>
      <c r="U33" s="3214"/>
      <c r="V33" s="3214"/>
      <c r="W33" s="3214"/>
      <c r="X33" s="3214"/>
      <c r="Y33" s="3213" t="s">
        <v>901</v>
      </c>
      <c r="Z33" s="3214"/>
      <c r="AA33" s="3214"/>
      <c r="AB33" s="3214"/>
      <c r="AC33" s="3214"/>
      <c r="AD33" s="3214"/>
      <c r="AE33" s="3215"/>
      <c r="AF33" s="3242" t="s">
        <v>911</v>
      </c>
      <c r="AG33" s="3241" t="s">
        <v>902</v>
      </c>
      <c r="AH33" s="3215"/>
      <c r="AI33" s="3215"/>
      <c r="AJ33" s="3215"/>
      <c r="AK33" s="3215"/>
      <c r="AL33" s="3243" t="s">
        <v>912</v>
      </c>
      <c r="AM33" s="3214"/>
      <c r="AN33" s="3214"/>
      <c r="AO33" s="3214"/>
      <c r="AP33" s="3214"/>
      <c r="AQ33" s="3218" t="s">
        <v>1668</v>
      </c>
      <c r="AR33" s="3214"/>
      <c r="AS33" s="3214"/>
      <c r="AT33" s="3214"/>
      <c r="AU33" s="3214"/>
      <c r="AV33" s="3244" t="s">
        <v>2413</v>
      </c>
      <c r="AW33" s="3214"/>
      <c r="AX33" s="3214"/>
      <c r="AY33" s="3214"/>
      <c r="AZ33" s="3214"/>
      <c r="BA33" s="3214"/>
      <c r="BB33" s="3214"/>
      <c r="BC33" s="4897"/>
      <c r="BD33" s="3214"/>
      <c r="BE33" s="3214"/>
      <c r="BF33" s="3214"/>
      <c r="BG33" s="3219">
        <v>1</v>
      </c>
      <c r="BH33" s="3220">
        <v>1</v>
      </c>
      <c r="BI33" s="3220">
        <v>1</v>
      </c>
      <c r="BJ33" s="3220">
        <v>1</v>
      </c>
      <c r="BK33" s="3220">
        <v>1</v>
      </c>
      <c r="BL33" s="3220">
        <v>1</v>
      </c>
      <c r="BM33" s="3220">
        <v>1</v>
      </c>
      <c r="BN33" s="3220">
        <v>1</v>
      </c>
      <c r="BO33" s="3220">
        <v>1</v>
      </c>
      <c r="BP33" s="3220">
        <v>1</v>
      </c>
      <c r="BQ33" s="3220"/>
    </row>
    <row r="34" spans="1:69" ht="22.05" customHeight="1">
      <c r="A34" s="218">
        <v>26</v>
      </c>
      <c r="B34" s="3211" t="s">
        <v>913</v>
      </c>
      <c r="C34" s="3212" t="s">
        <v>1671</v>
      </c>
      <c r="D34" s="3213" t="s">
        <v>889</v>
      </c>
      <c r="E34" s="3214"/>
      <c r="F34" s="3214"/>
      <c r="G34" s="3214"/>
      <c r="H34" s="3214"/>
      <c r="I34" s="3214"/>
      <c r="J34" s="3214"/>
      <c r="K34" s="3213" t="s">
        <v>891</v>
      </c>
      <c r="L34" s="3214"/>
      <c r="M34" s="3213" t="s">
        <v>900</v>
      </c>
      <c r="N34" s="3214"/>
      <c r="O34" s="3216"/>
      <c r="P34" s="3214"/>
      <c r="Q34" s="3214"/>
      <c r="R34" s="3214"/>
      <c r="S34" s="3214"/>
      <c r="T34" s="3214"/>
      <c r="U34" s="3214"/>
      <c r="V34" s="3214"/>
      <c r="W34" s="3214"/>
      <c r="X34" s="3214"/>
      <c r="Y34" s="3213" t="s">
        <v>901</v>
      </c>
      <c r="Z34" s="3214"/>
      <c r="AA34" s="3214"/>
      <c r="AB34" s="3214"/>
      <c r="AC34" s="3214"/>
      <c r="AD34" s="3214"/>
      <c r="AE34" s="3215"/>
      <c r="AF34" s="3213" t="s">
        <v>511</v>
      </c>
      <c r="AG34" s="3241" t="s">
        <v>902</v>
      </c>
      <c r="AH34" s="3215"/>
      <c r="AI34" s="3215"/>
      <c r="AJ34" s="3215"/>
      <c r="AK34" s="3215"/>
      <c r="AL34" s="3241" t="s">
        <v>898</v>
      </c>
      <c r="AM34" s="3215"/>
      <c r="AN34" s="3215"/>
      <c r="AO34" s="3215"/>
      <c r="AP34" s="3215"/>
      <c r="AQ34" s="3218" t="s">
        <v>1668</v>
      </c>
      <c r="AR34" s="3214"/>
      <c r="AS34" s="3214"/>
      <c r="AT34" s="3214"/>
      <c r="AU34" s="3214"/>
      <c r="AV34" s="3214"/>
      <c r="AW34" s="3214"/>
      <c r="AX34" s="3214"/>
      <c r="AY34" s="3214"/>
      <c r="AZ34" s="3214"/>
      <c r="BA34" s="3214"/>
      <c r="BB34" s="3214"/>
      <c r="BC34" s="4897"/>
      <c r="BD34" s="3214"/>
      <c r="BE34" s="3214"/>
      <c r="BF34" s="3214"/>
      <c r="BG34" s="3219">
        <v>1</v>
      </c>
      <c r="BH34" s="3220">
        <v>1</v>
      </c>
      <c r="BI34" s="3220">
        <v>1</v>
      </c>
      <c r="BJ34" s="3220">
        <v>1</v>
      </c>
      <c r="BK34" s="3220">
        <v>1</v>
      </c>
      <c r="BL34" s="3220">
        <v>1</v>
      </c>
      <c r="BM34" s="3220">
        <v>1</v>
      </c>
      <c r="BN34" s="3220">
        <v>1</v>
      </c>
      <c r="BO34" s="3220"/>
      <c r="BP34" s="3220"/>
      <c r="BQ34" s="3220"/>
    </row>
    <row r="35" spans="1:69" ht="22.05" customHeight="1">
      <c r="A35" s="218">
        <f>+A34+1</f>
        <v>27</v>
      </c>
      <c r="B35" s="3245" t="s">
        <v>1901</v>
      </c>
      <c r="C35" s="3246" t="s">
        <v>1898</v>
      </c>
      <c r="D35" s="3214"/>
      <c r="E35" s="3214"/>
      <c r="F35" s="3214"/>
      <c r="G35" s="3214"/>
      <c r="H35" s="3214"/>
      <c r="I35" s="3214"/>
      <c r="J35" s="3214"/>
      <c r="K35" s="3214"/>
      <c r="L35" s="3214"/>
      <c r="M35" s="3214"/>
      <c r="N35" s="3214"/>
      <c r="O35" s="3216"/>
      <c r="P35" s="3214"/>
      <c r="Q35" s="3214"/>
      <c r="R35" s="3214"/>
      <c r="S35" s="3214"/>
      <c r="T35" s="3214"/>
      <c r="U35" s="3214"/>
      <c r="V35" s="3214"/>
      <c r="W35" s="3214"/>
      <c r="X35" s="3214"/>
      <c r="Y35" s="3214"/>
      <c r="Z35" s="3214"/>
      <c r="AA35" s="3214"/>
      <c r="AB35" s="3214"/>
      <c r="AC35" s="3214"/>
      <c r="AD35" s="3214"/>
      <c r="AE35" s="3215"/>
      <c r="AF35" s="3214"/>
      <c r="AG35" s="3215"/>
      <c r="AH35" s="3215"/>
      <c r="AI35" s="3215"/>
      <c r="AJ35" s="3215"/>
      <c r="AK35" s="3215"/>
      <c r="AL35" s="3215"/>
      <c r="AM35" s="3215"/>
      <c r="AN35" s="3215"/>
      <c r="AO35" s="3215"/>
      <c r="AP35" s="3215"/>
      <c r="AQ35" s="3214"/>
      <c r="AR35" s="3214"/>
      <c r="AS35" s="3247" t="s">
        <v>1900</v>
      </c>
      <c r="AT35" s="3214"/>
      <c r="AU35" s="3214"/>
      <c r="AV35" s="3214"/>
      <c r="AW35" s="3214"/>
      <c r="AX35" s="3214"/>
      <c r="AY35" s="3214"/>
      <c r="AZ35" s="3214"/>
      <c r="BA35" s="3214"/>
      <c r="BB35" s="3214"/>
      <c r="BC35" s="4897"/>
      <c r="BD35" s="3214"/>
      <c r="BE35" s="3214"/>
      <c r="BF35" s="3214"/>
      <c r="BG35" s="3219"/>
      <c r="BH35" s="3220"/>
      <c r="BI35" s="3220"/>
      <c r="BJ35" s="3220"/>
      <c r="BK35" s="3220"/>
      <c r="BL35" s="3220"/>
      <c r="BM35" s="3220">
        <v>1</v>
      </c>
      <c r="BN35" s="3220">
        <v>1</v>
      </c>
      <c r="BO35" s="3220">
        <v>1</v>
      </c>
      <c r="BP35" s="3220"/>
      <c r="BQ35" s="3220"/>
    </row>
    <row r="36" spans="1:69" ht="14.4">
      <c r="A36" s="218"/>
      <c r="B36" s="3235" t="s">
        <v>374</v>
      </c>
      <c r="C36" s="3236"/>
      <c r="D36" s="3237"/>
      <c r="E36" s="3237"/>
      <c r="F36" s="3237"/>
      <c r="G36" s="3237"/>
      <c r="H36" s="3237"/>
      <c r="I36" s="3237"/>
      <c r="J36" s="3237"/>
      <c r="K36" s="3237"/>
      <c r="L36" s="3237"/>
      <c r="M36" s="3237"/>
      <c r="N36" s="3237"/>
      <c r="O36" s="3237"/>
      <c r="P36" s="3237"/>
      <c r="Q36" s="3237"/>
      <c r="R36" s="3237"/>
      <c r="S36" s="3237"/>
      <c r="T36" s="3237"/>
      <c r="U36" s="3237"/>
      <c r="V36" s="3237"/>
      <c r="W36" s="3237"/>
      <c r="X36" s="3237"/>
      <c r="Y36" s="3237"/>
      <c r="Z36" s="3237"/>
      <c r="AA36" s="3237"/>
      <c r="AB36" s="3237"/>
      <c r="AC36" s="3237"/>
      <c r="AD36" s="3237"/>
      <c r="AE36" s="3237"/>
      <c r="AF36" s="3237"/>
      <c r="AG36" s="3237"/>
      <c r="AH36" s="3237"/>
      <c r="AI36" s="3237"/>
      <c r="AJ36" s="3237"/>
      <c r="AK36" s="3238"/>
      <c r="AL36" s="3238"/>
      <c r="AM36" s="3238"/>
      <c r="AN36" s="3238"/>
      <c r="AO36" s="3238"/>
      <c r="AP36" s="3238"/>
      <c r="AQ36" s="3238"/>
      <c r="AR36" s="3238"/>
      <c r="AS36" s="3238"/>
      <c r="AT36" s="3238"/>
      <c r="AU36" s="3238"/>
      <c r="AV36" s="3238"/>
      <c r="AW36" s="3238"/>
      <c r="AX36" s="3238"/>
      <c r="AY36" s="3238"/>
      <c r="AZ36" s="3238"/>
      <c r="BA36" s="3238"/>
      <c r="BB36" s="3238"/>
      <c r="BC36" s="4898"/>
      <c r="BD36" s="4899"/>
      <c r="BE36" s="4899"/>
      <c r="BF36" s="4899"/>
      <c r="BG36" s="3239"/>
      <c r="BH36" s="3239"/>
      <c r="BI36" s="3239"/>
      <c r="BJ36" s="3239"/>
      <c r="BK36" s="3239"/>
      <c r="BL36" s="3239"/>
      <c r="BM36" s="3240"/>
      <c r="BN36" s="3240"/>
      <c r="BO36" s="3240"/>
      <c r="BP36" s="3240"/>
      <c r="BQ36" s="3240"/>
    </row>
    <row r="37" spans="1:69" ht="22.05" customHeight="1">
      <c r="A37" s="218">
        <v>28</v>
      </c>
      <c r="B37" s="3211" t="s">
        <v>881</v>
      </c>
      <c r="C37" s="3212" t="s">
        <v>1664</v>
      </c>
      <c r="D37" s="3213" t="s">
        <v>889</v>
      </c>
      <c r="E37" s="3214"/>
      <c r="F37" s="3214"/>
      <c r="G37" s="3213" t="s">
        <v>205</v>
      </c>
      <c r="H37" s="3214"/>
      <c r="I37" s="3214"/>
      <c r="J37" s="3214"/>
      <c r="K37" s="3214"/>
      <c r="L37" s="3214"/>
      <c r="M37" s="3214"/>
      <c r="N37" s="3214"/>
      <c r="O37" s="3214"/>
      <c r="P37" s="3214"/>
      <c r="Q37" s="3214"/>
      <c r="R37" s="3214"/>
      <c r="S37" s="3214"/>
      <c r="T37" s="3213" t="s">
        <v>914</v>
      </c>
      <c r="U37" s="3214"/>
      <c r="V37" s="3214"/>
      <c r="W37" s="3214"/>
      <c r="X37" s="3214"/>
      <c r="Y37" s="3217" t="s">
        <v>915</v>
      </c>
      <c r="Z37" s="3214"/>
      <c r="AA37" s="3214"/>
      <c r="AB37" s="3214"/>
      <c r="AC37" s="3214"/>
      <c r="AD37" s="3214"/>
      <c r="AE37" s="3215"/>
      <c r="AF37" s="3215"/>
      <c r="AG37" s="3241" t="s">
        <v>902</v>
      </c>
      <c r="AH37" s="3215"/>
      <c r="AI37" s="3215"/>
      <c r="AJ37" s="3215"/>
      <c r="AK37" s="3215"/>
      <c r="AL37" s="3241" t="s">
        <v>898</v>
      </c>
      <c r="AM37" s="3215"/>
      <c r="AN37" s="3215"/>
      <c r="AO37" s="3215"/>
      <c r="AP37" s="3215"/>
      <c r="AQ37" s="3234"/>
      <c r="AR37" s="3215"/>
      <c r="AS37" s="3215"/>
      <c r="AT37" s="3215"/>
      <c r="AU37" s="3215"/>
      <c r="AV37" s="3215"/>
      <c r="AW37" s="3215"/>
      <c r="AX37" s="3215"/>
      <c r="AY37" s="3215"/>
      <c r="AZ37" s="3215"/>
      <c r="BA37" s="3215"/>
      <c r="BB37" s="3215"/>
      <c r="BC37" s="3215"/>
      <c r="BD37" s="3215"/>
      <c r="BE37" s="3215"/>
      <c r="BF37" s="3215"/>
      <c r="BG37" s="3219">
        <v>1</v>
      </c>
      <c r="BH37" s="3220">
        <v>1</v>
      </c>
      <c r="BI37" s="3220">
        <v>1</v>
      </c>
      <c r="BJ37" s="3220">
        <v>1</v>
      </c>
      <c r="BK37" s="3220">
        <v>1</v>
      </c>
      <c r="BL37" s="3220">
        <v>1</v>
      </c>
      <c r="BM37" s="3220">
        <v>1</v>
      </c>
      <c r="BN37" s="3220"/>
      <c r="BO37" s="3220"/>
      <c r="BP37" s="3220"/>
      <c r="BQ37" s="3220"/>
    </row>
    <row r="38" spans="1:69" ht="22.05" customHeight="1">
      <c r="A38" s="218">
        <v>29</v>
      </c>
      <c r="B38" s="3211" t="s">
        <v>916</v>
      </c>
      <c r="C38" s="3212"/>
      <c r="D38" s="3214"/>
      <c r="E38" s="3214"/>
      <c r="F38" s="3214"/>
      <c r="G38" s="3213" t="s">
        <v>205</v>
      </c>
      <c r="H38" s="3214"/>
      <c r="I38" s="3214"/>
      <c r="J38" s="3214"/>
      <c r="K38" s="3214"/>
      <c r="L38" s="3214"/>
      <c r="M38" s="3214"/>
      <c r="N38" s="3214"/>
      <c r="O38" s="3214"/>
      <c r="P38" s="3214"/>
      <c r="Q38" s="3214"/>
      <c r="R38" s="3214"/>
      <c r="S38" s="3214"/>
      <c r="T38" s="3213" t="s">
        <v>914</v>
      </c>
      <c r="U38" s="3214"/>
      <c r="V38" s="3214"/>
      <c r="W38" s="3214"/>
      <c r="X38" s="3214"/>
      <c r="Y38" s="3214"/>
      <c r="Z38" s="3214"/>
      <c r="AA38" s="3214"/>
      <c r="AB38" s="3214"/>
      <c r="AC38" s="3214"/>
      <c r="AD38" s="3217" t="s">
        <v>917</v>
      </c>
      <c r="AE38" s="3215"/>
      <c r="AF38" s="3215"/>
      <c r="AG38" s="3241" t="s">
        <v>902</v>
      </c>
      <c r="AH38" s="3215"/>
      <c r="AI38" s="3213" t="s">
        <v>918</v>
      </c>
      <c r="AJ38" s="3216"/>
      <c r="AK38" s="3216"/>
      <c r="AL38" s="3241" t="s">
        <v>898</v>
      </c>
      <c r="AM38" s="3216"/>
      <c r="AN38" s="3216"/>
      <c r="AO38" s="3216"/>
      <c r="AP38" s="3216"/>
      <c r="AQ38" s="3248"/>
      <c r="AR38" s="3216"/>
      <c r="AS38" s="3216"/>
      <c r="AT38" s="3216"/>
      <c r="AU38" s="3216"/>
      <c r="AV38" s="3216"/>
      <c r="AW38" s="3216"/>
      <c r="AX38" s="3216"/>
      <c r="AY38" s="3216"/>
      <c r="AZ38" s="3216"/>
      <c r="BA38" s="3216"/>
      <c r="BB38" s="3216"/>
      <c r="BC38" s="3216"/>
      <c r="BD38" s="3216"/>
      <c r="BE38" s="3216"/>
      <c r="BF38" s="3216"/>
      <c r="BG38" s="3219">
        <v>1</v>
      </c>
      <c r="BH38" s="3220">
        <v>1</v>
      </c>
      <c r="BI38" s="3220">
        <v>1</v>
      </c>
      <c r="BJ38" s="3220">
        <v>1</v>
      </c>
      <c r="BK38" s="3220">
        <v>1</v>
      </c>
      <c r="BL38" s="3220">
        <v>1</v>
      </c>
      <c r="BM38" s="3220">
        <v>1</v>
      </c>
      <c r="BN38" s="3220"/>
      <c r="BO38" s="3220"/>
      <c r="BP38" s="3220"/>
      <c r="BQ38" s="3220"/>
    </row>
    <row r="39" spans="1:69" ht="22.05" customHeight="1">
      <c r="A39" s="218">
        <v>30</v>
      </c>
      <c r="B39" s="3211" t="s">
        <v>919</v>
      </c>
      <c r="C39" s="3212"/>
      <c r="D39" s="3214"/>
      <c r="E39" s="3214"/>
      <c r="F39" s="3214"/>
      <c r="G39" s="3213" t="s">
        <v>205</v>
      </c>
      <c r="H39" s="3214"/>
      <c r="I39" s="3214"/>
      <c r="J39" s="3214"/>
      <c r="K39" s="3214"/>
      <c r="L39" s="3214"/>
      <c r="M39" s="3214"/>
      <c r="N39" s="3214"/>
      <c r="O39" s="3214"/>
      <c r="P39" s="3214"/>
      <c r="Q39" s="3214"/>
      <c r="R39" s="3214"/>
      <c r="S39" s="3214"/>
      <c r="T39" s="3249"/>
      <c r="U39" s="3213" t="s">
        <v>914</v>
      </c>
      <c r="V39" s="3214"/>
      <c r="W39" s="3214"/>
      <c r="X39" s="3214"/>
      <c r="Y39" s="3214"/>
      <c r="Z39" s="3214"/>
      <c r="AA39" s="3217" t="s">
        <v>920</v>
      </c>
      <c r="AB39" s="3214"/>
      <c r="AC39" s="3214"/>
      <c r="AD39" s="3214"/>
      <c r="AE39" s="3215"/>
      <c r="AF39" s="3215"/>
      <c r="AG39" s="3241" t="s">
        <v>902</v>
      </c>
      <c r="AH39" s="3215"/>
      <c r="AI39" s="3215"/>
      <c r="AJ39" s="3215"/>
      <c r="AK39" s="3215"/>
      <c r="AL39" s="3241" t="s">
        <v>898</v>
      </c>
      <c r="AM39" s="3215"/>
      <c r="AN39" s="3215"/>
      <c r="AO39" s="3215"/>
      <c r="AP39" s="3215"/>
      <c r="AQ39" s="3234"/>
      <c r="AR39" s="3215"/>
      <c r="AS39" s="3215"/>
      <c r="AT39" s="3215"/>
      <c r="AU39" s="3215"/>
      <c r="AV39" s="3215"/>
      <c r="AW39" s="3215"/>
      <c r="AX39" s="3215"/>
      <c r="AY39" s="3215"/>
      <c r="AZ39" s="3215"/>
      <c r="BA39" s="3215"/>
      <c r="BB39" s="3215"/>
      <c r="BC39" s="3215"/>
      <c r="BD39" s="3215"/>
      <c r="BE39" s="3215"/>
      <c r="BF39" s="3215"/>
      <c r="BG39" s="3219">
        <v>1</v>
      </c>
      <c r="BH39" s="3220">
        <v>1</v>
      </c>
      <c r="BI39" s="3220">
        <v>1</v>
      </c>
      <c r="BJ39" s="3220">
        <v>1</v>
      </c>
      <c r="BK39" s="3220">
        <v>1</v>
      </c>
      <c r="BL39" s="3220">
        <v>1</v>
      </c>
      <c r="BM39" s="3220">
        <v>1</v>
      </c>
      <c r="BN39" s="3220"/>
      <c r="BO39" s="3220"/>
      <c r="BP39" s="3220"/>
      <c r="BQ39" s="3220"/>
    </row>
    <row r="40" spans="1:69" ht="22.05" customHeight="1">
      <c r="A40" s="218">
        <v>31</v>
      </c>
      <c r="B40" s="3211" t="s">
        <v>921</v>
      </c>
      <c r="C40" s="3212" t="s">
        <v>805</v>
      </c>
      <c r="D40" s="3214"/>
      <c r="E40" s="3214"/>
      <c r="F40" s="3214"/>
      <c r="G40" s="3213" t="s">
        <v>205</v>
      </c>
      <c r="H40" s="3214"/>
      <c r="I40" s="3214"/>
      <c r="J40" s="3214"/>
      <c r="K40" s="3214"/>
      <c r="L40" s="3214"/>
      <c r="M40" s="3214"/>
      <c r="N40" s="3214"/>
      <c r="O40" s="3214"/>
      <c r="P40" s="3214"/>
      <c r="Q40" s="3214"/>
      <c r="R40" s="3214"/>
      <c r="S40" s="3214"/>
      <c r="T40" s="3249"/>
      <c r="U40" s="3213" t="s">
        <v>914</v>
      </c>
      <c r="V40" s="3214"/>
      <c r="W40" s="3214"/>
      <c r="X40" s="3214"/>
      <c r="Y40" s="3214"/>
      <c r="Z40" s="3214"/>
      <c r="AA40" s="3214"/>
      <c r="AB40" s="3214"/>
      <c r="AC40" s="3214"/>
      <c r="AD40" s="3217" t="s">
        <v>922</v>
      </c>
      <c r="AE40" s="3215"/>
      <c r="AF40" s="3215"/>
      <c r="AG40" s="3241" t="s">
        <v>902</v>
      </c>
      <c r="AH40" s="3215"/>
      <c r="AI40" s="3215"/>
      <c r="AJ40" s="3215"/>
      <c r="AK40" s="3215"/>
      <c r="AL40" s="3241" t="s">
        <v>898</v>
      </c>
      <c r="AM40" s="3215"/>
      <c r="AN40" s="3215"/>
      <c r="AO40" s="3215"/>
      <c r="AP40" s="3215"/>
      <c r="AQ40" s="3234"/>
      <c r="AR40" s="3215"/>
      <c r="AS40" s="3215"/>
      <c r="AT40" s="3215"/>
      <c r="AU40" s="3215"/>
      <c r="AV40" s="3215"/>
      <c r="AW40" s="3215"/>
      <c r="AX40" s="3215"/>
      <c r="AY40" s="3215"/>
      <c r="AZ40" s="3215"/>
      <c r="BA40" s="3215"/>
      <c r="BB40" s="3215"/>
      <c r="BC40" s="3215"/>
      <c r="BD40" s="3215"/>
      <c r="BE40" s="3215"/>
      <c r="BF40" s="3215"/>
      <c r="BG40" s="3219">
        <v>1</v>
      </c>
      <c r="BH40" s="3220">
        <v>1</v>
      </c>
      <c r="BI40" s="3220">
        <v>1</v>
      </c>
      <c r="BJ40" s="3220">
        <v>1</v>
      </c>
      <c r="BK40" s="3220">
        <v>1</v>
      </c>
      <c r="BL40" s="3220">
        <v>1</v>
      </c>
      <c r="BM40" s="3220">
        <v>1</v>
      </c>
      <c r="BN40" s="3220"/>
      <c r="BO40" s="3220"/>
      <c r="BP40" s="3220"/>
      <c r="BQ40" s="3220"/>
    </row>
    <row r="41" spans="1:69" ht="22.05" customHeight="1">
      <c r="A41" s="218">
        <v>32</v>
      </c>
      <c r="B41" s="3211" t="s">
        <v>885</v>
      </c>
      <c r="C41" s="3212"/>
      <c r="D41" s="3214"/>
      <c r="E41" s="3214"/>
      <c r="F41" s="3214"/>
      <c r="G41" s="3213" t="s">
        <v>205</v>
      </c>
      <c r="H41" s="3214"/>
      <c r="I41" s="3214"/>
      <c r="J41" s="3214"/>
      <c r="K41" s="3214"/>
      <c r="L41" s="3214"/>
      <c r="M41" s="3214"/>
      <c r="N41" s="3214"/>
      <c r="O41" s="3214"/>
      <c r="P41" s="3214"/>
      <c r="Q41" s="3214"/>
      <c r="R41" s="3214"/>
      <c r="S41" s="3214"/>
      <c r="T41" s="3249"/>
      <c r="U41" s="3213" t="s">
        <v>914</v>
      </c>
      <c r="V41" s="3214"/>
      <c r="W41" s="3214"/>
      <c r="X41" s="3214"/>
      <c r="Y41" s="3214"/>
      <c r="Z41" s="3214"/>
      <c r="AA41" s="3217" t="s">
        <v>923</v>
      </c>
      <c r="AB41" s="3214"/>
      <c r="AC41" s="3214"/>
      <c r="AD41" s="3214"/>
      <c r="AE41" s="3215"/>
      <c r="AF41" s="3215"/>
      <c r="AG41" s="3241" t="s">
        <v>902</v>
      </c>
      <c r="AH41" s="3215"/>
      <c r="AI41" s="3215"/>
      <c r="AJ41" s="3215"/>
      <c r="AK41" s="3215"/>
      <c r="AL41" s="3241" t="s">
        <v>898</v>
      </c>
      <c r="AM41" s="3215"/>
      <c r="AN41" s="3215"/>
      <c r="AO41" s="3215"/>
      <c r="AP41" s="3215"/>
      <c r="AQ41" s="3234"/>
      <c r="AR41" s="3215"/>
      <c r="AS41" s="3215"/>
      <c r="AT41" s="3215"/>
      <c r="AU41" s="3215"/>
      <c r="AV41" s="3215"/>
      <c r="AW41" s="3215"/>
      <c r="AX41" s="3215"/>
      <c r="AY41" s="3215"/>
      <c r="AZ41" s="3215"/>
      <c r="BA41" s="3215"/>
      <c r="BB41" s="3215"/>
      <c r="BC41" s="3215"/>
      <c r="BD41" s="3215"/>
      <c r="BE41" s="3215"/>
      <c r="BF41" s="3215"/>
      <c r="BG41" s="3219">
        <v>1</v>
      </c>
      <c r="BH41" s="3220">
        <v>1</v>
      </c>
      <c r="BI41" s="3220">
        <v>1</v>
      </c>
      <c r="BJ41" s="3220">
        <v>1</v>
      </c>
      <c r="BK41" s="3220">
        <v>1</v>
      </c>
      <c r="BL41" s="3220">
        <v>1</v>
      </c>
      <c r="BM41" s="3220">
        <v>1</v>
      </c>
      <c r="BN41" s="3220"/>
      <c r="BO41" s="3220"/>
      <c r="BP41" s="3220"/>
      <c r="BQ41" s="3220"/>
    </row>
    <row r="42" spans="1:69" ht="22.05" customHeight="1">
      <c r="A42" s="218">
        <v>33</v>
      </c>
      <c r="B42" s="3211" t="s">
        <v>888</v>
      </c>
      <c r="C42" s="3212"/>
      <c r="D42" s="3214"/>
      <c r="E42" s="3214"/>
      <c r="F42" s="3214"/>
      <c r="G42" s="3213" t="s">
        <v>205</v>
      </c>
      <c r="H42" s="3214"/>
      <c r="I42" s="3214"/>
      <c r="J42" s="3214"/>
      <c r="K42" s="3214"/>
      <c r="L42" s="3214"/>
      <c r="M42" s="3214"/>
      <c r="N42" s="3214"/>
      <c r="O42" s="3214"/>
      <c r="P42" s="3214"/>
      <c r="Q42" s="3214"/>
      <c r="R42" s="3214"/>
      <c r="S42" s="3214"/>
      <c r="T42" s="3249"/>
      <c r="U42" s="3213" t="s">
        <v>914</v>
      </c>
      <c r="V42" s="3214"/>
      <c r="W42" s="3214"/>
      <c r="X42" s="3214"/>
      <c r="Y42" s="3214"/>
      <c r="Z42" s="3214"/>
      <c r="AA42" s="3214"/>
      <c r="AB42" s="3214"/>
      <c r="AC42" s="3214"/>
      <c r="AD42" s="3217" t="s">
        <v>924</v>
      </c>
      <c r="AE42" s="3215"/>
      <c r="AF42" s="3215"/>
      <c r="AG42" s="3241" t="s">
        <v>902</v>
      </c>
      <c r="AH42" s="3215"/>
      <c r="AI42" s="3215"/>
      <c r="AJ42" s="3215"/>
      <c r="AK42" s="3215"/>
      <c r="AL42" s="3241" t="s">
        <v>898</v>
      </c>
      <c r="AM42" s="3215"/>
      <c r="AN42" s="3215"/>
      <c r="AO42" s="3215"/>
      <c r="AP42" s="3215"/>
      <c r="AQ42" s="3234"/>
      <c r="AR42" s="3215"/>
      <c r="AS42" s="3215"/>
      <c r="AT42" s="3215"/>
      <c r="AU42" s="3215"/>
      <c r="AV42" s="3215"/>
      <c r="AW42" s="3215"/>
      <c r="AX42" s="3215"/>
      <c r="AY42" s="3215"/>
      <c r="AZ42" s="3215"/>
      <c r="BA42" s="3215"/>
      <c r="BB42" s="3215"/>
      <c r="BC42" s="3215"/>
      <c r="BD42" s="3215"/>
      <c r="BE42" s="3215"/>
      <c r="BF42" s="3215"/>
      <c r="BG42" s="3219">
        <v>1</v>
      </c>
      <c r="BH42" s="3220">
        <v>1</v>
      </c>
      <c r="BI42" s="3220">
        <v>1</v>
      </c>
      <c r="BJ42" s="3220">
        <v>1</v>
      </c>
      <c r="BK42" s="3220">
        <v>1</v>
      </c>
      <c r="BL42" s="3220">
        <v>1</v>
      </c>
      <c r="BM42" s="3220">
        <v>1</v>
      </c>
      <c r="BN42" s="3220"/>
      <c r="BO42" s="3220"/>
      <c r="BP42" s="3220"/>
      <c r="BQ42" s="3220"/>
    </row>
    <row r="43" spans="1:69" ht="22.05" customHeight="1">
      <c r="A43" s="218">
        <v>34</v>
      </c>
      <c r="B43" s="3211" t="s">
        <v>925</v>
      </c>
      <c r="C43" s="3212"/>
      <c r="D43" s="3214"/>
      <c r="E43" s="3214"/>
      <c r="F43" s="3214"/>
      <c r="G43" s="3213" t="s">
        <v>205</v>
      </c>
      <c r="H43" s="3214"/>
      <c r="I43" s="3214"/>
      <c r="J43" s="3214"/>
      <c r="K43" s="3214"/>
      <c r="L43" s="3214"/>
      <c r="M43" s="3214"/>
      <c r="N43" s="3214"/>
      <c r="O43" s="3214"/>
      <c r="P43" s="3214"/>
      <c r="Q43" s="3214"/>
      <c r="R43" s="3214"/>
      <c r="S43" s="3214"/>
      <c r="T43" s="3249"/>
      <c r="U43" s="3213" t="s">
        <v>914</v>
      </c>
      <c r="V43" s="3214"/>
      <c r="W43" s="3214"/>
      <c r="X43" s="3217" t="s">
        <v>926</v>
      </c>
      <c r="Y43" s="3213" t="s">
        <v>901</v>
      </c>
      <c r="Z43" s="3214"/>
      <c r="AA43" s="3214"/>
      <c r="AB43" s="3214"/>
      <c r="AC43" s="3214"/>
      <c r="AD43" s="3214"/>
      <c r="AE43" s="3215"/>
      <c r="AF43" s="3215"/>
      <c r="AG43" s="3241" t="s">
        <v>902</v>
      </c>
      <c r="AH43" s="3215"/>
      <c r="AI43" s="3215"/>
      <c r="AJ43" s="3215"/>
      <c r="AK43" s="3215"/>
      <c r="AL43" s="3241" t="s">
        <v>898</v>
      </c>
      <c r="AM43" s="3215"/>
      <c r="AN43" s="3215"/>
      <c r="AO43" s="3215"/>
      <c r="AP43" s="3215"/>
      <c r="AQ43" s="3234"/>
      <c r="AR43" s="3215"/>
      <c r="AS43" s="3215"/>
      <c r="AT43" s="3215"/>
      <c r="AU43" s="3215"/>
      <c r="AV43" s="3215"/>
      <c r="AW43" s="3215"/>
      <c r="AX43" s="3215"/>
      <c r="AY43" s="3215"/>
      <c r="AZ43" s="3215"/>
      <c r="BA43" s="3215"/>
      <c r="BB43" s="3215"/>
      <c r="BC43" s="3215"/>
      <c r="BD43" s="3215"/>
      <c r="BE43" s="3215"/>
      <c r="BF43" s="3215"/>
      <c r="BG43" s="3219">
        <v>1</v>
      </c>
      <c r="BH43" s="3220">
        <v>1</v>
      </c>
      <c r="BI43" s="3220">
        <v>1</v>
      </c>
      <c r="BJ43" s="3220">
        <v>1</v>
      </c>
      <c r="BK43" s="3220">
        <v>1</v>
      </c>
      <c r="BL43" s="3220">
        <v>1</v>
      </c>
      <c r="BM43" s="3220">
        <v>1</v>
      </c>
      <c r="BN43" s="3220"/>
      <c r="BO43" s="3220"/>
      <c r="BP43" s="3220"/>
      <c r="BQ43" s="3220"/>
    </row>
    <row r="44" spans="1:69" ht="22.05" customHeight="1">
      <c r="A44" s="218">
        <v>35</v>
      </c>
      <c r="B44" s="3211" t="s">
        <v>927</v>
      </c>
      <c r="C44" s="3212"/>
      <c r="D44" s="3214"/>
      <c r="E44" s="3214"/>
      <c r="F44" s="3214"/>
      <c r="G44" s="3213" t="s">
        <v>205</v>
      </c>
      <c r="H44" s="3214"/>
      <c r="I44" s="3214"/>
      <c r="J44" s="3214"/>
      <c r="K44" s="3214"/>
      <c r="L44" s="3214"/>
      <c r="M44" s="3214"/>
      <c r="N44" s="3214"/>
      <c r="O44" s="3214"/>
      <c r="P44" s="3214"/>
      <c r="Q44" s="3214"/>
      <c r="R44" s="3214"/>
      <c r="S44" s="3214"/>
      <c r="T44" s="3249"/>
      <c r="U44" s="3213" t="s">
        <v>914</v>
      </c>
      <c r="V44" s="3214"/>
      <c r="W44" s="3214"/>
      <c r="X44" s="3214"/>
      <c r="Y44" s="3214"/>
      <c r="Z44" s="3214"/>
      <c r="AA44" s="3217" t="s">
        <v>928</v>
      </c>
      <c r="AB44" s="3214"/>
      <c r="AC44" s="3214"/>
      <c r="AD44" s="3214"/>
      <c r="AE44" s="3215"/>
      <c r="AF44" s="3215"/>
      <c r="AG44" s="3241" t="s">
        <v>902</v>
      </c>
      <c r="AH44" s="3215"/>
      <c r="AI44" s="3215"/>
      <c r="AJ44" s="3215"/>
      <c r="AK44" s="3215"/>
      <c r="AL44" s="3241" t="s">
        <v>898</v>
      </c>
      <c r="AM44" s="3215"/>
      <c r="AN44" s="3215"/>
      <c r="AO44" s="3215"/>
      <c r="AP44" s="3215"/>
      <c r="AQ44" s="3234"/>
      <c r="AR44" s="3215"/>
      <c r="AS44" s="3215"/>
      <c r="AT44" s="3215"/>
      <c r="AU44" s="3215"/>
      <c r="AV44" s="3215"/>
      <c r="AW44" s="3215"/>
      <c r="AX44" s="3215"/>
      <c r="AY44" s="3215"/>
      <c r="AZ44" s="3215"/>
      <c r="BA44" s="3215"/>
      <c r="BB44" s="3215"/>
      <c r="BC44" s="3215"/>
      <c r="BD44" s="3215"/>
      <c r="BE44" s="3215"/>
      <c r="BF44" s="3215"/>
      <c r="BG44" s="3219">
        <v>1</v>
      </c>
      <c r="BH44" s="3220">
        <v>1</v>
      </c>
      <c r="BI44" s="3220">
        <v>1</v>
      </c>
      <c r="BJ44" s="3220">
        <v>1</v>
      </c>
      <c r="BK44" s="3220">
        <v>1</v>
      </c>
      <c r="BL44" s="3220">
        <v>1</v>
      </c>
      <c r="BM44" s="3220">
        <v>1</v>
      </c>
      <c r="BN44" s="3220"/>
      <c r="BO44" s="3220"/>
      <c r="BP44" s="3220"/>
      <c r="BQ44" s="3220"/>
    </row>
    <row r="45" spans="1:69" ht="22.05" customHeight="1">
      <c r="A45" s="218">
        <v>36</v>
      </c>
      <c r="B45" s="3211" t="s">
        <v>929</v>
      </c>
      <c r="C45" s="3212" t="s">
        <v>1665</v>
      </c>
      <c r="D45" s="3250"/>
      <c r="E45" s="3214"/>
      <c r="F45" s="3214"/>
      <c r="G45" s="3213" t="s">
        <v>205</v>
      </c>
      <c r="H45" s="3214"/>
      <c r="I45" s="3214"/>
      <c r="J45" s="3214"/>
      <c r="K45" s="3214"/>
      <c r="L45" s="3214"/>
      <c r="M45" s="3214"/>
      <c r="N45" s="3214"/>
      <c r="O45" s="3214"/>
      <c r="P45" s="3214"/>
      <c r="Q45" s="3214"/>
      <c r="R45" s="3214"/>
      <c r="S45" s="3214"/>
      <c r="T45" s="3249"/>
      <c r="U45" s="3213" t="s">
        <v>914</v>
      </c>
      <c r="V45" s="3214"/>
      <c r="W45" s="3214"/>
      <c r="X45" s="3214"/>
      <c r="Y45" s="3214"/>
      <c r="Z45" s="3214"/>
      <c r="AA45" s="3214"/>
      <c r="AB45" s="3214"/>
      <c r="AC45" s="3214"/>
      <c r="AD45" s="3214"/>
      <c r="AE45" s="3215"/>
      <c r="AF45" s="3215"/>
      <c r="AG45" s="3241" t="s">
        <v>902</v>
      </c>
      <c r="AH45" s="3215"/>
      <c r="AI45" s="3215"/>
      <c r="AJ45" s="3215"/>
      <c r="AK45" s="3215"/>
      <c r="AL45" s="3241" t="s">
        <v>898</v>
      </c>
      <c r="AM45" s="3215"/>
      <c r="AN45" s="3215"/>
      <c r="AO45" s="3230" t="s">
        <v>1672</v>
      </c>
      <c r="AP45" s="3231"/>
      <c r="AQ45" s="3232"/>
      <c r="AR45" s="3231"/>
      <c r="AS45" s="3231"/>
      <c r="AT45" s="3231"/>
      <c r="AU45" s="3231"/>
      <c r="AV45" s="3231"/>
      <c r="AW45" s="3231"/>
      <c r="AX45" s="3231"/>
      <c r="AY45" s="3231"/>
      <c r="AZ45" s="3231"/>
      <c r="BA45" s="3213" t="s">
        <v>2778</v>
      </c>
      <c r="BB45" s="3231"/>
      <c r="BC45" s="4911"/>
      <c r="BD45" s="4912" t="s">
        <v>2982</v>
      </c>
      <c r="BE45" s="3231"/>
      <c r="BF45" s="3231"/>
      <c r="BG45" s="3219">
        <v>1</v>
      </c>
      <c r="BH45" s="3220"/>
      <c r="BI45" s="3220">
        <v>1</v>
      </c>
      <c r="BJ45" s="3220">
        <v>1</v>
      </c>
      <c r="BK45" s="3220">
        <v>1</v>
      </c>
      <c r="BL45" s="3220">
        <v>1</v>
      </c>
      <c r="BM45" s="3220">
        <v>1</v>
      </c>
      <c r="BN45" s="3220">
        <v>1</v>
      </c>
      <c r="BO45" s="3220"/>
      <c r="BP45" s="3220">
        <v>1</v>
      </c>
      <c r="BQ45" s="3220">
        <v>1</v>
      </c>
    </row>
    <row r="46" spans="1:69" ht="22.05" customHeight="1">
      <c r="A46" s="218">
        <v>37</v>
      </c>
      <c r="B46" s="3211" t="s">
        <v>930</v>
      </c>
      <c r="C46" s="3212"/>
      <c r="D46" s="3213" t="s">
        <v>889</v>
      </c>
      <c r="E46" s="3221"/>
      <c r="F46" s="3214"/>
      <c r="G46" s="3213" t="s">
        <v>205</v>
      </c>
      <c r="H46" s="3214"/>
      <c r="I46" s="3214"/>
      <c r="J46" s="3214"/>
      <c r="K46" s="3214"/>
      <c r="L46" s="3214"/>
      <c r="M46" s="3214"/>
      <c r="N46" s="3214"/>
      <c r="O46" s="3214"/>
      <c r="P46" s="3214"/>
      <c r="Q46" s="3214"/>
      <c r="R46" s="3214"/>
      <c r="S46" s="3214"/>
      <c r="T46" s="3249"/>
      <c r="U46" s="3213" t="s">
        <v>914</v>
      </c>
      <c r="V46" s="3214"/>
      <c r="W46" s="3214"/>
      <c r="X46" s="3214"/>
      <c r="Y46" s="3214"/>
      <c r="Z46" s="3214"/>
      <c r="AA46" s="3214"/>
      <c r="AB46" s="3214"/>
      <c r="AC46" s="3214"/>
      <c r="AD46" s="3214"/>
      <c r="AE46" s="3215"/>
      <c r="AF46" s="3215"/>
      <c r="AG46" s="3241" t="s">
        <v>902</v>
      </c>
      <c r="AH46" s="3215"/>
      <c r="AI46" s="3215"/>
      <c r="AJ46" s="3215"/>
      <c r="AK46" s="3215"/>
      <c r="AL46" s="3241" t="s">
        <v>898</v>
      </c>
      <c r="AM46" s="3215"/>
      <c r="AN46" s="3215"/>
      <c r="AO46" s="3215"/>
      <c r="AP46" s="3215"/>
      <c r="AQ46" s="3234"/>
      <c r="AR46" s="3215"/>
      <c r="AS46" s="3215"/>
      <c r="AT46" s="3215"/>
      <c r="AU46" s="3215"/>
      <c r="AV46" s="3215"/>
      <c r="AW46" s="3215"/>
      <c r="AX46" s="3215"/>
      <c r="AY46" s="3215"/>
      <c r="AZ46" s="3215"/>
      <c r="BA46" s="3215"/>
      <c r="BB46" s="3215"/>
      <c r="BC46" s="4913" t="s">
        <v>2983</v>
      </c>
      <c r="BD46" s="4912" t="s">
        <v>2982</v>
      </c>
      <c r="BE46" s="3215"/>
      <c r="BF46" s="3215"/>
      <c r="BG46" s="3219">
        <v>1</v>
      </c>
      <c r="BH46" s="3220"/>
      <c r="BI46" s="3220">
        <v>1</v>
      </c>
      <c r="BJ46" s="3220">
        <v>1</v>
      </c>
      <c r="BK46" s="3220">
        <v>1</v>
      </c>
      <c r="BL46" s="3220">
        <v>1</v>
      </c>
      <c r="BM46" s="3220">
        <v>1</v>
      </c>
      <c r="BN46" s="3220"/>
      <c r="BO46" s="3220"/>
      <c r="BP46" s="3220"/>
      <c r="BQ46" s="3220">
        <v>1</v>
      </c>
    </row>
    <row r="47" spans="1:69" ht="22.05" customHeight="1">
      <c r="A47" s="218">
        <v>38</v>
      </c>
      <c r="B47" s="3211" t="s">
        <v>931</v>
      </c>
      <c r="C47" s="3212" t="s">
        <v>1666</v>
      </c>
      <c r="D47" s="3214"/>
      <c r="E47" s="3214"/>
      <c r="F47" s="3214"/>
      <c r="G47" s="3213" t="s">
        <v>205</v>
      </c>
      <c r="H47" s="3214"/>
      <c r="I47" s="3214"/>
      <c r="J47" s="3214"/>
      <c r="K47" s="3214"/>
      <c r="L47" s="3214"/>
      <c r="M47" s="3214"/>
      <c r="N47" s="3214"/>
      <c r="O47" s="3214"/>
      <c r="P47" s="3214"/>
      <c r="Q47" s="3214"/>
      <c r="R47" s="3214"/>
      <c r="S47" s="3214"/>
      <c r="T47" s="3249"/>
      <c r="U47" s="3213" t="s">
        <v>914</v>
      </c>
      <c r="V47" s="3214"/>
      <c r="W47" s="3214"/>
      <c r="X47" s="3214"/>
      <c r="Y47" s="3214"/>
      <c r="Z47" s="3214"/>
      <c r="AA47" s="3214"/>
      <c r="AB47" s="3214"/>
      <c r="AC47" s="3214"/>
      <c r="AD47" s="3214"/>
      <c r="AE47" s="3215"/>
      <c r="AF47" s="3215"/>
      <c r="AG47" s="3241" t="s">
        <v>902</v>
      </c>
      <c r="AH47" s="3215"/>
      <c r="AI47" s="3215"/>
      <c r="AJ47" s="3215"/>
      <c r="AK47" s="3215"/>
      <c r="AL47" s="3241" t="s">
        <v>898</v>
      </c>
      <c r="AM47" s="3215"/>
      <c r="AN47" s="3215"/>
      <c r="AO47" s="3230" t="s">
        <v>1672</v>
      </c>
      <c r="AP47" s="3230" t="s">
        <v>1673</v>
      </c>
      <c r="AQ47" s="3232"/>
      <c r="AR47" s="3231"/>
      <c r="AS47" s="3231"/>
      <c r="AT47" s="3231"/>
      <c r="AU47" s="3231"/>
      <c r="AV47" s="3231"/>
      <c r="AW47" s="3231"/>
      <c r="AX47" s="3231"/>
      <c r="AY47" s="3231"/>
      <c r="AZ47" s="3231"/>
      <c r="BA47" s="3231"/>
      <c r="BB47" s="3231"/>
      <c r="BC47" s="3231"/>
      <c r="BD47" s="3231"/>
      <c r="BE47" s="3231"/>
      <c r="BF47" s="3231"/>
      <c r="BG47" s="3219">
        <v>1</v>
      </c>
      <c r="BH47" s="3220"/>
      <c r="BI47" s="3220">
        <v>1</v>
      </c>
      <c r="BJ47" s="3220">
        <v>1</v>
      </c>
      <c r="BK47" s="3220">
        <v>1</v>
      </c>
      <c r="BL47" s="3220">
        <v>1</v>
      </c>
      <c r="BM47" s="3220">
        <v>1</v>
      </c>
      <c r="BN47" s="3220">
        <v>1</v>
      </c>
      <c r="BO47" s="3220"/>
      <c r="BP47" s="3220"/>
      <c r="BQ47" s="3220"/>
    </row>
    <row r="48" spans="1:69" ht="14.4">
      <c r="A48" s="218"/>
      <c r="B48" s="3235" t="s">
        <v>375</v>
      </c>
      <c r="C48" s="3236"/>
      <c r="D48" s="3237"/>
      <c r="E48" s="3237"/>
      <c r="F48" s="3237"/>
      <c r="G48" s="3237"/>
      <c r="H48" s="3237"/>
      <c r="I48" s="3237"/>
      <c r="J48" s="3237"/>
      <c r="K48" s="3237"/>
      <c r="L48" s="3237"/>
      <c r="M48" s="3237"/>
      <c r="N48" s="3237"/>
      <c r="O48" s="3237"/>
      <c r="P48" s="3237"/>
      <c r="Q48" s="3237"/>
      <c r="R48" s="3237"/>
      <c r="S48" s="3237"/>
      <c r="T48" s="3237"/>
      <c r="U48" s="3237"/>
      <c r="V48" s="3237"/>
      <c r="W48" s="3237"/>
      <c r="X48" s="3237"/>
      <c r="Y48" s="3237"/>
      <c r="Z48" s="3237"/>
      <c r="AA48" s="3237"/>
      <c r="AB48" s="3237"/>
      <c r="AC48" s="3237"/>
      <c r="AD48" s="3237"/>
      <c r="AE48" s="3237"/>
      <c r="AF48" s="3237"/>
      <c r="AG48" s="3237"/>
      <c r="AH48" s="3237"/>
      <c r="AI48" s="3237"/>
      <c r="AJ48" s="3237"/>
      <c r="AK48" s="3238"/>
      <c r="AL48" s="3238"/>
      <c r="AM48" s="3238"/>
      <c r="AN48" s="3238"/>
      <c r="AO48" s="3238"/>
      <c r="AP48" s="3238"/>
      <c r="AQ48" s="3238"/>
      <c r="AR48" s="3238"/>
      <c r="AS48" s="3238"/>
      <c r="AT48" s="3238"/>
      <c r="AU48" s="3238"/>
      <c r="AV48" s="3238"/>
      <c r="AW48" s="3238"/>
      <c r="AX48" s="3238"/>
      <c r="AY48" s="3238"/>
      <c r="AZ48" s="3238"/>
      <c r="BA48" s="3238"/>
      <c r="BB48" s="3238"/>
      <c r="BC48" s="4898"/>
      <c r="BD48" s="4899"/>
      <c r="BE48" s="4899"/>
      <c r="BF48" s="4899"/>
      <c r="BG48" s="3239"/>
      <c r="BH48" s="3239"/>
      <c r="BI48" s="3239"/>
      <c r="BJ48" s="3239"/>
      <c r="BK48" s="3239"/>
      <c r="BL48" s="3239"/>
      <c r="BM48" s="3240"/>
      <c r="BN48" s="3240"/>
      <c r="BO48" s="3240"/>
      <c r="BP48" s="3240"/>
      <c r="BQ48" s="3240"/>
    </row>
    <row r="49" spans="1:69" ht="22.05" customHeight="1">
      <c r="A49" s="218">
        <v>39</v>
      </c>
      <c r="B49" s="3211" t="s">
        <v>932</v>
      </c>
      <c r="C49" s="3212"/>
      <c r="D49" s="3214"/>
      <c r="E49" s="3214"/>
      <c r="F49" s="3213" t="s">
        <v>205</v>
      </c>
      <c r="G49" s="3214"/>
      <c r="H49" s="3214"/>
      <c r="I49" s="3214"/>
      <c r="J49" s="3214"/>
      <c r="K49" s="3214"/>
      <c r="L49" s="3214"/>
      <c r="M49" s="3214"/>
      <c r="N49" s="3214"/>
      <c r="O49" s="3214"/>
      <c r="P49" s="3214"/>
      <c r="Q49" s="3214"/>
      <c r="R49" s="3214"/>
      <c r="S49" s="3214"/>
      <c r="T49" s="3214"/>
      <c r="U49" s="3214"/>
      <c r="V49" s="3214"/>
      <c r="W49" s="3214"/>
      <c r="X49" s="3214"/>
      <c r="Y49" s="3214"/>
      <c r="Z49" s="3214"/>
      <c r="AA49" s="3214"/>
      <c r="AB49" s="3214"/>
      <c r="AC49" s="3214"/>
      <c r="AD49" s="3214"/>
      <c r="AE49" s="3215"/>
      <c r="AF49" s="3217" t="s">
        <v>933</v>
      </c>
      <c r="AG49" s="3241" t="s">
        <v>902</v>
      </c>
      <c r="AH49" s="3215"/>
      <c r="AI49" s="3215"/>
      <c r="AJ49" s="3215"/>
      <c r="AK49" s="3215"/>
      <c r="AL49" s="3241" t="s">
        <v>898</v>
      </c>
      <c r="AM49" s="3215"/>
      <c r="AN49" s="3215"/>
      <c r="AO49" s="3215"/>
      <c r="AP49" s="3215"/>
      <c r="AQ49" s="3234"/>
      <c r="AR49" s="3215"/>
      <c r="AS49" s="3215"/>
      <c r="AT49" s="3215"/>
      <c r="AU49" s="3215"/>
      <c r="AV49" s="3215"/>
      <c r="AW49" s="3215"/>
      <c r="AX49" s="3215"/>
      <c r="AY49" s="3215"/>
      <c r="AZ49" s="3215"/>
      <c r="BA49" s="3215"/>
      <c r="BB49" s="3215"/>
      <c r="BC49" s="4900"/>
      <c r="BD49" s="3215"/>
      <c r="BE49" s="3215"/>
      <c r="BF49" s="3215"/>
      <c r="BG49" s="3219"/>
      <c r="BH49" s="3220"/>
      <c r="BI49" s="3220">
        <v>1</v>
      </c>
      <c r="BJ49" s="3220">
        <v>1</v>
      </c>
      <c r="BK49" s="3220">
        <v>1</v>
      </c>
      <c r="BL49" s="3220">
        <v>1</v>
      </c>
      <c r="BM49" s="3220">
        <v>1</v>
      </c>
      <c r="BN49" s="3220"/>
      <c r="BO49" s="3220"/>
      <c r="BP49" s="3220"/>
      <c r="BQ49" s="3220"/>
    </row>
    <row r="50" spans="1:69" ht="22.05" customHeight="1">
      <c r="A50" s="218">
        <v>40</v>
      </c>
      <c r="B50" s="3211" t="s">
        <v>934</v>
      </c>
      <c r="C50" s="3212" t="s">
        <v>716</v>
      </c>
      <c r="D50" s="3214"/>
      <c r="E50" s="3214"/>
      <c r="F50" s="3213" t="s">
        <v>205</v>
      </c>
      <c r="G50" s="3214"/>
      <c r="H50" s="3214"/>
      <c r="I50" s="3214"/>
      <c r="J50" s="3214"/>
      <c r="K50" s="3214"/>
      <c r="L50" s="3214"/>
      <c r="M50" s="3214"/>
      <c r="N50" s="3214"/>
      <c r="O50" s="3214"/>
      <c r="P50" s="3214"/>
      <c r="Q50" s="3214"/>
      <c r="R50" s="3214"/>
      <c r="S50" s="3214"/>
      <c r="T50" s="3214"/>
      <c r="U50" s="3214"/>
      <c r="V50" s="3214"/>
      <c r="W50" s="3214"/>
      <c r="X50" s="3214"/>
      <c r="Y50" s="3214"/>
      <c r="Z50" s="3214"/>
      <c r="AA50" s="3214"/>
      <c r="AB50" s="3214"/>
      <c r="AC50" s="3214"/>
      <c r="AD50" s="3214"/>
      <c r="AE50" s="3215"/>
      <c r="AF50" s="3215"/>
      <c r="AG50" s="3241" t="s">
        <v>902</v>
      </c>
      <c r="AH50" s="3215"/>
      <c r="AI50" s="3215"/>
      <c r="AJ50" s="3215"/>
      <c r="AK50" s="3215"/>
      <c r="AL50" s="3243" t="s">
        <v>912</v>
      </c>
      <c r="AM50" s="3231"/>
      <c r="AN50" s="3231"/>
      <c r="AO50" s="3231"/>
      <c r="AP50" s="3231"/>
      <c r="AQ50" s="3232"/>
      <c r="AR50" s="3231"/>
      <c r="AS50" s="3231"/>
      <c r="AT50" s="3231"/>
      <c r="AU50" s="3231"/>
      <c r="AV50" s="3231"/>
      <c r="AW50" s="3231"/>
      <c r="AX50" s="3231"/>
      <c r="AY50" s="3231"/>
      <c r="AZ50" s="3231"/>
      <c r="BA50" s="3231"/>
      <c r="BB50" s="3231"/>
      <c r="BC50" s="4874"/>
      <c r="BD50" s="3231"/>
      <c r="BE50" s="3231"/>
      <c r="BF50" s="3231"/>
      <c r="BG50" s="3219"/>
      <c r="BH50" s="3220"/>
      <c r="BI50" s="3220">
        <v>1</v>
      </c>
      <c r="BJ50" s="3220">
        <v>1</v>
      </c>
      <c r="BK50" s="3220">
        <v>1</v>
      </c>
      <c r="BL50" s="3220">
        <v>1</v>
      </c>
      <c r="BM50" s="3220">
        <v>1</v>
      </c>
      <c r="BN50" s="3220"/>
      <c r="BO50" s="3220"/>
      <c r="BP50" s="3220"/>
      <c r="BQ50" s="3220"/>
    </row>
    <row r="51" spans="1:69" ht="22.05" customHeight="1">
      <c r="A51" s="218">
        <v>41</v>
      </c>
      <c r="B51" s="3211" t="s">
        <v>935</v>
      </c>
      <c r="C51" s="3212"/>
      <c r="D51" s="3214"/>
      <c r="E51" s="3214"/>
      <c r="F51" s="3213" t="s">
        <v>205</v>
      </c>
      <c r="G51" s="3214"/>
      <c r="H51" s="3214"/>
      <c r="I51" s="3214"/>
      <c r="J51" s="3214"/>
      <c r="K51" s="3214"/>
      <c r="L51" s="3214"/>
      <c r="M51" s="3214"/>
      <c r="N51" s="3214"/>
      <c r="O51" s="3214"/>
      <c r="P51" s="3214"/>
      <c r="Q51" s="3214"/>
      <c r="R51" s="3214"/>
      <c r="S51" s="3214"/>
      <c r="T51" s="3214"/>
      <c r="U51" s="3214"/>
      <c r="V51" s="3214"/>
      <c r="W51" s="3214"/>
      <c r="X51" s="3214"/>
      <c r="Y51" s="3214"/>
      <c r="Z51" s="3214"/>
      <c r="AA51" s="3214"/>
      <c r="AB51" s="3214"/>
      <c r="AC51" s="3214"/>
      <c r="AD51" s="3214"/>
      <c r="AE51" s="3215"/>
      <c r="AF51" s="3215"/>
      <c r="AG51" s="3241" t="s">
        <v>902</v>
      </c>
      <c r="AH51" s="3215"/>
      <c r="AI51" s="3215"/>
      <c r="AJ51" s="3215"/>
      <c r="AK51" s="3215"/>
      <c r="AL51" s="3241" t="s">
        <v>898</v>
      </c>
      <c r="AM51" s="3215"/>
      <c r="AN51" s="3215"/>
      <c r="AO51" s="3215"/>
      <c r="AP51" s="3215"/>
      <c r="AQ51" s="3234"/>
      <c r="AR51" s="3215"/>
      <c r="AS51" s="3215"/>
      <c r="AT51" s="3215"/>
      <c r="AU51" s="3215"/>
      <c r="AV51" s="3215"/>
      <c r="AW51" s="3215"/>
      <c r="AX51" s="3215"/>
      <c r="AY51" s="3215"/>
      <c r="AZ51" s="3215"/>
      <c r="BA51" s="3215"/>
      <c r="BB51" s="3215"/>
      <c r="BC51" s="4900"/>
      <c r="BD51" s="3215"/>
      <c r="BE51" s="3215"/>
      <c r="BF51" s="3215"/>
      <c r="BG51" s="3219"/>
      <c r="BH51" s="3220"/>
      <c r="BI51" s="3220">
        <v>1</v>
      </c>
      <c r="BJ51" s="3220">
        <v>1</v>
      </c>
      <c r="BK51" s="3220">
        <v>1</v>
      </c>
      <c r="BL51" s="3220">
        <v>1</v>
      </c>
      <c r="BM51" s="3220">
        <v>1</v>
      </c>
      <c r="BN51" s="3220"/>
      <c r="BO51" s="3220"/>
      <c r="BP51" s="3220"/>
      <c r="BQ51" s="3220"/>
    </row>
    <row r="52" spans="1:69" ht="22.05" customHeight="1">
      <c r="A52" s="218">
        <v>42</v>
      </c>
      <c r="B52" s="3211" t="s">
        <v>936</v>
      </c>
      <c r="C52" s="3212"/>
      <c r="D52" s="3214"/>
      <c r="E52" s="3214"/>
      <c r="F52" s="3213" t="s">
        <v>205</v>
      </c>
      <c r="G52" s="3214"/>
      <c r="H52" s="3213" t="s">
        <v>208</v>
      </c>
      <c r="I52" s="3214"/>
      <c r="J52" s="3214"/>
      <c r="K52" s="3214"/>
      <c r="L52" s="3214"/>
      <c r="M52" s="3214"/>
      <c r="N52" s="3214"/>
      <c r="O52" s="3214"/>
      <c r="P52" s="3214"/>
      <c r="Q52" s="3214"/>
      <c r="R52" s="3214"/>
      <c r="S52" s="3214"/>
      <c r="T52" s="3214"/>
      <c r="U52" s="3214"/>
      <c r="V52" s="3214"/>
      <c r="W52" s="3214"/>
      <c r="X52" s="3214"/>
      <c r="Y52" s="3214"/>
      <c r="Z52" s="3214"/>
      <c r="AA52" s="3214"/>
      <c r="AB52" s="3214"/>
      <c r="AC52" s="3214"/>
      <c r="AD52" s="3214"/>
      <c r="AE52" s="3215"/>
      <c r="AF52" s="3217" t="s">
        <v>937</v>
      </c>
      <c r="AG52" s="3241" t="s">
        <v>902</v>
      </c>
      <c r="AH52" s="3215"/>
      <c r="AI52" s="3215"/>
      <c r="AJ52" s="3215"/>
      <c r="AK52" s="3215"/>
      <c r="AL52" s="3241" t="s">
        <v>898</v>
      </c>
      <c r="AM52" s="3215"/>
      <c r="AN52" s="3215"/>
      <c r="AO52" s="3215"/>
      <c r="AP52" s="3215"/>
      <c r="AQ52" s="3234"/>
      <c r="AR52" s="3215"/>
      <c r="AS52" s="3215"/>
      <c r="AT52" s="3215"/>
      <c r="AU52" s="3215"/>
      <c r="AV52" s="3215"/>
      <c r="AW52" s="3215"/>
      <c r="AX52" s="3215"/>
      <c r="AY52" s="3215"/>
      <c r="AZ52" s="3215"/>
      <c r="BA52" s="3215"/>
      <c r="BB52" s="3215"/>
      <c r="BC52" s="4900"/>
      <c r="BD52" s="3215"/>
      <c r="BE52" s="3215"/>
      <c r="BF52" s="3215"/>
      <c r="BG52" s="3219"/>
      <c r="BH52" s="3220"/>
      <c r="BI52" s="3220">
        <v>1</v>
      </c>
      <c r="BJ52" s="3220">
        <v>1</v>
      </c>
      <c r="BK52" s="3220">
        <v>1</v>
      </c>
      <c r="BL52" s="3220">
        <v>1</v>
      </c>
      <c r="BM52" s="3220">
        <v>1</v>
      </c>
      <c r="BN52" s="3220"/>
      <c r="BO52" s="3220"/>
      <c r="BP52" s="3220"/>
      <c r="BQ52" s="3220"/>
    </row>
    <row r="53" spans="1:69" ht="22.05" customHeight="1">
      <c r="A53" s="218">
        <v>43</v>
      </c>
      <c r="B53" s="3211" t="s">
        <v>938</v>
      </c>
      <c r="C53" s="3212"/>
      <c r="D53" s="3214"/>
      <c r="E53" s="3214"/>
      <c r="F53" s="3213" t="s">
        <v>205</v>
      </c>
      <c r="G53" s="3214"/>
      <c r="H53" s="3213" t="s">
        <v>208</v>
      </c>
      <c r="I53" s="3214"/>
      <c r="J53" s="3214"/>
      <c r="K53" s="3214"/>
      <c r="L53" s="3214"/>
      <c r="M53" s="3214"/>
      <c r="N53" s="3214"/>
      <c r="O53" s="3214"/>
      <c r="P53" s="3214"/>
      <c r="Q53" s="3214"/>
      <c r="R53" s="3214"/>
      <c r="S53" s="3214"/>
      <c r="T53" s="3214"/>
      <c r="U53" s="3214"/>
      <c r="V53" s="3214"/>
      <c r="W53" s="3214"/>
      <c r="X53" s="3214"/>
      <c r="Y53" s="3214"/>
      <c r="Z53" s="3214"/>
      <c r="AA53" s="3214"/>
      <c r="AB53" s="3214"/>
      <c r="AC53" s="3214"/>
      <c r="AD53" s="3214"/>
      <c r="AE53" s="3215"/>
      <c r="AF53" s="3215"/>
      <c r="AG53" s="3241" t="s">
        <v>902</v>
      </c>
      <c r="AH53" s="3230" t="s">
        <v>664</v>
      </c>
      <c r="AI53" s="3231"/>
      <c r="AJ53" s="3230" t="s">
        <v>939</v>
      </c>
      <c r="AK53" s="3231"/>
      <c r="AL53" s="3241" t="s">
        <v>898</v>
      </c>
      <c r="AM53" s="3231"/>
      <c r="AN53" s="3231"/>
      <c r="AO53" s="3231"/>
      <c r="AP53" s="3231"/>
      <c r="AQ53" s="3232"/>
      <c r="AR53" s="3231"/>
      <c r="AS53" s="3231"/>
      <c r="AT53" s="3231"/>
      <c r="AU53" s="3231"/>
      <c r="AV53" s="3231"/>
      <c r="AW53" s="3231"/>
      <c r="AX53" s="3231"/>
      <c r="AY53" s="3231"/>
      <c r="AZ53" s="3231"/>
      <c r="BA53" s="3231"/>
      <c r="BB53" s="3231"/>
      <c r="BC53" s="4874"/>
      <c r="BD53" s="3231"/>
      <c r="BE53" s="3231"/>
      <c r="BF53" s="3231"/>
      <c r="BG53" s="3219"/>
      <c r="BH53" s="3220"/>
      <c r="BI53" s="3220">
        <v>1</v>
      </c>
      <c r="BJ53" s="3220">
        <v>1</v>
      </c>
      <c r="BK53" s="3220">
        <v>1</v>
      </c>
      <c r="BL53" s="3220">
        <v>1</v>
      </c>
      <c r="BM53" s="3220">
        <v>1</v>
      </c>
      <c r="BN53" s="3220"/>
      <c r="BO53" s="3220"/>
      <c r="BP53" s="3220"/>
      <c r="BQ53" s="3220"/>
    </row>
    <row r="54" spans="1:69" ht="22.05" customHeight="1">
      <c r="A54" s="218">
        <v>44</v>
      </c>
      <c r="B54" s="3211" t="s">
        <v>940</v>
      </c>
      <c r="C54" s="3212" t="s">
        <v>805</v>
      </c>
      <c r="D54" s="3214"/>
      <c r="E54" s="3213" t="s">
        <v>889</v>
      </c>
      <c r="F54" s="3213" t="s">
        <v>205</v>
      </c>
      <c r="G54" s="3213" t="s">
        <v>205</v>
      </c>
      <c r="H54" s="3213" t="s">
        <v>208</v>
      </c>
      <c r="I54" s="3214"/>
      <c r="J54" s="3214"/>
      <c r="K54" s="3214"/>
      <c r="L54" s="3214"/>
      <c r="M54" s="3214"/>
      <c r="N54" s="3214"/>
      <c r="O54" s="3214"/>
      <c r="P54" s="3214"/>
      <c r="Q54" s="3214"/>
      <c r="R54" s="3214"/>
      <c r="S54" s="3214"/>
      <c r="T54" s="3214"/>
      <c r="U54" s="3214"/>
      <c r="V54" s="3214"/>
      <c r="W54" s="3214"/>
      <c r="X54" s="3214"/>
      <c r="Y54" s="3214"/>
      <c r="Z54" s="3214"/>
      <c r="AA54" s="3214"/>
      <c r="AB54" s="3214"/>
      <c r="AC54" s="3214"/>
      <c r="AD54" s="3214"/>
      <c r="AE54" s="3215"/>
      <c r="AF54" s="3215"/>
      <c r="AG54" s="3241" t="s">
        <v>902</v>
      </c>
      <c r="AH54" s="3215"/>
      <c r="AI54" s="3230" t="s">
        <v>918</v>
      </c>
      <c r="AJ54" s="3216"/>
      <c r="AK54" s="3216"/>
      <c r="AL54" s="3243" t="s">
        <v>1674</v>
      </c>
      <c r="AM54" s="3216"/>
      <c r="AN54" s="3216"/>
      <c r="AO54" s="3216"/>
      <c r="AP54" s="3216"/>
      <c r="AQ54" s="3248"/>
      <c r="AR54" s="3216"/>
      <c r="AS54" s="3216"/>
      <c r="AT54" s="3216"/>
      <c r="AU54" s="3216"/>
      <c r="AV54" s="3213" t="s">
        <v>2418</v>
      </c>
      <c r="AW54" s="3216"/>
      <c r="AX54" s="3216"/>
      <c r="AY54" s="3216"/>
      <c r="AZ54" s="3216"/>
      <c r="BA54" s="3216"/>
      <c r="BB54" s="3216"/>
      <c r="BC54" s="4901"/>
      <c r="BD54" s="3216"/>
      <c r="BE54" s="3216"/>
      <c r="BF54" s="3216"/>
      <c r="BG54" s="3219"/>
      <c r="BH54" s="3220"/>
      <c r="BI54" s="3220">
        <v>1</v>
      </c>
      <c r="BJ54" s="3220">
        <v>1</v>
      </c>
      <c r="BK54" s="3220">
        <v>1</v>
      </c>
      <c r="BL54" s="3220">
        <v>1</v>
      </c>
      <c r="BM54" s="3220">
        <v>1</v>
      </c>
      <c r="BN54" s="3220">
        <v>1</v>
      </c>
      <c r="BO54" s="3220">
        <v>1</v>
      </c>
      <c r="BP54" s="3220">
        <v>1</v>
      </c>
      <c r="BQ54" s="3220"/>
    </row>
    <row r="55" spans="1:69" ht="14.4">
      <c r="A55" s="218"/>
      <c r="B55" s="3251" t="s">
        <v>376</v>
      </c>
      <c r="C55" s="3252"/>
      <c r="D55" s="3253"/>
      <c r="E55" s="3253"/>
      <c r="F55" s="3253"/>
      <c r="G55" s="3253"/>
      <c r="H55" s="3253"/>
      <c r="I55" s="3253"/>
      <c r="J55" s="3253"/>
      <c r="K55" s="3253"/>
      <c r="L55" s="3253"/>
      <c r="M55" s="3253"/>
      <c r="N55" s="3253"/>
      <c r="O55" s="3253"/>
      <c r="P55" s="3253"/>
      <c r="Q55" s="3253"/>
      <c r="R55" s="3253"/>
      <c r="S55" s="3253"/>
      <c r="T55" s="3253"/>
      <c r="U55" s="3253"/>
      <c r="V55" s="3253"/>
      <c r="W55" s="3253"/>
      <c r="X55" s="3253"/>
      <c r="Y55" s="3253"/>
      <c r="Z55" s="3253"/>
      <c r="AA55" s="3253"/>
      <c r="AB55" s="3253"/>
      <c r="AC55" s="3253"/>
      <c r="AD55" s="3253"/>
      <c r="AE55" s="3253"/>
      <c r="AF55" s="3253"/>
      <c r="AG55" s="3253"/>
      <c r="AH55" s="3253"/>
      <c r="AI55" s="3253"/>
      <c r="AJ55" s="3253"/>
      <c r="AK55" s="3254"/>
      <c r="AL55" s="3254"/>
      <c r="AM55" s="3254"/>
      <c r="AN55" s="3254"/>
      <c r="AO55" s="3254"/>
      <c r="AP55" s="3254"/>
      <c r="AQ55" s="3254"/>
      <c r="AR55" s="3254"/>
      <c r="AS55" s="3254"/>
      <c r="AT55" s="3254"/>
      <c r="AU55" s="3254"/>
      <c r="AV55" s="3254"/>
      <c r="AW55" s="3254"/>
      <c r="AX55" s="3254"/>
      <c r="AY55" s="3254"/>
      <c r="AZ55" s="3254"/>
      <c r="BA55" s="3254"/>
      <c r="BB55" s="3254"/>
      <c r="BC55" s="4902"/>
      <c r="BD55" s="4903"/>
      <c r="BE55" s="4903"/>
      <c r="BF55" s="4903"/>
      <c r="BG55" s="3255"/>
      <c r="BH55" s="3255"/>
      <c r="BI55" s="3255"/>
      <c r="BJ55" s="3255"/>
      <c r="BK55" s="3255"/>
      <c r="BL55" s="3255"/>
      <c r="BM55" s="3256"/>
      <c r="BN55" s="3256"/>
      <c r="BO55" s="3256"/>
      <c r="BP55" s="3256"/>
      <c r="BQ55" s="3256"/>
    </row>
    <row r="56" spans="1:69" ht="22.05" customHeight="1">
      <c r="A56" s="218">
        <v>45</v>
      </c>
      <c r="B56" s="3211" t="s">
        <v>881</v>
      </c>
      <c r="C56" s="3212" t="s">
        <v>565</v>
      </c>
      <c r="D56" s="3214"/>
      <c r="E56" s="3214"/>
      <c r="F56" s="3214"/>
      <c r="G56" s="3214"/>
      <c r="H56" s="3214"/>
      <c r="I56" s="3214"/>
      <c r="J56" s="3214"/>
      <c r="K56" s="3213" t="s">
        <v>941</v>
      </c>
      <c r="L56" s="3214"/>
      <c r="M56" s="3214"/>
      <c r="N56" s="3214"/>
      <c r="O56" s="3214"/>
      <c r="P56" s="3214"/>
      <c r="Q56" s="3214"/>
      <c r="R56" s="3214"/>
      <c r="S56" s="3214"/>
      <c r="T56" s="3214"/>
      <c r="U56" s="3214"/>
      <c r="V56" s="3214"/>
      <c r="W56" s="3214"/>
      <c r="X56" s="3214"/>
      <c r="Y56" s="3214"/>
      <c r="Z56" s="3214"/>
      <c r="AA56" s="3214"/>
      <c r="AB56" s="3214"/>
      <c r="AC56" s="3214"/>
      <c r="AD56" s="3214"/>
      <c r="AE56" s="3215"/>
      <c r="AF56" s="3215"/>
      <c r="AG56" s="3215"/>
      <c r="AH56" s="3215"/>
      <c r="AI56" s="3215"/>
      <c r="AJ56" s="3215"/>
      <c r="AK56" s="3215"/>
      <c r="AL56" s="3215"/>
      <c r="AM56" s="3215"/>
      <c r="AN56" s="3215"/>
      <c r="AO56" s="3215"/>
      <c r="AP56" s="3215"/>
      <c r="AQ56" s="3234"/>
      <c r="AR56" s="3215"/>
      <c r="AS56" s="3215"/>
      <c r="AT56" s="3215"/>
      <c r="AU56" s="3215"/>
      <c r="AV56" s="3215"/>
      <c r="AW56" s="3215"/>
      <c r="AX56" s="3215"/>
      <c r="AY56" s="3215"/>
      <c r="AZ56" s="3215"/>
      <c r="BA56" s="3215"/>
      <c r="BB56" s="3215"/>
      <c r="BC56" s="4900"/>
      <c r="BD56" s="3215"/>
      <c r="BE56" s="3215"/>
      <c r="BF56" s="3215"/>
      <c r="BG56" s="3219"/>
      <c r="BH56" s="3220"/>
      <c r="BI56" s="3220"/>
      <c r="BJ56" s="3220"/>
      <c r="BK56" s="3220"/>
      <c r="BL56" s="3220"/>
      <c r="BM56" s="3220"/>
      <c r="BN56" s="3220"/>
      <c r="BO56" s="3220"/>
      <c r="BP56" s="3220"/>
      <c r="BQ56" s="3220"/>
    </row>
    <row r="57" spans="1:69" ht="22.05" customHeight="1">
      <c r="A57" s="218">
        <v>46</v>
      </c>
      <c r="B57" s="3211" t="s">
        <v>942</v>
      </c>
      <c r="C57" s="3212" t="s">
        <v>1665</v>
      </c>
      <c r="D57" s="3214"/>
      <c r="E57" s="3214"/>
      <c r="F57" s="3214"/>
      <c r="G57" s="3214"/>
      <c r="H57" s="3214"/>
      <c r="I57" s="3214"/>
      <c r="J57" s="3214"/>
      <c r="K57" s="3213" t="s">
        <v>941</v>
      </c>
      <c r="L57" s="3214"/>
      <c r="M57" s="3214"/>
      <c r="N57" s="3214"/>
      <c r="O57" s="3213" t="s">
        <v>210</v>
      </c>
      <c r="P57" s="3221"/>
      <c r="Q57" s="3214"/>
      <c r="R57" s="3214"/>
      <c r="S57" s="3214"/>
      <c r="T57" s="3214"/>
      <c r="U57" s="3214"/>
      <c r="V57" s="3214"/>
      <c r="W57" s="3214"/>
      <c r="X57" s="3214"/>
      <c r="Y57" s="3214"/>
      <c r="Z57" s="3214"/>
      <c r="AA57" s="3214"/>
      <c r="AB57" s="3214"/>
      <c r="AC57" s="3214"/>
      <c r="AD57" s="3214"/>
      <c r="AE57" s="3215"/>
      <c r="AF57" s="3215"/>
      <c r="AG57" s="3215"/>
      <c r="AH57" s="3215"/>
      <c r="AI57" s="3215"/>
      <c r="AJ57" s="3215"/>
      <c r="AK57" s="3215"/>
      <c r="AL57" s="3215"/>
      <c r="AM57" s="3230" t="s">
        <v>810</v>
      </c>
      <c r="AN57" s="3215"/>
      <c r="AO57" s="3215"/>
      <c r="AP57" s="3215"/>
      <c r="AQ57" s="3234"/>
      <c r="AR57" s="3215"/>
      <c r="AS57" s="3215"/>
      <c r="AT57" s="3215"/>
      <c r="AU57" s="3215"/>
      <c r="AV57" s="3215"/>
      <c r="AW57" s="3215"/>
      <c r="AX57" s="3215"/>
      <c r="AY57" s="3215"/>
      <c r="AZ57" s="3215"/>
      <c r="BA57" s="3215"/>
      <c r="BB57" s="3215"/>
      <c r="BC57" s="4900"/>
      <c r="BD57" s="3215"/>
      <c r="BE57" s="3215"/>
      <c r="BF57" s="3215"/>
      <c r="BG57" s="3219"/>
      <c r="BH57" s="3220"/>
      <c r="BI57" s="3220"/>
      <c r="BJ57" s="3220"/>
      <c r="BK57" s="3220">
        <v>1</v>
      </c>
      <c r="BL57" s="3220">
        <v>1</v>
      </c>
      <c r="BM57" s="3220">
        <v>1</v>
      </c>
      <c r="BN57" s="3220"/>
      <c r="BO57" s="3220"/>
      <c r="BP57" s="3220"/>
      <c r="BQ57" s="3220"/>
    </row>
    <row r="58" spans="1:69" ht="22.05" customHeight="1">
      <c r="A58" s="218">
        <v>47</v>
      </c>
      <c r="B58" s="3211" t="s">
        <v>885</v>
      </c>
      <c r="C58" s="3212" t="s">
        <v>566</v>
      </c>
      <c r="D58" s="3214"/>
      <c r="E58" s="3214"/>
      <c r="F58" s="3214"/>
      <c r="G58" s="3214"/>
      <c r="H58" s="3214"/>
      <c r="I58" s="3214"/>
      <c r="J58" s="3214"/>
      <c r="K58" s="3213" t="s">
        <v>941</v>
      </c>
      <c r="L58" s="3214"/>
      <c r="M58" s="3213" t="s">
        <v>204</v>
      </c>
      <c r="N58" s="3221"/>
      <c r="O58" s="3214"/>
      <c r="P58" s="3214"/>
      <c r="Q58" s="3214"/>
      <c r="R58" s="3214"/>
      <c r="S58" s="3214"/>
      <c r="T58" s="3214"/>
      <c r="U58" s="3214"/>
      <c r="V58" s="3214"/>
      <c r="W58" s="3214"/>
      <c r="X58" s="3214"/>
      <c r="Y58" s="3214"/>
      <c r="Z58" s="3214"/>
      <c r="AA58" s="3214"/>
      <c r="AB58" s="3214"/>
      <c r="AC58" s="3214"/>
      <c r="AD58" s="3214"/>
      <c r="AE58" s="3215"/>
      <c r="AF58" s="3215"/>
      <c r="AG58" s="3215"/>
      <c r="AH58" s="3215"/>
      <c r="AI58" s="3215"/>
      <c r="AJ58" s="3215"/>
      <c r="AK58" s="3215"/>
      <c r="AL58" s="3215"/>
      <c r="AM58" s="3215"/>
      <c r="AN58" s="3215"/>
      <c r="AO58" s="3215"/>
      <c r="AP58" s="3215"/>
      <c r="AQ58" s="3234"/>
      <c r="AR58" s="3215"/>
      <c r="AS58" s="3215"/>
      <c r="AT58" s="3215"/>
      <c r="AU58" s="3215"/>
      <c r="AV58" s="3215"/>
      <c r="AW58" s="3215"/>
      <c r="AX58" s="3215"/>
      <c r="AY58" s="3215"/>
      <c r="AZ58" s="3215"/>
      <c r="BA58" s="3215"/>
      <c r="BB58" s="3215"/>
      <c r="BC58" s="4900"/>
      <c r="BD58" s="3215"/>
      <c r="BE58" s="3215"/>
      <c r="BF58" s="3215"/>
      <c r="BG58" s="3219"/>
      <c r="BH58" s="3220"/>
      <c r="BI58" s="3220"/>
      <c r="BJ58" s="3220"/>
      <c r="BK58" s="3220"/>
      <c r="BL58" s="3220"/>
      <c r="BM58" s="3220"/>
      <c r="BN58" s="3220"/>
      <c r="BO58" s="3220"/>
      <c r="BP58" s="3220"/>
      <c r="BQ58" s="3220"/>
    </row>
    <row r="59" spans="1:69" ht="22.05" customHeight="1">
      <c r="A59" s="218">
        <v>48</v>
      </c>
      <c r="B59" s="3211" t="s">
        <v>943</v>
      </c>
      <c r="C59" s="3212" t="s">
        <v>565</v>
      </c>
      <c r="D59" s="3214"/>
      <c r="E59" s="3214"/>
      <c r="F59" s="3214"/>
      <c r="G59" s="3214"/>
      <c r="H59" s="3214"/>
      <c r="I59" s="3214"/>
      <c r="J59" s="3214"/>
      <c r="K59" s="3213" t="s">
        <v>941</v>
      </c>
      <c r="L59" s="3214"/>
      <c r="M59" s="3214"/>
      <c r="N59" s="3214"/>
      <c r="O59" s="3214"/>
      <c r="P59" s="3214"/>
      <c r="Q59" s="3214"/>
      <c r="R59" s="3214"/>
      <c r="S59" s="3214"/>
      <c r="T59" s="3214"/>
      <c r="U59" s="3214"/>
      <c r="V59" s="3214"/>
      <c r="W59" s="3214"/>
      <c r="X59" s="3214"/>
      <c r="Y59" s="3214"/>
      <c r="Z59" s="3214"/>
      <c r="AA59" s="3214"/>
      <c r="AB59" s="3214"/>
      <c r="AC59" s="3214"/>
      <c r="AD59" s="3214"/>
      <c r="AE59" s="3215"/>
      <c r="AF59" s="3215"/>
      <c r="AG59" s="3215"/>
      <c r="AH59" s="3215"/>
      <c r="AI59" s="3215"/>
      <c r="AJ59" s="3215"/>
      <c r="AK59" s="3215"/>
      <c r="AL59" s="3215"/>
      <c r="AM59" s="3215"/>
      <c r="AN59" s="3215"/>
      <c r="AO59" s="3215"/>
      <c r="AP59" s="3215"/>
      <c r="AQ59" s="3234"/>
      <c r="AR59" s="3215"/>
      <c r="AS59" s="3215"/>
      <c r="AT59" s="3215"/>
      <c r="AU59" s="3215"/>
      <c r="AV59" s="3215"/>
      <c r="AW59" s="3215"/>
      <c r="AX59" s="3215"/>
      <c r="AY59" s="3215"/>
      <c r="AZ59" s="3215"/>
      <c r="BA59" s="3215"/>
      <c r="BB59" s="3215"/>
      <c r="BC59" s="4900"/>
      <c r="BD59" s="3215"/>
      <c r="BE59" s="3215"/>
      <c r="BF59" s="3215"/>
      <c r="BG59" s="3219"/>
      <c r="BH59" s="3220"/>
      <c r="BI59" s="3220"/>
      <c r="BJ59" s="3220"/>
      <c r="BK59" s="3220"/>
      <c r="BL59" s="3220"/>
      <c r="BM59" s="3220"/>
      <c r="BN59" s="3220"/>
      <c r="BO59" s="3220"/>
      <c r="BP59" s="3220"/>
      <c r="BQ59" s="3220"/>
    </row>
    <row r="60" spans="1:69" ht="22.05" customHeight="1">
      <c r="A60" s="218">
        <v>49</v>
      </c>
      <c r="B60" s="3211" t="s">
        <v>888</v>
      </c>
      <c r="C60" s="3212" t="s">
        <v>395</v>
      </c>
      <c r="D60" s="3214"/>
      <c r="E60" s="3214"/>
      <c r="F60" s="3214"/>
      <c r="G60" s="3214"/>
      <c r="H60" s="3214"/>
      <c r="I60" s="3214"/>
      <c r="J60" s="3214"/>
      <c r="K60" s="3213" t="s">
        <v>941</v>
      </c>
      <c r="L60" s="3214"/>
      <c r="M60" s="3214"/>
      <c r="N60" s="3214"/>
      <c r="O60" s="3214"/>
      <c r="P60" s="3214"/>
      <c r="Q60" s="3214"/>
      <c r="R60" s="3214"/>
      <c r="S60" s="3214"/>
      <c r="T60" s="3214"/>
      <c r="U60" s="3214"/>
      <c r="V60" s="3214"/>
      <c r="W60" s="3214"/>
      <c r="X60" s="3214"/>
      <c r="Y60" s="3214"/>
      <c r="Z60" s="3214"/>
      <c r="AA60" s="3214"/>
      <c r="AB60" s="3214"/>
      <c r="AC60" s="3213" t="s">
        <v>234</v>
      </c>
      <c r="AD60" s="3214"/>
      <c r="AE60" s="3215"/>
      <c r="AF60" s="3215"/>
      <c r="AG60" s="3215"/>
      <c r="AH60" s="3215"/>
      <c r="AI60" s="3215"/>
      <c r="AJ60" s="3215"/>
      <c r="AK60" s="3215"/>
      <c r="AL60" s="3215"/>
      <c r="AM60" s="3215"/>
      <c r="AN60" s="3215"/>
      <c r="AO60" s="3215"/>
      <c r="AP60" s="3215"/>
      <c r="AQ60" s="3234"/>
      <c r="AR60" s="3215"/>
      <c r="AS60" s="3215"/>
      <c r="AT60" s="3215"/>
      <c r="AU60" s="3215"/>
      <c r="AV60" s="3215"/>
      <c r="AW60" s="3213" t="s">
        <v>2421</v>
      </c>
      <c r="AX60" s="3214"/>
      <c r="AY60" s="3214"/>
      <c r="AZ60" s="3214"/>
      <c r="BA60" s="3214"/>
      <c r="BB60" s="3214"/>
      <c r="BC60" s="4897"/>
      <c r="BD60" s="3214"/>
      <c r="BE60" s="3214"/>
      <c r="BF60" s="3214"/>
      <c r="BG60" s="3219"/>
      <c r="BH60" s="3220">
        <v>1</v>
      </c>
      <c r="BI60" s="3220">
        <v>1</v>
      </c>
      <c r="BJ60" s="3220">
        <v>1</v>
      </c>
      <c r="BK60" s="3220"/>
      <c r="BL60" s="3220"/>
      <c r="BM60" s="3220"/>
      <c r="BN60" s="3220">
        <v>1</v>
      </c>
      <c r="BO60" s="3220">
        <v>1</v>
      </c>
      <c r="BP60" s="3220">
        <v>1</v>
      </c>
      <c r="BQ60" s="3220"/>
    </row>
    <row r="61" spans="1:69" ht="22.05" customHeight="1">
      <c r="A61" s="218">
        <v>50</v>
      </c>
      <c r="B61" s="3211" t="s">
        <v>944</v>
      </c>
      <c r="C61" s="3212" t="s">
        <v>1667</v>
      </c>
      <c r="D61" s="3214"/>
      <c r="E61" s="3214"/>
      <c r="F61" s="3214"/>
      <c r="G61" s="3213" t="s">
        <v>252</v>
      </c>
      <c r="H61" s="3214"/>
      <c r="I61" s="3214"/>
      <c r="J61" s="3214"/>
      <c r="K61" s="3213" t="s">
        <v>941</v>
      </c>
      <c r="L61" s="3214"/>
      <c r="M61" s="3214"/>
      <c r="N61" s="3214"/>
      <c r="O61" s="3214"/>
      <c r="P61" s="3214"/>
      <c r="Q61" s="3214"/>
      <c r="R61" s="3214"/>
      <c r="S61" s="3214"/>
      <c r="T61" s="3214"/>
      <c r="U61" s="3214"/>
      <c r="V61" s="3214"/>
      <c r="W61" s="3213" t="s">
        <v>945</v>
      </c>
      <c r="X61" s="3221"/>
      <c r="Y61" s="3214"/>
      <c r="Z61" s="3214"/>
      <c r="AA61" s="3214"/>
      <c r="AB61" s="3214"/>
      <c r="AC61" s="3214"/>
      <c r="AD61" s="3214"/>
      <c r="AE61" s="3215"/>
      <c r="AF61" s="3215"/>
      <c r="AG61" s="3215"/>
      <c r="AH61" s="3215"/>
      <c r="AI61" s="3215"/>
      <c r="AJ61" s="3215"/>
      <c r="AK61" s="3215"/>
      <c r="AL61" s="3215"/>
      <c r="AM61" s="3215"/>
      <c r="AN61" s="3215"/>
      <c r="AO61" s="3215"/>
      <c r="AP61" s="3230" t="s">
        <v>1673</v>
      </c>
      <c r="AQ61" s="3232"/>
      <c r="AR61" s="3231"/>
      <c r="AS61" s="3231"/>
      <c r="AT61" s="3231"/>
      <c r="AU61" s="3231"/>
      <c r="AV61" s="3231"/>
      <c r="AW61" s="3231"/>
      <c r="AX61" s="3231"/>
      <c r="AY61" s="3231"/>
      <c r="AZ61" s="3231"/>
      <c r="BA61" s="3231"/>
      <c r="BB61" s="3231"/>
      <c r="BC61" s="4874"/>
      <c r="BD61" s="3231"/>
      <c r="BE61" s="3231"/>
      <c r="BF61" s="3231"/>
      <c r="BG61" s="3219">
        <v>1</v>
      </c>
      <c r="BH61" s="3220">
        <v>1</v>
      </c>
      <c r="BI61" s="3220"/>
      <c r="BJ61" s="3220"/>
      <c r="BK61" s="3220"/>
      <c r="BL61" s="3220">
        <v>1</v>
      </c>
      <c r="BM61" s="3220">
        <v>1</v>
      </c>
      <c r="BN61" s="3220">
        <v>1</v>
      </c>
      <c r="BO61" s="3220"/>
      <c r="BP61" s="3220"/>
      <c r="BQ61" s="3220"/>
    </row>
    <row r="62" spans="1:69" ht="14.4">
      <c r="A62" s="218"/>
      <c r="B62" s="3251" t="s">
        <v>377</v>
      </c>
      <c r="C62" s="3252"/>
      <c r="D62" s="3253"/>
      <c r="E62" s="3253"/>
      <c r="F62" s="3253"/>
      <c r="G62" s="3253"/>
      <c r="H62" s="3253"/>
      <c r="I62" s="3253"/>
      <c r="J62" s="3253"/>
      <c r="K62" s="3253"/>
      <c r="L62" s="3253"/>
      <c r="M62" s="3253"/>
      <c r="N62" s="3253"/>
      <c r="O62" s="3253"/>
      <c r="P62" s="3253"/>
      <c r="Q62" s="3253"/>
      <c r="R62" s="3253"/>
      <c r="S62" s="3253"/>
      <c r="T62" s="3253"/>
      <c r="U62" s="3253"/>
      <c r="V62" s="3253"/>
      <c r="W62" s="3253"/>
      <c r="X62" s="3253"/>
      <c r="Y62" s="3253"/>
      <c r="Z62" s="3253"/>
      <c r="AA62" s="3253"/>
      <c r="AB62" s="3253"/>
      <c r="AC62" s="3253"/>
      <c r="AD62" s="3253"/>
      <c r="AE62" s="3253"/>
      <c r="AF62" s="3253"/>
      <c r="AG62" s="3253"/>
      <c r="AH62" s="3253"/>
      <c r="AI62" s="3253"/>
      <c r="AJ62" s="3253"/>
      <c r="AK62" s="3254"/>
      <c r="AL62" s="3254"/>
      <c r="AM62" s="3254"/>
      <c r="AN62" s="3254"/>
      <c r="AO62" s="3254"/>
      <c r="AP62" s="3254"/>
      <c r="AQ62" s="3254"/>
      <c r="AR62" s="3254"/>
      <c r="AS62" s="3254"/>
      <c r="AT62" s="3254"/>
      <c r="AU62" s="3254"/>
      <c r="AV62" s="3254"/>
      <c r="AW62" s="3254"/>
      <c r="AX62" s="3254"/>
      <c r="AY62" s="3254"/>
      <c r="AZ62" s="3254"/>
      <c r="BA62" s="3254"/>
      <c r="BB62" s="3254"/>
      <c r="BC62" s="4902"/>
      <c r="BD62" s="4903"/>
      <c r="BE62" s="4903"/>
      <c r="BF62" s="4903"/>
      <c r="BG62" s="3255"/>
      <c r="BH62" s="3255"/>
      <c r="BI62" s="3255"/>
      <c r="BJ62" s="3255"/>
      <c r="BK62" s="3255"/>
      <c r="BL62" s="3255"/>
      <c r="BM62" s="3256"/>
      <c r="BN62" s="3256"/>
      <c r="BO62" s="3256"/>
      <c r="BP62" s="3256"/>
      <c r="BQ62" s="3256"/>
    </row>
    <row r="63" spans="1:69" ht="14.4">
      <c r="A63" s="218">
        <v>51</v>
      </c>
      <c r="B63" s="3211" t="s">
        <v>946</v>
      </c>
      <c r="C63" s="3212" t="s">
        <v>1664</v>
      </c>
      <c r="D63" s="3214"/>
      <c r="E63" s="3214"/>
      <c r="F63" s="3214"/>
      <c r="G63" s="3214"/>
      <c r="H63" s="3214"/>
      <c r="I63" s="3214"/>
      <c r="J63" s="3214"/>
      <c r="K63" s="3214"/>
      <c r="L63" s="3214"/>
      <c r="M63" s="3214"/>
      <c r="N63" s="3214"/>
      <c r="O63" s="3214"/>
      <c r="P63" s="3214"/>
      <c r="Q63" s="3214"/>
      <c r="R63" s="3214"/>
      <c r="S63" s="3214"/>
      <c r="T63" s="3214"/>
      <c r="U63" s="3214"/>
      <c r="V63" s="3214"/>
      <c r="W63" s="3214"/>
      <c r="X63" s="3214"/>
      <c r="Y63" s="3214"/>
      <c r="Z63" s="3214"/>
      <c r="AA63" s="3214"/>
      <c r="AB63" s="3214"/>
      <c r="AC63" s="3214"/>
      <c r="AD63" s="3214"/>
      <c r="AE63" s="3215"/>
      <c r="AF63" s="3215"/>
      <c r="AG63" s="3215"/>
      <c r="AH63" s="3215"/>
      <c r="AI63" s="3213" t="s">
        <v>665</v>
      </c>
      <c r="AJ63" s="3216"/>
      <c r="AK63" s="3216"/>
      <c r="AL63" s="3216"/>
      <c r="AM63" s="3230" t="s">
        <v>810</v>
      </c>
      <c r="AN63" s="3216"/>
      <c r="AO63" s="3216"/>
      <c r="AP63" s="3216"/>
      <c r="AQ63" s="3248"/>
      <c r="AR63" s="3216"/>
      <c r="AS63" s="3216"/>
      <c r="AT63" s="3216"/>
      <c r="AU63" s="3216"/>
      <c r="AV63" s="3216"/>
      <c r="AW63" s="3216"/>
      <c r="AX63" s="3216"/>
      <c r="AY63" s="3216"/>
      <c r="AZ63" s="3216"/>
      <c r="BA63" s="3216"/>
      <c r="BB63" s="3216"/>
      <c r="BC63" s="4901"/>
      <c r="BD63" s="3216"/>
      <c r="BE63" s="3216"/>
      <c r="BF63" s="3216"/>
      <c r="BG63" s="3219"/>
      <c r="BH63" s="3220"/>
      <c r="BI63" s="3220"/>
      <c r="BJ63" s="3220">
        <v>1</v>
      </c>
      <c r="BK63" s="3220">
        <v>1</v>
      </c>
      <c r="BL63" s="3220">
        <v>1</v>
      </c>
      <c r="BM63" s="3220">
        <v>1</v>
      </c>
      <c r="BN63" s="3220"/>
      <c r="BO63" s="3220"/>
      <c r="BP63" s="3220"/>
      <c r="BQ63" s="3220"/>
    </row>
    <row r="64" spans="1:69" ht="14.4">
      <c r="A64" s="218">
        <v>52</v>
      </c>
      <c r="B64" s="3211" t="s">
        <v>947</v>
      </c>
      <c r="C64" s="3212" t="s">
        <v>1664</v>
      </c>
      <c r="D64" s="3214"/>
      <c r="E64" s="3214"/>
      <c r="F64" s="3214"/>
      <c r="G64" s="3214"/>
      <c r="H64" s="3214"/>
      <c r="I64" s="3214"/>
      <c r="J64" s="3214"/>
      <c r="K64" s="3214"/>
      <c r="L64" s="3214"/>
      <c r="M64" s="3214"/>
      <c r="N64" s="3214"/>
      <c r="O64" s="3214"/>
      <c r="P64" s="3214"/>
      <c r="Q64" s="3214"/>
      <c r="R64" s="3214"/>
      <c r="S64" s="3214"/>
      <c r="T64" s="3214"/>
      <c r="U64" s="3214"/>
      <c r="V64" s="3214"/>
      <c r="W64" s="3214"/>
      <c r="X64" s="3214"/>
      <c r="Y64" s="3214"/>
      <c r="Z64" s="3214"/>
      <c r="AA64" s="3214"/>
      <c r="AB64" s="3214"/>
      <c r="AC64" s="3214"/>
      <c r="AD64" s="3214"/>
      <c r="AE64" s="3215"/>
      <c r="AF64" s="3215"/>
      <c r="AG64" s="3215"/>
      <c r="AH64" s="3215"/>
      <c r="AI64" s="3215"/>
      <c r="AJ64" s="3215"/>
      <c r="AK64" s="3215"/>
      <c r="AL64" s="3242" t="s">
        <v>949</v>
      </c>
      <c r="AM64" s="3230" t="s">
        <v>810</v>
      </c>
      <c r="AN64" s="3215"/>
      <c r="AO64" s="3215"/>
      <c r="AP64" s="3215"/>
      <c r="AQ64" s="3234"/>
      <c r="AR64" s="3215"/>
      <c r="AS64" s="3215"/>
      <c r="AT64" s="3215"/>
      <c r="AU64" s="3215"/>
      <c r="AV64" s="3230" t="s">
        <v>2414</v>
      </c>
      <c r="AW64" s="3215"/>
      <c r="AX64" s="3215"/>
      <c r="AY64" s="3215"/>
      <c r="AZ64" s="3215"/>
      <c r="BA64" s="3215"/>
      <c r="BB64" s="3215"/>
      <c r="BC64" s="4900"/>
      <c r="BD64" s="3215"/>
      <c r="BE64" s="3215"/>
      <c r="BF64" s="3215"/>
      <c r="BG64" s="3219"/>
      <c r="BH64" s="3220"/>
      <c r="BI64" s="3220"/>
      <c r="BJ64" s="3220"/>
      <c r="BK64" s="3220">
        <v>1</v>
      </c>
      <c r="BL64" s="3220">
        <v>1</v>
      </c>
      <c r="BM64" s="3220">
        <v>1</v>
      </c>
      <c r="BN64" s="3220">
        <v>1</v>
      </c>
      <c r="BO64" s="3220">
        <v>1</v>
      </c>
      <c r="BP64" s="3220">
        <v>1</v>
      </c>
      <c r="BQ64" s="3220"/>
    </row>
    <row r="65" spans="1:69" ht="22.05" customHeight="1">
      <c r="A65" s="218">
        <v>53</v>
      </c>
      <c r="B65" s="3211" t="s">
        <v>950</v>
      </c>
      <c r="C65" s="3212" t="s">
        <v>1667</v>
      </c>
      <c r="D65" s="3214"/>
      <c r="E65" s="3214"/>
      <c r="F65" s="3214"/>
      <c r="G65" s="3214"/>
      <c r="H65" s="3214"/>
      <c r="I65" s="3214"/>
      <c r="J65" s="3214"/>
      <c r="K65" s="3214"/>
      <c r="L65" s="3214"/>
      <c r="M65" s="3214"/>
      <c r="N65" s="3214"/>
      <c r="O65" s="3214"/>
      <c r="P65" s="3214"/>
      <c r="Q65" s="3214"/>
      <c r="R65" s="3214"/>
      <c r="S65" s="3214"/>
      <c r="T65" s="3214"/>
      <c r="U65" s="3214"/>
      <c r="V65" s="3214"/>
      <c r="W65" s="3214"/>
      <c r="X65" s="3214"/>
      <c r="Y65" s="3214"/>
      <c r="Z65" s="3214"/>
      <c r="AA65" s="3214"/>
      <c r="AB65" s="3214"/>
      <c r="AC65" s="3214"/>
      <c r="AD65" s="3214"/>
      <c r="AE65" s="3215"/>
      <c r="AF65" s="3215"/>
      <c r="AG65" s="3215"/>
      <c r="AH65" s="3215"/>
      <c r="AI65" s="3215"/>
      <c r="AJ65" s="3215"/>
      <c r="AK65" s="3215"/>
      <c r="AL65" s="3215"/>
      <c r="AM65" s="3230" t="s">
        <v>810</v>
      </c>
      <c r="AN65" s="3215"/>
      <c r="AO65" s="3215"/>
      <c r="AP65" s="3215"/>
      <c r="AQ65" s="3257" t="s">
        <v>1673</v>
      </c>
      <c r="AR65" s="3231"/>
      <c r="AS65" s="3231"/>
      <c r="AT65" s="3231"/>
      <c r="AU65" s="3231"/>
      <c r="AV65" s="3231"/>
      <c r="AW65" s="3231"/>
      <c r="AX65" s="3231"/>
      <c r="AY65" s="3231"/>
      <c r="AZ65" s="3231"/>
      <c r="BA65" s="3231"/>
      <c r="BB65" s="3231"/>
      <c r="BC65" s="4874"/>
      <c r="BD65" s="3231"/>
      <c r="BE65" s="3231"/>
      <c r="BF65" s="3231"/>
      <c r="BG65" s="3219"/>
      <c r="BH65" s="3220"/>
      <c r="BI65" s="3220"/>
      <c r="BJ65" s="3220"/>
      <c r="BK65" s="3220">
        <v>1</v>
      </c>
      <c r="BL65" s="3220">
        <v>1</v>
      </c>
      <c r="BM65" s="3220">
        <v>1</v>
      </c>
      <c r="BN65" s="3220">
        <v>1</v>
      </c>
      <c r="BO65" s="3220"/>
      <c r="BP65" s="3220"/>
      <c r="BQ65" s="3220"/>
    </row>
    <row r="66" spans="1:69" ht="14.4">
      <c r="A66" s="218">
        <v>54</v>
      </c>
      <c r="B66" s="3211" t="s">
        <v>951</v>
      </c>
      <c r="C66" s="3212" t="s">
        <v>1667</v>
      </c>
      <c r="D66" s="3214"/>
      <c r="E66" s="3214"/>
      <c r="F66" s="3214"/>
      <c r="G66" s="3214"/>
      <c r="H66" s="3214"/>
      <c r="I66" s="3214"/>
      <c r="J66" s="3214"/>
      <c r="K66" s="3214"/>
      <c r="L66" s="3214"/>
      <c r="M66" s="3214"/>
      <c r="N66" s="3214"/>
      <c r="O66" s="3214"/>
      <c r="P66" s="3214"/>
      <c r="Q66" s="3214"/>
      <c r="R66" s="3214"/>
      <c r="S66" s="3214"/>
      <c r="T66" s="3214"/>
      <c r="U66" s="3217" t="s">
        <v>952</v>
      </c>
      <c r="V66" s="3214"/>
      <c r="W66" s="3217" t="s">
        <v>953</v>
      </c>
      <c r="X66" s="3214"/>
      <c r="Y66" s="3214"/>
      <c r="Z66" s="3214"/>
      <c r="AA66" s="3214"/>
      <c r="AB66" s="3214"/>
      <c r="AC66" s="3214"/>
      <c r="AD66" s="3214"/>
      <c r="AE66" s="3215"/>
      <c r="AF66" s="3215"/>
      <c r="AG66" s="3215"/>
      <c r="AH66" s="3215"/>
      <c r="AI66" s="3215"/>
      <c r="AJ66" s="3215"/>
      <c r="AK66" s="3215"/>
      <c r="AL66" s="3215"/>
      <c r="AM66" s="3230" t="s">
        <v>810</v>
      </c>
      <c r="AN66" s="3215"/>
      <c r="AO66" s="3215"/>
      <c r="AP66" s="3230" t="s">
        <v>1673</v>
      </c>
      <c r="AQ66" s="3232"/>
      <c r="AR66" s="3231"/>
      <c r="AS66" s="3231"/>
      <c r="AT66" s="3231"/>
      <c r="AU66" s="3231"/>
      <c r="AV66" s="3231"/>
      <c r="AW66" s="3231"/>
      <c r="AX66" s="3231"/>
      <c r="AY66" s="3231"/>
      <c r="AZ66" s="3231"/>
      <c r="BA66" s="3231"/>
      <c r="BB66" s="3231"/>
      <c r="BC66" s="4874"/>
      <c r="BD66" s="3231"/>
      <c r="BE66" s="3231"/>
      <c r="BF66" s="3231"/>
      <c r="BG66" s="3219">
        <v>1</v>
      </c>
      <c r="BH66" s="3220">
        <v>1</v>
      </c>
      <c r="BI66" s="3220">
        <v>1</v>
      </c>
      <c r="BJ66" s="3220"/>
      <c r="BK66" s="3220">
        <v>1</v>
      </c>
      <c r="BL66" s="3220">
        <v>1</v>
      </c>
      <c r="BM66" s="3220">
        <v>1</v>
      </c>
      <c r="BN66" s="3220">
        <v>1</v>
      </c>
      <c r="BO66" s="3220"/>
      <c r="BP66" s="3220"/>
      <c r="BQ66" s="3220"/>
    </row>
    <row r="67" spans="1:69" ht="28.8">
      <c r="A67" s="218">
        <v>55</v>
      </c>
      <c r="B67" s="3211" t="s">
        <v>954</v>
      </c>
      <c r="C67" s="3212" t="s">
        <v>1671</v>
      </c>
      <c r="D67" s="3214"/>
      <c r="E67" s="3214"/>
      <c r="F67" s="3214"/>
      <c r="G67" s="3214"/>
      <c r="H67" s="3214"/>
      <c r="I67" s="3214"/>
      <c r="J67" s="3214"/>
      <c r="K67" s="3214"/>
      <c r="L67" s="3214"/>
      <c r="M67" s="3214"/>
      <c r="N67" s="3214"/>
      <c r="O67" s="3214"/>
      <c r="P67" s="3214"/>
      <c r="Q67" s="3214"/>
      <c r="R67" s="3214"/>
      <c r="S67" s="3214"/>
      <c r="T67" s="3214"/>
      <c r="U67" s="3214"/>
      <c r="V67" s="3214"/>
      <c r="W67" s="3214"/>
      <c r="X67" s="3214"/>
      <c r="Y67" s="3214"/>
      <c r="Z67" s="3214"/>
      <c r="AA67" s="3214"/>
      <c r="AB67" s="3214"/>
      <c r="AC67" s="3214"/>
      <c r="AD67" s="3214"/>
      <c r="AE67" s="3215"/>
      <c r="AF67" s="3215"/>
      <c r="AG67" s="3215"/>
      <c r="AH67" s="3215"/>
      <c r="AI67" s="3215"/>
      <c r="AJ67" s="3215"/>
      <c r="AK67" s="3215"/>
      <c r="AL67" s="3242" t="s">
        <v>1675</v>
      </c>
      <c r="AM67" s="3230" t="s">
        <v>810</v>
      </c>
      <c r="AN67" s="3215"/>
      <c r="AO67" s="3258"/>
      <c r="AP67" s="3242" t="s">
        <v>1676</v>
      </c>
      <c r="AQ67" s="3234"/>
      <c r="AR67" s="3215"/>
      <c r="AS67" s="3215"/>
      <c r="AT67" s="3215"/>
      <c r="AU67" s="3215"/>
      <c r="AV67" s="3215"/>
      <c r="AW67" s="3215"/>
      <c r="AX67" s="3215"/>
      <c r="AY67" s="3215"/>
      <c r="AZ67" s="3215"/>
      <c r="BA67" s="3215"/>
      <c r="BB67" s="3215"/>
      <c r="BC67" s="4900"/>
      <c r="BD67" s="3215"/>
      <c r="BE67" s="3215"/>
      <c r="BF67" s="3215"/>
      <c r="BG67" s="3219"/>
      <c r="BH67" s="3220"/>
      <c r="BI67" s="3220"/>
      <c r="BJ67" s="3220"/>
      <c r="BK67" s="3220">
        <v>1</v>
      </c>
      <c r="BL67" s="3220">
        <v>1</v>
      </c>
      <c r="BM67" s="3220">
        <v>1</v>
      </c>
      <c r="BN67" s="3220">
        <v>1</v>
      </c>
      <c r="BO67" s="3220"/>
      <c r="BP67" s="3220"/>
      <c r="BQ67" s="3220"/>
    </row>
    <row r="68" spans="1:69" ht="28.8">
      <c r="A68" s="218">
        <v>56</v>
      </c>
      <c r="B68" s="3211" t="s">
        <v>955</v>
      </c>
      <c r="C68" s="3212" t="s">
        <v>1664</v>
      </c>
      <c r="D68" s="3214"/>
      <c r="E68" s="3214"/>
      <c r="F68" s="3214"/>
      <c r="G68" s="3214"/>
      <c r="H68" s="3214"/>
      <c r="I68" s="3214"/>
      <c r="J68" s="3214"/>
      <c r="K68" s="3214"/>
      <c r="L68" s="3214"/>
      <c r="M68" s="3214"/>
      <c r="N68" s="3214"/>
      <c r="O68" s="3214"/>
      <c r="P68" s="3214"/>
      <c r="Q68" s="3214"/>
      <c r="R68" s="3214"/>
      <c r="S68" s="3214"/>
      <c r="T68" s="3214"/>
      <c r="U68" s="3214"/>
      <c r="V68" s="3214"/>
      <c r="W68" s="3214"/>
      <c r="X68" s="3214"/>
      <c r="Y68" s="3214"/>
      <c r="Z68" s="3214"/>
      <c r="AA68" s="3214"/>
      <c r="AB68" s="3214"/>
      <c r="AC68" s="3214"/>
      <c r="AD68" s="3214"/>
      <c r="AE68" s="3215"/>
      <c r="AF68" s="3215"/>
      <c r="AG68" s="3215"/>
      <c r="AH68" s="3215"/>
      <c r="AI68" s="3215"/>
      <c r="AJ68" s="3215"/>
      <c r="AK68" s="3215"/>
      <c r="AL68" s="3215"/>
      <c r="AM68" s="3230" t="s">
        <v>810</v>
      </c>
      <c r="AN68" s="3214"/>
      <c r="AO68" s="3214"/>
      <c r="AP68" s="3214"/>
      <c r="AQ68" s="3259"/>
      <c r="AR68" s="3214"/>
      <c r="AS68" s="3214"/>
      <c r="AT68" s="3214"/>
      <c r="AU68" s="3214"/>
      <c r="AV68" s="3214"/>
      <c r="AW68" s="3214"/>
      <c r="AX68" s="3214"/>
      <c r="AY68" s="3214"/>
      <c r="AZ68" s="3214"/>
      <c r="BA68" s="3214"/>
      <c r="BB68" s="3214"/>
      <c r="BC68" s="4897"/>
      <c r="BD68" s="3214"/>
      <c r="BE68" s="3214"/>
      <c r="BF68" s="3214"/>
      <c r="BG68" s="3219"/>
      <c r="BH68" s="3220"/>
      <c r="BI68" s="3220"/>
      <c r="BJ68" s="3220"/>
      <c r="BK68" s="3220">
        <v>1</v>
      </c>
      <c r="BL68" s="3220">
        <v>1</v>
      </c>
      <c r="BM68" s="3220">
        <v>1</v>
      </c>
      <c r="BN68" s="3220"/>
      <c r="BO68" s="3220"/>
      <c r="BP68" s="3220"/>
      <c r="BQ68" s="3220"/>
    </row>
    <row r="69" spans="1:69" ht="22.05" customHeight="1">
      <c r="A69" s="218">
        <v>57</v>
      </c>
      <c r="B69" s="3211" t="s">
        <v>956</v>
      </c>
      <c r="C69" s="3212" t="s">
        <v>1664</v>
      </c>
      <c r="D69" s="3214"/>
      <c r="E69" s="3214"/>
      <c r="F69" s="3214"/>
      <c r="G69" s="3214"/>
      <c r="H69" s="3214"/>
      <c r="I69" s="3214"/>
      <c r="J69" s="3214"/>
      <c r="K69" s="3214"/>
      <c r="L69" s="3214"/>
      <c r="M69" s="3214"/>
      <c r="N69" s="3214"/>
      <c r="O69" s="3214"/>
      <c r="P69" s="3214"/>
      <c r="Q69" s="3214"/>
      <c r="R69" s="3214"/>
      <c r="S69" s="3214"/>
      <c r="T69" s="3214"/>
      <c r="U69" s="3214"/>
      <c r="V69" s="3214"/>
      <c r="W69" s="3214"/>
      <c r="X69" s="3214"/>
      <c r="Y69" s="3213" t="s">
        <v>901</v>
      </c>
      <c r="Z69" s="3214"/>
      <c r="AA69" s="3214"/>
      <c r="AB69" s="3214"/>
      <c r="AC69" s="3214"/>
      <c r="AD69" s="3214"/>
      <c r="AE69" s="3215"/>
      <c r="AF69" s="3215"/>
      <c r="AG69" s="3215"/>
      <c r="AH69" s="3215"/>
      <c r="AI69" s="3215"/>
      <c r="AJ69" s="3215"/>
      <c r="AK69" s="3215"/>
      <c r="AL69" s="3215"/>
      <c r="AM69" s="3230" t="s">
        <v>810</v>
      </c>
      <c r="AN69" s="3215"/>
      <c r="AO69" s="3215"/>
      <c r="AP69" s="3215"/>
      <c r="AQ69" s="3234"/>
      <c r="AR69" s="3215"/>
      <c r="AS69" s="3230" t="s">
        <v>1899</v>
      </c>
      <c r="AT69" s="3215"/>
      <c r="AU69" s="3215"/>
      <c r="AV69" s="3215"/>
      <c r="AW69" s="3215"/>
      <c r="AX69" s="3215"/>
      <c r="AY69" s="3215"/>
      <c r="AZ69" s="3215"/>
      <c r="BA69" s="3215"/>
      <c r="BB69" s="3215"/>
      <c r="BC69" s="4900"/>
      <c r="BD69" s="3215"/>
      <c r="BE69" s="3215"/>
      <c r="BF69" s="3215"/>
      <c r="BG69" s="3219">
        <v>1</v>
      </c>
      <c r="BH69" s="3220">
        <v>1</v>
      </c>
      <c r="BI69" s="3220">
        <v>1</v>
      </c>
      <c r="BJ69" s="3220"/>
      <c r="BK69" s="3220">
        <v>1</v>
      </c>
      <c r="BL69" s="3220">
        <v>1</v>
      </c>
      <c r="BM69" s="3220">
        <v>1</v>
      </c>
      <c r="BN69" s="3220">
        <v>1</v>
      </c>
      <c r="BO69" s="3220">
        <v>1</v>
      </c>
      <c r="BP69" s="3220"/>
      <c r="BQ69" s="3220"/>
    </row>
    <row r="70" spans="1:69" ht="22.05" customHeight="1">
      <c r="A70" s="218">
        <v>58</v>
      </c>
      <c r="B70" s="3211" t="s">
        <v>957</v>
      </c>
      <c r="C70" s="3212" t="s">
        <v>1664</v>
      </c>
      <c r="D70" s="3214"/>
      <c r="E70" s="3214"/>
      <c r="F70" s="3214"/>
      <c r="G70" s="3214"/>
      <c r="H70" s="3214"/>
      <c r="I70" s="3214"/>
      <c r="J70" s="3214"/>
      <c r="K70" s="3214"/>
      <c r="L70" s="3214"/>
      <c r="M70" s="3214"/>
      <c r="N70" s="3214"/>
      <c r="O70" s="3214"/>
      <c r="P70" s="3214"/>
      <c r="Q70" s="3214"/>
      <c r="R70" s="3214"/>
      <c r="S70" s="3214"/>
      <c r="T70" s="3217" t="s">
        <v>958</v>
      </c>
      <c r="U70" s="3221"/>
      <c r="V70" s="3214"/>
      <c r="W70" s="3214"/>
      <c r="X70" s="3214"/>
      <c r="Y70" s="3214"/>
      <c r="Z70" s="3214"/>
      <c r="AA70" s="3214"/>
      <c r="AB70" s="3214"/>
      <c r="AC70" s="3214"/>
      <c r="AD70" s="3214"/>
      <c r="AE70" s="3215"/>
      <c r="AF70" s="3215"/>
      <c r="AG70" s="3215"/>
      <c r="AH70" s="3215"/>
      <c r="AI70" s="3215"/>
      <c r="AJ70" s="3215"/>
      <c r="AK70" s="3215"/>
      <c r="AL70" s="3215"/>
      <c r="AM70" s="3230" t="s">
        <v>810</v>
      </c>
      <c r="AN70" s="3215"/>
      <c r="AO70" s="3215"/>
      <c r="AP70" s="3215"/>
      <c r="AQ70" s="3234"/>
      <c r="AR70" s="3215"/>
      <c r="AS70" s="3215"/>
      <c r="AT70" s="3230" t="s">
        <v>1903</v>
      </c>
      <c r="AU70" s="3231"/>
      <c r="AV70" s="3231"/>
      <c r="AW70" s="3231"/>
      <c r="AX70" s="3231"/>
      <c r="AY70" s="3231"/>
      <c r="AZ70" s="3231"/>
      <c r="BA70" s="3231"/>
      <c r="BB70" s="3231"/>
      <c r="BC70" s="4874"/>
      <c r="BD70" s="3231"/>
      <c r="BE70" s="3231"/>
      <c r="BF70" s="3231"/>
      <c r="BG70" s="3219">
        <v>1</v>
      </c>
      <c r="BH70" s="3220"/>
      <c r="BI70" s="3220"/>
      <c r="BJ70" s="3220"/>
      <c r="BK70" s="3220">
        <v>1</v>
      </c>
      <c r="BL70" s="3220">
        <v>1</v>
      </c>
      <c r="BM70" s="3220">
        <v>1</v>
      </c>
      <c r="BN70" s="3220">
        <v>1</v>
      </c>
      <c r="BO70" s="3220">
        <v>1</v>
      </c>
      <c r="BP70" s="3220">
        <v>1</v>
      </c>
      <c r="BQ70" s="3220"/>
    </row>
    <row r="71" spans="1:69" ht="14.4">
      <c r="A71" s="218"/>
      <c r="B71" s="3251" t="s">
        <v>378</v>
      </c>
      <c r="C71" s="3252"/>
      <c r="D71" s="3253"/>
      <c r="E71" s="3253"/>
      <c r="F71" s="3253"/>
      <c r="G71" s="3253"/>
      <c r="H71" s="3253"/>
      <c r="I71" s="3253"/>
      <c r="J71" s="3253"/>
      <c r="K71" s="3253"/>
      <c r="L71" s="3253"/>
      <c r="M71" s="3253"/>
      <c r="N71" s="3253"/>
      <c r="O71" s="3253"/>
      <c r="P71" s="3253"/>
      <c r="Q71" s="3253"/>
      <c r="R71" s="3253"/>
      <c r="S71" s="3253"/>
      <c r="T71" s="3253"/>
      <c r="U71" s="3253"/>
      <c r="V71" s="3253"/>
      <c r="W71" s="3253"/>
      <c r="X71" s="3253"/>
      <c r="Y71" s="3253"/>
      <c r="Z71" s="3253"/>
      <c r="AA71" s="3253"/>
      <c r="AB71" s="3253"/>
      <c r="AC71" s="3253"/>
      <c r="AD71" s="3253"/>
      <c r="AE71" s="3253"/>
      <c r="AF71" s="3253"/>
      <c r="AG71" s="3253"/>
      <c r="AH71" s="3253"/>
      <c r="AI71" s="3253"/>
      <c r="AJ71" s="3253"/>
      <c r="AK71" s="3254"/>
      <c r="AL71" s="3254"/>
      <c r="AM71" s="3254"/>
      <c r="AN71" s="3254"/>
      <c r="AO71" s="3254"/>
      <c r="AP71" s="3254"/>
      <c r="AQ71" s="3254"/>
      <c r="AR71" s="3254"/>
      <c r="AS71" s="3254"/>
      <c r="AT71" s="3254"/>
      <c r="AU71" s="3254"/>
      <c r="AV71" s="3254"/>
      <c r="AW71" s="3254"/>
      <c r="AX71" s="3254"/>
      <c r="AY71" s="3254"/>
      <c r="AZ71" s="3254"/>
      <c r="BA71" s="3254"/>
      <c r="BB71" s="3254"/>
      <c r="BC71" s="4902"/>
      <c r="BD71" s="4903"/>
      <c r="BE71" s="4903"/>
      <c r="BF71" s="4903"/>
      <c r="BG71" s="3255"/>
      <c r="BH71" s="3255"/>
      <c r="BI71" s="3255"/>
      <c r="BJ71" s="3255"/>
      <c r="BK71" s="3255"/>
      <c r="BL71" s="3255"/>
      <c r="BM71" s="3256"/>
      <c r="BN71" s="3256"/>
      <c r="BO71" s="3256"/>
      <c r="BP71" s="3256"/>
      <c r="BQ71" s="3256"/>
    </row>
    <row r="72" spans="1:69" ht="28.8">
      <c r="A72" s="218">
        <v>59</v>
      </c>
      <c r="B72" s="3211" t="s">
        <v>959</v>
      </c>
      <c r="C72" s="3212" t="s">
        <v>1664</v>
      </c>
      <c r="D72" s="3214"/>
      <c r="E72" s="3214"/>
      <c r="F72" s="3214"/>
      <c r="G72" s="3214"/>
      <c r="H72" s="3214"/>
      <c r="I72" s="3214"/>
      <c r="J72" s="3214"/>
      <c r="K72" s="3214"/>
      <c r="L72" s="3214"/>
      <c r="M72" s="3214"/>
      <c r="N72" s="3214"/>
      <c r="O72" s="3214"/>
      <c r="P72" s="3214"/>
      <c r="Q72" s="3214"/>
      <c r="R72" s="3214"/>
      <c r="S72" s="3214"/>
      <c r="T72" s="3214"/>
      <c r="U72" s="3214"/>
      <c r="V72" s="3214"/>
      <c r="W72" s="3214"/>
      <c r="X72" s="3214"/>
      <c r="Y72" s="3214"/>
      <c r="Z72" s="3214"/>
      <c r="AA72" s="3214"/>
      <c r="AB72" s="3214"/>
      <c r="AC72" s="3214"/>
      <c r="AD72" s="3214"/>
      <c r="AE72" s="3215"/>
      <c r="AF72" s="3215"/>
      <c r="AG72" s="3215"/>
      <c r="AH72" s="3215"/>
      <c r="AI72" s="3215"/>
      <c r="AJ72" s="3213" t="s">
        <v>939</v>
      </c>
      <c r="AK72" s="3214"/>
      <c r="AL72" s="3214"/>
      <c r="AM72" s="3230" t="s">
        <v>810</v>
      </c>
      <c r="AN72" s="3214"/>
      <c r="AO72" s="3214"/>
      <c r="AP72" s="3214"/>
      <c r="AQ72" s="3259"/>
      <c r="AR72" s="3214"/>
      <c r="AS72" s="3214"/>
      <c r="AT72" s="3214"/>
      <c r="AU72" s="3214"/>
      <c r="AV72" s="3214"/>
      <c r="AW72" s="3214"/>
      <c r="AX72" s="3214"/>
      <c r="AY72" s="3214"/>
      <c r="AZ72" s="3214"/>
      <c r="BA72" s="3214"/>
      <c r="BB72" s="3214"/>
      <c r="BC72" s="4897"/>
      <c r="BD72" s="3214"/>
      <c r="BE72" s="3214"/>
      <c r="BF72" s="3214"/>
      <c r="BG72" s="3219"/>
      <c r="BH72" s="3220"/>
      <c r="BI72" s="3220"/>
      <c r="BJ72" s="3220">
        <v>1</v>
      </c>
      <c r="BK72" s="3220">
        <v>1</v>
      </c>
      <c r="BL72" s="3220">
        <v>1</v>
      </c>
      <c r="BM72" s="3220">
        <v>1</v>
      </c>
      <c r="BN72" s="3220"/>
      <c r="BO72" s="3220"/>
      <c r="BP72" s="3220"/>
      <c r="BQ72" s="3220"/>
    </row>
    <row r="73" spans="1:69" ht="28.8">
      <c r="A73" s="218">
        <v>60</v>
      </c>
      <c r="B73" s="3211" t="s">
        <v>960</v>
      </c>
      <c r="C73" s="3212" t="s">
        <v>1665</v>
      </c>
      <c r="D73" s="3214"/>
      <c r="E73" s="3214"/>
      <c r="F73" s="3214"/>
      <c r="G73" s="3214"/>
      <c r="H73" s="3214"/>
      <c r="I73" s="3214"/>
      <c r="J73" s="3214"/>
      <c r="K73" s="3214"/>
      <c r="L73" s="3214"/>
      <c r="M73" s="3214"/>
      <c r="N73" s="3214"/>
      <c r="O73" s="3214"/>
      <c r="P73" s="3214"/>
      <c r="Q73" s="3214"/>
      <c r="R73" s="3214"/>
      <c r="S73" s="3214"/>
      <c r="T73" s="3214"/>
      <c r="U73" s="3214"/>
      <c r="V73" s="3214"/>
      <c r="W73" s="3214"/>
      <c r="X73" s="3214"/>
      <c r="Y73" s="3214"/>
      <c r="Z73" s="3214"/>
      <c r="AA73" s="3214"/>
      <c r="AB73" s="3214"/>
      <c r="AC73" s="3214"/>
      <c r="AD73" s="3214"/>
      <c r="AE73" s="3215"/>
      <c r="AF73" s="3215"/>
      <c r="AG73" s="3215"/>
      <c r="AH73" s="3215"/>
      <c r="AI73" s="3215"/>
      <c r="AJ73" s="3215"/>
      <c r="AK73" s="3215"/>
      <c r="AL73" s="3215"/>
      <c r="AM73" s="3215"/>
      <c r="AN73" s="3215"/>
      <c r="AO73" s="3230" t="s">
        <v>1672</v>
      </c>
      <c r="AP73" s="3231"/>
      <c r="AQ73" s="3232"/>
      <c r="AR73" s="3231"/>
      <c r="AS73" s="3231"/>
      <c r="AT73" s="3231"/>
      <c r="AU73" s="3231"/>
      <c r="AV73" s="3231"/>
      <c r="AW73" s="3231"/>
      <c r="AX73" s="3231"/>
      <c r="AY73" s="3231"/>
      <c r="AZ73" s="3231"/>
      <c r="BA73" s="3231"/>
      <c r="BB73" s="3231"/>
      <c r="BC73" s="4874"/>
      <c r="BD73" s="3231"/>
      <c r="BE73" s="3231"/>
      <c r="BF73" s="3231"/>
      <c r="BG73" s="3219"/>
      <c r="BH73" s="3220"/>
      <c r="BI73" s="3220"/>
      <c r="BJ73" s="3220"/>
      <c r="BK73" s="3220"/>
      <c r="BL73" s="3220">
        <v>1</v>
      </c>
      <c r="BM73" s="3220">
        <v>1</v>
      </c>
      <c r="BN73" s="3220">
        <v>1</v>
      </c>
      <c r="BO73" s="3220"/>
      <c r="BP73" s="3220"/>
      <c r="BQ73" s="3220"/>
    </row>
    <row r="74" spans="1:69" ht="28.8">
      <c r="A74" s="218">
        <v>61</v>
      </c>
      <c r="B74" s="3211" t="s">
        <v>961</v>
      </c>
      <c r="C74" s="3212" t="s">
        <v>948</v>
      </c>
      <c r="D74" s="3214"/>
      <c r="E74" s="3214"/>
      <c r="F74" s="3214"/>
      <c r="G74" s="3214"/>
      <c r="H74" s="3214"/>
      <c r="I74" s="3214"/>
      <c r="J74" s="3214"/>
      <c r="K74" s="3214"/>
      <c r="L74" s="3214"/>
      <c r="M74" s="3214"/>
      <c r="N74" s="3214"/>
      <c r="O74" s="3214"/>
      <c r="P74" s="3214"/>
      <c r="Q74" s="3214"/>
      <c r="R74" s="3214"/>
      <c r="S74" s="3214"/>
      <c r="T74" s="3214"/>
      <c r="U74" s="3214"/>
      <c r="V74" s="3214"/>
      <c r="W74" s="3214"/>
      <c r="X74" s="3214"/>
      <c r="Y74" s="3214"/>
      <c r="Z74" s="3214"/>
      <c r="AA74" s="3214"/>
      <c r="AB74" s="3214"/>
      <c r="AC74" s="3214"/>
      <c r="AD74" s="3214"/>
      <c r="AE74" s="3215"/>
      <c r="AF74" s="3215"/>
      <c r="AG74" s="3215"/>
      <c r="AH74" s="3215"/>
      <c r="AI74" s="3215"/>
      <c r="AJ74" s="3215"/>
      <c r="AK74" s="3215"/>
      <c r="AL74" s="3215"/>
      <c r="AM74" s="3215"/>
      <c r="AN74" s="3215"/>
      <c r="AO74" s="3215"/>
      <c r="AP74" s="3215"/>
      <c r="AQ74" s="3234"/>
      <c r="AR74" s="3215"/>
      <c r="AS74" s="3215"/>
      <c r="AT74" s="3215"/>
      <c r="AU74" s="3215"/>
      <c r="AV74" s="3215"/>
      <c r="AW74" s="3215"/>
      <c r="AX74" s="3242" t="s">
        <v>2638</v>
      </c>
      <c r="AY74" s="3215"/>
      <c r="AZ74" s="3215"/>
      <c r="BA74" s="3215"/>
      <c r="BB74" s="3215"/>
      <c r="BC74" s="4900"/>
      <c r="BD74" s="3215"/>
      <c r="BE74" s="3215"/>
      <c r="BF74" s="3215"/>
      <c r="BG74" s="3219"/>
      <c r="BH74" s="3220"/>
      <c r="BI74" s="3220"/>
      <c r="BJ74" s="3220"/>
      <c r="BK74" s="3220"/>
      <c r="BL74" s="3220"/>
      <c r="BM74" s="3220"/>
      <c r="BN74" s="3220"/>
      <c r="BO74" s="3220">
        <v>1</v>
      </c>
      <c r="BP74" s="3220">
        <v>1</v>
      </c>
      <c r="BQ74" s="3220">
        <v>1</v>
      </c>
    </row>
    <row r="75" spans="1:69" ht="28.8">
      <c r="A75" s="218">
        <v>62</v>
      </c>
      <c r="B75" s="3211" t="s">
        <v>962</v>
      </c>
      <c r="C75" s="3212" t="s">
        <v>948</v>
      </c>
      <c r="D75" s="3214"/>
      <c r="E75" s="3214"/>
      <c r="F75" s="3214"/>
      <c r="G75" s="3214"/>
      <c r="H75" s="3214"/>
      <c r="I75" s="3214"/>
      <c r="J75" s="3214"/>
      <c r="K75" s="3214"/>
      <c r="L75" s="3214"/>
      <c r="M75" s="3214"/>
      <c r="N75" s="3214"/>
      <c r="O75" s="3214"/>
      <c r="P75" s="3214"/>
      <c r="Q75" s="3214"/>
      <c r="R75" s="3214"/>
      <c r="S75" s="3214"/>
      <c r="T75" s="3214"/>
      <c r="U75" s="3214"/>
      <c r="V75" s="3214"/>
      <c r="W75" s="3214"/>
      <c r="X75" s="3214"/>
      <c r="Y75" s="3214"/>
      <c r="Z75" s="3214"/>
      <c r="AA75" s="3214"/>
      <c r="AB75" s="3214"/>
      <c r="AC75" s="3214"/>
      <c r="AD75" s="3214"/>
      <c r="AE75" s="3215"/>
      <c r="AF75" s="3215"/>
      <c r="AG75" s="3215"/>
      <c r="AH75" s="3215"/>
      <c r="AI75" s="3215"/>
      <c r="AJ75" s="3215"/>
      <c r="AK75" s="3215"/>
      <c r="AL75" s="3215"/>
      <c r="AM75" s="3215"/>
      <c r="AN75" s="3215"/>
      <c r="AO75" s="3215"/>
      <c r="AP75" s="3215"/>
      <c r="AQ75" s="3234"/>
      <c r="AR75" s="3215"/>
      <c r="AS75" s="3215"/>
      <c r="AT75" s="3215"/>
      <c r="AU75" s="3215"/>
      <c r="AV75" s="3215"/>
      <c r="AW75" s="3215"/>
      <c r="AX75" s="3215"/>
      <c r="AY75" s="3260" t="s">
        <v>2636</v>
      </c>
      <c r="AZ75" s="3215"/>
      <c r="BA75" s="3215"/>
      <c r="BB75" s="3215"/>
      <c r="BC75" s="4900"/>
      <c r="BD75" s="3215"/>
      <c r="BE75" s="3215"/>
      <c r="BF75" s="3215"/>
      <c r="BG75" s="3219"/>
      <c r="BH75" s="3220"/>
      <c r="BI75" s="3220"/>
      <c r="BJ75" s="3220"/>
      <c r="BK75" s="3220"/>
      <c r="BL75" s="3220"/>
      <c r="BM75" s="3220"/>
      <c r="BN75" s="3220"/>
      <c r="BO75" s="3220">
        <v>1</v>
      </c>
      <c r="BP75" s="3220">
        <v>1</v>
      </c>
      <c r="BQ75" s="3220">
        <v>1</v>
      </c>
    </row>
    <row r="76" spans="1:69" ht="14.4">
      <c r="A76" s="218"/>
      <c r="B76" s="3261" t="s">
        <v>963</v>
      </c>
      <c r="C76" s="3262"/>
      <c r="D76" s="3263"/>
      <c r="E76" s="3263"/>
      <c r="F76" s="3263"/>
      <c r="G76" s="3263"/>
      <c r="H76" s="3263"/>
      <c r="I76" s="3263"/>
      <c r="J76" s="3263"/>
      <c r="K76" s="3263"/>
      <c r="L76" s="3263"/>
      <c r="M76" s="3263"/>
      <c r="N76" s="3263"/>
      <c r="O76" s="3263"/>
      <c r="P76" s="3263"/>
      <c r="Q76" s="3263"/>
      <c r="R76" s="3263"/>
      <c r="S76" s="3263"/>
      <c r="T76" s="3263"/>
      <c r="U76" s="3263"/>
      <c r="V76" s="3263"/>
      <c r="W76" s="3263"/>
      <c r="X76" s="3263"/>
      <c r="Y76" s="3263"/>
      <c r="Z76" s="3263"/>
      <c r="AA76" s="3263"/>
      <c r="AB76" s="3263"/>
      <c r="AC76" s="3263"/>
      <c r="AD76" s="3263"/>
      <c r="AE76" s="3263"/>
      <c r="AF76" s="3263"/>
      <c r="AG76" s="3263"/>
      <c r="AH76" s="3263"/>
      <c r="AI76" s="3263"/>
      <c r="AJ76" s="3263"/>
      <c r="AK76" s="3264"/>
      <c r="AL76" s="3264"/>
      <c r="AM76" s="3264"/>
      <c r="AN76" s="3264"/>
      <c r="AO76" s="3264"/>
      <c r="AP76" s="3264"/>
      <c r="AQ76" s="3264"/>
      <c r="AR76" s="3264"/>
      <c r="AS76" s="3264"/>
      <c r="AT76" s="3264"/>
      <c r="AU76" s="3264"/>
      <c r="AV76" s="3264"/>
      <c r="AW76" s="3264"/>
      <c r="AX76" s="3264"/>
      <c r="AY76" s="3264"/>
      <c r="AZ76" s="3264"/>
      <c r="BA76" s="3264"/>
      <c r="BB76" s="3264"/>
      <c r="BC76" s="4904"/>
      <c r="BD76" s="4905"/>
      <c r="BE76" s="4905"/>
      <c r="BF76" s="4905"/>
      <c r="BG76" s="3265"/>
      <c r="BH76" s="3265"/>
      <c r="BI76" s="3265"/>
      <c r="BJ76" s="3265"/>
      <c r="BK76" s="3265"/>
      <c r="BL76" s="3265"/>
      <c r="BM76" s="3266"/>
      <c r="BN76" s="3266"/>
      <c r="BO76" s="3266"/>
      <c r="BP76" s="3266"/>
      <c r="BQ76" s="3266"/>
    </row>
    <row r="77" spans="1:69" ht="22.05" customHeight="1">
      <c r="A77" s="218">
        <v>63</v>
      </c>
      <c r="B77" s="3211" t="s">
        <v>881</v>
      </c>
      <c r="C77" s="3212" t="s">
        <v>805</v>
      </c>
      <c r="D77" s="3214"/>
      <c r="E77" s="3214"/>
      <c r="F77" s="3214"/>
      <c r="G77" s="3214"/>
      <c r="H77" s="3214"/>
      <c r="I77" s="3214"/>
      <c r="J77" s="3214"/>
      <c r="K77" s="3222" t="s">
        <v>964</v>
      </c>
      <c r="L77" s="3267" t="s">
        <v>1677</v>
      </c>
      <c r="M77" s="3268" t="s">
        <v>1678</v>
      </c>
      <c r="N77" s="3214"/>
      <c r="O77" s="3214"/>
      <c r="P77" s="3267" t="s">
        <v>1679</v>
      </c>
      <c r="Q77" s="3214"/>
      <c r="R77" s="3214"/>
      <c r="S77" s="3214"/>
      <c r="T77" s="3214"/>
      <c r="U77" s="3214"/>
      <c r="V77" s="3214"/>
      <c r="W77" s="3214"/>
      <c r="X77" s="3214"/>
      <c r="Y77" s="3213" t="s">
        <v>901</v>
      </c>
      <c r="Z77" s="3221"/>
      <c r="AA77" s="3214"/>
      <c r="AB77" s="3214"/>
      <c r="AC77" s="3214"/>
      <c r="AD77" s="3214"/>
      <c r="AE77" s="3215"/>
      <c r="AF77" s="3215"/>
      <c r="AG77" s="3213" t="s">
        <v>965</v>
      </c>
      <c r="AH77" s="3215"/>
      <c r="AI77" s="3215"/>
      <c r="AJ77" s="3215"/>
      <c r="AK77" s="3215"/>
      <c r="AL77" s="3213" t="s">
        <v>806</v>
      </c>
      <c r="AM77" s="3215"/>
      <c r="AN77" s="3215"/>
      <c r="AO77" s="3215"/>
      <c r="AP77" s="3215"/>
      <c r="AQ77" s="3234"/>
      <c r="AR77" s="3215"/>
      <c r="AS77" s="3215"/>
      <c r="AT77" s="3215"/>
      <c r="AU77" s="3215"/>
      <c r="AV77" s="3215"/>
      <c r="AW77" s="3215"/>
      <c r="AX77" s="3215"/>
      <c r="AY77" s="3215"/>
      <c r="AZ77" s="3215"/>
      <c r="BA77" s="3215"/>
      <c r="BB77" s="3214"/>
      <c r="BC77" s="4897"/>
      <c r="BD77" s="3214"/>
      <c r="BE77" s="3214"/>
      <c r="BF77" s="3214"/>
      <c r="BG77" s="3219">
        <v>1</v>
      </c>
      <c r="BH77" s="3220">
        <v>1</v>
      </c>
      <c r="BI77" s="3220">
        <v>1</v>
      </c>
      <c r="BJ77" s="3220">
        <v>1</v>
      </c>
      <c r="BK77" s="3220">
        <v>1</v>
      </c>
      <c r="BL77" s="3220">
        <v>1</v>
      </c>
      <c r="BM77" s="3220">
        <v>1</v>
      </c>
      <c r="BN77" s="3220"/>
      <c r="BO77" s="3220"/>
      <c r="BP77" s="3220"/>
      <c r="BQ77" s="3220"/>
    </row>
    <row r="78" spans="1:69" ht="22.05" customHeight="1">
      <c r="A78" s="218">
        <v>64</v>
      </c>
      <c r="B78" s="3211" t="s">
        <v>966</v>
      </c>
      <c r="C78" s="3212" t="s">
        <v>1667</v>
      </c>
      <c r="D78" s="3214"/>
      <c r="E78" s="3214"/>
      <c r="F78" s="3214"/>
      <c r="G78" s="3214"/>
      <c r="H78" s="3214"/>
      <c r="I78" s="3214"/>
      <c r="J78" s="3214"/>
      <c r="K78" s="3222" t="s">
        <v>964</v>
      </c>
      <c r="L78" s="3267" t="s">
        <v>1677</v>
      </c>
      <c r="M78" s="3268" t="s">
        <v>1678</v>
      </c>
      <c r="N78" s="3214"/>
      <c r="O78" s="3214"/>
      <c r="P78" s="3267" t="s">
        <v>1679</v>
      </c>
      <c r="Q78" s="3214"/>
      <c r="R78" s="3214"/>
      <c r="S78" s="3214"/>
      <c r="T78" s="3214"/>
      <c r="U78" s="3267" t="s">
        <v>967</v>
      </c>
      <c r="V78" s="3214"/>
      <c r="W78" s="3214"/>
      <c r="X78" s="3214"/>
      <c r="Y78" s="3214"/>
      <c r="Z78" s="3214"/>
      <c r="AA78" s="3214"/>
      <c r="AB78" s="3214"/>
      <c r="AC78" s="3214"/>
      <c r="AD78" s="3214"/>
      <c r="AE78" s="3215"/>
      <c r="AF78" s="3215"/>
      <c r="AG78" s="3213" t="s">
        <v>965</v>
      </c>
      <c r="AH78" s="3215"/>
      <c r="AI78" s="3215"/>
      <c r="AJ78" s="3215"/>
      <c r="AK78" s="3215"/>
      <c r="AL78" s="3213" t="s">
        <v>806</v>
      </c>
      <c r="AM78" s="3215"/>
      <c r="AN78" s="3215"/>
      <c r="AO78" s="3215"/>
      <c r="AP78" s="3215"/>
      <c r="AQ78" s="3218" t="s">
        <v>1680</v>
      </c>
      <c r="AR78" s="3214"/>
      <c r="AS78" s="3214"/>
      <c r="AT78" s="3214"/>
      <c r="AU78" s="3214"/>
      <c r="AV78" s="3214"/>
      <c r="AW78" s="3214"/>
      <c r="AX78" s="3214"/>
      <c r="AY78" s="3214"/>
      <c r="AZ78" s="3213" t="s">
        <v>2639</v>
      </c>
      <c r="BA78" s="3214"/>
      <c r="BB78" s="3214"/>
      <c r="BC78" s="4897"/>
      <c r="BD78" s="3214"/>
      <c r="BE78" s="3214"/>
      <c r="BF78" s="3214"/>
      <c r="BG78" s="3219"/>
      <c r="BH78" s="3220"/>
      <c r="BI78" s="3220"/>
      <c r="BJ78" s="3220">
        <v>1</v>
      </c>
      <c r="BK78" s="3220">
        <v>1</v>
      </c>
      <c r="BL78" s="3220">
        <v>1</v>
      </c>
      <c r="BM78" s="3220">
        <v>1</v>
      </c>
      <c r="BN78" s="3220">
        <v>1</v>
      </c>
      <c r="BO78" s="3220">
        <v>1</v>
      </c>
      <c r="BP78" s="3220">
        <v>1</v>
      </c>
      <c r="BQ78" s="3220">
        <v>1</v>
      </c>
    </row>
    <row r="79" spans="1:69" ht="22.05" customHeight="1">
      <c r="A79" s="218">
        <v>65</v>
      </c>
      <c r="B79" s="3211" t="s">
        <v>968</v>
      </c>
      <c r="C79" s="3212" t="s">
        <v>1666</v>
      </c>
      <c r="D79" s="3214"/>
      <c r="E79" s="3214"/>
      <c r="F79" s="3214"/>
      <c r="G79" s="3214"/>
      <c r="H79" s="3214"/>
      <c r="I79" s="3214"/>
      <c r="J79" s="3214"/>
      <c r="K79" s="3214"/>
      <c r="L79" s="3214"/>
      <c r="M79" s="3214"/>
      <c r="N79" s="3214"/>
      <c r="O79" s="3214"/>
      <c r="P79" s="3214"/>
      <c r="Q79" s="3222" t="s">
        <v>969</v>
      </c>
      <c r="R79" s="3214"/>
      <c r="S79" s="3214"/>
      <c r="T79" s="3214"/>
      <c r="U79" s="3214"/>
      <c r="V79" s="3214"/>
      <c r="W79" s="3214"/>
      <c r="X79" s="3214"/>
      <c r="Y79" s="3213" t="s">
        <v>901</v>
      </c>
      <c r="Z79" s="3214"/>
      <c r="AA79" s="3214"/>
      <c r="AB79" s="3214"/>
      <c r="AC79" s="3214"/>
      <c r="AD79" s="3214"/>
      <c r="AE79" s="3215"/>
      <c r="AF79" s="3215"/>
      <c r="AG79" s="3213" t="s">
        <v>965</v>
      </c>
      <c r="AH79" s="3215"/>
      <c r="AI79" s="3215"/>
      <c r="AJ79" s="3215"/>
      <c r="AK79" s="3215"/>
      <c r="AL79" s="3213" t="s">
        <v>806</v>
      </c>
      <c r="AM79" s="3215"/>
      <c r="AN79" s="3215"/>
      <c r="AO79" s="3215"/>
      <c r="AP79" s="3213" t="s">
        <v>1673</v>
      </c>
      <c r="AQ79" s="3259"/>
      <c r="AR79" s="3214"/>
      <c r="AS79" s="3214"/>
      <c r="AT79" s="3214"/>
      <c r="AU79" s="3214"/>
      <c r="AV79" s="3230" t="s">
        <v>2420</v>
      </c>
      <c r="AW79" s="3214"/>
      <c r="AX79" s="3214"/>
      <c r="AY79" s="3214"/>
      <c r="AZ79" s="3214"/>
      <c r="BA79" s="3214"/>
      <c r="BB79" s="3214"/>
      <c r="BC79" s="4897"/>
      <c r="BD79" s="3214"/>
      <c r="BE79" s="3214"/>
      <c r="BF79" s="3214"/>
      <c r="BG79" s="3219">
        <v>1</v>
      </c>
      <c r="BH79" s="3220">
        <v>1</v>
      </c>
      <c r="BI79" s="3220">
        <v>1</v>
      </c>
      <c r="BJ79" s="3220">
        <v>1</v>
      </c>
      <c r="BK79" s="3220">
        <v>1</v>
      </c>
      <c r="BL79" s="3220">
        <v>1</v>
      </c>
      <c r="BM79" s="3220">
        <v>1</v>
      </c>
      <c r="BN79" s="3220">
        <v>1</v>
      </c>
      <c r="BO79" s="3220">
        <v>1</v>
      </c>
      <c r="BP79" s="3220">
        <v>1</v>
      </c>
      <c r="BQ79" s="3220"/>
    </row>
    <row r="80" spans="1:69" ht="22.05" customHeight="1">
      <c r="A80" s="218">
        <v>66</v>
      </c>
      <c r="B80" s="3211" t="s">
        <v>970</v>
      </c>
      <c r="C80" s="3212" t="s">
        <v>805</v>
      </c>
      <c r="D80" s="3214"/>
      <c r="E80" s="3214"/>
      <c r="F80" s="3214"/>
      <c r="G80" s="3214"/>
      <c r="H80" s="3214"/>
      <c r="I80" s="3214"/>
      <c r="J80" s="3214"/>
      <c r="K80" s="3214"/>
      <c r="L80" s="3214"/>
      <c r="M80" s="3214"/>
      <c r="N80" s="3214"/>
      <c r="O80" s="3214"/>
      <c r="P80" s="3214"/>
      <c r="Q80" s="3222" t="s">
        <v>969</v>
      </c>
      <c r="R80" s="3214"/>
      <c r="S80" s="3214"/>
      <c r="T80" s="3214"/>
      <c r="U80" s="3214"/>
      <c r="V80" s="3214"/>
      <c r="W80" s="3214"/>
      <c r="X80" s="3214"/>
      <c r="Y80" s="3213" t="s">
        <v>901</v>
      </c>
      <c r="Z80" s="3214"/>
      <c r="AA80" s="3214"/>
      <c r="AB80" s="3214"/>
      <c r="AC80" s="3214"/>
      <c r="AD80" s="3214"/>
      <c r="AE80" s="3215"/>
      <c r="AF80" s="3215"/>
      <c r="AG80" s="3213" t="s">
        <v>971</v>
      </c>
      <c r="AH80" s="3215"/>
      <c r="AI80" s="3215"/>
      <c r="AJ80" s="3213" t="s">
        <v>939</v>
      </c>
      <c r="AK80" s="3214"/>
      <c r="AL80" s="3213" t="s">
        <v>806</v>
      </c>
      <c r="AM80" s="3214"/>
      <c r="AN80" s="3214"/>
      <c r="AO80" s="3214"/>
      <c r="AP80" s="3214"/>
      <c r="AQ80" s="3259"/>
      <c r="AR80" s="3214"/>
      <c r="AS80" s="3214"/>
      <c r="AT80" s="3214"/>
      <c r="AU80" s="3214"/>
      <c r="AV80" s="3230" t="s">
        <v>2422</v>
      </c>
      <c r="AW80" s="3214"/>
      <c r="AX80" s="3214"/>
      <c r="AY80" s="3214"/>
      <c r="AZ80" s="3214"/>
      <c r="BA80" s="3214"/>
      <c r="BB80" s="3214"/>
      <c r="BC80" s="4897"/>
      <c r="BD80" s="3214"/>
      <c r="BE80" s="3214"/>
      <c r="BF80" s="3214"/>
      <c r="BG80" s="3219">
        <v>1</v>
      </c>
      <c r="BH80" s="3220">
        <v>1</v>
      </c>
      <c r="BI80" s="3220">
        <v>1</v>
      </c>
      <c r="BJ80" s="3220">
        <v>1</v>
      </c>
      <c r="BK80" s="3220">
        <v>1</v>
      </c>
      <c r="BL80" s="3220">
        <v>1</v>
      </c>
      <c r="BM80" s="3220">
        <v>1</v>
      </c>
      <c r="BN80" s="3220">
        <v>1</v>
      </c>
      <c r="BO80" s="3220">
        <v>1</v>
      </c>
      <c r="BP80" s="3220">
        <v>1</v>
      </c>
      <c r="BQ80" s="3220"/>
    </row>
    <row r="81" spans="1:69" ht="14.4">
      <c r="A81" s="218"/>
      <c r="B81" s="3261" t="s">
        <v>972</v>
      </c>
      <c r="C81" s="3262"/>
      <c r="D81" s="3263"/>
      <c r="E81" s="3263"/>
      <c r="F81" s="3263"/>
      <c r="G81" s="3263"/>
      <c r="H81" s="3263"/>
      <c r="I81" s="3263"/>
      <c r="J81" s="3263"/>
      <c r="K81" s="3263"/>
      <c r="L81" s="3263"/>
      <c r="M81" s="3263"/>
      <c r="N81" s="3263"/>
      <c r="O81" s="3263"/>
      <c r="P81" s="3263"/>
      <c r="Q81" s="3263"/>
      <c r="R81" s="3263"/>
      <c r="S81" s="3263"/>
      <c r="T81" s="3263"/>
      <c r="U81" s="3263"/>
      <c r="V81" s="3263"/>
      <c r="W81" s="3263"/>
      <c r="X81" s="3263"/>
      <c r="Y81" s="3263"/>
      <c r="Z81" s="3263"/>
      <c r="AA81" s="3263"/>
      <c r="AB81" s="3263"/>
      <c r="AC81" s="3263"/>
      <c r="AD81" s="3263"/>
      <c r="AE81" s="3263"/>
      <c r="AF81" s="3263"/>
      <c r="AG81" s="3263"/>
      <c r="AH81" s="3263"/>
      <c r="AI81" s="3263"/>
      <c r="AJ81" s="3263"/>
      <c r="AK81" s="3264"/>
      <c r="AL81" s="3264"/>
      <c r="AM81" s="3264"/>
      <c r="AN81" s="3264"/>
      <c r="AO81" s="3264"/>
      <c r="AP81" s="3264"/>
      <c r="AQ81" s="3264"/>
      <c r="AR81" s="3264"/>
      <c r="AS81" s="3264"/>
      <c r="AT81" s="3264"/>
      <c r="AU81" s="3264"/>
      <c r="AV81" s="3264"/>
      <c r="AW81" s="3264"/>
      <c r="AX81" s="3264"/>
      <c r="AY81" s="3264"/>
      <c r="AZ81" s="3264"/>
      <c r="BA81" s="3264"/>
      <c r="BB81" s="3264"/>
      <c r="BC81" s="4904"/>
      <c r="BD81" s="4905"/>
      <c r="BE81" s="4905"/>
      <c r="BF81" s="4905"/>
      <c r="BG81" s="3265"/>
      <c r="BH81" s="3265"/>
      <c r="BI81" s="3265"/>
      <c r="BJ81" s="3265"/>
      <c r="BK81" s="3265"/>
      <c r="BL81" s="3265"/>
      <c r="BM81" s="3266"/>
      <c r="BN81" s="3266"/>
      <c r="BO81" s="3266"/>
      <c r="BP81" s="3266"/>
      <c r="BQ81" s="3266"/>
    </row>
    <row r="82" spans="1:69" ht="22.05" customHeight="1">
      <c r="A82" s="218">
        <v>67</v>
      </c>
      <c r="B82" s="3211" t="s">
        <v>973</v>
      </c>
      <c r="C82" s="3212" t="s">
        <v>805</v>
      </c>
      <c r="D82" s="3214"/>
      <c r="E82" s="3214"/>
      <c r="F82" s="3214"/>
      <c r="G82" s="3214"/>
      <c r="H82" s="3214"/>
      <c r="I82" s="3214"/>
      <c r="J82" s="3214"/>
      <c r="K82" s="3222" t="s">
        <v>964</v>
      </c>
      <c r="L82" s="3267" t="s">
        <v>1677</v>
      </c>
      <c r="M82" s="3214"/>
      <c r="N82" s="3267" t="s">
        <v>1681</v>
      </c>
      <c r="O82" s="3214"/>
      <c r="P82" s="3214"/>
      <c r="Q82" s="3214"/>
      <c r="R82" s="3267" t="s">
        <v>1682</v>
      </c>
      <c r="S82" s="3214"/>
      <c r="T82" s="3214"/>
      <c r="U82" s="3214"/>
      <c r="V82" s="3213" t="s">
        <v>1683</v>
      </c>
      <c r="W82" s="3214"/>
      <c r="X82" s="3214"/>
      <c r="Y82" s="3214"/>
      <c r="Z82" s="3213" t="s">
        <v>1684</v>
      </c>
      <c r="AA82" s="3214"/>
      <c r="AB82" s="3214"/>
      <c r="AC82" s="3214"/>
      <c r="AD82" s="3214"/>
      <c r="AE82" s="3215"/>
      <c r="AF82" s="3215"/>
      <c r="AG82" s="3213" t="s">
        <v>965</v>
      </c>
      <c r="AH82" s="3215"/>
      <c r="AI82" s="3215"/>
      <c r="AJ82" s="3215"/>
      <c r="AK82" s="3215"/>
      <c r="AL82" s="3213" t="s">
        <v>806</v>
      </c>
      <c r="AM82" s="3215"/>
      <c r="AN82" s="3215"/>
      <c r="AO82" s="3215"/>
      <c r="AP82" s="3215"/>
      <c r="AQ82" s="3234"/>
      <c r="AR82" s="3215"/>
      <c r="AS82" s="3215"/>
      <c r="AT82" s="3215"/>
      <c r="AU82" s="3215"/>
      <c r="AV82" s="3215"/>
      <c r="AW82" s="3215"/>
      <c r="AX82" s="3215"/>
      <c r="AY82" s="3215"/>
      <c r="AZ82" s="3215"/>
      <c r="BA82" s="3215"/>
      <c r="BB82" s="3215"/>
      <c r="BC82" s="4900"/>
      <c r="BD82" s="3215"/>
      <c r="BE82" s="3215"/>
      <c r="BF82" s="3215"/>
      <c r="BG82" s="3219">
        <v>1</v>
      </c>
      <c r="BH82" s="3220">
        <v>1</v>
      </c>
      <c r="BI82" s="3220">
        <v>1</v>
      </c>
      <c r="BJ82" s="3220">
        <v>1</v>
      </c>
      <c r="BK82" s="3220">
        <v>1</v>
      </c>
      <c r="BL82" s="3220">
        <v>1</v>
      </c>
      <c r="BM82" s="3220">
        <v>1</v>
      </c>
      <c r="BN82" s="3220"/>
      <c r="BO82" s="3220"/>
      <c r="BP82" s="3220"/>
      <c r="BQ82" s="3220"/>
    </row>
    <row r="83" spans="1:69" ht="28.8">
      <c r="A83" s="218">
        <v>68</v>
      </c>
      <c r="B83" s="3211" t="s">
        <v>974</v>
      </c>
      <c r="C83" s="3212" t="s">
        <v>805</v>
      </c>
      <c r="D83" s="3214"/>
      <c r="E83" s="3214"/>
      <c r="F83" s="3214"/>
      <c r="G83" s="3214"/>
      <c r="H83" s="3214"/>
      <c r="I83" s="3214"/>
      <c r="J83" s="3214"/>
      <c r="K83" s="3214"/>
      <c r="L83" s="3214"/>
      <c r="M83" s="3214"/>
      <c r="N83" s="3214"/>
      <c r="O83" s="3214"/>
      <c r="P83" s="3214"/>
      <c r="Q83" s="3222" t="s">
        <v>975</v>
      </c>
      <c r="R83" s="3214"/>
      <c r="S83" s="3214"/>
      <c r="T83" s="3214"/>
      <c r="U83" s="3214"/>
      <c r="V83" s="3214"/>
      <c r="W83" s="3214"/>
      <c r="X83" s="3214"/>
      <c r="Y83" s="3214"/>
      <c r="Z83" s="3213" t="s">
        <v>1684</v>
      </c>
      <c r="AA83" s="3214"/>
      <c r="AB83" s="3214"/>
      <c r="AC83" s="3214"/>
      <c r="AD83" s="3214"/>
      <c r="AE83" s="3215"/>
      <c r="AF83" s="3215"/>
      <c r="AG83" s="3213" t="s">
        <v>965</v>
      </c>
      <c r="AH83" s="3215"/>
      <c r="AI83" s="3215"/>
      <c r="AJ83" s="3215"/>
      <c r="AK83" s="3215"/>
      <c r="AL83" s="3213" t="s">
        <v>806</v>
      </c>
      <c r="AM83" s="3215"/>
      <c r="AN83" s="3215"/>
      <c r="AO83" s="3215"/>
      <c r="AP83" s="3215"/>
      <c r="AQ83" s="3234"/>
      <c r="AR83" s="3215"/>
      <c r="AS83" s="3215"/>
      <c r="AT83" s="3215"/>
      <c r="AU83" s="3215"/>
      <c r="AV83" s="3215"/>
      <c r="AW83" s="3215"/>
      <c r="AX83" s="3215"/>
      <c r="AY83" s="3215"/>
      <c r="AZ83" s="3215"/>
      <c r="BA83" s="3215"/>
      <c r="BB83" s="3215"/>
      <c r="BC83" s="4900"/>
      <c r="BD83" s="3215"/>
      <c r="BE83" s="3215"/>
      <c r="BF83" s="3215"/>
      <c r="BG83" s="3219"/>
      <c r="BH83" s="3220">
        <v>1</v>
      </c>
      <c r="BI83" s="3220">
        <v>1</v>
      </c>
      <c r="BJ83" s="3220">
        <v>1</v>
      </c>
      <c r="BK83" s="3220">
        <v>1</v>
      </c>
      <c r="BL83" s="3220">
        <v>1</v>
      </c>
      <c r="BM83" s="3220">
        <v>1</v>
      </c>
      <c r="BN83" s="3220"/>
      <c r="BO83" s="3220"/>
      <c r="BP83" s="3220"/>
      <c r="BQ83" s="3220"/>
    </row>
    <row r="84" spans="1:69" ht="22.05" customHeight="1">
      <c r="A84" s="218">
        <v>69</v>
      </c>
      <c r="B84" s="3211" t="s">
        <v>976</v>
      </c>
      <c r="C84" s="3212" t="s">
        <v>805</v>
      </c>
      <c r="D84" s="3214"/>
      <c r="E84" s="3214"/>
      <c r="F84" s="3214"/>
      <c r="G84" s="3214"/>
      <c r="H84" s="3214"/>
      <c r="I84" s="3214"/>
      <c r="J84" s="3214"/>
      <c r="K84" s="3214"/>
      <c r="L84" s="3214"/>
      <c r="M84" s="3214"/>
      <c r="N84" s="3214"/>
      <c r="O84" s="3214"/>
      <c r="P84" s="3214"/>
      <c r="Q84" s="3222" t="s">
        <v>977</v>
      </c>
      <c r="R84" s="3214"/>
      <c r="S84" s="3214"/>
      <c r="T84" s="3214"/>
      <c r="U84" s="3214"/>
      <c r="V84" s="3214"/>
      <c r="W84" s="3214"/>
      <c r="X84" s="3214"/>
      <c r="Y84" s="3214"/>
      <c r="Z84" s="3213" t="s">
        <v>1684</v>
      </c>
      <c r="AA84" s="3214"/>
      <c r="AB84" s="3214"/>
      <c r="AC84" s="3214"/>
      <c r="AD84" s="3214"/>
      <c r="AE84" s="3215"/>
      <c r="AF84" s="3215"/>
      <c r="AG84" s="3213" t="s">
        <v>965</v>
      </c>
      <c r="AH84" s="3215"/>
      <c r="AI84" s="3215"/>
      <c r="AJ84" s="3215"/>
      <c r="AK84" s="3215"/>
      <c r="AL84" s="3213" t="s">
        <v>806</v>
      </c>
      <c r="AM84" s="3215"/>
      <c r="AN84" s="3215"/>
      <c r="AO84" s="3215"/>
      <c r="AP84" s="3215"/>
      <c r="AQ84" s="3234"/>
      <c r="AR84" s="3215"/>
      <c r="AS84" s="3215"/>
      <c r="AT84" s="3215"/>
      <c r="AU84" s="3215"/>
      <c r="AV84" s="3215"/>
      <c r="AW84" s="3215"/>
      <c r="AX84" s="3215"/>
      <c r="AY84" s="3215"/>
      <c r="AZ84" s="3215"/>
      <c r="BA84" s="3917" t="s">
        <v>2778</v>
      </c>
      <c r="BB84" s="3215"/>
      <c r="BC84" s="4900"/>
      <c r="BD84" s="3215"/>
      <c r="BE84" s="3215"/>
      <c r="BF84" s="3215"/>
      <c r="BG84" s="3219"/>
      <c r="BH84" s="3220">
        <v>1</v>
      </c>
      <c r="BI84" s="3220">
        <v>1</v>
      </c>
      <c r="BJ84" s="3220">
        <v>1</v>
      </c>
      <c r="BK84" s="3220">
        <v>1</v>
      </c>
      <c r="BL84" s="3220">
        <v>1</v>
      </c>
      <c r="BM84" s="3220">
        <v>1</v>
      </c>
      <c r="BN84" s="3220"/>
      <c r="BO84" s="3220"/>
      <c r="BP84" s="3220">
        <v>1</v>
      </c>
      <c r="BQ84" s="3220">
        <v>1</v>
      </c>
    </row>
    <row r="85" spans="1:69" ht="14.4">
      <c r="A85" s="218"/>
      <c r="B85" s="3261" t="s">
        <v>978</v>
      </c>
      <c r="C85" s="3262"/>
      <c r="D85" s="3263"/>
      <c r="E85" s="3263"/>
      <c r="F85" s="3263"/>
      <c r="G85" s="3263"/>
      <c r="H85" s="3263"/>
      <c r="I85" s="3263"/>
      <c r="J85" s="3263"/>
      <c r="K85" s="3263"/>
      <c r="L85" s="3263"/>
      <c r="M85" s="3263"/>
      <c r="N85" s="3263"/>
      <c r="O85" s="3263"/>
      <c r="P85" s="3263"/>
      <c r="Q85" s="3263"/>
      <c r="R85" s="3263"/>
      <c r="S85" s="3263"/>
      <c r="T85" s="3263"/>
      <c r="U85" s="3263"/>
      <c r="V85" s="3263"/>
      <c r="W85" s="3263"/>
      <c r="X85" s="3263"/>
      <c r="Y85" s="3263"/>
      <c r="Z85" s="3263"/>
      <c r="AA85" s="3263"/>
      <c r="AB85" s="3263"/>
      <c r="AC85" s="3263"/>
      <c r="AD85" s="3263"/>
      <c r="AE85" s="3263"/>
      <c r="AF85" s="3263"/>
      <c r="AG85" s="3263"/>
      <c r="AH85" s="3263"/>
      <c r="AI85" s="3263"/>
      <c r="AJ85" s="3263"/>
      <c r="AK85" s="3264"/>
      <c r="AL85" s="3264"/>
      <c r="AM85" s="3264"/>
      <c r="AN85" s="3264"/>
      <c r="AO85" s="3264"/>
      <c r="AP85" s="3264"/>
      <c r="AQ85" s="3264"/>
      <c r="AR85" s="3264"/>
      <c r="AS85" s="3264"/>
      <c r="AT85" s="3264"/>
      <c r="AU85" s="3264"/>
      <c r="AV85" s="3264"/>
      <c r="AW85" s="3264"/>
      <c r="AX85" s="3264"/>
      <c r="AY85" s="3264"/>
      <c r="AZ85" s="3264"/>
      <c r="BA85" s="3264"/>
      <c r="BB85" s="3264"/>
      <c r="BC85" s="4904"/>
      <c r="BD85" s="4905"/>
      <c r="BE85" s="4905"/>
      <c r="BF85" s="4905"/>
      <c r="BG85" s="3265"/>
      <c r="BH85" s="3265"/>
      <c r="BI85" s="3265"/>
      <c r="BJ85" s="3265"/>
      <c r="BK85" s="3265"/>
      <c r="BL85" s="3265"/>
      <c r="BM85" s="3266"/>
      <c r="BN85" s="3266"/>
      <c r="BO85" s="3266"/>
      <c r="BP85" s="3266"/>
      <c r="BQ85" s="3266"/>
    </row>
    <row r="86" spans="1:69" ht="22.05" customHeight="1">
      <c r="A86" s="218">
        <v>70</v>
      </c>
      <c r="B86" s="3211" t="s">
        <v>14</v>
      </c>
      <c r="C86" s="3212" t="s">
        <v>805</v>
      </c>
      <c r="D86" s="3214"/>
      <c r="E86" s="3214"/>
      <c r="F86" s="3214"/>
      <c r="G86" s="3214"/>
      <c r="H86" s="3214"/>
      <c r="I86" s="3214"/>
      <c r="J86" s="3214"/>
      <c r="K86" s="3222" t="s">
        <v>964</v>
      </c>
      <c r="L86" s="3267" t="s">
        <v>1685</v>
      </c>
      <c r="M86" s="3214"/>
      <c r="N86" s="3267" t="s">
        <v>1686</v>
      </c>
      <c r="O86" s="3213" t="s">
        <v>210</v>
      </c>
      <c r="P86" s="3214"/>
      <c r="Q86" s="3214"/>
      <c r="R86" s="3233" t="s">
        <v>1687</v>
      </c>
      <c r="S86" s="3214"/>
      <c r="T86" s="3213" t="s">
        <v>251</v>
      </c>
      <c r="U86" s="3214"/>
      <c r="V86" s="3214"/>
      <c r="W86" s="3213" t="s">
        <v>1688</v>
      </c>
      <c r="X86" s="3214"/>
      <c r="Y86" s="3213" t="s">
        <v>901</v>
      </c>
      <c r="Z86" s="3214"/>
      <c r="AA86" s="3214"/>
      <c r="AB86" s="3214"/>
      <c r="AC86" s="3214"/>
      <c r="AD86" s="3214"/>
      <c r="AE86" s="3215"/>
      <c r="AF86" s="3215"/>
      <c r="AG86" s="3213" t="s">
        <v>965</v>
      </c>
      <c r="AH86" s="3215"/>
      <c r="AI86" s="3215"/>
      <c r="AJ86" s="3215"/>
      <c r="AK86" s="3215"/>
      <c r="AL86" s="3213" t="s">
        <v>806</v>
      </c>
      <c r="AM86" s="3215"/>
      <c r="AN86" s="3215"/>
      <c r="AO86" s="3215"/>
      <c r="AP86" s="3215"/>
      <c r="AQ86" s="3234"/>
      <c r="AR86" s="3215"/>
      <c r="AS86" s="3213" t="s">
        <v>1899</v>
      </c>
      <c r="AT86" s="3215"/>
      <c r="AU86" s="3215"/>
      <c r="AV86" s="3215"/>
      <c r="AW86" s="3215"/>
      <c r="AX86" s="3215"/>
      <c r="AY86" s="3260" t="s">
        <v>2636</v>
      </c>
      <c r="AZ86" s="3215"/>
      <c r="BA86" s="3214"/>
      <c r="BB86" s="3215"/>
      <c r="BC86" s="4900"/>
      <c r="BD86" s="4914" t="s">
        <v>2984</v>
      </c>
      <c r="BE86" s="3215"/>
      <c r="BF86" s="3215"/>
      <c r="BG86" s="3219">
        <v>1</v>
      </c>
      <c r="BH86" s="3220">
        <v>1</v>
      </c>
      <c r="BI86" s="3220">
        <v>1</v>
      </c>
      <c r="BJ86" s="3220">
        <v>1</v>
      </c>
      <c r="BK86" s="3220">
        <v>1</v>
      </c>
      <c r="BL86" s="3220">
        <v>1</v>
      </c>
      <c r="BM86" s="3220">
        <v>1</v>
      </c>
      <c r="BN86" s="3220">
        <v>1</v>
      </c>
      <c r="BO86" s="3220">
        <v>1</v>
      </c>
      <c r="BP86" s="3220">
        <v>1</v>
      </c>
      <c r="BQ86" s="3220">
        <v>1</v>
      </c>
    </row>
    <row r="87" spans="1:69" ht="22.05" customHeight="1">
      <c r="A87" s="218">
        <v>71</v>
      </c>
      <c r="B87" s="3211" t="s">
        <v>979</v>
      </c>
      <c r="C87" s="3212" t="s">
        <v>805</v>
      </c>
      <c r="D87" s="3214"/>
      <c r="E87" s="3214"/>
      <c r="F87" s="3214"/>
      <c r="G87" s="3214"/>
      <c r="H87" s="3214"/>
      <c r="I87" s="3214"/>
      <c r="J87" s="3214"/>
      <c r="K87" s="3222" t="s">
        <v>964</v>
      </c>
      <c r="L87" s="3267" t="s">
        <v>1685</v>
      </c>
      <c r="M87" s="3214"/>
      <c r="N87" s="3267" t="s">
        <v>1686</v>
      </c>
      <c r="O87" s="3213" t="s">
        <v>210</v>
      </c>
      <c r="P87" s="3214"/>
      <c r="Q87" s="3214"/>
      <c r="R87" s="3233" t="s">
        <v>1687</v>
      </c>
      <c r="S87" s="3214"/>
      <c r="T87" s="3214"/>
      <c r="U87" s="3214"/>
      <c r="V87" s="3214"/>
      <c r="W87" s="3213" t="s">
        <v>1688</v>
      </c>
      <c r="X87" s="3214"/>
      <c r="Y87" s="3214"/>
      <c r="Z87" s="3214"/>
      <c r="AA87" s="3214"/>
      <c r="AB87" s="3214"/>
      <c r="AC87" s="3214"/>
      <c r="AD87" s="3214"/>
      <c r="AE87" s="3215"/>
      <c r="AF87" s="3215"/>
      <c r="AG87" s="3213" t="s">
        <v>965</v>
      </c>
      <c r="AH87" s="3215"/>
      <c r="AI87" s="3215"/>
      <c r="AJ87" s="3215"/>
      <c r="AK87" s="3215"/>
      <c r="AL87" s="3213" t="s">
        <v>806</v>
      </c>
      <c r="AM87" s="3215"/>
      <c r="AN87" s="3215"/>
      <c r="AO87" s="3215"/>
      <c r="AP87" s="3215"/>
      <c r="AQ87" s="3234"/>
      <c r="AR87" s="3215"/>
      <c r="AS87" s="3215"/>
      <c r="AT87" s="3215"/>
      <c r="AU87" s="3215"/>
      <c r="AV87" s="3215"/>
      <c r="AW87" s="3213" t="s">
        <v>2409</v>
      </c>
      <c r="AX87" s="3214"/>
      <c r="AY87" s="3214"/>
      <c r="AZ87" s="3214"/>
      <c r="BA87" s="3214"/>
      <c r="BB87" s="3214"/>
      <c r="BC87" s="4897"/>
      <c r="BD87" s="3214"/>
      <c r="BE87" s="3214"/>
      <c r="BF87" s="3214"/>
      <c r="BG87" s="3219">
        <v>1</v>
      </c>
      <c r="BH87" s="3220"/>
      <c r="BI87" s="3220"/>
      <c r="BJ87" s="3220">
        <v>1</v>
      </c>
      <c r="BK87" s="3220">
        <v>1</v>
      </c>
      <c r="BL87" s="3220">
        <v>1</v>
      </c>
      <c r="BM87" s="3220">
        <v>1</v>
      </c>
      <c r="BN87" s="3220">
        <v>1</v>
      </c>
      <c r="BO87" s="3220">
        <v>1</v>
      </c>
      <c r="BP87" s="3220">
        <v>1</v>
      </c>
      <c r="BQ87" s="3220"/>
    </row>
    <row r="88" spans="1:69" ht="22.05" customHeight="1">
      <c r="A88" s="218">
        <v>72</v>
      </c>
      <c r="B88" s="3211" t="s">
        <v>980</v>
      </c>
      <c r="C88" s="3212" t="s">
        <v>805</v>
      </c>
      <c r="D88" s="3214"/>
      <c r="E88" s="3214"/>
      <c r="F88" s="3214"/>
      <c r="G88" s="3214"/>
      <c r="H88" s="3214"/>
      <c r="I88" s="3214"/>
      <c r="J88" s="3214"/>
      <c r="K88" s="3214"/>
      <c r="L88" s="3214"/>
      <c r="M88" s="3214"/>
      <c r="N88" s="3214"/>
      <c r="O88" s="3214"/>
      <c r="P88" s="3214"/>
      <c r="Q88" s="3214"/>
      <c r="R88" s="3214"/>
      <c r="S88" s="3214"/>
      <c r="T88" s="3214"/>
      <c r="U88" s="3222" t="s">
        <v>981</v>
      </c>
      <c r="V88" s="3214"/>
      <c r="W88" s="3214"/>
      <c r="X88" s="3214"/>
      <c r="Y88" s="3214"/>
      <c r="Z88" s="3214"/>
      <c r="AA88" s="3214"/>
      <c r="AB88" s="3214"/>
      <c r="AC88" s="3214"/>
      <c r="AD88" s="3214"/>
      <c r="AE88" s="3215"/>
      <c r="AF88" s="3215"/>
      <c r="AG88" s="3213" t="s">
        <v>965</v>
      </c>
      <c r="AH88" s="3215"/>
      <c r="AI88" s="3215"/>
      <c r="AJ88" s="3215"/>
      <c r="AK88" s="3215"/>
      <c r="AL88" s="3213" t="s">
        <v>806</v>
      </c>
      <c r="AM88" s="3215"/>
      <c r="AN88" s="3215"/>
      <c r="AO88" s="3215"/>
      <c r="AP88" s="3215"/>
      <c r="AQ88" s="3234"/>
      <c r="AR88" s="3215"/>
      <c r="AS88" s="3215"/>
      <c r="AT88" s="3215"/>
      <c r="AU88" s="3215"/>
      <c r="AV88" s="3213" t="s">
        <v>2418</v>
      </c>
      <c r="AW88" s="3214"/>
      <c r="AX88" s="3214"/>
      <c r="AY88" s="3214"/>
      <c r="AZ88" s="3214"/>
      <c r="BA88" s="3214"/>
      <c r="BB88" s="3214"/>
      <c r="BC88" s="4897"/>
      <c r="BD88" s="3214"/>
      <c r="BE88" s="3214"/>
      <c r="BF88" s="3214"/>
      <c r="BG88" s="3219">
        <v>1</v>
      </c>
      <c r="BH88" s="3220"/>
      <c r="BI88" s="3220"/>
      <c r="BJ88" s="3220">
        <v>1</v>
      </c>
      <c r="BK88" s="3220">
        <v>1</v>
      </c>
      <c r="BL88" s="3220">
        <v>1</v>
      </c>
      <c r="BM88" s="3220">
        <v>1</v>
      </c>
      <c r="BN88" s="3220">
        <v>1</v>
      </c>
      <c r="BO88" s="3220">
        <v>1</v>
      </c>
      <c r="BP88" s="3220">
        <v>1</v>
      </c>
      <c r="BQ88" s="3220"/>
    </row>
    <row r="89" spans="1:69" ht="22.05" customHeight="1">
      <c r="A89" s="218">
        <v>73</v>
      </c>
      <c r="B89" s="3211" t="s">
        <v>982</v>
      </c>
      <c r="C89" s="3212" t="s">
        <v>805</v>
      </c>
      <c r="D89" s="3214"/>
      <c r="E89" s="3214"/>
      <c r="F89" s="3214"/>
      <c r="G89" s="3214"/>
      <c r="H89" s="3214"/>
      <c r="I89" s="3214"/>
      <c r="J89" s="3214"/>
      <c r="K89" s="3214"/>
      <c r="L89" s="3214"/>
      <c r="M89" s="3214"/>
      <c r="N89" s="3214"/>
      <c r="O89" s="3214"/>
      <c r="P89" s="3214"/>
      <c r="Q89" s="3214"/>
      <c r="R89" s="3214"/>
      <c r="S89" s="3214"/>
      <c r="T89" s="3214"/>
      <c r="U89" s="3214"/>
      <c r="V89" s="3214"/>
      <c r="W89" s="3214"/>
      <c r="X89" s="3214"/>
      <c r="Y89" s="3214"/>
      <c r="Z89" s="3214"/>
      <c r="AA89" s="3222" t="s">
        <v>983</v>
      </c>
      <c r="AB89" s="3214"/>
      <c r="AC89" s="3214"/>
      <c r="AD89" s="3214"/>
      <c r="AE89" s="3215"/>
      <c r="AF89" s="3215"/>
      <c r="AG89" s="3213" t="s">
        <v>965</v>
      </c>
      <c r="AH89" s="3215"/>
      <c r="AI89" s="3215"/>
      <c r="AJ89" s="3215"/>
      <c r="AK89" s="3215"/>
      <c r="AL89" s="3213" t="s">
        <v>806</v>
      </c>
      <c r="AM89" s="3215"/>
      <c r="AN89" s="3215"/>
      <c r="AO89" s="3215"/>
      <c r="AP89" s="3215"/>
      <c r="AQ89" s="3234"/>
      <c r="AR89" s="3215"/>
      <c r="AS89" s="3213" t="s">
        <v>1899</v>
      </c>
      <c r="AT89" s="3215"/>
      <c r="AU89" s="3215"/>
      <c r="AV89" s="3215"/>
      <c r="AW89" s="3213" t="s">
        <v>2418</v>
      </c>
      <c r="AX89" s="3214"/>
      <c r="AY89" s="3214"/>
      <c r="AZ89" s="3214"/>
      <c r="BA89" s="3214"/>
      <c r="BB89" s="3214"/>
      <c r="BC89" s="4897"/>
      <c r="BD89" s="3214"/>
      <c r="BE89" s="3214"/>
      <c r="BF89" s="3214"/>
      <c r="BG89" s="3219">
        <v>1</v>
      </c>
      <c r="BH89" s="3220">
        <v>1</v>
      </c>
      <c r="BI89" s="3220">
        <v>1</v>
      </c>
      <c r="BJ89" s="3220">
        <v>1</v>
      </c>
      <c r="BK89" s="3220">
        <v>1</v>
      </c>
      <c r="BL89" s="3220">
        <v>1</v>
      </c>
      <c r="BM89" s="3220">
        <v>1</v>
      </c>
      <c r="BN89" s="3220">
        <v>1</v>
      </c>
      <c r="BO89" s="3220">
        <v>1</v>
      </c>
      <c r="BP89" s="3220">
        <v>1</v>
      </c>
      <c r="BQ89" s="3220"/>
    </row>
    <row r="90" spans="1:69" ht="14.4">
      <c r="A90" s="218"/>
      <c r="B90" s="3269" t="s">
        <v>984</v>
      </c>
      <c r="C90" s="3270"/>
      <c r="D90" s="3271"/>
      <c r="E90" s="3271"/>
      <c r="F90" s="3271"/>
      <c r="G90" s="3271"/>
      <c r="H90" s="3271"/>
      <c r="I90" s="3271"/>
      <c r="J90" s="3271"/>
      <c r="K90" s="3271"/>
      <c r="L90" s="3271"/>
      <c r="M90" s="3271"/>
      <c r="N90" s="3271"/>
      <c r="O90" s="3271"/>
      <c r="P90" s="3271"/>
      <c r="Q90" s="3271"/>
      <c r="R90" s="3271"/>
      <c r="S90" s="3271"/>
      <c r="T90" s="3271"/>
      <c r="U90" s="3271"/>
      <c r="V90" s="3271"/>
      <c r="W90" s="3271"/>
      <c r="X90" s="3271"/>
      <c r="Y90" s="3271"/>
      <c r="Z90" s="3271"/>
      <c r="AA90" s="3271"/>
      <c r="AB90" s="3271"/>
      <c r="AC90" s="3271"/>
      <c r="AD90" s="3271"/>
      <c r="AE90" s="3271"/>
      <c r="AF90" s="3271"/>
      <c r="AG90" s="3271"/>
      <c r="AH90" s="3271"/>
      <c r="AI90" s="3271"/>
      <c r="AJ90" s="3271"/>
      <c r="AK90" s="3272"/>
      <c r="AL90" s="3272"/>
      <c r="AM90" s="3272"/>
      <c r="AN90" s="3272"/>
      <c r="AO90" s="3272"/>
      <c r="AP90" s="3272"/>
      <c r="AQ90" s="3272"/>
      <c r="AR90" s="3272"/>
      <c r="AS90" s="3272"/>
      <c r="AT90" s="3272"/>
      <c r="AU90" s="3272"/>
      <c r="AV90" s="3272"/>
      <c r="AW90" s="3272"/>
      <c r="AX90" s="3272"/>
      <c r="AY90" s="3272"/>
      <c r="AZ90" s="3272"/>
      <c r="BA90" s="3272"/>
      <c r="BB90" s="3272"/>
      <c r="BC90" s="4906"/>
      <c r="BD90" s="4907"/>
      <c r="BE90" s="4907"/>
      <c r="BF90" s="4907"/>
      <c r="BG90" s="3273"/>
      <c r="BH90" s="3273"/>
      <c r="BI90" s="3273"/>
      <c r="BJ90" s="3273"/>
      <c r="BK90" s="3273"/>
      <c r="BL90" s="3273"/>
      <c r="BM90" s="3274"/>
      <c r="BN90" s="3274"/>
      <c r="BO90" s="3274"/>
      <c r="BP90" s="3274"/>
      <c r="BQ90" s="3274"/>
    </row>
    <row r="91" spans="1:69" ht="28.8">
      <c r="A91" s="218">
        <v>74</v>
      </c>
      <c r="B91" s="3211" t="s">
        <v>985</v>
      </c>
      <c r="C91" s="3246" t="s">
        <v>1898</v>
      </c>
      <c r="D91" s="3214"/>
      <c r="E91" s="3214"/>
      <c r="F91" s="3214"/>
      <c r="G91" s="3214"/>
      <c r="H91" s="3214"/>
      <c r="I91" s="3214"/>
      <c r="J91" s="3214"/>
      <c r="K91" s="3214"/>
      <c r="L91" s="3214"/>
      <c r="M91" s="3214"/>
      <c r="N91" s="3214"/>
      <c r="O91" s="3214"/>
      <c r="P91" s="3214"/>
      <c r="Q91" s="3214"/>
      <c r="R91" s="3214"/>
      <c r="S91" s="3214"/>
      <c r="T91" s="3214"/>
      <c r="U91" s="3214"/>
      <c r="V91" s="3214"/>
      <c r="W91" s="3214"/>
      <c r="X91" s="3214"/>
      <c r="Y91" s="3214"/>
      <c r="Z91" s="3214"/>
      <c r="AA91" s="3214"/>
      <c r="AB91" s="3222" t="s">
        <v>986</v>
      </c>
      <c r="AC91" s="3214"/>
      <c r="AD91" s="3214"/>
      <c r="AE91" s="3216"/>
      <c r="AF91" s="3275" t="s">
        <v>987</v>
      </c>
      <c r="AG91" s="3215"/>
      <c r="AH91" s="3215"/>
      <c r="AI91" s="3215"/>
      <c r="AJ91" s="3215"/>
      <c r="AK91" s="3215"/>
      <c r="AL91" s="3215"/>
      <c r="AM91" s="3215"/>
      <c r="AN91" s="3215"/>
      <c r="AO91" s="3215"/>
      <c r="AP91" s="3215"/>
      <c r="AQ91" s="3213" t="s">
        <v>1902</v>
      </c>
      <c r="AR91" s="3215"/>
      <c r="AS91" s="3215"/>
      <c r="AT91" s="3215"/>
      <c r="AU91" s="3215"/>
      <c r="AV91" s="3215"/>
      <c r="AW91" s="3215"/>
      <c r="AX91" s="3215"/>
      <c r="AY91" s="3215"/>
      <c r="AZ91" s="3215"/>
      <c r="BA91" s="3215"/>
      <c r="BB91" s="3215"/>
      <c r="BC91" s="4900"/>
      <c r="BD91" s="3215"/>
      <c r="BE91" s="3215"/>
      <c r="BF91" s="3215"/>
      <c r="BG91" s="3220"/>
      <c r="BH91" s="3220">
        <v>1</v>
      </c>
      <c r="BI91" s="3220">
        <v>1</v>
      </c>
      <c r="BJ91" s="3220">
        <v>1</v>
      </c>
      <c r="BK91" s="3220">
        <v>1</v>
      </c>
      <c r="BL91" s="3220"/>
      <c r="BM91" s="3220">
        <v>1</v>
      </c>
      <c r="BN91" s="3220">
        <v>1</v>
      </c>
      <c r="BO91" s="3220"/>
      <c r="BP91" s="3220"/>
      <c r="BQ91" s="3220"/>
    </row>
    <row r="92" spans="1:69" ht="28.8">
      <c r="A92" s="218">
        <v>75</v>
      </c>
      <c r="B92" s="3211" t="s">
        <v>2395</v>
      </c>
      <c r="C92" s="3246" t="s">
        <v>2393</v>
      </c>
      <c r="D92" s="3214"/>
      <c r="E92" s="3214"/>
      <c r="F92" s="3214"/>
      <c r="G92" s="3214"/>
      <c r="H92" s="3214"/>
      <c r="I92" s="3214"/>
      <c r="J92" s="3214"/>
      <c r="K92" s="3214"/>
      <c r="L92" s="3214"/>
      <c r="M92" s="3214"/>
      <c r="N92" s="3214"/>
      <c r="O92" s="3214"/>
      <c r="P92" s="3214"/>
      <c r="Q92" s="3214"/>
      <c r="R92" s="3214"/>
      <c r="S92" s="3214"/>
      <c r="T92" s="3214"/>
      <c r="U92" s="3214"/>
      <c r="V92" s="3214"/>
      <c r="W92" s="3214"/>
      <c r="X92" s="3214"/>
      <c r="Y92" s="3214"/>
      <c r="Z92" s="3214"/>
      <c r="AA92" s="3214"/>
      <c r="AB92" s="3214"/>
      <c r="AC92" s="3214"/>
      <c r="AD92" s="3214"/>
      <c r="AE92" s="3216"/>
      <c r="AF92" s="3231"/>
      <c r="AG92" s="3215"/>
      <c r="AH92" s="3215"/>
      <c r="AI92" s="3215"/>
      <c r="AJ92" s="3215"/>
      <c r="AK92" s="3215"/>
      <c r="AL92" s="3215"/>
      <c r="AM92" s="3215"/>
      <c r="AN92" s="3215"/>
      <c r="AO92" s="3215"/>
      <c r="AP92" s="3215"/>
      <c r="AQ92" s="3214"/>
      <c r="AR92" s="3215"/>
      <c r="AS92" s="3215"/>
      <c r="AT92" s="3276" t="s">
        <v>2645</v>
      </c>
      <c r="AU92" s="3215"/>
      <c r="AV92" s="3215"/>
      <c r="AW92" s="3215"/>
      <c r="AX92" s="3215"/>
      <c r="AY92" s="3215"/>
      <c r="AZ92" s="3215"/>
      <c r="BA92" s="3215"/>
      <c r="BB92" s="3215"/>
      <c r="BC92" s="4900"/>
      <c r="BD92" s="3215"/>
      <c r="BE92" s="3215"/>
      <c r="BF92" s="3215"/>
      <c r="BG92" s="3220"/>
      <c r="BH92" s="3220"/>
      <c r="BI92" s="3220"/>
      <c r="BJ92" s="3220"/>
      <c r="BK92" s="3220"/>
      <c r="BL92" s="3220"/>
      <c r="BM92" s="3220"/>
      <c r="BN92" s="3220"/>
      <c r="BO92" s="3220">
        <v>1</v>
      </c>
      <c r="BP92" s="3220">
        <v>1</v>
      </c>
      <c r="BQ92" s="3220"/>
    </row>
    <row r="93" spans="1:69" ht="28.8">
      <c r="A93" s="218">
        <v>76</v>
      </c>
      <c r="B93" s="3245" t="s">
        <v>2640</v>
      </c>
      <c r="C93" s="3246" t="s">
        <v>2399</v>
      </c>
      <c r="D93" s="3214"/>
      <c r="E93" s="3214"/>
      <c r="F93" s="3214"/>
      <c r="G93" s="3214"/>
      <c r="H93" s="3214"/>
      <c r="I93" s="3214"/>
      <c r="J93" s="3214"/>
      <c r="K93" s="3214"/>
      <c r="L93" s="3214"/>
      <c r="M93" s="3214"/>
      <c r="N93" s="3214"/>
      <c r="O93" s="3214"/>
      <c r="P93" s="3214"/>
      <c r="Q93" s="3214"/>
      <c r="R93" s="3214"/>
      <c r="S93" s="3214"/>
      <c r="T93" s="3214"/>
      <c r="U93" s="3214"/>
      <c r="V93" s="3214"/>
      <c r="W93" s="3214"/>
      <c r="X93" s="3214"/>
      <c r="Y93" s="3214"/>
      <c r="Z93" s="3214"/>
      <c r="AA93" s="3214"/>
      <c r="AB93" s="3214"/>
      <c r="AC93" s="3214"/>
      <c r="AD93" s="3214"/>
      <c r="AE93" s="3216"/>
      <c r="AF93" s="3231"/>
      <c r="AG93" s="3215"/>
      <c r="AH93" s="3215"/>
      <c r="AI93" s="3215"/>
      <c r="AJ93" s="3215"/>
      <c r="AK93" s="3215"/>
      <c r="AL93" s="3215"/>
      <c r="AM93" s="3215"/>
      <c r="AN93" s="3215"/>
      <c r="AO93" s="3215"/>
      <c r="AP93" s="3215"/>
      <c r="AQ93" s="3214"/>
      <c r="AR93" s="3215"/>
      <c r="AS93" s="3215"/>
      <c r="AT93" s="3215"/>
      <c r="AU93" s="3215"/>
      <c r="AV93" s="3215"/>
      <c r="AW93" s="3215"/>
      <c r="AX93" s="3215"/>
      <c r="AY93" s="3222" t="s">
        <v>2643</v>
      </c>
      <c r="AZ93" s="3215"/>
      <c r="BA93" s="3215"/>
      <c r="BB93" s="3215"/>
      <c r="BC93" s="4900"/>
      <c r="BD93" s="3215"/>
      <c r="BE93" s="3215"/>
      <c r="BF93" s="3215"/>
      <c r="BG93" s="3220"/>
      <c r="BH93" s="3220"/>
      <c r="BI93" s="3220"/>
      <c r="BJ93" s="3220"/>
      <c r="BK93" s="3220"/>
      <c r="BL93" s="3220"/>
      <c r="BM93" s="3220"/>
      <c r="BN93" s="3220"/>
      <c r="BO93" s="3220">
        <v>1</v>
      </c>
      <c r="BP93" s="3220">
        <v>1</v>
      </c>
      <c r="BQ93" s="3220">
        <v>1</v>
      </c>
    </row>
    <row r="94" spans="1:69" ht="14.4">
      <c r="A94" s="218"/>
      <c r="B94" s="3269" t="s">
        <v>988</v>
      </c>
      <c r="C94" s="3270"/>
      <c r="D94" s="3271"/>
      <c r="E94" s="3271"/>
      <c r="F94" s="3271"/>
      <c r="G94" s="3271"/>
      <c r="H94" s="3271"/>
      <c r="I94" s="3271"/>
      <c r="J94" s="3271"/>
      <c r="K94" s="3271"/>
      <c r="L94" s="3271"/>
      <c r="M94" s="3271"/>
      <c r="N94" s="3271"/>
      <c r="O94" s="3271"/>
      <c r="P94" s="3271"/>
      <c r="Q94" s="3271"/>
      <c r="R94" s="3271"/>
      <c r="S94" s="3271"/>
      <c r="T94" s="3271"/>
      <c r="U94" s="3271"/>
      <c r="V94" s="3271"/>
      <c r="W94" s="3271"/>
      <c r="X94" s="3271"/>
      <c r="Y94" s="3271"/>
      <c r="Z94" s="3271"/>
      <c r="AA94" s="3271"/>
      <c r="AB94" s="3271"/>
      <c r="AC94" s="3271"/>
      <c r="AD94" s="3271"/>
      <c r="AE94" s="3271"/>
      <c r="AF94" s="3271"/>
      <c r="AG94" s="3271"/>
      <c r="AH94" s="3271"/>
      <c r="AI94" s="3271"/>
      <c r="AJ94" s="3271"/>
      <c r="AK94" s="3272"/>
      <c r="AL94" s="3272"/>
      <c r="AM94" s="3272"/>
      <c r="AN94" s="3272"/>
      <c r="AO94" s="3272"/>
      <c r="AP94" s="3272"/>
      <c r="AQ94" s="3272"/>
      <c r="AR94" s="3272"/>
      <c r="AS94" s="3272"/>
      <c r="AT94" s="3272"/>
      <c r="AU94" s="3272"/>
      <c r="AV94" s="3272"/>
      <c r="AW94" s="3272"/>
      <c r="AX94" s="3272"/>
      <c r="AY94" s="3272"/>
      <c r="AZ94" s="3272"/>
      <c r="BA94" s="3272"/>
      <c r="BB94" s="3272"/>
      <c r="BC94" s="4906"/>
      <c r="BD94" s="4907"/>
      <c r="BE94" s="4907"/>
      <c r="BF94" s="4907"/>
      <c r="BG94" s="3273"/>
      <c r="BH94" s="3273"/>
      <c r="BI94" s="3273"/>
      <c r="BJ94" s="3273"/>
      <c r="BK94" s="3273"/>
      <c r="BL94" s="3273"/>
      <c r="BM94" s="3274"/>
      <c r="BN94" s="3274"/>
      <c r="BO94" s="3274"/>
      <c r="BP94" s="3274"/>
      <c r="BQ94" s="3274"/>
    </row>
    <row r="95" spans="1:69" ht="28.8">
      <c r="A95" s="218">
        <v>77</v>
      </c>
      <c r="B95" s="3211" t="s">
        <v>1689</v>
      </c>
      <c r="C95" s="3246" t="s">
        <v>2393</v>
      </c>
      <c r="D95" s="3214"/>
      <c r="E95" s="3214"/>
      <c r="F95" s="3214"/>
      <c r="G95" s="3214"/>
      <c r="H95" s="3214"/>
      <c r="I95" s="3214"/>
      <c r="J95" s="3214"/>
      <c r="K95" s="3214"/>
      <c r="L95" s="3214"/>
      <c r="M95" s="3214"/>
      <c r="N95" s="3214"/>
      <c r="O95" s="3214"/>
      <c r="P95" s="3214"/>
      <c r="Q95" s="3214"/>
      <c r="R95" s="3214"/>
      <c r="S95" s="3214"/>
      <c r="T95" s="3214"/>
      <c r="U95" s="3214"/>
      <c r="V95" s="3214"/>
      <c r="W95" s="3214"/>
      <c r="X95" s="3214"/>
      <c r="Y95" s="3214"/>
      <c r="Z95" s="3214"/>
      <c r="AA95" s="3214"/>
      <c r="AB95" s="3222" t="s">
        <v>989</v>
      </c>
      <c r="AC95" s="3214"/>
      <c r="AD95" s="3214"/>
      <c r="AE95" s="3214"/>
      <c r="AF95" s="3241" t="s">
        <v>990</v>
      </c>
      <c r="AG95" s="3215"/>
      <c r="AH95" s="3215"/>
      <c r="AI95" s="3215"/>
      <c r="AJ95" s="3215"/>
      <c r="AK95" s="3215"/>
      <c r="AL95" s="3215"/>
      <c r="AM95" s="3215"/>
      <c r="AN95" s="3215"/>
      <c r="AO95" s="3215"/>
      <c r="AP95" s="3215"/>
      <c r="AQ95" s="3215"/>
      <c r="AR95" s="3215"/>
      <c r="AS95" s="3215"/>
      <c r="AT95" s="3218" t="s">
        <v>2646</v>
      </c>
      <c r="AU95" s="3215"/>
      <c r="AV95" s="3215"/>
      <c r="AW95" s="3215"/>
      <c r="AX95" s="3215"/>
      <c r="AY95" s="3215"/>
      <c r="AZ95" s="3215"/>
      <c r="BA95" s="3215"/>
      <c r="BB95" s="3215"/>
      <c r="BC95" s="4900"/>
      <c r="BD95" s="3215"/>
      <c r="BE95" s="3215"/>
      <c r="BF95" s="3215"/>
      <c r="BG95" s="3220"/>
      <c r="BH95" s="3220">
        <v>1</v>
      </c>
      <c r="BI95" s="3220">
        <v>1</v>
      </c>
      <c r="BJ95" s="3220">
        <v>1</v>
      </c>
      <c r="BK95" s="3220">
        <v>1</v>
      </c>
      <c r="BL95" s="3220"/>
      <c r="BM95" s="3220"/>
      <c r="BN95" s="3220"/>
      <c r="BO95" s="3220">
        <v>1</v>
      </c>
      <c r="BP95" s="3220">
        <v>1</v>
      </c>
      <c r="BQ95" s="3220"/>
    </row>
    <row r="96" spans="1:69" ht="14.4">
      <c r="A96" s="218">
        <v>78</v>
      </c>
      <c r="B96" s="3277" t="s">
        <v>2394</v>
      </c>
      <c r="C96" s="3278" t="s">
        <v>1699</v>
      </c>
      <c r="D96" s="3214"/>
      <c r="E96" s="3214"/>
      <c r="F96" s="3214"/>
      <c r="G96" s="3214"/>
      <c r="H96" s="3214"/>
      <c r="I96" s="3214"/>
      <c r="J96" s="3214"/>
      <c r="K96" s="3214"/>
      <c r="L96" s="3214"/>
      <c r="M96" s="3214"/>
      <c r="N96" s="3214"/>
      <c r="O96" s="3214"/>
      <c r="P96" s="3214"/>
      <c r="Q96" s="3214"/>
      <c r="R96" s="3214"/>
      <c r="S96" s="3214"/>
      <c r="T96" s="3214"/>
      <c r="U96" s="3214"/>
      <c r="V96" s="3214"/>
      <c r="W96" s="3214"/>
      <c r="X96" s="3214"/>
      <c r="Y96" s="3214"/>
      <c r="Z96" s="3214"/>
      <c r="AA96" s="3214"/>
      <c r="AB96" s="3222"/>
      <c r="AC96" s="3214"/>
      <c r="AD96" s="3214"/>
      <c r="AE96" s="3214"/>
      <c r="AF96" s="3215"/>
      <c r="AG96" s="3215"/>
      <c r="AH96" s="3215"/>
      <c r="AI96" s="3215"/>
      <c r="AJ96" s="3215"/>
      <c r="AK96" s="3215"/>
      <c r="AL96" s="3215"/>
      <c r="AM96" s="3215"/>
      <c r="AN96" s="3215"/>
      <c r="AO96" s="3215"/>
      <c r="AP96" s="3215"/>
      <c r="AQ96" s="3215"/>
      <c r="AR96" s="3215"/>
      <c r="AS96" s="3215"/>
      <c r="AT96" s="3215"/>
      <c r="AU96" s="3279" t="s">
        <v>2424</v>
      </c>
      <c r="AV96" s="3215"/>
      <c r="AW96" s="3215"/>
      <c r="AX96" s="3215"/>
      <c r="AY96" s="3215"/>
      <c r="AZ96" s="3215"/>
      <c r="BA96" s="3215"/>
      <c r="BB96" s="3215"/>
      <c r="BC96" s="4900"/>
      <c r="BD96" s="3215"/>
      <c r="BE96" s="3215"/>
      <c r="BF96" s="3215"/>
      <c r="BG96" s="3220"/>
      <c r="BH96" s="3220"/>
      <c r="BI96" s="3220"/>
      <c r="BJ96" s="3220"/>
      <c r="BK96" s="3220"/>
      <c r="BL96" s="3220"/>
      <c r="BM96" s="3220"/>
      <c r="BN96" s="3220">
        <v>1</v>
      </c>
      <c r="BO96" s="3220">
        <v>1</v>
      </c>
      <c r="BP96" s="3220">
        <v>1</v>
      </c>
      <c r="BQ96" s="3220"/>
    </row>
    <row r="97" spans="1:69" ht="28.8">
      <c r="A97" s="218">
        <v>79</v>
      </c>
      <c r="B97" s="3245" t="s">
        <v>2641</v>
      </c>
      <c r="C97" s="3278" t="s">
        <v>2396</v>
      </c>
      <c r="D97" s="3214"/>
      <c r="E97" s="3214"/>
      <c r="F97" s="3214"/>
      <c r="G97" s="3214"/>
      <c r="H97" s="3214"/>
      <c r="I97" s="3214"/>
      <c r="J97" s="3214"/>
      <c r="K97" s="3214"/>
      <c r="L97" s="3214"/>
      <c r="M97" s="3214"/>
      <c r="N97" s="3214"/>
      <c r="O97" s="3214"/>
      <c r="P97" s="3214"/>
      <c r="Q97" s="3214"/>
      <c r="R97" s="3214"/>
      <c r="S97" s="3214"/>
      <c r="T97" s="3214"/>
      <c r="U97" s="3214"/>
      <c r="V97" s="3214"/>
      <c r="W97" s="3214"/>
      <c r="X97" s="3214"/>
      <c r="Y97" s="3214"/>
      <c r="Z97" s="3214"/>
      <c r="AA97" s="3214"/>
      <c r="AB97" s="3222"/>
      <c r="AC97" s="3214"/>
      <c r="AD97" s="3214"/>
      <c r="AE97" s="3214"/>
      <c r="AF97" s="3215"/>
      <c r="AG97" s="3215"/>
      <c r="AH97" s="3215"/>
      <c r="AI97" s="3215"/>
      <c r="AJ97" s="3215"/>
      <c r="AK97" s="3215"/>
      <c r="AL97" s="3215"/>
      <c r="AM97" s="3215"/>
      <c r="AN97" s="3215"/>
      <c r="AO97" s="3215"/>
      <c r="AP97" s="3215"/>
      <c r="AQ97" s="3215"/>
      <c r="AR97" s="3215"/>
      <c r="AS97" s="3215"/>
      <c r="AT97" s="3215"/>
      <c r="AU97" s="3231"/>
      <c r="AV97" s="3215"/>
      <c r="AW97" s="3215"/>
      <c r="AX97" s="3215"/>
      <c r="AY97" s="3222" t="s">
        <v>2644</v>
      </c>
      <c r="AZ97" s="3215"/>
      <c r="BA97" s="3215"/>
      <c r="BB97" s="3215"/>
      <c r="BC97" s="4900"/>
      <c r="BD97" s="3215"/>
      <c r="BE97" s="3215"/>
      <c r="BF97" s="3215"/>
      <c r="BG97" s="3220"/>
      <c r="BH97" s="3220"/>
      <c r="BI97" s="3220"/>
      <c r="BJ97" s="3220"/>
      <c r="BK97" s="3220"/>
      <c r="BL97" s="3220"/>
      <c r="BM97" s="3220"/>
      <c r="BN97" s="3220"/>
      <c r="BO97" s="3220">
        <v>1</v>
      </c>
      <c r="BP97" s="3220">
        <v>1</v>
      </c>
      <c r="BQ97" s="3220">
        <v>1</v>
      </c>
    </row>
    <row r="98" spans="1:69" ht="14.4">
      <c r="A98" s="218"/>
      <c r="B98" s="3269" t="s">
        <v>991</v>
      </c>
      <c r="C98" s="3270"/>
      <c r="D98" s="3271"/>
      <c r="E98" s="3271"/>
      <c r="F98" s="3271"/>
      <c r="G98" s="3271"/>
      <c r="H98" s="3271"/>
      <c r="I98" s="3271"/>
      <c r="J98" s="3271"/>
      <c r="K98" s="3271"/>
      <c r="L98" s="3271"/>
      <c r="M98" s="3271"/>
      <c r="N98" s="3271"/>
      <c r="O98" s="3271"/>
      <c r="P98" s="3271"/>
      <c r="Q98" s="3271"/>
      <c r="R98" s="3271"/>
      <c r="S98" s="3271"/>
      <c r="T98" s="3271"/>
      <c r="U98" s="3271"/>
      <c r="V98" s="3271"/>
      <c r="W98" s="3271"/>
      <c r="X98" s="3271"/>
      <c r="Y98" s="3271"/>
      <c r="Z98" s="3271"/>
      <c r="AA98" s="3271"/>
      <c r="AB98" s="3271"/>
      <c r="AC98" s="3271"/>
      <c r="AD98" s="3271"/>
      <c r="AE98" s="3271"/>
      <c r="AF98" s="3271"/>
      <c r="AG98" s="3271"/>
      <c r="AH98" s="3271"/>
      <c r="AI98" s="3271"/>
      <c r="AJ98" s="3271"/>
      <c r="AK98" s="3272"/>
      <c r="AL98" s="3272"/>
      <c r="AM98" s="3272"/>
      <c r="AN98" s="3272"/>
      <c r="AO98" s="3272"/>
      <c r="AP98" s="3272"/>
      <c r="AQ98" s="3272"/>
      <c r="AR98" s="3272"/>
      <c r="AS98" s="3272"/>
      <c r="AT98" s="3272"/>
      <c r="AU98" s="3272"/>
      <c r="AV98" s="3272"/>
      <c r="AW98" s="3272"/>
      <c r="AX98" s="3272"/>
      <c r="AY98" s="3272"/>
      <c r="AZ98" s="3272"/>
      <c r="BA98" s="3272"/>
      <c r="BB98" s="3272"/>
      <c r="BC98" s="4906"/>
      <c r="BD98" s="4907"/>
      <c r="BE98" s="4907"/>
      <c r="BF98" s="4907"/>
      <c r="BG98" s="3273"/>
      <c r="BH98" s="3273"/>
      <c r="BI98" s="3273"/>
      <c r="BJ98" s="3273"/>
      <c r="BK98" s="3273"/>
      <c r="BL98" s="3273"/>
      <c r="BM98" s="3274"/>
      <c r="BN98" s="3274"/>
      <c r="BO98" s="3274"/>
      <c r="BP98" s="3274"/>
      <c r="BQ98" s="3274"/>
    </row>
    <row r="99" spans="1:69" ht="28.8">
      <c r="A99" s="218">
        <v>80</v>
      </c>
      <c r="B99" s="3211" t="s">
        <v>992</v>
      </c>
      <c r="C99" s="3212" t="s">
        <v>2397</v>
      </c>
      <c r="D99" s="3214"/>
      <c r="E99" s="3214"/>
      <c r="F99" s="3214"/>
      <c r="G99" s="3214"/>
      <c r="H99" s="3214"/>
      <c r="I99" s="3214"/>
      <c r="J99" s="3214"/>
      <c r="K99" s="3214"/>
      <c r="L99" s="3214"/>
      <c r="M99" s="3214"/>
      <c r="N99" s="3214"/>
      <c r="O99" s="3214"/>
      <c r="P99" s="3214"/>
      <c r="Q99" s="3214"/>
      <c r="R99" s="3214"/>
      <c r="S99" s="3214"/>
      <c r="T99" s="3214"/>
      <c r="U99" s="3214"/>
      <c r="V99" s="3214"/>
      <c r="W99" s="3214"/>
      <c r="X99" s="3214"/>
      <c r="Y99" s="3214"/>
      <c r="Z99" s="3214"/>
      <c r="AA99" s="3214"/>
      <c r="AB99" s="3222" t="s">
        <v>993</v>
      </c>
      <c r="AC99" s="3214"/>
      <c r="AD99" s="3214"/>
      <c r="AE99" s="3221"/>
      <c r="AF99" s="3241" t="s">
        <v>990</v>
      </c>
      <c r="AG99" s="3215"/>
      <c r="AH99" s="3215"/>
      <c r="AI99" s="3215"/>
      <c r="AJ99" s="3215"/>
      <c r="AK99" s="3215"/>
      <c r="AL99" s="3215"/>
      <c r="AM99" s="3215"/>
      <c r="AN99" s="3215"/>
      <c r="AO99" s="3215"/>
      <c r="AP99" s="3215"/>
      <c r="AQ99" s="3234"/>
      <c r="AR99" s="3215"/>
      <c r="AS99" s="3215"/>
      <c r="AT99" s="3234"/>
      <c r="AU99" s="3215"/>
      <c r="AV99" s="3215"/>
      <c r="AW99" s="3215"/>
      <c r="AX99" s="3215"/>
      <c r="AY99" s="3215"/>
      <c r="AZ99" s="3215"/>
      <c r="BA99" s="3215"/>
      <c r="BB99" s="3215"/>
      <c r="BC99" s="4900"/>
      <c r="BD99" s="3215"/>
      <c r="BE99" s="3215"/>
      <c r="BF99" s="3215"/>
      <c r="BG99" s="3220"/>
      <c r="BH99" s="3220">
        <v>1</v>
      </c>
      <c r="BI99" s="3220">
        <v>1</v>
      </c>
      <c r="BJ99" s="3220">
        <v>1</v>
      </c>
      <c r="BK99" s="3220">
        <v>1</v>
      </c>
      <c r="BL99" s="3220"/>
      <c r="BM99" s="3220"/>
      <c r="BN99" s="3220"/>
      <c r="BO99" s="3220"/>
      <c r="BP99" s="3220"/>
      <c r="BQ99" s="3220"/>
    </row>
    <row r="100" spans="1:69" ht="24.75" customHeight="1">
      <c r="A100" s="218">
        <v>81</v>
      </c>
      <c r="B100" s="3211" t="s">
        <v>994</v>
      </c>
      <c r="C100" s="3246" t="s">
        <v>2397</v>
      </c>
      <c r="D100" s="3214"/>
      <c r="E100" s="3214"/>
      <c r="F100" s="3214"/>
      <c r="G100" s="3214"/>
      <c r="H100" s="3214"/>
      <c r="I100" s="3214"/>
      <c r="J100" s="3214"/>
      <c r="K100" s="3214"/>
      <c r="L100" s="3214"/>
      <c r="M100" s="3214"/>
      <c r="N100" s="3214"/>
      <c r="O100" s="3214"/>
      <c r="P100" s="3214"/>
      <c r="Q100" s="3214"/>
      <c r="R100" s="3214"/>
      <c r="S100" s="3214"/>
      <c r="T100" s="3214"/>
      <c r="U100" s="3214"/>
      <c r="V100" s="3214"/>
      <c r="W100" s="3214"/>
      <c r="X100" s="3214"/>
      <c r="Y100" s="3214"/>
      <c r="Z100" s="3214"/>
      <c r="AA100" s="3214"/>
      <c r="AB100" s="3214"/>
      <c r="AC100" s="3214"/>
      <c r="AD100" s="3214"/>
      <c r="AE100" s="3215"/>
      <c r="AF100" s="3215"/>
      <c r="AG100" s="3280" t="s">
        <v>995</v>
      </c>
      <c r="AH100" s="3215"/>
      <c r="AI100" s="3215"/>
      <c r="AJ100" s="3215"/>
      <c r="AK100" s="3281"/>
      <c r="AL100" s="3281"/>
      <c r="AM100" s="3281"/>
      <c r="AN100" s="3281"/>
      <c r="AO100" s="3281"/>
      <c r="AP100" s="3281"/>
      <c r="AQ100" s="3281"/>
      <c r="AR100" s="3281"/>
      <c r="AS100" s="3281"/>
      <c r="AT100" s="3281"/>
      <c r="AU100" s="3281"/>
      <c r="AV100" s="3281"/>
      <c r="AW100" s="3281"/>
      <c r="AX100" s="3281"/>
      <c r="AY100" s="3281"/>
      <c r="AZ100" s="3281"/>
      <c r="BA100" s="3281"/>
      <c r="BB100" s="3281"/>
      <c r="BC100" s="4908"/>
      <c r="BD100" s="3281"/>
      <c r="BE100" s="3281"/>
      <c r="BF100" s="3281"/>
      <c r="BG100" s="3220"/>
      <c r="BH100" s="3220"/>
      <c r="BI100" s="3220">
        <v>1</v>
      </c>
      <c r="BJ100" s="3220">
        <v>1</v>
      </c>
      <c r="BK100" s="3220">
        <v>1</v>
      </c>
      <c r="BL100" s="3220"/>
      <c r="BM100" s="3220"/>
      <c r="BN100" s="3220"/>
      <c r="BO100" s="3220"/>
      <c r="BP100" s="3220"/>
      <c r="BQ100" s="3220"/>
    </row>
    <row r="101" spans="1:69" ht="29.4" thickBot="1">
      <c r="A101" s="218">
        <v>82</v>
      </c>
      <c r="B101" s="3282" t="s">
        <v>2642</v>
      </c>
      <c r="C101" s="3283" t="s">
        <v>2396</v>
      </c>
      <c r="D101" s="3284"/>
      <c r="E101" s="3284"/>
      <c r="F101" s="3284"/>
      <c r="G101" s="3284"/>
      <c r="H101" s="3284"/>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84"/>
      <c r="AD101" s="3284"/>
      <c r="AE101" s="3285"/>
      <c r="AF101" s="3285"/>
      <c r="AG101" s="3285"/>
      <c r="AH101" s="3285"/>
      <c r="AI101" s="3285"/>
      <c r="AJ101" s="3285"/>
      <c r="AK101" s="3286"/>
      <c r="AL101" s="3286"/>
      <c r="AM101" s="3286"/>
      <c r="AN101" s="3286"/>
      <c r="AO101" s="3286"/>
      <c r="AP101" s="3286"/>
      <c r="AQ101" s="3286"/>
      <c r="AR101" s="3286"/>
      <c r="AS101" s="3286"/>
      <c r="AT101" s="3286"/>
      <c r="AU101" s="3287"/>
      <c r="AV101" s="3288" t="s">
        <v>2423</v>
      </c>
      <c r="AW101" s="3287"/>
      <c r="AX101" s="3287"/>
      <c r="AY101" s="3287"/>
      <c r="AZ101" s="3287"/>
      <c r="BA101" s="3287"/>
      <c r="BB101" s="3287"/>
      <c r="BC101" s="3287"/>
      <c r="BD101" s="3287"/>
      <c r="BE101" s="3287"/>
      <c r="BF101" s="3287"/>
      <c r="BG101" s="3289"/>
      <c r="BH101" s="3289"/>
      <c r="BI101" s="3289"/>
      <c r="BJ101" s="3289"/>
      <c r="BK101" s="3289"/>
      <c r="BL101" s="3289"/>
      <c r="BM101" s="3289"/>
      <c r="BN101" s="3289"/>
      <c r="BO101" s="3289">
        <v>1</v>
      </c>
      <c r="BP101" s="3289">
        <v>1</v>
      </c>
      <c r="BQ101" s="3289"/>
    </row>
    <row r="102" spans="1:69" ht="15" customHeight="1">
      <c r="B102" s="2059" t="s">
        <v>1690</v>
      </c>
      <c r="C102" s="2060"/>
      <c r="D102" s="215"/>
      <c r="E102" s="215"/>
      <c r="F102" s="215"/>
      <c r="G102" s="215"/>
      <c r="H102" s="215"/>
      <c r="I102" s="215"/>
      <c r="J102" s="215"/>
      <c r="K102" s="215"/>
      <c r="L102" s="215"/>
      <c r="M102" s="215"/>
      <c r="N102" s="215"/>
      <c r="O102" s="215"/>
      <c r="P102" s="215"/>
      <c r="Q102" s="215"/>
      <c r="R102" s="215"/>
      <c r="S102" s="215"/>
      <c r="T102" s="215"/>
      <c r="U102" s="215"/>
      <c r="V102" s="219"/>
      <c r="W102" s="215"/>
      <c r="X102" s="215"/>
      <c r="Y102" s="219"/>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3918">
        <f>SUM(BG6:BG99)</f>
        <v>44</v>
      </c>
      <c r="BH102" s="3918">
        <f>SUM(BH6:BH99)</f>
        <v>46</v>
      </c>
      <c r="BI102" s="3918">
        <f t="shared" ref="BI102:BN102" si="0">SUM(BI6:BI100)</f>
        <v>55</v>
      </c>
      <c r="BJ102" s="3918">
        <f t="shared" si="0"/>
        <v>58</v>
      </c>
      <c r="BK102" s="3918">
        <f t="shared" si="0"/>
        <v>65</v>
      </c>
      <c r="BL102" s="3919">
        <f t="shared" si="0"/>
        <v>63</v>
      </c>
      <c r="BM102" s="3920">
        <f t="shared" si="0"/>
        <v>68</v>
      </c>
      <c r="BN102" s="3920">
        <f t="shared" si="0"/>
        <v>48</v>
      </c>
      <c r="BO102" s="3920">
        <f>SUM(BO6:BO101)</f>
        <v>31</v>
      </c>
      <c r="BP102" s="3920">
        <f>SUM(BP6:BP101)</f>
        <v>29</v>
      </c>
      <c r="BQ102" s="4868">
        <f>SUM(BQ6:BQ101)</f>
        <v>27</v>
      </c>
    </row>
    <row r="103" spans="1:69" ht="14.4">
      <c r="B103" s="220" t="s">
        <v>558</v>
      </c>
      <c r="C103" s="183"/>
      <c r="D103" s="215"/>
      <c r="E103" s="215"/>
      <c r="F103" s="215"/>
      <c r="G103" s="215"/>
      <c r="H103" s="215"/>
      <c r="I103" s="215"/>
      <c r="J103" s="215"/>
      <c r="K103" s="215"/>
      <c r="L103" s="215"/>
      <c r="M103" s="215"/>
      <c r="N103" s="215"/>
      <c r="O103" s="215"/>
      <c r="P103" s="215"/>
      <c r="Q103" s="215"/>
      <c r="R103" s="215"/>
      <c r="S103" s="215"/>
      <c r="T103" s="215"/>
      <c r="U103" s="215"/>
      <c r="V103" s="219"/>
      <c r="W103" s="213"/>
      <c r="X103" s="213"/>
      <c r="Y103" s="213"/>
      <c r="Z103" s="213"/>
      <c r="AA103" s="213"/>
      <c r="AB103" s="213"/>
      <c r="AC103" s="213"/>
      <c r="AD103" s="213"/>
      <c r="AE103" s="213"/>
      <c r="AF103" s="213"/>
      <c r="AG103" s="215"/>
      <c r="AH103" s="215"/>
      <c r="AI103" s="213"/>
      <c r="AJ103" s="213"/>
      <c r="AK103" s="213"/>
      <c r="AL103" s="213"/>
      <c r="AM103" s="213"/>
      <c r="AN103" s="213"/>
      <c r="AO103" s="213"/>
      <c r="AP103" s="213"/>
      <c r="AQ103" s="213"/>
      <c r="AR103" s="213"/>
      <c r="AS103" s="215"/>
      <c r="AT103" s="215"/>
      <c r="AU103" s="213"/>
      <c r="AV103" s="213"/>
      <c r="AW103" s="213"/>
      <c r="AX103" s="213"/>
      <c r="AY103" s="213"/>
      <c r="AZ103" s="213"/>
      <c r="BA103" s="213"/>
      <c r="BB103" s="213"/>
      <c r="BC103" s="213"/>
      <c r="BD103" s="213"/>
      <c r="BE103" s="213"/>
      <c r="BF103" s="213"/>
      <c r="BG103" s="212"/>
      <c r="BH103" s="212"/>
      <c r="BI103" s="212"/>
      <c r="BJ103" s="212"/>
    </row>
    <row r="104" spans="1:69" ht="14.4">
      <c r="B104" s="221" t="s">
        <v>212</v>
      </c>
      <c r="C104" s="1204"/>
      <c r="D104" s="215"/>
      <c r="E104" s="215"/>
      <c r="F104" s="215"/>
      <c r="G104" s="215"/>
      <c r="H104" s="215"/>
      <c r="I104" s="215"/>
      <c r="J104" s="215"/>
      <c r="K104" s="215"/>
      <c r="L104" s="215"/>
      <c r="M104" s="215"/>
      <c r="N104" s="215"/>
      <c r="O104" s="215"/>
      <c r="P104" s="215"/>
      <c r="Q104" s="215"/>
      <c r="R104" s="215"/>
      <c r="S104" s="215"/>
      <c r="T104" s="215"/>
      <c r="U104" s="215"/>
      <c r="V104" s="214"/>
      <c r="W104" s="213"/>
      <c r="X104" s="213"/>
      <c r="Y104" s="214"/>
      <c r="Z104" s="213"/>
      <c r="AA104" s="213"/>
      <c r="AB104" s="213"/>
      <c r="AC104" s="213"/>
      <c r="AD104" s="213"/>
      <c r="AG104" s="215"/>
      <c r="AH104" s="215"/>
      <c r="AK104" s="213"/>
      <c r="AQ104" s="213"/>
      <c r="AR104" s="213"/>
      <c r="AS104" s="215"/>
      <c r="AT104" s="215"/>
      <c r="AU104" s="2199"/>
      <c r="AV104" s="2199"/>
      <c r="AW104" s="2199"/>
      <c r="AX104" s="2199"/>
      <c r="AY104" s="2199"/>
      <c r="AZ104" s="2199"/>
      <c r="BA104" s="3916"/>
      <c r="BB104" s="2199" t="s">
        <v>996</v>
      </c>
      <c r="BC104" s="3916"/>
      <c r="BD104" s="3916"/>
      <c r="BE104" s="3916"/>
      <c r="BF104" s="3916"/>
      <c r="BG104" s="3934">
        <f>BG102/72</f>
        <v>0.61111111111111116</v>
      </c>
      <c r="BH104" s="3934">
        <f>BH102/75</f>
        <v>0.61333333333333329</v>
      </c>
      <c r="BI104" s="3934">
        <f>BI102/76</f>
        <v>0.72368421052631582</v>
      </c>
      <c r="BJ104" s="3934">
        <f>BJ102/76</f>
        <v>0.76315789473684215</v>
      </c>
      <c r="BK104" s="3934">
        <f>BK102/76</f>
        <v>0.85526315789473684</v>
      </c>
      <c r="BL104" s="3934">
        <f>BL102/76</f>
        <v>0.82894736842105265</v>
      </c>
      <c r="BM104" s="3935">
        <f>BM102/77</f>
        <v>0.88311688311688308</v>
      </c>
      <c r="BN104" s="3936">
        <f>BN102/79</f>
        <v>0.60759493670886078</v>
      </c>
      <c r="BO104" s="3936">
        <f>BO102/82</f>
        <v>0.37804878048780488</v>
      </c>
      <c r="BP104" s="3936">
        <f>BP102/82</f>
        <v>0.35365853658536583</v>
      </c>
      <c r="BQ104" s="3937">
        <f>BQ102/82</f>
        <v>0.32926829268292684</v>
      </c>
    </row>
    <row r="105" spans="1:69" ht="14.4">
      <c r="B105" s="222" t="s">
        <v>213</v>
      </c>
      <c r="C105" s="1205"/>
      <c r="D105" s="215"/>
      <c r="E105" s="215"/>
      <c r="F105" s="215"/>
      <c r="G105" s="215"/>
      <c r="H105" s="215"/>
      <c r="I105" s="215"/>
      <c r="J105" s="215"/>
      <c r="K105" s="215"/>
      <c r="L105" s="215"/>
      <c r="M105" s="215"/>
      <c r="N105" s="215"/>
      <c r="O105" s="215"/>
      <c r="P105" s="215"/>
      <c r="Q105" s="215"/>
      <c r="R105" s="215"/>
      <c r="S105" s="215"/>
      <c r="T105" s="215"/>
      <c r="U105" s="215"/>
      <c r="V105" s="219"/>
      <c r="W105" s="223"/>
      <c r="X105" s="223"/>
      <c r="Y105" s="223"/>
      <c r="Z105" s="223"/>
      <c r="AA105" s="223"/>
      <c r="AB105" s="223"/>
      <c r="AC105" s="223"/>
      <c r="AD105" s="223"/>
      <c r="AE105" s="223"/>
      <c r="AF105" s="223"/>
      <c r="AG105" s="215"/>
      <c r="AH105" s="215"/>
      <c r="AI105" s="223"/>
      <c r="AJ105" s="223"/>
      <c r="AK105" s="213"/>
      <c r="AL105" s="223"/>
      <c r="AM105" s="223"/>
      <c r="AN105" s="223"/>
      <c r="AO105" s="223"/>
      <c r="AP105" s="223"/>
      <c r="AQ105" s="213"/>
      <c r="AR105" s="213"/>
      <c r="AS105" s="215"/>
      <c r="AT105" s="215"/>
      <c r="AU105" s="223"/>
      <c r="AV105" s="223"/>
      <c r="AW105" s="223"/>
      <c r="AX105" s="223"/>
      <c r="AY105" s="223"/>
      <c r="AZ105" s="223"/>
      <c r="BA105" s="223"/>
      <c r="BB105" s="223"/>
      <c r="BC105" s="223"/>
      <c r="BD105" s="223"/>
      <c r="BE105" s="223"/>
      <c r="BF105" s="223"/>
      <c r="BG105" s="212"/>
      <c r="BH105" s="216"/>
      <c r="BI105" s="212"/>
      <c r="BJ105" s="212"/>
    </row>
    <row r="106" spans="1:69" ht="14.4">
      <c r="B106" s="224" t="s">
        <v>214</v>
      </c>
      <c r="C106" s="1206"/>
      <c r="D106" s="215"/>
      <c r="E106" s="215"/>
      <c r="F106" s="215"/>
      <c r="G106" s="215"/>
      <c r="H106" s="215"/>
      <c r="I106" s="215"/>
      <c r="J106" s="215"/>
      <c r="K106" s="215"/>
      <c r="L106" s="215"/>
      <c r="M106" s="215"/>
      <c r="N106" s="215"/>
      <c r="O106" s="215"/>
      <c r="P106" s="215"/>
      <c r="Q106" s="215"/>
      <c r="R106" s="215"/>
      <c r="S106" s="215"/>
      <c r="T106" s="215"/>
      <c r="U106" s="215"/>
      <c r="V106" s="214"/>
      <c r="W106" s="215"/>
      <c r="X106" s="215"/>
      <c r="Y106" s="219"/>
      <c r="Z106" s="215"/>
      <c r="AA106" s="215"/>
      <c r="AB106" s="215"/>
      <c r="AC106" s="215"/>
      <c r="AD106" s="215"/>
      <c r="AE106" s="215"/>
      <c r="AF106" s="215"/>
      <c r="AG106" s="215"/>
      <c r="AH106" s="215"/>
      <c r="AI106" s="215"/>
      <c r="AJ106" s="215"/>
      <c r="AK106" s="213"/>
      <c r="AL106" s="215"/>
      <c r="AM106" s="215"/>
      <c r="AN106" s="215"/>
      <c r="AO106" s="215"/>
      <c r="AP106" s="215"/>
      <c r="AQ106" s="213"/>
      <c r="AR106" s="213"/>
      <c r="AS106" s="215"/>
      <c r="AT106" s="215"/>
      <c r="AU106" s="215"/>
      <c r="AV106" s="215"/>
      <c r="AW106" s="215"/>
      <c r="AX106" s="215"/>
      <c r="AY106" s="215"/>
      <c r="AZ106" s="215"/>
      <c r="BA106" s="215"/>
      <c r="BB106" s="215"/>
      <c r="BC106" s="215"/>
      <c r="BD106" s="215"/>
      <c r="BE106" s="215"/>
      <c r="BF106" s="215"/>
      <c r="BG106" s="212"/>
      <c r="BH106" s="212"/>
      <c r="BI106" s="212"/>
      <c r="BJ106" s="212"/>
    </row>
    <row r="107" spans="1:69" ht="14.4">
      <c r="B107" s="225" t="s">
        <v>997</v>
      </c>
      <c r="C107" s="1207"/>
      <c r="D107" s="215"/>
      <c r="E107" s="215"/>
      <c r="F107" s="215"/>
      <c r="G107" s="215"/>
      <c r="H107" s="215"/>
      <c r="I107" s="215"/>
      <c r="J107" s="215"/>
      <c r="K107" s="215"/>
      <c r="L107" s="215"/>
      <c r="M107" s="215"/>
      <c r="N107" s="215"/>
      <c r="O107" s="215"/>
      <c r="P107" s="215"/>
      <c r="Q107" s="215"/>
      <c r="R107" s="215"/>
      <c r="S107" s="215"/>
      <c r="T107" s="215"/>
      <c r="U107" s="215"/>
      <c r="V107" s="219"/>
      <c r="W107" s="215"/>
      <c r="X107" s="215"/>
      <c r="Y107" s="219"/>
      <c r="Z107" s="215"/>
      <c r="AA107" s="215"/>
      <c r="AB107" s="215"/>
      <c r="AC107" s="215"/>
      <c r="AD107" s="215"/>
      <c r="AE107" s="215"/>
      <c r="AF107" s="215"/>
      <c r="AG107" s="215"/>
      <c r="AH107" s="215"/>
      <c r="AI107" s="215"/>
      <c r="AJ107" s="215"/>
      <c r="AK107" s="213"/>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2"/>
      <c r="BH107" s="212"/>
      <c r="BI107" s="212"/>
      <c r="BJ107" s="212"/>
      <c r="BK107" s="212"/>
      <c r="BL107" s="212"/>
      <c r="BM107" s="212"/>
    </row>
    <row r="108" spans="1:69" ht="14.4">
      <c r="B108" s="226" t="s">
        <v>998</v>
      </c>
      <c r="C108" s="1208"/>
      <c r="D108" s="215"/>
      <c r="E108" s="215"/>
      <c r="F108" s="215"/>
      <c r="G108" s="215"/>
      <c r="H108" s="215"/>
      <c r="I108" s="215"/>
      <c r="J108" s="215"/>
      <c r="K108" s="215"/>
      <c r="L108" s="215"/>
      <c r="M108" s="215"/>
      <c r="N108" s="215"/>
      <c r="O108" s="215"/>
      <c r="P108" s="215"/>
      <c r="Q108" s="215"/>
      <c r="R108" s="215"/>
      <c r="S108" s="215"/>
      <c r="T108" s="215"/>
      <c r="U108" s="215"/>
      <c r="V108" s="219"/>
      <c r="W108" s="215"/>
      <c r="X108" s="215"/>
      <c r="Y108" s="219"/>
      <c r="Z108" s="215"/>
      <c r="AA108" s="215"/>
      <c r="AB108" s="215"/>
      <c r="AC108" s="215"/>
      <c r="AD108" s="215"/>
      <c r="AE108" s="215"/>
      <c r="AF108" s="215"/>
      <c r="AG108" s="215"/>
      <c r="AH108" s="215"/>
      <c r="AI108" s="215"/>
      <c r="AJ108" s="215"/>
      <c r="AK108" s="213"/>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2"/>
      <c r="BH108" s="212"/>
      <c r="BI108" s="212"/>
      <c r="BJ108" s="212"/>
      <c r="BK108" s="212"/>
      <c r="BL108" s="212"/>
      <c r="BM108" s="212"/>
    </row>
    <row r="109" spans="1:69" ht="14.4">
      <c r="B109" s="215" t="s">
        <v>557</v>
      </c>
      <c r="C109" s="212"/>
      <c r="D109" s="215"/>
      <c r="E109" s="215"/>
      <c r="F109" s="215"/>
      <c r="G109" s="215"/>
      <c r="H109" s="215"/>
      <c r="I109" s="215"/>
      <c r="J109" s="215"/>
      <c r="K109" s="215"/>
      <c r="L109" s="215"/>
      <c r="M109" s="215"/>
      <c r="N109" s="215"/>
      <c r="O109" s="215"/>
      <c r="P109" s="215"/>
      <c r="Q109" s="215"/>
      <c r="R109" s="215"/>
      <c r="S109" s="215"/>
      <c r="T109" s="215"/>
      <c r="U109" s="215"/>
      <c r="V109" s="219"/>
      <c r="W109" s="215"/>
      <c r="X109" s="215"/>
      <c r="Y109" s="219"/>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215"/>
      <c r="BE109" s="215"/>
      <c r="BF109" s="215"/>
      <c r="BG109" s="212"/>
      <c r="BH109" s="212"/>
      <c r="BI109" s="212"/>
      <c r="BJ109" s="212"/>
    </row>
    <row r="110" spans="1:69" ht="14.4">
      <c r="B110" s="1209" t="s">
        <v>582</v>
      </c>
      <c r="C110" s="1210"/>
      <c r="D110" s="215"/>
      <c r="E110" s="215"/>
      <c r="F110" s="215"/>
      <c r="G110" s="215"/>
      <c r="H110" s="215"/>
      <c r="I110" s="215"/>
      <c r="J110" s="215"/>
      <c r="K110" s="215"/>
      <c r="L110" s="215"/>
      <c r="M110" s="215"/>
      <c r="N110" s="215"/>
      <c r="O110" s="215"/>
      <c r="P110" s="215"/>
      <c r="Q110" s="215"/>
      <c r="R110" s="215"/>
      <c r="S110" s="215"/>
      <c r="T110" s="215"/>
      <c r="U110" s="215"/>
      <c r="V110" s="219"/>
      <c r="W110" s="215"/>
      <c r="X110" s="215"/>
      <c r="Y110" s="219"/>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2"/>
      <c r="BH110" s="212"/>
      <c r="BI110" s="212"/>
      <c r="BJ110" s="212"/>
    </row>
    <row r="111" spans="1:69" ht="14.4">
      <c r="B111" s="1211"/>
      <c r="C111" s="1197"/>
      <c r="D111" s="215"/>
      <c r="E111" s="215"/>
      <c r="F111" s="215"/>
      <c r="G111" s="215"/>
      <c r="H111" s="215"/>
      <c r="I111" s="215"/>
      <c r="J111" s="215"/>
      <c r="K111" s="215"/>
      <c r="L111" s="215"/>
      <c r="M111" s="215"/>
      <c r="N111" s="215"/>
      <c r="O111" s="215"/>
      <c r="P111" s="215"/>
      <c r="Q111" s="215"/>
      <c r="R111" s="215"/>
      <c r="S111" s="215"/>
      <c r="T111" s="215"/>
      <c r="U111" s="215"/>
      <c r="V111" s="219"/>
      <c r="W111" s="213"/>
      <c r="X111" s="213"/>
      <c r="Y111" s="214"/>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2"/>
      <c r="BH111" s="212"/>
      <c r="BI111" s="212"/>
      <c r="BJ111" s="212"/>
    </row>
    <row r="112" spans="1:69" ht="14.4">
      <c r="C112" s="1197"/>
      <c r="D112" s="213"/>
      <c r="E112" s="213"/>
      <c r="F112" s="213"/>
      <c r="G112" s="213"/>
      <c r="H112" s="213"/>
      <c r="I112" s="213"/>
      <c r="J112" s="213"/>
      <c r="K112" s="213"/>
      <c r="L112" s="213"/>
      <c r="M112" s="213"/>
      <c r="N112" s="213"/>
      <c r="O112" s="213"/>
      <c r="P112" s="213"/>
      <c r="Q112" s="213"/>
      <c r="R112" s="213"/>
      <c r="S112" s="213"/>
      <c r="T112" s="213"/>
      <c r="U112" s="213"/>
      <c r="V112" s="214"/>
      <c r="W112" s="213"/>
      <c r="X112" s="213"/>
      <c r="Y112" s="214"/>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2"/>
      <c r="BH112" s="212"/>
      <c r="BI112" s="212"/>
      <c r="BJ112" s="212"/>
    </row>
    <row r="113" spans="2:62" ht="14.4">
      <c r="B113" s="172"/>
      <c r="C113" s="1197"/>
      <c r="D113" s="213"/>
      <c r="E113" s="213"/>
      <c r="F113" s="213"/>
      <c r="G113" s="213"/>
      <c r="H113" s="213"/>
      <c r="I113" s="213"/>
      <c r="J113" s="213"/>
      <c r="K113" s="213"/>
      <c r="L113" s="213"/>
      <c r="M113" s="213"/>
      <c r="N113" s="213"/>
      <c r="O113" s="213"/>
      <c r="P113" s="213"/>
      <c r="Q113" s="213"/>
      <c r="R113" s="213"/>
      <c r="S113" s="213"/>
      <c r="T113" s="213"/>
      <c r="U113" s="213"/>
      <c r="V113" s="214"/>
      <c r="W113" s="213"/>
      <c r="X113" s="213"/>
      <c r="Y113" s="214"/>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2"/>
      <c r="BH113" s="212"/>
      <c r="BI113" s="212"/>
      <c r="BJ113" s="212"/>
    </row>
    <row r="114" spans="2:62" ht="14.4">
      <c r="B114" s="172"/>
      <c r="C114" s="1197"/>
      <c r="D114" s="213"/>
      <c r="E114" s="213"/>
      <c r="F114" s="213"/>
      <c r="G114" s="213"/>
      <c r="H114" s="213"/>
      <c r="I114" s="213"/>
      <c r="J114" s="213"/>
      <c r="K114" s="213"/>
      <c r="L114" s="213"/>
      <c r="M114" s="213"/>
      <c r="N114" s="213"/>
      <c r="O114" s="213"/>
      <c r="P114" s="213"/>
      <c r="Q114" s="213"/>
      <c r="R114" s="213"/>
      <c r="S114" s="213"/>
      <c r="T114" s="213"/>
      <c r="U114" s="213"/>
      <c r="V114" s="214"/>
      <c r="W114" s="213"/>
      <c r="X114" s="213"/>
      <c r="Y114" s="214"/>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2"/>
      <c r="BH114" s="212"/>
      <c r="BI114" s="212"/>
      <c r="BJ114" s="212"/>
    </row>
    <row r="115" spans="2:62" ht="14.4">
      <c r="B115" s="172"/>
      <c r="C115" s="1197"/>
      <c r="D115" s="213"/>
      <c r="E115" s="213"/>
      <c r="F115" s="213"/>
      <c r="G115" s="213"/>
      <c r="H115" s="213"/>
      <c r="I115" s="213"/>
      <c r="J115" s="213"/>
      <c r="K115" s="213"/>
      <c r="L115" s="213"/>
      <c r="M115" s="213"/>
      <c r="N115" s="213"/>
      <c r="O115" s="213"/>
      <c r="P115" s="213"/>
      <c r="Q115" s="213"/>
      <c r="R115" s="213"/>
      <c r="S115" s="213"/>
      <c r="T115" s="213"/>
      <c r="U115" s="213"/>
      <c r="V115" s="214"/>
      <c r="W115" s="213"/>
      <c r="X115" s="213"/>
      <c r="Y115" s="214"/>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2"/>
      <c r="BH115" s="212"/>
      <c r="BI115" s="212"/>
      <c r="BJ115" s="212"/>
    </row>
    <row r="116" spans="2:62" ht="14.4">
      <c r="B116" s="172"/>
      <c r="C116" s="1197"/>
      <c r="D116" s="213"/>
      <c r="E116" s="213"/>
      <c r="F116" s="213"/>
      <c r="G116" s="213"/>
      <c r="H116" s="213"/>
      <c r="I116" s="213"/>
      <c r="J116" s="213"/>
      <c r="K116" s="213"/>
      <c r="L116" s="213"/>
      <c r="M116" s="213"/>
      <c r="N116" s="213"/>
      <c r="O116" s="213"/>
      <c r="P116" s="213"/>
      <c r="Q116" s="213"/>
      <c r="R116" s="213"/>
      <c r="S116" s="213"/>
      <c r="T116" s="213"/>
      <c r="U116" s="213"/>
      <c r="V116" s="214"/>
      <c r="W116" s="213"/>
      <c r="X116" s="213"/>
      <c r="Y116" s="214"/>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2"/>
      <c r="BH116" s="212"/>
      <c r="BI116" s="212"/>
      <c r="BJ116" s="212"/>
    </row>
    <row r="117" spans="2:62" ht="14.4">
      <c r="B117" s="172"/>
      <c r="C117" s="1197"/>
      <c r="D117" s="213"/>
      <c r="E117" s="213"/>
      <c r="F117" s="213"/>
      <c r="G117" s="213"/>
      <c r="H117" s="213"/>
      <c r="I117" s="213"/>
      <c r="J117" s="213"/>
      <c r="K117" s="213"/>
      <c r="L117" s="213"/>
      <c r="M117" s="213"/>
      <c r="N117" s="213"/>
      <c r="O117" s="213"/>
      <c r="P117" s="213"/>
      <c r="Q117" s="213"/>
      <c r="R117" s="213"/>
      <c r="S117" s="213"/>
      <c r="T117" s="213"/>
      <c r="U117" s="213"/>
      <c r="V117" s="214"/>
      <c r="W117" s="213"/>
      <c r="X117" s="213"/>
      <c r="Y117" s="214"/>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2"/>
      <c r="BH117" s="212"/>
      <c r="BI117" s="212"/>
      <c r="BJ117" s="212"/>
    </row>
    <row r="118" spans="2:62" ht="14.4">
      <c r="B118" s="172"/>
      <c r="C118" s="1197"/>
      <c r="D118" s="213"/>
      <c r="E118" s="213"/>
      <c r="F118" s="213"/>
      <c r="G118" s="213"/>
      <c r="H118" s="213"/>
      <c r="I118" s="213"/>
      <c r="J118" s="213"/>
      <c r="K118" s="213"/>
      <c r="L118" s="213"/>
      <c r="M118" s="213"/>
      <c r="N118" s="213"/>
      <c r="O118" s="213"/>
      <c r="P118" s="213"/>
      <c r="Q118" s="213"/>
      <c r="R118" s="213"/>
      <c r="S118" s="213"/>
      <c r="T118" s="213"/>
      <c r="U118" s="213"/>
      <c r="V118" s="214"/>
      <c r="W118" s="213"/>
      <c r="X118" s="213"/>
      <c r="Y118" s="214"/>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2"/>
      <c r="BH118" s="212"/>
      <c r="BI118" s="212"/>
      <c r="BJ118" s="212"/>
    </row>
    <row r="119" spans="2:62" ht="14.4">
      <c r="B119" s="172"/>
      <c r="C119" s="1197"/>
      <c r="D119" s="213"/>
      <c r="E119" s="213"/>
      <c r="F119" s="213"/>
      <c r="G119" s="213"/>
      <c r="H119" s="213"/>
      <c r="I119" s="213"/>
      <c r="J119" s="213"/>
      <c r="K119" s="213"/>
      <c r="L119" s="213"/>
      <c r="M119" s="213"/>
      <c r="N119" s="213"/>
      <c r="O119" s="213"/>
      <c r="P119" s="213"/>
      <c r="Q119" s="213"/>
      <c r="R119" s="213"/>
      <c r="S119" s="213"/>
      <c r="T119" s="213"/>
      <c r="U119" s="213"/>
      <c r="V119" s="214"/>
      <c r="W119" s="213"/>
      <c r="X119" s="213"/>
      <c r="Y119" s="214"/>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2"/>
      <c r="BH119" s="212"/>
      <c r="BI119" s="212"/>
      <c r="BJ119" s="212"/>
    </row>
    <row r="120" spans="2:62" ht="14.4">
      <c r="B120" s="172"/>
      <c r="C120" s="1197"/>
      <c r="D120" s="213"/>
      <c r="E120" s="213"/>
      <c r="F120" s="213"/>
      <c r="G120" s="213"/>
      <c r="H120" s="213"/>
      <c r="I120" s="213"/>
      <c r="J120" s="213"/>
      <c r="K120" s="213"/>
      <c r="L120" s="213"/>
      <c r="M120" s="213"/>
      <c r="N120" s="213"/>
      <c r="O120" s="213"/>
      <c r="P120" s="213"/>
      <c r="Q120" s="213"/>
      <c r="R120" s="213"/>
      <c r="S120" s="213"/>
      <c r="T120" s="213"/>
      <c r="U120" s="213"/>
      <c r="V120" s="214"/>
      <c r="W120" s="213"/>
      <c r="X120" s="213"/>
      <c r="Y120" s="214"/>
      <c r="Z120" s="213"/>
      <c r="AA120" s="213"/>
      <c r="AB120" s="213"/>
      <c r="AC120" s="21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2"/>
      <c r="BH120" s="212"/>
      <c r="BI120" s="212"/>
      <c r="BJ120" s="212"/>
    </row>
    <row r="121" spans="2:62" ht="14.4">
      <c r="B121" s="172"/>
      <c r="C121" s="1197"/>
      <c r="D121" s="213"/>
      <c r="E121" s="213"/>
      <c r="F121" s="213"/>
      <c r="G121" s="213"/>
      <c r="H121" s="213"/>
      <c r="I121" s="213"/>
      <c r="J121" s="213"/>
      <c r="K121" s="213"/>
      <c r="L121" s="213"/>
      <c r="M121" s="213"/>
      <c r="N121" s="213"/>
      <c r="O121" s="213"/>
      <c r="P121" s="213"/>
      <c r="Q121" s="213"/>
      <c r="R121" s="213"/>
      <c r="S121" s="213"/>
      <c r="T121" s="213"/>
      <c r="U121" s="213"/>
      <c r="V121" s="214"/>
      <c r="W121" s="213"/>
      <c r="X121" s="213"/>
      <c r="Y121" s="214"/>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2"/>
      <c r="BH121" s="212"/>
      <c r="BI121" s="212"/>
      <c r="BJ121" s="212"/>
    </row>
    <row r="122" spans="2:62" ht="14.4">
      <c r="B122" s="172"/>
      <c r="C122" s="1197"/>
      <c r="D122" s="213"/>
      <c r="E122" s="213"/>
      <c r="F122" s="213"/>
      <c r="G122" s="213"/>
      <c r="H122" s="213"/>
      <c r="I122" s="213"/>
      <c r="J122" s="213"/>
      <c r="K122" s="213"/>
      <c r="L122" s="213"/>
      <c r="M122" s="213"/>
      <c r="N122" s="213"/>
      <c r="O122" s="213"/>
      <c r="P122" s="213"/>
      <c r="Q122" s="213"/>
      <c r="R122" s="213"/>
      <c r="S122" s="213"/>
      <c r="T122" s="213"/>
      <c r="U122" s="213"/>
      <c r="V122" s="214"/>
      <c r="W122" s="213"/>
      <c r="X122" s="213"/>
      <c r="Y122" s="214"/>
      <c r="Z122" s="213"/>
      <c r="AA122" s="213"/>
      <c r="AB122" s="213"/>
      <c r="AC122" s="213"/>
      <c r="AD122" s="213"/>
      <c r="AE122" s="213"/>
      <c r="AF122" s="213"/>
      <c r="AG122" s="213"/>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2"/>
      <c r="BH122" s="212"/>
      <c r="BI122" s="212"/>
      <c r="BJ122" s="212"/>
    </row>
    <row r="123" spans="2:62" ht="14.4">
      <c r="B123" s="172"/>
      <c r="C123" s="1197"/>
      <c r="D123" s="213"/>
      <c r="E123" s="213"/>
      <c r="F123" s="213"/>
      <c r="G123" s="213"/>
      <c r="H123" s="213"/>
      <c r="I123" s="213"/>
      <c r="J123" s="213"/>
      <c r="K123" s="213"/>
      <c r="L123" s="213"/>
      <c r="M123" s="213"/>
      <c r="N123" s="213"/>
      <c r="O123" s="213"/>
      <c r="P123" s="213"/>
      <c r="Q123" s="213"/>
      <c r="R123" s="213"/>
      <c r="S123" s="213"/>
      <c r="T123" s="213"/>
      <c r="U123" s="213"/>
      <c r="V123" s="214"/>
      <c r="W123" s="213"/>
      <c r="X123" s="213"/>
      <c r="Y123" s="214"/>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2"/>
      <c r="BH123" s="212"/>
      <c r="BI123" s="212"/>
      <c r="BJ123" s="212"/>
    </row>
    <row r="124" spans="2:62" ht="14.4">
      <c r="B124" s="172"/>
      <c r="C124" s="1197"/>
      <c r="D124" s="213"/>
      <c r="E124" s="213"/>
      <c r="F124" s="213"/>
      <c r="G124" s="213"/>
      <c r="H124" s="213"/>
      <c r="I124" s="213"/>
      <c r="J124" s="213"/>
      <c r="K124" s="213"/>
      <c r="L124" s="213"/>
      <c r="M124" s="213"/>
      <c r="N124" s="213"/>
      <c r="O124" s="213"/>
      <c r="P124" s="213"/>
      <c r="Q124" s="213"/>
      <c r="R124" s="213"/>
      <c r="S124" s="213"/>
      <c r="T124" s="213"/>
      <c r="U124" s="213"/>
      <c r="V124" s="214"/>
      <c r="W124" s="213"/>
      <c r="X124" s="213"/>
      <c r="Y124" s="214"/>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2"/>
      <c r="BH124" s="212"/>
      <c r="BI124" s="212"/>
      <c r="BJ124" s="212"/>
    </row>
    <row r="125" spans="2:62" ht="14.4">
      <c r="B125" s="172"/>
      <c r="C125" s="1197"/>
      <c r="D125" s="213"/>
      <c r="E125" s="213"/>
      <c r="F125" s="213"/>
      <c r="G125" s="213"/>
      <c r="H125" s="213"/>
      <c r="I125" s="213"/>
      <c r="J125" s="213"/>
      <c r="K125" s="213"/>
      <c r="L125" s="213"/>
      <c r="M125" s="213"/>
      <c r="N125" s="213"/>
      <c r="O125" s="213"/>
      <c r="P125" s="213"/>
      <c r="Q125" s="213"/>
      <c r="R125" s="213"/>
      <c r="S125" s="213"/>
      <c r="T125" s="213"/>
      <c r="U125" s="213"/>
      <c r="V125" s="214"/>
      <c r="W125" s="213"/>
      <c r="X125" s="213"/>
      <c r="Y125" s="214"/>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2"/>
      <c r="BH125" s="212"/>
      <c r="BI125" s="212"/>
      <c r="BJ125" s="212"/>
    </row>
    <row r="126" spans="2:62" ht="14.4">
      <c r="B126" s="172"/>
      <c r="C126" s="1197"/>
      <c r="D126" s="213"/>
      <c r="E126" s="213"/>
      <c r="F126" s="213"/>
      <c r="G126" s="213"/>
      <c r="H126" s="213"/>
      <c r="I126" s="213"/>
      <c r="J126" s="213"/>
      <c r="K126" s="213"/>
      <c r="L126" s="213"/>
      <c r="M126" s="213"/>
      <c r="N126" s="213"/>
      <c r="O126" s="213"/>
      <c r="P126" s="213"/>
      <c r="Q126" s="213"/>
      <c r="R126" s="213"/>
      <c r="S126" s="213"/>
      <c r="T126" s="213"/>
      <c r="U126" s="213"/>
      <c r="V126" s="214"/>
      <c r="W126" s="213"/>
      <c r="X126" s="213"/>
      <c r="Y126" s="214"/>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2"/>
      <c r="BH126" s="212"/>
      <c r="BI126" s="212"/>
      <c r="BJ126" s="212"/>
    </row>
    <row r="127" spans="2:62" ht="14.4">
      <c r="B127" s="172"/>
      <c r="C127" s="1197"/>
      <c r="D127" s="213"/>
      <c r="E127" s="213"/>
      <c r="F127" s="213"/>
      <c r="G127" s="213"/>
      <c r="H127" s="213"/>
      <c r="I127" s="213"/>
      <c r="J127" s="213"/>
      <c r="K127" s="213"/>
      <c r="L127" s="213"/>
      <c r="M127" s="213"/>
      <c r="N127" s="213"/>
      <c r="O127" s="213"/>
      <c r="P127" s="213"/>
      <c r="Q127" s="213"/>
      <c r="R127" s="213"/>
      <c r="S127" s="213"/>
      <c r="T127" s="213"/>
      <c r="U127" s="213"/>
      <c r="V127" s="214"/>
      <c r="W127" s="213"/>
      <c r="X127" s="213"/>
      <c r="Y127" s="214"/>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2"/>
      <c r="BH127" s="212"/>
      <c r="BI127" s="212"/>
      <c r="BJ127" s="212"/>
    </row>
    <row r="128" spans="2:62" ht="14.4">
      <c r="B128" s="172"/>
      <c r="C128" s="1197"/>
      <c r="D128" s="213"/>
      <c r="E128" s="213"/>
      <c r="F128" s="213"/>
      <c r="G128" s="213"/>
      <c r="H128" s="213"/>
      <c r="I128" s="213"/>
      <c r="J128" s="213"/>
      <c r="K128" s="213"/>
      <c r="L128" s="213"/>
      <c r="M128" s="213"/>
      <c r="N128" s="213"/>
      <c r="O128" s="213"/>
      <c r="P128" s="213"/>
      <c r="Q128" s="213"/>
      <c r="R128" s="213"/>
      <c r="S128" s="213"/>
      <c r="T128" s="213"/>
      <c r="U128" s="213"/>
      <c r="V128" s="214"/>
      <c r="W128" s="213"/>
      <c r="X128" s="213"/>
      <c r="Y128" s="214"/>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2"/>
      <c r="BH128" s="212"/>
      <c r="BI128" s="212"/>
      <c r="BJ128" s="212"/>
    </row>
    <row r="129" spans="2:62" ht="14.4">
      <c r="B129" s="172"/>
      <c r="C129" s="1197"/>
      <c r="D129" s="213"/>
      <c r="E129" s="213"/>
      <c r="F129" s="213"/>
      <c r="G129" s="213"/>
      <c r="H129" s="213"/>
      <c r="I129" s="213"/>
      <c r="J129" s="213"/>
      <c r="K129" s="213"/>
      <c r="L129" s="213"/>
      <c r="M129" s="213"/>
      <c r="N129" s="213"/>
      <c r="O129" s="213"/>
      <c r="P129" s="213"/>
      <c r="Q129" s="213"/>
      <c r="R129" s="213"/>
      <c r="S129" s="213"/>
      <c r="T129" s="213"/>
      <c r="U129" s="213"/>
      <c r="V129" s="214"/>
      <c r="W129" s="213"/>
      <c r="X129" s="213"/>
      <c r="Y129" s="214"/>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2"/>
      <c r="BH129" s="212"/>
      <c r="BI129" s="212"/>
      <c r="BJ129" s="212"/>
    </row>
    <row r="130" spans="2:62" ht="14.4">
      <c r="B130" s="172"/>
      <c r="C130" s="1197"/>
      <c r="D130" s="213"/>
      <c r="E130" s="213"/>
      <c r="F130" s="213"/>
      <c r="G130" s="213"/>
      <c r="H130" s="213"/>
      <c r="I130" s="213"/>
      <c r="J130" s="213"/>
      <c r="K130" s="213"/>
      <c r="L130" s="213"/>
      <c r="M130" s="213"/>
      <c r="N130" s="213"/>
      <c r="O130" s="213"/>
      <c r="P130" s="213"/>
      <c r="Q130" s="213"/>
      <c r="R130" s="213"/>
      <c r="S130" s="213"/>
      <c r="T130" s="213"/>
      <c r="U130" s="213"/>
      <c r="V130" s="214"/>
      <c r="W130" s="213"/>
      <c r="X130" s="213"/>
      <c r="Y130" s="214"/>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2"/>
      <c r="BH130" s="212"/>
      <c r="BI130" s="212"/>
      <c r="BJ130" s="212"/>
    </row>
    <row r="131" spans="2:62" ht="14.4">
      <c r="B131" s="172"/>
      <c r="C131" s="1197"/>
      <c r="D131" s="213"/>
      <c r="E131" s="213"/>
      <c r="F131" s="213"/>
      <c r="G131" s="213"/>
      <c r="H131" s="213"/>
      <c r="I131" s="213"/>
      <c r="J131" s="213"/>
      <c r="K131" s="213"/>
      <c r="L131" s="213"/>
      <c r="M131" s="213"/>
      <c r="N131" s="213"/>
      <c r="O131" s="213"/>
      <c r="P131" s="213"/>
      <c r="Q131" s="213"/>
      <c r="R131" s="213"/>
      <c r="S131" s="213"/>
      <c r="T131" s="213"/>
      <c r="U131" s="213"/>
      <c r="V131" s="214"/>
      <c r="W131" s="213"/>
      <c r="X131" s="213"/>
      <c r="Y131" s="214"/>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2"/>
      <c r="BH131" s="212"/>
      <c r="BI131" s="212"/>
      <c r="BJ131" s="212"/>
    </row>
    <row r="132" spans="2:62" ht="14.4">
      <c r="B132" s="172"/>
      <c r="C132" s="1197"/>
      <c r="D132" s="213"/>
      <c r="E132" s="213"/>
      <c r="F132" s="213"/>
      <c r="G132" s="213"/>
      <c r="H132" s="213"/>
      <c r="I132" s="213"/>
      <c r="J132" s="213"/>
      <c r="K132" s="213"/>
      <c r="L132" s="213"/>
      <c r="M132" s="213"/>
      <c r="N132" s="213"/>
      <c r="O132" s="213"/>
      <c r="P132" s="213"/>
      <c r="Q132" s="213"/>
      <c r="R132" s="213"/>
      <c r="S132" s="213"/>
      <c r="T132" s="213"/>
      <c r="U132" s="213"/>
      <c r="V132" s="214"/>
      <c r="W132" s="213"/>
      <c r="X132" s="213"/>
      <c r="Y132" s="214"/>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2"/>
      <c r="BH132" s="212"/>
      <c r="BI132" s="212"/>
      <c r="BJ132" s="212"/>
    </row>
    <row r="133" spans="2:62" ht="14.4">
      <c r="B133" s="172"/>
      <c r="C133" s="1197"/>
      <c r="D133" s="213"/>
      <c r="E133" s="213"/>
      <c r="F133" s="213"/>
      <c r="G133" s="213"/>
      <c r="H133" s="213"/>
      <c r="I133" s="213"/>
      <c r="J133" s="213"/>
      <c r="K133" s="213"/>
      <c r="L133" s="213"/>
      <c r="M133" s="213"/>
      <c r="N133" s="213"/>
      <c r="O133" s="213"/>
      <c r="P133" s="213"/>
      <c r="Q133" s="213"/>
      <c r="R133" s="213"/>
      <c r="S133" s="213"/>
      <c r="T133" s="213"/>
      <c r="U133" s="213"/>
      <c r="V133" s="214"/>
      <c r="W133" s="213"/>
      <c r="X133" s="213"/>
      <c r="Y133" s="214"/>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2"/>
      <c r="BH133" s="212"/>
      <c r="BI133" s="212"/>
      <c r="BJ133" s="212"/>
    </row>
    <row r="134" spans="2:62" ht="14.4">
      <c r="B134" s="172"/>
      <c r="C134" s="1197"/>
      <c r="D134" s="213"/>
      <c r="E134" s="213"/>
      <c r="F134" s="213"/>
      <c r="G134" s="213"/>
      <c r="H134" s="213"/>
      <c r="I134" s="213"/>
      <c r="J134" s="213"/>
      <c r="K134" s="213"/>
      <c r="L134" s="213"/>
      <c r="M134" s="213"/>
      <c r="N134" s="213"/>
      <c r="O134" s="213"/>
      <c r="P134" s="213"/>
      <c r="Q134" s="213"/>
      <c r="R134" s="213"/>
      <c r="S134" s="213"/>
      <c r="T134" s="213"/>
      <c r="U134" s="213"/>
      <c r="V134" s="214"/>
      <c r="W134" s="213"/>
      <c r="X134" s="213"/>
      <c r="Y134" s="214"/>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2"/>
      <c r="BH134" s="212"/>
      <c r="BI134" s="212"/>
      <c r="BJ134" s="212"/>
    </row>
    <row r="135" spans="2:62" ht="14.4">
      <c r="B135" s="172"/>
      <c r="C135" s="1197"/>
      <c r="D135" s="213"/>
      <c r="E135" s="213"/>
      <c r="F135" s="213"/>
      <c r="G135" s="213"/>
      <c r="H135" s="213"/>
      <c r="I135" s="213"/>
      <c r="J135" s="213"/>
      <c r="K135" s="213"/>
      <c r="L135" s="213"/>
      <c r="M135" s="213"/>
      <c r="N135" s="213"/>
      <c r="O135" s="213"/>
      <c r="P135" s="213"/>
      <c r="Q135" s="213"/>
      <c r="R135" s="213"/>
      <c r="S135" s="213"/>
      <c r="T135" s="213"/>
      <c r="U135" s="213"/>
      <c r="V135" s="214"/>
      <c r="W135" s="213"/>
      <c r="X135" s="213"/>
      <c r="Y135" s="214"/>
      <c r="Z135" s="213"/>
      <c r="AA135" s="213"/>
      <c r="AB135" s="213"/>
      <c r="AC135" s="213"/>
      <c r="AD135" s="213"/>
      <c r="AE135" s="213"/>
      <c r="AF135" s="213"/>
      <c r="AG135" s="213"/>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2"/>
      <c r="BH135" s="212"/>
      <c r="BI135" s="212"/>
      <c r="BJ135" s="212"/>
    </row>
    <row r="136" spans="2:62" ht="14.4">
      <c r="B136" s="172"/>
      <c r="C136" s="1197"/>
      <c r="D136" s="213"/>
      <c r="E136" s="213"/>
      <c r="F136" s="213"/>
      <c r="G136" s="213"/>
      <c r="H136" s="213"/>
      <c r="I136" s="213"/>
      <c r="J136" s="213"/>
      <c r="K136" s="213"/>
      <c r="L136" s="213"/>
      <c r="M136" s="213"/>
      <c r="N136" s="213"/>
      <c r="O136" s="213"/>
      <c r="P136" s="213"/>
      <c r="Q136" s="213"/>
      <c r="R136" s="213"/>
      <c r="S136" s="213"/>
      <c r="T136" s="213"/>
      <c r="U136" s="213"/>
      <c r="V136" s="214"/>
      <c r="W136" s="213"/>
      <c r="X136" s="213"/>
      <c r="Y136" s="214"/>
      <c r="Z136" s="213"/>
      <c r="AA136" s="213"/>
      <c r="AB136" s="213"/>
      <c r="AC136" s="213"/>
      <c r="AD136" s="213"/>
      <c r="AE136" s="213"/>
      <c r="AF136" s="213"/>
      <c r="AG136" s="213"/>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2"/>
      <c r="BH136" s="212"/>
      <c r="BI136" s="212"/>
      <c r="BJ136" s="212"/>
    </row>
    <row r="137" spans="2:62" ht="14.4">
      <c r="B137" s="172"/>
      <c r="C137" s="1197"/>
      <c r="D137" s="213"/>
      <c r="E137" s="213"/>
      <c r="F137" s="213"/>
      <c r="G137" s="213"/>
      <c r="H137" s="213"/>
      <c r="I137" s="213"/>
      <c r="J137" s="213"/>
      <c r="K137" s="213"/>
      <c r="L137" s="213"/>
      <c r="M137" s="213"/>
      <c r="N137" s="213"/>
      <c r="O137" s="213"/>
      <c r="P137" s="213"/>
      <c r="Q137" s="213"/>
      <c r="R137" s="213"/>
      <c r="S137" s="213"/>
      <c r="T137" s="213"/>
      <c r="U137" s="213"/>
      <c r="V137" s="214"/>
      <c r="W137" s="213"/>
      <c r="X137" s="213"/>
      <c r="Y137" s="214"/>
      <c r="Z137" s="213"/>
      <c r="AA137" s="213"/>
      <c r="AB137" s="213"/>
      <c r="AC137" s="213"/>
      <c r="AD137" s="213"/>
      <c r="AE137" s="213"/>
      <c r="AF137" s="213"/>
      <c r="AG137" s="213"/>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2"/>
      <c r="BH137" s="212"/>
      <c r="BI137" s="212"/>
      <c r="BJ137" s="212"/>
    </row>
    <row r="138" spans="2:62" ht="14.4">
      <c r="B138" s="172"/>
      <c r="C138" s="1197"/>
      <c r="D138" s="213"/>
      <c r="E138" s="213"/>
      <c r="F138" s="213"/>
      <c r="G138" s="213"/>
      <c r="H138" s="213"/>
      <c r="I138" s="213"/>
      <c r="J138" s="213"/>
      <c r="K138" s="213"/>
      <c r="L138" s="213"/>
      <c r="M138" s="213"/>
      <c r="N138" s="213"/>
      <c r="O138" s="213"/>
      <c r="P138" s="213"/>
      <c r="Q138" s="213"/>
      <c r="R138" s="213"/>
      <c r="S138" s="213"/>
      <c r="T138" s="213"/>
      <c r="U138" s="213"/>
      <c r="V138" s="214"/>
      <c r="W138" s="213"/>
      <c r="X138" s="213"/>
      <c r="Y138" s="214"/>
      <c r="Z138" s="213"/>
      <c r="AA138" s="213"/>
      <c r="AB138" s="213"/>
      <c r="AC138" s="213"/>
      <c r="AD138" s="213"/>
      <c r="AE138" s="213"/>
      <c r="AF138" s="213"/>
      <c r="AG138" s="213"/>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2"/>
      <c r="BH138" s="212"/>
      <c r="BI138" s="212"/>
      <c r="BJ138" s="212"/>
    </row>
    <row r="139" spans="2:62" ht="14.4">
      <c r="B139" s="172"/>
      <c r="C139" s="1197"/>
      <c r="D139" s="213"/>
      <c r="E139" s="213"/>
      <c r="F139" s="213"/>
      <c r="G139" s="213"/>
      <c r="H139" s="213"/>
      <c r="I139" s="213"/>
      <c r="J139" s="213"/>
      <c r="K139" s="213"/>
      <c r="L139" s="213"/>
      <c r="M139" s="213"/>
      <c r="N139" s="213"/>
      <c r="O139" s="213"/>
      <c r="P139" s="213"/>
      <c r="Q139" s="213"/>
      <c r="R139" s="213"/>
      <c r="S139" s="213"/>
      <c r="T139" s="213"/>
      <c r="U139" s="213"/>
      <c r="V139" s="214"/>
      <c r="W139" s="213"/>
      <c r="X139" s="213"/>
      <c r="Y139" s="214"/>
      <c r="Z139" s="213"/>
      <c r="AA139" s="213"/>
      <c r="AB139" s="213"/>
      <c r="AC139" s="213"/>
      <c r="AD139" s="213"/>
      <c r="AE139" s="213"/>
      <c r="AF139" s="213"/>
      <c r="AG139" s="213"/>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2"/>
      <c r="BH139" s="212"/>
      <c r="BI139" s="212"/>
      <c r="BJ139" s="212"/>
    </row>
    <row r="140" spans="2:62" ht="14.4">
      <c r="B140" s="172"/>
      <c r="C140" s="1197"/>
      <c r="D140" s="213"/>
      <c r="E140" s="213"/>
      <c r="F140" s="213"/>
      <c r="G140" s="213"/>
      <c r="H140" s="213"/>
      <c r="I140" s="213"/>
      <c r="J140" s="213"/>
      <c r="K140" s="213"/>
      <c r="L140" s="213"/>
      <c r="M140" s="213"/>
      <c r="N140" s="213"/>
      <c r="O140" s="213"/>
      <c r="P140" s="213"/>
      <c r="Q140" s="213"/>
      <c r="R140" s="213"/>
      <c r="S140" s="213"/>
      <c r="T140" s="213"/>
      <c r="U140" s="213"/>
      <c r="V140" s="214"/>
      <c r="W140" s="213"/>
      <c r="X140" s="213"/>
      <c r="Y140" s="214"/>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2"/>
      <c r="BH140" s="212"/>
      <c r="BI140" s="212"/>
      <c r="BJ140" s="212"/>
    </row>
    <row r="141" spans="2:62" ht="14.4">
      <c r="B141" s="172"/>
      <c r="C141" s="1197"/>
      <c r="D141" s="213"/>
      <c r="E141" s="213"/>
      <c r="F141" s="213"/>
      <c r="G141" s="213"/>
      <c r="H141" s="213"/>
      <c r="I141" s="213"/>
      <c r="J141" s="213"/>
      <c r="K141" s="213"/>
      <c r="L141" s="213"/>
      <c r="M141" s="213"/>
      <c r="N141" s="213"/>
      <c r="O141" s="213"/>
      <c r="P141" s="213"/>
      <c r="Q141" s="213"/>
      <c r="R141" s="213"/>
      <c r="S141" s="213"/>
      <c r="T141" s="213"/>
      <c r="U141" s="213"/>
      <c r="V141" s="214"/>
      <c r="W141" s="213"/>
      <c r="X141" s="213"/>
      <c r="Y141" s="214"/>
      <c r="Z141" s="213"/>
      <c r="AA141" s="213"/>
      <c r="AB141" s="213"/>
      <c r="AC141" s="213"/>
      <c r="AD141" s="213"/>
      <c r="AE141" s="213"/>
      <c r="AF141" s="213"/>
      <c r="AG141" s="213"/>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2"/>
      <c r="BH141" s="212"/>
      <c r="BI141" s="212"/>
      <c r="BJ141" s="212"/>
    </row>
    <row r="142" spans="2:62" ht="14.4">
      <c r="B142" s="172"/>
      <c r="C142" s="1197"/>
      <c r="D142" s="213"/>
      <c r="E142" s="213"/>
      <c r="F142" s="213"/>
      <c r="G142" s="213"/>
      <c r="H142" s="213"/>
      <c r="I142" s="213"/>
      <c r="J142" s="213"/>
      <c r="K142" s="213"/>
      <c r="L142" s="213"/>
      <c r="M142" s="213"/>
      <c r="N142" s="213"/>
      <c r="O142" s="213"/>
      <c r="P142" s="213"/>
      <c r="Q142" s="213"/>
      <c r="R142" s="213"/>
      <c r="S142" s="213"/>
      <c r="T142" s="213"/>
      <c r="U142" s="213"/>
      <c r="V142" s="214"/>
      <c r="W142" s="213"/>
      <c r="X142" s="213"/>
      <c r="Y142" s="214"/>
      <c r="Z142" s="213"/>
      <c r="AA142" s="213"/>
      <c r="AB142" s="213"/>
      <c r="AC142" s="213"/>
      <c r="AD142" s="213"/>
      <c r="AE142" s="213"/>
      <c r="AF142" s="213"/>
      <c r="AG142" s="213"/>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2"/>
      <c r="BH142" s="212"/>
      <c r="BI142" s="212"/>
      <c r="BJ142" s="212"/>
    </row>
    <row r="143" spans="2:62" ht="14.4">
      <c r="B143" s="172"/>
      <c r="C143" s="1197"/>
      <c r="D143" s="213"/>
      <c r="E143" s="213"/>
      <c r="F143" s="213"/>
      <c r="G143" s="213"/>
      <c r="H143" s="213"/>
      <c r="I143" s="213"/>
      <c r="J143" s="213"/>
      <c r="K143" s="213"/>
      <c r="L143" s="213"/>
      <c r="M143" s="213"/>
      <c r="N143" s="213"/>
      <c r="O143" s="213"/>
      <c r="P143" s="213"/>
      <c r="Q143" s="213"/>
      <c r="R143" s="213"/>
      <c r="S143" s="213"/>
      <c r="T143" s="213"/>
      <c r="U143" s="213"/>
      <c r="V143" s="214"/>
      <c r="W143" s="213"/>
      <c r="X143" s="213"/>
      <c r="Y143" s="214"/>
      <c r="Z143" s="213"/>
      <c r="AA143" s="213"/>
      <c r="AB143" s="213"/>
      <c r="AC143" s="213"/>
      <c r="AD143" s="213"/>
      <c r="AE143" s="213"/>
      <c r="AF143" s="213"/>
      <c r="AG143" s="213"/>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2"/>
      <c r="BH143" s="212"/>
      <c r="BI143" s="212"/>
      <c r="BJ143" s="212"/>
    </row>
    <row r="144" spans="2:62" ht="14.4">
      <c r="B144" s="172"/>
      <c r="C144" s="1197"/>
      <c r="D144" s="213"/>
      <c r="E144" s="213"/>
      <c r="F144" s="213"/>
      <c r="G144" s="213"/>
      <c r="H144" s="213"/>
      <c r="I144" s="213"/>
      <c r="J144" s="213"/>
      <c r="K144" s="213"/>
      <c r="L144" s="213"/>
      <c r="M144" s="213"/>
      <c r="N144" s="213"/>
      <c r="O144" s="213"/>
      <c r="P144" s="213"/>
      <c r="Q144" s="213"/>
      <c r="R144" s="213"/>
      <c r="S144" s="213"/>
      <c r="T144" s="213"/>
      <c r="U144" s="213"/>
      <c r="V144" s="214"/>
      <c r="W144" s="213"/>
      <c r="X144" s="213"/>
      <c r="Y144" s="214"/>
      <c r="Z144" s="213"/>
      <c r="AA144" s="213"/>
      <c r="AB144" s="213"/>
      <c r="AC144" s="213"/>
      <c r="AD144" s="213"/>
      <c r="AE144" s="213"/>
      <c r="AF144" s="213"/>
      <c r="AG144" s="213"/>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2"/>
      <c r="BH144" s="212"/>
      <c r="BI144" s="212"/>
      <c r="BJ144" s="212"/>
    </row>
    <row r="145" spans="2:62" ht="14.4">
      <c r="B145" s="172"/>
      <c r="C145" s="1197"/>
      <c r="D145" s="213"/>
      <c r="E145" s="213"/>
      <c r="F145" s="213"/>
      <c r="G145" s="213"/>
      <c r="H145" s="213"/>
      <c r="I145" s="213"/>
      <c r="J145" s="213"/>
      <c r="K145" s="213"/>
      <c r="L145" s="213"/>
      <c r="M145" s="213"/>
      <c r="N145" s="213"/>
      <c r="O145" s="213"/>
      <c r="P145" s="213"/>
      <c r="Q145" s="213"/>
      <c r="R145" s="213"/>
      <c r="S145" s="213"/>
      <c r="T145" s="213"/>
      <c r="U145" s="213"/>
      <c r="V145" s="214"/>
      <c r="W145" s="213"/>
      <c r="X145" s="213"/>
      <c r="Y145" s="214"/>
      <c r="Z145" s="213"/>
      <c r="AA145" s="213"/>
      <c r="AB145" s="213"/>
      <c r="AC145" s="213"/>
      <c r="AD145" s="213"/>
      <c r="AE145" s="213"/>
      <c r="AF145" s="213"/>
      <c r="AG145" s="213"/>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2"/>
      <c r="BH145" s="212"/>
      <c r="BI145" s="212"/>
      <c r="BJ145" s="212"/>
    </row>
    <row r="146" spans="2:62" ht="14.4">
      <c r="B146" s="172"/>
      <c r="C146" s="1197"/>
      <c r="D146" s="213"/>
      <c r="E146" s="213"/>
      <c r="F146" s="213"/>
      <c r="G146" s="213"/>
      <c r="H146" s="213"/>
      <c r="I146" s="213"/>
      <c r="J146" s="213"/>
      <c r="K146" s="213"/>
      <c r="L146" s="213"/>
      <c r="M146" s="213"/>
      <c r="N146" s="213"/>
      <c r="O146" s="213"/>
      <c r="P146" s="213"/>
      <c r="Q146" s="213"/>
      <c r="R146" s="213"/>
      <c r="S146" s="213"/>
      <c r="T146" s="213"/>
      <c r="U146" s="213"/>
      <c r="V146" s="214"/>
      <c r="W146" s="213"/>
      <c r="X146" s="213"/>
      <c r="Y146" s="214"/>
      <c r="Z146" s="213"/>
      <c r="AA146" s="213"/>
      <c r="AB146" s="213"/>
      <c r="AC146" s="213"/>
      <c r="AD146" s="213"/>
      <c r="AE146" s="213"/>
      <c r="AF146" s="213"/>
      <c r="AG146" s="213"/>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2"/>
      <c r="BH146" s="212"/>
      <c r="BI146" s="212"/>
      <c r="BJ146" s="212"/>
    </row>
    <row r="147" spans="2:62" ht="14.4">
      <c r="B147" s="172"/>
      <c r="C147" s="1197"/>
      <c r="D147" s="213"/>
      <c r="E147" s="213"/>
      <c r="F147" s="213"/>
      <c r="G147" s="213"/>
      <c r="H147" s="213"/>
      <c r="I147" s="213"/>
      <c r="J147" s="213"/>
      <c r="K147" s="213"/>
      <c r="L147" s="213"/>
      <c r="M147" s="213"/>
      <c r="N147" s="213"/>
      <c r="O147" s="213"/>
      <c r="P147" s="213"/>
      <c r="Q147" s="213"/>
      <c r="R147" s="213"/>
      <c r="S147" s="213"/>
      <c r="T147" s="213"/>
      <c r="U147" s="213"/>
      <c r="V147" s="214"/>
      <c r="W147" s="213"/>
      <c r="X147" s="213"/>
      <c r="Y147" s="214"/>
      <c r="Z147" s="213"/>
      <c r="AA147" s="213"/>
      <c r="AB147" s="213"/>
      <c r="AC147" s="213"/>
      <c r="AD147" s="213"/>
      <c r="AE147" s="213"/>
      <c r="AF147" s="213"/>
      <c r="AG147" s="213"/>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2"/>
      <c r="BH147" s="212"/>
      <c r="BI147" s="212"/>
      <c r="BJ147" s="212"/>
    </row>
    <row r="148" spans="2:62" ht="14.4">
      <c r="B148" s="172"/>
      <c r="C148" s="1197"/>
      <c r="D148" s="213"/>
      <c r="E148" s="213"/>
      <c r="F148" s="213"/>
      <c r="G148" s="213"/>
      <c r="H148" s="213"/>
      <c r="I148" s="213"/>
      <c r="J148" s="213"/>
      <c r="K148" s="213"/>
      <c r="L148" s="213"/>
      <c r="M148" s="213"/>
      <c r="N148" s="213"/>
      <c r="O148" s="213"/>
      <c r="P148" s="213"/>
      <c r="Q148" s="213"/>
      <c r="R148" s="213"/>
      <c r="S148" s="213"/>
      <c r="T148" s="213"/>
      <c r="U148" s="213"/>
      <c r="V148" s="214"/>
      <c r="W148" s="213"/>
      <c r="X148" s="213"/>
      <c r="Y148" s="214"/>
      <c r="Z148" s="213"/>
      <c r="AA148" s="213"/>
      <c r="AB148" s="213"/>
      <c r="AC148" s="213"/>
      <c r="AD148" s="213"/>
      <c r="AE148" s="213"/>
      <c r="AF148" s="213"/>
      <c r="AG148" s="213"/>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2"/>
      <c r="BH148" s="212"/>
      <c r="BI148" s="212"/>
      <c r="BJ148" s="212"/>
    </row>
    <row r="149" spans="2:62" ht="14.4">
      <c r="B149" s="172"/>
      <c r="C149" s="1197"/>
      <c r="D149" s="213"/>
      <c r="E149" s="213"/>
      <c r="F149" s="213"/>
      <c r="G149" s="213"/>
      <c r="H149" s="213"/>
      <c r="I149" s="213"/>
      <c r="J149" s="213"/>
      <c r="K149" s="213"/>
      <c r="L149" s="213"/>
      <c r="M149" s="213"/>
      <c r="N149" s="213"/>
      <c r="O149" s="213"/>
      <c r="P149" s="213"/>
      <c r="Q149" s="213"/>
      <c r="R149" s="213"/>
      <c r="S149" s="213"/>
      <c r="T149" s="213"/>
      <c r="U149" s="213"/>
      <c r="V149" s="214"/>
      <c r="W149" s="213"/>
      <c r="X149" s="213"/>
      <c r="Y149" s="214"/>
      <c r="Z149" s="213"/>
      <c r="AA149" s="213"/>
      <c r="AB149" s="213"/>
      <c r="AC149" s="213"/>
      <c r="AD149" s="213"/>
      <c r="AE149" s="213"/>
      <c r="AF149" s="213"/>
      <c r="AG149" s="213"/>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2"/>
      <c r="BH149" s="212"/>
      <c r="BI149" s="212"/>
      <c r="BJ149" s="212"/>
    </row>
    <row r="150" spans="2:62" ht="14.4">
      <c r="B150" s="172"/>
      <c r="C150" s="1197"/>
      <c r="D150" s="213"/>
      <c r="E150" s="213"/>
      <c r="F150" s="213"/>
      <c r="G150" s="213"/>
      <c r="H150" s="213"/>
      <c r="I150" s="213"/>
      <c r="J150" s="213"/>
      <c r="K150" s="213"/>
      <c r="L150" s="213"/>
      <c r="M150" s="213"/>
      <c r="N150" s="213"/>
      <c r="O150" s="213"/>
      <c r="P150" s="213"/>
      <c r="Q150" s="213"/>
      <c r="R150" s="213"/>
      <c r="S150" s="213"/>
      <c r="T150" s="213"/>
      <c r="U150" s="213"/>
      <c r="V150" s="214"/>
      <c r="W150" s="213"/>
      <c r="X150" s="213"/>
      <c r="Y150" s="214"/>
      <c r="Z150" s="213"/>
      <c r="AA150" s="213"/>
      <c r="AB150" s="213"/>
      <c r="AC150" s="213"/>
      <c r="AD150" s="213"/>
      <c r="AE150" s="213"/>
      <c r="AF150" s="213"/>
      <c r="AG150" s="213"/>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2"/>
      <c r="BH150" s="212"/>
      <c r="BI150" s="212"/>
      <c r="BJ150" s="212"/>
    </row>
    <row r="151" spans="2:62" ht="14.4">
      <c r="B151" s="172"/>
      <c r="C151" s="1197"/>
      <c r="D151" s="213"/>
      <c r="E151" s="213"/>
      <c r="F151" s="213"/>
      <c r="G151" s="213"/>
      <c r="H151" s="213"/>
      <c r="I151" s="213"/>
      <c r="J151" s="213"/>
      <c r="K151" s="213"/>
      <c r="L151" s="213"/>
      <c r="M151" s="213"/>
      <c r="N151" s="213"/>
      <c r="O151" s="213"/>
      <c r="P151" s="213"/>
      <c r="Q151" s="213"/>
      <c r="R151" s="213"/>
      <c r="S151" s="213"/>
      <c r="T151" s="213"/>
      <c r="U151" s="213"/>
      <c r="V151" s="214"/>
      <c r="W151" s="213"/>
      <c r="X151" s="213"/>
      <c r="Y151" s="214"/>
      <c r="Z151" s="213"/>
      <c r="AA151" s="213"/>
      <c r="AB151" s="213"/>
      <c r="AC151" s="213"/>
      <c r="AD151" s="213"/>
      <c r="AE151" s="213"/>
      <c r="AF151" s="213"/>
      <c r="AG151" s="213"/>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2"/>
      <c r="BH151" s="212"/>
      <c r="BI151" s="212"/>
      <c r="BJ151" s="212"/>
    </row>
    <row r="152" spans="2:62" ht="14.4">
      <c r="B152" s="172"/>
      <c r="C152" s="1197"/>
      <c r="D152" s="213"/>
      <c r="E152" s="213"/>
      <c r="F152" s="213"/>
      <c r="G152" s="213"/>
      <c r="H152" s="213"/>
      <c r="I152" s="213"/>
      <c r="J152" s="213"/>
      <c r="K152" s="213"/>
      <c r="L152" s="213"/>
      <c r="M152" s="213"/>
      <c r="N152" s="213"/>
      <c r="O152" s="213"/>
      <c r="P152" s="213"/>
      <c r="Q152" s="213"/>
      <c r="R152" s="213"/>
      <c r="S152" s="213"/>
      <c r="T152" s="213"/>
      <c r="U152" s="213"/>
      <c r="V152" s="214"/>
      <c r="W152" s="213"/>
      <c r="X152" s="213"/>
      <c r="Y152" s="214"/>
      <c r="Z152" s="213"/>
      <c r="AA152" s="213"/>
      <c r="AB152" s="213"/>
      <c r="AC152" s="213"/>
      <c r="AD152" s="213"/>
      <c r="AE152" s="213"/>
      <c r="AF152" s="213"/>
      <c r="AG152" s="213"/>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2"/>
      <c r="BH152" s="212"/>
      <c r="BI152" s="212"/>
      <c r="BJ152" s="212"/>
    </row>
    <row r="153" spans="2:62" ht="14.4">
      <c r="B153" s="172"/>
      <c r="C153" s="1197"/>
      <c r="D153" s="213"/>
      <c r="E153" s="213"/>
      <c r="F153" s="213"/>
      <c r="G153" s="213"/>
      <c r="H153" s="213"/>
      <c r="I153" s="213"/>
      <c r="J153" s="213"/>
      <c r="K153" s="213"/>
      <c r="L153" s="213"/>
      <c r="M153" s="213"/>
      <c r="N153" s="213"/>
      <c r="O153" s="213"/>
      <c r="P153" s="213"/>
      <c r="Q153" s="213"/>
      <c r="R153" s="213"/>
      <c r="S153" s="213"/>
      <c r="T153" s="213"/>
      <c r="U153" s="213"/>
      <c r="V153" s="214"/>
      <c r="W153" s="213"/>
      <c r="X153" s="213"/>
      <c r="Y153" s="214"/>
      <c r="Z153" s="213"/>
      <c r="AA153" s="213"/>
      <c r="AB153" s="213"/>
      <c r="AC153" s="213"/>
      <c r="AD153" s="213"/>
      <c r="AE153" s="213"/>
      <c r="AF153" s="213"/>
      <c r="AG153" s="213"/>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2"/>
      <c r="BH153" s="212"/>
      <c r="BI153" s="212"/>
      <c r="BJ153" s="212"/>
    </row>
    <row r="154" spans="2:62" ht="14.4">
      <c r="B154" s="172"/>
      <c r="C154" s="1197"/>
      <c r="D154" s="213"/>
      <c r="E154" s="213"/>
      <c r="F154" s="213"/>
      <c r="G154" s="213"/>
      <c r="H154" s="213"/>
      <c r="I154" s="213"/>
      <c r="J154" s="213"/>
      <c r="K154" s="213"/>
      <c r="L154" s="213"/>
      <c r="M154" s="213"/>
      <c r="N154" s="213"/>
      <c r="O154" s="213"/>
      <c r="P154" s="213"/>
      <c r="Q154" s="213"/>
      <c r="R154" s="213"/>
      <c r="S154" s="213"/>
      <c r="T154" s="213"/>
      <c r="U154" s="213"/>
      <c r="V154" s="214"/>
      <c r="W154" s="213"/>
      <c r="X154" s="213"/>
      <c r="Y154" s="214"/>
      <c r="Z154" s="213"/>
      <c r="AA154" s="213"/>
      <c r="AB154" s="213"/>
      <c r="AC154" s="213"/>
      <c r="AD154" s="213"/>
      <c r="AE154" s="213"/>
      <c r="AF154" s="213"/>
      <c r="AG154" s="213"/>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2"/>
      <c r="BH154" s="212"/>
      <c r="BI154" s="212"/>
      <c r="BJ154" s="212"/>
    </row>
    <row r="155" spans="2:62" ht="14.4">
      <c r="B155" s="172"/>
      <c r="C155" s="1197"/>
      <c r="D155" s="213"/>
      <c r="E155" s="213"/>
      <c r="F155" s="213"/>
      <c r="G155" s="213"/>
      <c r="H155" s="213"/>
      <c r="I155" s="213"/>
      <c r="J155" s="213"/>
      <c r="K155" s="213"/>
      <c r="L155" s="213"/>
      <c r="M155" s="213"/>
      <c r="N155" s="213"/>
      <c r="O155" s="213"/>
      <c r="P155" s="213"/>
      <c r="Q155" s="213"/>
      <c r="R155" s="213"/>
      <c r="S155" s="213"/>
      <c r="T155" s="213"/>
      <c r="U155" s="213"/>
      <c r="V155" s="214"/>
      <c r="W155" s="213"/>
      <c r="X155" s="213"/>
      <c r="Y155" s="214"/>
      <c r="Z155" s="213"/>
      <c r="AA155" s="213"/>
      <c r="AB155" s="213"/>
      <c r="AC155" s="213"/>
      <c r="AD155" s="213"/>
      <c r="AE155" s="213"/>
      <c r="AF155" s="213"/>
      <c r="AG155" s="213"/>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2"/>
      <c r="BH155" s="212"/>
      <c r="BI155" s="212"/>
      <c r="BJ155" s="212"/>
    </row>
    <row r="156" spans="2:62" ht="14.4">
      <c r="B156" s="172"/>
      <c r="C156" s="1197"/>
      <c r="D156" s="213"/>
      <c r="E156" s="213"/>
      <c r="F156" s="213"/>
      <c r="G156" s="213"/>
      <c r="H156" s="213"/>
      <c r="I156" s="213"/>
      <c r="J156" s="213"/>
      <c r="K156" s="213"/>
      <c r="L156" s="213"/>
      <c r="M156" s="213"/>
      <c r="N156" s="213"/>
      <c r="O156" s="213"/>
      <c r="P156" s="213"/>
      <c r="Q156" s="213"/>
      <c r="R156" s="213"/>
      <c r="S156" s="213"/>
      <c r="T156" s="213"/>
      <c r="U156" s="213"/>
      <c r="V156" s="214"/>
      <c r="W156" s="213"/>
      <c r="X156" s="213"/>
      <c r="Y156" s="214"/>
      <c r="Z156" s="213"/>
      <c r="AA156" s="213"/>
      <c r="AB156" s="213"/>
      <c r="AC156" s="213"/>
      <c r="AD156" s="213"/>
      <c r="AE156" s="213"/>
      <c r="AF156" s="213"/>
      <c r="AG156" s="213"/>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2"/>
      <c r="BH156" s="212"/>
      <c r="BI156" s="212"/>
      <c r="BJ156" s="212"/>
    </row>
    <row r="157" spans="2:62" ht="14.4">
      <c r="B157" s="172"/>
      <c r="C157" s="1197"/>
      <c r="D157" s="213"/>
      <c r="E157" s="213"/>
      <c r="F157" s="213"/>
      <c r="G157" s="213"/>
      <c r="H157" s="213"/>
      <c r="I157" s="213"/>
      <c r="J157" s="213"/>
      <c r="K157" s="213"/>
      <c r="L157" s="213"/>
      <c r="M157" s="213"/>
      <c r="N157" s="213"/>
      <c r="O157" s="213"/>
      <c r="P157" s="213"/>
      <c r="Q157" s="213"/>
      <c r="R157" s="213"/>
      <c r="S157" s="213"/>
      <c r="T157" s="213"/>
      <c r="U157" s="213"/>
      <c r="V157" s="214"/>
      <c r="W157" s="213"/>
      <c r="X157" s="213"/>
      <c r="Y157" s="214"/>
      <c r="Z157" s="213"/>
      <c r="AA157" s="213"/>
      <c r="AB157" s="213"/>
      <c r="AC157" s="213"/>
      <c r="AD157" s="213"/>
      <c r="AE157" s="213"/>
      <c r="AF157" s="213"/>
      <c r="AG157" s="213"/>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2"/>
      <c r="BH157" s="212"/>
      <c r="BI157" s="212"/>
      <c r="BJ157" s="212"/>
    </row>
    <row r="158" spans="2:62" ht="14.4">
      <c r="B158" s="172"/>
      <c r="C158" s="1197"/>
      <c r="D158" s="213"/>
      <c r="E158" s="213"/>
      <c r="F158" s="213"/>
      <c r="G158" s="213"/>
      <c r="H158" s="213"/>
      <c r="I158" s="213"/>
      <c r="J158" s="213"/>
      <c r="K158" s="213"/>
      <c r="L158" s="213"/>
      <c r="M158" s="213"/>
      <c r="N158" s="213"/>
      <c r="O158" s="213"/>
      <c r="P158" s="213"/>
      <c r="Q158" s="213"/>
      <c r="R158" s="213"/>
      <c r="S158" s="213"/>
      <c r="T158" s="213"/>
      <c r="U158" s="213"/>
      <c r="V158" s="214"/>
      <c r="W158" s="213"/>
      <c r="X158" s="213"/>
      <c r="Y158" s="214"/>
      <c r="Z158" s="213"/>
      <c r="AA158" s="213"/>
      <c r="AB158" s="213"/>
      <c r="AC158" s="213"/>
      <c r="AD158" s="213"/>
      <c r="AE158" s="213"/>
      <c r="AF158" s="213"/>
      <c r="AG158" s="213"/>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2"/>
      <c r="BH158" s="212"/>
      <c r="BI158" s="212"/>
      <c r="BJ158" s="212"/>
    </row>
    <row r="159" spans="2:62" ht="14.4">
      <c r="B159" s="172"/>
      <c r="C159" s="1197"/>
      <c r="D159" s="213"/>
      <c r="E159" s="213"/>
      <c r="F159" s="213"/>
      <c r="G159" s="213"/>
      <c r="H159" s="213"/>
      <c r="I159" s="213"/>
      <c r="J159" s="213"/>
      <c r="K159" s="213"/>
      <c r="L159" s="213"/>
      <c r="M159" s="213"/>
      <c r="N159" s="213"/>
      <c r="O159" s="213"/>
      <c r="P159" s="213"/>
      <c r="Q159" s="213"/>
      <c r="R159" s="213"/>
      <c r="S159" s="213"/>
      <c r="T159" s="213"/>
      <c r="U159" s="213"/>
      <c r="V159" s="214"/>
      <c r="W159" s="213"/>
      <c r="X159" s="213"/>
      <c r="Y159" s="214"/>
      <c r="Z159" s="213"/>
      <c r="AA159" s="213"/>
      <c r="AB159" s="213"/>
      <c r="AC159" s="213"/>
      <c r="AD159" s="213"/>
      <c r="AE159" s="213"/>
      <c r="AF159" s="213"/>
      <c r="AG159" s="213"/>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2"/>
      <c r="BH159" s="212"/>
      <c r="BI159" s="212"/>
      <c r="BJ159" s="212"/>
    </row>
    <row r="160" spans="2:62" ht="14.4">
      <c r="B160" s="172"/>
      <c r="C160" s="1197"/>
      <c r="D160" s="213"/>
      <c r="E160" s="213"/>
      <c r="F160" s="213"/>
      <c r="G160" s="213"/>
      <c r="H160" s="213"/>
      <c r="I160" s="213"/>
      <c r="J160" s="213"/>
      <c r="K160" s="213"/>
      <c r="L160" s="213"/>
      <c r="M160" s="213"/>
      <c r="N160" s="213"/>
      <c r="O160" s="213"/>
      <c r="P160" s="213"/>
      <c r="Q160" s="213"/>
      <c r="R160" s="213"/>
      <c r="S160" s="213"/>
      <c r="T160" s="213"/>
      <c r="U160" s="213"/>
      <c r="V160" s="214"/>
      <c r="W160" s="213"/>
      <c r="X160" s="213"/>
      <c r="Y160" s="214"/>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2"/>
      <c r="BH160" s="212"/>
      <c r="BI160" s="212"/>
      <c r="BJ160" s="212"/>
    </row>
    <row r="161" spans="2:62" ht="14.4">
      <c r="B161" s="172"/>
      <c r="C161" s="1197"/>
      <c r="D161" s="213"/>
      <c r="E161" s="213"/>
      <c r="F161" s="213"/>
      <c r="G161" s="213"/>
      <c r="H161" s="213"/>
      <c r="I161" s="213"/>
      <c r="J161" s="213"/>
      <c r="K161" s="213"/>
      <c r="L161" s="213"/>
      <c r="M161" s="213"/>
      <c r="N161" s="213"/>
      <c r="O161" s="213"/>
      <c r="P161" s="213"/>
      <c r="Q161" s="213"/>
      <c r="R161" s="213"/>
      <c r="S161" s="213"/>
      <c r="T161" s="213"/>
      <c r="U161" s="213"/>
      <c r="V161" s="214"/>
      <c r="W161" s="213"/>
      <c r="X161" s="213"/>
      <c r="Y161" s="214"/>
      <c r="Z161" s="213"/>
      <c r="AA161" s="213"/>
      <c r="AB161" s="213"/>
      <c r="AC161" s="213"/>
      <c r="AD161" s="213"/>
      <c r="AE161" s="213"/>
      <c r="AF161" s="213"/>
      <c r="AG161" s="213"/>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2"/>
      <c r="BH161" s="212"/>
      <c r="BI161" s="212"/>
      <c r="BJ161" s="212"/>
    </row>
    <row r="162" spans="2:62" ht="14.4">
      <c r="B162" s="172"/>
      <c r="C162" s="1197"/>
      <c r="D162" s="213"/>
      <c r="E162" s="213"/>
      <c r="F162" s="213"/>
      <c r="G162" s="213"/>
      <c r="H162" s="213"/>
      <c r="I162" s="213"/>
      <c r="J162" s="213"/>
      <c r="K162" s="213"/>
      <c r="L162" s="213"/>
      <c r="M162" s="213"/>
      <c r="N162" s="213"/>
      <c r="O162" s="213"/>
      <c r="P162" s="213"/>
      <c r="Q162" s="213"/>
      <c r="R162" s="213"/>
      <c r="S162" s="213"/>
      <c r="T162" s="213"/>
      <c r="U162" s="213"/>
      <c r="V162" s="214"/>
      <c r="W162" s="213"/>
      <c r="X162" s="213"/>
      <c r="Y162" s="214"/>
      <c r="Z162" s="213"/>
      <c r="AA162" s="213"/>
      <c r="AB162" s="213"/>
      <c r="AC162" s="213"/>
      <c r="AD162" s="213"/>
      <c r="AE162" s="213"/>
      <c r="AF162" s="213"/>
      <c r="AG162" s="213"/>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2"/>
      <c r="BH162" s="212"/>
      <c r="BI162" s="212"/>
      <c r="BJ162" s="212"/>
    </row>
    <row r="163" spans="2:62" ht="14.4">
      <c r="B163" s="172"/>
      <c r="C163" s="1197"/>
      <c r="D163" s="213"/>
      <c r="E163" s="213"/>
      <c r="F163" s="213"/>
      <c r="G163" s="213"/>
      <c r="H163" s="213"/>
      <c r="I163" s="213"/>
      <c r="J163" s="213"/>
      <c r="K163" s="213"/>
      <c r="L163" s="213"/>
      <c r="M163" s="213"/>
      <c r="N163" s="213"/>
      <c r="O163" s="213"/>
      <c r="P163" s="213"/>
      <c r="Q163" s="213"/>
      <c r="R163" s="213"/>
      <c r="S163" s="213"/>
      <c r="T163" s="213"/>
      <c r="U163" s="213"/>
      <c r="V163" s="214"/>
      <c r="W163" s="213"/>
      <c r="X163" s="213"/>
      <c r="Y163" s="214"/>
      <c r="Z163" s="213"/>
      <c r="AA163" s="213"/>
      <c r="AB163" s="213"/>
      <c r="AC163" s="213"/>
      <c r="AD163" s="213"/>
      <c r="AE163" s="213"/>
      <c r="AF163" s="213"/>
      <c r="AG163" s="213"/>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2"/>
      <c r="BH163" s="212"/>
      <c r="BI163" s="212"/>
      <c r="BJ163" s="212"/>
    </row>
    <row r="164" spans="2:62" ht="14.4">
      <c r="B164" s="172"/>
      <c r="C164" s="1197"/>
      <c r="D164" s="213"/>
      <c r="E164" s="213"/>
      <c r="F164" s="213"/>
      <c r="G164" s="213"/>
      <c r="H164" s="213"/>
      <c r="I164" s="213"/>
      <c r="J164" s="213"/>
      <c r="K164" s="213"/>
      <c r="L164" s="213"/>
      <c r="M164" s="213"/>
      <c r="N164" s="213"/>
      <c r="O164" s="213"/>
      <c r="P164" s="213"/>
      <c r="Q164" s="213"/>
      <c r="R164" s="213"/>
      <c r="S164" s="213"/>
      <c r="T164" s="213"/>
      <c r="U164" s="213"/>
      <c r="V164" s="214"/>
      <c r="W164" s="213"/>
      <c r="X164" s="213"/>
      <c r="Y164" s="214"/>
      <c r="Z164" s="213"/>
      <c r="AA164" s="213"/>
      <c r="AB164" s="213"/>
      <c r="AC164" s="213"/>
      <c r="AD164" s="213"/>
      <c r="AE164" s="213"/>
      <c r="AF164" s="213"/>
      <c r="AG164" s="213"/>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2"/>
      <c r="BH164" s="212"/>
      <c r="BI164" s="212"/>
      <c r="BJ164" s="212"/>
    </row>
    <row r="165" spans="2:62" ht="14.4">
      <c r="B165" s="172"/>
      <c r="C165" s="1197"/>
      <c r="D165" s="213"/>
      <c r="E165" s="213"/>
      <c r="F165" s="213"/>
      <c r="G165" s="213"/>
      <c r="H165" s="213"/>
      <c r="I165" s="213"/>
      <c r="J165" s="213"/>
      <c r="K165" s="213"/>
      <c r="L165" s="213"/>
      <c r="M165" s="213"/>
      <c r="N165" s="213"/>
      <c r="O165" s="213"/>
      <c r="P165" s="213"/>
      <c r="Q165" s="213"/>
      <c r="R165" s="213"/>
      <c r="S165" s="213"/>
      <c r="T165" s="213"/>
      <c r="U165" s="213"/>
      <c r="V165" s="214"/>
      <c r="W165" s="213"/>
      <c r="X165" s="213"/>
      <c r="Y165" s="214"/>
      <c r="Z165" s="213"/>
      <c r="AA165" s="213"/>
      <c r="AB165" s="213"/>
      <c r="AC165" s="213"/>
      <c r="AD165" s="213"/>
      <c r="AE165" s="213"/>
      <c r="AF165" s="213"/>
      <c r="AG165" s="213"/>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2"/>
      <c r="BH165" s="212"/>
      <c r="BI165" s="212"/>
      <c r="BJ165" s="212"/>
    </row>
    <row r="166" spans="2:62" ht="14.4">
      <c r="B166" s="172"/>
      <c r="C166" s="1197"/>
      <c r="D166" s="213"/>
      <c r="E166" s="213"/>
      <c r="F166" s="213"/>
      <c r="G166" s="213"/>
      <c r="H166" s="213"/>
      <c r="I166" s="213"/>
      <c r="J166" s="213"/>
      <c r="K166" s="213"/>
      <c r="L166" s="213"/>
      <c r="M166" s="213"/>
      <c r="N166" s="213"/>
      <c r="O166" s="213"/>
      <c r="P166" s="213"/>
      <c r="Q166" s="213"/>
      <c r="R166" s="213"/>
      <c r="S166" s="213"/>
      <c r="T166" s="213"/>
      <c r="U166" s="213"/>
      <c r="V166" s="214"/>
      <c r="W166" s="213"/>
      <c r="X166" s="213"/>
      <c r="Y166" s="214"/>
      <c r="Z166" s="213"/>
      <c r="AA166" s="213"/>
      <c r="AB166" s="213"/>
      <c r="AC166" s="213"/>
      <c r="AD166" s="213"/>
      <c r="AE166" s="213"/>
      <c r="AF166" s="213"/>
      <c r="AG166" s="213"/>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2"/>
      <c r="BH166" s="212"/>
      <c r="BI166" s="212"/>
      <c r="BJ166" s="212"/>
    </row>
    <row r="167" spans="2:62" ht="14.4">
      <c r="B167" s="172"/>
      <c r="C167" s="1197"/>
      <c r="D167" s="213"/>
      <c r="E167" s="213"/>
      <c r="F167" s="213"/>
      <c r="G167" s="213"/>
      <c r="H167" s="213"/>
      <c r="I167" s="213"/>
      <c r="J167" s="213"/>
      <c r="K167" s="213"/>
      <c r="L167" s="213"/>
      <c r="M167" s="213"/>
      <c r="N167" s="213"/>
      <c r="O167" s="213"/>
      <c r="P167" s="213"/>
      <c r="Q167" s="213"/>
      <c r="R167" s="213"/>
      <c r="S167" s="213"/>
      <c r="T167" s="213"/>
      <c r="U167" s="213"/>
      <c r="V167" s="214"/>
      <c r="W167" s="213"/>
      <c r="X167" s="213"/>
      <c r="Y167" s="214"/>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2"/>
      <c r="BH167" s="212"/>
      <c r="BI167" s="212"/>
      <c r="BJ167" s="212"/>
    </row>
    <row r="168" spans="2:62" ht="14.4">
      <c r="B168" s="172"/>
      <c r="C168" s="1197"/>
      <c r="D168" s="213"/>
      <c r="E168" s="213"/>
      <c r="F168" s="213"/>
      <c r="G168" s="213"/>
      <c r="H168" s="213"/>
      <c r="I168" s="213"/>
      <c r="J168" s="213"/>
      <c r="K168" s="213"/>
      <c r="L168" s="213"/>
      <c r="M168" s="213"/>
      <c r="N168" s="213"/>
      <c r="O168" s="213"/>
      <c r="P168" s="213"/>
      <c r="Q168" s="213"/>
      <c r="R168" s="213"/>
      <c r="S168" s="213"/>
      <c r="T168" s="213"/>
      <c r="U168" s="213"/>
      <c r="V168" s="214"/>
      <c r="W168" s="213"/>
      <c r="X168" s="213"/>
      <c r="Y168" s="214"/>
      <c r="Z168" s="213"/>
      <c r="AA168" s="213"/>
      <c r="AB168" s="213"/>
      <c r="AC168" s="213"/>
      <c r="AD168" s="213"/>
      <c r="AE168" s="213"/>
      <c r="AF168" s="213"/>
      <c r="AG168" s="213"/>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2"/>
      <c r="BH168" s="212"/>
      <c r="BI168" s="212"/>
      <c r="BJ168" s="212"/>
    </row>
    <row r="169" spans="2:62" ht="14.4">
      <c r="B169" s="172"/>
      <c r="C169" s="1197"/>
      <c r="D169" s="213"/>
      <c r="E169" s="213"/>
      <c r="F169" s="213"/>
      <c r="G169" s="213"/>
      <c r="H169" s="213"/>
      <c r="I169" s="213"/>
      <c r="J169" s="213"/>
      <c r="K169" s="213"/>
      <c r="L169" s="213"/>
      <c r="M169" s="213"/>
      <c r="N169" s="213"/>
      <c r="O169" s="213"/>
      <c r="P169" s="213"/>
      <c r="Q169" s="213"/>
      <c r="R169" s="213"/>
      <c r="S169" s="213"/>
      <c r="T169" s="213"/>
      <c r="U169" s="213"/>
      <c r="V169" s="214"/>
      <c r="W169" s="213"/>
      <c r="X169" s="213"/>
      <c r="Y169" s="214"/>
      <c r="Z169" s="213"/>
      <c r="AA169" s="213"/>
      <c r="AB169" s="213"/>
      <c r="AC169" s="213"/>
      <c r="AD169" s="213"/>
      <c r="AE169" s="213"/>
      <c r="AF169" s="213"/>
      <c r="AG169" s="213"/>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2"/>
      <c r="BH169" s="212"/>
      <c r="BI169" s="212"/>
      <c r="BJ169" s="212"/>
    </row>
    <row r="170" spans="2:62" ht="14.4">
      <c r="B170" s="172"/>
      <c r="C170" s="1197"/>
      <c r="D170" s="213"/>
      <c r="E170" s="213"/>
      <c r="F170" s="213"/>
      <c r="G170" s="213"/>
      <c r="H170" s="213"/>
      <c r="I170" s="213"/>
      <c r="J170" s="213"/>
      <c r="K170" s="213"/>
      <c r="L170" s="213"/>
      <c r="M170" s="213"/>
      <c r="N170" s="213"/>
      <c r="O170" s="213"/>
      <c r="P170" s="213"/>
      <c r="Q170" s="213"/>
      <c r="R170" s="213"/>
      <c r="S170" s="213"/>
      <c r="T170" s="213"/>
      <c r="U170" s="213"/>
      <c r="V170" s="214"/>
      <c r="W170" s="213"/>
      <c r="X170" s="213"/>
      <c r="Y170" s="214"/>
      <c r="Z170" s="213"/>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2"/>
      <c r="BH170" s="212"/>
      <c r="BI170" s="212"/>
      <c r="BJ170" s="212"/>
    </row>
    <row r="171" spans="2:62" ht="14.4">
      <c r="B171" s="172"/>
      <c r="C171" s="1197"/>
      <c r="D171" s="213"/>
      <c r="E171" s="213"/>
      <c r="F171" s="213"/>
      <c r="G171" s="213"/>
      <c r="H171" s="213"/>
      <c r="I171" s="213"/>
      <c r="J171" s="213"/>
      <c r="K171" s="213"/>
      <c r="L171" s="213"/>
      <c r="M171" s="213"/>
      <c r="N171" s="213"/>
      <c r="O171" s="213"/>
      <c r="P171" s="213"/>
      <c r="Q171" s="213"/>
      <c r="R171" s="213"/>
      <c r="S171" s="213"/>
      <c r="T171" s="213"/>
      <c r="U171" s="213"/>
      <c r="V171" s="214"/>
      <c r="W171" s="213"/>
      <c r="X171" s="213"/>
      <c r="Y171" s="214"/>
      <c r="Z171" s="213"/>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2"/>
      <c r="BH171" s="212"/>
      <c r="BI171" s="212"/>
      <c r="BJ171" s="212"/>
    </row>
    <row r="172" spans="2:62" ht="14.4">
      <c r="B172" s="172"/>
      <c r="C172" s="1197"/>
      <c r="D172" s="213"/>
      <c r="E172" s="213"/>
      <c r="F172" s="213"/>
      <c r="G172" s="213"/>
      <c r="H172" s="213"/>
      <c r="I172" s="213"/>
      <c r="J172" s="213"/>
      <c r="K172" s="213"/>
      <c r="L172" s="213"/>
      <c r="M172" s="213"/>
      <c r="N172" s="213"/>
      <c r="O172" s="213"/>
      <c r="P172" s="213"/>
      <c r="Q172" s="213"/>
      <c r="R172" s="213"/>
      <c r="S172" s="213"/>
      <c r="T172" s="213"/>
      <c r="U172" s="213"/>
      <c r="V172" s="214"/>
      <c r="W172" s="213"/>
      <c r="X172" s="213"/>
      <c r="Y172" s="214"/>
      <c r="Z172" s="213"/>
      <c r="AA172" s="213"/>
      <c r="AB172" s="213"/>
      <c r="AC172" s="213"/>
      <c r="AD172" s="213"/>
      <c r="AE172" s="213"/>
      <c r="AF172" s="213"/>
      <c r="AG172" s="213"/>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2"/>
      <c r="BH172" s="212"/>
      <c r="BI172" s="212"/>
      <c r="BJ172" s="212"/>
    </row>
    <row r="173" spans="2:62" ht="14.4">
      <c r="B173" s="172"/>
      <c r="C173" s="1197"/>
      <c r="D173" s="213"/>
      <c r="E173" s="213"/>
      <c r="F173" s="213"/>
      <c r="G173" s="213"/>
      <c r="H173" s="213"/>
      <c r="I173" s="213"/>
      <c r="J173" s="213"/>
      <c r="K173" s="213"/>
      <c r="L173" s="213"/>
      <c r="M173" s="213"/>
      <c r="N173" s="213"/>
      <c r="O173" s="213"/>
      <c r="P173" s="213"/>
      <c r="Q173" s="213"/>
      <c r="R173" s="213"/>
      <c r="S173" s="213"/>
      <c r="T173" s="213"/>
      <c r="U173" s="213"/>
      <c r="V173" s="214"/>
      <c r="W173" s="213"/>
      <c r="X173" s="213"/>
      <c r="Y173" s="214"/>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2"/>
      <c r="BH173" s="212"/>
      <c r="BI173" s="212"/>
      <c r="BJ173" s="212"/>
    </row>
    <row r="174" spans="2:62" ht="14.4">
      <c r="B174" s="172"/>
      <c r="C174" s="1197"/>
      <c r="D174" s="213"/>
      <c r="E174" s="213"/>
      <c r="F174" s="213"/>
      <c r="G174" s="213"/>
      <c r="H174" s="213"/>
      <c r="I174" s="213"/>
      <c r="J174" s="213"/>
      <c r="K174" s="213"/>
      <c r="L174" s="213"/>
      <c r="M174" s="213"/>
      <c r="N174" s="213"/>
      <c r="O174" s="213"/>
      <c r="P174" s="213"/>
      <c r="Q174" s="213"/>
      <c r="R174" s="213"/>
      <c r="S174" s="213"/>
      <c r="T174" s="213"/>
      <c r="U174" s="213"/>
      <c r="V174" s="214"/>
      <c r="W174" s="213"/>
      <c r="X174" s="213"/>
      <c r="Y174" s="214"/>
      <c r="Z174" s="213"/>
      <c r="AA174" s="213"/>
      <c r="AB174" s="213"/>
      <c r="AC174" s="213"/>
      <c r="AD174" s="213"/>
      <c r="AE174" s="213"/>
      <c r="AF174" s="213"/>
      <c r="AG174" s="213"/>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2"/>
      <c r="BH174" s="212"/>
      <c r="BI174" s="212"/>
      <c r="BJ174" s="212"/>
    </row>
    <row r="175" spans="2:62" ht="14.4">
      <c r="B175" s="172"/>
      <c r="C175" s="1197"/>
      <c r="D175" s="213"/>
      <c r="E175" s="213"/>
      <c r="F175" s="213"/>
      <c r="G175" s="213"/>
      <c r="H175" s="213"/>
      <c r="I175" s="213"/>
      <c r="J175" s="213"/>
      <c r="K175" s="213"/>
      <c r="L175" s="213"/>
      <c r="M175" s="213"/>
      <c r="N175" s="213"/>
      <c r="O175" s="213"/>
      <c r="P175" s="213"/>
      <c r="Q175" s="213"/>
      <c r="R175" s="213"/>
      <c r="S175" s="213"/>
      <c r="T175" s="213"/>
      <c r="U175" s="213"/>
      <c r="V175" s="214"/>
      <c r="W175" s="213"/>
      <c r="X175" s="213"/>
      <c r="Y175" s="214"/>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2"/>
      <c r="BH175" s="212"/>
      <c r="BI175" s="212"/>
      <c r="BJ175" s="212"/>
    </row>
    <row r="176" spans="2:62" ht="14.4">
      <c r="B176" s="172"/>
      <c r="C176" s="1197"/>
      <c r="D176" s="213"/>
      <c r="E176" s="213"/>
      <c r="F176" s="213"/>
      <c r="G176" s="213"/>
      <c r="H176" s="213"/>
      <c r="I176" s="213"/>
      <c r="J176" s="213"/>
      <c r="K176" s="213"/>
      <c r="L176" s="213"/>
      <c r="M176" s="213"/>
      <c r="N176" s="213"/>
      <c r="O176" s="213"/>
      <c r="P176" s="213"/>
      <c r="Q176" s="213"/>
      <c r="R176" s="213"/>
      <c r="S176" s="213"/>
      <c r="T176" s="213"/>
      <c r="U176" s="213"/>
      <c r="V176" s="214"/>
      <c r="W176" s="213"/>
      <c r="X176" s="213"/>
      <c r="Y176" s="214"/>
      <c r="Z176" s="213"/>
      <c r="AA176" s="213"/>
      <c r="AB176" s="213"/>
      <c r="AC176" s="213"/>
      <c r="AD176" s="213"/>
      <c r="AE176" s="213"/>
      <c r="AF176" s="213"/>
      <c r="AG176" s="213"/>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2"/>
      <c r="BH176" s="212"/>
      <c r="BI176" s="212"/>
      <c r="BJ176" s="212"/>
    </row>
    <row r="177" spans="2:62" ht="14.4">
      <c r="B177" s="172"/>
      <c r="C177" s="1197"/>
      <c r="D177" s="213"/>
      <c r="E177" s="213"/>
      <c r="F177" s="213"/>
      <c r="G177" s="213"/>
      <c r="H177" s="213"/>
      <c r="I177" s="213"/>
      <c r="J177" s="213"/>
      <c r="K177" s="213"/>
      <c r="L177" s="213"/>
      <c r="M177" s="213"/>
      <c r="N177" s="213"/>
      <c r="O177" s="213"/>
      <c r="P177" s="213"/>
      <c r="Q177" s="213"/>
      <c r="R177" s="213"/>
      <c r="S177" s="213"/>
      <c r="T177" s="213"/>
      <c r="U177" s="213"/>
      <c r="V177" s="214"/>
      <c r="W177" s="213"/>
      <c r="X177" s="213"/>
      <c r="Y177" s="214"/>
      <c r="Z177" s="213"/>
      <c r="AA177" s="213"/>
      <c r="AB177" s="213"/>
      <c r="AC177" s="213"/>
      <c r="AD177" s="213"/>
      <c r="AE177" s="213"/>
      <c r="AF177" s="213"/>
      <c r="AG177" s="213"/>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2"/>
      <c r="BH177" s="212"/>
      <c r="BI177" s="212"/>
      <c r="BJ177" s="212"/>
    </row>
    <row r="178" spans="2:62" ht="14.4">
      <c r="B178" s="172"/>
      <c r="C178" s="1197"/>
      <c r="D178" s="213"/>
      <c r="E178" s="213"/>
      <c r="F178" s="213"/>
      <c r="G178" s="213"/>
      <c r="H178" s="213"/>
      <c r="I178" s="213"/>
      <c r="J178" s="213"/>
      <c r="K178" s="213"/>
      <c r="L178" s="213"/>
      <c r="M178" s="213"/>
      <c r="N178" s="213"/>
      <c r="O178" s="213"/>
      <c r="P178" s="213"/>
      <c r="Q178" s="213"/>
      <c r="R178" s="213"/>
      <c r="S178" s="213"/>
      <c r="T178" s="213"/>
      <c r="U178" s="213"/>
      <c r="V178" s="214"/>
      <c r="W178" s="213"/>
      <c r="X178" s="213"/>
      <c r="Y178" s="214"/>
      <c r="Z178" s="213"/>
      <c r="AA178" s="213"/>
      <c r="AB178" s="213"/>
      <c r="AC178" s="213"/>
      <c r="AD178" s="213"/>
      <c r="AE178" s="213"/>
      <c r="AF178" s="213"/>
      <c r="AG178" s="213"/>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2"/>
      <c r="BH178" s="212"/>
      <c r="BI178" s="212"/>
      <c r="BJ178" s="212"/>
    </row>
    <row r="179" spans="2:62" ht="14.4">
      <c r="B179" s="172"/>
      <c r="C179" s="1197"/>
      <c r="D179" s="213"/>
      <c r="E179" s="213"/>
      <c r="F179" s="213"/>
      <c r="G179" s="213"/>
      <c r="H179" s="213"/>
      <c r="I179" s="213"/>
      <c r="J179" s="213"/>
      <c r="K179" s="213"/>
      <c r="L179" s="213"/>
      <c r="M179" s="213"/>
      <c r="N179" s="213"/>
      <c r="O179" s="213"/>
      <c r="P179" s="213"/>
      <c r="Q179" s="213"/>
      <c r="R179" s="213"/>
      <c r="S179" s="213"/>
      <c r="T179" s="213"/>
      <c r="U179" s="213"/>
      <c r="V179" s="214"/>
      <c r="W179" s="213"/>
      <c r="X179" s="213"/>
      <c r="Y179" s="214"/>
      <c r="Z179" s="213"/>
      <c r="AA179" s="213"/>
      <c r="AB179" s="213"/>
      <c r="AC179" s="213"/>
      <c r="AD179" s="213"/>
      <c r="AE179" s="213"/>
      <c r="AF179" s="213"/>
      <c r="AG179" s="213"/>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2"/>
      <c r="BH179" s="212"/>
      <c r="BI179" s="212"/>
      <c r="BJ179" s="212"/>
    </row>
    <row r="180" spans="2:62" ht="14.4">
      <c r="B180" s="172"/>
      <c r="C180" s="1197"/>
      <c r="D180" s="213"/>
      <c r="E180" s="213"/>
      <c r="F180" s="213"/>
      <c r="G180" s="213"/>
      <c r="H180" s="213"/>
      <c r="I180" s="213"/>
      <c r="J180" s="213"/>
      <c r="K180" s="213"/>
      <c r="L180" s="213"/>
      <c r="M180" s="213"/>
      <c r="N180" s="213"/>
      <c r="O180" s="213"/>
      <c r="P180" s="213"/>
      <c r="Q180" s="213"/>
      <c r="R180" s="213"/>
      <c r="S180" s="213"/>
      <c r="T180" s="213"/>
      <c r="U180" s="213"/>
      <c r="V180" s="214"/>
      <c r="W180" s="213"/>
      <c r="X180" s="213"/>
      <c r="Y180" s="214"/>
      <c r="Z180" s="213"/>
      <c r="AA180" s="213"/>
      <c r="AB180" s="213"/>
      <c r="AC180" s="213"/>
      <c r="AD180" s="213"/>
      <c r="AE180" s="213"/>
      <c r="AF180" s="213"/>
      <c r="AG180" s="213"/>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2"/>
      <c r="BH180" s="212"/>
      <c r="BI180" s="212"/>
      <c r="BJ180" s="212"/>
    </row>
    <row r="181" spans="2:62" ht="14.4">
      <c r="B181" s="172"/>
      <c r="C181" s="1197"/>
      <c r="D181" s="213"/>
      <c r="E181" s="213"/>
      <c r="F181" s="213"/>
      <c r="G181" s="213"/>
      <c r="H181" s="213"/>
      <c r="I181" s="213"/>
      <c r="J181" s="213"/>
      <c r="K181" s="213"/>
      <c r="L181" s="213"/>
      <c r="M181" s="213"/>
      <c r="N181" s="213"/>
      <c r="O181" s="213"/>
      <c r="P181" s="213"/>
      <c r="Q181" s="213"/>
      <c r="R181" s="213"/>
      <c r="S181" s="213"/>
      <c r="T181" s="213"/>
      <c r="U181" s="213"/>
      <c r="V181" s="214"/>
      <c r="W181" s="213"/>
      <c r="X181" s="213"/>
      <c r="Y181" s="214"/>
      <c r="Z181" s="213"/>
      <c r="AA181" s="213"/>
      <c r="AB181" s="213"/>
      <c r="AC181" s="213"/>
      <c r="AD181" s="213"/>
      <c r="AE181" s="213"/>
      <c r="AF181" s="213"/>
      <c r="AG181" s="213"/>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2"/>
      <c r="BH181" s="212"/>
      <c r="BI181" s="212"/>
      <c r="BJ181" s="212"/>
    </row>
    <row r="182" spans="2:62" ht="14.4">
      <c r="B182" s="172"/>
      <c r="C182" s="1197"/>
      <c r="D182" s="213"/>
      <c r="E182" s="213"/>
      <c r="F182" s="213"/>
      <c r="G182" s="213"/>
      <c r="H182" s="213"/>
      <c r="I182" s="213"/>
      <c r="J182" s="213"/>
      <c r="K182" s="213"/>
      <c r="L182" s="213"/>
      <c r="M182" s="213"/>
      <c r="N182" s="213"/>
      <c r="O182" s="213"/>
      <c r="P182" s="213"/>
      <c r="Q182" s="213"/>
      <c r="R182" s="213"/>
      <c r="S182" s="213"/>
      <c r="T182" s="213"/>
      <c r="U182" s="213"/>
      <c r="V182" s="214"/>
      <c r="W182" s="213"/>
      <c r="X182" s="213"/>
      <c r="Y182" s="214"/>
      <c r="Z182" s="213"/>
      <c r="AA182" s="213"/>
      <c r="AB182" s="213"/>
      <c r="AC182" s="213"/>
      <c r="AD182" s="213"/>
      <c r="AE182" s="213"/>
      <c r="AF182" s="213"/>
      <c r="AG182" s="213"/>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2"/>
      <c r="BH182" s="212"/>
      <c r="BI182" s="212"/>
      <c r="BJ182" s="212"/>
    </row>
    <row r="183" spans="2:62" ht="14.4">
      <c r="B183" s="172"/>
      <c r="C183" s="1197"/>
      <c r="D183" s="213"/>
      <c r="E183" s="213"/>
      <c r="F183" s="213"/>
      <c r="G183" s="213"/>
      <c r="H183" s="213"/>
      <c r="I183" s="213"/>
      <c r="J183" s="213"/>
      <c r="K183" s="213"/>
      <c r="L183" s="213"/>
      <c r="M183" s="213"/>
      <c r="N183" s="213"/>
      <c r="O183" s="213"/>
      <c r="P183" s="213"/>
      <c r="Q183" s="213"/>
      <c r="R183" s="213"/>
      <c r="S183" s="213"/>
      <c r="T183" s="213"/>
      <c r="U183" s="213"/>
      <c r="V183" s="214"/>
      <c r="W183" s="213"/>
      <c r="X183" s="213"/>
      <c r="Y183" s="214"/>
      <c r="Z183" s="213"/>
      <c r="AA183" s="213"/>
      <c r="AB183" s="213"/>
      <c r="AC183" s="213"/>
      <c r="AD183" s="213"/>
      <c r="AE183" s="213"/>
      <c r="AF183" s="213"/>
      <c r="AG183" s="213"/>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2"/>
      <c r="BH183" s="212"/>
      <c r="BI183" s="212"/>
      <c r="BJ183" s="212"/>
    </row>
    <row r="184" spans="2:62" ht="14.4">
      <c r="B184" s="172"/>
      <c r="C184" s="1197"/>
      <c r="D184" s="213"/>
      <c r="E184" s="213"/>
      <c r="F184" s="213"/>
      <c r="G184" s="213"/>
      <c r="H184" s="213"/>
      <c r="I184" s="213"/>
      <c r="J184" s="213"/>
      <c r="K184" s="213"/>
      <c r="L184" s="213"/>
      <c r="M184" s="213"/>
      <c r="N184" s="213"/>
      <c r="O184" s="213"/>
      <c r="P184" s="213"/>
      <c r="Q184" s="213"/>
      <c r="R184" s="213"/>
      <c r="S184" s="213"/>
      <c r="T184" s="213"/>
      <c r="U184" s="213"/>
      <c r="V184" s="214"/>
      <c r="W184" s="213"/>
      <c r="X184" s="213"/>
      <c r="Y184" s="214"/>
      <c r="Z184" s="213"/>
      <c r="AA184" s="213"/>
      <c r="AB184" s="213"/>
      <c r="AC184" s="213"/>
      <c r="AD184" s="213"/>
      <c r="AE184" s="213"/>
      <c r="AF184" s="213"/>
      <c r="AG184" s="213"/>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2"/>
      <c r="BH184" s="212"/>
      <c r="BI184" s="212"/>
      <c r="BJ184" s="212"/>
    </row>
    <row r="185" spans="2:62" ht="14.4">
      <c r="B185" s="172"/>
      <c r="C185" s="1197"/>
      <c r="D185" s="213"/>
      <c r="E185" s="213"/>
      <c r="F185" s="213"/>
      <c r="G185" s="213"/>
      <c r="H185" s="213"/>
      <c r="I185" s="213"/>
      <c r="J185" s="213"/>
      <c r="K185" s="213"/>
      <c r="L185" s="213"/>
      <c r="M185" s="213"/>
      <c r="N185" s="213"/>
      <c r="O185" s="213"/>
      <c r="P185" s="213"/>
      <c r="Q185" s="213"/>
      <c r="R185" s="213"/>
      <c r="S185" s="213"/>
      <c r="T185" s="213"/>
      <c r="U185" s="213"/>
      <c r="V185" s="214"/>
      <c r="W185" s="213"/>
      <c r="X185" s="213"/>
      <c r="Y185" s="214"/>
      <c r="Z185" s="213"/>
      <c r="AA185" s="213"/>
      <c r="AB185" s="213"/>
      <c r="AC185" s="213"/>
      <c r="AD185" s="213"/>
      <c r="AE185" s="213"/>
      <c r="AF185" s="213"/>
      <c r="AG185" s="213"/>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2"/>
      <c r="BH185" s="212"/>
      <c r="BI185" s="212"/>
      <c r="BJ185" s="212"/>
    </row>
    <row r="186" spans="2:62" ht="14.4">
      <c r="B186" s="172"/>
      <c r="C186" s="1197"/>
      <c r="D186" s="213"/>
      <c r="E186" s="213"/>
      <c r="F186" s="213"/>
      <c r="G186" s="213"/>
      <c r="H186" s="213"/>
      <c r="I186" s="213"/>
      <c r="J186" s="213"/>
      <c r="K186" s="213"/>
      <c r="L186" s="213"/>
      <c r="M186" s="213"/>
      <c r="N186" s="213"/>
      <c r="O186" s="213"/>
      <c r="P186" s="213"/>
      <c r="Q186" s="213"/>
      <c r="R186" s="213"/>
      <c r="S186" s="213"/>
      <c r="T186" s="213"/>
      <c r="U186" s="213"/>
      <c r="V186" s="214"/>
      <c r="W186" s="213"/>
      <c r="X186" s="213"/>
      <c r="Y186" s="214"/>
      <c r="Z186" s="213"/>
      <c r="AA186" s="213"/>
      <c r="AB186" s="213"/>
      <c r="AC186" s="213"/>
      <c r="AD186" s="213"/>
      <c r="AE186" s="213"/>
      <c r="AF186" s="213"/>
      <c r="AG186" s="213"/>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2"/>
      <c r="BH186" s="212"/>
      <c r="BI186" s="212"/>
      <c r="BJ186" s="212"/>
    </row>
  </sheetData>
  <sheetProtection algorithmName="SHA-512" hashValue="JEfwiokMOZGU8ac+jYAjCY1SRPsjkxZXtde0ACQ0G8ZLDOaZoFcnt/YGFiXWu/2dDXSbn7cC9st+9r4co7Hj8Q==" saltValue="+kcSV+uL4fzF7xYnQPZv5w==" spinCount="100000" sheet="1" objects="1" scenarios="1"/>
  <mergeCells count="1">
    <mergeCell ref="B1:C2"/>
  </mergeCells>
  <printOptions gridLines="1"/>
  <pageMargins left="0.83" right="0" top="0.19685039370078741" bottom="0.19685039370078741" header="0.19685039370078741" footer="0"/>
  <pageSetup scale="22" orientation="portrait" horizontalDpi="300" verticalDpi="300" r:id="rId1"/>
  <headerFooter alignWithMargins="0">
    <oddHeader>&amp;C&amp;"Arial,Negrita"&amp;12LICENCIATURAS</oddHead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499984740745262"/>
  </sheetPr>
  <dimension ref="A1:BQ153"/>
  <sheetViews>
    <sheetView showGridLines="0" zoomScale="80" zoomScaleNormal="80" workbookViewId="0">
      <pane xSplit="3" ySplit="3" topLeftCell="AS4" activePane="bottomRight" state="frozen"/>
      <selection activeCell="AY3" sqref="AY3"/>
      <selection pane="topRight" activeCell="AY3" sqref="AY3"/>
      <selection pane="bottomLeft" activeCell="AY3" sqref="AY3"/>
      <selection pane="bottomRight"/>
    </sheetView>
  </sheetViews>
  <sheetFormatPr baseColWidth="10" defaultColWidth="56.5546875" defaultRowHeight="48.75" customHeight="1"/>
  <cols>
    <col min="1" max="1" width="4.5546875" style="173" bestFit="1" customWidth="1"/>
    <col min="2" max="2" width="52.21875" style="172" customWidth="1"/>
    <col min="3" max="3" width="24.77734375" style="172" bestFit="1" customWidth="1"/>
    <col min="4" max="4" width="6.5546875" style="173" customWidth="1"/>
    <col min="5" max="57" width="6.77734375" style="173" customWidth="1"/>
    <col min="58" max="60" width="7.21875" style="173" customWidth="1"/>
    <col min="61" max="63" width="7.21875" style="172" customWidth="1"/>
    <col min="64" max="64" width="7.21875" style="173" customWidth="1"/>
    <col min="65" max="68" width="7.21875" style="172" customWidth="1"/>
    <col min="69" max="105" width="4.77734375" style="172" customWidth="1"/>
    <col min="106" max="16384" width="56.5546875" style="172"/>
  </cols>
  <sheetData>
    <row r="1" spans="1:69" ht="19.5" customHeight="1">
      <c r="B1" s="234" t="s">
        <v>2746</v>
      </c>
      <c r="C1" s="2509"/>
      <c r="D1" s="2509"/>
      <c r="E1" s="2509"/>
      <c r="F1" s="2509"/>
      <c r="G1" s="2509"/>
      <c r="H1" s="2509"/>
      <c r="I1" s="2509"/>
      <c r="J1" s="2509"/>
      <c r="K1" s="2509"/>
      <c r="L1" s="2509"/>
      <c r="M1" s="2509"/>
      <c r="N1" s="2509"/>
      <c r="O1" s="2509"/>
      <c r="P1" s="2509"/>
      <c r="Q1" s="2509"/>
      <c r="R1" s="2509"/>
      <c r="S1" s="2509"/>
      <c r="T1" s="2509"/>
      <c r="U1" s="2509"/>
      <c r="V1" s="2509"/>
      <c r="W1" s="2509"/>
      <c r="X1" s="2509"/>
      <c r="Y1" s="2509"/>
      <c r="Z1" s="2509"/>
      <c r="AA1" s="2509"/>
      <c r="AB1" s="2509"/>
      <c r="AC1" s="2509"/>
      <c r="AD1" s="2509"/>
      <c r="AE1" s="2509"/>
      <c r="AF1" s="2509"/>
      <c r="AG1" s="2509"/>
      <c r="AH1" s="2509"/>
      <c r="AI1" s="2509"/>
      <c r="AJ1" s="2509"/>
      <c r="AK1" s="2509"/>
      <c r="AL1" s="2509"/>
      <c r="AM1" s="2509"/>
      <c r="AN1" s="2509"/>
      <c r="AO1" s="2509"/>
      <c r="AP1" s="2509"/>
      <c r="AQ1" s="2509"/>
      <c r="AR1" s="2509"/>
      <c r="AS1" s="2509"/>
      <c r="AT1" s="2509"/>
      <c r="AU1" s="2509"/>
      <c r="AV1" s="2509"/>
      <c r="AW1" s="2509"/>
      <c r="AX1" s="2509"/>
      <c r="AY1" s="2509"/>
      <c r="AZ1" s="2509"/>
      <c r="BA1" s="2509"/>
      <c r="BB1" s="2509"/>
      <c r="BC1" s="2509"/>
      <c r="BD1" s="2509"/>
      <c r="BE1" s="2509"/>
      <c r="BF1" s="2509"/>
      <c r="BG1" s="2509"/>
      <c r="BH1" s="2509"/>
    </row>
    <row r="2" spans="1:69" ht="15" thickBot="1">
      <c r="BG2" s="68"/>
    </row>
    <row r="3" spans="1:69" ht="61.5" customHeight="1">
      <c r="B3" s="1200" t="s">
        <v>189</v>
      </c>
      <c r="C3" s="1201" t="s">
        <v>1691</v>
      </c>
      <c r="D3" s="1200" t="s">
        <v>559</v>
      </c>
      <c r="E3" s="1200" t="s">
        <v>584</v>
      </c>
      <c r="F3" s="1200" t="s">
        <v>585</v>
      </c>
      <c r="G3" s="1200" t="s">
        <v>586</v>
      </c>
      <c r="H3" s="1200" t="s">
        <v>560</v>
      </c>
      <c r="I3" s="1200" t="s">
        <v>561</v>
      </c>
      <c r="J3" s="1200" t="s">
        <v>562</v>
      </c>
      <c r="K3" s="1200" t="s">
        <v>563</v>
      </c>
      <c r="L3" s="1200" t="s">
        <v>564</v>
      </c>
      <c r="M3" s="1200" t="s">
        <v>565</v>
      </c>
      <c r="N3" s="1200" t="s">
        <v>566</v>
      </c>
      <c r="O3" s="1200" t="s">
        <v>567</v>
      </c>
      <c r="P3" s="1200" t="s">
        <v>568</v>
      </c>
      <c r="Q3" s="1200" t="s">
        <v>569</v>
      </c>
      <c r="R3" s="1200" t="s">
        <v>570</v>
      </c>
      <c r="S3" s="1200" t="s">
        <v>571</v>
      </c>
      <c r="T3" s="1200" t="s">
        <v>572</v>
      </c>
      <c r="U3" s="1200" t="s">
        <v>854</v>
      </c>
      <c r="V3" s="1200" t="s">
        <v>573</v>
      </c>
      <c r="W3" s="1200" t="s">
        <v>574</v>
      </c>
      <c r="X3" s="1200" t="s">
        <v>575</v>
      </c>
      <c r="Y3" s="1200" t="s">
        <v>576</v>
      </c>
      <c r="Z3" s="1200" t="s">
        <v>577</v>
      </c>
      <c r="AA3" s="1200" t="s">
        <v>578</v>
      </c>
      <c r="AB3" s="1200" t="s">
        <v>393</v>
      </c>
      <c r="AC3" s="1200" t="s">
        <v>394</v>
      </c>
      <c r="AD3" s="1200" t="s">
        <v>395</v>
      </c>
      <c r="AE3" s="1200" t="s">
        <v>579</v>
      </c>
      <c r="AF3" s="1200" t="s">
        <v>580</v>
      </c>
      <c r="AG3" s="1200" t="s">
        <v>581</v>
      </c>
      <c r="AH3" s="1200" t="s">
        <v>661</v>
      </c>
      <c r="AI3" s="1200" t="s">
        <v>662</v>
      </c>
      <c r="AJ3" s="1200" t="s">
        <v>663</v>
      </c>
      <c r="AK3" s="1200" t="s">
        <v>711</v>
      </c>
      <c r="AL3" s="1200" t="s">
        <v>716</v>
      </c>
      <c r="AM3" s="1200" t="s">
        <v>805</v>
      </c>
      <c r="AN3" s="1200" t="s">
        <v>1664</v>
      </c>
      <c r="AO3" s="1200" t="s">
        <v>1665</v>
      </c>
      <c r="AP3" s="3918" t="s">
        <v>1666</v>
      </c>
      <c r="AQ3" s="1629" t="s">
        <v>1667</v>
      </c>
      <c r="AR3" s="1630" t="s">
        <v>1671</v>
      </c>
      <c r="AS3" s="1629" t="s">
        <v>1898</v>
      </c>
      <c r="AT3" s="1622" t="s">
        <v>1918</v>
      </c>
      <c r="AU3" s="1622" t="s">
        <v>2393</v>
      </c>
      <c r="AV3" s="1622" t="s">
        <v>1699</v>
      </c>
      <c r="AW3" s="2218" t="s">
        <v>2408</v>
      </c>
      <c r="AX3" s="2218" t="s">
        <v>2396</v>
      </c>
      <c r="AY3" s="2218" t="s">
        <v>2399</v>
      </c>
      <c r="AZ3" s="3922" t="s">
        <v>2773</v>
      </c>
      <c r="BA3" s="3922" t="s">
        <v>2649</v>
      </c>
      <c r="BB3" s="2218" t="s">
        <v>2974</v>
      </c>
      <c r="BC3" s="3922" t="s">
        <v>2975</v>
      </c>
      <c r="BD3" s="3922" t="s">
        <v>2976</v>
      </c>
      <c r="BE3" s="2218" t="s">
        <v>2977</v>
      </c>
      <c r="BF3" s="183" t="s">
        <v>2782</v>
      </c>
      <c r="BG3" s="183" t="s">
        <v>2783</v>
      </c>
      <c r="BH3" s="183" t="s">
        <v>2784</v>
      </c>
      <c r="BI3" s="183" t="s">
        <v>2785</v>
      </c>
      <c r="BJ3" s="183" t="s">
        <v>2786</v>
      </c>
      <c r="BK3" s="183" t="s">
        <v>2787</v>
      </c>
      <c r="BL3" s="183" t="s">
        <v>2788</v>
      </c>
      <c r="BM3" s="183" t="s">
        <v>2789</v>
      </c>
      <c r="BN3" s="183" t="s">
        <v>2790</v>
      </c>
      <c r="BO3" s="3914" t="s">
        <v>2791</v>
      </c>
      <c r="BP3" s="168" t="s">
        <v>2985</v>
      </c>
    </row>
    <row r="4" spans="1:69" ht="14.4">
      <c r="B4" s="1633" t="s">
        <v>370</v>
      </c>
      <c r="C4" s="1634"/>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6"/>
      <c r="AH4" s="1636"/>
      <c r="AI4" s="1636"/>
      <c r="AJ4" s="1636"/>
      <c r="AK4" s="1636"/>
      <c r="AL4" s="1636"/>
      <c r="AM4" s="1636"/>
      <c r="AN4" s="1636"/>
      <c r="AO4" s="1636"/>
      <c r="AP4" s="1636"/>
      <c r="AQ4" s="1632"/>
      <c r="AR4" s="1632"/>
      <c r="AS4" s="1632"/>
      <c r="AT4" s="1632"/>
      <c r="AU4" s="1632"/>
      <c r="AV4" s="1632"/>
      <c r="AW4" s="1632"/>
      <c r="AX4" s="1632"/>
      <c r="AY4" s="1632"/>
      <c r="AZ4" s="1632"/>
      <c r="BA4" s="1632"/>
      <c r="BB4" s="1632"/>
      <c r="BC4" s="1632"/>
      <c r="BD4" s="1632"/>
      <c r="BE4" s="1632"/>
      <c r="BF4" s="1637"/>
      <c r="BG4" s="1637"/>
      <c r="BH4" s="1637"/>
      <c r="BI4" s="1637"/>
      <c r="BJ4" s="1638"/>
      <c r="BK4" s="1638"/>
      <c r="BL4" s="1631"/>
      <c r="BM4" s="1631"/>
      <c r="BN4" s="1631"/>
      <c r="BO4" s="1631"/>
      <c r="BP4" s="1631"/>
    </row>
    <row r="5" spans="1:69" ht="29.25" customHeight="1">
      <c r="A5" s="173">
        <v>1</v>
      </c>
      <c r="B5" s="3201" t="s">
        <v>717</v>
      </c>
      <c r="C5" s="3290" t="s">
        <v>566</v>
      </c>
      <c r="D5" s="3291"/>
      <c r="E5" s="3291"/>
      <c r="F5" s="3291"/>
      <c r="G5" s="3291"/>
      <c r="H5" s="3292" t="s">
        <v>253</v>
      </c>
      <c r="I5" s="3293"/>
      <c r="J5" s="3291"/>
      <c r="K5" s="3291"/>
      <c r="L5" s="3291"/>
      <c r="M5" s="3292" t="s">
        <v>204</v>
      </c>
      <c r="N5" s="3294"/>
      <c r="O5" s="3291"/>
      <c r="P5" s="3291"/>
      <c r="Q5" s="3291"/>
      <c r="R5" s="3291" t="s">
        <v>202</v>
      </c>
      <c r="S5" s="3291"/>
      <c r="T5" s="3291"/>
      <c r="U5" s="3291"/>
      <c r="V5" s="3291"/>
      <c r="W5" s="3291"/>
      <c r="X5" s="3291"/>
      <c r="Y5" s="3291"/>
      <c r="Z5" s="3291"/>
      <c r="AA5" s="3291"/>
      <c r="AB5" s="3291"/>
      <c r="AC5" s="3291"/>
      <c r="AD5" s="3291"/>
      <c r="AE5" s="3293"/>
      <c r="AF5" s="3293"/>
      <c r="AG5" s="3295"/>
      <c r="AH5" s="3295"/>
      <c r="AI5" s="3295"/>
      <c r="AJ5" s="3295"/>
      <c r="AK5" s="3295"/>
      <c r="AL5" s="3295"/>
      <c r="AM5" s="3295"/>
      <c r="AN5" s="3295"/>
      <c r="AO5" s="3295"/>
      <c r="AP5" s="3295"/>
      <c r="AQ5" s="3295"/>
      <c r="AR5" s="3296" t="s">
        <v>1899</v>
      </c>
      <c r="AS5" s="3295"/>
      <c r="AT5" s="3295"/>
      <c r="AU5" s="3295"/>
      <c r="AV5" s="3297"/>
      <c r="AW5" s="3295"/>
      <c r="AX5" s="3298" t="s">
        <v>2647</v>
      </c>
      <c r="AY5" s="3295"/>
      <c r="AZ5" s="3326"/>
      <c r="BA5" s="3326"/>
      <c r="BB5" s="4870"/>
      <c r="BC5" s="4871"/>
      <c r="BD5" s="4871"/>
      <c r="BE5" s="4871"/>
      <c r="BF5" s="3299">
        <v>1</v>
      </c>
      <c r="BG5" s="3299"/>
      <c r="BH5" s="3299"/>
      <c r="BI5" s="3299"/>
      <c r="BJ5" s="3299"/>
      <c r="BK5" s="3299"/>
      <c r="BL5" s="3299">
        <v>1</v>
      </c>
      <c r="BM5" s="3299">
        <v>1</v>
      </c>
      <c r="BN5" s="3299">
        <v>1</v>
      </c>
      <c r="BO5" s="3299">
        <v>1</v>
      </c>
      <c r="BP5" s="3299">
        <v>1</v>
      </c>
    </row>
    <row r="6" spans="1:69" ht="29.25" customHeight="1">
      <c r="A6" s="173">
        <v>2</v>
      </c>
      <c r="B6" s="3211" t="s">
        <v>718</v>
      </c>
      <c r="C6" s="3212" t="s">
        <v>569</v>
      </c>
      <c r="D6" s="3300"/>
      <c r="E6" s="3300"/>
      <c r="F6" s="3300"/>
      <c r="G6" s="3300"/>
      <c r="H6" s="3233" t="s">
        <v>208</v>
      </c>
      <c r="I6" s="3300"/>
      <c r="J6" s="3300"/>
      <c r="K6" s="3300"/>
      <c r="L6" s="3233" t="s">
        <v>250</v>
      </c>
      <c r="M6" s="3300"/>
      <c r="N6" s="3300"/>
      <c r="O6" s="3233" t="s">
        <v>210</v>
      </c>
      <c r="P6" s="3300"/>
      <c r="Q6" s="3300"/>
      <c r="R6" s="3300"/>
      <c r="S6" s="3300"/>
      <c r="T6" s="3300" t="s">
        <v>203</v>
      </c>
      <c r="U6" s="3300"/>
      <c r="V6" s="3300"/>
      <c r="W6" s="3300"/>
      <c r="X6" s="3300"/>
      <c r="Y6" s="3300"/>
      <c r="Z6" s="3300"/>
      <c r="AA6" s="3300"/>
      <c r="AB6" s="3300"/>
      <c r="AC6" s="3300"/>
      <c r="AD6" s="3300"/>
      <c r="AE6" s="3300"/>
      <c r="AF6" s="3300"/>
      <c r="AG6" s="3231"/>
      <c r="AH6" s="3231"/>
      <c r="AI6" s="3231"/>
      <c r="AJ6" s="3231"/>
      <c r="AK6" s="3231"/>
      <c r="AL6" s="3231"/>
      <c r="AM6" s="3231"/>
      <c r="AN6" s="3231"/>
      <c r="AO6" s="3231"/>
      <c r="AP6" s="3231"/>
      <c r="AQ6" s="3231"/>
      <c r="AR6" s="3231"/>
      <c r="AS6" s="3231"/>
      <c r="AT6" s="3231"/>
      <c r="AU6" s="3301" t="s">
        <v>2418</v>
      </c>
      <c r="AV6" s="3232"/>
      <c r="AW6" s="3231"/>
      <c r="AX6" s="3301" t="s">
        <v>2647</v>
      </c>
      <c r="AY6" s="3231"/>
      <c r="AZ6" s="3326"/>
      <c r="BA6" s="3326"/>
      <c r="BB6" s="4872"/>
      <c r="BC6" s="3326"/>
      <c r="BD6" s="3326"/>
      <c r="BE6" s="3326"/>
      <c r="BF6" s="3302">
        <v>1</v>
      </c>
      <c r="BG6" s="3302">
        <v>1</v>
      </c>
      <c r="BH6" s="3302"/>
      <c r="BI6" s="3302"/>
      <c r="BJ6" s="3302"/>
      <c r="BK6" s="3302"/>
      <c r="BL6" s="3302"/>
      <c r="BM6" s="3302">
        <v>1</v>
      </c>
      <c r="BN6" s="3302">
        <v>1</v>
      </c>
      <c r="BO6" s="3302">
        <v>1</v>
      </c>
      <c r="BP6" s="3302">
        <v>1</v>
      </c>
      <c r="BQ6" s="219" t="s">
        <v>2400</v>
      </c>
    </row>
    <row r="7" spans="1:69" ht="29.25" customHeight="1">
      <c r="A7" s="173">
        <v>3</v>
      </c>
      <c r="B7" s="3211" t="s">
        <v>719</v>
      </c>
      <c r="C7" s="3212" t="s">
        <v>569</v>
      </c>
      <c r="D7" s="3300"/>
      <c r="E7" s="3300"/>
      <c r="F7" s="3300"/>
      <c r="G7" s="3300"/>
      <c r="H7" s="3233" t="s">
        <v>208</v>
      </c>
      <c r="I7" s="3300"/>
      <c r="J7" s="3300"/>
      <c r="K7" s="3300"/>
      <c r="L7" s="3233" t="s">
        <v>250</v>
      </c>
      <c r="M7" s="3303"/>
      <c r="N7" s="3300"/>
      <c r="O7" s="3233" t="s">
        <v>210</v>
      </c>
      <c r="P7" s="3300"/>
      <c r="Q7" s="3300"/>
      <c r="R7" s="3300"/>
      <c r="S7" s="3300"/>
      <c r="T7" s="3300" t="s">
        <v>203</v>
      </c>
      <c r="U7" s="3300"/>
      <c r="V7" s="3300"/>
      <c r="W7" s="3300"/>
      <c r="X7" s="3300"/>
      <c r="Y7" s="3300"/>
      <c r="Z7" s="3300"/>
      <c r="AA7" s="3300"/>
      <c r="AB7" s="3300"/>
      <c r="AC7" s="3300"/>
      <c r="AD7" s="3300"/>
      <c r="AE7" s="3300"/>
      <c r="AF7" s="3300"/>
      <c r="AG7" s="3231"/>
      <c r="AH7" s="3231"/>
      <c r="AI7" s="3231"/>
      <c r="AJ7" s="3231"/>
      <c r="AK7" s="3231"/>
      <c r="AL7" s="3231"/>
      <c r="AM7" s="3231"/>
      <c r="AN7" s="3231"/>
      <c r="AO7" s="3231"/>
      <c r="AP7" s="3231"/>
      <c r="AQ7" s="3231"/>
      <c r="AR7" s="3231"/>
      <c r="AS7" s="3231"/>
      <c r="AT7" s="3231"/>
      <c r="AU7" s="3301" t="s">
        <v>2418</v>
      </c>
      <c r="AV7" s="3232"/>
      <c r="AW7" s="3231"/>
      <c r="AX7" s="3301" t="s">
        <v>2647</v>
      </c>
      <c r="AY7" s="3231"/>
      <c r="AZ7" s="3326"/>
      <c r="BA7" s="3326"/>
      <c r="BB7" s="4872"/>
      <c r="BC7" s="3326"/>
      <c r="BD7" s="3326"/>
      <c r="BE7" s="3326"/>
      <c r="BF7" s="3302">
        <v>1</v>
      </c>
      <c r="BG7" s="3302">
        <v>1</v>
      </c>
      <c r="BH7" s="3302"/>
      <c r="BI7" s="3302"/>
      <c r="BJ7" s="3302"/>
      <c r="BK7" s="3302"/>
      <c r="BL7" s="3302"/>
      <c r="BM7" s="3302">
        <v>1</v>
      </c>
      <c r="BN7" s="3302">
        <v>1</v>
      </c>
      <c r="BO7" s="3302">
        <v>1</v>
      </c>
      <c r="BP7" s="3302">
        <v>1</v>
      </c>
      <c r="BQ7" s="219" t="s">
        <v>2400</v>
      </c>
    </row>
    <row r="8" spans="1:69" ht="29.25" customHeight="1">
      <c r="A8" s="173">
        <v>4</v>
      </c>
      <c r="B8" s="3211" t="s">
        <v>274</v>
      </c>
      <c r="C8" s="3212" t="s">
        <v>560</v>
      </c>
      <c r="D8" s="3300"/>
      <c r="E8" s="3300"/>
      <c r="F8" s="3300"/>
      <c r="G8" s="3300"/>
      <c r="H8" s="3233" t="s">
        <v>208</v>
      </c>
      <c r="I8" s="3300"/>
      <c r="J8" s="3300"/>
      <c r="K8" s="3300"/>
      <c r="L8" s="3300"/>
      <c r="M8" s="3300"/>
      <c r="N8" s="3300"/>
      <c r="O8" s="3300"/>
      <c r="P8" s="3300"/>
      <c r="Q8" s="3300"/>
      <c r="R8" s="3300"/>
      <c r="S8" s="3300"/>
      <c r="T8" s="3300"/>
      <c r="U8" s="3300"/>
      <c r="V8" s="3300"/>
      <c r="W8" s="3300"/>
      <c r="X8" s="3300"/>
      <c r="Y8" s="3300"/>
      <c r="Z8" s="3300"/>
      <c r="AA8" s="3300"/>
      <c r="AB8" s="3300"/>
      <c r="AC8" s="3300"/>
      <c r="AD8" s="3300"/>
      <c r="AE8" s="3300"/>
      <c r="AF8" s="3300"/>
      <c r="AG8" s="3231"/>
      <c r="AH8" s="3231"/>
      <c r="AI8" s="3231"/>
      <c r="AJ8" s="3231"/>
      <c r="AK8" s="3231"/>
      <c r="AL8" s="3231"/>
      <c r="AM8" s="3231"/>
      <c r="AN8" s="3231"/>
      <c r="AO8" s="3231"/>
      <c r="AP8" s="3231"/>
      <c r="AQ8" s="3304" t="s">
        <v>1904</v>
      </c>
      <c r="AR8" s="3231"/>
      <c r="AS8" s="3231"/>
      <c r="AT8" s="3231"/>
      <c r="AU8" s="3231"/>
      <c r="AV8" s="3232"/>
      <c r="AW8" s="3231"/>
      <c r="AX8" s="3301" t="s">
        <v>2647</v>
      </c>
      <c r="AY8" s="3231"/>
      <c r="AZ8" s="3326"/>
      <c r="BA8" s="3326"/>
      <c r="BB8" s="4872"/>
      <c r="BC8" s="4915" t="s">
        <v>2984</v>
      </c>
      <c r="BD8" s="3326"/>
      <c r="BE8" s="3326"/>
      <c r="BF8" s="3302"/>
      <c r="BG8" s="3302"/>
      <c r="BH8" s="3302"/>
      <c r="BI8" s="3302"/>
      <c r="BJ8" s="3302"/>
      <c r="BK8" s="3302"/>
      <c r="BL8" s="3302">
        <v>1</v>
      </c>
      <c r="BM8" s="3302">
        <v>1</v>
      </c>
      <c r="BN8" s="3302">
        <v>1</v>
      </c>
      <c r="BO8" s="3302">
        <v>1</v>
      </c>
      <c r="BP8" s="3302">
        <v>1</v>
      </c>
      <c r="BQ8" s="219"/>
    </row>
    <row r="9" spans="1:69" ht="29.25" customHeight="1">
      <c r="A9" s="173">
        <v>5</v>
      </c>
      <c r="B9" s="3211" t="s">
        <v>275</v>
      </c>
      <c r="C9" s="3212" t="s">
        <v>560</v>
      </c>
      <c r="D9" s="3300"/>
      <c r="E9" s="3300"/>
      <c r="F9" s="3300"/>
      <c r="G9" s="3300"/>
      <c r="H9" s="3233" t="s">
        <v>208</v>
      </c>
      <c r="I9" s="3300"/>
      <c r="J9" s="3300"/>
      <c r="K9" s="3300"/>
      <c r="L9" s="3300"/>
      <c r="M9" s="3300"/>
      <c r="N9" s="3300"/>
      <c r="O9" s="3300"/>
      <c r="P9" s="3300"/>
      <c r="Q9" s="3300"/>
      <c r="R9" s="3300"/>
      <c r="S9" s="3300"/>
      <c r="T9" s="3300"/>
      <c r="U9" s="3300"/>
      <c r="V9" s="3300"/>
      <c r="W9" s="3300"/>
      <c r="X9" s="3300"/>
      <c r="Y9" s="3300"/>
      <c r="Z9" s="3300"/>
      <c r="AA9" s="3300"/>
      <c r="AB9" s="3300"/>
      <c r="AC9" s="3300"/>
      <c r="AD9" s="3300"/>
      <c r="AE9" s="3300"/>
      <c r="AF9" s="3300"/>
      <c r="AG9" s="3231"/>
      <c r="AH9" s="3231"/>
      <c r="AI9" s="3231"/>
      <c r="AJ9" s="3231"/>
      <c r="AK9" s="3231"/>
      <c r="AL9" s="3231"/>
      <c r="AM9" s="3231"/>
      <c r="AN9" s="3231"/>
      <c r="AO9" s="3231"/>
      <c r="AP9" s="3231"/>
      <c r="AQ9" s="3304" t="s">
        <v>1904</v>
      </c>
      <c r="AR9" s="3231"/>
      <c r="AS9" s="3231"/>
      <c r="AT9" s="3231"/>
      <c r="AU9" s="3231"/>
      <c r="AV9" s="3232"/>
      <c r="AW9" s="3231"/>
      <c r="AX9" s="3301" t="s">
        <v>2647</v>
      </c>
      <c r="AY9" s="3231"/>
      <c r="AZ9" s="3326"/>
      <c r="BA9" s="3326"/>
      <c r="BB9" s="4872"/>
      <c r="BC9" s="4915" t="s">
        <v>2984</v>
      </c>
      <c r="BD9" s="3326"/>
      <c r="BE9" s="3326"/>
      <c r="BF9" s="3302"/>
      <c r="BG9" s="3302"/>
      <c r="BH9" s="3302"/>
      <c r="BI9" s="3302"/>
      <c r="BJ9" s="3302"/>
      <c r="BK9" s="3302"/>
      <c r="BL9" s="3302">
        <v>1</v>
      </c>
      <c r="BM9" s="3302">
        <v>1</v>
      </c>
      <c r="BN9" s="3302">
        <v>1</v>
      </c>
      <c r="BO9" s="3302">
        <v>1</v>
      </c>
      <c r="BP9" s="3302">
        <v>1</v>
      </c>
      <c r="BQ9" s="219"/>
    </row>
    <row r="10" spans="1:69" ht="29.25" customHeight="1">
      <c r="A10" s="173">
        <v>6</v>
      </c>
      <c r="B10" s="3211" t="s">
        <v>1910</v>
      </c>
      <c r="C10" s="3212" t="s">
        <v>1671</v>
      </c>
      <c r="D10" s="3300"/>
      <c r="E10" s="3300"/>
      <c r="F10" s="3300"/>
      <c r="G10" s="3300"/>
      <c r="H10" s="3300"/>
      <c r="I10" s="3300"/>
      <c r="J10" s="3300"/>
      <c r="K10" s="3300"/>
      <c r="L10" s="3300"/>
      <c r="M10" s="3300"/>
      <c r="N10" s="3300"/>
      <c r="O10" s="3300"/>
      <c r="P10" s="3300"/>
      <c r="Q10" s="3300"/>
      <c r="R10" s="3300"/>
      <c r="S10" s="3300"/>
      <c r="T10" s="3300"/>
      <c r="U10" s="3300"/>
      <c r="V10" s="3300"/>
      <c r="W10" s="3300"/>
      <c r="X10" s="3300"/>
      <c r="Y10" s="3300"/>
      <c r="Z10" s="3300"/>
      <c r="AA10" s="3300"/>
      <c r="AB10" s="3300"/>
      <c r="AC10" s="3300"/>
      <c r="AD10" s="3305" t="s">
        <v>422</v>
      </c>
      <c r="AE10" s="3300"/>
      <c r="AF10" s="3300"/>
      <c r="AG10" s="3231"/>
      <c r="AH10" s="3231"/>
      <c r="AI10" s="3231"/>
      <c r="AJ10" s="3231"/>
      <c r="AK10" s="3231"/>
      <c r="AL10" s="3231"/>
      <c r="AM10" s="3231"/>
      <c r="AN10" s="3231"/>
      <c r="AO10" s="3231"/>
      <c r="AP10" s="3233" t="s">
        <v>1692</v>
      </c>
      <c r="AQ10" s="3300"/>
      <c r="AR10" s="3300"/>
      <c r="AS10" s="3300"/>
      <c r="AT10" s="3300"/>
      <c r="AU10" s="3300"/>
      <c r="AV10" s="3306"/>
      <c r="AW10" s="3300"/>
      <c r="AX10" s="3300"/>
      <c r="AY10" s="3233" t="s">
        <v>2639</v>
      </c>
      <c r="AZ10" s="3326"/>
      <c r="BA10" s="3326"/>
      <c r="BB10" s="4872"/>
      <c r="BC10" s="3326"/>
      <c r="BD10" s="3326"/>
      <c r="BE10" s="3326"/>
      <c r="BF10" s="3302"/>
      <c r="BG10" s="3302"/>
      <c r="BH10" s="3302">
        <v>1</v>
      </c>
      <c r="BI10" s="3302">
        <v>1</v>
      </c>
      <c r="BJ10" s="3302">
        <v>1</v>
      </c>
      <c r="BK10" s="3302">
        <v>1</v>
      </c>
      <c r="BL10" s="3302">
        <v>1</v>
      </c>
      <c r="BM10" s="3302">
        <v>1</v>
      </c>
      <c r="BN10" s="3302">
        <v>1</v>
      </c>
      <c r="BO10" s="3302">
        <v>1</v>
      </c>
      <c r="BP10" s="3302">
        <v>1</v>
      </c>
      <c r="BQ10" s="219"/>
    </row>
    <row r="11" spans="1:69" ht="29.25" customHeight="1">
      <c r="A11" s="173">
        <v>7</v>
      </c>
      <c r="B11" s="3211" t="s">
        <v>1911</v>
      </c>
      <c r="C11" s="3212" t="s">
        <v>1671</v>
      </c>
      <c r="D11" s="3300"/>
      <c r="E11" s="3300"/>
      <c r="F11" s="3300"/>
      <c r="G11" s="3300"/>
      <c r="H11" s="3300"/>
      <c r="I11" s="3300"/>
      <c r="J11" s="3300"/>
      <c r="K11" s="3300"/>
      <c r="L11" s="3300"/>
      <c r="M11" s="3300"/>
      <c r="N11" s="3300"/>
      <c r="O11" s="3300"/>
      <c r="P11" s="3300"/>
      <c r="Q11" s="3300"/>
      <c r="R11" s="3300"/>
      <c r="S11" s="3300"/>
      <c r="T11" s="3300"/>
      <c r="U11" s="3300"/>
      <c r="V11" s="3300"/>
      <c r="W11" s="3300"/>
      <c r="X11" s="3300"/>
      <c r="Y11" s="3300"/>
      <c r="Z11" s="3300"/>
      <c r="AA11" s="3300"/>
      <c r="AB11" s="3300"/>
      <c r="AC11" s="3300"/>
      <c r="AD11" s="3305" t="s">
        <v>379</v>
      </c>
      <c r="AE11" s="3300"/>
      <c r="AF11" s="3300"/>
      <c r="AG11" s="3231"/>
      <c r="AH11" s="3231"/>
      <c r="AI11" s="3231"/>
      <c r="AJ11" s="3231"/>
      <c r="AK11" s="3231"/>
      <c r="AL11" s="3231"/>
      <c r="AM11" s="3231"/>
      <c r="AN11" s="3231"/>
      <c r="AO11" s="3231"/>
      <c r="AP11" s="3233" t="s">
        <v>1692</v>
      </c>
      <c r="AQ11" s="3300"/>
      <c r="AR11" s="3300"/>
      <c r="AS11" s="3300"/>
      <c r="AT11" s="3300"/>
      <c r="AU11" s="3300"/>
      <c r="AV11" s="3306"/>
      <c r="AW11" s="3300"/>
      <c r="AX11" s="3300"/>
      <c r="AY11" s="3233" t="s">
        <v>2639</v>
      </c>
      <c r="AZ11" s="3326"/>
      <c r="BA11" s="3326"/>
      <c r="BB11" s="4872"/>
      <c r="BC11" s="3326"/>
      <c r="BD11" s="3326"/>
      <c r="BE11" s="3326"/>
      <c r="BF11" s="3302"/>
      <c r="BG11" s="3302"/>
      <c r="BH11" s="3302">
        <v>1</v>
      </c>
      <c r="BI11" s="3302">
        <v>1</v>
      </c>
      <c r="BJ11" s="3302">
        <v>1</v>
      </c>
      <c r="BK11" s="3302">
        <v>1</v>
      </c>
      <c r="BL11" s="3302">
        <v>1</v>
      </c>
      <c r="BM11" s="3302">
        <v>1</v>
      </c>
      <c r="BN11" s="3302">
        <v>1</v>
      </c>
      <c r="BO11" s="3302">
        <v>1</v>
      </c>
      <c r="BP11" s="3302">
        <v>1</v>
      </c>
      <c r="BQ11" s="219"/>
    </row>
    <row r="12" spans="1:69" ht="29.25" customHeight="1">
      <c r="A12" s="173">
        <v>8</v>
      </c>
      <c r="B12" s="3211" t="s">
        <v>1912</v>
      </c>
      <c r="C12" s="3212" t="s">
        <v>579</v>
      </c>
      <c r="D12" s="3300"/>
      <c r="E12" s="3300"/>
      <c r="F12" s="3300"/>
      <c r="G12" s="3300"/>
      <c r="H12" s="3300"/>
      <c r="I12" s="3300"/>
      <c r="J12" s="3300"/>
      <c r="K12" s="3300"/>
      <c r="L12" s="3300"/>
      <c r="M12" s="3300" t="s">
        <v>327</v>
      </c>
      <c r="N12" s="3300"/>
      <c r="O12" s="3300"/>
      <c r="P12" s="3300"/>
      <c r="Q12" s="3300"/>
      <c r="R12" s="3300"/>
      <c r="S12" s="3300"/>
      <c r="T12" s="3300"/>
      <c r="U12" s="3300"/>
      <c r="V12" s="3300"/>
      <c r="W12" s="3300"/>
      <c r="X12" s="3300"/>
      <c r="Y12" s="3300"/>
      <c r="Z12" s="3300"/>
      <c r="AA12" s="3300"/>
      <c r="AB12" s="3300"/>
      <c r="AC12" s="3300"/>
      <c r="AD12" s="3305" t="s">
        <v>380</v>
      </c>
      <c r="AE12" s="3300"/>
      <c r="AF12" s="3300"/>
      <c r="AG12" s="3231"/>
      <c r="AH12" s="3231"/>
      <c r="AI12" s="3231"/>
      <c r="AJ12" s="3231"/>
      <c r="AK12" s="3231"/>
      <c r="AL12" s="3231"/>
      <c r="AM12" s="3231"/>
      <c r="AN12" s="3231"/>
      <c r="AO12" s="3231"/>
      <c r="AP12" s="3231"/>
      <c r="AQ12" s="3231"/>
      <c r="AR12" s="3231"/>
      <c r="AS12" s="3231"/>
      <c r="AT12" s="3231"/>
      <c r="AU12" s="3301" t="s">
        <v>2418</v>
      </c>
      <c r="AV12" s="3232"/>
      <c r="AW12" s="3231"/>
      <c r="AX12" s="3233" t="s">
        <v>2647</v>
      </c>
      <c r="AY12" s="3231"/>
      <c r="AZ12" s="3326"/>
      <c r="BA12" s="3326"/>
      <c r="BB12" s="4872"/>
      <c r="BC12" s="3326"/>
      <c r="BD12" s="3326"/>
      <c r="BE12" s="3326"/>
      <c r="BF12" s="3302"/>
      <c r="BG12" s="3302"/>
      <c r="BH12" s="3302">
        <v>1</v>
      </c>
      <c r="BI12" s="3302">
        <v>1</v>
      </c>
      <c r="BJ12" s="3302">
        <v>1</v>
      </c>
      <c r="BK12" s="3302">
        <v>1</v>
      </c>
      <c r="BL12" s="3302"/>
      <c r="BM12" s="3302">
        <v>1</v>
      </c>
      <c r="BN12" s="3302">
        <v>1</v>
      </c>
      <c r="BO12" s="3302">
        <v>1</v>
      </c>
      <c r="BP12" s="3302"/>
      <c r="BQ12" s="219"/>
    </row>
    <row r="13" spans="1:69" ht="29.25" customHeight="1">
      <c r="A13" s="173">
        <v>9</v>
      </c>
      <c r="B13" s="3211" t="s">
        <v>1913</v>
      </c>
      <c r="C13" s="3212" t="s">
        <v>579</v>
      </c>
      <c r="D13" s="3300"/>
      <c r="E13" s="3300"/>
      <c r="F13" s="3300"/>
      <c r="G13" s="3300"/>
      <c r="H13" s="3300"/>
      <c r="I13" s="3300"/>
      <c r="J13" s="3300"/>
      <c r="K13" s="3300"/>
      <c r="L13" s="3300"/>
      <c r="M13" s="3300"/>
      <c r="N13" s="3300"/>
      <c r="O13" s="3300"/>
      <c r="P13" s="3300"/>
      <c r="Q13" s="3300"/>
      <c r="R13" s="3300"/>
      <c r="S13" s="3300"/>
      <c r="T13" s="3300"/>
      <c r="U13" s="3300"/>
      <c r="V13" s="3300"/>
      <c r="W13" s="3300"/>
      <c r="X13" s="3300"/>
      <c r="Y13" s="3300"/>
      <c r="Z13" s="3300"/>
      <c r="AA13" s="3300"/>
      <c r="AB13" s="3300"/>
      <c r="AC13" s="3300"/>
      <c r="AD13" s="3305" t="s">
        <v>380</v>
      </c>
      <c r="AE13" s="3300"/>
      <c r="AF13" s="3300"/>
      <c r="AG13" s="3231"/>
      <c r="AH13" s="3231"/>
      <c r="AI13" s="3231"/>
      <c r="AJ13" s="3231"/>
      <c r="AK13" s="3231"/>
      <c r="AL13" s="3231"/>
      <c r="AM13" s="3231"/>
      <c r="AN13" s="3231"/>
      <c r="AO13" s="3231"/>
      <c r="AP13" s="3231"/>
      <c r="AQ13" s="3231"/>
      <c r="AR13" s="3231"/>
      <c r="AS13" s="3231"/>
      <c r="AT13" s="3231"/>
      <c r="AU13" s="3301" t="s">
        <v>2418</v>
      </c>
      <c r="AV13" s="3232"/>
      <c r="AW13" s="3231"/>
      <c r="AX13" s="3233" t="s">
        <v>2647</v>
      </c>
      <c r="AY13" s="3231"/>
      <c r="AZ13" s="3326"/>
      <c r="BA13" s="3326"/>
      <c r="BB13" s="4872"/>
      <c r="BC13" s="3326"/>
      <c r="BD13" s="3326"/>
      <c r="BE13" s="3326"/>
      <c r="BF13" s="3302"/>
      <c r="BG13" s="3302"/>
      <c r="BH13" s="3302">
        <v>1</v>
      </c>
      <c r="BI13" s="3302">
        <v>1</v>
      </c>
      <c r="BJ13" s="3302">
        <v>1</v>
      </c>
      <c r="BK13" s="3302">
        <v>1</v>
      </c>
      <c r="BL13" s="3302"/>
      <c r="BM13" s="3302">
        <v>1</v>
      </c>
      <c r="BN13" s="3302">
        <v>1</v>
      </c>
      <c r="BO13" s="3302">
        <v>1</v>
      </c>
      <c r="BP13" s="3302">
        <v>1</v>
      </c>
      <c r="BQ13" s="219"/>
    </row>
    <row r="14" spans="1:69" ht="29.25" customHeight="1">
      <c r="A14" s="173">
        <v>10</v>
      </c>
      <c r="B14" s="3211" t="s">
        <v>2398</v>
      </c>
      <c r="C14" s="3246" t="s">
        <v>2399</v>
      </c>
      <c r="D14" s="3300"/>
      <c r="E14" s="3300"/>
      <c r="F14" s="3300"/>
      <c r="G14" s="3300"/>
      <c r="H14" s="3300"/>
      <c r="I14" s="3300"/>
      <c r="J14" s="3300"/>
      <c r="K14" s="3300"/>
      <c r="L14" s="3300"/>
      <c r="M14" s="3300"/>
      <c r="N14" s="3300"/>
      <c r="O14" s="3300"/>
      <c r="P14" s="3300"/>
      <c r="Q14" s="3300"/>
      <c r="R14" s="3300"/>
      <c r="S14" s="3300"/>
      <c r="T14" s="3300"/>
      <c r="U14" s="3300"/>
      <c r="V14" s="3300"/>
      <c r="W14" s="3300"/>
      <c r="X14" s="3300"/>
      <c r="Y14" s="3300"/>
      <c r="Z14" s="3300"/>
      <c r="AA14" s="3300"/>
      <c r="AB14" s="3300"/>
      <c r="AC14" s="3300"/>
      <c r="AD14" s="3300"/>
      <c r="AE14" s="3300"/>
      <c r="AF14" s="3300"/>
      <c r="AG14" s="3231"/>
      <c r="AH14" s="3231"/>
      <c r="AI14" s="3231"/>
      <c r="AJ14" s="3231"/>
      <c r="AK14" s="3231"/>
      <c r="AL14" s="3231"/>
      <c r="AM14" s="3231"/>
      <c r="AN14" s="3231"/>
      <c r="AO14" s="3231"/>
      <c r="AP14" s="3231"/>
      <c r="AQ14" s="3231"/>
      <c r="AR14" s="3231"/>
      <c r="AS14" s="3231"/>
      <c r="AT14" s="3231"/>
      <c r="AU14" s="3231"/>
      <c r="AV14" s="3923" t="s">
        <v>2419</v>
      </c>
      <c r="AW14" s="3326"/>
      <c r="AX14" s="3326"/>
      <c r="AY14" s="3326"/>
      <c r="AZ14" s="3326"/>
      <c r="BA14" s="3326"/>
      <c r="BB14" s="4872"/>
      <c r="BC14" s="3326"/>
      <c r="BD14" s="3326"/>
      <c r="BE14" s="3326"/>
      <c r="BF14" s="3302"/>
      <c r="BG14" s="3302"/>
      <c r="BH14" s="3302"/>
      <c r="BI14" s="3302"/>
      <c r="BJ14" s="3302"/>
      <c r="BK14" s="3302"/>
      <c r="BL14" s="3302"/>
      <c r="BM14" s="3302"/>
      <c r="BN14" s="3302">
        <v>1</v>
      </c>
      <c r="BO14" s="3302">
        <v>1</v>
      </c>
      <c r="BP14" s="3302">
        <v>1</v>
      </c>
      <c r="BQ14" s="219"/>
    </row>
    <row r="15" spans="1:69" ht="14.4">
      <c r="B15" s="3307" t="s">
        <v>371</v>
      </c>
      <c r="C15" s="3308"/>
      <c r="D15" s="3941"/>
      <c r="E15" s="3941"/>
      <c r="F15" s="3941"/>
      <c r="G15" s="3941"/>
      <c r="H15" s="3941"/>
      <c r="I15" s="3941"/>
      <c r="J15" s="3941"/>
      <c r="K15" s="3941"/>
      <c r="L15" s="3941"/>
      <c r="M15" s="3941"/>
      <c r="N15" s="3941"/>
      <c r="O15" s="3941"/>
      <c r="P15" s="3941"/>
      <c r="Q15" s="3941"/>
      <c r="R15" s="3941"/>
      <c r="S15" s="3941"/>
      <c r="T15" s="3941"/>
      <c r="U15" s="3941"/>
      <c r="V15" s="3941"/>
      <c r="W15" s="3941"/>
      <c r="X15" s="3941"/>
      <c r="Y15" s="3941"/>
      <c r="Z15" s="3941"/>
      <c r="AA15" s="3941"/>
      <c r="AB15" s="3941"/>
      <c r="AC15" s="3941"/>
      <c r="AD15" s="3941"/>
      <c r="AE15" s="3941"/>
      <c r="AF15" s="3941"/>
      <c r="AG15" s="3942"/>
      <c r="AH15" s="3942"/>
      <c r="AI15" s="3942"/>
      <c r="AJ15" s="3942"/>
      <c r="AK15" s="3942"/>
      <c r="AL15" s="3942"/>
      <c r="AM15" s="3942"/>
      <c r="AN15" s="3942"/>
      <c r="AO15" s="3942"/>
      <c r="AP15" s="3942"/>
      <c r="AQ15" s="3943"/>
      <c r="AR15" s="3943"/>
      <c r="AS15" s="3943"/>
      <c r="AT15" s="3943"/>
      <c r="AU15" s="3943"/>
      <c r="AV15" s="3943"/>
      <c r="AW15" s="3944"/>
      <c r="AX15" s="3944"/>
      <c r="AY15" s="3944"/>
      <c r="AZ15" s="3944"/>
      <c r="BA15" s="3944"/>
      <c r="BB15" s="4873"/>
      <c r="BC15" s="3944"/>
      <c r="BD15" s="3944"/>
      <c r="BE15" s="3944"/>
      <c r="BF15" s="3309"/>
      <c r="BG15" s="3309"/>
      <c r="BH15" s="3309"/>
      <c r="BI15" s="3309"/>
      <c r="BJ15" s="3310"/>
      <c r="BK15" s="3310"/>
      <c r="BL15" s="3311"/>
      <c r="BM15" s="3311"/>
      <c r="BN15" s="3311"/>
      <c r="BO15" s="3311"/>
      <c r="BP15" s="3311"/>
    </row>
    <row r="16" spans="1:69" ht="29.25" customHeight="1">
      <c r="A16" s="173">
        <v>11</v>
      </c>
      <c r="B16" s="3211" t="s">
        <v>720</v>
      </c>
      <c r="C16" s="3212" t="s">
        <v>569</v>
      </c>
      <c r="D16" s="3300"/>
      <c r="E16" s="3300"/>
      <c r="F16" s="3300"/>
      <c r="G16" s="3300"/>
      <c r="H16" s="3300"/>
      <c r="I16" s="3300"/>
      <c r="J16" s="3300"/>
      <c r="K16" s="3300"/>
      <c r="L16" s="3300"/>
      <c r="M16" s="3300"/>
      <c r="N16" s="3300"/>
      <c r="O16" s="3300"/>
      <c r="P16" s="3300"/>
      <c r="Q16" s="3233" t="s">
        <v>210</v>
      </c>
      <c r="R16" s="3300"/>
      <c r="S16" s="3300"/>
      <c r="T16" s="3300"/>
      <c r="U16" s="3300"/>
      <c r="V16" s="3300"/>
      <c r="W16" s="3300"/>
      <c r="X16" s="3300"/>
      <c r="Y16" s="3300"/>
      <c r="Z16" s="3300"/>
      <c r="AA16" s="3300"/>
      <c r="AB16" s="3300"/>
      <c r="AC16" s="3300"/>
      <c r="AD16" s="3300"/>
      <c r="AE16" s="3300"/>
      <c r="AF16" s="3300"/>
      <c r="AG16" s="3231"/>
      <c r="AH16" s="3231"/>
      <c r="AI16" s="3231"/>
      <c r="AJ16" s="3231"/>
      <c r="AK16" s="3231"/>
      <c r="AL16" s="3231"/>
      <c r="AM16" s="3231"/>
      <c r="AN16" s="3231"/>
      <c r="AO16" s="3231"/>
      <c r="AP16" s="3231"/>
      <c r="AQ16" s="3231"/>
      <c r="AR16" s="3231"/>
      <c r="AS16" s="3231"/>
      <c r="AT16" s="3231"/>
      <c r="AU16" s="3231"/>
      <c r="AV16" s="3232"/>
      <c r="AW16" s="3231"/>
      <c r="AX16" s="3231"/>
      <c r="AY16" s="3231"/>
      <c r="AZ16" s="3304" t="s">
        <v>2774</v>
      </c>
      <c r="BA16" s="3304" t="s">
        <v>2775</v>
      </c>
      <c r="BB16" s="4875"/>
      <c r="BC16" s="3924"/>
      <c r="BD16" s="3924"/>
      <c r="BE16" s="3924"/>
      <c r="BF16" s="3302">
        <v>1</v>
      </c>
      <c r="BG16" s="3302">
        <v>1</v>
      </c>
      <c r="BH16" s="3302"/>
      <c r="BI16" s="3302"/>
      <c r="BJ16" s="3302"/>
      <c r="BK16" s="3302"/>
      <c r="BL16" s="3302"/>
      <c r="BM16" s="3302"/>
      <c r="BN16" s="3302"/>
      <c r="BO16" s="3302">
        <v>1</v>
      </c>
      <c r="BP16" s="3302">
        <v>1</v>
      </c>
    </row>
    <row r="17" spans="1:68" ht="29.25" customHeight="1">
      <c r="A17" s="173">
        <v>12</v>
      </c>
      <c r="B17" s="3211" t="s">
        <v>721</v>
      </c>
      <c r="C17" s="3212" t="s">
        <v>561</v>
      </c>
      <c r="D17" s="3300"/>
      <c r="E17" s="3300"/>
      <c r="F17" s="3300"/>
      <c r="G17" s="3300"/>
      <c r="H17" s="3300"/>
      <c r="I17" s="3305" t="s">
        <v>1693</v>
      </c>
      <c r="J17" s="3300"/>
      <c r="K17" s="3300"/>
      <c r="L17" s="3300"/>
      <c r="M17" s="3300"/>
      <c r="N17" s="3300"/>
      <c r="O17" s="3300"/>
      <c r="P17" s="3300"/>
      <c r="Q17" s="3300"/>
      <c r="R17" s="3300"/>
      <c r="S17" s="3300"/>
      <c r="T17" s="3300"/>
      <c r="U17" s="3300"/>
      <c r="V17" s="3300"/>
      <c r="W17" s="3300"/>
      <c r="X17" s="3300"/>
      <c r="Y17" s="3300"/>
      <c r="Z17" s="3300"/>
      <c r="AA17" s="3300"/>
      <c r="AB17" s="3300"/>
      <c r="AC17" s="3300"/>
      <c r="AD17" s="3300"/>
      <c r="AE17" s="3300"/>
      <c r="AF17" s="3300"/>
      <c r="AG17" s="3231"/>
      <c r="AH17" s="3231"/>
      <c r="AI17" s="3231"/>
      <c r="AJ17" s="3231"/>
      <c r="AK17" s="3231"/>
      <c r="AL17" s="3231"/>
      <c r="AM17" s="3231"/>
      <c r="AN17" s="3231"/>
      <c r="AO17" s="3231"/>
      <c r="AP17" s="3231"/>
      <c r="AQ17" s="3231"/>
      <c r="AR17" s="3231"/>
      <c r="AS17" s="3231"/>
      <c r="AT17" s="3231"/>
      <c r="AU17" s="3231"/>
      <c r="AV17" s="3232"/>
      <c r="AW17" s="3231"/>
      <c r="AX17" s="3231"/>
      <c r="AY17" s="3231"/>
      <c r="AZ17" s="3231"/>
      <c r="BA17" s="3231"/>
      <c r="BB17" s="4874"/>
      <c r="BC17" s="3231"/>
      <c r="BD17" s="3231"/>
      <c r="BE17" s="3231"/>
      <c r="BF17" s="3302"/>
      <c r="BG17" s="3302"/>
      <c r="BH17" s="3302"/>
      <c r="BI17" s="3302"/>
      <c r="BJ17" s="3302"/>
      <c r="BK17" s="3302"/>
      <c r="BL17" s="3302"/>
      <c r="BM17" s="3302"/>
      <c r="BN17" s="3302"/>
      <c r="BO17" s="3302"/>
      <c r="BP17" s="3302"/>
    </row>
    <row r="18" spans="1:68" ht="29.25" customHeight="1">
      <c r="A18" s="173">
        <v>13</v>
      </c>
      <c r="B18" s="3211" t="s">
        <v>722</v>
      </c>
      <c r="C18" s="3212" t="s">
        <v>571</v>
      </c>
      <c r="D18" s="3300"/>
      <c r="E18" s="3300"/>
      <c r="F18" s="3300"/>
      <c r="G18" s="3300"/>
      <c r="H18" s="3300"/>
      <c r="I18" s="3300"/>
      <c r="J18" s="3300"/>
      <c r="K18" s="3300"/>
      <c r="L18" s="3300"/>
      <c r="M18" s="3300"/>
      <c r="N18" s="3300"/>
      <c r="O18" s="3300"/>
      <c r="P18" s="3300"/>
      <c r="Q18" s="3300"/>
      <c r="R18" s="3304" t="s">
        <v>229</v>
      </c>
      <c r="S18" s="3303"/>
      <c r="T18" s="3300"/>
      <c r="U18" s="3300"/>
      <c r="V18" s="3300"/>
      <c r="W18" s="3300"/>
      <c r="X18" s="3300"/>
      <c r="Y18" s="3300"/>
      <c r="Z18" s="3300"/>
      <c r="AA18" s="3300"/>
      <c r="AB18" s="3300"/>
      <c r="AC18" s="3300"/>
      <c r="AD18" s="3300"/>
      <c r="AE18" s="3300"/>
      <c r="AF18" s="3300"/>
      <c r="AG18" s="3231"/>
      <c r="AH18" s="3231"/>
      <c r="AI18" s="3231"/>
      <c r="AJ18" s="3231"/>
      <c r="AK18" s="3231"/>
      <c r="AL18" s="3231"/>
      <c r="AM18" s="3231"/>
      <c r="AN18" s="3231"/>
      <c r="AO18" s="3231"/>
      <c r="AP18" s="3231"/>
      <c r="AQ18" s="3231"/>
      <c r="AR18" s="3231"/>
      <c r="AS18" s="3231"/>
      <c r="AT18" s="3231"/>
      <c r="AU18" s="3231"/>
      <c r="AV18" s="3232"/>
      <c r="AW18" s="3231"/>
      <c r="AX18" s="3231"/>
      <c r="AY18" s="3231"/>
      <c r="AZ18" s="3233" t="s">
        <v>2776</v>
      </c>
      <c r="BA18" s="3924"/>
      <c r="BB18" s="4875"/>
      <c r="BC18" s="3924"/>
      <c r="BD18" s="3924"/>
      <c r="BE18" s="3924"/>
      <c r="BF18" s="3302">
        <v>1</v>
      </c>
      <c r="BG18" s="3302">
        <v>1</v>
      </c>
      <c r="BH18" s="3302">
        <v>1</v>
      </c>
      <c r="BI18" s="3302"/>
      <c r="BJ18" s="3302"/>
      <c r="BK18" s="3302"/>
      <c r="BL18" s="3302"/>
      <c r="BM18" s="3302"/>
      <c r="BN18" s="3302"/>
      <c r="BO18" s="3302">
        <v>1</v>
      </c>
      <c r="BP18" s="3302">
        <v>1</v>
      </c>
    </row>
    <row r="19" spans="1:68" ht="29.25" customHeight="1">
      <c r="A19" s="173">
        <v>14</v>
      </c>
      <c r="B19" s="3211" t="s">
        <v>723</v>
      </c>
      <c r="C19" s="3212" t="s">
        <v>395</v>
      </c>
      <c r="D19" s="3300"/>
      <c r="E19" s="3300"/>
      <c r="F19" s="3300"/>
      <c r="G19" s="3300"/>
      <c r="H19" s="3300"/>
      <c r="I19" s="3300"/>
      <c r="J19" s="3300"/>
      <c r="K19" s="3300"/>
      <c r="L19" s="3300"/>
      <c r="M19" s="3300"/>
      <c r="N19" s="3300"/>
      <c r="O19" s="3300"/>
      <c r="P19" s="3300"/>
      <c r="Q19" s="3300"/>
      <c r="R19" s="3300"/>
      <c r="S19" s="3300"/>
      <c r="T19" s="3300"/>
      <c r="U19" s="3300"/>
      <c r="V19" s="3300"/>
      <c r="W19" s="3300"/>
      <c r="X19" s="3300"/>
      <c r="Y19" s="3300"/>
      <c r="Z19" s="3300"/>
      <c r="AA19" s="3300"/>
      <c r="AB19" s="3300"/>
      <c r="AC19" s="3233" t="s">
        <v>230</v>
      </c>
      <c r="AD19" s="3300"/>
      <c r="AE19" s="3300"/>
      <c r="AF19" s="3300"/>
      <c r="AG19" s="3231"/>
      <c r="AH19" s="3231"/>
      <c r="AI19" s="3231"/>
      <c r="AJ19" s="3231"/>
      <c r="AK19" s="3231"/>
      <c r="AL19" s="3231"/>
      <c r="AM19" s="3231"/>
      <c r="AN19" s="3231"/>
      <c r="AO19" s="3231"/>
      <c r="AP19" s="3231"/>
      <c r="AQ19" s="3231"/>
      <c r="AR19" s="3233" t="s">
        <v>1899</v>
      </c>
      <c r="AS19" s="3231"/>
      <c r="AT19" s="3231"/>
      <c r="AU19" s="3231"/>
      <c r="AV19" s="3232"/>
      <c r="AW19" s="3231"/>
      <c r="AX19" s="3231"/>
      <c r="AY19" s="3231"/>
      <c r="AZ19" s="3925"/>
      <c r="BA19" s="3925"/>
      <c r="BB19" s="4876"/>
      <c r="BC19" s="3925"/>
      <c r="BD19" s="3925"/>
      <c r="BE19" s="3925"/>
      <c r="BF19" s="3302"/>
      <c r="BG19" s="3302">
        <v>1</v>
      </c>
      <c r="BH19" s="3302">
        <v>1</v>
      </c>
      <c r="BI19" s="3302">
        <v>1</v>
      </c>
      <c r="BJ19" s="3302">
        <v>1</v>
      </c>
      <c r="BK19" s="3302">
        <v>1</v>
      </c>
      <c r="BL19" s="3302">
        <v>1</v>
      </c>
      <c r="BM19" s="3302">
        <v>1</v>
      </c>
      <c r="BN19" s="3302">
        <v>1</v>
      </c>
      <c r="BO19" s="3302">
        <v>1</v>
      </c>
      <c r="BP19" s="3302">
        <v>1</v>
      </c>
    </row>
    <row r="20" spans="1:68" ht="29.25" customHeight="1">
      <c r="A20" s="173">
        <v>15</v>
      </c>
      <c r="B20" s="3211" t="s">
        <v>473</v>
      </c>
      <c r="C20" s="3212" t="s">
        <v>564</v>
      </c>
      <c r="D20" s="3300"/>
      <c r="E20" s="3300"/>
      <c r="F20" s="3300"/>
      <c r="G20" s="3300"/>
      <c r="H20" s="3300"/>
      <c r="I20" s="3305" t="s">
        <v>231</v>
      </c>
      <c r="J20" s="3300"/>
      <c r="K20" s="3300"/>
      <c r="L20" s="3300"/>
      <c r="M20" s="3300"/>
      <c r="N20" s="3300"/>
      <c r="O20" s="3300"/>
      <c r="P20" s="3300"/>
      <c r="Q20" s="3300"/>
      <c r="R20" s="3300"/>
      <c r="S20" s="3300"/>
      <c r="T20" s="3300"/>
      <c r="U20" s="3300"/>
      <c r="V20" s="3300"/>
      <c r="W20" s="3300"/>
      <c r="X20" s="3300"/>
      <c r="Y20" s="3300"/>
      <c r="Z20" s="3300"/>
      <c r="AA20" s="3300"/>
      <c r="AB20" s="3300"/>
      <c r="AC20" s="3300"/>
      <c r="AD20" s="3300"/>
      <c r="AE20" s="3300"/>
      <c r="AF20" s="3300"/>
      <c r="AG20" s="3231"/>
      <c r="AH20" s="3231"/>
      <c r="AI20" s="3231"/>
      <c r="AJ20" s="3231"/>
      <c r="AK20" s="3231"/>
      <c r="AL20" s="3231"/>
      <c r="AM20" s="3231"/>
      <c r="AN20" s="3231"/>
      <c r="AO20" s="3231"/>
      <c r="AP20" s="3231"/>
      <c r="AQ20" s="3231"/>
      <c r="AR20" s="3300"/>
      <c r="AS20" s="3233" t="s">
        <v>1903</v>
      </c>
      <c r="AT20" s="3300"/>
      <c r="AU20" s="3300"/>
      <c r="AV20" s="3306"/>
      <c r="AW20" s="3300"/>
      <c r="AX20" s="3300"/>
      <c r="AY20" s="3300"/>
      <c r="AZ20" s="3924"/>
      <c r="BA20" s="3924"/>
      <c r="BB20" s="4875"/>
      <c r="BC20" s="3924"/>
      <c r="BD20" s="3924"/>
      <c r="BE20" s="3924"/>
      <c r="BF20" s="3302"/>
      <c r="BG20" s="3302"/>
      <c r="BH20" s="3302"/>
      <c r="BI20" s="3302"/>
      <c r="BJ20" s="3302"/>
      <c r="BK20" s="3302"/>
      <c r="BL20" s="3302">
        <v>1</v>
      </c>
      <c r="BM20" s="3302">
        <v>1</v>
      </c>
      <c r="BN20" s="3302">
        <v>1</v>
      </c>
      <c r="BO20" s="3302">
        <v>1</v>
      </c>
      <c r="BP20" s="3302">
        <v>1</v>
      </c>
    </row>
    <row r="21" spans="1:68" ht="29.25" customHeight="1">
      <c r="A21" s="173">
        <v>16</v>
      </c>
      <c r="B21" s="3211" t="s">
        <v>279</v>
      </c>
      <c r="C21" s="3212" t="s">
        <v>564</v>
      </c>
      <c r="D21" s="3300"/>
      <c r="E21" s="3300"/>
      <c r="F21" s="3300"/>
      <c r="G21" s="3300"/>
      <c r="H21" s="3300"/>
      <c r="I21" s="3305" t="s">
        <v>231</v>
      </c>
      <c r="J21" s="3300"/>
      <c r="K21" s="3300"/>
      <c r="L21" s="3300"/>
      <c r="M21" s="3300"/>
      <c r="N21" s="3300"/>
      <c r="O21" s="3300"/>
      <c r="P21" s="3300"/>
      <c r="Q21" s="3300"/>
      <c r="R21" s="3300"/>
      <c r="S21" s="3300"/>
      <c r="T21" s="3300"/>
      <c r="U21" s="3300"/>
      <c r="V21" s="3300"/>
      <c r="W21" s="3300"/>
      <c r="X21" s="3300"/>
      <c r="Y21" s="3300"/>
      <c r="Z21" s="3300"/>
      <c r="AA21" s="3300"/>
      <c r="AB21" s="3300"/>
      <c r="AC21" s="3300"/>
      <c r="AD21" s="3300"/>
      <c r="AE21" s="3300"/>
      <c r="AF21" s="3300"/>
      <c r="AG21" s="3231"/>
      <c r="AH21" s="3231"/>
      <c r="AI21" s="3231"/>
      <c r="AJ21" s="3231"/>
      <c r="AK21" s="3231"/>
      <c r="AL21" s="3231"/>
      <c r="AM21" s="3231"/>
      <c r="AN21" s="3231"/>
      <c r="AO21" s="3231"/>
      <c r="AP21" s="3231"/>
      <c r="AQ21" s="3231"/>
      <c r="AR21" s="3300"/>
      <c r="AS21" s="3233" t="s">
        <v>1903</v>
      </c>
      <c r="AT21" s="3300"/>
      <c r="AU21" s="3300"/>
      <c r="AV21" s="3306"/>
      <c r="AW21" s="3300"/>
      <c r="AX21" s="3300"/>
      <c r="AY21" s="3300"/>
      <c r="AZ21" s="3924"/>
      <c r="BA21" s="3924"/>
      <c r="BB21" s="4875"/>
      <c r="BC21" s="3924"/>
      <c r="BD21" s="3924"/>
      <c r="BE21" s="3924"/>
      <c r="BF21" s="3302"/>
      <c r="BG21" s="3302"/>
      <c r="BH21" s="3302"/>
      <c r="BI21" s="3302"/>
      <c r="BJ21" s="3302"/>
      <c r="BK21" s="3302"/>
      <c r="BL21" s="3302">
        <v>1</v>
      </c>
      <c r="BM21" s="3302">
        <v>1</v>
      </c>
      <c r="BN21" s="3302">
        <v>1</v>
      </c>
      <c r="BO21" s="3302">
        <v>1</v>
      </c>
      <c r="BP21" s="3302">
        <v>1</v>
      </c>
    </row>
    <row r="22" spans="1:68" ht="29.25" customHeight="1">
      <c r="A22" s="173">
        <v>17</v>
      </c>
      <c r="B22" s="3211" t="s">
        <v>724</v>
      </c>
      <c r="C22" s="3212" t="s">
        <v>661</v>
      </c>
      <c r="D22" s="3300"/>
      <c r="E22" s="3300"/>
      <c r="F22" s="3300"/>
      <c r="G22" s="3300"/>
      <c r="H22" s="3300"/>
      <c r="I22" s="3300"/>
      <c r="J22" s="3300"/>
      <c r="K22" s="3300"/>
      <c r="L22" s="3300"/>
      <c r="M22" s="3300"/>
      <c r="N22" s="3300"/>
      <c r="O22" s="3305" t="s">
        <v>232</v>
      </c>
      <c r="P22" s="3300"/>
      <c r="Q22" s="3300"/>
      <c r="R22" s="3300"/>
      <c r="S22" s="3300"/>
      <c r="T22" s="3300"/>
      <c r="U22" s="3300"/>
      <c r="V22" s="3300"/>
      <c r="W22" s="3300"/>
      <c r="X22" s="3300"/>
      <c r="Y22" s="3300"/>
      <c r="Z22" s="3300"/>
      <c r="AA22" s="3300"/>
      <c r="AB22" s="3300"/>
      <c r="AC22" s="3300"/>
      <c r="AD22" s="3300"/>
      <c r="AE22" s="3300"/>
      <c r="AF22" s="3300"/>
      <c r="AG22" s="3233" t="s">
        <v>809</v>
      </c>
      <c r="AH22" s="3231"/>
      <c r="AI22" s="3231"/>
      <c r="AJ22" s="3231"/>
      <c r="AK22" s="3231"/>
      <c r="AL22" s="3231"/>
      <c r="AM22" s="3231"/>
      <c r="AN22" s="3231"/>
      <c r="AO22" s="3231"/>
      <c r="AP22" s="3231"/>
      <c r="AQ22" s="3231"/>
      <c r="AR22" s="3231"/>
      <c r="AS22" s="3231"/>
      <c r="AT22" s="3231"/>
      <c r="AU22" s="3231"/>
      <c r="AV22" s="3232"/>
      <c r="AW22" s="3231"/>
      <c r="AX22" s="3231"/>
      <c r="AY22" s="3231"/>
      <c r="AZ22" s="3231"/>
      <c r="BA22" s="3231"/>
      <c r="BB22" s="4874"/>
      <c r="BC22" s="3231"/>
      <c r="BD22" s="3231"/>
      <c r="BE22" s="3231"/>
      <c r="BF22" s="3302">
        <v>1</v>
      </c>
      <c r="BG22" s="3302">
        <v>1</v>
      </c>
      <c r="BH22" s="3302"/>
      <c r="BI22" s="3302"/>
      <c r="BJ22" s="3302">
        <v>1</v>
      </c>
      <c r="BK22" s="3302">
        <v>1</v>
      </c>
      <c r="BL22" s="3302">
        <v>1</v>
      </c>
      <c r="BM22" s="3302"/>
      <c r="BN22" s="3302"/>
      <c r="BO22" s="3302"/>
      <c r="BP22" s="3302"/>
    </row>
    <row r="23" spans="1:68" ht="29.25" customHeight="1">
      <c r="A23" s="173">
        <v>18</v>
      </c>
      <c r="B23" s="3211" t="s">
        <v>470</v>
      </c>
      <c r="C23" s="3212" t="s">
        <v>661</v>
      </c>
      <c r="D23" s="3300"/>
      <c r="E23" s="3300"/>
      <c r="F23" s="3300"/>
      <c r="G23" s="3300"/>
      <c r="H23" s="3300"/>
      <c r="I23" s="3300"/>
      <c r="J23" s="3300"/>
      <c r="K23" s="3300"/>
      <c r="L23" s="3300"/>
      <c r="M23" s="3300"/>
      <c r="N23" s="3300"/>
      <c r="O23" s="3305" t="s">
        <v>232</v>
      </c>
      <c r="P23" s="3300"/>
      <c r="Q23" s="3300"/>
      <c r="R23" s="3300"/>
      <c r="S23" s="3300"/>
      <c r="T23" s="3300"/>
      <c r="U23" s="3300"/>
      <c r="V23" s="3300"/>
      <c r="W23" s="3300"/>
      <c r="X23" s="3300"/>
      <c r="Y23" s="3300"/>
      <c r="Z23" s="3300"/>
      <c r="AA23" s="3300"/>
      <c r="AB23" s="3300"/>
      <c r="AC23" s="3300"/>
      <c r="AD23" s="3300"/>
      <c r="AE23" s="3300"/>
      <c r="AF23" s="3300"/>
      <c r="AG23" s="3233" t="s">
        <v>809</v>
      </c>
      <c r="AH23" s="3231"/>
      <c r="AI23" s="3231"/>
      <c r="AJ23" s="3231"/>
      <c r="AK23" s="3231"/>
      <c r="AL23" s="3231"/>
      <c r="AM23" s="3231"/>
      <c r="AN23" s="3231"/>
      <c r="AO23" s="3231"/>
      <c r="AP23" s="3231"/>
      <c r="AQ23" s="3231"/>
      <c r="AR23" s="3231"/>
      <c r="AS23" s="3231"/>
      <c r="AT23" s="3231"/>
      <c r="AU23" s="3231"/>
      <c r="AV23" s="3232"/>
      <c r="AW23" s="3231"/>
      <c r="AX23" s="3231"/>
      <c r="AY23" s="3231"/>
      <c r="AZ23" s="3304" t="s">
        <v>2774</v>
      </c>
      <c r="BA23" s="3924"/>
      <c r="BB23" s="4875"/>
      <c r="BC23" s="3924"/>
      <c r="BD23" s="3924"/>
      <c r="BE23" s="3924"/>
      <c r="BF23" s="3302">
        <v>1</v>
      </c>
      <c r="BG23" s="3302">
        <v>1</v>
      </c>
      <c r="BH23" s="3302"/>
      <c r="BI23" s="3302"/>
      <c r="BJ23" s="3302">
        <v>1</v>
      </c>
      <c r="BK23" s="3302">
        <v>1</v>
      </c>
      <c r="BL23" s="3302">
        <v>1</v>
      </c>
      <c r="BM23" s="3302"/>
      <c r="BN23" s="3302"/>
      <c r="BO23" s="3302">
        <v>1</v>
      </c>
      <c r="BP23" s="3302">
        <v>1</v>
      </c>
    </row>
    <row r="24" spans="1:68" ht="29.25" customHeight="1">
      <c r="A24" s="173">
        <v>19</v>
      </c>
      <c r="B24" s="3211" t="s">
        <v>471</v>
      </c>
      <c r="C24" s="3212" t="s">
        <v>661</v>
      </c>
      <c r="D24" s="3300"/>
      <c r="E24" s="3300"/>
      <c r="F24" s="3300"/>
      <c r="G24" s="3300"/>
      <c r="H24" s="3300"/>
      <c r="I24" s="3300"/>
      <c r="J24" s="3300"/>
      <c r="K24" s="3300"/>
      <c r="L24" s="3300"/>
      <c r="M24" s="3300"/>
      <c r="N24" s="3300"/>
      <c r="O24" s="3305" t="s">
        <v>232</v>
      </c>
      <c r="P24" s="3300"/>
      <c r="Q24" s="3300"/>
      <c r="R24" s="3300"/>
      <c r="S24" s="3300"/>
      <c r="T24" s="3300"/>
      <c r="U24" s="3300"/>
      <c r="V24" s="3300"/>
      <c r="W24" s="3300"/>
      <c r="X24" s="3300"/>
      <c r="Y24" s="3300"/>
      <c r="Z24" s="3300"/>
      <c r="AA24" s="3300"/>
      <c r="AB24" s="3300"/>
      <c r="AC24" s="3300"/>
      <c r="AD24" s="3300"/>
      <c r="AE24" s="3300"/>
      <c r="AF24" s="3300"/>
      <c r="AG24" s="3233" t="s">
        <v>809</v>
      </c>
      <c r="AH24" s="3231"/>
      <c r="AI24" s="3231"/>
      <c r="AJ24" s="3231"/>
      <c r="AK24" s="3231"/>
      <c r="AL24" s="3231"/>
      <c r="AM24" s="3231"/>
      <c r="AN24" s="3231"/>
      <c r="AO24" s="3231"/>
      <c r="AP24" s="3231"/>
      <c r="AQ24" s="3231"/>
      <c r="AR24" s="3231"/>
      <c r="AS24" s="3231"/>
      <c r="AT24" s="3231"/>
      <c r="AU24" s="3231"/>
      <c r="AV24" s="3232"/>
      <c r="AW24" s="3231"/>
      <c r="AX24" s="3231"/>
      <c r="AY24" s="3231"/>
      <c r="AZ24" s="3304" t="s">
        <v>2774</v>
      </c>
      <c r="BA24" s="3924"/>
      <c r="BB24" s="4875"/>
      <c r="BC24" s="3924"/>
      <c r="BD24" s="3924"/>
      <c r="BE24" s="3924"/>
      <c r="BF24" s="3302">
        <v>1</v>
      </c>
      <c r="BG24" s="3302">
        <v>1</v>
      </c>
      <c r="BH24" s="3302"/>
      <c r="BI24" s="3302"/>
      <c r="BJ24" s="3302">
        <v>1</v>
      </c>
      <c r="BK24" s="3302">
        <v>1</v>
      </c>
      <c r="BL24" s="3302">
        <v>1</v>
      </c>
      <c r="BM24" s="3302"/>
      <c r="BN24" s="3302"/>
      <c r="BO24" s="3302">
        <v>1</v>
      </c>
      <c r="BP24" s="3302">
        <v>1</v>
      </c>
    </row>
    <row r="25" spans="1:68" ht="29.25" customHeight="1">
      <c r="A25" s="173">
        <v>20</v>
      </c>
      <c r="B25" s="3211" t="s">
        <v>1909</v>
      </c>
      <c r="C25" s="3302" t="s">
        <v>580</v>
      </c>
      <c r="D25" s="3300"/>
      <c r="E25" s="3300"/>
      <c r="F25" s="3300"/>
      <c r="G25" s="3300"/>
      <c r="H25" s="3300"/>
      <c r="I25" s="3300"/>
      <c r="J25" s="3300"/>
      <c r="K25" s="3300"/>
      <c r="L25" s="3300"/>
      <c r="M25" s="3300"/>
      <c r="N25" s="3300"/>
      <c r="O25" s="3300"/>
      <c r="P25" s="3300"/>
      <c r="Q25" s="3300"/>
      <c r="R25" s="3300"/>
      <c r="S25" s="3300"/>
      <c r="T25" s="3300"/>
      <c r="U25" s="3300"/>
      <c r="V25" s="3300"/>
      <c r="W25" s="3300"/>
      <c r="X25" s="3300"/>
      <c r="Y25" s="3300"/>
      <c r="Z25" s="3300"/>
      <c r="AA25" s="3300"/>
      <c r="AB25" s="3300"/>
      <c r="AC25" s="3305" t="s">
        <v>381</v>
      </c>
      <c r="AD25" s="3304" t="s">
        <v>382</v>
      </c>
      <c r="AE25" s="3300"/>
      <c r="AF25" s="3300"/>
      <c r="AG25" s="3231"/>
      <c r="AH25" s="3231"/>
      <c r="AI25" s="3231"/>
      <c r="AJ25" s="3231"/>
      <c r="AK25" s="3231"/>
      <c r="AL25" s="3231"/>
      <c r="AM25" s="3231"/>
      <c r="AN25" s="3231"/>
      <c r="AO25" s="3231"/>
      <c r="AP25" s="3231"/>
      <c r="AQ25" s="3231"/>
      <c r="AR25" s="3233" t="s">
        <v>1899</v>
      </c>
      <c r="AS25" s="3231"/>
      <c r="AT25" s="3231"/>
      <c r="AU25" s="3231"/>
      <c r="AV25" s="3232"/>
      <c r="AW25" s="3231"/>
      <c r="AX25" s="3231"/>
      <c r="AY25" s="3231"/>
      <c r="AZ25" s="3925"/>
      <c r="BA25" s="3925"/>
      <c r="BB25" s="4876"/>
      <c r="BC25" s="3925"/>
      <c r="BD25" s="3925"/>
      <c r="BE25" s="3925"/>
      <c r="BF25" s="3302"/>
      <c r="BG25" s="3302"/>
      <c r="BH25" s="3302">
        <v>1</v>
      </c>
      <c r="BI25" s="3302">
        <v>1</v>
      </c>
      <c r="BJ25" s="3302">
        <v>1</v>
      </c>
      <c r="BK25" s="3302">
        <v>1</v>
      </c>
      <c r="BL25" s="3302">
        <v>1</v>
      </c>
      <c r="BM25" s="3302">
        <v>1</v>
      </c>
      <c r="BN25" s="3302">
        <v>1</v>
      </c>
      <c r="BO25" s="3302">
        <v>1</v>
      </c>
      <c r="BP25" s="3302">
        <v>1</v>
      </c>
    </row>
    <row r="26" spans="1:68" ht="29.25" customHeight="1">
      <c r="A26" s="173">
        <v>21</v>
      </c>
      <c r="B26" s="3211" t="s">
        <v>2401</v>
      </c>
      <c r="C26" s="3246" t="s">
        <v>1918</v>
      </c>
      <c r="D26" s="3300"/>
      <c r="E26" s="3300"/>
      <c r="F26" s="3300"/>
      <c r="G26" s="3300"/>
      <c r="H26" s="3300"/>
      <c r="I26" s="3300"/>
      <c r="J26" s="3300"/>
      <c r="K26" s="3300"/>
      <c r="L26" s="3300"/>
      <c r="M26" s="3300"/>
      <c r="N26" s="3300"/>
      <c r="O26" s="3300"/>
      <c r="P26" s="3300"/>
      <c r="Q26" s="3300"/>
      <c r="R26" s="3300"/>
      <c r="S26" s="3300"/>
      <c r="T26" s="3300"/>
      <c r="U26" s="3300"/>
      <c r="V26" s="3300"/>
      <c r="W26" s="3300"/>
      <c r="X26" s="3300"/>
      <c r="Y26" s="3300"/>
      <c r="Z26" s="3300"/>
      <c r="AA26" s="3300"/>
      <c r="AB26" s="3300"/>
      <c r="AC26" s="3924"/>
      <c r="AD26" s="3924"/>
      <c r="AE26" s="3300"/>
      <c r="AF26" s="3300"/>
      <c r="AG26" s="3231"/>
      <c r="AH26" s="3231"/>
      <c r="AI26" s="3231"/>
      <c r="AJ26" s="3231"/>
      <c r="AK26" s="3231"/>
      <c r="AL26" s="3231"/>
      <c r="AM26" s="3231"/>
      <c r="AN26" s="3231"/>
      <c r="AO26" s="3231"/>
      <c r="AP26" s="3231"/>
      <c r="AQ26" s="3231"/>
      <c r="AR26" s="3312" t="s">
        <v>2673</v>
      </c>
      <c r="AS26" s="3231"/>
      <c r="AT26" s="3231"/>
      <c r="AU26" s="3231"/>
      <c r="AV26" s="3232"/>
      <c r="AW26" s="3231"/>
      <c r="AX26" s="3231"/>
      <c r="AY26" s="3231"/>
      <c r="AZ26" s="3925"/>
      <c r="BA26" s="3925"/>
      <c r="BB26" s="4876"/>
      <c r="BC26" s="3925"/>
      <c r="BD26" s="3925"/>
      <c r="BE26" s="3925"/>
      <c r="BF26" s="3302"/>
      <c r="BG26" s="3302"/>
      <c r="BH26" s="3302"/>
      <c r="BI26" s="3302"/>
      <c r="BJ26" s="3302"/>
      <c r="BK26" s="3302"/>
      <c r="BL26" s="3302"/>
      <c r="BM26" s="3302"/>
      <c r="BN26" s="3302">
        <v>1</v>
      </c>
      <c r="BO26" s="3302">
        <v>1</v>
      </c>
      <c r="BP26" s="3302">
        <v>1</v>
      </c>
    </row>
    <row r="27" spans="1:68" ht="29.25" customHeight="1">
      <c r="A27" s="173">
        <v>22</v>
      </c>
      <c r="B27" s="3211" t="s">
        <v>2648</v>
      </c>
      <c r="C27" s="3302" t="s">
        <v>2649</v>
      </c>
      <c r="D27" s="3940"/>
      <c r="E27" s="3300"/>
      <c r="F27" s="3300"/>
      <c r="G27" s="3300"/>
      <c r="H27" s="3300"/>
      <c r="I27" s="3300"/>
      <c r="J27" s="3300"/>
      <c r="K27" s="3300"/>
      <c r="L27" s="3300"/>
      <c r="M27" s="3300"/>
      <c r="N27" s="3300"/>
      <c r="O27" s="3300"/>
      <c r="P27" s="3300"/>
      <c r="Q27" s="3300"/>
      <c r="R27" s="3300"/>
      <c r="S27" s="3300"/>
      <c r="T27" s="3300"/>
      <c r="U27" s="3300"/>
      <c r="V27" s="3300"/>
      <c r="W27" s="3300"/>
      <c r="X27" s="3300"/>
      <c r="Y27" s="3300"/>
      <c r="Z27" s="3300"/>
      <c r="AA27" s="3300"/>
      <c r="AB27" s="3300"/>
      <c r="AC27" s="3924"/>
      <c r="AD27" s="3924"/>
      <c r="AE27" s="3300"/>
      <c r="AF27" s="3300"/>
      <c r="AG27" s="3231"/>
      <c r="AH27" s="3231"/>
      <c r="AI27" s="3231"/>
      <c r="AJ27" s="3231"/>
      <c r="AK27" s="3231"/>
      <c r="AL27" s="3231"/>
      <c r="AM27" s="3231"/>
      <c r="AN27" s="3231"/>
      <c r="AO27" s="3231"/>
      <c r="AP27" s="3231"/>
      <c r="AQ27" s="3231"/>
      <c r="AR27" s="3300"/>
      <c r="AS27" s="3231"/>
      <c r="AT27" s="3231"/>
      <c r="AU27" s="3231"/>
      <c r="AV27" s="3231"/>
      <c r="AW27" s="3231"/>
      <c r="AX27" s="3305" t="s">
        <v>2650</v>
      </c>
      <c r="AY27" s="3231"/>
      <c r="AZ27" s="3925"/>
      <c r="BA27" s="3925"/>
      <c r="BB27" s="4876"/>
      <c r="BC27" s="3925"/>
      <c r="BD27" s="3925"/>
      <c r="BE27" s="3925"/>
      <c r="BF27" s="3302"/>
      <c r="BG27" s="3302"/>
      <c r="BH27" s="3302"/>
      <c r="BI27" s="3302"/>
      <c r="BJ27" s="3302"/>
      <c r="BK27" s="3302"/>
      <c r="BL27" s="3302"/>
      <c r="BM27" s="3302"/>
      <c r="BN27" s="3302">
        <v>1</v>
      </c>
      <c r="BO27" s="3302">
        <v>1</v>
      </c>
      <c r="BP27" s="3302">
        <v>1</v>
      </c>
    </row>
    <row r="28" spans="1:68" ht="29.25" customHeight="1">
      <c r="B28" s="4917" t="s">
        <v>2986</v>
      </c>
      <c r="C28" s="3246" t="s">
        <v>2977</v>
      </c>
      <c r="D28" s="3940"/>
      <c r="E28" s="3300"/>
      <c r="F28" s="3300"/>
      <c r="G28" s="3300"/>
      <c r="H28" s="3300"/>
      <c r="I28" s="3300"/>
      <c r="J28" s="3300"/>
      <c r="K28" s="3300"/>
      <c r="L28" s="3300"/>
      <c r="M28" s="3300"/>
      <c r="N28" s="3300"/>
      <c r="O28" s="3300"/>
      <c r="P28" s="3300"/>
      <c r="Q28" s="3300"/>
      <c r="R28" s="3300"/>
      <c r="S28" s="3300"/>
      <c r="T28" s="3300"/>
      <c r="U28" s="3300"/>
      <c r="V28" s="3300"/>
      <c r="W28" s="3300"/>
      <c r="X28" s="3300"/>
      <c r="Y28" s="3300"/>
      <c r="Z28" s="3300"/>
      <c r="AA28" s="3300"/>
      <c r="AB28" s="3300"/>
      <c r="AC28" s="3924"/>
      <c r="AD28" s="3924"/>
      <c r="AE28" s="3300"/>
      <c r="AF28" s="3300"/>
      <c r="AG28" s="3231"/>
      <c r="AH28" s="3231"/>
      <c r="AI28" s="3231"/>
      <c r="AJ28" s="3231"/>
      <c r="AK28" s="3231"/>
      <c r="AL28" s="3231"/>
      <c r="AM28" s="3231"/>
      <c r="AN28" s="3231"/>
      <c r="AO28" s="3231"/>
      <c r="AP28" s="3231"/>
      <c r="AQ28" s="3231"/>
      <c r="AR28" s="3300"/>
      <c r="AS28" s="3231"/>
      <c r="AT28" s="3231"/>
      <c r="AU28" s="3231"/>
      <c r="AV28" s="3231"/>
      <c r="AW28" s="3231"/>
      <c r="AX28" s="4869"/>
      <c r="AY28" s="3231"/>
      <c r="AZ28" s="3925"/>
      <c r="BA28" s="3925"/>
      <c r="BB28" s="4876"/>
      <c r="BC28" s="4916" t="s">
        <v>2987</v>
      </c>
      <c r="BD28" s="3925"/>
      <c r="BE28" s="3925"/>
      <c r="BF28" s="3302"/>
      <c r="BG28" s="3302"/>
      <c r="BH28" s="3302"/>
      <c r="BI28" s="3302"/>
      <c r="BJ28" s="3302"/>
      <c r="BK28" s="3302"/>
      <c r="BL28" s="3302"/>
      <c r="BM28" s="3302"/>
      <c r="BN28" s="3302"/>
      <c r="BO28" s="3302"/>
      <c r="BP28" s="3302">
        <v>1</v>
      </c>
    </row>
    <row r="29" spans="1:68" ht="14.4">
      <c r="B29" s="3307" t="s">
        <v>372</v>
      </c>
      <c r="C29" s="3308"/>
      <c r="D29" s="3945"/>
      <c r="E29" s="3945"/>
      <c r="F29" s="3945"/>
      <c r="G29" s="3945"/>
      <c r="H29" s="3945"/>
      <c r="I29" s="3945"/>
      <c r="J29" s="3945"/>
      <c r="K29" s="3945"/>
      <c r="L29" s="3945"/>
      <c r="M29" s="3945"/>
      <c r="N29" s="3945"/>
      <c r="O29" s="3945"/>
      <c r="P29" s="3945"/>
      <c r="Q29" s="3945"/>
      <c r="R29" s="3945"/>
      <c r="S29" s="3945"/>
      <c r="T29" s="3945"/>
      <c r="U29" s="3945"/>
      <c r="V29" s="3945"/>
      <c r="W29" s="3945"/>
      <c r="X29" s="3945"/>
      <c r="Y29" s="3945"/>
      <c r="Z29" s="3945"/>
      <c r="AA29" s="3945"/>
      <c r="AB29" s="3945"/>
      <c r="AC29" s="3945"/>
      <c r="AD29" s="3945"/>
      <c r="AE29" s="3945"/>
      <c r="AF29" s="3945"/>
      <c r="AG29" s="3945"/>
      <c r="AH29" s="3945"/>
      <c r="AI29" s="3945"/>
      <c r="AJ29" s="3945"/>
      <c r="AK29" s="3945"/>
      <c r="AL29" s="3945"/>
      <c r="AM29" s="3945"/>
      <c r="AN29" s="3945"/>
      <c r="AO29" s="3945"/>
      <c r="AP29" s="3945"/>
      <c r="AQ29" s="3945"/>
      <c r="AR29" s="3945"/>
      <c r="AS29" s="3945"/>
      <c r="AT29" s="3945"/>
      <c r="AU29" s="3945"/>
      <c r="AV29" s="3945"/>
      <c r="AW29" s="3945"/>
      <c r="AX29" s="3945"/>
      <c r="AY29" s="3945"/>
      <c r="AZ29" s="3945"/>
      <c r="BA29" s="3945"/>
      <c r="BB29" s="4877"/>
      <c r="BC29" s="4878"/>
      <c r="BD29" s="4878"/>
      <c r="BE29" s="4878"/>
      <c r="BF29" s="3308"/>
      <c r="BG29" s="3308"/>
      <c r="BH29" s="3309"/>
      <c r="BI29" s="3309"/>
      <c r="BJ29" s="3310"/>
      <c r="BK29" s="3310"/>
      <c r="BL29" s="3311"/>
      <c r="BM29" s="3311"/>
      <c r="BN29" s="3311"/>
      <c r="BO29" s="3311"/>
      <c r="BP29" s="3311"/>
    </row>
    <row r="30" spans="1:68" ht="29.25" hidden="1" customHeight="1">
      <c r="A30" s="1215"/>
      <c r="B30" s="3313" t="s">
        <v>1906</v>
      </c>
      <c r="C30" s="3314" t="s">
        <v>1694</v>
      </c>
      <c r="D30" s="3315"/>
      <c r="E30" s="3315"/>
      <c r="F30" s="3315"/>
      <c r="G30" s="3315"/>
      <c r="H30" s="3315"/>
      <c r="I30" s="3315"/>
      <c r="J30" s="3315"/>
      <c r="K30" s="3315"/>
      <c r="L30" s="3315"/>
      <c r="M30" s="3315"/>
      <c r="N30" s="3315"/>
      <c r="O30" s="3315"/>
      <c r="P30" s="3315"/>
      <c r="Q30" s="3315"/>
      <c r="R30" s="3315"/>
      <c r="S30" s="3315"/>
      <c r="T30" s="3315"/>
      <c r="U30" s="3315"/>
      <c r="V30" s="3315"/>
      <c r="W30" s="3315"/>
      <c r="X30" s="3315"/>
      <c r="Y30" s="3315"/>
      <c r="Z30" s="3315"/>
      <c r="AA30" s="3315"/>
      <c r="AB30" s="3315"/>
      <c r="AC30" s="3315"/>
      <c r="AD30" s="3315"/>
      <c r="AE30" s="3315"/>
      <c r="AF30" s="3315"/>
      <c r="AG30" s="3316"/>
      <c r="AH30" s="3316"/>
      <c r="AI30" s="3316"/>
      <c r="AJ30" s="3316"/>
      <c r="AK30" s="3316"/>
      <c r="AL30" s="3316"/>
      <c r="AM30" s="3316"/>
      <c r="AN30" s="3304" t="s">
        <v>1695</v>
      </c>
      <c r="AO30" s="3315"/>
      <c r="AP30" s="3315"/>
      <c r="AQ30" s="3300"/>
      <c r="AR30" s="3300"/>
      <c r="AS30" s="3300"/>
      <c r="AT30" s="3300"/>
      <c r="AU30" s="3300"/>
      <c r="AV30" s="3306"/>
      <c r="AW30" s="3300"/>
      <c r="AX30" s="3300"/>
      <c r="AY30" s="3300"/>
      <c r="AZ30" s="3300"/>
      <c r="BA30" s="3300"/>
      <c r="BB30" s="4879"/>
      <c r="BC30" s="3300"/>
      <c r="BD30" s="3300"/>
      <c r="BE30" s="3300"/>
      <c r="BF30" s="3302"/>
      <c r="BG30" s="3302"/>
      <c r="BH30" s="3302"/>
      <c r="BI30" s="3302"/>
      <c r="BJ30" s="3302"/>
      <c r="BK30" s="3302"/>
      <c r="BL30" s="3302">
        <v>1</v>
      </c>
      <c r="BM30" s="3302"/>
      <c r="BN30" s="3302"/>
      <c r="BO30" s="3302"/>
      <c r="BP30" s="3302"/>
    </row>
    <row r="31" spans="1:68" ht="29.25" hidden="1" customHeight="1">
      <c r="A31" s="1215"/>
      <c r="B31" s="3313" t="s">
        <v>1907</v>
      </c>
      <c r="C31" s="3314" t="s">
        <v>1694</v>
      </c>
      <c r="D31" s="3315"/>
      <c r="E31" s="3315"/>
      <c r="F31" s="3315"/>
      <c r="G31" s="3315"/>
      <c r="H31" s="3315"/>
      <c r="I31" s="3315"/>
      <c r="J31" s="3315"/>
      <c r="K31" s="3315"/>
      <c r="L31" s="3315"/>
      <c r="M31" s="3315"/>
      <c r="N31" s="3315"/>
      <c r="O31" s="3315"/>
      <c r="P31" s="3315"/>
      <c r="Q31" s="3315"/>
      <c r="R31" s="3315"/>
      <c r="S31" s="3315"/>
      <c r="T31" s="3315"/>
      <c r="U31" s="3315"/>
      <c r="V31" s="3315"/>
      <c r="W31" s="3315"/>
      <c r="X31" s="3315"/>
      <c r="Y31" s="3315"/>
      <c r="Z31" s="3315"/>
      <c r="AA31" s="3315"/>
      <c r="AB31" s="3315"/>
      <c r="AC31" s="3315"/>
      <c r="AD31" s="3315"/>
      <c r="AE31" s="3315"/>
      <c r="AF31" s="3315"/>
      <c r="AG31" s="3316"/>
      <c r="AH31" s="3316"/>
      <c r="AI31" s="3316"/>
      <c r="AJ31" s="3316"/>
      <c r="AK31" s="3316"/>
      <c r="AL31" s="3316"/>
      <c r="AM31" s="3316"/>
      <c r="AN31" s="3304" t="s">
        <v>1695</v>
      </c>
      <c r="AO31" s="3315"/>
      <c r="AP31" s="3315"/>
      <c r="AQ31" s="3300"/>
      <c r="AR31" s="3300"/>
      <c r="AS31" s="3300"/>
      <c r="AT31" s="3300"/>
      <c r="AU31" s="3300"/>
      <c r="AV31" s="3306"/>
      <c r="AW31" s="3300"/>
      <c r="AX31" s="3300"/>
      <c r="AY31" s="3300"/>
      <c r="AZ31" s="3300"/>
      <c r="BA31" s="3300"/>
      <c r="BB31" s="4879"/>
      <c r="BC31" s="3300"/>
      <c r="BD31" s="3300"/>
      <c r="BE31" s="3300"/>
      <c r="BF31" s="3302"/>
      <c r="BG31" s="3302"/>
      <c r="BH31" s="3302"/>
      <c r="BI31" s="3302"/>
      <c r="BJ31" s="3302"/>
      <c r="BK31" s="3302"/>
      <c r="BL31" s="3302">
        <v>1</v>
      </c>
      <c r="BM31" s="3302"/>
      <c r="BN31" s="3302"/>
      <c r="BO31" s="3302"/>
      <c r="BP31" s="3302"/>
    </row>
    <row r="32" spans="1:68" ht="29.25" hidden="1" customHeight="1">
      <c r="A32" s="1215"/>
      <c r="B32" s="3313" t="s">
        <v>1908</v>
      </c>
      <c r="C32" s="3314" t="s">
        <v>1694</v>
      </c>
      <c r="D32" s="3315"/>
      <c r="E32" s="3315"/>
      <c r="F32" s="3315"/>
      <c r="G32" s="3315"/>
      <c r="H32" s="3315"/>
      <c r="I32" s="3315"/>
      <c r="J32" s="3315"/>
      <c r="K32" s="3315"/>
      <c r="L32" s="3315"/>
      <c r="M32" s="3315"/>
      <c r="N32" s="3315"/>
      <c r="O32" s="3315"/>
      <c r="P32" s="3315"/>
      <c r="Q32" s="3315"/>
      <c r="R32" s="3315"/>
      <c r="S32" s="3315"/>
      <c r="T32" s="3315"/>
      <c r="U32" s="3315"/>
      <c r="V32" s="3315"/>
      <c r="W32" s="3315"/>
      <c r="X32" s="3315"/>
      <c r="Y32" s="3315"/>
      <c r="Z32" s="3315"/>
      <c r="AA32" s="3315"/>
      <c r="AB32" s="3315"/>
      <c r="AC32" s="3315"/>
      <c r="AD32" s="3315"/>
      <c r="AE32" s="3315"/>
      <c r="AF32" s="3315"/>
      <c r="AG32" s="3316"/>
      <c r="AH32" s="3316"/>
      <c r="AI32" s="3316"/>
      <c r="AJ32" s="3316"/>
      <c r="AK32" s="3316"/>
      <c r="AL32" s="3316"/>
      <c r="AM32" s="3316"/>
      <c r="AN32" s="3304" t="s">
        <v>1695</v>
      </c>
      <c r="AO32" s="3315"/>
      <c r="AP32" s="3315"/>
      <c r="AQ32" s="3300"/>
      <c r="AR32" s="3300"/>
      <c r="AS32" s="3300"/>
      <c r="AT32" s="3300"/>
      <c r="AU32" s="3300"/>
      <c r="AV32" s="3306"/>
      <c r="AW32" s="3300"/>
      <c r="AX32" s="3300"/>
      <c r="AY32" s="3300"/>
      <c r="AZ32" s="3300"/>
      <c r="BA32" s="3300"/>
      <c r="BB32" s="4879"/>
      <c r="BC32" s="3300"/>
      <c r="BD32" s="3300"/>
      <c r="BE32" s="3300"/>
      <c r="BF32" s="3302"/>
      <c r="BG32" s="3302"/>
      <c r="BH32" s="3302"/>
      <c r="BI32" s="3317"/>
      <c r="BJ32" s="3302"/>
      <c r="BK32" s="3302"/>
      <c r="BL32" s="3302">
        <v>1</v>
      </c>
      <c r="BM32" s="3302"/>
      <c r="BN32" s="3302"/>
      <c r="BO32" s="3302"/>
      <c r="BP32" s="3302"/>
    </row>
    <row r="33" spans="1:68" ht="29.25" customHeight="1">
      <c r="A33" s="173">
        <v>23</v>
      </c>
      <c r="B33" s="3245" t="s">
        <v>2779</v>
      </c>
      <c r="C33" s="3246"/>
      <c r="D33" s="3300"/>
      <c r="E33" s="3233" t="s">
        <v>2802</v>
      </c>
      <c r="F33" s="3300"/>
      <c r="G33" s="3300"/>
      <c r="H33" s="3300"/>
      <c r="I33" s="3300"/>
      <c r="J33" s="3300"/>
      <c r="K33" s="3300"/>
      <c r="L33" s="3300"/>
      <c r="M33" s="3300"/>
      <c r="N33" s="3300"/>
      <c r="O33" s="3300"/>
      <c r="P33" s="3300"/>
      <c r="Q33" s="3300"/>
      <c r="R33" s="3300"/>
      <c r="S33" s="3300"/>
      <c r="T33" s="3300"/>
      <c r="U33" s="3300"/>
      <c r="V33" s="3300"/>
      <c r="W33" s="3300"/>
      <c r="X33" s="3300"/>
      <c r="Y33" s="3300"/>
      <c r="Z33" s="3300"/>
      <c r="AA33" s="3300"/>
      <c r="AB33" s="3300"/>
      <c r="AC33" s="3300"/>
      <c r="AD33" s="3300"/>
      <c r="AE33" s="3300"/>
      <c r="AF33" s="3300"/>
      <c r="AG33" s="3231"/>
      <c r="AH33" s="3231"/>
      <c r="AI33" s="3231"/>
      <c r="AJ33" s="3231"/>
      <c r="AK33" s="3231"/>
      <c r="AL33" s="3231"/>
      <c r="AM33" s="3231"/>
      <c r="AN33" s="3305"/>
      <c r="AO33" s="3231"/>
      <c r="AP33" s="3231"/>
      <c r="AQ33" s="3231"/>
      <c r="AR33" s="3231"/>
      <c r="AS33" s="3231"/>
      <c r="AT33" s="3231"/>
      <c r="AU33" s="3231"/>
      <c r="AV33" s="3232"/>
      <c r="AW33" s="3231"/>
      <c r="AX33" s="3231"/>
      <c r="AY33" s="3231"/>
      <c r="AZ33" s="3231"/>
      <c r="BA33" s="3231"/>
      <c r="BB33" s="4874"/>
      <c r="BC33" s="3231"/>
      <c r="BD33" s="4918" t="s">
        <v>2988</v>
      </c>
      <c r="BE33" s="3231"/>
      <c r="BF33" s="3302"/>
      <c r="BG33" s="3302"/>
      <c r="BH33" s="3302"/>
      <c r="BI33" s="3317"/>
      <c r="BJ33" s="3302"/>
      <c r="BK33" s="3302"/>
      <c r="BL33" s="3302"/>
      <c r="BM33" s="3302"/>
      <c r="BN33" s="3302"/>
      <c r="BO33" s="3302">
        <v>1</v>
      </c>
      <c r="BP33" s="3302">
        <v>1</v>
      </c>
    </row>
    <row r="34" spans="1:68" ht="29.25" customHeight="1">
      <c r="A34" s="173">
        <v>24</v>
      </c>
      <c r="B34" s="3245" t="s">
        <v>1696</v>
      </c>
      <c r="C34" s="3246" t="s">
        <v>1666</v>
      </c>
      <c r="D34" s="3300"/>
      <c r="E34" s="3300"/>
      <c r="F34" s="3300"/>
      <c r="G34" s="3300"/>
      <c r="H34" s="3300"/>
      <c r="I34" s="3300"/>
      <c r="J34" s="3300"/>
      <c r="K34" s="3300"/>
      <c r="L34" s="3300"/>
      <c r="M34" s="3300"/>
      <c r="N34" s="3300"/>
      <c r="O34" s="3300"/>
      <c r="P34" s="3300"/>
      <c r="Q34" s="3300"/>
      <c r="R34" s="3300"/>
      <c r="S34" s="3300"/>
      <c r="T34" s="3300"/>
      <c r="U34" s="3300"/>
      <c r="V34" s="3300"/>
      <c r="W34" s="3300"/>
      <c r="X34" s="3300"/>
      <c r="Y34" s="3300"/>
      <c r="Z34" s="3300"/>
      <c r="AA34" s="3300"/>
      <c r="AB34" s="3300"/>
      <c r="AC34" s="3300"/>
      <c r="AD34" s="3300"/>
      <c r="AE34" s="3300"/>
      <c r="AF34" s="3300"/>
      <c r="AG34" s="3231"/>
      <c r="AH34" s="3231"/>
      <c r="AI34" s="3231"/>
      <c r="AJ34" s="3231"/>
      <c r="AK34" s="3231"/>
      <c r="AL34" s="3231"/>
      <c r="AM34" s="3231"/>
      <c r="AN34" s="3305" t="s">
        <v>1697</v>
      </c>
      <c r="AO34" s="3231"/>
      <c r="AP34" s="3231"/>
      <c r="AQ34" s="3231"/>
      <c r="AR34" s="3231"/>
      <c r="AS34" s="3231"/>
      <c r="AT34" s="3231"/>
      <c r="AU34" s="3231"/>
      <c r="AV34" s="3232"/>
      <c r="AW34" s="3231"/>
      <c r="AX34" s="3231"/>
      <c r="AY34" s="3231"/>
      <c r="AZ34" s="3231"/>
      <c r="BA34" s="3231"/>
      <c r="BB34" s="4874"/>
      <c r="BC34" s="3231"/>
      <c r="BD34" s="3231"/>
      <c r="BE34" s="3231"/>
      <c r="BF34" s="3302"/>
      <c r="BG34" s="3302"/>
      <c r="BH34" s="3302"/>
      <c r="BI34" s="3302"/>
      <c r="BJ34" s="3302"/>
      <c r="BK34" s="3302">
        <v>1</v>
      </c>
      <c r="BL34" s="3302">
        <v>1</v>
      </c>
      <c r="BM34" s="3302">
        <v>1</v>
      </c>
      <c r="BN34" s="3302">
        <v>1</v>
      </c>
      <c r="BO34" s="3302">
        <v>1</v>
      </c>
      <c r="BP34" s="3302"/>
    </row>
    <row r="35" spans="1:68" ht="29.25" customHeight="1">
      <c r="A35" s="173">
        <v>25</v>
      </c>
      <c r="B35" s="3245" t="s">
        <v>1698</v>
      </c>
      <c r="C35" s="3246" t="s">
        <v>1666</v>
      </c>
      <c r="D35" s="3300"/>
      <c r="E35" s="3300"/>
      <c r="F35" s="3300"/>
      <c r="G35" s="3300"/>
      <c r="H35" s="3300"/>
      <c r="I35" s="3300"/>
      <c r="J35" s="3300"/>
      <c r="K35" s="3300"/>
      <c r="L35" s="3300"/>
      <c r="M35" s="3300"/>
      <c r="N35" s="3300"/>
      <c r="O35" s="3300"/>
      <c r="P35" s="3300"/>
      <c r="Q35" s="3300"/>
      <c r="R35" s="3300"/>
      <c r="S35" s="3300"/>
      <c r="T35" s="3300"/>
      <c r="U35" s="3300"/>
      <c r="V35" s="3300"/>
      <c r="W35" s="3300"/>
      <c r="X35" s="3300"/>
      <c r="Y35" s="3300"/>
      <c r="Z35" s="3300"/>
      <c r="AA35" s="3300"/>
      <c r="AB35" s="3300"/>
      <c r="AC35" s="3300"/>
      <c r="AD35" s="3300"/>
      <c r="AE35" s="3300"/>
      <c r="AF35" s="3300"/>
      <c r="AG35" s="3231"/>
      <c r="AH35" s="3231"/>
      <c r="AI35" s="3231"/>
      <c r="AJ35" s="3231"/>
      <c r="AK35" s="3231"/>
      <c r="AL35" s="3231"/>
      <c r="AM35" s="3231"/>
      <c r="AN35" s="3305" t="s">
        <v>1697</v>
      </c>
      <c r="AO35" s="3231"/>
      <c r="AP35" s="3231"/>
      <c r="AQ35" s="3231"/>
      <c r="AR35" s="3231"/>
      <c r="AS35" s="3231"/>
      <c r="AT35" s="3231"/>
      <c r="AU35" s="3231"/>
      <c r="AV35" s="3232"/>
      <c r="AW35" s="3231"/>
      <c r="AX35" s="3231"/>
      <c r="AY35" s="3231"/>
      <c r="AZ35" s="3231"/>
      <c r="BA35" s="3231"/>
      <c r="BB35" s="4874"/>
      <c r="BC35" s="3231"/>
      <c r="BD35" s="3231"/>
      <c r="BE35" s="3231"/>
      <c r="BF35" s="3302"/>
      <c r="BG35" s="3302"/>
      <c r="BH35" s="3302"/>
      <c r="BI35" s="3302"/>
      <c r="BJ35" s="3302"/>
      <c r="BK35" s="3302">
        <v>1</v>
      </c>
      <c r="BL35" s="3302">
        <v>1</v>
      </c>
      <c r="BM35" s="3302">
        <v>1</v>
      </c>
      <c r="BN35" s="3302">
        <v>1</v>
      </c>
      <c r="BO35" s="3302">
        <v>1</v>
      </c>
      <c r="BP35" s="3302"/>
    </row>
    <row r="36" spans="1:68" ht="38.25" customHeight="1">
      <c r="A36" s="173">
        <v>26</v>
      </c>
      <c r="B36" s="3245" t="s">
        <v>2402</v>
      </c>
      <c r="C36" s="3246" t="s">
        <v>1699</v>
      </c>
      <c r="D36" s="3300"/>
      <c r="E36" s="3300"/>
      <c r="F36" s="3300"/>
      <c r="G36" s="3300"/>
      <c r="H36" s="3300"/>
      <c r="I36" s="3300"/>
      <c r="J36" s="3300"/>
      <c r="K36" s="3300"/>
      <c r="L36" s="3300"/>
      <c r="M36" s="3300"/>
      <c r="N36" s="3300"/>
      <c r="O36" s="3300"/>
      <c r="P36" s="3300"/>
      <c r="Q36" s="3300"/>
      <c r="R36" s="3300"/>
      <c r="S36" s="3300"/>
      <c r="T36" s="3300"/>
      <c r="U36" s="3300"/>
      <c r="V36" s="3300"/>
      <c r="W36" s="3300"/>
      <c r="X36" s="3300"/>
      <c r="Y36" s="3300"/>
      <c r="Z36" s="3300"/>
      <c r="AA36" s="3300"/>
      <c r="AB36" s="3300"/>
      <c r="AC36" s="3300"/>
      <c r="AD36" s="3300"/>
      <c r="AE36" s="3300"/>
      <c r="AF36" s="3300"/>
      <c r="AG36" s="3231"/>
      <c r="AH36" s="3231"/>
      <c r="AI36" s="3231"/>
      <c r="AJ36" s="3231"/>
      <c r="AK36" s="3231"/>
      <c r="AL36" s="3231"/>
      <c r="AM36" s="3231"/>
      <c r="AN36" s="3305" t="s">
        <v>1697</v>
      </c>
      <c r="AO36" s="3231"/>
      <c r="AP36" s="3231"/>
      <c r="AQ36" s="3303"/>
      <c r="AR36" s="3231"/>
      <c r="AS36" s="3231"/>
      <c r="AT36" s="3231"/>
      <c r="AU36" s="3231"/>
      <c r="AV36" s="3232"/>
      <c r="AW36" s="3231"/>
      <c r="AX36" s="3231"/>
      <c r="AY36" s="3231"/>
      <c r="AZ36" s="3231"/>
      <c r="BA36" s="3231"/>
      <c r="BB36" s="4874"/>
      <c r="BC36" s="3231"/>
      <c r="BD36" s="3231"/>
      <c r="BE36" s="3231"/>
      <c r="BF36" s="3302"/>
      <c r="BG36" s="3302"/>
      <c r="BH36" s="3302"/>
      <c r="BI36" s="3302"/>
      <c r="BJ36" s="3302"/>
      <c r="BK36" s="3302"/>
      <c r="BL36" s="3302">
        <v>1</v>
      </c>
      <c r="BM36" s="3302">
        <v>1</v>
      </c>
      <c r="BN36" s="3302">
        <v>1</v>
      </c>
      <c r="BO36" s="3302">
        <v>1</v>
      </c>
      <c r="BP36" s="3302"/>
    </row>
    <row r="37" spans="1:68" ht="29.25" customHeight="1">
      <c r="A37" s="173">
        <v>27</v>
      </c>
      <c r="B37" s="3245" t="s">
        <v>1700</v>
      </c>
      <c r="C37" s="3246" t="s">
        <v>1666</v>
      </c>
      <c r="D37" s="3300"/>
      <c r="E37" s="3300"/>
      <c r="F37" s="3300"/>
      <c r="G37" s="3300"/>
      <c r="H37" s="3300"/>
      <c r="I37" s="3300"/>
      <c r="J37" s="3300"/>
      <c r="K37" s="3300"/>
      <c r="L37" s="3300"/>
      <c r="M37" s="3300"/>
      <c r="N37" s="3300"/>
      <c r="O37" s="3300"/>
      <c r="P37" s="3300"/>
      <c r="Q37" s="3300"/>
      <c r="R37" s="3300"/>
      <c r="S37" s="3300"/>
      <c r="T37" s="3300"/>
      <c r="U37" s="3300"/>
      <c r="V37" s="3300"/>
      <c r="W37" s="3300"/>
      <c r="X37" s="3300"/>
      <c r="Y37" s="3300"/>
      <c r="Z37" s="3300"/>
      <c r="AA37" s="3300"/>
      <c r="AB37" s="3300"/>
      <c r="AC37" s="3300"/>
      <c r="AD37" s="3300"/>
      <c r="AE37" s="3300"/>
      <c r="AF37" s="3300"/>
      <c r="AG37" s="3231"/>
      <c r="AH37" s="3231"/>
      <c r="AI37" s="3231"/>
      <c r="AJ37" s="3231"/>
      <c r="AK37" s="3231"/>
      <c r="AL37" s="3231"/>
      <c r="AM37" s="3231"/>
      <c r="AN37" s="3305" t="s">
        <v>1697</v>
      </c>
      <c r="AO37" s="3231"/>
      <c r="AP37" s="3231"/>
      <c r="AQ37" s="3231"/>
      <c r="AR37" s="3231"/>
      <c r="AS37" s="3231"/>
      <c r="AT37" s="3231"/>
      <c r="AU37" s="3231"/>
      <c r="AV37" s="3232"/>
      <c r="AW37" s="3231"/>
      <c r="AX37" s="3231"/>
      <c r="AY37" s="3231"/>
      <c r="AZ37" s="3231"/>
      <c r="BA37" s="3231"/>
      <c r="BB37" s="4874"/>
      <c r="BC37" s="3231"/>
      <c r="BD37" s="3231"/>
      <c r="BE37" s="3231"/>
      <c r="BF37" s="3302"/>
      <c r="BG37" s="3302"/>
      <c r="BH37" s="3302"/>
      <c r="BI37" s="3302"/>
      <c r="BJ37" s="3302"/>
      <c r="BK37" s="3302">
        <v>1</v>
      </c>
      <c r="BL37" s="3302">
        <v>1</v>
      </c>
      <c r="BM37" s="3302">
        <v>1</v>
      </c>
      <c r="BN37" s="3302">
        <v>1</v>
      </c>
      <c r="BO37" s="3302">
        <v>1</v>
      </c>
      <c r="BP37" s="3302"/>
    </row>
    <row r="38" spans="1:68" ht="29.25" customHeight="1">
      <c r="A38" s="173">
        <v>28</v>
      </c>
      <c r="B38" s="3245" t="s">
        <v>1701</v>
      </c>
      <c r="C38" s="3246" t="s">
        <v>1666</v>
      </c>
      <c r="D38" s="3300"/>
      <c r="E38" s="3300"/>
      <c r="F38" s="3300"/>
      <c r="G38" s="3300"/>
      <c r="H38" s="3300"/>
      <c r="I38" s="3300"/>
      <c r="J38" s="3300"/>
      <c r="K38" s="3300"/>
      <c r="L38" s="3300"/>
      <c r="M38" s="3300"/>
      <c r="N38" s="3300"/>
      <c r="O38" s="3300"/>
      <c r="P38" s="3300"/>
      <c r="Q38" s="3300"/>
      <c r="R38" s="3300"/>
      <c r="S38" s="3300"/>
      <c r="T38" s="3300"/>
      <c r="U38" s="3300"/>
      <c r="V38" s="3300"/>
      <c r="W38" s="3300"/>
      <c r="X38" s="3300"/>
      <c r="Y38" s="3300"/>
      <c r="Z38" s="3300"/>
      <c r="AA38" s="3300"/>
      <c r="AB38" s="3300"/>
      <c r="AC38" s="3300"/>
      <c r="AD38" s="3300"/>
      <c r="AE38" s="3300"/>
      <c r="AF38" s="3300"/>
      <c r="AG38" s="3231"/>
      <c r="AH38" s="3231"/>
      <c r="AI38" s="3231"/>
      <c r="AJ38" s="3231"/>
      <c r="AK38" s="3231"/>
      <c r="AL38" s="3231"/>
      <c r="AM38" s="3231"/>
      <c r="AN38" s="3305" t="s">
        <v>1697</v>
      </c>
      <c r="AO38" s="3231"/>
      <c r="AP38" s="3231"/>
      <c r="AQ38" s="3231"/>
      <c r="AR38" s="3231"/>
      <c r="AS38" s="3231"/>
      <c r="AT38" s="3231"/>
      <c r="AU38" s="3231"/>
      <c r="AV38" s="3232"/>
      <c r="AW38" s="3231"/>
      <c r="AX38" s="3231"/>
      <c r="AY38" s="3231"/>
      <c r="AZ38" s="3231"/>
      <c r="BA38" s="3231"/>
      <c r="BB38" s="4874"/>
      <c r="BC38" s="3231"/>
      <c r="BD38" s="3231"/>
      <c r="BE38" s="3231"/>
      <c r="BF38" s="3302"/>
      <c r="BG38" s="3302"/>
      <c r="BH38" s="3302"/>
      <c r="BI38" s="3302"/>
      <c r="BJ38" s="3302"/>
      <c r="BK38" s="3302">
        <v>1</v>
      </c>
      <c r="BL38" s="3302">
        <v>1</v>
      </c>
      <c r="BM38" s="3302">
        <v>1</v>
      </c>
      <c r="BN38" s="3302">
        <v>1</v>
      </c>
      <c r="BO38" s="3302">
        <v>1</v>
      </c>
      <c r="BP38" s="3302"/>
    </row>
    <row r="39" spans="1:68" ht="29.25" customHeight="1">
      <c r="A39" s="173">
        <v>29</v>
      </c>
      <c r="B39" s="3245" t="s">
        <v>1702</v>
      </c>
      <c r="C39" s="3246" t="s">
        <v>1666</v>
      </c>
      <c r="D39" s="3300"/>
      <c r="E39" s="3300"/>
      <c r="F39" s="3300"/>
      <c r="G39" s="3300"/>
      <c r="H39" s="3300"/>
      <c r="I39" s="3300"/>
      <c r="J39" s="3300"/>
      <c r="K39" s="3300"/>
      <c r="L39" s="3300"/>
      <c r="M39" s="3300"/>
      <c r="N39" s="3300"/>
      <c r="O39" s="3300"/>
      <c r="P39" s="3300"/>
      <c r="Q39" s="3300"/>
      <c r="R39" s="3300"/>
      <c r="S39" s="3300"/>
      <c r="T39" s="3300"/>
      <c r="U39" s="3300"/>
      <c r="V39" s="3300"/>
      <c r="W39" s="3300"/>
      <c r="X39" s="3300"/>
      <c r="Y39" s="3300"/>
      <c r="Z39" s="3300"/>
      <c r="AA39" s="3300"/>
      <c r="AB39" s="3300"/>
      <c r="AC39" s="3300"/>
      <c r="AD39" s="3300"/>
      <c r="AE39" s="3300"/>
      <c r="AF39" s="3300"/>
      <c r="AG39" s="3231"/>
      <c r="AH39" s="3231"/>
      <c r="AI39" s="3231"/>
      <c r="AJ39" s="3231"/>
      <c r="AK39" s="3231"/>
      <c r="AL39" s="3231"/>
      <c r="AM39" s="3231"/>
      <c r="AN39" s="3305" t="s">
        <v>1697</v>
      </c>
      <c r="AO39" s="3231"/>
      <c r="AP39" s="3231"/>
      <c r="AQ39" s="3231"/>
      <c r="AR39" s="3231"/>
      <c r="AS39" s="3231"/>
      <c r="AT39" s="3231"/>
      <c r="AU39" s="3231"/>
      <c r="AV39" s="3232"/>
      <c r="AW39" s="3231"/>
      <c r="AX39" s="3231"/>
      <c r="AY39" s="3231"/>
      <c r="AZ39" s="3231"/>
      <c r="BA39" s="3231"/>
      <c r="BB39" s="4874"/>
      <c r="BC39" s="3231"/>
      <c r="BD39" s="3231"/>
      <c r="BE39" s="3231"/>
      <c r="BF39" s="3302"/>
      <c r="BG39" s="3302"/>
      <c r="BH39" s="3302"/>
      <c r="BI39" s="3302"/>
      <c r="BJ39" s="3302"/>
      <c r="BK39" s="3302">
        <v>1</v>
      </c>
      <c r="BL39" s="3302">
        <v>1</v>
      </c>
      <c r="BM39" s="3302">
        <v>1</v>
      </c>
      <c r="BN39" s="3302">
        <v>1</v>
      </c>
      <c r="BO39" s="3302">
        <v>1</v>
      </c>
      <c r="BP39" s="3302"/>
    </row>
    <row r="40" spans="1:68" ht="29.25" customHeight="1">
      <c r="A40" s="173">
        <v>30</v>
      </c>
      <c r="B40" s="3245" t="s">
        <v>1703</v>
      </c>
      <c r="C40" s="3246" t="s">
        <v>1666</v>
      </c>
      <c r="D40" s="3300"/>
      <c r="E40" s="3300"/>
      <c r="F40" s="3300"/>
      <c r="G40" s="3300"/>
      <c r="H40" s="3300"/>
      <c r="I40" s="3300"/>
      <c r="J40" s="3300"/>
      <c r="K40" s="3300"/>
      <c r="L40" s="3300"/>
      <c r="M40" s="3300"/>
      <c r="N40" s="3300"/>
      <c r="O40" s="3300"/>
      <c r="P40" s="3300"/>
      <c r="Q40" s="3300"/>
      <c r="R40" s="3300"/>
      <c r="S40" s="3300"/>
      <c r="T40" s="3300"/>
      <c r="U40" s="3300"/>
      <c r="V40" s="3300"/>
      <c r="W40" s="3300"/>
      <c r="X40" s="3300"/>
      <c r="Y40" s="3300"/>
      <c r="Z40" s="3300"/>
      <c r="AA40" s="3300"/>
      <c r="AB40" s="3300"/>
      <c r="AC40" s="3300"/>
      <c r="AD40" s="3300"/>
      <c r="AE40" s="3300"/>
      <c r="AF40" s="3300"/>
      <c r="AG40" s="3231"/>
      <c r="AH40" s="3231"/>
      <c r="AI40" s="3231"/>
      <c r="AJ40" s="3231"/>
      <c r="AK40" s="3231"/>
      <c r="AL40" s="3231"/>
      <c r="AM40" s="3231"/>
      <c r="AN40" s="3305" t="s">
        <v>1697</v>
      </c>
      <c r="AO40" s="3231"/>
      <c r="AP40" s="3231"/>
      <c r="AQ40" s="3231"/>
      <c r="AR40" s="3231"/>
      <c r="AS40" s="3231"/>
      <c r="AT40" s="3231"/>
      <c r="AU40" s="3231"/>
      <c r="AV40" s="3232"/>
      <c r="AW40" s="3231"/>
      <c r="AX40" s="3231"/>
      <c r="AY40" s="3231"/>
      <c r="AZ40" s="3231"/>
      <c r="BA40" s="3231"/>
      <c r="BB40" s="4874"/>
      <c r="BC40" s="3231"/>
      <c r="BD40" s="3231"/>
      <c r="BE40" s="3231"/>
      <c r="BF40" s="3302"/>
      <c r="BG40" s="3302"/>
      <c r="BH40" s="3302"/>
      <c r="BI40" s="3302"/>
      <c r="BJ40" s="3302"/>
      <c r="BK40" s="3302">
        <v>1</v>
      </c>
      <c r="BL40" s="3302">
        <v>1</v>
      </c>
      <c r="BM40" s="3302">
        <v>1</v>
      </c>
      <c r="BN40" s="3302">
        <v>1</v>
      </c>
      <c r="BO40" s="3302">
        <v>1</v>
      </c>
      <c r="BP40" s="3302"/>
    </row>
    <row r="41" spans="1:68" ht="29.25" customHeight="1">
      <c r="A41" s="173">
        <v>31</v>
      </c>
      <c r="B41" s="3245" t="s">
        <v>1704</v>
      </c>
      <c r="C41" s="3246" t="s">
        <v>1666</v>
      </c>
      <c r="D41" s="3300"/>
      <c r="E41" s="3300"/>
      <c r="F41" s="3300"/>
      <c r="G41" s="3300"/>
      <c r="H41" s="3300"/>
      <c r="I41" s="3300"/>
      <c r="J41" s="3300"/>
      <c r="K41" s="3300"/>
      <c r="L41" s="3300"/>
      <c r="M41" s="3300"/>
      <c r="N41" s="3300"/>
      <c r="O41" s="3300"/>
      <c r="P41" s="3300"/>
      <c r="Q41" s="3300"/>
      <c r="R41" s="3300"/>
      <c r="S41" s="3300"/>
      <c r="T41" s="3300"/>
      <c r="U41" s="3300"/>
      <c r="V41" s="3300"/>
      <c r="W41" s="3300"/>
      <c r="X41" s="3300"/>
      <c r="Y41" s="3300"/>
      <c r="Z41" s="3300"/>
      <c r="AA41" s="3300"/>
      <c r="AB41" s="3300"/>
      <c r="AC41" s="3300"/>
      <c r="AD41" s="3300"/>
      <c r="AE41" s="3300"/>
      <c r="AF41" s="3300"/>
      <c r="AG41" s="3231"/>
      <c r="AH41" s="3231"/>
      <c r="AI41" s="3231"/>
      <c r="AJ41" s="3231"/>
      <c r="AK41" s="3231"/>
      <c r="AL41" s="3231"/>
      <c r="AM41" s="3231"/>
      <c r="AN41" s="3305" t="s">
        <v>1697</v>
      </c>
      <c r="AO41" s="3231"/>
      <c r="AP41" s="3231"/>
      <c r="AQ41" s="3231"/>
      <c r="AR41" s="3231"/>
      <c r="AS41" s="3231"/>
      <c r="AT41" s="3231"/>
      <c r="AU41" s="3231"/>
      <c r="AV41" s="3232"/>
      <c r="AW41" s="3231"/>
      <c r="AX41" s="3231"/>
      <c r="AY41" s="3231"/>
      <c r="AZ41" s="3231"/>
      <c r="BA41" s="3231"/>
      <c r="BB41" s="4874"/>
      <c r="BC41" s="3231"/>
      <c r="BD41" s="3231"/>
      <c r="BE41" s="3231"/>
      <c r="BF41" s="3302"/>
      <c r="BG41" s="3302"/>
      <c r="BH41" s="3302"/>
      <c r="BI41" s="3302"/>
      <c r="BJ41" s="3302"/>
      <c r="BK41" s="3302">
        <v>1</v>
      </c>
      <c r="BL41" s="3302">
        <v>1</v>
      </c>
      <c r="BM41" s="3302">
        <v>1</v>
      </c>
      <c r="BN41" s="3302">
        <v>1</v>
      </c>
      <c r="BO41" s="3302">
        <v>1</v>
      </c>
      <c r="BP41" s="3302"/>
    </row>
    <row r="42" spans="1:68" ht="39.75" customHeight="1">
      <c r="A42" s="173">
        <v>32</v>
      </c>
      <c r="B42" s="3245" t="s">
        <v>2403</v>
      </c>
      <c r="C42" s="3246" t="s">
        <v>1699</v>
      </c>
      <c r="D42" s="3300"/>
      <c r="E42" s="3300"/>
      <c r="F42" s="3300"/>
      <c r="G42" s="3300"/>
      <c r="H42" s="3300"/>
      <c r="I42" s="3300"/>
      <c r="J42" s="3300"/>
      <c r="K42" s="3300"/>
      <c r="L42" s="3300"/>
      <c r="M42" s="3300"/>
      <c r="N42" s="3300"/>
      <c r="O42" s="3300"/>
      <c r="P42" s="3300"/>
      <c r="Q42" s="3300"/>
      <c r="R42" s="3300"/>
      <c r="S42" s="3300"/>
      <c r="T42" s="3300"/>
      <c r="U42" s="3300"/>
      <c r="V42" s="3300"/>
      <c r="W42" s="3300"/>
      <c r="X42" s="3300"/>
      <c r="Y42" s="3300"/>
      <c r="Z42" s="3300"/>
      <c r="AA42" s="3300"/>
      <c r="AB42" s="3300"/>
      <c r="AC42" s="3300"/>
      <c r="AD42" s="3300"/>
      <c r="AE42" s="3300"/>
      <c r="AF42" s="3300"/>
      <c r="AG42" s="3231"/>
      <c r="AH42" s="3231"/>
      <c r="AI42" s="3231"/>
      <c r="AJ42" s="3231"/>
      <c r="AK42" s="3231"/>
      <c r="AL42" s="3231"/>
      <c r="AM42" s="3231"/>
      <c r="AN42" s="3305" t="s">
        <v>1697</v>
      </c>
      <c r="AO42" s="3231"/>
      <c r="AP42" s="3231"/>
      <c r="AQ42" s="3303"/>
      <c r="AR42" s="3231"/>
      <c r="AS42" s="3231"/>
      <c r="AT42" s="3231"/>
      <c r="AU42" s="3231"/>
      <c r="AV42" s="3232"/>
      <c r="AW42" s="3231"/>
      <c r="AX42" s="3231"/>
      <c r="AY42" s="3231"/>
      <c r="AZ42" s="3231"/>
      <c r="BA42" s="3231"/>
      <c r="BB42" s="4874"/>
      <c r="BC42" s="3231"/>
      <c r="BD42" s="3231"/>
      <c r="BE42" s="3231"/>
      <c r="BF42" s="3302"/>
      <c r="BG42" s="3302"/>
      <c r="BH42" s="3302"/>
      <c r="BI42" s="3302"/>
      <c r="BJ42" s="3302"/>
      <c r="BK42" s="3302"/>
      <c r="BL42" s="3302">
        <v>1</v>
      </c>
      <c r="BM42" s="3302">
        <v>1</v>
      </c>
      <c r="BN42" s="3302">
        <v>1</v>
      </c>
      <c r="BO42" s="3302">
        <v>1</v>
      </c>
      <c r="BP42" s="3302"/>
    </row>
    <row r="43" spans="1:68" ht="29.25" customHeight="1">
      <c r="A43" s="173">
        <v>33</v>
      </c>
      <c r="B43" s="3245" t="s">
        <v>1705</v>
      </c>
      <c r="C43" s="3246" t="s">
        <v>1666</v>
      </c>
      <c r="D43" s="3300"/>
      <c r="E43" s="3300"/>
      <c r="F43" s="3300"/>
      <c r="G43" s="3300"/>
      <c r="H43" s="3300"/>
      <c r="I43" s="3300"/>
      <c r="J43" s="3300"/>
      <c r="K43" s="3300"/>
      <c r="L43" s="3300"/>
      <c r="M43" s="3300"/>
      <c r="N43" s="3300"/>
      <c r="O43" s="3300"/>
      <c r="P43" s="3300"/>
      <c r="Q43" s="3300"/>
      <c r="R43" s="3300"/>
      <c r="S43" s="3300"/>
      <c r="T43" s="3300"/>
      <c r="U43" s="3300"/>
      <c r="V43" s="3300"/>
      <c r="W43" s="3300"/>
      <c r="X43" s="3300"/>
      <c r="Y43" s="3300"/>
      <c r="Z43" s="3300"/>
      <c r="AA43" s="3300"/>
      <c r="AB43" s="3300"/>
      <c r="AC43" s="3300"/>
      <c r="AD43" s="3300"/>
      <c r="AE43" s="3300"/>
      <c r="AF43" s="3300"/>
      <c r="AG43" s="3231"/>
      <c r="AH43" s="3231"/>
      <c r="AI43" s="3231"/>
      <c r="AJ43" s="3231"/>
      <c r="AK43" s="3231"/>
      <c r="AL43" s="3231"/>
      <c r="AM43" s="3231"/>
      <c r="AN43" s="3305" t="s">
        <v>1697</v>
      </c>
      <c r="AO43" s="3231"/>
      <c r="AP43" s="3231"/>
      <c r="AQ43" s="3231"/>
      <c r="AR43" s="3231"/>
      <c r="AS43" s="3231"/>
      <c r="AT43" s="3231"/>
      <c r="AU43" s="3231"/>
      <c r="AV43" s="3232"/>
      <c r="AW43" s="3231"/>
      <c r="AX43" s="3231"/>
      <c r="AY43" s="3231"/>
      <c r="AZ43" s="3231"/>
      <c r="BA43" s="3231"/>
      <c r="BB43" s="4874"/>
      <c r="BC43" s="3231"/>
      <c r="BD43" s="3231"/>
      <c r="BE43" s="3231"/>
      <c r="BF43" s="3302"/>
      <c r="BG43" s="3302"/>
      <c r="BH43" s="3302"/>
      <c r="BI43" s="3302"/>
      <c r="BJ43" s="3302"/>
      <c r="BK43" s="3302">
        <v>1</v>
      </c>
      <c r="BL43" s="3302">
        <v>1</v>
      </c>
      <c r="BM43" s="3302">
        <v>1</v>
      </c>
      <c r="BN43" s="3302">
        <v>1</v>
      </c>
      <c r="BO43" s="3302">
        <v>1</v>
      </c>
      <c r="BP43" s="3302"/>
    </row>
    <row r="44" spans="1:68" ht="29.25" customHeight="1">
      <c r="A44" s="173">
        <v>34</v>
      </c>
      <c r="B44" s="3245" t="s">
        <v>1706</v>
      </c>
      <c r="C44" s="3246" t="s">
        <v>1666</v>
      </c>
      <c r="D44" s="3300"/>
      <c r="E44" s="3300"/>
      <c r="F44" s="3300"/>
      <c r="G44" s="3300"/>
      <c r="H44" s="3300"/>
      <c r="I44" s="3300"/>
      <c r="J44" s="3300"/>
      <c r="K44" s="3300"/>
      <c r="L44" s="3300"/>
      <c r="M44" s="3300"/>
      <c r="N44" s="3300"/>
      <c r="O44" s="3300"/>
      <c r="P44" s="3300"/>
      <c r="Q44" s="3300"/>
      <c r="R44" s="3300"/>
      <c r="S44" s="3300"/>
      <c r="T44" s="3300"/>
      <c r="U44" s="3300"/>
      <c r="V44" s="3300"/>
      <c r="W44" s="3300"/>
      <c r="X44" s="3300"/>
      <c r="Y44" s="3300"/>
      <c r="Z44" s="3300"/>
      <c r="AA44" s="3300"/>
      <c r="AB44" s="3300"/>
      <c r="AC44" s="3300"/>
      <c r="AD44" s="3300"/>
      <c r="AE44" s="3300"/>
      <c r="AF44" s="3300"/>
      <c r="AG44" s="3231"/>
      <c r="AH44" s="3231"/>
      <c r="AI44" s="3231"/>
      <c r="AJ44" s="3231"/>
      <c r="AK44" s="3231"/>
      <c r="AL44" s="3231"/>
      <c r="AM44" s="3231"/>
      <c r="AN44" s="3305" t="s">
        <v>1697</v>
      </c>
      <c r="AO44" s="3231"/>
      <c r="AP44" s="3231"/>
      <c r="AQ44" s="3231"/>
      <c r="AR44" s="3231"/>
      <c r="AS44" s="3231"/>
      <c r="AT44" s="3231"/>
      <c r="AU44" s="3231"/>
      <c r="AV44" s="3232"/>
      <c r="AW44" s="3231"/>
      <c r="AX44" s="3231"/>
      <c r="AY44" s="3231"/>
      <c r="AZ44" s="3231"/>
      <c r="BA44" s="3231"/>
      <c r="BB44" s="4874"/>
      <c r="BC44" s="3231"/>
      <c r="BD44" s="3231"/>
      <c r="BE44" s="3231"/>
      <c r="BF44" s="3302"/>
      <c r="BG44" s="3302"/>
      <c r="BH44" s="3302"/>
      <c r="BI44" s="3302"/>
      <c r="BJ44" s="3302"/>
      <c r="BK44" s="3302">
        <v>1</v>
      </c>
      <c r="BL44" s="3302">
        <v>1</v>
      </c>
      <c r="BM44" s="3302">
        <v>1</v>
      </c>
      <c r="BN44" s="3302">
        <v>1</v>
      </c>
      <c r="BO44" s="3302">
        <v>1</v>
      </c>
      <c r="BP44" s="3302"/>
    </row>
    <row r="45" spans="1:68" ht="29.25" customHeight="1">
      <c r="A45" s="173">
        <v>35</v>
      </c>
      <c r="B45" s="3245" t="s">
        <v>1707</v>
      </c>
      <c r="C45" s="3246" t="s">
        <v>1666</v>
      </c>
      <c r="D45" s="3300"/>
      <c r="E45" s="3300"/>
      <c r="F45" s="3300"/>
      <c r="G45" s="3300"/>
      <c r="H45" s="3300"/>
      <c r="I45" s="3300"/>
      <c r="J45" s="3300"/>
      <c r="K45" s="3300"/>
      <c r="L45" s="3300"/>
      <c r="M45" s="3300"/>
      <c r="N45" s="3300"/>
      <c r="O45" s="3300"/>
      <c r="P45" s="3300"/>
      <c r="Q45" s="3300"/>
      <c r="R45" s="3300"/>
      <c r="S45" s="3300"/>
      <c r="T45" s="3300"/>
      <c r="U45" s="3300"/>
      <c r="V45" s="3300"/>
      <c r="W45" s="3300"/>
      <c r="X45" s="3300"/>
      <c r="Y45" s="3300"/>
      <c r="Z45" s="3300"/>
      <c r="AA45" s="3300"/>
      <c r="AB45" s="3300"/>
      <c r="AC45" s="3300"/>
      <c r="AD45" s="3300"/>
      <c r="AE45" s="3300"/>
      <c r="AF45" s="3300"/>
      <c r="AG45" s="3231"/>
      <c r="AH45" s="3231"/>
      <c r="AI45" s="3231"/>
      <c r="AJ45" s="3231"/>
      <c r="AK45" s="3231"/>
      <c r="AL45" s="3231"/>
      <c r="AM45" s="3231"/>
      <c r="AN45" s="3305" t="s">
        <v>1697</v>
      </c>
      <c r="AO45" s="3231"/>
      <c r="AP45" s="3231"/>
      <c r="AQ45" s="3231"/>
      <c r="AR45" s="3231"/>
      <c r="AS45" s="3231"/>
      <c r="AT45" s="3231"/>
      <c r="AU45" s="3231"/>
      <c r="AV45" s="3232"/>
      <c r="AW45" s="3231"/>
      <c r="AX45" s="3231"/>
      <c r="AY45" s="3231"/>
      <c r="AZ45" s="3231"/>
      <c r="BA45" s="3231"/>
      <c r="BB45" s="4874"/>
      <c r="BC45" s="3231"/>
      <c r="BD45" s="3231"/>
      <c r="BE45" s="3231"/>
      <c r="BF45" s="3302"/>
      <c r="BG45" s="3302"/>
      <c r="BH45" s="3302"/>
      <c r="BI45" s="3302"/>
      <c r="BJ45" s="3302"/>
      <c r="BK45" s="3302">
        <v>1</v>
      </c>
      <c r="BL45" s="3302">
        <v>1</v>
      </c>
      <c r="BM45" s="3302">
        <v>1</v>
      </c>
      <c r="BN45" s="3302">
        <v>1</v>
      </c>
      <c r="BO45" s="3302">
        <v>1</v>
      </c>
      <c r="BP45" s="3302"/>
    </row>
    <row r="46" spans="1:68" ht="29.25" customHeight="1">
      <c r="A46" s="173">
        <v>36</v>
      </c>
      <c r="B46" s="3245" t="s">
        <v>1905</v>
      </c>
      <c r="C46" s="3246" t="s">
        <v>1699</v>
      </c>
      <c r="D46" s="3300"/>
      <c r="E46" s="3300"/>
      <c r="F46" s="3300"/>
      <c r="G46" s="3300"/>
      <c r="H46" s="3300"/>
      <c r="I46" s="3300"/>
      <c r="J46" s="3300"/>
      <c r="K46" s="3300"/>
      <c r="L46" s="3300"/>
      <c r="M46" s="3300"/>
      <c r="N46" s="3300"/>
      <c r="O46" s="3300"/>
      <c r="P46" s="3300"/>
      <c r="Q46" s="3300"/>
      <c r="R46" s="3300"/>
      <c r="S46" s="3300"/>
      <c r="T46" s="3300"/>
      <c r="U46" s="3300"/>
      <c r="V46" s="3300"/>
      <c r="W46" s="3300"/>
      <c r="X46" s="3300"/>
      <c r="Y46" s="3300"/>
      <c r="Z46" s="3300"/>
      <c r="AA46" s="3300"/>
      <c r="AB46" s="3300"/>
      <c r="AC46" s="3300"/>
      <c r="AD46" s="3300"/>
      <c r="AE46" s="3300"/>
      <c r="AF46" s="3300"/>
      <c r="AG46" s="3231"/>
      <c r="AH46" s="3231"/>
      <c r="AI46" s="3231"/>
      <c r="AJ46" s="3231"/>
      <c r="AK46" s="3231"/>
      <c r="AL46" s="3231"/>
      <c r="AM46" s="3231"/>
      <c r="AN46" s="3305" t="s">
        <v>1697</v>
      </c>
      <c r="AO46" s="3231"/>
      <c r="AP46" s="3231"/>
      <c r="AQ46" s="3300"/>
      <c r="AR46" s="3231"/>
      <c r="AS46" s="3231"/>
      <c r="AT46" s="3231"/>
      <c r="AU46" s="3231"/>
      <c r="AV46" s="3232"/>
      <c r="AW46" s="3231"/>
      <c r="AX46" s="3231"/>
      <c r="AY46" s="3231"/>
      <c r="AZ46" s="3231"/>
      <c r="BA46" s="3231"/>
      <c r="BB46" s="4874"/>
      <c r="BC46" s="3231"/>
      <c r="BD46" s="3231"/>
      <c r="BE46" s="3231"/>
      <c r="BF46" s="3302"/>
      <c r="BG46" s="3302"/>
      <c r="BH46" s="3302"/>
      <c r="BI46" s="3302"/>
      <c r="BJ46" s="3302"/>
      <c r="BK46" s="3302"/>
      <c r="BL46" s="3302">
        <v>1</v>
      </c>
      <c r="BM46" s="3302">
        <v>1</v>
      </c>
      <c r="BN46" s="3302">
        <v>1</v>
      </c>
      <c r="BO46" s="3302">
        <v>1</v>
      </c>
      <c r="BP46" s="3302"/>
    </row>
    <row r="47" spans="1:68" ht="14.4">
      <c r="B47" s="3318" t="s">
        <v>373</v>
      </c>
      <c r="C47" s="3236"/>
      <c r="D47" s="3319"/>
      <c r="E47" s="3319"/>
      <c r="F47" s="3319"/>
      <c r="G47" s="3319"/>
      <c r="H47" s="3319"/>
      <c r="I47" s="3319"/>
      <c r="J47" s="3319"/>
      <c r="K47" s="3319"/>
      <c r="L47" s="3319"/>
      <c r="M47" s="3319"/>
      <c r="N47" s="3319"/>
      <c r="O47" s="3319"/>
      <c r="P47" s="3319"/>
      <c r="Q47" s="3319"/>
      <c r="R47" s="3319"/>
      <c r="S47" s="3319"/>
      <c r="T47" s="3319"/>
      <c r="U47" s="3319"/>
      <c r="V47" s="3319"/>
      <c r="W47" s="3319"/>
      <c r="X47" s="3319"/>
      <c r="Y47" s="3319"/>
      <c r="Z47" s="3319"/>
      <c r="AA47" s="3319"/>
      <c r="AB47" s="3319"/>
      <c r="AC47" s="3319"/>
      <c r="AD47" s="3319"/>
      <c r="AE47" s="3319"/>
      <c r="AF47" s="3319"/>
      <c r="AG47" s="3320"/>
      <c r="AH47" s="3320"/>
      <c r="AI47" s="3320"/>
      <c r="AJ47" s="3320"/>
      <c r="AK47" s="3320"/>
      <c r="AL47" s="3320"/>
      <c r="AM47" s="3320"/>
      <c r="AN47" s="3320"/>
      <c r="AO47" s="3320"/>
      <c r="AP47" s="3320"/>
      <c r="AQ47" s="3320"/>
      <c r="AR47" s="3320"/>
      <c r="AS47" s="3320"/>
      <c r="AT47" s="3320"/>
      <c r="AU47" s="3320"/>
      <c r="AV47" s="3320"/>
      <c r="AW47" s="3320"/>
      <c r="AX47" s="3320"/>
      <c r="AY47" s="3320"/>
      <c r="AZ47" s="3320"/>
      <c r="BA47" s="3320"/>
      <c r="BB47" s="4880"/>
      <c r="BC47" s="4881"/>
      <c r="BD47" s="4881"/>
      <c r="BE47" s="4881"/>
      <c r="BF47" s="3321"/>
      <c r="BG47" s="3321"/>
      <c r="BH47" s="3321"/>
      <c r="BI47" s="3321"/>
      <c r="BJ47" s="3321"/>
      <c r="BK47" s="3321"/>
      <c r="BL47" s="3321"/>
      <c r="BM47" s="3321"/>
      <c r="BN47" s="3321"/>
      <c r="BO47" s="3321"/>
      <c r="BP47" s="3321"/>
    </row>
    <row r="48" spans="1:68" ht="29.25" customHeight="1">
      <c r="A48" s="173">
        <v>37</v>
      </c>
      <c r="B48" s="3211" t="s">
        <v>725</v>
      </c>
      <c r="C48" s="3212" t="s">
        <v>711</v>
      </c>
      <c r="D48" s="3300"/>
      <c r="E48" s="3233" t="s">
        <v>252</v>
      </c>
      <c r="F48" s="3300"/>
      <c r="G48" s="3300"/>
      <c r="H48" s="3300"/>
      <c r="I48" s="3300"/>
      <c r="J48" s="3300"/>
      <c r="K48" s="3300"/>
      <c r="L48" s="3300"/>
      <c r="M48" s="3300"/>
      <c r="N48" s="3300"/>
      <c r="O48" s="3300"/>
      <c r="P48" s="3300"/>
      <c r="Q48" s="3300"/>
      <c r="R48" s="3300"/>
      <c r="S48" s="3300"/>
      <c r="T48" s="3300"/>
      <c r="U48" s="3233" t="s">
        <v>207</v>
      </c>
      <c r="V48" s="3300"/>
      <c r="W48" s="3300"/>
      <c r="X48" s="3300"/>
      <c r="Y48" s="3300"/>
      <c r="Z48" s="3300"/>
      <c r="AA48" s="3300"/>
      <c r="AB48" s="3300"/>
      <c r="AC48" s="3300"/>
      <c r="AD48" s="3300"/>
      <c r="AE48" s="3230" t="s">
        <v>510</v>
      </c>
      <c r="AF48" s="3300"/>
      <c r="AG48" s="3231"/>
      <c r="AH48" s="3231"/>
      <c r="AI48" s="3230" t="s">
        <v>666</v>
      </c>
      <c r="AJ48" s="3231"/>
      <c r="AK48" s="3231"/>
      <c r="AL48" s="3231"/>
      <c r="AM48" s="3231"/>
      <c r="AN48" s="3231"/>
      <c r="AO48" s="3231"/>
      <c r="AP48" s="3231"/>
      <c r="AQ48" s="3231"/>
      <c r="AR48" s="3231"/>
      <c r="AS48" s="3231"/>
      <c r="AT48" s="3231"/>
      <c r="AU48" s="3231"/>
      <c r="AV48" s="3232"/>
      <c r="AW48" s="3231"/>
      <c r="AX48" s="3231"/>
      <c r="AY48" s="3231"/>
      <c r="AZ48" s="3231"/>
      <c r="BA48" s="3231"/>
      <c r="BB48" s="4874"/>
      <c r="BC48" s="3231"/>
      <c r="BD48" s="3231"/>
      <c r="BE48" s="3231"/>
      <c r="BF48" s="3302">
        <v>1</v>
      </c>
      <c r="BG48" s="3302">
        <v>1</v>
      </c>
      <c r="BH48" s="3302">
        <v>1</v>
      </c>
      <c r="BI48" s="3302">
        <v>1</v>
      </c>
      <c r="BJ48" s="3302">
        <v>1</v>
      </c>
      <c r="BK48" s="3302">
        <v>1</v>
      </c>
      <c r="BL48" s="3302">
        <v>1</v>
      </c>
      <c r="BM48" s="3302">
        <v>1</v>
      </c>
      <c r="BN48" s="3302"/>
      <c r="BO48" s="3302"/>
      <c r="BP48" s="3302"/>
    </row>
    <row r="49" spans="1:68" ht="29.25" customHeight="1">
      <c r="A49" s="173">
        <v>38</v>
      </c>
      <c r="B49" s="3211" t="s">
        <v>726</v>
      </c>
      <c r="C49" s="3212" t="s">
        <v>711</v>
      </c>
      <c r="D49" s="3300"/>
      <c r="E49" s="3233" t="s">
        <v>252</v>
      </c>
      <c r="F49" s="3303"/>
      <c r="G49" s="3300"/>
      <c r="H49" s="3300"/>
      <c r="I49" s="3300"/>
      <c r="J49" s="3300"/>
      <c r="K49" s="3300"/>
      <c r="L49" s="3300"/>
      <c r="M49" s="3300"/>
      <c r="N49" s="3300"/>
      <c r="O49" s="3300"/>
      <c r="P49" s="3300"/>
      <c r="Q49" s="3300"/>
      <c r="R49" s="3300"/>
      <c r="S49" s="3300"/>
      <c r="T49" s="3300"/>
      <c r="U49" s="3233" t="s">
        <v>207</v>
      </c>
      <c r="V49" s="3303"/>
      <c r="W49" s="3300"/>
      <c r="X49" s="3300"/>
      <c r="Y49" s="3300"/>
      <c r="Z49" s="3300"/>
      <c r="AA49" s="3300"/>
      <c r="AB49" s="3300"/>
      <c r="AC49" s="3300"/>
      <c r="AD49" s="3300"/>
      <c r="AE49" s="3230" t="s">
        <v>510</v>
      </c>
      <c r="AF49" s="3303"/>
      <c r="AG49" s="3231"/>
      <c r="AH49" s="3231"/>
      <c r="AI49" s="3230" t="s">
        <v>666</v>
      </c>
      <c r="AJ49" s="3231"/>
      <c r="AK49" s="3231"/>
      <c r="AL49" s="3231"/>
      <c r="AM49" s="3231"/>
      <c r="AN49" s="3231"/>
      <c r="AO49" s="3231"/>
      <c r="AP49" s="3231"/>
      <c r="AQ49" s="3231"/>
      <c r="AR49" s="3231"/>
      <c r="AS49" s="3231"/>
      <c r="AT49" s="3231"/>
      <c r="AU49" s="3231"/>
      <c r="AV49" s="3232"/>
      <c r="AW49" s="3231"/>
      <c r="AX49" s="3231"/>
      <c r="AY49" s="3231"/>
      <c r="AZ49" s="3231"/>
      <c r="BA49" s="3231"/>
      <c r="BB49" s="4874"/>
      <c r="BC49" s="3231"/>
      <c r="BD49" s="3231"/>
      <c r="BE49" s="3231"/>
      <c r="BF49" s="3302">
        <v>1</v>
      </c>
      <c r="BG49" s="3302">
        <v>1</v>
      </c>
      <c r="BH49" s="3302">
        <v>1</v>
      </c>
      <c r="BI49" s="3302">
        <v>1</v>
      </c>
      <c r="BJ49" s="3302">
        <v>1</v>
      </c>
      <c r="BK49" s="3302">
        <v>1</v>
      </c>
      <c r="BL49" s="3302">
        <v>1</v>
      </c>
      <c r="BM49" s="3302">
        <v>1</v>
      </c>
      <c r="BN49" s="3302"/>
      <c r="BO49" s="3302"/>
      <c r="BP49" s="3302"/>
    </row>
    <row r="50" spans="1:68" ht="29.25" customHeight="1">
      <c r="A50" s="173">
        <v>39</v>
      </c>
      <c r="B50" s="3211" t="s">
        <v>727</v>
      </c>
      <c r="C50" s="3212" t="s">
        <v>711</v>
      </c>
      <c r="D50" s="3300"/>
      <c r="E50" s="3300"/>
      <c r="F50" s="3300"/>
      <c r="G50" s="3300"/>
      <c r="H50" s="3233" t="s">
        <v>235</v>
      </c>
      <c r="I50" s="3300"/>
      <c r="J50" s="3300"/>
      <c r="K50" s="3300"/>
      <c r="L50" s="3300"/>
      <c r="M50" s="3300"/>
      <c r="N50" s="3300"/>
      <c r="O50" s="3300"/>
      <c r="P50" s="3300"/>
      <c r="Q50" s="3300"/>
      <c r="R50" s="3300"/>
      <c r="S50" s="3300"/>
      <c r="T50" s="3233" t="s">
        <v>251</v>
      </c>
      <c r="U50" s="3300"/>
      <c r="V50" s="3300"/>
      <c r="W50" s="3300"/>
      <c r="X50" s="3300"/>
      <c r="Y50" s="3300"/>
      <c r="Z50" s="3300"/>
      <c r="AA50" s="3233" t="s">
        <v>211</v>
      </c>
      <c r="AB50" s="3300"/>
      <c r="AC50" s="3300"/>
      <c r="AD50" s="3300"/>
      <c r="AE50" s="3300"/>
      <c r="AF50" s="3231"/>
      <c r="AG50" s="3231"/>
      <c r="AH50" s="3231"/>
      <c r="AI50" s="3230" t="s">
        <v>666</v>
      </c>
      <c r="AJ50" s="3231"/>
      <c r="AK50" s="3231"/>
      <c r="AL50" s="3231"/>
      <c r="AM50" s="3231"/>
      <c r="AN50" s="3231"/>
      <c r="AO50" s="3231"/>
      <c r="AP50" s="3231"/>
      <c r="AQ50" s="3231"/>
      <c r="AR50" s="3231"/>
      <c r="AS50" s="3231"/>
      <c r="AT50" s="3231"/>
      <c r="AU50" s="3231"/>
      <c r="AV50" s="3232"/>
      <c r="AW50" s="3231"/>
      <c r="AX50" s="3231"/>
      <c r="AY50" s="3231"/>
      <c r="AZ50" s="3231"/>
      <c r="BA50" s="3231"/>
      <c r="BB50" s="4874"/>
      <c r="BC50" s="3231"/>
      <c r="BD50" s="3231"/>
      <c r="BE50" s="3231"/>
      <c r="BF50" s="3302">
        <v>1</v>
      </c>
      <c r="BG50" s="3302">
        <v>1</v>
      </c>
      <c r="BH50" s="3302">
        <v>1</v>
      </c>
      <c r="BI50" s="3302">
        <v>1</v>
      </c>
      <c r="BJ50" s="3302">
        <v>1</v>
      </c>
      <c r="BK50" s="3302">
        <v>1</v>
      </c>
      <c r="BL50" s="3302">
        <v>1</v>
      </c>
      <c r="BM50" s="3302">
        <v>1</v>
      </c>
      <c r="BN50" s="3302"/>
      <c r="BO50" s="3302"/>
      <c r="BP50" s="3302"/>
    </row>
    <row r="51" spans="1:68" ht="29.25" customHeight="1">
      <c r="A51" s="173">
        <v>40</v>
      </c>
      <c r="B51" s="3211" t="s">
        <v>728</v>
      </c>
      <c r="C51" s="3212" t="s">
        <v>711</v>
      </c>
      <c r="D51" s="3300"/>
      <c r="E51" s="3300"/>
      <c r="F51" s="3300"/>
      <c r="G51" s="3300"/>
      <c r="H51" s="3233" t="s">
        <v>235</v>
      </c>
      <c r="I51" s="3300"/>
      <c r="J51" s="3300"/>
      <c r="K51" s="3300"/>
      <c r="L51" s="3300"/>
      <c r="M51" s="3300"/>
      <c r="N51" s="3300"/>
      <c r="O51" s="3300"/>
      <c r="P51" s="3300"/>
      <c r="Q51" s="3300"/>
      <c r="R51" s="3300"/>
      <c r="S51" s="3300"/>
      <c r="T51" s="3233" t="s">
        <v>251</v>
      </c>
      <c r="U51" s="3300"/>
      <c r="V51" s="3300"/>
      <c r="W51" s="3300"/>
      <c r="X51" s="3300"/>
      <c r="Y51" s="3300"/>
      <c r="Z51" s="3300"/>
      <c r="AA51" s="3233" t="s">
        <v>211</v>
      </c>
      <c r="AB51" s="3300"/>
      <c r="AC51" s="3300"/>
      <c r="AD51" s="3300"/>
      <c r="AE51" s="3300"/>
      <c r="AF51" s="3231"/>
      <c r="AG51" s="3231"/>
      <c r="AH51" s="3231"/>
      <c r="AI51" s="3230" t="s">
        <v>666</v>
      </c>
      <c r="AJ51" s="3231"/>
      <c r="AK51" s="3231"/>
      <c r="AL51" s="3231"/>
      <c r="AM51" s="3231"/>
      <c r="AN51" s="3231"/>
      <c r="AO51" s="3231"/>
      <c r="AP51" s="3231"/>
      <c r="AQ51" s="3231"/>
      <c r="AR51" s="3231"/>
      <c r="AS51" s="3231"/>
      <c r="AT51" s="3231"/>
      <c r="AU51" s="3231"/>
      <c r="AV51" s="3232"/>
      <c r="AW51" s="3231"/>
      <c r="AX51" s="3231"/>
      <c r="AY51" s="3231"/>
      <c r="AZ51" s="3231"/>
      <c r="BA51" s="3231"/>
      <c r="BB51" s="4874"/>
      <c r="BC51" s="3231"/>
      <c r="BD51" s="3231"/>
      <c r="BE51" s="3231"/>
      <c r="BF51" s="3302">
        <v>1</v>
      </c>
      <c r="BG51" s="3302">
        <v>1</v>
      </c>
      <c r="BH51" s="3302">
        <v>1</v>
      </c>
      <c r="BI51" s="3302">
        <v>1</v>
      </c>
      <c r="BJ51" s="3302">
        <v>1</v>
      </c>
      <c r="BK51" s="3302">
        <v>1</v>
      </c>
      <c r="BL51" s="3302">
        <v>1</v>
      </c>
      <c r="BM51" s="3302">
        <v>1</v>
      </c>
      <c r="BN51" s="3302"/>
      <c r="BO51" s="3302"/>
      <c r="BP51" s="3302"/>
    </row>
    <row r="52" spans="1:68" ht="29.25" customHeight="1">
      <c r="A52" s="173">
        <v>41</v>
      </c>
      <c r="B52" s="3211" t="s">
        <v>729</v>
      </c>
      <c r="C52" s="3212" t="s">
        <v>581</v>
      </c>
      <c r="D52" s="3300"/>
      <c r="E52" s="3300"/>
      <c r="F52" s="3300"/>
      <c r="G52" s="3300"/>
      <c r="H52" s="3300"/>
      <c r="I52" s="3300"/>
      <c r="J52" s="3300"/>
      <c r="K52" s="3300"/>
      <c r="L52" s="3300"/>
      <c r="M52" s="3300"/>
      <c r="N52" s="3300"/>
      <c r="O52" s="3300"/>
      <c r="P52" s="3300"/>
      <c r="Q52" s="3233" t="s">
        <v>233</v>
      </c>
      <c r="R52" s="3300"/>
      <c r="S52" s="3300"/>
      <c r="T52" s="3300"/>
      <c r="U52" s="3300"/>
      <c r="V52" s="3300"/>
      <c r="W52" s="3300"/>
      <c r="X52" s="3300"/>
      <c r="Y52" s="3300"/>
      <c r="Z52" s="3300"/>
      <c r="AA52" s="3300"/>
      <c r="AB52" s="3300"/>
      <c r="AC52" s="3300"/>
      <c r="AD52" s="3300"/>
      <c r="AE52" s="3300"/>
      <c r="AF52" s="3230" t="s">
        <v>511</v>
      </c>
      <c r="AG52" s="3300"/>
      <c r="AH52" s="3231"/>
      <c r="AI52" s="3230" t="s">
        <v>666</v>
      </c>
      <c r="AJ52" s="3231"/>
      <c r="AK52" s="3231"/>
      <c r="AL52" s="3231"/>
      <c r="AM52" s="3231"/>
      <c r="AN52" s="3231"/>
      <c r="AO52" s="3231"/>
      <c r="AP52" s="3231"/>
      <c r="AQ52" s="3231"/>
      <c r="AR52" s="3231"/>
      <c r="AS52" s="3231"/>
      <c r="AT52" s="3231"/>
      <c r="AU52" s="3231"/>
      <c r="AV52" s="3232"/>
      <c r="AW52" s="3231"/>
      <c r="AX52" s="3231"/>
      <c r="AY52" s="3231"/>
      <c r="AZ52" s="3231"/>
      <c r="BA52" s="3231"/>
      <c r="BB52" s="4874"/>
      <c r="BC52" s="3231"/>
      <c r="BD52" s="3231"/>
      <c r="BE52" s="3231"/>
      <c r="BF52" s="3302">
        <v>1</v>
      </c>
      <c r="BG52" s="3302">
        <v>1</v>
      </c>
      <c r="BH52" s="3302">
        <v>1</v>
      </c>
      <c r="BI52" s="3302">
        <v>1</v>
      </c>
      <c r="BJ52" s="3302">
        <v>1</v>
      </c>
      <c r="BK52" s="3302">
        <v>1</v>
      </c>
      <c r="BL52" s="3302">
        <v>1</v>
      </c>
      <c r="BM52" s="3302">
        <v>1</v>
      </c>
      <c r="BN52" s="3302"/>
      <c r="BO52" s="3302"/>
      <c r="BP52" s="3302"/>
    </row>
    <row r="53" spans="1:68" ht="29.25" customHeight="1">
      <c r="A53" s="173">
        <v>42</v>
      </c>
      <c r="B53" s="3211" t="s">
        <v>730</v>
      </c>
      <c r="C53" s="3212" t="s">
        <v>581</v>
      </c>
      <c r="D53" s="3300"/>
      <c r="E53" s="3300"/>
      <c r="F53" s="3300"/>
      <c r="G53" s="3300"/>
      <c r="H53" s="3300"/>
      <c r="I53" s="3300"/>
      <c r="J53" s="3300"/>
      <c r="K53" s="3300"/>
      <c r="L53" s="3300"/>
      <c r="M53" s="3300"/>
      <c r="N53" s="3300"/>
      <c r="O53" s="3300"/>
      <c r="P53" s="3300"/>
      <c r="Q53" s="3233" t="s">
        <v>233</v>
      </c>
      <c r="R53" s="3300"/>
      <c r="S53" s="3300"/>
      <c r="T53" s="3300"/>
      <c r="U53" s="3300"/>
      <c r="V53" s="3300"/>
      <c r="W53" s="3300"/>
      <c r="X53" s="3300"/>
      <c r="Y53" s="3300"/>
      <c r="Z53" s="3300"/>
      <c r="AA53" s="3300"/>
      <c r="AB53" s="3300"/>
      <c r="AC53" s="3300"/>
      <c r="AD53" s="3300"/>
      <c r="AE53" s="3300"/>
      <c r="AF53" s="3230" t="s">
        <v>511</v>
      </c>
      <c r="AG53" s="3300"/>
      <c r="AH53" s="3231"/>
      <c r="AI53" s="3230" t="s">
        <v>666</v>
      </c>
      <c r="AJ53" s="3231"/>
      <c r="AK53" s="3231"/>
      <c r="AL53" s="3231"/>
      <c r="AM53" s="3231"/>
      <c r="AN53" s="3231"/>
      <c r="AO53" s="3231"/>
      <c r="AP53" s="3231"/>
      <c r="AQ53" s="3231"/>
      <c r="AR53" s="3231"/>
      <c r="AS53" s="3231"/>
      <c r="AT53" s="3231"/>
      <c r="AU53" s="3231"/>
      <c r="AV53" s="3232"/>
      <c r="AW53" s="3231"/>
      <c r="AX53" s="3231"/>
      <c r="AY53" s="3231"/>
      <c r="AZ53" s="3231"/>
      <c r="BA53" s="3231"/>
      <c r="BB53" s="4874"/>
      <c r="BC53" s="3231"/>
      <c r="BD53" s="3231"/>
      <c r="BE53" s="3231"/>
      <c r="BF53" s="3302">
        <v>1</v>
      </c>
      <c r="BG53" s="3302">
        <v>1</v>
      </c>
      <c r="BH53" s="3302">
        <v>1</v>
      </c>
      <c r="BI53" s="3302">
        <v>1</v>
      </c>
      <c r="BJ53" s="3302">
        <v>1</v>
      </c>
      <c r="BK53" s="3302">
        <v>1</v>
      </c>
      <c r="BL53" s="3302">
        <v>1</v>
      </c>
      <c r="BM53" s="3302">
        <v>1</v>
      </c>
      <c r="BN53" s="3302"/>
      <c r="BO53" s="3302"/>
      <c r="BP53" s="3302"/>
    </row>
    <row r="54" spans="1:68" ht="29.25" customHeight="1">
      <c r="A54" s="173">
        <v>43</v>
      </c>
      <c r="B54" s="3211" t="s">
        <v>282</v>
      </c>
      <c r="C54" s="3322"/>
      <c r="D54" s="3300"/>
      <c r="E54" s="3300"/>
      <c r="F54" s="3300"/>
      <c r="G54" s="3300"/>
      <c r="H54" s="3300"/>
      <c r="I54" s="3300"/>
      <c r="J54" s="3300"/>
      <c r="K54" s="3300"/>
      <c r="L54" s="3300"/>
      <c r="M54" s="3300"/>
      <c r="N54" s="3300"/>
      <c r="O54" s="3300"/>
      <c r="P54" s="3300"/>
      <c r="Q54" s="3300"/>
      <c r="R54" s="3300"/>
      <c r="S54" s="3300"/>
      <c r="T54" s="3300"/>
      <c r="U54" s="3300"/>
      <c r="V54" s="3300"/>
      <c r="W54" s="3300"/>
      <c r="X54" s="3300"/>
      <c r="Y54" s="3300"/>
      <c r="Z54" s="3300"/>
      <c r="AA54" s="3300"/>
      <c r="AB54" s="3300"/>
      <c r="AC54" s="3300"/>
      <c r="AD54" s="3300"/>
      <c r="AE54" s="3300"/>
      <c r="AF54" s="3231"/>
      <c r="AG54" s="3231"/>
      <c r="AH54" s="3231"/>
      <c r="AI54" s="3230" t="s">
        <v>666</v>
      </c>
      <c r="AJ54" s="3231"/>
      <c r="AK54" s="3231"/>
      <c r="AL54" s="3231"/>
      <c r="AM54" s="3231"/>
      <c r="AN54" s="3231"/>
      <c r="AO54" s="3231"/>
      <c r="AP54" s="3231"/>
      <c r="AQ54" s="3231"/>
      <c r="AR54" s="3231"/>
      <c r="AS54" s="3231"/>
      <c r="AT54" s="3231"/>
      <c r="AU54" s="3231"/>
      <c r="AV54" s="3232"/>
      <c r="AW54" s="3231"/>
      <c r="AX54" s="3231"/>
      <c r="AY54" s="3231"/>
      <c r="AZ54" s="3231"/>
      <c r="BA54" s="3231"/>
      <c r="BB54" s="4874"/>
      <c r="BC54" s="3231"/>
      <c r="BD54" s="3231"/>
      <c r="BE54" s="3231"/>
      <c r="BF54" s="3302"/>
      <c r="BG54" s="3302"/>
      <c r="BH54" s="3302"/>
      <c r="BI54" s="3302">
        <v>1</v>
      </c>
      <c r="BJ54" s="3302">
        <v>1</v>
      </c>
      <c r="BK54" s="3302">
        <v>1</v>
      </c>
      <c r="BL54" s="3302">
        <v>1</v>
      </c>
      <c r="BM54" s="3302">
        <v>1</v>
      </c>
      <c r="BN54" s="3302"/>
      <c r="BO54" s="3302"/>
      <c r="BP54" s="3302"/>
    </row>
    <row r="55" spans="1:68" ht="29.25" customHeight="1">
      <c r="A55" s="173">
        <v>44</v>
      </c>
      <c r="B55" s="3211" t="s">
        <v>731</v>
      </c>
      <c r="C55" s="3212" t="s">
        <v>1665</v>
      </c>
      <c r="D55" s="3300"/>
      <c r="E55" s="3300"/>
      <c r="F55" s="3300"/>
      <c r="G55" s="3300"/>
      <c r="H55" s="3304" t="s">
        <v>254</v>
      </c>
      <c r="I55" s="3300"/>
      <c r="J55" s="3300"/>
      <c r="K55" s="3300"/>
      <c r="L55" s="3300"/>
      <c r="M55" s="3300"/>
      <c r="N55" s="3300"/>
      <c r="O55" s="3300"/>
      <c r="P55" s="3300"/>
      <c r="Q55" s="3300"/>
      <c r="R55" s="3300"/>
      <c r="S55" s="3300"/>
      <c r="T55" s="3300"/>
      <c r="U55" s="3300"/>
      <c r="V55" s="3300"/>
      <c r="W55" s="3300"/>
      <c r="X55" s="3300"/>
      <c r="Y55" s="3300"/>
      <c r="Z55" s="3233" t="s">
        <v>211</v>
      </c>
      <c r="AA55" s="3300"/>
      <c r="AB55" s="3300"/>
      <c r="AC55" s="3233" t="s">
        <v>234</v>
      </c>
      <c r="AD55" s="3300"/>
      <c r="AE55" s="3300"/>
      <c r="AF55" s="3300"/>
      <c r="AG55" s="3231"/>
      <c r="AH55" s="3231"/>
      <c r="AI55" s="3230" t="s">
        <v>666</v>
      </c>
      <c r="AJ55" s="3231"/>
      <c r="AK55" s="3231"/>
      <c r="AL55" s="3231"/>
      <c r="AM55" s="3233" t="s">
        <v>811</v>
      </c>
      <c r="AN55" s="3231"/>
      <c r="AO55" s="3231"/>
      <c r="AP55" s="3231"/>
      <c r="AQ55" s="3231"/>
      <c r="AR55" s="3231"/>
      <c r="AS55" s="3231"/>
      <c r="AT55" s="3231"/>
      <c r="AU55" s="3231"/>
      <c r="AV55" s="3232"/>
      <c r="AW55" s="3231"/>
      <c r="AX55" s="3231"/>
      <c r="AY55" s="3231"/>
      <c r="AZ55" s="3231"/>
      <c r="BA55" s="3231"/>
      <c r="BB55" s="4874"/>
      <c r="BC55" s="3231"/>
      <c r="BD55" s="3231"/>
      <c r="BE55" s="3231"/>
      <c r="BF55" s="3302">
        <v>1</v>
      </c>
      <c r="BG55" s="3302">
        <v>1</v>
      </c>
      <c r="BH55" s="3302">
        <v>1</v>
      </c>
      <c r="BI55" s="3302">
        <v>1</v>
      </c>
      <c r="BJ55" s="3302">
        <v>1</v>
      </c>
      <c r="BK55" s="3302">
        <v>1</v>
      </c>
      <c r="BL55" s="3302">
        <v>1</v>
      </c>
      <c r="BM55" s="3302">
        <v>1</v>
      </c>
      <c r="BN55" s="3302">
        <v>1</v>
      </c>
      <c r="BO55" s="3302">
        <v>1</v>
      </c>
      <c r="BP55" s="3302"/>
    </row>
    <row r="56" spans="1:68" ht="29.25" customHeight="1">
      <c r="A56" s="173">
        <v>45</v>
      </c>
      <c r="B56" s="3211" t="s">
        <v>732</v>
      </c>
      <c r="C56" s="3212" t="s">
        <v>1665</v>
      </c>
      <c r="D56" s="3300"/>
      <c r="E56" s="3300"/>
      <c r="F56" s="3300"/>
      <c r="G56" s="3300"/>
      <c r="H56" s="3304" t="s">
        <v>254</v>
      </c>
      <c r="I56" s="3300"/>
      <c r="J56" s="3300"/>
      <c r="K56" s="3300"/>
      <c r="L56" s="3300"/>
      <c r="M56" s="3300"/>
      <c r="N56" s="3300"/>
      <c r="O56" s="3300"/>
      <c r="P56" s="3300"/>
      <c r="Q56" s="3300"/>
      <c r="R56" s="3300"/>
      <c r="S56" s="3300"/>
      <c r="T56" s="3300"/>
      <c r="U56" s="3300"/>
      <c r="V56" s="3300"/>
      <c r="W56" s="3300"/>
      <c r="X56" s="3300"/>
      <c r="Y56" s="3300"/>
      <c r="Z56" s="3233" t="s">
        <v>211</v>
      </c>
      <c r="AA56" s="3300"/>
      <c r="AB56" s="3300"/>
      <c r="AC56" s="3233" t="s">
        <v>234</v>
      </c>
      <c r="AD56" s="3300"/>
      <c r="AE56" s="3300"/>
      <c r="AF56" s="3300"/>
      <c r="AG56" s="3231"/>
      <c r="AH56" s="3231"/>
      <c r="AI56" s="3230" t="s">
        <v>666</v>
      </c>
      <c r="AJ56" s="3231"/>
      <c r="AK56" s="3231"/>
      <c r="AL56" s="3231"/>
      <c r="AM56" s="3233" t="s">
        <v>811</v>
      </c>
      <c r="AN56" s="3231"/>
      <c r="AO56" s="3231"/>
      <c r="AP56" s="3231"/>
      <c r="AQ56" s="3231"/>
      <c r="AR56" s="3231"/>
      <c r="AS56" s="3231"/>
      <c r="AT56" s="3231"/>
      <c r="AU56" s="3231"/>
      <c r="AV56" s="3232"/>
      <c r="AW56" s="3231"/>
      <c r="AX56" s="3231"/>
      <c r="AY56" s="3231"/>
      <c r="AZ56" s="3231"/>
      <c r="BA56" s="3231"/>
      <c r="BB56" s="4874"/>
      <c r="BC56" s="3231"/>
      <c r="BD56" s="3231"/>
      <c r="BE56" s="3231"/>
      <c r="BF56" s="3302">
        <v>1</v>
      </c>
      <c r="BG56" s="3302">
        <v>1</v>
      </c>
      <c r="BH56" s="3302">
        <v>1</v>
      </c>
      <c r="BI56" s="3302">
        <v>1</v>
      </c>
      <c r="BJ56" s="3302">
        <v>1</v>
      </c>
      <c r="BK56" s="3302">
        <v>1</v>
      </c>
      <c r="BL56" s="3302">
        <v>1</v>
      </c>
      <c r="BM56" s="3302">
        <v>1</v>
      </c>
      <c r="BN56" s="3302">
        <v>1</v>
      </c>
      <c r="BO56" s="3302">
        <v>1</v>
      </c>
      <c r="BP56" s="3302"/>
    </row>
    <row r="57" spans="1:68" ht="29.25" customHeight="1">
      <c r="A57" s="173">
        <v>46</v>
      </c>
      <c r="B57" s="3211" t="s">
        <v>733</v>
      </c>
      <c r="C57" s="3212" t="s">
        <v>1664</v>
      </c>
      <c r="D57" s="3300"/>
      <c r="E57" s="3300"/>
      <c r="F57" s="3300"/>
      <c r="G57" s="3300"/>
      <c r="H57" s="3300"/>
      <c r="I57" s="3300"/>
      <c r="J57" s="3300"/>
      <c r="K57" s="3300"/>
      <c r="L57" s="3300"/>
      <c r="M57" s="3300"/>
      <c r="N57" s="3300"/>
      <c r="O57" s="3300"/>
      <c r="P57" s="3300"/>
      <c r="Q57" s="3300"/>
      <c r="R57" s="3300"/>
      <c r="S57" s="3300"/>
      <c r="T57" s="3300"/>
      <c r="U57" s="3300"/>
      <c r="V57" s="3300"/>
      <c r="W57" s="3300"/>
      <c r="X57" s="3300"/>
      <c r="Y57" s="3300"/>
      <c r="Z57" s="3300"/>
      <c r="AA57" s="3300"/>
      <c r="AB57" s="3300"/>
      <c r="AC57" s="3300"/>
      <c r="AD57" s="3300"/>
      <c r="AE57" s="3300"/>
      <c r="AF57" s="3300"/>
      <c r="AG57" s="3231"/>
      <c r="AH57" s="3231"/>
      <c r="AI57" s="3231"/>
      <c r="AJ57" s="3231"/>
      <c r="AK57" s="3231"/>
      <c r="AL57" s="3230" t="s">
        <v>807</v>
      </c>
      <c r="AM57" s="3231"/>
      <c r="AN57" s="3231"/>
      <c r="AO57" s="3231"/>
      <c r="AP57" s="3231"/>
      <c r="AQ57" s="3231"/>
      <c r="AR57" s="3231"/>
      <c r="AS57" s="3231"/>
      <c r="AT57" s="3231"/>
      <c r="AU57" s="3231"/>
      <c r="AV57" s="3232"/>
      <c r="AW57" s="3231"/>
      <c r="AX57" s="3231"/>
      <c r="AY57" s="3231"/>
      <c r="AZ57" s="3231"/>
      <c r="BA57" s="3231"/>
      <c r="BB57" s="4874"/>
      <c r="BC57" s="3231"/>
      <c r="BD57" s="3231"/>
      <c r="BE57" s="3231"/>
      <c r="BF57" s="3302"/>
      <c r="BG57" s="3302"/>
      <c r="BH57" s="3302"/>
      <c r="BI57" s="3302"/>
      <c r="BJ57" s="3302">
        <v>1</v>
      </c>
      <c r="BK57" s="3302">
        <v>1</v>
      </c>
      <c r="BL57" s="3302">
        <v>1</v>
      </c>
      <c r="BM57" s="3302">
        <v>1</v>
      </c>
      <c r="BN57" s="3302">
        <v>1</v>
      </c>
      <c r="BO57" s="3302"/>
      <c r="BP57" s="3302"/>
    </row>
    <row r="58" spans="1:68" ht="29.25" customHeight="1">
      <c r="A58" s="173">
        <v>47</v>
      </c>
      <c r="B58" s="3211" t="s">
        <v>734</v>
      </c>
      <c r="C58" s="3212" t="s">
        <v>1664</v>
      </c>
      <c r="D58" s="3300"/>
      <c r="E58" s="3300"/>
      <c r="F58" s="3300"/>
      <c r="G58" s="3300"/>
      <c r="H58" s="3300"/>
      <c r="I58" s="3300"/>
      <c r="J58" s="3300"/>
      <c r="K58" s="3300"/>
      <c r="L58" s="3300"/>
      <c r="M58" s="3300"/>
      <c r="N58" s="3300"/>
      <c r="O58" s="3300"/>
      <c r="P58" s="3300"/>
      <c r="Q58" s="3300"/>
      <c r="R58" s="3300"/>
      <c r="S58" s="3300"/>
      <c r="T58" s="3300"/>
      <c r="U58" s="3300"/>
      <c r="V58" s="3300"/>
      <c r="W58" s="3300"/>
      <c r="X58" s="3300"/>
      <c r="Y58" s="3300"/>
      <c r="Z58" s="3300"/>
      <c r="AA58" s="3300"/>
      <c r="AB58" s="3300"/>
      <c r="AC58" s="3300"/>
      <c r="AD58" s="3300"/>
      <c r="AE58" s="3300"/>
      <c r="AF58" s="3300"/>
      <c r="AG58" s="3231"/>
      <c r="AH58" s="3231"/>
      <c r="AI58" s="3231"/>
      <c r="AJ58" s="3231"/>
      <c r="AK58" s="3231"/>
      <c r="AL58" s="3230" t="s">
        <v>807</v>
      </c>
      <c r="AM58" s="3231"/>
      <c r="AN58" s="3231"/>
      <c r="AO58" s="3231"/>
      <c r="AP58" s="3231"/>
      <c r="AQ58" s="3231"/>
      <c r="AR58" s="3231"/>
      <c r="AS58" s="3231"/>
      <c r="AT58" s="3231"/>
      <c r="AU58" s="3231"/>
      <c r="AV58" s="3232"/>
      <c r="AW58" s="3231"/>
      <c r="AX58" s="3231"/>
      <c r="AY58" s="3231"/>
      <c r="AZ58" s="3231"/>
      <c r="BA58" s="3231"/>
      <c r="BB58" s="4874"/>
      <c r="BC58" s="3231"/>
      <c r="BD58" s="3231"/>
      <c r="BE58" s="3231"/>
      <c r="BF58" s="3302"/>
      <c r="BG58" s="3302"/>
      <c r="BH58" s="3302"/>
      <c r="BI58" s="3302"/>
      <c r="BJ58" s="3302">
        <v>1</v>
      </c>
      <c r="BK58" s="3302">
        <v>1</v>
      </c>
      <c r="BL58" s="3302">
        <v>1</v>
      </c>
      <c r="BM58" s="3302">
        <v>1</v>
      </c>
      <c r="BN58" s="3302">
        <v>1</v>
      </c>
      <c r="BO58" s="3302"/>
      <c r="BP58" s="3302"/>
    </row>
    <row r="59" spans="1:68" ht="29.25" customHeight="1">
      <c r="A59" s="173">
        <v>48</v>
      </c>
      <c r="B59" s="3211" t="s">
        <v>735</v>
      </c>
      <c r="C59" s="3212" t="s">
        <v>711</v>
      </c>
      <c r="D59" s="3300"/>
      <c r="E59" s="3300"/>
      <c r="F59" s="3300"/>
      <c r="G59" s="3300"/>
      <c r="H59" s="3300"/>
      <c r="I59" s="3300"/>
      <c r="J59" s="3300"/>
      <c r="K59" s="3300"/>
      <c r="L59" s="3300"/>
      <c r="M59" s="3300"/>
      <c r="N59" s="3300"/>
      <c r="O59" s="3300"/>
      <c r="P59" s="3300"/>
      <c r="Q59" s="3300"/>
      <c r="R59" s="3300"/>
      <c r="S59" s="3300"/>
      <c r="T59" s="3300"/>
      <c r="U59" s="3300"/>
      <c r="V59" s="3300"/>
      <c r="W59" s="3300"/>
      <c r="X59" s="3300"/>
      <c r="Y59" s="3300"/>
      <c r="Z59" s="3300"/>
      <c r="AA59" s="3305" t="s">
        <v>255</v>
      </c>
      <c r="AB59" s="3300"/>
      <c r="AC59" s="3233" t="s">
        <v>234</v>
      </c>
      <c r="AD59" s="3300"/>
      <c r="AE59" s="3300"/>
      <c r="AF59" s="3300"/>
      <c r="AG59" s="3231"/>
      <c r="AH59" s="3231"/>
      <c r="AI59" s="3230" t="s">
        <v>666</v>
      </c>
      <c r="AJ59" s="3231"/>
      <c r="AK59" s="3231"/>
      <c r="AL59" s="3231"/>
      <c r="AM59" s="3231"/>
      <c r="AN59" s="3231"/>
      <c r="AO59" s="3231"/>
      <c r="AP59" s="3231"/>
      <c r="AQ59" s="3231"/>
      <c r="AR59" s="3231"/>
      <c r="AS59" s="3231"/>
      <c r="AT59" s="3231"/>
      <c r="AU59" s="3231"/>
      <c r="AV59" s="3232"/>
      <c r="AW59" s="3231"/>
      <c r="AX59" s="3231"/>
      <c r="AY59" s="3231"/>
      <c r="AZ59" s="3231"/>
      <c r="BA59" s="3231"/>
      <c r="BB59" s="4874"/>
      <c r="BC59" s="3231"/>
      <c r="BD59" s="3231"/>
      <c r="BE59" s="3231"/>
      <c r="BF59" s="3302"/>
      <c r="BG59" s="3302">
        <v>1</v>
      </c>
      <c r="BH59" s="3302">
        <v>1</v>
      </c>
      <c r="BI59" s="3302">
        <v>1</v>
      </c>
      <c r="BJ59" s="3302">
        <v>1</v>
      </c>
      <c r="BK59" s="3302">
        <v>1</v>
      </c>
      <c r="BL59" s="3302">
        <v>1</v>
      </c>
      <c r="BM59" s="3302">
        <v>1</v>
      </c>
      <c r="BN59" s="3302"/>
      <c r="BO59" s="3302"/>
      <c r="BP59" s="3302"/>
    </row>
    <row r="60" spans="1:68" ht="29.25" customHeight="1">
      <c r="A60" s="173">
        <v>49</v>
      </c>
      <c r="B60" s="3211" t="s">
        <v>736</v>
      </c>
      <c r="C60" s="3212" t="s">
        <v>711</v>
      </c>
      <c r="D60" s="3300"/>
      <c r="E60" s="3300"/>
      <c r="F60" s="3300"/>
      <c r="G60" s="3300"/>
      <c r="H60" s="3300"/>
      <c r="I60" s="3300"/>
      <c r="J60" s="3300"/>
      <c r="K60" s="3300"/>
      <c r="L60" s="3300"/>
      <c r="M60" s="3300"/>
      <c r="N60" s="3300"/>
      <c r="O60" s="3300"/>
      <c r="P60" s="3300"/>
      <c r="Q60" s="3300"/>
      <c r="R60" s="3300"/>
      <c r="S60" s="3300"/>
      <c r="T60" s="3300"/>
      <c r="U60" s="3300"/>
      <c r="V60" s="3300"/>
      <c r="W60" s="3300"/>
      <c r="X60" s="3300"/>
      <c r="Y60" s="3300"/>
      <c r="Z60" s="3300"/>
      <c r="AA60" s="3305" t="s">
        <v>255</v>
      </c>
      <c r="AB60" s="3300"/>
      <c r="AC60" s="3233" t="s">
        <v>234</v>
      </c>
      <c r="AD60" s="3300"/>
      <c r="AE60" s="3300"/>
      <c r="AF60" s="3300"/>
      <c r="AG60" s="3231"/>
      <c r="AH60" s="3231"/>
      <c r="AI60" s="3230" t="s">
        <v>666</v>
      </c>
      <c r="AJ60" s="3231"/>
      <c r="AK60" s="3231"/>
      <c r="AL60" s="3231"/>
      <c r="AM60" s="3231"/>
      <c r="AN60" s="3231"/>
      <c r="AO60" s="3231"/>
      <c r="AP60" s="3231"/>
      <c r="AQ60" s="3231"/>
      <c r="AR60" s="3231"/>
      <c r="AS60" s="3231"/>
      <c r="AT60" s="3231"/>
      <c r="AU60" s="3231"/>
      <c r="AV60" s="3232"/>
      <c r="AW60" s="3231"/>
      <c r="AX60" s="3231"/>
      <c r="AY60" s="3231"/>
      <c r="AZ60" s="3231"/>
      <c r="BA60" s="3231"/>
      <c r="BB60" s="4874"/>
      <c r="BC60" s="3231"/>
      <c r="BD60" s="3231"/>
      <c r="BE60" s="3231"/>
      <c r="BF60" s="3302"/>
      <c r="BG60" s="3302">
        <v>1</v>
      </c>
      <c r="BH60" s="3302">
        <v>1</v>
      </c>
      <c r="BI60" s="3302">
        <v>1</v>
      </c>
      <c r="BJ60" s="3302">
        <v>1</v>
      </c>
      <c r="BK60" s="3302">
        <v>1</v>
      </c>
      <c r="BL60" s="3302">
        <v>1</v>
      </c>
      <c r="BM60" s="3302">
        <v>1</v>
      </c>
      <c r="BN60" s="3302"/>
      <c r="BO60" s="3302"/>
      <c r="BP60" s="3302"/>
    </row>
    <row r="61" spans="1:68" ht="29.25" customHeight="1">
      <c r="A61" s="173">
        <v>50</v>
      </c>
      <c r="B61" s="3211" t="s">
        <v>737</v>
      </c>
      <c r="C61" s="3323" t="s">
        <v>1666</v>
      </c>
      <c r="D61" s="3300"/>
      <c r="E61" s="3300"/>
      <c r="F61" s="3300"/>
      <c r="G61" s="3300"/>
      <c r="H61" s="3300"/>
      <c r="I61" s="3300"/>
      <c r="J61" s="3300"/>
      <c r="K61" s="3300"/>
      <c r="L61" s="3300"/>
      <c r="M61" s="3300"/>
      <c r="N61" s="3300"/>
      <c r="O61" s="3300"/>
      <c r="P61" s="3300"/>
      <c r="Q61" s="3300"/>
      <c r="R61" s="3300"/>
      <c r="S61" s="3300"/>
      <c r="T61" s="3300"/>
      <c r="U61" s="3300"/>
      <c r="V61" s="3300"/>
      <c r="W61" s="3300"/>
      <c r="X61" s="3300"/>
      <c r="Y61" s="3300"/>
      <c r="Z61" s="3300"/>
      <c r="AA61" s="3300"/>
      <c r="AB61" s="3300"/>
      <c r="AC61" s="3300"/>
      <c r="AD61" s="3300"/>
      <c r="AE61" s="3300"/>
      <c r="AF61" s="3305" t="s">
        <v>1708</v>
      </c>
      <c r="AG61" s="3231"/>
      <c r="AH61" s="3231"/>
      <c r="AI61" s="3231"/>
      <c r="AJ61" s="3231"/>
      <c r="AK61" s="3231"/>
      <c r="AL61" s="3231"/>
      <c r="AM61" s="3231"/>
      <c r="AN61" s="3231"/>
      <c r="AO61" s="3230" t="s">
        <v>1709</v>
      </c>
      <c r="AP61" s="3231"/>
      <c r="AQ61" s="3231"/>
      <c r="AR61" s="3231"/>
      <c r="AS61" s="3231"/>
      <c r="AT61" s="3231"/>
      <c r="AU61" s="3231"/>
      <c r="AV61" s="3232"/>
      <c r="AW61" s="3231"/>
      <c r="AX61" s="3233" t="s">
        <v>2636</v>
      </c>
      <c r="AY61" s="3231"/>
      <c r="AZ61" s="3231"/>
      <c r="BA61" s="3231"/>
      <c r="BB61" s="4874"/>
      <c r="BC61" s="3231"/>
      <c r="BD61" s="3231"/>
      <c r="BE61" s="3231"/>
      <c r="BF61" s="3302"/>
      <c r="BG61" s="3302"/>
      <c r="BH61" s="3302">
        <v>1</v>
      </c>
      <c r="BI61" s="3302">
        <v>1</v>
      </c>
      <c r="BJ61" s="3302">
        <v>1</v>
      </c>
      <c r="BK61" s="3302">
        <v>1</v>
      </c>
      <c r="BL61" s="3302">
        <v>1</v>
      </c>
      <c r="BM61" s="3302">
        <v>1</v>
      </c>
      <c r="BN61" s="3302">
        <v>1</v>
      </c>
      <c r="BO61" s="3302">
        <v>1</v>
      </c>
      <c r="BP61" s="3302">
        <v>1</v>
      </c>
    </row>
    <row r="62" spans="1:68" ht="29.25" customHeight="1">
      <c r="A62" s="173">
        <v>51</v>
      </c>
      <c r="B62" s="3211" t="s">
        <v>738</v>
      </c>
      <c r="C62" s="3323" t="s">
        <v>661</v>
      </c>
      <c r="D62" s="3300"/>
      <c r="E62" s="3300"/>
      <c r="F62" s="3300"/>
      <c r="G62" s="3300"/>
      <c r="H62" s="3300"/>
      <c r="I62" s="3300"/>
      <c r="J62" s="3300"/>
      <c r="K62" s="3300"/>
      <c r="L62" s="3300"/>
      <c r="M62" s="3300"/>
      <c r="N62" s="3300"/>
      <c r="O62" s="3300"/>
      <c r="P62" s="3300"/>
      <c r="Q62" s="3300"/>
      <c r="R62" s="3300"/>
      <c r="S62" s="3300"/>
      <c r="T62" s="3300"/>
      <c r="U62" s="3300"/>
      <c r="V62" s="3300"/>
      <c r="W62" s="3300"/>
      <c r="X62" s="3300"/>
      <c r="Y62" s="3300"/>
      <c r="Z62" s="3300"/>
      <c r="AA62" s="3300"/>
      <c r="AB62" s="3300"/>
      <c r="AC62" s="3300"/>
      <c r="AD62" s="3300"/>
      <c r="AE62" s="3300"/>
      <c r="AF62" s="3305" t="s">
        <v>1708</v>
      </c>
      <c r="AG62" s="3231"/>
      <c r="AH62" s="3231"/>
      <c r="AI62" s="3231"/>
      <c r="AJ62" s="3231"/>
      <c r="AK62" s="3231"/>
      <c r="AL62" s="3231"/>
      <c r="AM62" s="3231"/>
      <c r="AN62" s="3231"/>
      <c r="AO62" s="3926" t="s">
        <v>1709</v>
      </c>
      <c r="AP62" s="3231"/>
      <c r="AQ62" s="3231"/>
      <c r="AR62" s="3231"/>
      <c r="AS62" s="3231"/>
      <c r="AT62" s="3231"/>
      <c r="AU62" s="3231"/>
      <c r="AV62" s="3232"/>
      <c r="AW62" s="3231"/>
      <c r="AX62" s="3233" t="s">
        <v>2636</v>
      </c>
      <c r="AY62" s="3231"/>
      <c r="AZ62" s="3231"/>
      <c r="BA62" s="3231"/>
      <c r="BB62" s="4874"/>
      <c r="BC62" s="3231"/>
      <c r="BD62" s="3231"/>
      <c r="BE62" s="3231"/>
      <c r="BF62" s="3302"/>
      <c r="BG62" s="3302"/>
      <c r="BH62" s="3302">
        <v>1</v>
      </c>
      <c r="BI62" s="3302">
        <v>1</v>
      </c>
      <c r="BJ62" s="3302">
        <v>1</v>
      </c>
      <c r="BK62" s="3302">
        <v>1</v>
      </c>
      <c r="BL62" s="3302">
        <v>1</v>
      </c>
      <c r="BM62" s="3302"/>
      <c r="BN62" s="3302">
        <v>1</v>
      </c>
      <c r="BO62" s="3302">
        <v>1</v>
      </c>
      <c r="BP62" s="3302">
        <v>1</v>
      </c>
    </row>
    <row r="63" spans="1:68" ht="29.25" customHeight="1">
      <c r="A63" s="173">
        <v>52</v>
      </c>
      <c r="B63" s="3324" t="s">
        <v>1914</v>
      </c>
      <c r="C63" s="3325" t="s">
        <v>1671</v>
      </c>
      <c r="D63" s="3300"/>
      <c r="E63" s="3300"/>
      <c r="F63" s="3300"/>
      <c r="G63" s="3300"/>
      <c r="H63" s="3300"/>
      <c r="I63" s="3300"/>
      <c r="J63" s="3300"/>
      <c r="K63" s="3300"/>
      <c r="L63" s="3300"/>
      <c r="M63" s="3300"/>
      <c r="N63" s="3300"/>
      <c r="O63" s="3300"/>
      <c r="P63" s="3300"/>
      <c r="Q63" s="3300"/>
      <c r="R63" s="3300"/>
      <c r="S63" s="3300"/>
      <c r="T63" s="3300"/>
      <c r="U63" s="3300"/>
      <c r="V63" s="3300"/>
      <c r="W63" s="3300"/>
      <c r="X63" s="3300"/>
      <c r="Y63" s="3300"/>
      <c r="Z63" s="3300"/>
      <c r="AA63" s="3300"/>
      <c r="AB63" s="3300"/>
      <c r="AC63" s="3300"/>
      <c r="AD63" s="3300"/>
      <c r="AE63" s="3300"/>
      <c r="AF63" s="3300"/>
      <c r="AG63" s="3231"/>
      <c r="AH63" s="3231"/>
      <c r="AI63" s="3231"/>
      <c r="AJ63" s="3231"/>
      <c r="AK63" s="3231"/>
      <c r="AL63" s="3231"/>
      <c r="AM63" s="3231"/>
      <c r="AN63" s="3231"/>
      <c r="AO63" s="3231"/>
      <c r="AP63" s="3305" t="s">
        <v>1915</v>
      </c>
      <c r="AQ63" s="3231"/>
      <c r="AR63" s="3231"/>
      <c r="AS63" s="3231"/>
      <c r="AT63" s="3231"/>
      <c r="AU63" s="3231"/>
      <c r="AV63" s="3232"/>
      <c r="AW63" s="3231"/>
      <c r="AX63" s="3231"/>
      <c r="AY63" s="3231"/>
      <c r="AZ63" s="3231"/>
      <c r="BA63" s="3231"/>
      <c r="BB63" s="4874"/>
      <c r="BC63" s="3231"/>
      <c r="BD63" s="3231"/>
      <c r="BE63" s="3231"/>
      <c r="BF63" s="3302"/>
      <c r="BG63" s="3302"/>
      <c r="BH63" s="3302"/>
      <c r="BI63" s="3302"/>
      <c r="BJ63" s="3302"/>
      <c r="BK63" s="3302"/>
      <c r="BL63" s="3302">
        <v>1</v>
      </c>
      <c r="BM63" s="3302">
        <v>1</v>
      </c>
      <c r="BN63" s="3302">
        <v>1</v>
      </c>
      <c r="BO63" s="3302">
        <v>1</v>
      </c>
      <c r="BP63" s="3302"/>
    </row>
    <row r="64" spans="1:68" ht="14.4">
      <c r="B64" s="3318" t="s">
        <v>374</v>
      </c>
      <c r="C64" s="3236"/>
      <c r="D64" s="3319"/>
      <c r="E64" s="3319"/>
      <c r="F64" s="3319"/>
      <c r="G64" s="3319"/>
      <c r="H64" s="3319"/>
      <c r="I64" s="3319"/>
      <c r="J64" s="3319"/>
      <c r="K64" s="3319"/>
      <c r="L64" s="3319"/>
      <c r="M64" s="3319"/>
      <c r="N64" s="3319"/>
      <c r="O64" s="3319"/>
      <c r="P64" s="3319"/>
      <c r="Q64" s="3319"/>
      <c r="R64" s="3319"/>
      <c r="S64" s="3319"/>
      <c r="T64" s="3319"/>
      <c r="U64" s="3319"/>
      <c r="V64" s="3319"/>
      <c r="W64" s="3319"/>
      <c r="X64" s="3319"/>
      <c r="Y64" s="3319"/>
      <c r="Z64" s="3319"/>
      <c r="AA64" s="3319"/>
      <c r="AB64" s="3319"/>
      <c r="AC64" s="3319"/>
      <c r="AD64" s="3319"/>
      <c r="AE64" s="3319"/>
      <c r="AF64" s="3319"/>
      <c r="AG64" s="3320"/>
      <c r="AH64" s="3320"/>
      <c r="AI64" s="3320"/>
      <c r="AJ64" s="3320"/>
      <c r="AK64" s="3320"/>
      <c r="AL64" s="3320"/>
      <c r="AM64" s="3320"/>
      <c r="AN64" s="3320"/>
      <c r="AO64" s="3320"/>
      <c r="AP64" s="3320"/>
      <c r="AQ64" s="3320"/>
      <c r="AR64" s="3320"/>
      <c r="AS64" s="3320"/>
      <c r="AT64" s="3320"/>
      <c r="AU64" s="3320"/>
      <c r="AV64" s="3320"/>
      <c r="AW64" s="3320"/>
      <c r="AX64" s="3320"/>
      <c r="AY64" s="3320"/>
      <c r="AZ64" s="3320"/>
      <c r="BA64" s="3320"/>
      <c r="BB64" s="4880"/>
      <c r="BC64" s="4881"/>
      <c r="BD64" s="4881"/>
      <c r="BE64" s="4881"/>
      <c r="BF64" s="3321"/>
      <c r="BG64" s="3321"/>
      <c r="BH64" s="3321"/>
      <c r="BI64" s="3321"/>
      <c r="BJ64" s="3321"/>
      <c r="BK64" s="3321"/>
      <c r="BL64" s="3321"/>
      <c r="BM64" s="3321"/>
      <c r="BN64" s="3321"/>
      <c r="BO64" s="3321"/>
      <c r="BP64" s="3321"/>
    </row>
    <row r="65" spans="1:68" ht="29.25" customHeight="1">
      <c r="A65" s="173">
        <v>53</v>
      </c>
      <c r="B65" s="3211" t="s">
        <v>739</v>
      </c>
      <c r="C65" s="3212" t="s">
        <v>805</v>
      </c>
      <c r="D65" s="3326"/>
      <c r="E65" s="3300"/>
      <c r="F65" s="3300"/>
      <c r="G65" s="3300"/>
      <c r="H65" s="3300"/>
      <c r="I65" s="3300"/>
      <c r="J65" s="3300"/>
      <c r="K65" s="3300"/>
      <c r="L65" s="3300"/>
      <c r="M65" s="3300"/>
      <c r="N65" s="3300"/>
      <c r="O65" s="3300"/>
      <c r="P65" s="3300"/>
      <c r="Q65" s="3233" t="s">
        <v>233</v>
      </c>
      <c r="R65" s="3300"/>
      <c r="S65" s="3300"/>
      <c r="T65" s="3300"/>
      <c r="U65" s="3300"/>
      <c r="V65" s="3300"/>
      <c r="W65" s="3300"/>
      <c r="X65" s="3300"/>
      <c r="Y65" s="3300"/>
      <c r="Z65" s="3300"/>
      <c r="AA65" s="3233" t="s">
        <v>236</v>
      </c>
      <c r="AB65" s="3300"/>
      <c r="AC65" s="3300"/>
      <c r="AD65" s="3300"/>
      <c r="AE65" s="3300"/>
      <c r="AF65" s="3230" t="s">
        <v>512</v>
      </c>
      <c r="AG65" s="3300"/>
      <c r="AH65" s="3230" t="s">
        <v>664</v>
      </c>
      <c r="AI65" s="3231"/>
      <c r="AJ65" s="3231"/>
      <c r="AK65" s="3231"/>
      <c r="AL65" s="3230" t="s">
        <v>806</v>
      </c>
      <c r="AM65" s="3231"/>
      <c r="AN65" s="3231"/>
      <c r="AO65" s="3231"/>
      <c r="AP65" s="3231"/>
      <c r="AQ65" s="3231"/>
      <c r="AR65" s="3231"/>
      <c r="AS65" s="3231"/>
      <c r="AT65" s="3231"/>
      <c r="AU65" s="3230" t="s">
        <v>2413</v>
      </c>
      <c r="AV65" s="3232"/>
      <c r="AW65" s="3231"/>
      <c r="AX65" s="3231"/>
      <c r="AY65" s="3231"/>
      <c r="AZ65" s="3231"/>
      <c r="BA65" s="3231"/>
      <c r="BB65" s="4874"/>
      <c r="BC65" s="3231"/>
      <c r="BD65" s="3231"/>
      <c r="BE65" s="3231"/>
      <c r="BF65" s="3302">
        <v>1</v>
      </c>
      <c r="BG65" s="3302">
        <v>1</v>
      </c>
      <c r="BH65" s="3302">
        <v>1</v>
      </c>
      <c r="BI65" s="3302">
        <v>1</v>
      </c>
      <c r="BJ65" s="3302">
        <v>1</v>
      </c>
      <c r="BK65" s="3302">
        <v>1</v>
      </c>
      <c r="BL65" s="3302">
        <v>1</v>
      </c>
      <c r="BM65" s="3302">
        <v>1</v>
      </c>
      <c r="BN65" s="3302">
        <v>1</v>
      </c>
      <c r="BO65" s="3302">
        <v>1</v>
      </c>
      <c r="BP65" s="3302">
        <v>1</v>
      </c>
    </row>
    <row r="66" spans="1:68" ht="29.25" customHeight="1">
      <c r="A66" s="173">
        <v>54</v>
      </c>
      <c r="B66" s="3211" t="s">
        <v>740</v>
      </c>
      <c r="C66" s="3212" t="s">
        <v>805</v>
      </c>
      <c r="D66" s="3326"/>
      <c r="E66" s="3300"/>
      <c r="F66" s="3300"/>
      <c r="G66" s="3300"/>
      <c r="H66" s="3300"/>
      <c r="I66" s="3300"/>
      <c r="J66" s="3300"/>
      <c r="K66" s="3300"/>
      <c r="L66" s="3300"/>
      <c r="M66" s="3300"/>
      <c r="N66" s="3300"/>
      <c r="O66" s="3300"/>
      <c r="P66" s="3300"/>
      <c r="Q66" s="3233" t="s">
        <v>233</v>
      </c>
      <c r="R66" s="3300"/>
      <c r="S66" s="3300"/>
      <c r="T66" s="3300"/>
      <c r="U66" s="3300"/>
      <c r="V66" s="3300"/>
      <c r="W66" s="3300"/>
      <c r="X66" s="3300"/>
      <c r="Y66" s="3300"/>
      <c r="Z66" s="3300"/>
      <c r="AA66" s="3233" t="s">
        <v>236</v>
      </c>
      <c r="AB66" s="3300"/>
      <c r="AC66" s="3300"/>
      <c r="AD66" s="3300"/>
      <c r="AE66" s="3300"/>
      <c r="AF66" s="3230" t="s">
        <v>512</v>
      </c>
      <c r="AG66" s="3300"/>
      <c r="AH66" s="3230" t="s">
        <v>664</v>
      </c>
      <c r="AI66" s="3231"/>
      <c r="AJ66" s="3231"/>
      <c r="AK66" s="3231"/>
      <c r="AL66" s="3230" t="s">
        <v>806</v>
      </c>
      <c r="AM66" s="3231"/>
      <c r="AN66" s="3231"/>
      <c r="AO66" s="3231"/>
      <c r="AP66" s="3231"/>
      <c r="AQ66" s="3231"/>
      <c r="AR66" s="3231"/>
      <c r="AS66" s="3231"/>
      <c r="AT66" s="3231"/>
      <c r="AU66" s="3257" t="s">
        <v>2413</v>
      </c>
      <c r="AV66" s="3232"/>
      <c r="AW66" s="3231"/>
      <c r="AX66" s="3231"/>
      <c r="AY66" s="3231"/>
      <c r="AZ66" s="3231"/>
      <c r="BA66" s="3231"/>
      <c r="BB66" s="4874"/>
      <c r="BC66" s="3231"/>
      <c r="BD66" s="3231"/>
      <c r="BE66" s="3231"/>
      <c r="BF66" s="3302">
        <v>1</v>
      </c>
      <c r="BG66" s="3302">
        <v>1</v>
      </c>
      <c r="BH66" s="3302">
        <v>1</v>
      </c>
      <c r="BI66" s="3302">
        <v>1</v>
      </c>
      <c r="BJ66" s="3302">
        <v>1</v>
      </c>
      <c r="BK66" s="3302">
        <v>1</v>
      </c>
      <c r="BL66" s="3302">
        <v>1</v>
      </c>
      <c r="BM66" s="3302">
        <v>1</v>
      </c>
      <c r="BN66" s="3302">
        <v>1</v>
      </c>
      <c r="BO66" s="3302">
        <v>1</v>
      </c>
      <c r="BP66" s="3302">
        <v>1</v>
      </c>
    </row>
    <row r="67" spans="1:68" ht="29.25" customHeight="1">
      <c r="A67" s="173">
        <v>55</v>
      </c>
      <c r="B67" s="3211" t="s">
        <v>289</v>
      </c>
      <c r="C67" s="3212" t="s">
        <v>805</v>
      </c>
      <c r="D67" s="3326"/>
      <c r="E67" s="3300"/>
      <c r="F67" s="3300"/>
      <c r="G67" s="3300"/>
      <c r="H67" s="3300"/>
      <c r="I67" s="3300"/>
      <c r="J67" s="3300"/>
      <c r="K67" s="3300"/>
      <c r="L67" s="3300"/>
      <c r="M67" s="3300"/>
      <c r="N67" s="3300"/>
      <c r="O67" s="3300"/>
      <c r="P67" s="3300"/>
      <c r="Q67" s="3233" t="s">
        <v>233</v>
      </c>
      <c r="R67" s="3300"/>
      <c r="S67" s="3300"/>
      <c r="T67" s="3300"/>
      <c r="U67" s="3300"/>
      <c r="V67" s="3300"/>
      <c r="W67" s="3300"/>
      <c r="X67" s="3300"/>
      <c r="Y67" s="3300"/>
      <c r="Z67" s="3300"/>
      <c r="AA67" s="3233" t="s">
        <v>236</v>
      </c>
      <c r="AB67" s="3300"/>
      <c r="AC67" s="3300"/>
      <c r="AD67" s="3300"/>
      <c r="AE67" s="3300"/>
      <c r="AF67" s="3230" t="s">
        <v>512</v>
      </c>
      <c r="AG67" s="3300"/>
      <c r="AH67" s="3230" t="s">
        <v>664</v>
      </c>
      <c r="AI67" s="3231"/>
      <c r="AJ67" s="3231"/>
      <c r="AK67" s="3231"/>
      <c r="AL67" s="3230" t="s">
        <v>806</v>
      </c>
      <c r="AM67" s="3231"/>
      <c r="AN67" s="3231"/>
      <c r="AO67" s="3231"/>
      <c r="AP67" s="3231"/>
      <c r="AQ67" s="3231"/>
      <c r="AR67" s="3231"/>
      <c r="AS67" s="3231"/>
      <c r="AT67" s="3231"/>
      <c r="AU67" s="3257" t="s">
        <v>2413</v>
      </c>
      <c r="AV67" s="3232"/>
      <c r="AW67" s="3231"/>
      <c r="AX67" s="3231"/>
      <c r="AY67" s="3231"/>
      <c r="AZ67" s="3231"/>
      <c r="BA67" s="3231"/>
      <c r="BB67" s="4874"/>
      <c r="BC67" s="3231"/>
      <c r="BD67" s="3231"/>
      <c r="BE67" s="3231"/>
      <c r="BF67" s="3302">
        <v>1</v>
      </c>
      <c r="BG67" s="3302">
        <v>1</v>
      </c>
      <c r="BH67" s="3302">
        <v>1</v>
      </c>
      <c r="BI67" s="3302">
        <v>1</v>
      </c>
      <c r="BJ67" s="3302">
        <v>1</v>
      </c>
      <c r="BK67" s="3302">
        <v>1</v>
      </c>
      <c r="BL67" s="3302">
        <v>1</v>
      </c>
      <c r="BM67" s="3302">
        <v>1</v>
      </c>
      <c r="BN67" s="3302">
        <v>1</v>
      </c>
      <c r="BO67" s="3302">
        <v>1</v>
      </c>
      <c r="BP67" s="3302">
        <v>1</v>
      </c>
    </row>
    <row r="68" spans="1:68" ht="29.25" customHeight="1">
      <c r="A68" s="173">
        <v>56</v>
      </c>
      <c r="B68" s="3211" t="s">
        <v>741</v>
      </c>
      <c r="C68" s="3212" t="s">
        <v>662</v>
      </c>
      <c r="D68" s="3300"/>
      <c r="E68" s="3300"/>
      <c r="F68" s="3300"/>
      <c r="G68" s="3300"/>
      <c r="H68" s="3300"/>
      <c r="I68" s="3233" t="s">
        <v>209</v>
      </c>
      <c r="J68" s="3300"/>
      <c r="K68" s="3300"/>
      <c r="L68" s="3300"/>
      <c r="M68" s="3300"/>
      <c r="N68" s="3300"/>
      <c r="O68" s="3300"/>
      <c r="P68" s="3300"/>
      <c r="Q68" s="3300"/>
      <c r="R68" s="3300"/>
      <c r="S68" s="3300"/>
      <c r="T68" s="3300"/>
      <c r="U68" s="3300"/>
      <c r="V68" s="3300"/>
      <c r="W68" s="3300"/>
      <c r="X68" s="3300"/>
      <c r="Y68" s="3300"/>
      <c r="Z68" s="3300"/>
      <c r="AA68" s="3233" t="s">
        <v>236</v>
      </c>
      <c r="AB68" s="3300"/>
      <c r="AC68" s="3300"/>
      <c r="AD68" s="3300"/>
      <c r="AE68" s="3300"/>
      <c r="AF68" s="3300"/>
      <c r="AG68" s="3231"/>
      <c r="AH68" s="3230" t="s">
        <v>664</v>
      </c>
      <c r="AI68" s="3231"/>
      <c r="AJ68" s="3231"/>
      <c r="AK68" s="3231"/>
      <c r="AL68" s="3231"/>
      <c r="AM68" s="3231"/>
      <c r="AN68" s="3231"/>
      <c r="AO68" s="3231"/>
      <c r="AP68" s="3231"/>
      <c r="AQ68" s="3231"/>
      <c r="AR68" s="3231"/>
      <c r="AS68" s="3231"/>
      <c r="AT68" s="3231"/>
      <c r="AU68" s="3231"/>
      <c r="AV68" s="3232"/>
      <c r="AW68" s="3231"/>
      <c r="AX68" s="3231"/>
      <c r="AY68" s="3231"/>
      <c r="AZ68" s="3231"/>
      <c r="BA68" s="3231"/>
      <c r="BB68" s="4874"/>
      <c r="BC68" s="3231"/>
      <c r="BD68" s="3231"/>
      <c r="BE68" s="3231"/>
      <c r="BF68" s="3302"/>
      <c r="BG68" s="3302">
        <v>1</v>
      </c>
      <c r="BH68" s="3302">
        <v>1</v>
      </c>
      <c r="BI68" s="3302">
        <v>1</v>
      </c>
      <c r="BJ68" s="3302">
        <v>1</v>
      </c>
      <c r="BK68" s="3302">
        <v>1</v>
      </c>
      <c r="BL68" s="3302">
        <v>1</v>
      </c>
      <c r="BM68" s="3302">
        <v>1</v>
      </c>
      <c r="BN68" s="3302"/>
      <c r="BO68" s="3302"/>
      <c r="BP68" s="3302"/>
    </row>
    <row r="69" spans="1:68" ht="29.25" customHeight="1">
      <c r="A69" s="173">
        <v>57</v>
      </c>
      <c r="B69" s="3211" t="s">
        <v>742</v>
      </c>
      <c r="C69" s="3212" t="s">
        <v>662</v>
      </c>
      <c r="D69" s="3300"/>
      <c r="E69" s="3300"/>
      <c r="F69" s="3300"/>
      <c r="G69" s="3300"/>
      <c r="H69" s="3300"/>
      <c r="I69" s="3233" t="s">
        <v>209</v>
      </c>
      <c r="J69" s="3300"/>
      <c r="K69" s="3300"/>
      <c r="L69" s="3300"/>
      <c r="M69" s="3300"/>
      <c r="N69" s="3300"/>
      <c r="O69" s="3300"/>
      <c r="P69" s="3300"/>
      <c r="Q69" s="3300"/>
      <c r="R69" s="3300"/>
      <c r="S69" s="3300"/>
      <c r="T69" s="3300"/>
      <c r="U69" s="3300"/>
      <c r="V69" s="3300"/>
      <c r="W69" s="3300"/>
      <c r="X69" s="3300"/>
      <c r="Y69" s="3300"/>
      <c r="Z69" s="3300"/>
      <c r="AA69" s="3233" t="s">
        <v>236</v>
      </c>
      <c r="AB69" s="3300"/>
      <c r="AC69" s="3300"/>
      <c r="AD69" s="3300"/>
      <c r="AE69" s="3300"/>
      <c r="AF69" s="3300"/>
      <c r="AG69" s="3231"/>
      <c r="AH69" s="3230" t="s">
        <v>664</v>
      </c>
      <c r="AI69" s="3231"/>
      <c r="AJ69" s="3231"/>
      <c r="AK69" s="3231"/>
      <c r="AL69" s="3231"/>
      <c r="AM69" s="3231"/>
      <c r="AN69" s="3231"/>
      <c r="AO69" s="3231"/>
      <c r="AP69" s="3231"/>
      <c r="AQ69" s="3231"/>
      <c r="AR69" s="3231"/>
      <c r="AS69" s="3231"/>
      <c r="AT69" s="3231"/>
      <c r="AU69" s="3231"/>
      <c r="AV69" s="3232"/>
      <c r="AW69" s="3231"/>
      <c r="AX69" s="3231"/>
      <c r="AY69" s="3231"/>
      <c r="AZ69" s="3231"/>
      <c r="BA69" s="3231"/>
      <c r="BB69" s="4874"/>
      <c r="BC69" s="3231"/>
      <c r="BD69" s="3231"/>
      <c r="BE69" s="3231"/>
      <c r="BF69" s="3302"/>
      <c r="BG69" s="3302">
        <v>1</v>
      </c>
      <c r="BH69" s="3302">
        <v>1</v>
      </c>
      <c r="BI69" s="3302">
        <v>1</v>
      </c>
      <c r="BJ69" s="3302">
        <v>1</v>
      </c>
      <c r="BK69" s="3302">
        <v>1</v>
      </c>
      <c r="BL69" s="3302">
        <v>1</v>
      </c>
      <c r="BM69" s="3302">
        <v>1</v>
      </c>
      <c r="BN69" s="3302"/>
      <c r="BO69" s="3302"/>
      <c r="BP69" s="3302"/>
    </row>
    <row r="70" spans="1:68" ht="29.25" customHeight="1">
      <c r="A70" s="173">
        <v>58</v>
      </c>
      <c r="B70" s="3211" t="s">
        <v>1710</v>
      </c>
      <c r="C70" s="3212" t="s">
        <v>805</v>
      </c>
      <c r="D70" s="3300"/>
      <c r="E70" s="3300"/>
      <c r="F70" s="3300"/>
      <c r="G70" s="3300"/>
      <c r="H70" s="3300"/>
      <c r="I70" s="3300"/>
      <c r="J70" s="3300"/>
      <c r="K70" s="3300"/>
      <c r="L70" s="3300"/>
      <c r="M70" s="3300"/>
      <c r="N70" s="3233" t="s">
        <v>249</v>
      </c>
      <c r="O70" s="3233" t="s">
        <v>210</v>
      </c>
      <c r="P70" s="3300"/>
      <c r="Q70" s="3300"/>
      <c r="R70" s="3233" t="s">
        <v>862</v>
      </c>
      <c r="S70" s="3216"/>
      <c r="T70" s="3300"/>
      <c r="U70" s="3300"/>
      <c r="V70" s="3300"/>
      <c r="W70" s="3300"/>
      <c r="X70" s="3300"/>
      <c r="Y70" s="3300"/>
      <c r="Z70" s="3300"/>
      <c r="AA70" s="3233" t="s">
        <v>236</v>
      </c>
      <c r="AB70" s="3300"/>
      <c r="AC70" s="3300"/>
      <c r="AD70" s="3300"/>
      <c r="AE70" s="3300"/>
      <c r="AF70" s="3300"/>
      <c r="AG70" s="3231"/>
      <c r="AH70" s="3231"/>
      <c r="AI70" s="3231"/>
      <c r="AJ70" s="3231"/>
      <c r="AK70" s="3231"/>
      <c r="AL70" s="3304" t="s">
        <v>1711</v>
      </c>
      <c r="AM70" s="3231"/>
      <c r="AN70" s="3231"/>
      <c r="AO70" s="3231"/>
      <c r="AP70" s="3231"/>
      <c r="AQ70" s="3231"/>
      <c r="AR70" s="3231"/>
      <c r="AS70" s="3231"/>
      <c r="AT70" s="3327" t="s">
        <v>2420</v>
      </c>
      <c r="AU70" s="3231"/>
      <c r="AV70" s="3300"/>
      <c r="AW70" s="3328"/>
      <c r="AX70" s="3328"/>
      <c r="AY70" s="3328"/>
      <c r="AZ70" s="3328"/>
      <c r="BA70" s="3328"/>
      <c r="BB70" s="4882"/>
      <c r="BC70" s="3328"/>
      <c r="BD70" s="3328"/>
      <c r="BE70" s="3328"/>
      <c r="BF70" s="3302">
        <v>1</v>
      </c>
      <c r="BG70" s="3302">
        <v>1</v>
      </c>
      <c r="BH70" s="3302">
        <v>1</v>
      </c>
      <c r="BI70" s="3302">
        <v>1</v>
      </c>
      <c r="BJ70" s="3302">
        <v>1</v>
      </c>
      <c r="BK70" s="3302">
        <v>1</v>
      </c>
      <c r="BL70" s="3302">
        <v>1</v>
      </c>
      <c r="BM70" s="3302">
        <v>1</v>
      </c>
      <c r="BN70" s="3302">
        <v>1</v>
      </c>
      <c r="BO70" s="3302">
        <v>1</v>
      </c>
      <c r="BP70" s="3302">
        <v>1</v>
      </c>
    </row>
    <row r="71" spans="1:68" ht="29.25" customHeight="1">
      <c r="A71" s="173">
        <v>59</v>
      </c>
      <c r="B71" s="3211" t="s">
        <v>1712</v>
      </c>
      <c r="C71" s="3212" t="s">
        <v>805</v>
      </c>
      <c r="D71" s="3300"/>
      <c r="E71" s="3300"/>
      <c r="F71" s="3300"/>
      <c r="G71" s="3300"/>
      <c r="H71" s="3300"/>
      <c r="I71" s="3300"/>
      <c r="J71" s="3300"/>
      <c r="K71" s="3300"/>
      <c r="L71" s="3300"/>
      <c r="M71" s="3300"/>
      <c r="N71" s="3233" t="s">
        <v>249</v>
      </c>
      <c r="O71" s="3233" t="s">
        <v>210</v>
      </c>
      <c r="P71" s="3300"/>
      <c r="Q71" s="3300"/>
      <c r="R71" s="3233" t="s">
        <v>862</v>
      </c>
      <c r="S71" s="3216"/>
      <c r="T71" s="3300"/>
      <c r="U71" s="3300"/>
      <c r="V71" s="3300"/>
      <c r="W71" s="3300"/>
      <c r="X71" s="3300"/>
      <c r="Y71" s="3300"/>
      <c r="Z71" s="3300"/>
      <c r="AA71" s="3233" t="s">
        <v>236</v>
      </c>
      <c r="AB71" s="3300"/>
      <c r="AC71" s="3300"/>
      <c r="AD71" s="3300"/>
      <c r="AE71" s="3300"/>
      <c r="AF71" s="3300"/>
      <c r="AG71" s="3231"/>
      <c r="AH71" s="3231"/>
      <c r="AI71" s="3231"/>
      <c r="AJ71" s="3231"/>
      <c r="AK71" s="3231"/>
      <c r="AL71" s="3304" t="s">
        <v>1711</v>
      </c>
      <c r="AM71" s="3231"/>
      <c r="AN71" s="3231"/>
      <c r="AO71" s="3231"/>
      <c r="AP71" s="3231"/>
      <c r="AQ71" s="3231"/>
      <c r="AR71" s="3231"/>
      <c r="AS71" s="3231"/>
      <c r="AT71" s="3327" t="s">
        <v>2420</v>
      </c>
      <c r="AU71" s="3231"/>
      <c r="AV71" s="3303"/>
      <c r="AW71" s="3328"/>
      <c r="AX71" s="3328"/>
      <c r="AY71" s="3328"/>
      <c r="AZ71" s="3328"/>
      <c r="BA71" s="3328"/>
      <c r="BB71" s="4882"/>
      <c r="BC71" s="3328"/>
      <c r="BD71" s="3328"/>
      <c r="BE71" s="3328"/>
      <c r="BF71" s="3302">
        <v>1</v>
      </c>
      <c r="BG71" s="3302">
        <v>1</v>
      </c>
      <c r="BH71" s="3302">
        <v>1</v>
      </c>
      <c r="BI71" s="3302">
        <v>1</v>
      </c>
      <c r="BJ71" s="3302">
        <v>1</v>
      </c>
      <c r="BK71" s="3302">
        <v>1</v>
      </c>
      <c r="BL71" s="3302">
        <v>1</v>
      </c>
      <c r="BM71" s="3302">
        <v>1</v>
      </c>
      <c r="BN71" s="3302">
        <v>1</v>
      </c>
      <c r="BO71" s="3302">
        <v>1</v>
      </c>
      <c r="BP71" s="3302">
        <v>1</v>
      </c>
    </row>
    <row r="72" spans="1:68" ht="29.25" customHeight="1">
      <c r="A72" s="173">
        <v>60</v>
      </c>
      <c r="B72" s="3211" t="s">
        <v>286</v>
      </c>
      <c r="C72" s="3212" t="s">
        <v>805</v>
      </c>
      <c r="D72" s="3300"/>
      <c r="E72" s="3300"/>
      <c r="F72" s="3300"/>
      <c r="G72" s="3300"/>
      <c r="H72" s="3300"/>
      <c r="I72" s="3300"/>
      <c r="J72" s="3300"/>
      <c r="K72" s="3300"/>
      <c r="L72" s="3300"/>
      <c r="M72" s="3300"/>
      <c r="N72" s="3233"/>
      <c r="O72" s="3233"/>
      <c r="P72" s="3300"/>
      <c r="Q72" s="3300"/>
      <c r="R72" s="3233"/>
      <c r="S72" s="3216"/>
      <c r="T72" s="3300"/>
      <c r="U72" s="3300"/>
      <c r="V72" s="3300"/>
      <c r="W72" s="3300"/>
      <c r="X72" s="3300"/>
      <c r="Y72" s="3300"/>
      <c r="Z72" s="3300"/>
      <c r="AA72" s="3233"/>
      <c r="AB72" s="3300"/>
      <c r="AC72" s="3300"/>
      <c r="AD72" s="3300"/>
      <c r="AE72" s="3300"/>
      <c r="AF72" s="3300"/>
      <c r="AG72" s="3231"/>
      <c r="AH72" s="3231"/>
      <c r="AI72" s="3231"/>
      <c r="AJ72" s="3231"/>
      <c r="AK72" s="3231"/>
      <c r="AL72" s="3233" t="s">
        <v>806</v>
      </c>
      <c r="AM72" s="3231"/>
      <c r="AN72" s="3231"/>
      <c r="AO72" s="3231"/>
      <c r="AP72" s="3231"/>
      <c r="AQ72" s="3231"/>
      <c r="AR72" s="3231"/>
      <c r="AS72" s="3231"/>
      <c r="AT72" s="3231"/>
      <c r="AU72" s="3231"/>
      <c r="AV72" s="3232"/>
      <c r="AW72" s="3231"/>
      <c r="AX72" s="3231"/>
      <c r="AY72" s="3231"/>
      <c r="AZ72" s="3231"/>
      <c r="BA72" s="3231"/>
      <c r="BB72" s="4874"/>
      <c r="BC72" s="3231"/>
      <c r="BD72" s="3231"/>
      <c r="BE72" s="3231"/>
      <c r="BF72" s="3302"/>
      <c r="BG72" s="3302"/>
      <c r="BH72" s="3302"/>
      <c r="BI72" s="3302"/>
      <c r="BJ72" s="3302"/>
      <c r="BK72" s="3302"/>
      <c r="BL72" s="3302"/>
      <c r="BM72" s="3302"/>
      <c r="BN72" s="3302">
        <v>1</v>
      </c>
      <c r="BO72" s="3302"/>
      <c r="BP72" s="3302"/>
    </row>
    <row r="73" spans="1:68" ht="29.25" customHeight="1">
      <c r="A73" s="173">
        <v>61</v>
      </c>
      <c r="B73" s="3211" t="s">
        <v>2406</v>
      </c>
      <c r="C73" s="3212" t="s">
        <v>805</v>
      </c>
      <c r="D73" s="3300"/>
      <c r="E73" s="3300"/>
      <c r="F73" s="3300"/>
      <c r="G73" s="3300"/>
      <c r="H73" s="3300"/>
      <c r="I73" s="3300"/>
      <c r="J73" s="3300"/>
      <c r="K73" s="3300"/>
      <c r="L73" s="3300"/>
      <c r="M73" s="3300"/>
      <c r="N73" s="3233"/>
      <c r="O73" s="3233"/>
      <c r="P73" s="3300"/>
      <c r="Q73" s="3300"/>
      <c r="R73" s="3233"/>
      <c r="S73" s="3216"/>
      <c r="T73" s="3300"/>
      <c r="U73" s="3300"/>
      <c r="V73" s="3300"/>
      <c r="W73" s="3300"/>
      <c r="X73" s="3300"/>
      <c r="Y73" s="3300"/>
      <c r="Z73" s="3300"/>
      <c r="AA73" s="3233"/>
      <c r="AB73" s="3300"/>
      <c r="AC73" s="3300"/>
      <c r="AD73" s="3300"/>
      <c r="AE73" s="3300"/>
      <c r="AF73" s="3300"/>
      <c r="AG73" s="3231"/>
      <c r="AH73" s="3231"/>
      <c r="AI73" s="3231"/>
      <c r="AJ73" s="3231"/>
      <c r="AK73" s="3231"/>
      <c r="AL73" s="3233" t="s">
        <v>806</v>
      </c>
      <c r="AM73" s="3231"/>
      <c r="AN73" s="3231"/>
      <c r="AO73" s="3231"/>
      <c r="AP73" s="3231"/>
      <c r="AQ73" s="3231"/>
      <c r="AR73" s="3231"/>
      <c r="AS73" s="3231"/>
      <c r="AT73" s="3231"/>
      <c r="AU73" s="3231"/>
      <c r="AV73" s="3232"/>
      <c r="AW73" s="3231"/>
      <c r="AX73" s="3231"/>
      <c r="AY73" s="3231"/>
      <c r="AZ73" s="3231"/>
      <c r="BA73" s="3231"/>
      <c r="BB73" s="4874"/>
      <c r="BC73" s="3231"/>
      <c r="BD73" s="3231"/>
      <c r="BE73" s="3231"/>
      <c r="BF73" s="3302"/>
      <c r="BG73" s="3302"/>
      <c r="BH73" s="3302"/>
      <c r="BI73" s="3302"/>
      <c r="BJ73" s="3302"/>
      <c r="BK73" s="3302"/>
      <c r="BL73" s="3302"/>
      <c r="BM73" s="3302"/>
      <c r="BN73" s="3302">
        <v>1</v>
      </c>
      <c r="BO73" s="3302"/>
      <c r="BP73" s="3302"/>
    </row>
    <row r="74" spans="1:68" ht="29.25" customHeight="1">
      <c r="A74" s="173">
        <v>62</v>
      </c>
      <c r="B74" s="3211" t="s">
        <v>2404</v>
      </c>
      <c r="C74" s="3212" t="s">
        <v>1699</v>
      </c>
      <c r="D74" s="3300"/>
      <c r="E74" s="3300"/>
      <c r="F74" s="3300"/>
      <c r="G74" s="3300"/>
      <c r="H74" s="3300"/>
      <c r="I74" s="3300"/>
      <c r="J74" s="3300"/>
      <c r="K74" s="3300"/>
      <c r="L74" s="3300"/>
      <c r="M74" s="3300"/>
      <c r="N74" s="3233"/>
      <c r="O74" s="3233"/>
      <c r="P74" s="3300"/>
      <c r="Q74" s="3300"/>
      <c r="R74" s="3233"/>
      <c r="S74" s="3216"/>
      <c r="T74" s="3300"/>
      <c r="U74" s="3300"/>
      <c r="V74" s="3300"/>
      <c r="W74" s="3300"/>
      <c r="X74" s="3300"/>
      <c r="Y74" s="3300"/>
      <c r="Z74" s="3300"/>
      <c r="AA74" s="3233"/>
      <c r="AB74" s="3300"/>
      <c r="AC74" s="3300"/>
      <c r="AD74" s="3300"/>
      <c r="AE74" s="3300"/>
      <c r="AF74" s="3300"/>
      <c r="AG74" s="3231"/>
      <c r="AH74" s="3231"/>
      <c r="AI74" s="3231"/>
      <c r="AJ74" s="3231"/>
      <c r="AK74" s="3231"/>
      <c r="AL74" s="3300"/>
      <c r="AM74" s="3231"/>
      <c r="AN74" s="3231"/>
      <c r="AO74" s="3231"/>
      <c r="AP74" s="3231"/>
      <c r="AQ74" s="3231"/>
      <c r="AR74" s="3231"/>
      <c r="AS74" s="3305" t="s">
        <v>1916</v>
      </c>
      <c r="AT74" s="3300"/>
      <c r="AU74" s="3300"/>
      <c r="AV74" s="3306"/>
      <c r="AW74" s="3300"/>
      <c r="AX74" s="3300"/>
      <c r="AY74" s="3300"/>
      <c r="AZ74" s="3300"/>
      <c r="BA74" s="3300"/>
      <c r="BB74" s="4879"/>
      <c r="BC74" s="3300"/>
      <c r="BD74" s="3300"/>
      <c r="BE74" s="3300"/>
      <c r="BF74" s="3302"/>
      <c r="BG74" s="3302"/>
      <c r="BH74" s="3302"/>
      <c r="BI74" s="3302"/>
      <c r="BJ74" s="3302"/>
      <c r="BK74" s="3302"/>
      <c r="BL74" s="3302">
        <v>1</v>
      </c>
      <c r="BM74" s="3302">
        <v>1</v>
      </c>
      <c r="BN74" s="3302">
        <v>1</v>
      </c>
      <c r="BO74" s="3302">
        <v>1</v>
      </c>
      <c r="BP74" s="3302">
        <v>1</v>
      </c>
    </row>
    <row r="75" spans="1:68" ht="29.25" customHeight="1">
      <c r="A75" s="173">
        <v>63</v>
      </c>
      <c r="B75" s="3211" t="s">
        <v>2405</v>
      </c>
      <c r="C75" s="3212" t="s">
        <v>1699</v>
      </c>
      <c r="D75" s="3300"/>
      <c r="E75" s="3300"/>
      <c r="F75" s="3300"/>
      <c r="G75" s="3300"/>
      <c r="H75" s="3300"/>
      <c r="I75" s="3300"/>
      <c r="J75" s="3300"/>
      <c r="K75" s="3300"/>
      <c r="L75" s="3300"/>
      <c r="M75" s="3300"/>
      <c r="N75" s="3233"/>
      <c r="O75" s="3233"/>
      <c r="P75" s="3300"/>
      <c r="Q75" s="3300"/>
      <c r="R75" s="3233"/>
      <c r="S75" s="3216"/>
      <c r="T75" s="3300"/>
      <c r="U75" s="3300"/>
      <c r="V75" s="3300"/>
      <c r="W75" s="3300"/>
      <c r="X75" s="3300"/>
      <c r="Y75" s="3300"/>
      <c r="Z75" s="3300"/>
      <c r="AA75" s="3233"/>
      <c r="AB75" s="3300"/>
      <c r="AC75" s="3300"/>
      <c r="AD75" s="3300"/>
      <c r="AE75" s="3300"/>
      <c r="AF75" s="3300"/>
      <c r="AG75" s="3231"/>
      <c r="AH75" s="3231"/>
      <c r="AI75" s="3231"/>
      <c r="AJ75" s="3231"/>
      <c r="AK75" s="3231"/>
      <c r="AL75" s="3300"/>
      <c r="AM75" s="3231"/>
      <c r="AN75" s="3231"/>
      <c r="AO75" s="3231"/>
      <c r="AP75" s="3231"/>
      <c r="AQ75" s="3231"/>
      <c r="AR75" s="3231"/>
      <c r="AS75" s="3305" t="s">
        <v>1916</v>
      </c>
      <c r="AT75" s="3300"/>
      <c r="AU75" s="3300"/>
      <c r="AV75" s="3306"/>
      <c r="AW75" s="3300"/>
      <c r="AX75" s="3300"/>
      <c r="AY75" s="3300"/>
      <c r="AZ75" s="3300"/>
      <c r="BA75" s="3300"/>
      <c r="BB75" s="4879"/>
      <c r="BC75" s="3300"/>
      <c r="BD75" s="3300"/>
      <c r="BE75" s="3300"/>
      <c r="BF75" s="3302"/>
      <c r="BG75" s="3302"/>
      <c r="BH75" s="3302"/>
      <c r="BI75" s="3302"/>
      <c r="BJ75" s="3302"/>
      <c r="BK75" s="3302"/>
      <c r="BL75" s="3302">
        <v>1</v>
      </c>
      <c r="BM75" s="3302">
        <v>1</v>
      </c>
      <c r="BN75" s="3302">
        <v>1</v>
      </c>
      <c r="BO75" s="3302">
        <v>1</v>
      </c>
      <c r="BP75" s="3302">
        <v>1</v>
      </c>
    </row>
    <row r="76" spans="1:68" ht="29.25" hidden="1" customHeight="1">
      <c r="B76" s="3329" t="s">
        <v>743</v>
      </c>
      <c r="C76" s="3330"/>
      <c r="D76" s="3315"/>
      <c r="E76" s="3315"/>
      <c r="F76" s="3315"/>
      <c r="G76" s="3315"/>
      <c r="H76" s="3315"/>
      <c r="I76" s="3315"/>
      <c r="J76" s="3315"/>
      <c r="K76" s="3315"/>
      <c r="L76" s="3315"/>
      <c r="M76" s="3315"/>
      <c r="N76" s="3315"/>
      <c r="O76" s="3315"/>
      <c r="P76" s="3315"/>
      <c r="Q76" s="3315"/>
      <c r="R76" s="3315"/>
      <c r="S76" s="3315"/>
      <c r="T76" s="3315"/>
      <c r="U76" s="3315"/>
      <c r="V76" s="3315"/>
      <c r="W76" s="3315"/>
      <c r="X76" s="3315"/>
      <c r="Y76" s="3315"/>
      <c r="Z76" s="3315"/>
      <c r="AA76" s="3315"/>
      <c r="AB76" s="3315"/>
      <c r="AC76" s="3315"/>
      <c r="AD76" s="3315"/>
      <c r="AE76" s="3315"/>
      <c r="AF76" s="3315"/>
      <c r="AG76" s="3316"/>
      <c r="AH76" s="3316"/>
      <c r="AI76" s="3316"/>
      <c r="AJ76" s="3316"/>
      <c r="AK76" s="3316"/>
      <c r="AL76" s="3316"/>
      <c r="AM76" s="3316"/>
      <c r="AN76" s="3316"/>
      <c r="AO76" s="3316"/>
      <c r="AP76" s="3316"/>
      <c r="AQ76" s="3316"/>
      <c r="AR76" s="3316"/>
      <c r="AS76" s="3316"/>
      <c r="AT76" s="3231"/>
      <c r="AU76" s="3231"/>
      <c r="AV76" s="3232"/>
      <c r="AW76" s="3231"/>
      <c r="AX76" s="3231"/>
      <c r="AY76" s="3231"/>
      <c r="AZ76" s="3231"/>
      <c r="BA76" s="3231"/>
      <c r="BB76" s="4874"/>
      <c r="BC76" s="3231"/>
      <c r="BD76" s="3231"/>
      <c r="BE76" s="3231"/>
      <c r="BF76" s="3302"/>
      <c r="BG76" s="3302"/>
      <c r="BH76" s="3302"/>
      <c r="BI76" s="3302"/>
      <c r="BJ76" s="3302"/>
      <c r="BK76" s="3302"/>
      <c r="BL76" s="3302"/>
      <c r="BM76" s="3302"/>
      <c r="BN76" s="3302"/>
      <c r="BO76" s="3302"/>
      <c r="BP76" s="3302"/>
    </row>
    <row r="77" spans="1:68" ht="29.25" hidden="1" customHeight="1">
      <c r="B77" s="3329" t="s">
        <v>744</v>
      </c>
      <c r="C77" s="3330"/>
      <c r="D77" s="3315"/>
      <c r="E77" s="3315"/>
      <c r="F77" s="3315"/>
      <c r="G77" s="3315"/>
      <c r="H77" s="3315"/>
      <c r="I77" s="3315"/>
      <c r="J77" s="3315"/>
      <c r="K77" s="3315"/>
      <c r="L77" s="3315"/>
      <c r="M77" s="3315"/>
      <c r="N77" s="3315"/>
      <c r="O77" s="3315"/>
      <c r="P77" s="3315"/>
      <c r="Q77" s="3315"/>
      <c r="R77" s="3315"/>
      <c r="S77" s="3315"/>
      <c r="T77" s="3315"/>
      <c r="U77" s="3315"/>
      <c r="V77" s="3315"/>
      <c r="W77" s="3315"/>
      <c r="X77" s="3315"/>
      <c r="Y77" s="3315"/>
      <c r="Z77" s="3315"/>
      <c r="AA77" s="3315"/>
      <c r="AB77" s="3315"/>
      <c r="AC77" s="3315"/>
      <c r="AD77" s="3315"/>
      <c r="AE77" s="3315"/>
      <c r="AF77" s="3315"/>
      <c r="AG77" s="3316"/>
      <c r="AH77" s="3316"/>
      <c r="AI77" s="3316"/>
      <c r="AJ77" s="3316"/>
      <c r="AK77" s="3316"/>
      <c r="AL77" s="3316"/>
      <c r="AM77" s="3316"/>
      <c r="AN77" s="3316"/>
      <c r="AO77" s="3316"/>
      <c r="AP77" s="3316"/>
      <c r="AQ77" s="3316"/>
      <c r="AR77" s="3316"/>
      <c r="AS77" s="3316"/>
      <c r="AT77" s="3231"/>
      <c r="AU77" s="3231"/>
      <c r="AV77" s="3232"/>
      <c r="AW77" s="3231"/>
      <c r="AX77" s="3231"/>
      <c r="AY77" s="3231"/>
      <c r="AZ77" s="3231"/>
      <c r="BA77" s="3231"/>
      <c r="BB77" s="4874"/>
      <c r="BC77" s="3231"/>
      <c r="BD77" s="3231"/>
      <c r="BE77" s="3231"/>
      <c r="BF77" s="3302"/>
      <c r="BG77" s="3302"/>
      <c r="BH77" s="3302"/>
      <c r="BI77" s="3302"/>
      <c r="BJ77" s="3302"/>
      <c r="BK77" s="3302"/>
      <c r="BL77" s="3302"/>
      <c r="BM77" s="3302"/>
      <c r="BN77" s="3302"/>
      <c r="BO77" s="3302"/>
      <c r="BP77" s="3302"/>
    </row>
    <row r="78" spans="1:68" ht="29.25" hidden="1" customHeight="1">
      <c r="B78" s="3329" t="s">
        <v>745</v>
      </c>
      <c r="C78" s="3330"/>
      <c r="D78" s="3315"/>
      <c r="E78" s="3315"/>
      <c r="F78" s="3315"/>
      <c r="G78" s="3315"/>
      <c r="H78" s="3315"/>
      <c r="I78" s="3315"/>
      <c r="J78" s="3315"/>
      <c r="K78" s="3315"/>
      <c r="L78" s="3315"/>
      <c r="M78" s="3315"/>
      <c r="N78" s="3315"/>
      <c r="O78" s="3315"/>
      <c r="P78" s="3315"/>
      <c r="Q78" s="3315"/>
      <c r="R78" s="3315"/>
      <c r="S78" s="3315"/>
      <c r="T78" s="3315"/>
      <c r="U78" s="3315"/>
      <c r="V78" s="3315"/>
      <c r="W78" s="3315"/>
      <c r="X78" s="3315"/>
      <c r="Y78" s="3315"/>
      <c r="Z78" s="3315"/>
      <c r="AA78" s="3315"/>
      <c r="AB78" s="3315"/>
      <c r="AC78" s="3315"/>
      <c r="AD78" s="3315"/>
      <c r="AE78" s="3315"/>
      <c r="AF78" s="3315"/>
      <c r="AG78" s="3316"/>
      <c r="AH78" s="3316"/>
      <c r="AI78" s="3316"/>
      <c r="AJ78" s="3316"/>
      <c r="AK78" s="3316"/>
      <c r="AL78" s="3316"/>
      <c r="AM78" s="3316"/>
      <c r="AN78" s="3316"/>
      <c r="AO78" s="3316"/>
      <c r="AP78" s="3316"/>
      <c r="AQ78" s="3316"/>
      <c r="AR78" s="3316"/>
      <c r="AS78" s="3316"/>
      <c r="AT78" s="3231"/>
      <c r="AU78" s="3231"/>
      <c r="AV78" s="3232"/>
      <c r="AW78" s="3231"/>
      <c r="AX78" s="3231"/>
      <c r="AY78" s="3231"/>
      <c r="AZ78" s="3231"/>
      <c r="BA78" s="3231"/>
      <c r="BB78" s="4874"/>
      <c r="BC78" s="3231"/>
      <c r="BD78" s="3231"/>
      <c r="BE78" s="3231"/>
      <c r="BF78" s="3302"/>
      <c r="BG78" s="3302"/>
      <c r="BH78" s="3302"/>
      <c r="BI78" s="3302"/>
      <c r="BJ78" s="3302"/>
      <c r="BK78" s="3302"/>
      <c r="BL78" s="3302"/>
      <c r="BM78" s="3302"/>
      <c r="BN78" s="3302"/>
      <c r="BO78" s="3302"/>
      <c r="BP78" s="3302"/>
    </row>
    <row r="79" spans="1:68" ht="14.4">
      <c r="B79" s="3318" t="s">
        <v>375</v>
      </c>
      <c r="C79" s="3236"/>
      <c r="D79" s="3319"/>
      <c r="E79" s="3319"/>
      <c r="F79" s="3319"/>
      <c r="G79" s="3319"/>
      <c r="H79" s="3319"/>
      <c r="I79" s="3319"/>
      <c r="J79" s="3319"/>
      <c r="K79" s="3319"/>
      <c r="L79" s="3319"/>
      <c r="M79" s="3319"/>
      <c r="N79" s="3319"/>
      <c r="O79" s="3319"/>
      <c r="P79" s="3319"/>
      <c r="Q79" s="3319"/>
      <c r="R79" s="3319"/>
      <c r="S79" s="3319"/>
      <c r="T79" s="3319"/>
      <c r="U79" s="3319"/>
      <c r="V79" s="3319"/>
      <c r="W79" s="3319"/>
      <c r="X79" s="3319"/>
      <c r="Y79" s="3319"/>
      <c r="Z79" s="3319"/>
      <c r="AA79" s="3319"/>
      <c r="AB79" s="3319"/>
      <c r="AC79" s="3319"/>
      <c r="AD79" s="3319"/>
      <c r="AE79" s="3319"/>
      <c r="AF79" s="3319"/>
      <c r="AG79" s="3320"/>
      <c r="AH79" s="3320"/>
      <c r="AI79" s="3320"/>
      <c r="AJ79" s="3320"/>
      <c r="AK79" s="3320"/>
      <c r="AL79" s="3320"/>
      <c r="AM79" s="3320"/>
      <c r="AN79" s="3320"/>
      <c r="AO79" s="3320"/>
      <c r="AP79" s="3320"/>
      <c r="AQ79" s="3320"/>
      <c r="AR79" s="3320"/>
      <c r="AS79" s="3320"/>
      <c r="AT79" s="3320"/>
      <c r="AU79" s="3320"/>
      <c r="AV79" s="3320"/>
      <c r="AW79" s="3320"/>
      <c r="AX79" s="3320"/>
      <c r="AY79" s="3320"/>
      <c r="AZ79" s="3320"/>
      <c r="BA79" s="3320"/>
      <c r="BB79" s="4880"/>
      <c r="BC79" s="4881"/>
      <c r="BD79" s="4881"/>
      <c r="BE79" s="4881"/>
      <c r="BF79" s="3321"/>
      <c r="BG79" s="3321"/>
      <c r="BH79" s="3321"/>
      <c r="BI79" s="3321"/>
      <c r="BJ79" s="3321"/>
      <c r="BK79" s="3321"/>
      <c r="BL79" s="3321"/>
      <c r="BM79" s="3321"/>
      <c r="BN79" s="3321"/>
      <c r="BO79" s="3321"/>
      <c r="BP79" s="3321"/>
    </row>
    <row r="80" spans="1:68" ht="29.25" customHeight="1">
      <c r="A80" s="173">
        <v>64</v>
      </c>
      <c r="B80" s="3211" t="s">
        <v>746</v>
      </c>
      <c r="C80" s="3212" t="s">
        <v>579</v>
      </c>
      <c r="D80" s="3300"/>
      <c r="E80" s="3300"/>
      <c r="F80" s="3300"/>
      <c r="G80" s="3300"/>
      <c r="H80" s="3300"/>
      <c r="I80" s="3300"/>
      <c r="J80" s="3300"/>
      <c r="K80" s="3300"/>
      <c r="L80" s="3300"/>
      <c r="M80" s="3300"/>
      <c r="N80" s="3300"/>
      <c r="O80" s="3300"/>
      <c r="P80" s="3300"/>
      <c r="Q80" s="3300"/>
      <c r="R80" s="3300"/>
      <c r="S80" s="3300"/>
      <c r="T80" s="3300"/>
      <c r="U80" s="3300"/>
      <c r="V80" s="3300"/>
      <c r="W80" s="3300"/>
      <c r="X80" s="3300"/>
      <c r="Y80" s="3300"/>
      <c r="Z80" s="3300"/>
      <c r="AA80" s="3300"/>
      <c r="AB80" s="3300"/>
      <c r="AC80" s="3233" t="s">
        <v>383</v>
      </c>
      <c r="AD80" s="3300"/>
      <c r="AE80" s="3303"/>
      <c r="AF80" s="3300"/>
      <c r="AG80" s="3231"/>
      <c r="AH80" s="3231"/>
      <c r="AI80" s="3231"/>
      <c r="AJ80" s="3231"/>
      <c r="AK80" s="3231"/>
      <c r="AL80" s="3231"/>
      <c r="AM80" s="3231"/>
      <c r="AN80" s="3231"/>
      <c r="AO80" s="3231"/>
      <c r="AP80" s="3231"/>
      <c r="AQ80" s="3231"/>
      <c r="AR80" s="3231"/>
      <c r="AS80" s="3231"/>
      <c r="AT80" s="3231"/>
      <c r="AU80" s="3231"/>
      <c r="AV80" s="3232"/>
      <c r="AW80" s="3231"/>
      <c r="AX80" s="3300"/>
      <c r="AY80" s="3233" t="s">
        <v>2637</v>
      </c>
      <c r="AZ80" s="3924"/>
      <c r="BA80" s="3924"/>
      <c r="BB80" s="4875"/>
      <c r="BC80" s="3924"/>
      <c r="BD80" s="3924"/>
      <c r="BE80" s="3924"/>
      <c r="BF80" s="3302"/>
      <c r="BG80" s="3302"/>
      <c r="BH80" s="3302">
        <v>1</v>
      </c>
      <c r="BI80" s="3302">
        <v>1</v>
      </c>
      <c r="BJ80" s="3302">
        <v>1</v>
      </c>
      <c r="BK80" s="3302">
        <v>1</v>
      </c>
      <c r="BL80" s="3302"/>
      <c r="BM80" s="3302"/>
      <c r="BN80" s="3302">
        <v>1</v>
      </c>
      <c r="BO80" s="3302">
        <v>1</v>
      </c>
      <c r="BP80" s="3302">
        <v>1</v>
      </c>
    </row>
    <row r="81" spans="1:69" ht="29.25" customHeight="1">
      <c r="A81" s="173">
        <v>65</v>
      </c>
      <c r="B81" s="3211" t="s">
        <v>747</v>
      </c>
      <c r="C81" s="3212" t="s">
        <v>393</v>
      </c>
      <c r="D81" s="3300"/>
      <c r="E81" s="3300"/>
      <c r="F81" s="3300"/>
      <c r="G81" s="3300"/>
      <c r="H81" s="3300"/>
      <c r="I81" s="3300"/>
      <c r="J81" s="3300"/>
      <c r="K81" s="3300"/>
      <c r="L81" s="3300"/>
      <c r="M81" s="3300"/>
      <c r="N81" s="3300"/>
      <c r="O81" s="3300"/>
      <c r="P81" s="3300"/>
      <c r="Q81" s="3300"/>
      <c r="R81" s="3300"/>
      <c r="S81" s="3300"/>
      <c r="T81" s="3300"/>
      <c r="U81" s="3300"/>
      <c r="V81" s="3300"/>
      <c r="W81" s="3300"/>
      <c r="X81" s="3300"/>
      <c r="Y81" s="3300"/>
      <c r="Z81" s="3300"/>
      <c r="AA81" s="3233" t="s">
        <v>236</v>
      </c>
      <c r="AB81" s="3303"/>
      <c r="AC81" s="3300"/>
      <c r="AD81" s="3300"/>
      <c r="AE81" s="3300"/>
      <c r="AF81" s="3300"/>
      <c r="AG81" s="3231"/>
      <c r="AH81" s="3231"/>
      <c r="AI81" s="3231"/>
      <c r="AJ81" s="3231"/>
      <c r="AK81" s="3231"/>
      <c r="AL81" s="3231"/>
      <c r="AM81" s="3231"/>
      <c r="AN81" s="3231"/>
      <c r="AO81" s="3231"/>
      <c r="AP81" s="3231"/>
      <c r="AQ81" s="3231"/>
      <c r="AR81" s="3231"/>
      <c r="AS81" s="3231"/>
      <c r="AT81" s="3231"/>
      <c r="AU81" s="3231"/>
      <c r="AV81" s="3232"/>
      <c r="AW81" s="3231"/>
      <c r="AX81" s="3304" t="s">
        <v>2651</v>
      </c>
      <c r="AY81" s="3300"/>
      <c r="AZ81" s="3924"/>
      <c r="BA81" s="3233" t="s">
        <v>2777</v>
      </c>
      <c r="BB81" s="4875"/>
      <c r="BC81" s="3924"/>
      <c r="BD81" s="3924"/>
      <c r="BE81" s="3924"/>
      <c r="BF81" s="3302"/>
      <c r="BG81" s="3302">
        <v>1</v>
      </c>
      <c r="BH81" s="3302">
        <v>1</v>
      </c>
      <c r="BI81" s="3302">
        <v>1</v>
      </c>
      <c r="BJ81" s="3302">
        <v>1</v>
      </c>
      <c r="BK81" s="3302"/>
      <c r="BL81" s="3302"/>
      <c r="BM81" s="3302"/>
      <c r="BN81" s="3302">
        <v>1</v>
      </c>
      <c r="BO81" s="3302">
        <v>1</v>
      </c>
      <c r="BP81" s="3302">
        <v>1</v>
      </c>
    </row>
    <row r="82" spans="1:69" ht="29.25" customHeight="1">
      <c r="A82" s="173">
        <v>66</v>
      </c>
      <c r="B82" s="3211" t="s">
        <v>748</v>
      </c>
      <c r="C82" s="3212" t="s">
        <v>663</v>
      </c>
      <c r="D82" s="3300"/>
      <c r="E82" s="3300"/>
      <c r="F82" s="3300"/>
      <c r="G82" s="3300"/>
      <c r="H82" s="3300"/>
      <c r="I82" s="3300"/>
      <c r="J82" s="3300"/>
      <c r="K82" s="3300"/>
      <c r="L82" s="3300"/>
      <c r="M82" s="3300"/>
      <c r="N82" s="3300"/>
      <c r="O82" s="3300"/>
      <c r="P82" s="3300"/>
      <c r="Q82" s="3300"/>
      <c r="R82" s="3300"/>
      <c r="S82" s="3300"/>
      <c r="T82" s="3300"/>
      <c r="U82" s="3233" t="s">
        <v>207</v>
      </c>
      <c r="V82" s="3300"/>
      <c r="W82" s="3300"/>
      <c r="X82" s="3300"/>
      <c r="Y82" s="3300"/>
      <c r="Z82" s="3300"/>
      <c r="AA82" s="3300"/>
      <c r="AB82" s="3300"/>
      <c r="AC82" s="3300"/>
      <c r="AD82" s="3300"/>
      <c r="AE82" s="3300"/>
      <c r="AF82" s="3300"/>
      <c r="AG82" s="3231"/>
      <c r="AH82" s="3231"/>
      <c r="AI82" s="3231"/>
      <c r="AJ82" s="3230" t="s">
        <v>664</v>
      </c>
      <c r="AK82" s="3231"/>
      <c r="AL82" s="3231"/>
      <c r="AM82" s="3231"/>
      <c r="AN82" s="3231"/>
      <c r="AO82" s="3231"/>
      <c r="AP82" s="3231"/>
      <c r="AQ82" s="3231"/>
      <c r="AR82" s="3231"/>
      <c r="AS82" s="3231"/>
      <c r="AT82" s="3231"/>
      <c r="AU82" s="3231"/>
      <c r="AV82" s="3232"/>
      <c r="AW82" s="3231"/>
      <c r="AX82" s="3925"/>
      <c r="AY82" s="3925"/>
      <c r="AZ82" s="3925"/>
      <c r="BA82" s="3925"/>
      <c r="BB82" s="4876"/>
      <c r="BC82" s="3925"/>
      <c r="BD82" s="3925"/>
      <c r="BE82" s="3925"/>
      <c r="BF82" s="3302">
        <v>1</v>
      </c>
      <c r="BG82" s="3302">
        <v>1</v>
      </c>
      <c r="BH82" s="3302">
        <v>1</v>
      </c>
      <c r="BI82" s="3302">
        <v>1</v>
      </c>
      <c r="BJ82" s="3302">
        <v>1</v>
      </c>
      <c r="BK82" s="3302">
        <v>1</v>
      </c>
      <c r="BL82" s="3302">
        <v>1</v>
      </c>
      <c r="BM82" s="3302">
        <v>1</v>
      </c>
      <c r="BN82" s="3302"/>
      <c r="BO82" s="3302"/>
      <c r="BP82" s="3302"/>
    </row>
    <row r="83" spans="1:69" ht="29.25" customHeight="1">
      <c r="A83" s="173">
        <v>67</v>
      </c>
      <c r="B83" s="3211" t="s">
        <v>294</v>
      </c>
      <c r="C83" s="3212" t="s">
        <v>662</v>
      </c>
      <c r="D83" s="3233" t="s">
        <v>1713</v>
      </c>
      <c r="E83" s="3300"/>
      <c r="F83" s="3300"/>
      <c r="G83" s="3300"/>
      <c r="H83" s="3300"/>
      <c r="I83" s="3300"/>
      <c r="J83" s="3300"/>
      <c r="K83" s="3300"/>
      <c r="L83" s="3300"/>
      <c r="M83" s="3300"/>
      <c r="N83" s="3300"/>
      <c r="O83" s="3300"/>
      <c r="P83" s="3300"/>
      <c r="Q83" s="3300"/>
      <c r="R83" s="3300"/>
      <c r="S83" s="3300"/>
      <c r="T83" s="3300"/>
      <c r="U83" s="3233" t="s">
        <v>207</v>
      </c>
      <c r="V83" s="3300"/>
      <c r="W83" s="3300"/>
      <c r="X83" s="3300"/>
      <c r="Y83" s="3300"/>
      <c r="Z83" s="3233" t="s">
        <v>211</v>
      </c>
      <c r="AA83" s="3300"/>
      <c r="AB83" s="3300"/>
      <c r="AC83" s="3300"/>
      <c r="AD83" s="3300"/>
      <c r="AE83" s="3300"/>
      <c r="AF83" s="3300"/>
      <c r="AG83" s="3233" t="s">
        <v>1714</v>
      </c>
      <c r="AH83" s="3231"/>
      <c r="AI83" s="3231"/>
      <c r="AJ83" s="3231"/>
      <c r="AK83" s="3231"/>
      <c r="AL83" s="3231"/>
      <c r="AM83" s="3231"/>
      <c r="AN83" s="3231"/>
      <c r="AO83" s="3231"/>
      <c r="AP83" s="3231"/>
      <c r="AQ83" s="3231"/>
      <c r="AR83" s="3231"/>
      <c r="AS83" s="3231"/>
      <c r="AT83" s="3231"/>
      <c r="AU83" s="3231"/>
      <c r="AV83" s="3232"/>
      <c r="AW83" s="3231"/>
      <c r="AX83" s="3231"/>
      <c r="AY83" s="3334" t="s">
        <v>2637</v>
      </c>
      <c r="AZ83" s="3927"/>
      <c r="BA83" s="3927"/>
      <c r="BB83" s="4883"/>
      <c r="BC83" s="3927"/>
      <c r="BD83" s="3927"/>
      <c r="BE83" s="3927"/>
      <c r="BF83" s="3302">
        <v>1</v>
      </c>
      <c r="BG83" s="3302">
        <v>1</v>
      </c>
      <c r="BH83" s="3302">
        <v>1</v>
      </c>
      <c r="BI83" s="3302">
        <v>1</v>
      </c>
      <c r="BJ83" s="3302">
        <v>1</v>
      </c>
      <c r="BK83" s="3302">
        <v>1</v>
      </c>
      <c r="BL83" s="3302">
        <v>1</v>
      </c>
      <c r="BM83" s="3302"/>
      <c r="BN83" s="3302"/>
      <c r="BO83" s="3302">
        <v>1</v>
      </c>
      <c r="BP83" s="3302">
        <v>1</v>
      </c>
    </row>
    <row r="84" spans="1:69" ht="29.25" customHeight="1">
      <c r="A84" s="173">
        <v>68</v>
      </c>
      <c r="B84" s="3211" t="s">
        <v>296</v>
      </c>
      <c r="C84" s="3212" t="s">
        <v>662</v>
      </c>
      <c r="D84" s="3233" t="s">
        <v>1713</v>
      </c>
      <c r="E84" s="3300"/>
      <c r="F84" s="3300"/>
      <c r="G84" s="3300"/>
      <c r="H84" s="3300"/>
      <c r="I84" s="3300"/>
      <c r="J84" s="3300"/>
      <c r="K84" s="3300"/>
      <c r="L84" s="3300"/>
      <c r="M84" s="3300"/>
      <c r="N84" s="3300"/>
      <c r="O84" s="3300"/>
      <c r="P84" s="3300"/>
      <c r="Q84" s="3300"/>
      <c r="R84" s="3300"/>
      <c r="S84" s="3300"/>
      <c r="T84" s="3300"/>
      <c r="U84" s="3233" t="s">
        <v>207</v>
      </c>
      <c r="V84" s="3300"/>
      <c r="W84" s="3300"/>
      <c r="X84" s="3300"/>
      <c r="Y84" s="3300"/>
      <c r="Z84" s="3233" t="s">
        <v>211</v>
      </c>
      <c r="AA84" s="3300"/>
      <c r="AB84" s="3300"/>
      <c r="AC84" s="3300"/>
      <c r="AD84" s="3300"/>
      <c r="AE84" s="3300"/>
      <c r="AF84" s="3300"/>
      <c r="AG84" s="3233" t="s">
        <v>1714</v>
      </c>
      <c r="AH84" s="3231"/>
      <c r="AI84" s="3231"/>
      <c r="AJ84" s="3231"/>
      <c r="AK84" s="3231"/>
      <c r="AL84" s="3231"/>
      <c r="AM84" s="3231"/>
      <c r="AN84" s="3231"/>
      <c r="AO84" s="3231"/>
      <c r="AP84" s="3231"/>
      <c r="AQ84" s="3231"/>
      <c r="AR84" s="3231"/>
      <c r="AS84" s="3231"/>
      <c r="AT84" s="3231"/>
      <c r="AU84" s="3231"/>
      <c r="AV84" s="3232"/>
      <c r="AW84" s="3231"/>
      <c r="AX84" s="3231"/>
      <c r="AY84" s="3334" t="s">
        <v>2637</v>
      </c>
      <c r="AZ84" s="3927"/>
      <c r="BA84" s="3927"/>
      <c r="BB84" s="4883"/>
      <c r="BC84" s="3927"/>
      <c r="BD84" s="3927"/>
      <c r="BE84" s="3927"/>
      <c r="BF84" s="3302">
        <v>1</v>
      </c>
      <c r="BG84" s="3302">
        <v>1</v>
      </c>
      <c r="BH84" s="3302">
        <v>1</v>
      </c>
      <c r="BI84" s="3302">
        <v>1</v>
      </c>
      <c r="BJ84" s="3302">
        <v>1</v>
      </c>
      <c r="BK84" s="3302">
        <v>1</v>
      </c>
      <c r="BL84" s="3302">
        <v>1</v>
      </c>
      <c r="BM84" s="3302"/>
      <c r="BN84" s="3302"/>
      <c r="BO84" s="3302">
        <v>1</v>
      </c>
      <c r="BP84" s="3302">
        <v>1</v>
      </c>
    </row>
    <row r="85" spans="1:69" ht="29.25" customHeight="1">
      <c r="A85" s="173">
        <v>69</v>
      </c>
      <c r="B85" s="3331" t="s">
        <v>1715</v>
      </c>
      <c r="C85" s="3332" t="s">
        <v>579</v>
      </c>
      <c r="D85" s="3300"/>
      <c r="E85" s="3300"/>
      <c r="F85" s="3300"/>
      <c r="G85" s="3300"/>
      <c r="H85" s="3300"/>
      <c r="I85" s="3300"/>
      <c r="J85" s="3300"/>
      <c r="K85" s="3300"/>
      <c r="L85" s="3300"/>
      <c r="M85" s="3300"/>
      <c r="N85" s="3300"/>
      <c r="O85" s="3300"/>
      <c r="P85" s="3300" t="s">
        <v>327</v>
      </c>
      <c r="Q85" s="3300"/>
      <c r="R85" s="3300"/>
      <c r="S85" s="3300"/>
      <c r="T85" s="3300"/>
      <c r="U85" s="3300"/>
      <c r="V85" s="3300"/>
      <c r="W85" s="3300"/>
      <c r="X85" s="3300"/>
      <c r="Y85" s="3300"/>
      <c r="Z85" s="3300"/>
      <c r="AA85" s="3300"/>
      <c r="AB85" s="3300"/>
      <c r="AC85" s="3304" t="s">
        <v>384</v>
      </c>
      <c r="AD85" s="3300"/>
      <c r="AE85" s="3303"/>
      <c r="AF85" s="3300"/>
      <c r="AG85" s="3231"/>
      <c r="AH85" s="3231"/>
      <c r="AI85" s="3231"/>
      <c r="AJ85" s="3231"/>
      <c r="AK85" s="3231"/>
      <c r="AL85" s="3231"/>
      <c r="AM85" s="3231"/>
      <c r="AN85" s="3231"/>
      <c r="AO85" s="3231"/>
      <c r="AP85" s="3231"/>
      <c r="AQ85" s="3231"/>
      <c r="AR85" s="3231"/>
      <c r="AS85" s="3231"/>
      <c r="AT85" s="3333" t="s">
        <v>2420</v>
      </c>
      <c r="AU85" s="3231"/>
      <c r="AV85" s="3232"/>
      <c r="AW85" s="3231"/>
      <c r="AX85" s="3231"/>
      <c r="AY85" s="3231"/>
      <c r="AZ85" s="3925"/>
      <c r="BA85" s="3925"/>
      <c r="BB85" s="4876"/>
      <c r="BC85" s="3925"/>
      <c r="BD85" s="3925"/>
      <c r="BE85" s="3925"/>
      <c r="BF85" s="3302">
        <v>1</v>
      </c>
      <c r="BG85" s="3302"/>
      <c r="BH85" s="3302">
        <v>1</v>
      </c>
      <c r="BI85" s="3302">
        <v>1</v>
      </c>
      <c r="BJ85" s="3302">
        <v>1</v>
      </c>
      <c r="BK85" s="3302">
        <v>1</v>
      </c>
      <c r="BL85" s="3302"/>
      <c r="BM85" s="3302">
        <v>1</v>
      </c>
      <c r="BN85" s="3302">
        <v>1</v>
      </c>
      <c r="BO85" s="3302">
        <v>1</v>
      </c>
      <c r="BP85" s="3302">
        <v>1</v>
      </c>
    </row>
    <row r="86" spans="1:69" ht="29.25" customHeight="1">
      <c r="A86" s="173">
        <v>70</v>
      </c>
      <c r="B86" s="3211" t="s">
        <v>481</v>
      </c>
      <c r="C86" s="3212" t="s">
        <v>579</v>
      </c>
      <c r="D86" s="3300"/>
      <c r="E86" s="3300"/>
      <c r="F86" s="3300"/>
      <c r="G86" s="3233" t="s">
        <v>235</v>
      </c>
      <c r="H86" s="3300"/>
      <c r="I86" s="3300"/>
      <c r="J86" s="3300"/>
      <c r="K86" s="3300"/>
      <c r="L86" s="3300"/>
      <c r="M86" s="3300"/>
      <c r="N86" s="3300"/>
      <c r="O86" s="3300"/>
      <c r="P86" s="3300"/>
      <c r="Q86" s="3300"/>
      <c r="R86" s="3300"/>
      <c r="S86" s="3300"/>
      <c r="T86" s="3300"/>
      <c r="U86" s="3233" t="s">
        <v>207</v>
      </c>
      <c r="V86" s="3300"/>
      <c r="W86" s="3300"/>
      <c r="X86" s="3300"/>
      <c r="Y86" s="3300"/>
      <c r="Z86" s="3233" t="s">
        <v>211</v>
      </c>
      <c r="AA86" s="3300"/>
      <c r="AB86" s="3300"/>
      <c r="AC86" s="3233" t="s">
        <v>385</v>
      </c>
      <c r="AD86" s="3300"/>
      <c r="AE86" s="3300"/>
      <c r="AF86" s="3300"/>
      <c r="AG86" s="3231"/>
      <c r="AH86" s="3231"/>
      <c r="AI86" s="3231"/>
      <c r="AJ86" s="3231"/>
      <c r="AK86" s="3231"/>
      <c r="AL86" s="3231"/>
      <c r="AM86" s="3231"/>
      <c r="AN86" s="3231"/>
      <c r="AO86" s="3231"/>
      <c r="AP86" s="3231"/>
      <c r="AQ86" s="3231"/>
      <c r="AR86" s="3231"/>
      <c r="AS86" s="3231"/>
      <c r="AT86" s="3231"/>
      <c r="AU86" s="3301" t="s">
        <v>2418</v>
      </c>
      <c r="AV86" s="3232"/>
      <c r="AW86" s="3231"/>
      <c r="AX86" s="3925"/>
      <c r="AY86" s="3925"/>
      <c r="AZ86" s="3925"/>
      <c r="BA86" s="3925"/>
      <c r="BB86" s="4876"/>
      <c r="BC86" s="3925"/>
      <c r="BD86" s="3925"/>
      <c r="BE86" s="3925"/>
      <c r="BF86" s="3302">
        <v>1</v>
      </c>
      <c r="BG86" s="3302">
        <v>1</v>
      </c>
      <c r="BH86" s="3302">
        <v>1</v>
      </c>
      <c r="BI86" s="3302">
        <v>1</v>
      </c>
      <c r="BJ86" s="3302">
        <v>1</v>
      </c>
      <c r="BK86" s="3302">
        <v>1</v>
      </c>
      <c r="BL86" s="3302"/>
      <c r="BM86" s="3302">
        <v>1</v>
      </c>
      <c r="BN86" s="3302">
        <v>1</v>
      </c>
      <c r="BO86" s="3302">
        <v>1</v>
      </c>
      <c r="BP86" s="3302">
        <v>1</v>
      </c>
    </row>
    <row r="87" spans="1:69" ht="29.25" customHeight="1">
      <c r="A87" s="173">
        <v>71</v>
      </c>
      <c r="B87" s="3211" t="s">
        <v>482</v>
      </c>
      <c r="C87" s="3212" t="s">
        <v>579</v>
      </c>
      <c r="D87" s="3300"/>
      <c r="E87" s="3300"/>
      <c r="F87" s="3300"/>
      <c r="G87" s="3233" t="s">
        <v>235</v>
      </c>
      <c r="H87" s="3300"/>
      <c r="I87" s="3300"/>
      <c r="J87" s="3300"/>
      <c r="K87" s="3300"/>
      <c r="L87" s="3300"/>
      <c r="M87" s="3300"/>
      <c r="N87" s="3300"/>
      <c r="O87" s="3300"/>
      <c r="P87" s="3300"/>
      <c r="Q87" s="3300"/>
      <c r="R87" s="3300"/>
      <c r="S87" s="3300"/>
      <c r="T87" s="3300"/>
      <c r="U87" s="3233" t="s">
        <v>207</v>
      </c>
      <c r="V87" s="3300"/>
      <c r="W87" s="3300"/>
      <c r="X87" s="3300"/>
      <c r="Y87" s="3300"/>
      <c r="Z87" s="3233" t="s">
        <v>211</v>
      </c>
      <c r="AA87" s="3300"/>
      <c r="AB87" s="3300"/>
      <c r="AC87" s="3233" t="s">
        <v>385</v>
      </c>
      <c r="AD87" s="3300"/>
      <c r="AE87" s="3300"/>
      <c r="AF87" s="3300"/>
      <c r="AG87" s="3231"/>
      <c r="AH87" s="3231"/>
      <c r="AI87" s="3231"/>
      <c r="AJ87" s="3231"/>
      <c r="AK87" s="3231"/>
      <c r="AL87" s="3231"/>
      <c r="AM87" s="3231"/>
      <c r="AN87" s="3231"/>
      <c r="AO87" s="3231"/>
      <c r="AP87" s="3231"/>
      <c r="AQ87" s="3231"/>
      <c r="AR87" s="3231"/>
      <c r="AS87" s="3231"/>
      <c r="AT87" s="3231"/>
      <c r="AU87" s="3301" t="s">
        <v>2418</v>
      </c>
      <c r="AV87" s="3232"/>
      <c r="AW87" s="3231"/>
      <c r="AX87" s="3925"/>
      <c r="AY87" s="3925"/>
      <c r="AZ87" s="3925"/>
      <c r="BA87" s="3925"/>
      <c r="BB87" s="4876"/>
      <c r="BC87" s="3925"/>
      <c r="BD87" s="3925"/>
      <c r="BE87" s="3925"/>
      <c r="BF87" s="3302">
        <v>1</v>
      </c>
      <c r="BG87" s="3302">
        <v>1</v>
      </c>
      <c r="BH87" s="3302">
        <v>1</v>
      </c>
      <c r="BI87" s="3302">
        <v>1</v>
      </c>
      <c r="BJ87" s="3302">
        <v>1</v>
      </c>
      <c r="BK87" s="3302">
        <v>1</v>
      </c>
      <c r="BL87" s="3302"/>
      <c r="BM87" s="3302">
        <v>1</v>
      </c>
      <c r="BN87" s="3302">
        <v>1</v>
      </c>
      <c r="BO87" s="3302">
        <v>1</v>
      </c>
      <c r="BP87" s="3302">
        <v>1</v>
      </c>
    </row>
    <row r="88" spans="1:69" ht="29.25" customHeight="1">
      <c r="B88" s="3211" t="s">
        <v>749</v>
      </c>
      <c r="C88" s="3323" t="s">
        <v>661</v>
      </c>
      <c r="D88" s="3300"/>
      <c r="E88" s="3300"/>
      <c r="F88" s="3300"/>
      <c r="G88" s="3300"/>
      <c r="H88" s="3300"/>
      <c r="I88" s="3300"/>
      <c r="J88" s="3300"/>
      <c r="K88" s="3300"/>
      <c r="L88" s="3300"/>
      <c r="M88" s="3300"/>
      <c r="N88" s="3300"/>
      <c r="O88" s="3300"/>
      <c r="P88" s="3300"/>
      <c r="Q88" s="3300"/>
      <c r="R88" s="3300"/>
      <c r="S88" s="3300"/>
      <c r="T88" s="3300"/>
      <c r="U88" s="3300"/>
      <c r="V88" s="3300"/>
      <c r="W88" s="3300"/>
      <c r="X88" s="3300"/>
      <c r="Y88" s="3300"/>
      <c r="Z88" s="3300"/>
      <c r="AA88" s="3300"/>
      <c r="AB88" s="3300"/>
      <c r="AC88" s="3300"/>
      <c r="AD88" s="3300"/>
      <c r="AE88" s="3300"/>
      <c r="AF88" s="3305" t="s">
        <v>554</v>
      </c>
      <c r="AG88" s="3231"/>
      <c r="AH88" s="3231"/>
      <c r="AI88" s="3231"/>
      <c r="AJ88" s="3231"/>
      <c r="AK88" s="3231"/>
      <c r="AL88" s="3231"/>
      <c r="AM88" s="3231"/>
      <c r="AN88" s="3231"/>
      <c r="AO88" s="3231"/>
      <c r="AP88" s="3231"/>
      <c r="AQ88" s="3231"/>
      <c r="AR88" s="3231"/>
      <c r="AS88" s="3231"/>
      <c r="AT88" s="3231"/>
      <c r="AU88" s="3231"/>
      <c r="AV88" s="3232"/>
      <c r="AW88" s="3231"/>
      <c r="AX88" s="3334" t="s">
        <v>2636</v>
      </c>
      <c r="AY88" s="3925"/>
      <c r="AZ88" s="3925"/>
      <c r="BA88" s="3925"/>
      <c r="BB88" s="4876"/>
      <c r="BC88" s="3925"/>
      <c r="BD88" s="3925"/>
      <c r="BE88" s="3925"/>
      <c r="BF88" s="3302"/>
      <c r="BG88" s="3302"/>
      <c r="BH88" s="3302"/>
      <c r="BI88" s="3302"/>
      <c r="BJ88" s="3302"/>
      <c r="BK88" s="3302"/>
      <c r="BL88" s="3302"/>
      <c r="BM88" s="3302"/>
      <c r="BN88" s="3302"/>
      <c r="BO88" s="3302"/>
      <c r="BP88" s="3302"/>
      <c r="BQ88" s="219" t="s">
        <v>2578</v>
      </c>
    </row>
    <row r="89" spans="1:69" ht="29.25" customHeight="1">
      <c r="B89" s="3211" t="s">
        <v>750</v>
      </c>
      <c r="C89" s="3323" t="s">
        <v>661</v>
      </c>
      <c r="D89" s="3300"/>
      <c r="E89" s="3300"/>
      <c r="F89" s="3300"/>
      <c r="G89" s="3300"/>
      <c r="H89" s="3300"/>
      <c r="I89" s="3300"/>
      <c r="J89" s="3300"/>
      <c r="K89" s="3300"/>
      <c r="L89" s="3300"/>
      <c r="M89" s="3300"/>
      <c r="N89" s="3300"/>
      <c r="O89" s="3300"/>
      <c r="P89" s="3300"/>
      <c r="Q89" s="3300"/>
      <c r="R89" s="3300"/>
      <c r="S89" s="3300"/>
      <c r="T89" s="3300"/>
      <c r="U89" s="3300"/>
      <c r="V89" s="3300"/>
      <c r="W89" s="3300"/>
      <c r="X89" s="3300"/>
      <c r="Y89" s="3300"/>
      <c r="Z89" s="3300"/>
      <c r="AA89" s="3300"/>
      <c r="AB89" s="3300"/>
      <c r="AC89" s="3300"/>
      <c r="AD89" s="3300"/>
      <c r="AE89" s="3300"/>
      <c r="AF89" s="3305" t="s">
        <v>555</v>
      </c>
      <c r="AG89" s="3231"/>
      <c r="AH89" s="3231"/>
      <c r="AI89" s="3231"/>
      <c r="AJ89" s="3231"/>
      <c r="AK89" s="3231"/>
      <c r="AL89" s="3231"/>
      <c r="AM89" s="3231"/>
      <c r="AN89" s="3231"/>
      <c r="AO89" s="3231"/>
      <c r="AP89" s="3231"/>
      <c r="AQ89" s="3231"/>
      <c r="AR89" s="3231"/>
      <c r="AS89" s="3231"/>
      <c r="AT89" s="3231"/>
      <c r="AU89" s="3231"/>
      <c r="AV89" s="3232"/>
      <c r="AW89" s="3231"/>
      <c r="AX89" s="3334" t="s">
        <v>2636</v>
      </c>
      <c r="AY89" s="3925"/>
      <c r="AZ89" s="3925"/>
      <c r="BA89" s="3925"/>
      <c r="BB89" s="4876"/>
      <c r="BC89" s="3925"/>
      <c r="BD89" s="3925"/>
      <c r="BE89" s="3925"/>
      <c r="BF89" s="3302"/>
      <c r="BG89" s="3302"/>
      <c r="BH89" s="3302"/>
      <c r="BI89" s="3302"/>
      <c r="BJ89" s="3302"/>
      <c r="BK89" s="3302"/>
      <c r="BL89" s="3302"/>
      <c r="BM89" s="3302"/>
      <c r="BN89" s="3302"/>
      <c r="BO89" s="3302"/>
      <c r="BP89" s="3302"/>
      <c r="BQ89" s="219" t="s">
        <v>2578</v>
      </c>
    </row>
    <row r="90" spans="1:69" ht="29.25" customHeight="1">
      <c r="B90" s="3211" t="s">
        <v>1917</v>
      </c>
      <c r="C90" s="3335" t="s">
        <v>1671</v>
      </c>
      <c r="D90" s="3300"/>
      <c r="E90" s="3300"/>
      <c r="F90" s="3300"/>
      <c r="G90" s="3300"/>
      <c r="H90" s="3300"/>
      <c r="I90" s="3300"/>
      <c r="J90" s="3300"/>
      <c r="K90" s="3300"/>
      <c r="L90" s="3300"/>
      <c r="M90" s="3300"/>
      <c r="N90" s="3300"/>
      <c r="O90" s="3300"/>
      <c r="P90" s="3300"/>
      <c r="Q90" s="3300"/>
      <c r="R90" s="3300"/>
      <c r="S90" s="3300"/>
      <c r="T90" s="3300"/>
      <c r="U90" s="3300"/>
      <c r="V90" s="3300"/>
      <c r="W90" s="3300"/>
      <c r="X90" s="3300"/>
      <c r="Y90" s="3300"/>
      <c r="Z90" s="3300"/>
      <c r="AA90" s="3300"/>
      <c r="AB90" s="3300"/>
      <c r="AC90" s="3300"/>
      <c r="AD90" s="3300"/>
      <c r="AE90" s="3300"/>
      <c r="AF90" s="3300"/>
      <c r="AG90" s="3231"/>
      <c r="AH90" s="3231"/>
      <c r="AI90" s="3231"/>
      <c r="AJ90" s="3231"/>
      <c r="AK90" s="3231"/>
      <c r="AL90" s="3231"/>
      <c r="AM90" s="3231"/>
      <c r="AN90" s="3231"/>
      <c r="AO90" s="3231"/>
      <c r="AP90" s="3305" t="s">
        <v>1915</v>
      </c>
      <c r="AQ90" s="3231"/>
      <c r="AR90" s="3231"/>
      <c r="AS90" s="3231"/>
      <c r="AT90" s="3231"/>
      <c r="AU90" s="3231"/>
      <c r="AV90" s="3232"/>
      <c r="AW90" s="3231"/>
      <c r="AX90" s="3925"/>
      <c r="AY90" s="3925"/>
      <c r="AZ90" s="3925"/>
      <c r="BA90" s="3925"/>
      <c r="BB90" s="4876"/>
      <c r="BC90" s="3925"/>
      <c r="BD90" s="3925"/>
      <c r="BE90" s="3925"/>
      <c r="BF90" s="3302"/>
      <c r="BG90" s="3302"/>
      <c r="BH90" s="3302"/>
      <c r="BI90" s="3302"/>
      <c r="BJ90" s="3302"/>
      <c r="BK90" s="3302"/>
      <c r="BL90" s="3302"/>
      <c r="BM90" s="3302"/>
      <c r="BN90" s="3322"/>
      <c r="BO90" s="3322"/>
      <c r="BP90" s="3322"/>
      <c r="BQ90" s="219" t="s">
        <v>2578</v>
      </c>
    </row>
    <row r="91" spans="1:69" ht="14.4">
      <c r="B91" s="3336" t="s">
        <v>376</v>
      </c>
      <c r="C91" s="3252"/>
      <c r="D91" s="3946"/>
      <c r="E91" s="3946"/>
      <c r="F91" s="3946"/>
      <c r="G91" s="3946"/>
      <c r="H91" s="3946"/>
      <c r="I91" s="3946"/>
      <c r="J91" s="3946"/>
      <c r="K91" s="3946"/>
      <c r="L91" s="3946"/>
      <c r="M91" s="3946"/>
      <c r="N91" s="3946"/>
      <c r="O91" s="3946"/>
      <c r="P91" s="3946"/>
      <c r="Q91" s="3946"/>
      <c r="R91" s="3946"/>
      <c r="S91" s="3946"/>
      <c r="T91" s="3946"/>
      <c r="U91" s="3946"/>
      <c r="V91" s="3946"/>
      <c r="W91" s="3946"/>
      <c r="X91" s="3946"/>
      <c r="Y91" s="3946"/>
      <c r="Z91" s="3946"/>
      <c r="AA91" s="3946"/>
      <c r="AB91" s="3946"/>
      <c r="AC91" s="3946"/>
      <c r="AD91" s="3946"/>
      <c r="AE91" s="3946"/>
      <c r="AF91" s="3946"/>
      <c r="AG91" s="3946"/>
      <c r="AH91" s="3946"/>
      <c r="AI91" s="3946"/>
      <c r="AJ91" s="3946"/>
      <c r="AK91" s="3946"/>
      <c r="AL91" s="3946"/>
      <c r="AM91" s="3946"/>
      <c r="AN91" s="3946"/>
      <c r="AO91" s="3946"/>
      <c r="AP91" s="3946"/>
      <c r="AQ91" s="3946"/>
      <c r="AR91" s="3946"/>
      <c r="AS91" s="3946"/>
      <c r="AT91" s="3946"/>
      <c r="AU91" s="3946"/>
      <c r="AV91" s="3946"/>
      <c r="AW91" s="3946"/>
      <c r="AX91" s="3946"/>
      <c r="AY91" s="3946"/>
      <c r="AZ91" s="3946"/>
      <c r="BA91" s="3946"/>
      <c r="BB91" s="4884"/>
      <c r="BC91" s="4885"/>
      <c r="BD91" s="4885"/>
      <c r="BE91" s="4885"/>
      <c r="BF91" s="3337"/>
      <c r="BG91" s="3337"/>
      <c r="BH91" s="3337"/>
      <c r="BI91" s="3337"/>
      <c r="BJ91" s="3337"/>
      <c r="BK91" s="3337"/>
      <c r="BL91" s="3337"/>
      <c r="BM91" s="3337"/>
      <c r="BN91" s="3337"/>
      <c r="BO91" s="3337"/>
      <c r="BP91" s="3337"/>
    </row>
    <row r="92" spans="1:69" ht="29.25" customHeight="1">
      <c r="A92" s="173">
        <v>72</v>
      </c>
      <c r="B92" s="3211" t="s">
        <v>298</v>
      </c>
      <c r="C92" s="3212" t="s">
        <v>393</v>
      </c>
      <c r="D92" s="3300"/>
      <c r="E92" s="3300"/>
      <c r="F92" s="3300"/>
      <c r="G92" s="3300"/>
      <c r="H92" s="3300"/>
      <c r="I92" s="3300"/>
      <c r="J92" s="3300"/>
      <c r="K92" s="3300"/>
      <c r="L92" s="3300"/>
      <c r="M92" s="3300"/>
      <c r="N92" s="3300"/>
      <c r="O92" s="3300"/>
      <c r="P92" s="3300"/>
      <c r="Q92" s="3300"/>
      <c r="R92" s="3300"/>
      <c r="S92" s="3300"/>
      <c r="T92" s="3300"/>
      <c r="U92" s="3300"/>
      <c r="V92" s="3300"/>
      <c r="W92" s="3300"/>
      <c r="X92" s="3300"/>
      <c r="Y92" s="3300"/>
      <c r="Z92" s="3300"/>
      <c r="AA92" s="3233" t="s">
        <v>246</v>
      </c>
      <c r="AB92" s="3303"/>
      <c r="AC92" s="3300"/>
      <c r="AD92" s="3300"/>
      <c r="AE92" s="3300"/>
      <c r="AF92" s="3300"/>
      <c r="AG92" s="3231"/>
      <c r="AH92" s="3231"/>
      <c r="AI92" s="3231"/>
      <c r="AJ92" s="3231"/>
      <c r="AK92" s="3231"/>
      <c r="AL92" s="3231"/>
      <c r="AM92" s="3231"/>
      <c r="AN92" s="3231"/>
      <c r="AO92" s="3231"/>
      <c r="AP92" s="3231"/>
      <c r="AQ92" s="3231"/>
      <c r="AR92" s="3231"/>
      <c r="AS92" s="3231"/>
      <c r="AT92" s="3231"/>
      <c r="AU92" s="3231"/>
      <c r="AV92" s="3301" t="s">
        <v>2409</v>
      </c>
      <c r="AW92" s="3300"/>
      <c r="AX92" s="3300"/>
      <c r="AY92" s="3300"/>
      <c r="AZ92" s="3300"/>
      <c r="BA92" s="3300"/>
      <c r="BB92" s="4879"/>
      <c r="BC92" s="3300"/>
      <c r="BD92" s="3300"/>
      <c r="BE92" s="3300"/>
      <c r="BF92" s="3302"/>
      <c r="BG92" s="3302">
        <v>1</v>
      </c>
      <c r="BH92" s="3302">
        <v>1</v>
      </c>
      <c r="BI92" s="3302">
        <v>1</v>
      </c>
      <c r="BJ92" s="3302">
        <v>1</v>
      </c>
      <c r="BK92" s="3302"/>
      <c r="BL92" s="3302"/>
      <c r="BM92" s="3302">
        <v>1</v>
      </c>
      <c r="BN92" s="3302">
        <v>1</v>
      </c>
      <c r="BO92" s="3302">
        <v>1</v>
      </c>
      <c r="BP92" s="3302">
        <v>1</v>
      </c>
    </row>
    <row r="93" spans="1:69" ht="29.25" customHeight="1">
      <c r="A93" s="173">
        <v>73</v>
      </c>
      <c r="B93" s="3211" t="s">
        <v>751</v>
      </c>
      <c r="C93" s="3212" t="s">
        <v>1665</v>
      </c>
      <c r="D93" s="3300"/>
      <c r="E93" s="3300"/>
      <c r="F93" s="3300"/>
      <c r="G93" s="3300"/>
      <c r="H93" s="3300"/>
      <c r="I93" s="3300"/>
      <c r="J93" s="3300"/>
      <c r="K93" s="3300"/>
      <c r="L93" s="3300"/>
      <c r="M93" s="3300"/>
      <c r="N93" s="3300"/>
      <c r="O93" s="3300"/>
      <c r="P93" s="3300"/>
      <c r="Q93" s="3300"/>
      <c r="R93" s="3300"/>
      <c r="S93" s="3300"/>
      <c r="T93" s="3300"/>
      <c r="U93" s="3300"/>
      <c r="V93" s="3300"/>
      <c r="W93" s="3300"/>
      <c r="X93" s="3300"/>
      <c r="Y93" s="3300"/>
      <c r="Z93" s="3300"/>
      <c r="AA93" s="3233" t="s">
        <v>236</v>
      </c>
      <c r="AB93" s="3300"/>
      <c r="AC93" s="3300"/>
      <c r="AD93" s="3300"/>
      <c r="AE93" s="3300"/>
      <c r="AF93" s="3300"/>
      <c r="AG93" s="3231"/>
      <c r="AH93" s="3231"/>
      <c r="AI93" s="3231"/>
      <c r="AJ93" s="3231"/>
      <c r="AK93" s="3231"/>
      <c r="AL93" s="3231"/>
      <c r="AM93" s="3233" t="s">
        <v>811</v>
      </c>
      <c r="AN93" s="3300"/>
      <c r="AO93" s="3300"/>
      <c r="AP93" s="3300"/>
      <c r="AQ93" s="3233" t="s">
        <v>1921</v>
      </c>
      <c r="AR93" s="3300"/>
      <c r="AS93" s="3300"/>
      <c r="AT93" s="3300"/>
      <c r="AU93" s="3300"/>
      <c r="AV93" s="3306"/>
      <c r="AW93" s="3300"/>
      <c r="AX93" s="3300"/>
      <c r="AY93" s="3300"/>
      <c r="AZ93" s="3300"/>
      <c r="BA93" s="3300"/>
      <c r="BB93" s="4879"/>
      <c r="BC93" s="3300"/>
      <c r="BD93" s="3300"/>
      <c r="BE93" s="3300"/>
      <c r="BF93" s="3302"/>
      <c r="BG93" s="3302">
        <v>1</v>
      </c>
      <c r="BH93" s="3302">
        <v>1</v>
      </c>
      <c r="BI93" s="3302">
        <v>1</v>
      </c>
      <c r="BJ93" s="3302">
        <v>1</v>
      </c>
      <c r="BK93" s="3302">
        <v>1</v>
      </c>
      <c r="BL93" s="3302">
        <v>1</v>
      </c>
      <c r="BM93" s="3302">
        <v>1</v>
      </c>
      <c r="BN93" s="3302">
        <v>1</v>
      </c>
      <c r="BO93" s="3302">
        <v>1</v>
      </c>
      <c r="BP93" s="3302">
        <v>1</v>
      </c>
    </row>
    <row r="94" spans="1:69" ht="29.25" customHeight="1">
      <c r="A94" s="173">
        <v>74</v>
      </c>
      <c r="B94" s="3211" t="s">
        <v>752</v>
      </c>
      <c r="C94" s="3212" t="s">
        <v>1665</v>
      </c>
      <c r="D94" s="3300"/>
      <c r="E94" s="3300"/>
      <c r="F94" s="3300"/>
      <c r="G94" s="3300"/>
      <c r="H94" s="3300"/>
      <c r="I94" s="3300"/>
      <c r="J94" s="3300"/>
      <c r="K94" s="3300"/>
      <c r="L94" s="3300"/>
      <c r="M94" s="3300"/>
      <c r="N94" s="3300"/>
      <c r="O94" s="3300"/>
      <c r="P94" s="3300"/>
      <c r="Q94" s="3300"/>
      <c r="R94" s="3300"/>
      <c r="S94" s="3300"/>
      <c r="T94" s="3300"/>
      <c r="U94" s="3300"/>
      <c r="V94" s="3300"/>
      <c r="W94" s="3300"/>
      <c r="X94" s="3300"/>
      <c r="Y94" s="3300"/>
      <c r="Z94" s="3300"/>
      <c r="AA94" s="3233" t="s">
        <v>236</v>
      </c>
      <c r="AB94" s="3300"/>
      <c r="AC94" s="3300"/>
      <c r="AD94" s="3300"/>
      <c r="AE94" s="3300"/>
      <c r="AF94" s="3300"/>
      <c r="AG94" s="3231"/>
      <c r="AH94" s="3231"/>
      <c r="AI94" s="3231"/>
      <c r="AJ94" s="3231"/>
      <c r="AK94" s="3231"/>
      <c r="AL94" s="3231"/>
      <c r="AM94" s="3233" t="s">
        <v>811</v>
      </c>
      <c r="AN94" s="3300"/>
      <c r="AO94" s="3300"/>
      <c r="AP94" s="3300"/>
      <c r="AQ94" s="3233" t="s">
        <v>1921</v>
      </c>
      <c r="AR94" s="3300"/>
      <c r="AS94" s="3300"/>
      <c r="AT94" s="3300"/>
      <c r="AU94" s="3300"/>
      <c r="AV94" s="3306"/>
      <c r="AW94" s="3300"/>
      <c r="AX94" s="3300"/>
      <c r="AY94" s="3300"/>
      <c r="AZ94" s="3300"/>
      <c r="BA94" s="3300"/>
      <c r="BB94" s="4879"/>
      <c r="BC94" s="3300"/>
      <c r="BD94" s="3300"/>
      <c r="BE94" s="3300"/>
      <c r="BF94" s="3302"/>
      <c r="BG94" s="3302">
        <v>1</v>
      </c>
      <c r="BH94" s="3302">
        <v>1</v>
      </c>
      <c r="BI94" s="3302">
        <v>1</v>
      </c>
      <c r="BJ94" s="3302">
        <v>1</v>
      </c>
      <c r="BK94" s="3302">
        <v>1</v>
      </c>
      <c r="BL94" s="3302">
        <v>1</v>
      </c>
      <c r="BM94" s="3302">
        <v>1</v>
      </c>
      <c r="BN94" s="3302">
        <v>1</v>
      </c>
      <c r="BO94" s="3302">
        <v>1</v>
      </c>
      <c r="BP94" s="3302">
        <v>1</v>
      </c>
    </row>
    <row r="95" spans="1:69" ht="29.25" customHeight="1">
      <c r="A95" s="173">
        <v>75</v>
      </c>
      <c r="B95" s="3211" t="s">
        <v>753</v>
      </c>
      <c r="C95" s="3212" t="s">
        <v>1665</v>
      </c>
      <c r="D95" s="3300"/>
      <c r="E95" s="3300"/>
      <c r="F95" s="3300"/>
      <c r="G95" s="3300"/>
      <c r="H95" s="3300"/>
      <c r="I95" s="3300"/>
      <c r="J95" s="3300"/>
      <c r="K95" s="3300"/>
      <c r="L95" s="3300"/>
      <c r="M95" s="3300"/>
      <c r="N95" s="3300"/>
      <c r="O95" s="3300"/>
      <c r="P95" s="3300"/>
      <c r="Q95" s="3300"/>
      <c r="R95" s="3300"/>
      <c r="S95" s="3300"/>
      <c r="T95" s="3300"/>
      <c r="U95" s="3300"/>
      <c r="V95" s="3300"/>
      <c r="W95" s="3300"/>
      <c r="X95" s="3300"/>
      <c r="Y95" s="3300"/>
      <c r="Z95" s="3300"/>
      <c r="AA95" s="3233" t="s">
        <v>236</v>
      </c>
      <c r="AB95" s="3300"/>
      <c r="AC95" s="3300"/>
      <c r="AD95" s="3300"/>
      <c r="AE95" s="3300"/>
      <c r="AF95" s="3300"/>
      <c r="AG95" s="3231"/>
      <c r="AH95" s="3231"/>
      <c r="AI95" s="3231"/>
      <c r="AJ95" s="3231"/>
      <c r="AK95" s="3231"/>
      <c r="AL95" s="3231"/>
      <c r="AM95" s="3233" t="s">
        <v>811</v>
      </c>
      <c r="AN95" s="3300"/>
      <c r="AO95" s="3300"/>
      <c r="AP95" s="3300"/>
      <c r="AQ95" s="3233" t="s">
        <v>1921</v>
      </c>
      <c r="AR95" s="3300"/>
      <c r="AS95" s="3300"/>
      <c r="AT95" s="3300"/>
      <c r="AU95" s="3300"/>
      <c r="AV95" s="3306"/>
      <c r="AW95" s="3300"/>
      <c r="AX95" s="3300"/>
      <c r="AY95" s="3300"/>
      <c r="AZ95" s="3300"/>
      <c r="BA95" s="3300"/>
      <c r="BB95" s="4879"/>
      <c r="BC95" s="3300"/>
      <c r="BD95" s="3300"/>
      <c r="BE95" s="3300"/>
      <c r="BF95" s="3302"/>
      <c r="BG95" s="3302">
        <v>1</v>
      </c>
      <c r="BH95" s="3302">
        <v>1</v>
      </c>
      <c r="BI95" s="3302">
        <v>1</v>
      </c>
      <c r="BJ95" s="3302">
        <v>1</v>
      </c>
      <c r="BK95" s="3302">
        <v>1</v>
      </c>
      <c r="BL95" s="3302">
        <v>1</v>
      </c>
      <c r="BM95" s="3302">
        <v>1</v>
      </c>
      <c r="BN95" s="3302">
        <v>1</v>
      </c>
      <c r="BO95" s="3302">
        <v>1</v>
      </c>
      <c r="BP95" s="3302">
        <v>1</v>
      </c>
    </row>
    <row r="96" spans="1:69" ht="29.25" customHeight="1">
      <c r="A96" s="173">
        <v>76</v>
      </c>
      <c r="B96" s="3211" t="s">
        <v>486</v>
      </c>
      <c r="C96" s="3212" t="s">
        <v>1667</v>
      </c>
      <c r="D96" s="3300"/>
      <c r="E96" s="3300"/>
      <c r="F96" s="3300"/>
      <c r="G96" s="3300"/>
      <c r="H96" s="3300"/>
      <c r="I96" s="3300"/>
      <c r="J96" s="3300"/>
      <c r="K96" s="3300"/>
      <c r="L96" s="3300"/>
      <c r="M96" s="3300"/>
      <c r="N96" s="3300"/>
      <c r="O96" s="3300"/>
      <c r="P96" s="3300"/>
      <c r="Q96" s="3233" t="s">
        <v>237</v>
      </c>
      <c r="R96" s="3300"/>
      <c r="S96" s="3300"/>
      <c r="T96" s="3300"/>
      <c r="U96" s="3300"/>
      <c r="V96" s="3300"/>
      <c r="W96" s="3300"/>
      <c r="X96" s="3300"/>
      <c r="Y96" s="3300"/>
      <c r="Z96" s="3300"/>
      <c r="AA96" s="3300"/>
      <c r="AB96" s="3300"/>
      <c r="AC96" s="3300"/>
      <c r="AD96" s="3300"/>
      <c r="AE96" s="3300"/>
      <c r="AF96" s="3300"/>
      <c r="AG96" s="3231"/>
      <c r="AH96" s="3231"/>
      <c r="AI96" s="3231"/>
      <c r="AJ96" s="3231"/>
      <c r="AK96" s="3231"/>
      <c r="AL96" s="3231"/>
      <c r="AM96" s="3231"/>
      <c r="AN96" s="3338" t="s">
        <v>1716</v>
      </c>
      <c r="AO96" s="3231"/>
      <c r="AP96" s="3231"/>
      <c r="AQ96" s="3231"/>
      <c r="AR96" s="3231"/>
      <c r="AS96" s="3231"/>
      <c r="AT96" s="3231"/>
      <c r="AU96" s="3231"/>
      <c r="AV96" s="3232"/>
      <c r="AW96" s="3231"/>
      <c r="AX96" s="3231"/>
      <c r="AY96" s="3231"/>
      <c r="AZ96" s="3231"/>
      <c r="BA96" s="3231"/>
      <c r="BB96" s="4874"/>
      <c r="BC96" s="3231"/>
      <c r="BD96" s="3231"/>
      <c r="BE96" s="3231"/>
      <c r="BF96" s="3302">
        <v>1</v>
      </c>
      <c r="BG96" s="3302">
        <v>1</v>
      </c>
      <c r="BH96" s="3302">
        <v>1</v>
      </c>
      <c r="BI96" s="3302"/>
      <c r="BJ96" s="3302"/>
      <c r="BK96" s="3302">
        <v>1</v>
      </c>
      <c r="BL96" s="3302">
        <v>1</v>
      </c>
      <c r="BM96" s="3302">
        <v>1</v>
      </c>
      <c r="BN96" s="3302">
        <v>1</v>
      </c>
      <c r="BO96" s="3302">
        <v>1</v>
      </c>
      <c r="BP96" s="3302"/>
    </row>
    <row r="97" spans="1:69" ht="29.25" customHeight="1">
      <c r="A97" s="173">
        <v>77</v>
      </c>
      <c r="B97" s="3211" t="s">
        <v>754</v>
      </c>
      <c r="C97" s="3212" t="s">
        <v>571</v>
      </c>
      <c r="D97" s="3300"/>
      <c r="E97" s="3300"/>
      <c r="F97" s="3300"/>
      <c r="G97" s="3300"/>
      <c r="H97" s="3300"/>
      <c r="I97" s="3300"/>
      <c r="J97" s="3300"/>
      <c r="K97" s="3300"/>
      <c r="L97" s="3300"/>
      <c r="M97" s="3300"/>
      <c r="N97" s="3300"/>
      <c r="O97" s="3300"/>
      <c r="P97" s="3300"/>
      <c r="Q97" s="3233" t="s">
        <v>237</v>
      </c>
      <c r="R97" s="3300"/>
      <c r="S97" s="3300"/>
      <c r="T97" s="3300"/>
      <c r="U97" s="3300"/>
      <c r="V97" s="3300"/>
      <c r="W97" s="3300"/>
      <c r="X97" s="3300"/>
      <c r="Y97" s="3300"/>
      <c r="Z97" s="3300"/>
      <c r="AA97" s="3300"/>
      <c r="AB97" s="3300"/>
      <c r="AC97" s="3300"/>
      <c r="AD97" s="3300"/>
      <c r="AE97" s="3300"/>
      <c r="AF97" s="3300"/>
      <c r="AG97" s="3231"/>
      <c r="AH97" s="3231"/>
      <c r="AI97" s="3231"/>
      <c r="AJ97" s="3231"/>
      <c r="AK97" s="3231"/>
      <c r="AL97" s="3231"/>
      <c r="AM97" s="3231"/>
      <c r="AN97" s="3231"/>
      <c r="AO97" s="3231"/>
      <c r="AP97" s="3231"/>
      <c r="AQ97" s="3231"/>
      <c r="AR97" s="3233" t="s">
        <v>1922</v>
      </c>
      <c r="AS97" s="3231"/>
      <c r="AT97" s="3231"/>
      <c r="AU97" s="3231"/>
      <c r="AV97" s="3232"/>
      <c r="AW97" s="3231"/>
      <c r="AX97" s="3231"/>
      <c r="AY97" s="3231"/>
      <c r="AZ97" s="3231"/>
      <c r="BA97" s="3231"/>
      <c r="BB97" s="4874"/>
      <c r="BC97" s="3231"/>
      <c r="BD97" s="3231"/>
      <c r="BE97" s="3231"/>
      <c r="BF97" s="3302">
        <v>1</v>
      </c>
      <c r="BG97" s="3302">
        <v>1</v>
      </c>
      <c r="BH97" s="3302">
        <v>1</v>
      </c>
      <c r="BI97" s="3302"/>
      <c r="BJ97" s="3302"/>
      <c r="BK97" s="3302"/>
      <c r="BL97" s="3302">
        <v>1</v>
      </c>
      <c r="BM97" s="3302">
        <v>1</v>
      </c>
      <c r="BN97" s="3302">
        <v>1</v>
      </c>
      <c r="BO97" s="3302">
        <v>1</v>
      </c>
      <c r="BP97" s="3302">
        <v>1</v>
      </c>
    </row>
    <row r="98" spans="1:69" ht="29.25" hidden="1" customHeight="1">
      <c r="A98" s="173">
        <v>78</v>
      </c>
      <c r="B98" s="3329" t="s">
        <v>755</v>
      </c>
      <c r="C98" s="3339" t="s">
        <v>581</v>
      </c>
      <c r="D98" s="3315"/>
      <c r="E98" s="3315"/>
      <c r="F98" s="3315"/>
      <c r="G98" s="3315"/>
      <c r="H98" s="3315"/>
      <c r="I98" s="3315"/>
      <c r="J98" s="3315"/>
      <c r="K98" s="3315"/>
      <c r="L98" s="3315"/>
      <c r="M98" s="3315"/>
      <c r="N98" s="3315"/>
      <c r="O98" s="3315"/>
      <c r="P98" s="3315"/>
      <c r="Q98" s="3233" t="s">
        <v>237</v>
      </c>
      <c r="R98" s="3315"/>
      <c r="S98" s="3315"/>
      <c r="T98" s="3315"/>
      <c r="U98" s="3315"/>
      <c r="V98" s="3315"/>
      <c r="W98" s="3315"/>
      <c r="X98" s="3315"/>
      <c r="Y98" s="3315"/>
      <c r="Z98" s="3315"/>
      <c r="AA98" s="3315"/>
      <c r="AB98" s="3315"/>
      <c r="AC98" s="3315"/>
      <c r="AD98" s="3315"/>
      <c r="AE98" s="3315"/>
      <c r="AF98" s="3340" t="s">
        <v>514</v>
      </c>
      <c r="AG98" s="3315"/>
      <c r="AH98" s="3316"/>
      <c r="AI98" s="3316"/>
      <c r="AJ98" s="3316"/>
      <c r="AK98" s="3316"/>
      <c r="AL98" s="3316"/>
      <c r="AM98" s="3316"/>
      <c r="AN98" s="3316"/>
      <c r="AO98" s="3316"/>
      <c r="AP98" s="3316"/>
      <c r="AQ98" s="3316"/>
      <c r="AR98" s="3316"/>
      <c r="AS98" s="3316"/>
      <c r="AT98" s="3231"/>
      <c r="AU98" s="3231"/>
      <c r="AV98" s="3232"/>
      <c r="AW98" s="3231"/>
      <c r="AX98" s="3231"/>
      <c r="AY98" s="3231"/>
      <c r="AZ98" s="3231"/>
      <c r="BA98" s="3231"/>
      <c r="BB98" s="4874"/>
      <c r="BC98" s="3231"/>
      <c r="BD98" s="3231"/>
      <c r="BE98" s="3231"/>
      <c r="BF98" s="3302">
        <v>1</v>
      </c>
      <c r="BG98" s="3302">
        <v>1</v>
      </c>
      <c r="BH98" s="3302"/>
      <c r="BI98" s="3302"/>
      <c r="BJ98" s="3302"/>
      <c r="BK98" s="3302"/>
      <c r="BL98" s="3302"/>
      <c r="BM98" s="3302"/>
      <c r="BN98" s="3302"/>
      <c r="BO98" s="3302"/>
      <c r="BP98" s="3302"/>
    </row>
    <row r="99" spans="1:69" ht="29.25" customHeight="1">
      <c r="A99" s="173">
        <v>78</v>
      </c>
      <c r="B99" s="3211" t="s">
        <v>299</v>
      </c>
      <c r="C99" s="3212" t="s">
        <v>581</v>
      </c>
      <c r="D99" s="3300"/>
      <c r="E99" s="3300"/>
      <c r="F99" s="3300"/>
      <c r="G99" s="3300"/>
      <c r="H99" s="3300"/>
      <c r="I99" s="3300"/>
      <c r="J99" s="3300"/>
      <c r="K99" s="3300"/>
      <c r="L99" s="3300"/>
      <c r="M99" s="3300"/>
      <c r="N99" s="3300"/>
      <c r="O99" s="3300"/>
      <c r="P99" s="3300"/>
      <c r="Q99" s="3233" t="s">
        <v>237</v>
      </c>
      <c r="R99" s="3300"/>
      <c r="S99" s="3300"/>
      <c r="T99" s="3300"/>
      <c r="U99" s="3300"/>
      <c r="V99" s="3300"/>
      <c r="W99" s="3300"/>
      <c r="X99" s="3300"/>
      <c r="Y99" s="3300"/>
      <c r="Z99" s="3300"/>
      <c r="AA99" s="3300"/>
      <c r="AB99" s="3300"/>
      <c r="AC99" s="3300"/>
      <c r="AD99" s="3300"/>
      <c r="AE99" s="3300"/>
      <c r="AF99" s="3338" t="s">
        <v>513</v>
      </c>
      <c r="AG99" s="3300"/>
      <c r="AH99" s="3231"/>
      <c r="AI99" s="3231"/>
      <c r="AJ99" s="3231"/>
      <c r="AK99" s="3231"/>
      <c r="AL99" s="3231"/>
      <c r="AM99" s="3231"/>
      <c r="AN99" s="3231"/>
      <c r="AO99" s="3231"/>
      <c r="AP99" s="3231"/>
      <c r="AQ99" s="3231"/>
      <c r="AR99" s="3231"/>
      <c r="AS99" s="3231"/>
      <c r="AT99" s="3231"/>
      <c r="AU99" s="3231"/>
      <c r="AV99" s="3232"/>
      <c r="AW99" s="3231"/>
      <c r="AX99" s="3231"/>
      <c r="AY99" s="3231"/>
      <c r="AZ99" s="3231"/>
      <c r="BA99" s="3231"/>
      <c r="BB99" s="4874"/>
      <c r="BC99" s="3231"/>
      <c r="BD99" s="3231"/>
      <c r="BE99" s="3231"/>
      <c r="BF99" s="3302">
        <v>1</v>
      </c>
      <c r="BG99" s="3302">
        <v>1</v>
      </c>
      <c r="BH99" s="3302">
        <v>1</v>
      </c>
      <c r="BI99" s="3302">
        <v>1</v>
      </c>
      <c r="BJ99" s="3302">
        <v>1</v>
      </c>
      <c r="BK99" s="3302">
        <v>1</v>
      </c>
      <c r="BL99" s="3302">
        <v>1</v>
      </c>
      <c r="BM99" s="3302">
        <v>1</v>
      </c>
      <c r="BN99" s="3302">
        <v>1</v>
      </c>
      <c r="BO99" s="3302"/>
      <c r="BP99" s="3302"/>
    </row>
    <row r="100" spans="1:69" ht="29.25" customHeight="1">
      <c r="A100" s="173">
        <v>79</v>
      </c>
      <c r="B100" s="3211" t="s">
        <v>411</v>
      </c>
      <c r="C100" s="3212" t="s">
        <v>571</v>
      </c>
      <c r="D100" s="3300"/>
      <c r="E100" s="3300"/>
      <c r="F100" s="3300"/>
      <c r="G100" s="3300"/>
      <c r="H100" s="3300"/>
      <c r="I100" s="3300"/>
      <c r="J100" s="3300"/>
      <c r="K100" s="3300"/>
      <c r="L100" s="3300"/>
      <c r="M100" s="3300"/>
      <c r="N100" s="3300"/>
      <c r="O100" s="3300"/>
      <c r="P100" s="3300"/>
      <c r="Q100" s="3233" t="s">
        <v>237</v>
      </c>
      <c r="R100" s="3300"/>
      <c r="S100" s="3300"/>
      <c r="T100" s="3300"/>
      <c r="U100" s="3300"/>
      <c r="V100" s="3300"/>
      <c r="W100" s="3300"/>
      <c r="X100" s="3300"/>
      <c r="Y100" s="3300"/>
      <c r="Z100" s="3300"/>
      <c r="AA100" s="3300"/>
      <c r="AB100" s="3300"/>
      <c r="AC100" s="3300"/>
      <c r="AD100" s="3300"/>
      <c r="AE100" s="3300"/>
      <c r="AF100" s="3300"/>
      <c r="AG100" s="3231"/>
      <c r="AH100" s="3231"/>
      <c r="AI100" s="3231"/>
      <c r="AJ100" s="3231"/>
      <c r="AK100" s="3231"/>
      <c r="AL100" s="3231"/>
      <c r="AM100" s="3231"/>
      <c r="AN100" s="3231"/>
      <c r="AO100" s="3231"/>
      <c r="AP100" s="3231"/>
      <c r="AQ100" s="3231"/>
      <c r="AR100" s="3233" t="s">
        <v>1922</v>
      </c>
      <c r="AS100" s="3231"/>
      <c r="AT100" s="3231"/>
      <c r="AU100" s="3231"/>
      <c r="AV100" s="3232"/>
      <c r="AW100" s="3231"/>
      <c r="AX100" s="3231"/>
      <c r="AY100" s="3231"/>
      <c r="AZ100" s="3231"/>
      <c r="BA100" s="3231"/>
      <c r="BB100" s="4874"/>
      <c r="BC100" s="3231"/>
      <c r="BD100" s="3231"/>
      <c r="BE100" s="3231"/>
      <c r="BF100" s="3302">
        <v>1</v>
      </c>
      <c r="BG100" s="3302">
        <v>1</v>
      </c>
      <c r="BH100" s="3302">
        <v>1</v>
      </c>
      <c r="BI100" s="3302"/>
      <c r="BJ100" s="3302"/>
      <c r="BK100" s="3302"/>
      <c r="BL100" s="3302">
        <v>1</v>
      </c>
      <c r="BM100" s="3302">
        <v>1</v>
      </c>
      <c r="BN100" s="3302">
        <v>1</v>
      </c>
      <c r="BO100" s="3302">
        <v>1</v>
      </c>
      <c r="BP100" s="3302">
        <v>1</v>
      </c>
    </row>
    <row r="101" spans="1:69" ht="29.25" customHeight="1">
      <c r="A101" s="173">
        <v>80</v>
      </c>
      <c r="B101" s="3211" t="s">
        <v>300</v>
      </c>
      <c r="C101" s="3212" t="s">
        <v>1667</v>
      </c>
      <c r="D101" s="3300"/>
      <c r="E101" s="3300"/>
      <c r="F101" s="3300"/>
      <c r="G101" s="3300"/>
      <c r="H101" s="3300"/>
      <c r="I101" s="3300"/>
      <c r="J101" s="3300"/>
      <c r="K101" s="3300"/>
      <c r="L101" s="3300"/>
      <c r="M101" s="3300"/>
      <c r="N101" s="3300"/>
      <c r="O101" s="3300"/>
      <c r="P101" s="3300"/>
      <c r="Q101" s="3233" t="s">
        <v>237</v>
      </c>
      <c r="R101" s="3300"/>
      <c r="S101" s="3300"/>
      <c r="T101" s="3300"/>
      <c r="U101" s="3300"/>
      <c r="V101" s="3300"/>
      <c r="W101" s="3300"/>
      <c r="X101" s="3300"/>
      <c r="Y101" s="3300"/>
      <c r="Z101" s="3300"/>
      <c r="AA101" s="3300"/>
      <c r="AB101" s="3300"/>
      <c r="AC101" s="3300"/>
      <c r="AD101" s="3300"/>
      <c r="AE101" s="3300"/>
      <c r="AF101" s="3300"/>
      <c r="AG101" s="3231"/>
      <c r="AH101" s="3231"/>
      <c r="AI101" s="3231"/>
      <c r="AJ101" s="3231"/>
      <c r="AK101" s="3231"/>
      <c r="AL101" s="3231"/>
      <c r="AM101" s="3231"/>
      <c r="AN101" s="3233" t="s">
        <v>1709</v>
      </c>
      <c r="AO101" s="3300"/>
      <c r="AP101" s="3300"/>
      <c r="AQ101" s="3300"/>
      <c r="AR101" s="3300"/>
      <c r="AS101" s="3300"/>
      <c r="AT101" s="3300"/>
      <c r="AU101" s="3300"/>
      <c r="AV101" s="3306"/>
      <c r="AW101" s="3300"/>
      <c r="AX101" s="3300"/>
      <c r="AY101" s="3300"/>
      <c r="AZ101" s="3300"/>
      <c r="BA101" s="3300"/>
      <c r="BB101" s="4879"/>
      <c r="BC101" s="3300"/>
      <c r="BD101" s="3300"/>
      <c r="BE101" s="3300"/>
      <c r="BF101" s="3302">
        <v>1</v>
      </c>
      <c r="BG101" s="3302">
        <v>1</v>
      </c>
      <c r="BH101" s="3302">
        <v>1</v>
      </c>
      <c r="BI101" s="3302"/>
      <c r="BJ101" s="3302"/>
      <c r="BK101" s="3302">
        <v>1</v>
      </c>
      <c r="BL101" s="3302">
        <v>1</v>
      </c>
      <c r="BM101" s="3302">
        <v>1</v>
      </c>
      <c r="BN101" s="3302">
        <v>1</v>
      </c>
      <c r="BO101" s="3302">
        <v>1</v>
      </c>
      <c r="BP101" s="3302"/>
    </row>
    <row r="102" spans="1:69" ht="29.25" customHeight="1">
      <c r="A102" s="173">
        <v>81</v>
      </c>
      <c r="B102" s="3211" t="s">
        <v>302</v>
      </c>
      <c r="C102" s="3212" t="s">
        <v>578</v>
      </c>
      <c r="D102" s="3300"/>
      <c r="E102" s="3300"/>
      <c r="F102" s="3300"/>
      <c r="G102" s="3300"/>
      <c r="H102" s="3300"/>
      <c r="I102" s="3300"/>
      <c r="J102" s="3300"/>
      <c r="K102" s="3300"/>
      <c r="L102" s="3300"/>
      <c r="M102" s="3300"/>
      <c r="N102" s="3300"/>
      <c r="O102" s="3300"/>
      <c r="P102" s="3300"/>
      <c r="Q102" s="3233" t="s">
        <v>237</v>
      </c>
      <c r="R102" s="3300"/>
      <c r="S102" s="3300"/>
      <c r="T102" s="3300"/>
      <c r="U102" s="3300"/>
      <c r="V102" s="3300"/>
      <c r="W102" s="3300"/>
      <c r="X102" s="3300"/>
      <c r="Y102" s="3300"/>
      <c r="Z102" s="3233" t="s">
        <v>211</v>
      </c>
      <c r="AA102" s="3216"/>
      <c r="AB102" s="3300"/>
      <c r="AC102" s="3300"/>
      <c r="AD102" s="3300"/>
      <c r="AE102" s="3300"/>
      <c r="AF102" s="3300"/>
      <c r="AG102" s="3231"/>
      <c r="AH102" s="3231"/>
      <c r="AI102" s="3231"/>
      <c r="AJ102" s="3231"/>
      <c r="AK102" s="3231"/>
      <c r="AL102" s="3231"/>
      <c r="AM102" s="3231"/>
      <c r="AN102" s="3231"/>
      <c r="AO102" s="3231"/>
      <c r="AP102" s="3231"/>
      <c r="AQ102" s="3231"/>
      <c r="AR102" s="3231"/>
      <c r="AS102" s="3231"/>
      <c r="AT102" s="3231"/>
      <c r="AU102" s="3231"/>
      <c r="AV102" s="3232"/>
      <c r="AW102" s="3231"/>
      <c r="AX102" s="3231"/>
      <c r="AY102" s="3231"/>
      <c r="AZ102" s="3231"/>
      <c r="BA102" s="3231"/>
      <c r="BB102" s="4874"/>
      <c r="BC102" s="3231"/>
      <c r="BD102" s="3231"/>
      <c r="BE102" s="3231"/>
      <c r="BF102" s="3302">
        <v>1</v>
      </c>
      <c r="BG102" s="3302">
        <v>1</v>
      </c>
      <c r="BH102" s="3302">
        <v>1</v>
      </c>
      <c r="BI102" s="3302">
        <v>1</v>
      </c>
      <c r="BJ102" s="3302">
        <v>1</v>
      </c>
      <c r="BK102" s="3302"/>
      <c r="BL102" s="3302"/>
      <c r="BM102" s="3302"/>
      <c r="BN102" s="3302"/>
      <c r="BO102" s="3302"/>
      <c r="BP102" s="3302"/>
    </row>
    <row r="103" spans="1:69" ht="29.25" customHeight="1">
      <c r="A103" s="173">
        <v>82</v>
      </c>
      <c r="B103" s="3211" t="s">
        <v>756</v>
      </c>
      <c r="C103" s="3302" t="s">
        <v>579</v>
      </c>
      <c r="D103" s="3300"/>
      <c r="E103" s="3300"/>
      <c r="F103" s="3300"/>
      <c r="G103" s="3300"/>
      <c r="H103" s="3300"/>
      <c r="I103" s="3300"/>
      <c r="J103" s="3300"/>
      <c r="K103" s="3300"/>
      <c r="L103" s="3300"/>
      <c r="M103" s="3300"/>
      <c r="N103" s="3300"/>
      <c r="O103" s="3300"/>
      <c r="P103" s="3300"/>
      <c r="Q103" s="3300"/>
      <c r="R103" s="3300"/>
      <c r="S103" s="3300"/>
      <c r="T103" s="3300"/>
      <c r="U103" s="3300"/>
      <c r="V103" s="3300"/>
      <c r="W103" s="3300"/>
      <c r="X103" s="3300"/>
      <c r="Y103" s="3300"/>
      <c r="Z103" s="3300"/>
      <c r="AA103" s="3300"/>
      <c r="AB103" s="3300"/>
      <c r="AC103" s="3305" t="s">
        <v>386</v>
      </c>
      <c r="AD103" s="3300"/>
      <c r="AE103" s="3303"/>
      <c r="AF103" s="3300"/>
      <c r="AG103" s="3231"/>
      <c r="AH103" s="3231"/>
      <c r="AI103" s="3231"/>
      <c r="AJ103" s="3231"/>
      <c r="AK103" s="3231"/>
      <c r="AL103" s="3231"/>
      <c r="AM103" s="3231"/>
      <c r="AN103" s="3231"/>
      <c r="AO103" s="3231"/>
      <c r="AP103" s="3231"/>
      <c r="AQ103" s="3231"/>
      <c r="AR103" s="3231"/>
      <c r="AS103" s="3231"/>
      <c r="AT103" s="3231"/>
      <c r="AU103" s="3231"/>
      <c r="AV103" s="3232"/>
      <c r="AW103" s="3231"/>
      <c r="AX103" s="3231"/>
      <c r="AY103" s="3231"/>
      <c r="AZ103" s="3231"/>
      <c r="BA103" s="3231"/>
      <c r="BB103" s="4874"/>
      <c r="BC103" s="3231"/>
      <c r="BD103" s="3231"/>
      <c r="BE103" s="3231"/>
      <c r="BF103" s="3302"/>
      <c r="BG103" s="3302"/>
      <c r="BH103" s="3302">
        <v>1</v>
      </c>
      <c r="BI103" s="3302">
        <v>1</v>
      </c>
      <c r="BJ103" s="3302">
        <v>1</v>
      </c>
      <c r="BK103" s="3302">
        <v>1</v>
      </c>
      <c r="BL103" s="3302"/>
      <c r="BM103" s="3302"/>
      <c r="BN103" s="3302"/>
      <c r="BO103" s="3302"/>
      <c r="BP103" s="3302"/>
    </row>
    <row r="104" spans="1:69" ht="29.25" customHeight="1">
      <c r="A104" s="173">
        <v>83</v>
      </c>
      <c r="B104" s="3211" t="s">
        <v>2329</v>
      </c>
      <c r="C104" s="3246" t="s">
        <v>1918</v>
      </c>
      <c r="D104" s="3300"/>
      <c r="E104" s="3300"/>
      <c r="F104" s="3300"/>
      <c r="G104" s="3300"/>
      <c r="H104" s="3300"/>
      <c r="I104" s="3300"/>
      <c r="J104" s="3300"/>
      <c r="K104" s="3300"/>
      <c r="L104" s="3300"/>
      <c r="M104" s="3300"/>
      <c r="N104" s="3300"/>
      <c r="O104" s="3300"/>
      <c r="P104" s="3300"/>
      <c r="Q104" s="3300"/>
      <c r="R104" s="3300"/>
      <c r="S104" s="3300"/>
      <c r="T104" s="3300"/>
      <c r="U104" s="3300"/>
      <c r="V104" s="3300"/>
      <c r="W104" s="3300"/>
      <c r="X104" s="3300"/>
      <c r="Y104" s="3300"/>
      <c r="Z104" s="3300"/>
      <c r="AA104" s="3300"/>
      <c r="AB104" s="3300"/>
      <c r="AC104" s="3300"/>
      <c r="AD104" s="3300"/>
      <c r="AE104" s="3300"/>
      <c r="AF104" s="3300"/>
      <c r="AG104" s="3231"/>
      <c r="AH104" s="3231"/>
      <c r="AI104" s="3231"/>
      <c r="AJ104" s="3231"/>
      <c r="AK104" s="3231"/>
      <c r="AL104" s="3231"/>
      <c r="AM104" s="3231"/>
      <c r="AN104" s="3231"/>
      <c r="AO104" s="3231"/>
      <c r="AP104" s="3231"/>
      <c r="AQ104" s="3305" t="s">
        <v>1919</v>
      </c>
      <c r="AR104" s="3231"/>
      <c r="AS104" s="3231"/>
      <c r="AT104" s="3231"/>
      <c r="AU104" s="3231"/>
      <c r="AV104" s="3232"/>
      <c r="AW104" s="3231"/>
      <c r="AX104" s="3231"/>
      <c r="AY104" s="3231"/>
      <c r="AZ104" s="3231"/>
      <c r="BA104" s="3231"/>
      <c r="BB104" s="4874"/>
      <c r="BC104" s="3231"/>
      <c r="BD104" s="3231"/>
      <c r="BE104" s="3231"/>
      <c r="BF104" s="3302"/>
      <c r="BG104" s="3302"/>
      <c r="BH104" s="3302"/>
      <c r="BI104" s="3302"/>
      <c r="BJ104" s="3302"/>
      <c r="BK104" s="3302"/>
      <c r="BL104" s="3302">
        <v>1</v>
      </c>
      <c r="BM104" s="3302">
        <v>1</v>
      </c>
      <c r="BN104" s="3302">
        <v>1</v>
      </c>
      <c r="BO104" s="3302">
        <v>1</v>
      </c>
      <c r="BP104" s="3302">
        <v>1</v>
      </c>
    </row>
    <row r="105" spans="1:69" ht="29.25" customHeight="1">
      <c r="A105" s="173">
        <v>84</v>
      </c>
      <c r="B105" s="3211" t="s">
        <v>288</v>
      </c>
      <c r="C105" s="3246" t="s">
        <v>1699</v>
      </c>
      <c r="D105" s="3300"/>
      <c r="E105" s="3300"/>
      <c r="F105" s="3300"/>
      <c r="G105" s="3300"/>
      <c r="H105" s="3300"/>
      <c r="I105" s="3300"/>
      <c r="J105" s="3300"/>
      <c r="K105" s="3300"/>
      <c r="L105" s="3300"/>
      <c r="M105" s="3300"/>
      <c r="N105" s="3300"/>
      <c r="O105" s="3300"/>
      <c r="P105" s="3300"/>
      <c r="Q105" s="3300"/>
      <c r="R105" s="3300"/>
      <c r="S105" s="3300"/>
      <c r="T105" s="3300"/>
      <c r="U105" s="3300"/>
      <c r="V105" s="3300"/>
      <c r="W105" s="3300"/>
      <c r="X105" s="3300"/>
      <c r="Y105" s="3300"/>
      <c r="Z105" s="3300"/>
      <c r="AA105" s="3300"/>
      <c r="AB105" s="3300"/>
      <c r="AC105" s="3300"/>
      <c r="AD105" s="3300"/>
      <c r="AE105" s="3300"/>
      <c r="AF105" s="3300"/>
      <c r="AG105" s="3231"/>
      <c r="AH105" s="3231"/>
      <c r="AI105" s="3231"/>
      <c r="AJ105" s="3231"/>
      <c r="AK105" s="3231"/>
      <c r="AL105" s="3231"/>
      <c r="AM105" s="3231"/>
      <c r="AN105" s="3231"/>
      <c r="AO105" s="3231"/>
      <c r="AP105" s="3231"/>
      <c r="AQ105" s="3305" t="s">
        <v>1920</v>
      </c>
      <c r="AR105" s="3231"/>
      <c r="AS105" s="3231"/>
      <c r="AT105" s="3231"/>
      <c r="AU105" s="3231"/>
      <c r="AV105" s="3232"/>
      <c r="AW105" s="3231"/>
      <c r="AX105" s="3231"/>
      <c r="AY105" s="3231"/>
      <c r="AZ105" s="3231"/>
      <c r="BA105" s="3231"/>
      <c r="BB105" s="4874"/>
      <c r="BC105" s="3231"/>
      <c r="BD105" s="3231"/>
      <c r="BE105" s="3231"/>
      <c r="BF105" s="3302"/>
      <c r="BG105" s="3302"/>
      <c r="BH105" s="3302"/>
      <c r="BI105" s="3302"/>
      <c r="BJ105" s="3302"/>
      <c r="BK105" s="3302"/>
      <c r="BL105" s="3302">
        <v>1</v>
      </c>
      <c r="BM105" s="3302">
        <v>1</v>
      </c>
      <c r="BN105" s="3302">
        <v>1</v>
      </c>
      <c r="BO105" s="3302">
        <v>1</v>
      </c>
      <c r="BP105" s="3302">
        <v>1</v>
      </c>
    </row>
    <row r="106" spans="1:69" ht="29.25" customHeight="1">
      <c r="A106" s="173">
        <v>85</v>
      </c>
      <c r="B106" s="3341" t="s">
        <v>2407</v>
      </c>
      <c r="C106" s="3246" t="s">
        <v>2408</v>
      </c>
      <c r="D106" s="3300"/>
      <c r="E106" s="3300"/>
      <c r="F106" s="3300"/>
      <c r="G106" s="3300"/>
      <c r="H106" s="3300"/>
      <c r="I106" s="3300"/>
      <c r="J106" s="3300"/>
      <c r="K106" s="3300"/>
      <c r="L106" s="3300"/>
      <c r="M106" s="3300"/>
      <c r="N106" s="3300"/>
      <c r="O106" s="3300"/>
      <c r="P106" s="3300"/>
      <c r="Q106" s="3300"/>
      <c r="R106" s="3300"/>
      <c r="S106" s="3300"/>
      <c r="T106" s="3300"/>
      <c r="U106" s="3300"/>
      <c r="V106" s="3300"/>
      <c r="W106" s="3300"/>
      <c r="X106" s="3300"/>
      <c r="Y106" s="3300"/>
      <c r="Z106" s="3300"/>
      <c r="AA106" s="3300"/>
      <c r="AB106" s="3300"/>
      <c r="AC106" s="3300"/>
      <c r="AD106" s="3300"/>
      <c r="AE106" s="3300"/>
      <c r="AF106" s="3300"/>
      <c r="AG106" s="3231"/>
      <c r="AH106" s="3231"/>
      <c r="AI106" s="3231"/>
      <c r="AJ106" s="3231"/>
      <c r="AK106" s="3231"/>
      <c r="AL106" s="3231"/>
      <c r="AM106" s="3231"/>
      <c r="AN106" s="3231"/>
      <c r="AO106" s="3231"/>
      <c r="AP106" s="3231"/>
      <c r="AQ106" s="3231"/>
      <c r="AR106" s="3231"/>
      <c r="AS106" s="3231"/>
      <c r="AT106" s="3231"/>
      <c r="AU106" s="3305" t="s">
        <v>2410</v>
      </c>
      <c r="AV106" s="3232"/>
      <c r="AW106" s="3231"/>
      <c r="AX106" s="3231"/>
      <c r="AY106" s="3231"/>
      <c r="AZ106" s="3231"/>
      <c r="BA106" s="3231"/>
      <c r="BB106" s="4874"/>
      <c r="BC106" s="3231"/>
      <c r="BD106" s="3231"/>
      <c r="BE106" s="3231"/>
      <c r="BF106" s="3302"/>
      <c r="BG106" s="3302"/>
      <c r="BH106" s="3302"/>
      <c r="BI106" s="3302"/>
      <c r="BJ106" s="3302"/>
      <c r="BK106" s="3302"/>
      <c r="BL106" s="3302"/>
      <c r="BM106" s="3302"/>
      <c r="BN106" s="3302">
        <v>1</v>
      </c>
      <c r="BO106" s="3302">
        <v>1</v>
      </c>
      <c r="BP106" s="3302">
        <v>1</v>
      </c>
      <c r="BQ106" s="219"/>
    </row>
    <row r="107" spans="1:69" ht="14.4">
      <c r="B107" s="3336" t="s">
        <v>377</v>
      </c>
      <c r="C107" s="3252"/>
      <c r="D107" s="3946"/>
      <c r="E107" s="3946"/>
      <c r="F107" s="3946"/>
      <c r="G107" s="3946"/>
      <c r="H107" s="3946"/>
      <c r="I107" s="3946"/>
      <c r="J107" s="3946"/>
      <c r="K107" s="3946"/>
      <c r="L107" s="3946"/>
      <c r="M107" s="3946"/>
      <c r="N107" s="3946"/>
      <c r="O107" s="3946"/>
      <c r="P107" s="3946"/>
      <c r="Q107" s="3946"/>
      <c r="R107" s="3946"/>
      <c r="S107" s="3946"/>
      <c r="T107" s="3946"/>
      <c r="U107" s="3946"/>
      <c r="V107" s="3946"/>
      <c r="W107" s="3946"/>
      <c r="X107" s="3946"/>
      <c r="Y107" s="3946"/>
      <c r="Z107" s="3946"/>
      <c r="AA107" s="3946"/>
      <c r="AB107" s="3946"/>
      <c r="AC107" s="3946"/>
      <c r="AD107" s="3946"/>
      <c r="AE107" s="3946"/>
      <c r="AF107" s="3946"/>
      <c r="AG107" s="3946"/>
      <c r="AH107" s="3946"/>
      <c r="AI107" s="3946"/>
      <c r="AJ107" s="3946"/>
      <c r="AK107" s="3946"/>
      <c r="AL107" s="3946"/>
      <c r="AM107" s="3946"/>
      <c r="AN107" s="3946"/>
      <c r="AO107" s="3946"/>
      <c r="AP107" s="3946"/>
      <c r="AQ107" s="3946"/>
      <c r="AR107" s="3946"/>
      <c r="AS107" s="3946"/>
      <c r="AT107" s="3946"/>
      <c r="AU107" s="3946"/>
      <c r="AV107" s="3946"/>
      <c r="AW107" s="3946"/>
      <c r="AX107" s="3946"/>
      <c r="AY107" s="3946"/>
      <c r="AZ107" s="3946"/>
      <c r="BA107" s="3946"/>
      <c r="BB107" s="4884"/>
      <c r="BC107" s="4885"/>
      <c r="BD107" s="4885"/>
      <c r="BE107" s="4885"/>
      <c r="BF107" s="3337"/>
      <c r="BG107" s="3337"/>
      <c r="BH107" s="3337"/>
      <c r="BI107" s="3337"/>
      <c r="BJ107" s="3337"/>
      <c r="BK107" s="3337"/>
      <c r="BL107" s="3337"/>
      <c r="BM107" s="3337"/>
      <c r="BN107" s="3337"/>
      <c r="BO107" s="3337"/>
      <c r="BP107" s="3337"/>
    </row>
    <row r="108" spans="1:69" ht="29.25" customHeight="1">
      <c r="A108" s="173">
        <v>86</v>
      </c>
      <c r="B108" s="3211" t="s">
        <v>757</v>
      </c>
      <c r="C108" s="3212" t="s">
        <v>568</v>
      </c>
      <c r="D108" s="3300"/>
      <c r="E108" s="3300"/>
      <c r="F108" s="3300"/>
      <c r="G108" s="3300"/>
      <c r="H108" s="3300"/>
      <c r="I108" s="3300"/>
      <c r="J108" s="3300"/>
      <c r="K108" s="3300"/>
      <c r="L108" s="3300"/>
      <c r="M108" s="3300"/>
      <c r="N108" s="3233" t="s">
        <v>206</v>
      </c>
      <c r="O108" s="3300"/>
      <c r="P108" s="3303"/>
      <c r="Q108" s="3300"/>
      <c r="R108" s="3300"/>
      <c r="S108" s="3300"/>
      <c r="T108" s="3300"/>
      <c r="U108" s="3300"/>
      <c r="V108" s="3300"/>
      <c r="W108" s="3300"/>
      <c r="X108" s="3300"/>
      <c r="Y108" s="3300"/>
      <c r="Z108" s="3300"/>
      <c r="AA108" s="3300"/>
      <c r="AB108" s="3300"/>
      <c r="AC108" s="3300"/>
      <c r="AD108" s="3300"/>
      <c r="AE108" s="3300"/>
      <c r="AF108" s="3300"/>
      <c r="AG108" s="3231"/>
      <c r="AH108" s="3231"/>
      <c r="AI108" s="3231"/>
      <c r="AJ108" s="3231"/>
      <c r="AK108" s="3231"/>
      <c r="AL108" s="3231"/>
      <c r="AM108" s="3231"/>
      <c r="AN108" s="3231"/>
      <c r="AO108" s="3231"/>
      <c r="AP108" s="3231"/>
      <c r="AQ108" s="3231"/>
      <c r="AR108" s="3231"/>
      <c r="AS108" s="3233" t="s">
        <v>1922</v>
      </c>
      <c r="AT108" s="3300"/>
      <c r="AU108" s="3300"/>
      <c r="AV108" s="3306"/>
      <c r="AW108" s="3300"/>
      <c r="AX108" s="3300"/>
      <c r="AY108" s="3300"/>
      <c r="AZ108" s="3300"/>
      <c r="BA108" s="3300"/>
      <c r="BB108" s="4879"/>
      <c r="BC108" s="3300"/>
      <c r="BD108" s="3300"/>
      <c r="BE108" s="3300"/>
      <c r="BF108" s="3302">
        <v>1</v>
      </c>
      <c r="BG108" s="3302">
        <v>1</v>
      </c>
      <c r="BH108" s="3302"/>
      <c r="BI108" s="3302"/>
      <c r="BJ108" s="3302"/>
      <c r="BK108" s="3302"/>
      <c r="BL108" s="3302">
        <v>1</v>
      </c>
      <c r="BM108" s="3302">
        <v>1</v>
      </c>
      <c r="BN108" s="3302">
        <v>1</v>
      </c>
      <c r="BO108" s="3302">
        <v>1</v>
      </c>
      <c r="BP108" s="3302">
        <v>1</v>
      </c>
    </row>
    <row r="109" spans="1:69" ht="29.25" customHeight="1">
      <c r="A109" s="173">
        <v>87</v>
      </c>
      <c r="B109" s="3211" t="s">
        <v>758</v>
      </c>
      <c r="C109" s="3212" t="s">
        <v>562</v>
      </c>
      <c r="D109" s="3300"/>
      <c r="E109" s="3300"/>
      <c r="F109" s="3300"/>
      <c r="G109" s="3300"/>
      <c r="H109" s="3300"/>
      <c r="I109" s="3233" t="s">
        <v>238</v>
      </c>
      <c r="J109" s="3303"/>
      <c r="K109" s="3300"/>
      <c r="L109" s="3300"/>
      <c r="M109" s="3300"/>
      <c r="N109" s="3300"/>
      <c r="O109" s="3300"/>
      <c r="P109" s="3300"/>
      <c r="Q109" s="3300"/>
      <c r="R109" s="3300"/>
      <c r="S109" s="3300"/>
      <c r="T109" s="3300"/>
      <c r="U109" s="3300"/>
      <c r="V109" s="3300"/>
      <c r="W109" s="3300"/>
      <c r="X109" s="3300"/>
      <c r="Y109" s="3300"/>
      <c r="Z109" s="3300"/>
      <c r="AA109" s="3300"/>
      <c r="AB109" s="3300"/>
      <c r="AC109" s="3300"/>
      <c r="AD109" s="3300"/>
      <c r="AE109" s="3300"/>
      <c r="AF109" s="3300"/>
      <c r="AG109" s="3231"/>
      <c r="AH109" s="3231"/>
      <c r="AI109" s="3231"/>
      <c r="AJ109" s="3231"/>
      <c r="AK109" s="3231"/>
      <c r="AL109" s="3231"/>
      <c r="AM109" s="3231"/>
      <c r="AN109" s="3231"/>
      <c r="AO109" s="3231"/>
      <c r="AP109" s="3231"/>
      <c r="AQ109" s="3231"/>
      <c r="AR109" s="3231"/>
      <c r="AS109" s="3231"/>
      <c r="AT109" s="3231"/>
      <c r="AU109" s="3231"/>
      <c r="AV109" s="3232"/>
      <c r="AW109" s="3231"/>
      <c r="AX109" s="3231"/>
      <c r="AY109" s="3231"/>
      <c r="AZ109" s="3231"/>
      <c r="BA109" s="3231"/>
      <c r="BB109" s="4874"/>
      <c r="BC109" s="3231"/>
      <c r="BD109" s="3231"/>
      <c r="BE109" s="3231"/>
      <c r="BF109" s="3302"/>
      <c r="BG109" s="3302"/>
      <c r="BH109" s="3302"/>
      <c r="BI109" s="3302"/>
      <c r="BJ109" s="3302"/>
      <c r="BK109" s="3302"/>
      <c r="BL109" s="3302"/>
      <c r="BM109" s="3302"/>
      <c r="BN109" s="3302"/>
      <c r="BO109" s="3302"/>
      <c r="BP109" s="3302"/>
    </row>
    <row r="110" spans="1:69" ht="29.25" customHeight="1">
      <c r="A110" s="173">
        <v>88</v>
      </c>
      <c r="B110" s="3211" t="s">
        <v>759</v>
      </c>
      <c r="C110" s="3212" t="s">
        <v>1665</v>
      </c>
      <c r="D110" s="3300"/>
      <c r="E110" s="3300"/>
      <c r="F110" s="3300"/>
      <c r="G110" s="3300"/>
      <c r="H110" s="3300"/>
      <c r="I110" s="3300"/>
      <c r="J110" s="3300"/>
      <c r="K110" s="3300"/>
      <c r="L110" s="3300"/>
      <c r="M110" s="3300"/>
      <c r="N110" s="3300"/>
      <c r="O110" s="3300"/>
      <c r="P110" s="3300"/>
      <c r="Q110" s="3300"/>
      <c r="R110" s="3300"/>
      <c r="S110" s="3300"/>
      <c r="T110" s="3300"/>
      <c r="U110" s="3300"/>
      <c r="V110" s="3300"/>
      <c r="W110" s="3300"/>
      <c r="X110" s="3300"/>
      <c r="Y110" s="3300"/>
      <c r="Z110" s="3300"/>
      <c r="AA110" s="3300"/>
      <c r="AB110" s="3300"/>
      <c r="AC110" s="3300"/>
      <c r="AD110" s="3300"/>
      <c r="AE110" s="3300"/>
      <c r="AF110" s="3300"/>
      <c r="AG110" s="3231"/>
      <c r="AH110" s="3231"/>
      <c r="AI110" s="3231"/>
      <c r="AJ110" s="3231"/>
      <c r="AK110" s="3231"/>
      <c r="AL110" s="3231"/>
      <c r="AM110" s="3233" t="s">
        <v>811</v>
      </c>
      <c r="AN110" s="3231"/>
      <c r="AO110" s="3231"/>
      <c r="AP110" s="3231"/>
      <c r="AQ110" s="3231"/>
      <c r="AR110" s="3231"/>
      <c r="AS110" s="3231"/>
      <c r="AT110" s="3231"/>
      <c r="AU110" s="3231"/>
      <c r="AV110" s="3232"/>
      <c r="AW110" s="3231"/>
      <c r="AX110" s="3231"/>
      <c r="AY110" s="3231"/>
      <c r="AZ110" s="3231"/>
      <c r="BA110" s="3231"/>
      <c r="BB110" s="4919" t="s">
        <v>2989</v>
      </c>
      <c r="BC110" s="3231"/>
      <c r="BD110" s="3231"/>
      <c r="BE110" s="3231"/>
      <c r="BF110" s="3302"/>
      <c r="BG110" s="3302"/>
      <c r="BH110" s="3302"/>
      <c r="BI110" s="3302"/>
      <c r="BJ110" s="3302">
        <v>1</v>
      </c>
      <c r="BK110" s="3302">
        <v>1</v>
      </c>
      <c r="BL110" s="3302">
        <v>1</v>
      </c>
      <c r="BM110" s="3302">
        <v>1</v>
      </c>
      <c r="BN110" s="3302">
        <v>1</v>
      </c>
      <c r="BO110" s="3302">
        <v>1</v>
      </c>
      <c r="BP110" s="3302">
        <v>1</v>
      </c>
    </row>
    <row r="111" spans="1:69" ht="29.25" customHeight="1">
      <c r="A111" s="173">
        <v>89</v>
      </c>
      <c r="B111" s="3211" t="s">
        <v>304</v>
      </c>
      <c r="C111" s="3212" t="s">
        <v>395</v>
      </c>
      <c r="D111" s="3300"/>
      <c r="E111" s="3300"/>
      <c r="F111" s="3300"/>
      <c r="G111" s="3300"/>
      <c r="H111" s="3300"/>
      <c r="I111" s="3300"/>
      <c r="J111" s="3300"/>
      <c r="K111" s="3233" t="s">
        <v>257</v>
      </c>
      <c r="L111" s="3303"/>
      <c r="M111" s="3300"/>
      <c r="N111" s="3300"/>
      <c r="O111" s="3300"/>
      <c r="P111" s="3300"/>
      <c r="Q111" s="3300"/>
      <c r="R111" s="3300"/>
      <c r="S111" s="3300"/>
      <c r="T111" s="3300"/>
      <c r="U111" s="3300"/>
      <c r="V111" s="3300"/>
      <c r="W111" s="3300"/>
      <c r="X111" s="3300"/>
      <c r="Y111" s="3300"/>
      <c r="Z111" s="3300"/>
      <c r="AA111" s="3300"/>
      <c r="AB111" s="3300"/>
      <c r="AC111" s="3233" t="s">
        <v>234</v>
      </c>
      <c r="AD111" s="3300"/>
      <c r="AE111" s="3300"/>
      <c r="AF111" s="3300"/>
      <c r="AG111" s="3231"/>
      <c r="AH111" s="3231"/>
      <c r="AI111" s="3231"/>
      <c r="AJ111" s="3231"/>
      <c r="AK111" s="3231"/>
      <c r="AL111" s="3231"/>
      <c r="AM111" s="3231"/>
      <c r="AN111" s="3231"/>
      <c r="AO111" s="3231"/>
      <c r="AP111" s="3231"/>
      <c r="AQ111" s="3231"/>
      <c r="AR111" s="3231"/>
      <c r="AS111" s="3231"/>
      <c r="AT111" s="3231"/>
      <c r="AU111" s="3231"/>
      <c r="AV111" s="3232"/>
      <c r="AW111" s="3231"/>
      <c r="AX111" s="3231"/>
      <c r="AY111" s="3231"/>
      <c r="AZ111" s="3231"/>
      <c r="BA111" s="3231"/>
      <c r="BB111" s="4874"/>
      <c r="BC111" s="3231"/>
      <c r="BD111" s="3231"/>
      <c r="BE111" s="3231"/>
      <c r="BF111" s="3302"/>
      <c r="BG111" s="3302">
        <v>1</v>
      </c>
      <c r="BH111" s="3302">
        <v>1</v>
      </c>
      <c r="BI111" s="3302">
        <v>1</v>
      </c>
      <c r="BJ111" s="3302">
        <v>1</v>
      </c>
      <c r="BK111" s="3302">
        <v>1</v>
      </c>
      <c r="BL111" s="3302"/>
      <c r="BM111" s="3302"/>
      <c r="BN111" s="3302"/>
      <c r="BO111" s="3302"/>
      <c r="BP111" s="3302"/>
    </row>
    <row r="112" spans="1:69" ht="29.25" customHeight="1">
      <c r="A112" s="173">
        <v>90</v>
      </c>
      <c r="B112" s="3211" t="s">
        <v>308</v>
      </c>
      <c r="C112" s="3212" t="s">
        <v>663</v>
      </c>
      <c r="D112" s="3300"/>
      <c r="E112" s="3300"/>
      <c r="F112" s="3342"/>
      <c r="G112" s="3300"/>
      <c r="H112" s="3300"/>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300"/>
      <c r="AD112" s="3300"/>
      <c r="AE112" s="3300"/>
      <c r="AF112" s="3300"/>
      <c r="AG112" s="3231"/>
      <c r="AH112" s="3231"/>
      <c r="AI112" s="3233" t="s">
        <v>1923</v>
      </c>
      <c r="AJ112" s="3231"/>
      <c r="AK112" s="3231"/>
      <c r="AL112" s="3231"/>
      <c r="AM112" s="3231"/>
      <c r="AN112" s="3231"/>
      <c r="AO112" s="3231"/>
      <c r="AP112" s="3231"/>
      <c r="AQ112" s="3231"/>
      <c r="AR112" s="3231"/>
      <c r="AS112" s="3231"/>
      <c r="AT112" s="3231"/>
      <c r="AU112" s="3231"/>
      <c r="AV112" s="3232"/>
      <c r="AW112" s="3231"/>
      <c r="AX112" s="3231"/>
      <c r="AY112" s="3231"/>
      <c r="AZ112" s="3231"/>
      <c r="BA112" s="3231"/>
      <c r="BB112" s="4874"/>
      <c r="BC112" s="3231"/>
      <c r="BD112" s="3231"/>
      <c r="BE112" s="3231"/>
      <c r="BF112" s="3302"/>
      <c r="BG112" s="3302"/>
      <c r="BH112" s="3302"/>
      <c r="BI112" s="3302">
        <v>1</v>
      </c>
      <c r="BJ112" s="3302">
        <v>1</v>
      </c>
      <c r="BK112" s="3302">
        <v>1</v>
      </c>
      <c r="BL112" s="3302">
        <v>1</v>
      </c>
      <c r="BM112" s="3302">
        <v>1</v>
      </c>
      <c r="BN112" s="3302"/>
      <c r="BO112" s="3302"/>
      <c r="BP112" s="3302"/>
    </row>
    <row r="113" spans="1:69" ht="29.25" customHeight="1">
      <c r="A113" s="173">
        <v>91</v>
      </c>
      <c r="B113" s="3211" t="s">
        <v>760</v>
      </c>
      <c r="C113" s="3212" t="s">
        <v>712</v>
      </c>
      <c r="D113" s="3300"/>
      <c r="E113" s="3300"/>
      <c r="F113" s="3300"/>
      <c r="G113" s="3300"/>
      <c r="H113" s="3300"/>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300"/>
      <c r="AD113" s="3300"/>
      <c r="AE113" s="3300"/>
      <c r="AF113" s="3300"/>
      <c r="AG113" s="3231"/>
      <c r="AH113" s="3231"/>
      <c r="AI113" s="3231"/>
      <c r="AJ113" s="3231"/>
      <c r="AK113" s="3231"/>
      <c r="AL113" s="3231"/>
      <c r="AM113" s="3231"/>
      <c r="AN113" s="3231"/>
      <c r="AO113" s="3231"/>
      <c r="AP113" s="3231"/>
      <c r="AQ113" s="3231"/>
      <c r="AR113" s="3231"/>
      <c r="AS113" s="3231"/>
      <c r="AT113" s="3231"/>
      <c r="AU113" s="3231"/>
      <c r="AV113" s="3232"/>
      <c r="AW113" s="3231"/>
      <c r="AX113" s="3231"/>
      <c r="AY113" s="3231"/>
      <c r="AZ113" s="3231"/>
      <c r="BA113" s="3231"/>
      <c r="BB113" s="4874"/>
      <c r="BC113" s="3231"/>
      <c r="BD113" s="3231"/>
      <c r="BE113" s="3231"/>
      <c r="BF113" s="3302"/>
      <c r="BG113" s="3302"/>
      <c r="BH113" s="3302"/>
      <c r="BI113" s="3302"/>
      <c r="BJ113" s="3302"/>
      <c r="BK113" s="3302"/>
      <c r="BL113" s="3302"/>
      <c r="BM113" s="3302"/>
      <c r="BN113" s="3302"/>
      <c r="BO113" s="3302"/>
      <c r="BP113" s="3302"/>
    </row>
    <row r="114" spans="1:69" ht="29.25" customHeight="1">
      <c r="A114" s="173">
        <v>92</v>
      </c>
      <c r="B114" s="3211" t="s">
        <v>761</v>
      </c>
      <c r="C114" s="3212" t="s">
        <v>713</v>
      </c>
      <c r="D114" s="3300"/>
      <c r="E114" s="3300"/>
      <c r="F114" s="3300"/>
      <c r="G114" s="3300"/>
      <c r="H114" s="3300"/>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300"/>
      <c r="AD114" s="3300"/>
      <c r="AE114" s="3300"/>
      <c r="AF114" s="3300"/>
      <c r="AG114" s="3231"/>
      <c r="AH114" s="3231"/>
      <c r="AI114" s="3231"/>
      <c r="AJ114" s="3231"/>
      <c r="AK114" s="3231"/>
      <c r="AL114" s="3231"/>
      <c r="AM114" s="3231"/>
      <c r="AN114" s="3231"/>
      <c r="AO114" s="3231"/>
      <c r="AP114" s="3231"/>
      <c r="AQ114" s="3231"/>
      <c r="AR114" s="3231"/>
      <c r="AS114" s="3231"/>
      <c r="AT114" s="3231"/>
      <c r="AU114" s="3231"/>
      <c r="AV114" s="3232"/>
      <c r="AW114" s="3231"/>
      <c r="AX114" s="3231"/>
      <c r="AY114" s="3231"/>
      <c r="AZ114" s="3231"/>
      <c r="BA114" s="3231"/>
      <c r="BB114" s="4874"/>
      <c r="BC114" s="3231"/>
      <c r="BD114" s="3231"/>
      <c r="BE114" s="3231"/>
      <c r="BF114" s="3302"/>
      <c r="BG114" s="3302"/>
      <c r="BH114" s="3302"/>
      <c r="BI114" s="3302"/>
      <c r="BJ114" s="3302"/>
      <c r="BK114" s="3302"/>
      <c r="BL114" s="3302"/>
      <c r="BM114" s="3302"/>
      <c r="BN114" s="3302"/>
      <c r="BO114" s="3302"/>
      <c r="BP114" s="3302"/>
    </row>
    <row r="115" spans="1:69" ht="29.25" customHeight="1">
      <c r="B115" s="3211" t="s">
        <v>762</v>
      </c>
      <c r="C115" s="3212" t="s">
        <v>714</v>
      </c>
      <c r="D115" s="3300"/>
      <c r="E115" s="3300"/>
      <c r="F115" s="3300"/>
      <c r="G115" s="3300"/>
      <c r="H115" s="3300"/>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300"/>
      <c r="AD115" s="3300"/>
      <c r="AE115" s="3300"/>
      <c r="AF115" s="3300"/>
      <c r="AG115" s="3231"/>
      <c r="AH115" s="3231"/>
      <c r="AI115" s="3231"/>
      <c r="AJ115" s="3231"/>
      <c r="AK115" s="3231"/>
      <c r="AL115" s="3231"/>
      <c r="AM115" s="3231"/>
      <c r="AN115" s="3231"/>
      <c r="AO115" s="3231"/>
      <c r="AP115" s="3231"/>
      <c r="AQ115" s="3231"/>
      <c r="AR115" s="3231"/>
      <c r="AS115" s="3231"/>
      <c r="AT115" s="3231"/>
      <c r="AU115" s="3231"/>
      <c r="AV115" s="3928" t="s">
        <v>2674</v>
      </c>
      <c r="AW115" s="3300"/>
      <c r="AX115" s="3925"/>
      <c r="AY115" s="3925"/>
      <c r="AZ115" s="3925"/>
      <c r="BA115" s="3925"/>
      <c r="BB115" s="4876"/>
      <c r="BC115" s="3925"/>
      <c r="BD115" s="3925"/>
      <c r="BE115" s="3925"/>
      <c r="BF115" s="3302"/>
      <c r="BG115" s="3302"/>
      <c r="BH115" s="3302"/>
      <c r="BI115" s="3302"/>
      <c r="BJ115" s="3302"/>
      <c r="BK115" s="3302"/>
      <c r="BL115" s="3302"/>
      <c r="BM115" s="3302"/>
      <c r="BN115" s="3302"/>
      <c r="BO115" s="3302">
        <v>1</v>
      </c>
      <c r="BP115" s="3302">
        <v>1</v>
      </c>
    </row>
    <row r="116" spans="1:69" ht="29.25" customHeight="1">
      <c r="A116" s="173">
        <v>93</v>
      </c>
      <c r="B116" s="3211" t="s">
        <v>763</v>
      </c>
      <c r="C116" s="3212" t="s">
        <v>714</v>
      </c>
      <c r="D116" s="3300"/>
      <c r="E116" s="3300"/>
      <c r="F116" s="3300"/>
      <c r="G116" s="3300"/>
      <c r="H116" s="3300"/>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300"/>
      <c r="AD116" s="3300"/>
      <c r="AE116" s="3300"/>
      <c r="AF116" s="3300"/>
      <c r="AG116" s="3231"/>
      <c r="AH116" s="3231"/>
      <c r="AI116" s="3231"/>
      <c r="AJ116" s="3231"/>
      <c r="AK116" s="3231"/>
      <c r="AL116" s="3231"/>
      <c r="AM116" s="3231"/>
      <c r="AN116" s="3231"/>
      <c r="AO116" s="3231"/>
      <c r="AP116" s="3231"/>
      <c r="AQ116" s="3231"/>
      <c r="AR116" s="3231"/>
      <c r="AS116" s="3231"/>
      <c r="AT116" s="3231"/>
      <c r="AU116" s="3231"/>
      <c r="AV116" s="3929" t="s">
        <v>2780</v>
      </c>
      <c r="AW116" s="3925"/>
      <c r="AX116" s="3925"/>
      <c r="AY116" s="3925"/>
      <c r="AZ116" s="3925"/>
      <c r="BA116" s="3925"/>
      <c r="BB116" s="4876"/>
      <c r="BC116" s="3925"/>
      <c r="BD116" s="3925"/>
      <c r="BE116" s="3925"/>
      <c r="BF116" s="3302"/>
      <c r="BG116" s="3302"/>
      <c r="BH116" s="3302"/>
      <c r="BI116" s="3302"/>
      <c r="BJ116" s="3302"/>
      <c r="BK116" s="3302"/>
      <c r="BL116" s="3302"/>
      <c r="BM116" s="3302"/>
      <c r="BN116" s="3302"/>
      <c r="BO116" s="3302">
        <v>1</v>
      </c>
      <c r="BP116" s="3302">
        <v>1</v>
      </c>
    </row>
    <row r="117" spans="1:69" ht="29.25" hidden="1" customHeight="1">
      <c r="A117" s="173">
        <v>93</v>
      </c>
      <c r="B117" s="3343" t="s">
        <v>764</v>
      </c>
      <c r="C117" s="3212" t="s">
        <v>1664</v>
      </c>
      <c r="D117" s="3300"/>
      <c r="E117" s="3300"/>
      <c r="F117" s="3300"/>
      <c r="G117" s="3300"/>
      <c r="H117" s="3300"/>
      <c r="I117" s="3300"/>
      <c r="J117" s="3300"/>
      <c r="K117" s="3300"/>
      <c r="L117" s="3300"/>
      <c r="M117" s="3300"/>
      <c r="N117" s="3300"/>
      <c r="O117" s="3300"/>
      <c r="P117" s="3300"/>
      <c r="Q117" s="3300"/>
      <c r="R117" s="3300"/>
      <c r="S117" s="3300"/>
      <c r="T117" s="3305" t="s">
        <v>387</v>
      </c>
      <c r="U117" s="3300"/>
      <c r="V117" s="3300"/>
      <c r="W117" s="3300"/>
      <c r="X117" s="3300"/>
      <c r="Y117" s="3300"/>
      <c r="Z117" s="3300"/>
      <c r="AA117" s="3300"/>
      <c r="AB117" s="3300"/>
      <c r="AC117" s="3300"/>
      <c r="AD117" s="3300"/>
      <c r="AE117" s="3300"/>
      <c r="AF117" s="3300"/>
      <c r="AG117" s="3231"/>
      <c r="AH117" s="3231"/>
      <c r="AI117" s="3231"/>
      <c r="AJ117" s="3231"/>
      <c r="AK117" s="3231"/>
      <c r="AL117" s="3231"/>
      <c r="AM117" s="3338" t="s">
        <v>812</v>
      </c>
      <c r="AN117" s="3231"/>
      <c r="AO117" s="3231"/>
      <c r="AP117" s="3231"/>
      <c r="AQ117" s="3231"/>
      <c r="AR117" s="3231"/>
      <c r="AS117" s="3231"/>
      <c r="AT117" s="3231"/>
      <c r="AU117" s="3231"/>
      <c r="AV117" s="3925"/>
      <c r="AW117" s="3925"/>
      <c r="AX117" s="3925"/>
      <c r="AY117" s="3925"/>
      <c r="AZ117" s="3925"/>
      <c r="BA117" s="3925"/>
      <c r="BB117" s="4876"/>
      <c r="BC117" s="3925"/>
      <c r="BD117" s="3925"/>
      <c r="BE117" s="3925"/>
      <c r="BF117" s="3302">
        <v>1</v>
      </c>
      <c r="BG117" s="3302">
        <v>1</v>
      </c>
      <c r="BH117" s="3302">
        <v>1</v>
      </c>
      <c r="BI117" s="3302">
        <v>1</v>
      </c>
      <c r="BJ117" s="3302">
        <v>1</v>
      </c>
      <c r="BK117" s="3302">
        <v>1</v>
      </c>
      <c r="BL117" s="3302">
        <v>1</v>
      </c>
      <c r="BM117" s="3302"/>
      <c r="BN117" s="3302"/>
      <c r="BO117" s="3302"/>
      <c r="BP117" s="3302"/>
    </row>
    <row r="118" spans="1:69" ht="29.25" customHeight="1">
      <c r="A118" s="173">
        <v>94</v>
      </c>
      <c r="B118" s="3211" t="s">
        <v>765</v>
      </c>
      <c r="C118" s="3212" t="s">
        <v>1664</v>
      </c>
      <c r="D118" s="3300"/>
      <c r="E118" s="3300"/>
      <c r="F118" s="3300"/>
      <c r="G118" s="3300"/>
      <c r="H118" s="3300"/>
      <c r="I118" s="3300"/>
      <c r="J118" s="3300"/>
      <c r="K118" s="3300"/>
      <c r="L118" s="3300"/>
      <c r="M118" s="3300"/>
      <c r="N118" s="3300"/>
      <c r="O118" s="3300"/>
      <c r="P118" s="3300"/>
      <c r="Q118" s="3300"/>
      <c r="R118" s="3300"/>
      <c r="S118" s="3300"/>
      <c r="T118" s="3305" t="s">
        <v>387</v>
      </c>
      <c r="U118" s="3300"/>
      <c r="V118" s="3300"/>
      <c r="W118" s="3300"/>
      <c r="X118" s="3300"/>
      <c r="Y118" s="3300"/>
      <c r="Z118" s="3300"/>
      <c r="AA118" s="3300"/>
      <c r="AB118" s="3300"/>
      <c r="AC118" s="3300"/>
      <c r="AD118" s="3300"/>
      <c r="AE118" s="3300"/>
      <c r="AF118" s="3300"/>
      <c r="AG118" s="3231"/>
      <c r="AH118" s="3231"/>
      <c r="AI118" s="3231"/>
      <c r="AJ118" s="3231"/>
      <c r="AK118" s="3231"/>
      <c r="AL118" s="3231"/>
      <c r="AM118" s="3338" t="s">
        <v>812</v>
      </c>
      <c r="AN118" s="3231"/>
      <c r="AO118" s="3231"/>
      <c r="AP118" s="3231"/>
      <c r="AQ118" s="3231"/>
      <c r="AR118" s="3231"/>
      <c r="AS118" s="3231"/>
      <c r="AT118" s="3231"/>
      <c r="AU118" s="3231"/>
      <c r="AV118" s="3925"/>
      <c r="AW118" s="3925"/>
      <c r="AX118" s="3925"/>
      <c r="AY118" s="3925"/>
      <c r="AZ118" s="3230" t="s">
        <v>2776</v>
      </c>
      <c r="BA118" s="3925"/>
      <c r="BB118" s="4876"/>
      <c r="BC118" s="3925"/>
      <c r="BD118" s="3925"/>
      <c r="BE118" s="3925"/>
      <c r="BF118" s="3302">
        <v>1</v>
      </c>
      <c r="BG118" s="3302">
        <v>1</v>
      </c>
      <c r="BH118" s="3302">
        <v>1</v>
      </c>
      <c r="BI118" s="3302">
        <v>1</v>
      </c>
      <c r="BJ118" s="3302">
        <v>1</v>
      </c>
      <c r="BK118" s="3302">
        <v>1</v>
      </c>
      <c r="BL118" s="3302">
        <v>1</v>
      </c>
      <c r="BM118" s="3302">
        <v>1</v>
      </c>
      <c r="BN118" s="3302">
        <v>1</v>
      </c>
      <c r="BO118" s="3302">
        <v>1</v>
      </c>
      <c r="BP118" s="3302">
        <v>1</v>
      </c>
    </row>
    <row r="119" spans="1:69" ht="29.25" customHeight="1">
      <c r="A119" s="173">
        <v>95</v>
      </c>
      <c r="B119" s="3211" t="s">
        <v>766</v>
      </c>
      <c r="C119" s="3212" t="s">
        <v>661</v>
      </c>
      <c r="D119" s="3300"/>
      <c r="E119" s="3300"/>
      <c r="F119" s="3300"/>
      <c r="G119" s="3300"/>
      <c r="H119" s="3300"/>
      <c r="I119" s="3300"/>
      <c r="J119" s="3300"/>
      <c r="K119" s="3300"/>
      <c r="L119" s="3300"/>
      <c r="M119" s="3300"/>
      <c r="N119" s="3300"/>
      <c r="O119" s="3300"/>
      <c r="P119" s="3300"/>
      <c r="Q119" s="3300"/>
      <c r="R119" s="3300"/>
      <c r="S119" s="3300"/>
      <c r="T119" s="3300"/>
      <c r="U119" s="3300"/>
      <c r="V119" s="3300"/>
      <c r="W119" s="3300"/>
      <c r="X119" s="3300"/>
      <c r="Y119" s="3300"/>
      <c r="Z119" s="3300"/>
      <c r="AA119" s="3300"/>
      <c r="AB119" s="3300"/>
      <c r="AC119" s="3300"/>
      <c r="AD119" s="3300"/>
      <c r="AE119" s="3300"/>
      <c r="AF119" s="3305" t="s">
        <v>556</v>
      </c>
      <c r="AG119" s="3231"/>
      <c r="AH119" s="3231"/>
      <c r="AI119" s="3231"/>
      <c r="AJ119" s="3231"/>
      <c r="AK119" s="3231"/>
      <c r="AL119" s="3231"/>
      <c r="AM119" s="3231"/>
      <c r="AN119" s="3231"/>
      <c r="AO119" s="3231"/>
      <c r="AP119" s="3231"/>
      <c r="AQ119" s="3231"/>
      <c r="AR119" s="3231"/>
      <c r="AS119" s="3231"/>
      <c r="AT119" s="3231"/>
      <c r="AU119" s="3231"/>
      <c r="AV119" s="3925"/>
      <c r="AW119" s="3925"/>
      <c r="AX119" s="3230" t="s">
        <v>2636</v>
      </c>
      <c r="AY119" s="3925"/>
      <c r="AZ119" s="3925"/>
      <c r="BA119" s="3925"/>
      <c r="BB119" s="4876"/>
      <c r="BC119" s="3925"/>
      <c r="BD119" s="4915" t="s">
        <v>2990</v>
      </c>
      <c r="BE119" s="3925"/>
      <c r="BF119" s="3302"/>
      <c r="BG119" s="3302"/>
      <c r="BH119" s="3302">
        <v>1</v>
      </c>
      <c r="BI119" s="3302">
        <v>1</v>
      </c>
      <c r="BJ119" s="3302">
        <v>1</v>
      </c>
      <c r="BK119" s="3302">
        <v>1</v>
      </c>
      <c r="BL119" s="3302">
        <v>1</v>
      </c>
      <c r="BM119" s="3302"/>
      <c r="BN119" s="3302">
        <v>1</v>
      </c>
      <c r="BO119" s="3302">
        <v>1</v>
      </c>
      <c r="BP119" s="3302">
        <v>1</v>
      </c>
    </row>
    <row r="120" spans="1:69" ht="29.25" customHeight="1">
      <c r="A120" s="173">
        <v>96</v>
      </c>
      <c r="B120" s="3211" t="s">
        <v>767</v>
      </c>
      <c r="C120" s="3212"/>
      <c r="D120" s="3300"/>
      <c r="E120" s="3300"/>
      <c r="F120" s="3300"/>
      <c r="G120" s="3300"/>
      <c r="H120" s="3300"/>
      <c r="I120" s="3300"/>
      <c r="J120" s="3300"/>
      <c r="K120" s="3300"/>
      <c r="L120" s="3300"/>
      <c r="M120" s="3300"/>
      <c r="N120" s="3300"/>
      <c r="O120" s="3300"/>
      <c r="P120" s="3300"/>
      <c r="Q120" s="3300"/>
      <c r="R120" s="3300"/>
      <c r="S120" s="3300"/>
      <c r="T120" s="3300"/>
      <c r="U120" s="3300"/>
      <c r="V120" s="3300"/>
      <c r="W120" s="3300"/>
      <c r="X120" s="3300"/>
      <c r="Y120" s="3300"/>
      <c r="Z120" s="3300"/>
      <c r="AA120" s="3300"/>
      <c r="AB120" s="3300"/>
      <c r="AC120" s="3300"/>
      <c r="AD120" s="3300"/>
      <c r="AE120" s="3300"/>
      <c r="AF120" s="3300"/>
      <c r="AG120" s="3231"/>
      <c r="AH120" s="3231"/>
      <c r="AI120" s="3231"/>
      <c r="AJ120" s="3305" t="s">
        <v>667</v>
      </c>
      <c r="AK120" s="3300"/>
      <c r="AL120" s="3300"/>
      <c r="AM120" s="3300"/>
      <c r="AN120" s="3300"/>
      <c r="AO120" s="3300"/>
      <c r="AP120" s="3300"/>
      <c r="AQ120" s="3300"/>
      <c r="AR120" s="3300"/>
      <c r="AS120" s="3300"/>
      <c r="AT120" s="3300"/>
      <c r="AU120" s="3300"/>
      <c r="AV120" s="3924"/>
      <c r="AW120" s="3924"/>
      <c r="AX120" s="3924"/>
      <c r="AY120" s="3924"/>
      <c r="AZ120" s="3924"/>
      <c r="BA120" s="3924"/>
      <c r="BB120" s="4875"/>
      <c r="BC120" s="3924"/>
      <c r="BD120" s="3924"/>
      <c r="BE120" s="3924"/>
      <c r="BF120" s="3302"/>
      <c r="BG120" s="3302"/>
      <c r="BH120" s="3302"/>
      <c r="BI120" s="3302">
        <v>1</v>
      </c>
      <c r="BJ120" s="3302">
        <v>1</v>
      </c>
      <c r="BK120" s="3302">
        <v>1</v>
      </c>
      <c r="BL120" s="3302">
        <v>1</v>
      </c>
      <c r="BM120" s="3302">
        <v>1</v>
      </c>
      <c r="BN120" s="3302"/>
      <c r="BO120" s="3302"/>
      <c r="BP120" s="3302"/>
    </row>
    <row r="121" spans="1:69" ht="29.25" customHeight="1">
      <c r="A121" s="173">
        <v>97</v>
      </c>
      <c r="B121" s="3211" t="s">
        <v>2411</v>
      </c>
      <c r="C121" s="3246" t="s">
        <v>2396</v>
      </c>
      <c r="D121" s="3300"/>
      <c r="E121" s="3300"/>
      <c r="F121" s="3300"/>
      <c r="G121" s="3300"/>
      <c r="H121" s="3300"/>
      <c r="I121" s="3300"/>
      <c r="J121" s="3300"/>
      <c r="K121" s="3300"/>
      <c r="L121" s="3300"/>
      <c r="M121" s="3300"/>
      <c r="N121" s="3300"/>
      <c r="O121" s="3300"/>
      <c r="P121" s="3300"/>
      <c r="Q121" s="3300"/>
      <c r="R121" s="3300"/>
      <c r="S121" s="3300"/>
      <c r="T121" s="3300"/>
      <c r="U121" s="3300"/>
      <c r="V121" s="3300"/>
      <c r="W121" s="3300"/>
      <c r="X121" s="3300"/>
      <c r="Y121" s="3300"/>
      <c r="Z121" s="3300"/>
      <c r="AA121" s="3300"/>
      <c r="AB121" s="3300"/>
      <c r="AC121" s="3300"/>
      <c r="AD121" s="3300"/>
      <c r="AE121" s="3300"/>
      <c r="AF121" s="3300"/>
      <c r="AG121" s="3231"/>
      <c r="AH121" s="3231"/>
      <c r="AI121" s="3231"/>
      <c r="AJ121" s="3231"/>
      <c r="AK121" s="3300"/>
      <c r="AL121" s="3300"/>
      <c r="AM121" s="3300"/>
      <c r="AN121" s="3300"/>
      <c r="AO121" s="3300"/>
      <c r="AP121" s="3300"/>
      <c r="AQ121" s="3300"/>
      <c r="AR121" s="3300"/>
      <c r="AS121" s="3300"/>
      <c r="AT121" s="3300"/>
      <c r="AU121" s="3300"/>
      <c r="AV121" s="3930" t="s">
        <v>2412</v>
      </c>
      <c r="AW121" s="3947"/>
      <c r="AX121" s="3947"/>
      <c r="AY121" s="3947"/>
      <c r="AZ121" s="3947"/>
      <c r="BA121" s="3947"/>
      <c r="BB121" s="4886"/>
      <c r="BC121" s="3947"/>
      <c r="BD121" s="3947"/>
      <c r="BE121" s="3947"/>
      <c r="BF121" s="3302"/>
      <c r="BG121" s="3302"/>
      <c r="BH121" s="3302"/>
      <c r="BI121" s="3302"/>
      <c r="BJ121" s="3302"/>
      <c r="BK121" s="3302"/>
      <c r="BL121" s="3302"/>
      <c r="BM121" s="3302"/>
      <c r="BN121" s="3302">
        <v>1</v>
      </c>
      <c r="BO121" s="3302">
        <v>1</v>
      </c>
      <c r="BP121" s="3302">
        <v>1</v>
      </c>
      <c r="BQ121" s="219"/>
    </row>
    <row r="122" spans="1:69" ht="14.4">
      <c r="B122" s="3336" t="s">
        <v>378</v>
      </c>
      <c r="C122" s="3252"/>
      <c r="D122" s="3946"/>
      <c r="E122" s="3946"/>
      <c r="F122" s="3946"/>
      <c r="G122" s="3946"/>
      <c r="H122" s="3946"/>
      <c r="I122" s="3946"/>
      <c r="J122" s="3946"/>
      <c r="K122" s="3946"/>
      <c r="L122" s="3946"/>
      <c r="M122" s="3946"/>
      <c r="N122" s="3946"/>
      <c r="O122" s="3946"/>
      <c r="P122" s="3946"/>
      <c r="Q122" s="3946"/>
      <c r="R122" s="3946"/>
      <c r="S122" s="3946"/>
      <c r="T122" s="3946"/>
      <c r="U122" s="3946"/>
      <c r="V122" s="3946"/>
      <c r="W122" s="3946"/>
      <c r="X122" s="3946"/>
      <c r="Y122" s="3946"/>
      <c r="Z122" s="3946"/>
      <c r="AA122" s="3946"/>
      <c r="AB122" s="3946"/>
      <c r="AC122" s="3946"/>
      <c r="AD122" s="3946"/>
      <c r="AE122" s="3946"/>
      <c r="AF122" s="3946"/>
      <c r="AG122" s="3946"/>
      <c r="AH122" s="3946"/>
      <c r="AI122" s="3946"/>
      <c r="AJ122" s="3946"/>
      <c r="AK122" s="3946"/>
      <c r="AL122" s="3946"/>
      <c r="AM122" s="3946"/>
      <c r="AN122" s="3946"/>
      <c r="AO122" s="3946"/>
      <c r="AP122" s="3946"/>
      <c r="AQ122" s="3946"/>
      <c r="AR122" s="3946"/>
      <c r="AS122" s="3946"/>
      <c r="AT122" s="3946"/>
      <c r="AU122" s="3946"/>
      <c r="AV122" s="3946"/>
      <c r="AW122" s="3946"/>
      <c r="AX122" s="3946"/>
      <c r="AY122" s="3946"/>
      <c r="AZ122" s="3946"/>
      <c r="BA122" s="3946"/>
      <c r="BB122" s="4884"/>
      <c r="BC122" s="4885"/>
      <c r="BD122" s="4885"/>
      <c r="BE122" s="4885"/>
      <c r="BF122" s="3337"/>
      <c r="BG122" s="3337"/>
      <c r="BH122" s="3337"/>
      <c r="BI122" s="3337"/>
      <c r="BJ122" s="3337"/>
      <c r="BK122" s="3337"/>
      <c r="BL122" s="3337"/>
      <c r="BM122" s="3337"/>
      <c r="BN122" s="3337"/>
      <c r="BO122" s="3337"/>
      <c r="BP122" s="3337"/>
    </row>
    <row r="123" spans="1:69" ht="29.25" customHeight="1">
      <c r="A123" s="173">
        <v>98</v>
      </c>
      <c r="B123" s="3211" t="s">
        <v>768</v>
      </c>
      <c r="C123" s="3212" t="s">
        <v>715</v>
      </c>
      <c r="D123" s="3300"/>
      <c r="E123" s="3300"/>
      <c r="F123" s="3300"/>
      <c r="G123" s="3300"/>
      <c r="H123" s="3300"/>
      <c r="I123" s="3300"/>
      <c r="J123" s="3300"/>
      <c r="K123" s="3300"/>
      <c r="L123" s="3300"/>
      <c r="M123" s="3300"/>
      <c r="N123" s="3300"/>
      <c r="O123" s="3300"/>
      <c r="P123" s="3300"/>
      <c r="Q123" s="3300"/>
      <c r="R123" s="3300"/>
      <c r="S123" s="3300"/>
      <c r="T123" s="3300"/>
      <c r="U123" s="3300"/>
      <c r="V123" s="3300"/>
      <c r="W123" s="3300"/>
      <c r="X123" s="3300"/>
      <c r="Y123" s="3300"/>
      <c r="Z123" s="3300"/>
      <c r="AA123" s="3300"/>
      <c r="AB123" s="3300"/>
      <c r="AC123" s="3300"/>
      <c r="AD123" s="3300"/>
      <c r="AE123" s="3300"/>
      <c r="AF123" s="3300"/>
      <c r="AG123" s="3231"/>
      <c r="AH123" s="3231"/>
      <c r="AI123" s="3231"/>
      <c r="AJ123" s="3231"/>
      <c r="AK123" s="3231"/>
      <c r="AL123" s="3231"/>
      <c r="AM123" s="3231"/>
      <c r="AN123" s="3231"/>
      <c r="AO123" s="3231"/>
      <c r="AP123" s="3231"/>
      <c r="AQ123" s="3231"/>
      <c r="AR123" s="3231"/>
      <c r="AS123" s="3231"/>
      <c r="AT123" s="3231"/>
      <c r="AU123" s="3231"/>
      <c r="AV123" s="3232"/>
      <c r="AW123" s="3231"/>
      <c r="AX123" s="3231"/>
      <c r="AY123" s="3231"/>
      <c r="AZ123" s="3231"/>
      <c r="BA123" s="3231"/>
      <c r="BB123" s="4874"/>
      <c r="BC123" s="3231"/>
      <c r="BD123" s="3231"/>
      <c r="BE123" s="3231"/>
      <c r="BF123" s="3302"/>
      <c r="BG123" s="3302"/>
      <c r="BH123" s="3302"/>
      <c r="BI123" s="3302"/>
      <c r="BJ123" s="3302"/>
      <c r="BK123" s="3302"/>
      <c r="BL123" s="3302"/>
      <c r="BM123" s="3302"/>
      <c r="BN123" s="3302"/>
      <c r="BO123" s="3302"/>
      <c r="BP123" s="3302"/>
    </row>
    <row r="124" spans="1:69" ht="29.25" customHeight="1">
      <c r="A124" s="173">
        <v>99</v>
      </c>
      <c r="B124" s="3211" t="s">
        <v>769</v>
      </c>
      <c r="C124" s="3212" t="s">
        <v>1667</v>
      </c>
      <c r="D124" s="3300"/>
      <c r="E124" s="3300"/>
      <c r="F124" s="3300"/>
      <c r="G124" s="3300"/>
      <c r="H124" s="3300"/>
      <c r="I124" s="3300"/>
      <c r="J124" s="3300"/>
      <c r="K124" s="3300"/>
      <c r="L124" s="3300"/>
      <c r="M124" s="3300"/>
      <c r="N124" s="3300"/>
      <c r="O124" s="3300"/>
      <c r="P124" s="3300"/>
      <c r="Q124" s="3300"/>
      <c r="R124" s="3300"/>
      <c r="S124" s="3300"/>
      <c r="T124" s="3300"/>
      <c r="U124" s="3300"/>
      <c r="V124" s="3300"/>
      <c r="W124" s="3300"/>
      <c r="X124" s="3300"/>
      <c r="Y124" s="3300"/>
      <c r="Z124" s="3300"/>
      <c r="AA124" s="3300"/>
      <c r="AB124" s="3300"/>
      <c r="AC124" s="3300"/>
      <c r="AD124" s="3300"/>
      <c r="AE124" s="3230" t="s">
        <v>510</v>
      </c>
      <c r="AF124" s="3303"/>
      <c r="AG124" s="3231"/>
      <c r="AH124" s="3231"/>
      <c r="AI124" s="3231"/>
      <c r="AJ124" s="3231"/>
      <c r="AK124" s="3231"/>
      <c r="AL124" s="3231"/>
      <c r="AM124" s="3231"/>
      <c r="AN124" s="3231"/>
      <c r="AO124" s="3230" t="s">
        <v>1709</v>
      </c>
      <c r="AP124" s="3231"/>
      <c r="AQ124" s="3231"/>
      <c r="AR124" s="3231"/>
      <c r="AS124" s="3231"/>
      <c r="AT124" s="3231"/>
      <c r="AU124" s="3231"/>
      <c r="AV124" s="3232"/>
      <c r="AW124" s="3231"/>
      <c r="AX124" s="3231"/>
      <c r="AY124" s="3231"/>
      <c r="AZ124" s="3231"/>
      <c r="BA124" s="3231"/>
      <c r="BB124" s="4874"/>
      <c r="BC124" s="3231"/>
      <c r="BD124" s="3231"/>
      <c r="BE124" s="3231"/>
      <c r="BF124" s="3302"/>
      <c r="BG124" s="3302"/>
      <c r="BH124" s="3302">
        <v>1</v>
      </c>
      <c r="BI124" s="3302">
        <v>1</v>
      </c>
      <c r="BJ124" s="3302">
        <v>1</v>
      </c>
      <c r="BK124" s="3302">
        <v>1</v>
      </c>
      <c r="BL124" s="3302">
        <v>1</v>
      </c>
      <c r="BM124" s="3302">
        <v>1</v>
      </c>
      <c r="BN124" s="3302">
        <v>1</v>
      </c>
      <c r="BO124" s="3302">
        <v>1</v>
      </c>
      <c r="BP124" s="3302"/>
    </row>
    <row r="125" spans="1:69" ht="29.25" customHeight="1">
      <c r="A125" s="173">
        <v>100</v>
      </c>
      <c r="B125" s="3211" t="s">
        <v>770</v>
      </c>
      <c r="C125" s="3212" t="s">
        <v>574</v>
      </c>
      <c r="D125" s="3300"/>
      <c r="E125" s="3300"/>
      <c r="F125" s="3300"/>
      <c r="G125" s="3300"/>
      <c r="H125" s="3300"/>
      <c r="I125" s="3300"/>
      <c r="J125" s="3300"/>
      <c r="K125" s="3300"/>
      <c r="L125" s="3300"/>
      <c r="M125" s="3300"/>
      <c r="N125" s="3300"/>
      <c r="O125" s="3300"/>
      <c r="P125" s="3300"/>
      <c r="Q125" s="3300"/>
      <c r="R125" s="3300"/>
      <c r="S125" s="3300"/>
      <c r="T125" s="3305" t="s">
        <v>388</v>
      </c>
      <c r="U125" s="3300"/>
      <c r="V125" s="3300"/>
      <c r="W125" s="3303"/>
      <c r="X125" s="3300"/>
      <c r="Y125" s="3300"/>
      <c r="Z125" s="3300"/>
      <c r="AA125" s="3300"/>
      <c r="AB125" s="3300"/>
      <c r="AC125" s="3300"/>
      <c r="AD125" s="3300"/>
      <c r="AE125" s="3300"/>
      <c r="AF125" s="3300"/>
      <c r="AG125" s="3231"/>
      <c r="AH125" s="3231"/>
      <c r="AI125" s="3231"/>
      <c r="AJ125" s="3231"/>
      <c r="AK125" s="3231"/>
      <c r="AL125" s="3231"/>
      <c r="AM125" s="3231"/>
      <c r="AN125" s="3231"/>
      <c r="AO125" s="3231"/>
      <c r="AP125" s="3231"/>
      <c r="AQ125" s="3231"/>
      <c r="AR125" s="3231"/>
      <c r="AS125" s="3231"/>
      <c r="AT125" s="3231"/>
      <c r="AU125" s="3230" t="s">
        <v>2413</v>
      </c>
      <c r="AV125" s="3232"/>
      <c r="AW125" s="3231"/>
      <c r="AX125" s="3231"/>
      <c r="AY125" s="3231"/>
      <c r="AZ125" s="3231"/>
      <c r="BA125" s="3231"/>
      <c r="BB125" s="4874"/>
      <c r="BC125" s="3231"/>
      <c r="BD125" s="3231"/>
      <c r="BE125" s="3231"/>
      <c r="BF125" s="3302">
        <v>1</v>
      </c>
      <c r="BG125" s="3302">
        <v>1</v>
      </c>
      <c r="BH125" s="3302">
        <v>1</v>
      </c>
      <c r="BI125" s="3302">
        <v>1</v>
      </c>
      <c r="BJ125" s="3302"/>
      <c r="BK125" s="3302"/>
      <c r="BL125" s="3302"/>
      <c r="BM125" s="3302">
        <v>1</v>
      </c>
      <c r="BN125" s="3302">
        <v>1</v>
      </c>
      <c r="BO125" s="3302">
        <v>1</v>
      </c>
      <c r="BP125" s="3302">
        <v>1</v>
      </c>
    </row>
    <row r="126" spans="1:69" ht="29.25" customHeight="1">
      <c r="A126" s="173">
        <v>101</v>
      </c>
      <c r="B126" s="3211" t="s">
        <v>771</v>
      </c>
      <c r="C126" s="3302" t="s">
        <v>1665</v>
      </c>
      <c r="D126" s="3303"/>
      <c r="E126" s="3300"/>
      <c r="F126" s="3300"/>
      <c r="G126" s="3300"/>
      <c r="H126" s="3300"/>
      <c r="I126" s="3300"/>
      <c r="J126" s="3300"/>
      <c r="K126" s="3300"/>
      <c r="L126" s="3300"/>
      <c r="M126" s="3300"/>
      <c r="N126" s="3300"/>
      <c r="O126" s="3300"/>
      <c r="P126" s="3300"/>
      <c r="Q126" s="3300"/>
      <c r="R126" s="3300"/>
      <c r="S126" s="3300"/>
      <c r="T126" s="3300"/>
      <c r="U126" s="3300"/>
      <c r="V126" s="3305" t="s">
        <v>389</v>
      </c>
      <c r="W126" s="3305" t="s">
        <v>1717</v>
      </c>
      <c r="X126" s="3303"/>
      <c r="Y126" s="3300"/>
      <c r="Z126" s="3300"/>
      <c r="AA126" s="3300"/>
      <c r="AB126" s="3300"/>
      <c r="AC126" s="3300"/>
      <c r="AD126" s="3300"/>
      <c r="AE126" s="3300"/>
      <c r="AF126" s="3300"/>
      <c r="AG126" s="3231"/>
      <c r="AH126" s="3231"/>
      <c r="AI126" s="3231"/>
      <c r="AJ126" s="3231"/>
      <c r="AK126" s="3231"/>
      <c r="AL126" s="3231"/>
      <c r="AM126" s="3230" t="s">
        <v>811</v>
      </c>
      <c r="AN126" s="3231"/>
      <c r="AO126" s="3231"/>
      <c r="AP126" s="3231"/>
      <c r="AQ126" s="3231"/>
      <c r="AR126" s="3231"/>
      <c r="AS126" s="3231"/>
      <c r="AT126" s="3231"/>
      <c r="AU126" s="3231"/>
      <c r="AV126" s="3232"/>
      <c r="AW126" s="3231"/>
      <c r="AX126" s="3231"/>
      <c r="AY126" s="3231"/>
      <c r="AZ126" s="3231"/>
      <c r="BA126" s="3231"/>
      <c r="BB126" s="4874"/>
      <c r="BC126" s="3231"/>
      <c r="BD126" s="3231"/>
      <c r="BE126" s="3231"/>
      <c r="BF126" s="3302">
        <v>1</v>
      </c>
      <c r="BG126" s="3302">
        <v>1</v>
      </c>
      <c r="BH126" s="3302">
        <v>1</v>
      </c>
      <c r="BI126" s="3302">
        <v>1</v>
      </c>
      <c r="BJ126" s="3302">
        <v>1</v>
      </c>
      <c r="BK126" s="3302">
        <v>1</v>
      </c>
      <c r="BL126" s="3302">
        <v>1</v>
      </c>
      <c r="BM126" s="3302">
        <v>1</v>
      </c>
      <c r="BN126" s="3302">
        <v>1</v>
      </c>
      <c r="BO126" s="3302">
        <v>1</v>
      </c>
      <c r="BP126" s="3302"/>
    </row>
    <row r="127" spans="1:69" ht="14.4">
      <c r="B127" s="3344" t="s">
        <v>240</v>
      </c>
      <c r="C127" s="3346"/>
      <c r="D127" s="3948"/>
      <c r="E127" s="3948"/>
      <c r="F127" s="3948"/>
      <c r="G127" s="3948"/>
      <c r="H127" s="3948"/>
      <c r="I127" s="3948"/>
      <c r="J127" s="3948"/>
      <c r="K127" s="3948"/>
      <c r="L127" s="3948"/>
      <c r="M127" s="3948"/>
      <c r="N127" s="3948"/>
      <c r="O127" s="3948"/>
      <c r="P127" s="3948"/>
      <c r="Q127" s="3948"/>
      <c r="R127" s="3948"/>
      <c r="S127" s="3948"/>
      <c r="T127" s="3948"/>
      <c r="U127" s="3948"/>
      <c r="V127" s="3948"/>
      <c r="W127" s="3948"/>
      <c r="X127" s="3948"/>
      <c r="Y127" s="3948"/>
      <c r="Z127" s="3948"/>
      <c r="AA127" s="3948"/>
      <c r="AB127" s="3948"/>
      <c r="AC127" s="3948"/>
      <c r="AD127" s="3948"/>
      <c r="AE127" s="3948"/>
      <c r="AF127" s="3948"/>
      <c r="AG127" s="3948"/>
      <c r="AH127" s="3948"/>
      <c r="AI127" s="3948"/>
      <c r="AJ127" s="3948"/>
      <c r="AK127" s="3948"/>
      <c r="AL127" s="3948"/>
      <c r="AM127" s="3948"/>
      <c r="AN127" s="3948"/>
      <c r="AO127" s="3948"/>
      <c r="AP127" s="3948"/>
      <c r="AQ127" s="3948"/>
      <c r="AR127" s="3948"/>
      <c r="AS127" s="3948"/>
      <c r="AT127" s="3948"/>
      <c r="AU127" s="3948"/>
      <c r="AV127" s="3948"/>
      <c r="AW127" s="3948"/>
      <c r="AX127" s="3948"/>
      <c r="AY127" s="3948"/>
      <c r="AZ127" s="3948"/>
      <c r="BA127" s="3948"/>
      <c r="BB127" s="4887"/>
      <c r="BC127" s="4888"/>
      <c r="BD127" s="4888"/>
      <c r="BE127" s="4888"/>
      <c r="BF127" s="3346"/>
      <c r="BG127" s="3346"/>
      <c r="BH127" s="3346"/>
      <c r="BI127" s="3346"/>
      <c r="BJ127" s="3346"/>
      <c r="BK127" s="3346"/>
      <c r="BL127" s="3346"/>
      <c r="BM127" s="3346"/>
      <c r="BN127" s="3346"/>
      <c r="BO127" s="3346"/>
      <c r="BP127" s="3346"/>
    </row>
    <row r="128" spans="1:69" ht="29.25" customHeight="1">
      <c r="A128" s="173">
        <v>102</v>
      </c>
      <c r="B128" s="3211" t="s">
        <v>772</v>
      </c>
      <c r="C128" s="3212" t="s">
        <v>1664</v>
      </c>
      <c r="D128" s="3300"/>
      <c r="E128" s="3300"/>
      <c r="F128" s="3300"/>
      <c r="G128" s="3300"/>
      <c r="H128" s="3300"/>
      <c r="I128" s="3300"/>
      <c r="J128" s="3300"/>
      <c r="K128" s="3300"/>
      <c r="L128" s="3300"/>
      <c r="M128" s="3300"/>
      <c r="N128" s="3300"/>
      <c r="O128" s="3300"/>
      <c r="P128" s="3300"/>
      <c r="Q128" s="3300"/>
      <c r="R128" s="3300"/>
      <c r="S128" s="3300"/>
      <c r="T128" s="3300"/>
      <c r="U128" s="3300"/>
      <c r="V128" s="3300"/>
      <c r="W128" s="3300"/>
      <c r="X128" s="3300"/>
      <c r="Y128" s="3300"/>
      <c r="Z128" s="3300"/>
      <c r="AA128" s="3300"/>
      <c r="AB128" s="3300"/>
      <c r="AC128" s="3300"/>
      <c r="AD128" s="3305" t="s">
        <v>390</v>
      </c>
      <c r="AE128" s="3300"/>
      <c r="AF128" s="3300"/>
      <c r="AG128" s="3231"/>
      <c r="AH128" s="3231"/>
      <c r="AI128" s="3231"/>
      <c r="AJ128" s="3231"/>
      <c r="AK128" s="3231"/>
      <c r="AL128" s="3231"/>
      <c r="AM128" s="3233" t="s">
        <v>811</v>
      </c>
      <c r="AN128" s="3231"/>
      <c r="AO128" s="3231"/>
      <c r="AP128" s="3231"/>
      <c r="AQ128" s="3231"/>
      <c r="AR128" s="3231"/>
      <c r="AS128" s="3231"/>
      <c r="AT128" s="3231"/>
      <c r="AU128" s="3231"/>
      <c r="AV128" s="3232"/>
      <c r="AW128" s="3231"/>
      <c r="AX128" s="3231"/>
      <c r="AY128" s="3231"/>
      <c r="AZ128" s="3231"/>
      <c r="BA128" s="3231"/>
      <c r="BB128" s="4874"/>
      <c r="BC128" s="3231"/>
      <c r="BD128" s="3231"/>
      <c r="BE128" s="3231"/>
      <c r="BF128" s="3302"/>
      <c r="BG128" s="3347"/>
      <c r="BH128" s="3302">
        <v>1</v>
      </c>
      <c r="BI128" s="3302">
        <v>1</v>
      </c>
      <c r="BJ128" s="3302">
        <v>1</v>
      </c>
      <c r="BK128" s="3302">
        <v>1</v>
      </c>
      <c r="BL128" s="3302">
        <v>1</v>
      </c>
      <c r="BM128" s="3302">
        <v>1</v>
      </c>
      <c r="BN128" s="3302">
        <v>1</v>
      </c>
      <c r="BO128" s="3302">
        <v>1</v>
      </c>
      <c r="BP128" s="3302"/>
    </row>
    <row r="129" spans="1:68" ht="29.25" customHeight="1">
      <c r="A129" s="173">
        <v>103</v>
      </c>
      <c r="B129" s="3211" t="s">
        <v>773</v>
      </c>
      <c r="C129" s="3212" t="s">
        <v>1664</v>
      </c>
      <c r="D129" s="3300"/>
      <c r="E129" s="3300"/>
      <c r="F129" s="3300"/>
      <c r="G129" s="3300"/>
      <c r="H129" s="3300"/>
      <c r="I129" s="3300"/>
      <c r="J129" s="3300"/>
      <c r="K129" s="3300"/>
      <c r="L129" s="3300"/>
      <c r="M129" s="3300"/>
      <c r="N129" s="3300"/>
      <c r="O129" s="3300"/>
      <c r="P129" s="3300"/>
      <c r="Q129" s="3300"/>
      <c r="R129" s="3300"/>
      <c r="S129" s="3300"/>
      <c r="T129" s="3300"/>
      <c r="U129" s="3300"/>
      <c r="V129" s="3300"/>
      <c r="W129" s="3300"/>
      <c r="X129" s="3300"/>
      <c r="Y129" s="3300"/>
      <c r="Z129" s="3300"/>
      <c r="AA129" s="3300"/>
      <c r="AB129" s="3300"/>
      <c r="AC129" s="3300"/>
      <c r="AD129" s="3305" t="s">
        <v>390</v>
      </c>
      <c r="AE129" s="3300"/>
      <c r="AF129" s="3300"/>
      <c r="AG129" s="3231"/>
      <c r="AH129" s="3231"/>
      <c r="AI129" s="3231"/>
      <c r="AJ129" s="3231"/>
      <c r="AK129" s="3231"/>
      <c r="AL129" s="3231"/>
      <c r="AM129" s="3233" t="s">
        <v>811</v>
      </c>
      <c r="AN129" s="3231"/>
      <c r="AO129" s="3231"/>
      <c r="AP129" s="3231"/>
      <c r="AQ129" s="3231"/>
      <c r="AR129" s="3231"/>
      <c r="AS129" s="3231"/>
      <c r="AT129" s="3231"/>
      <c r="AU129" s="3231"/>
      <c r="AV129" s="3232"/>
      <c r="AW129" s="3231"/>
      <c r="AX129" s="3231"/>
      <c r="AY129" s="3231"/>
      <c r="AZ129" s="3231"/>
      <c r="BA129" s="3231"/>
      <c r="BB129" s="4874"/>
      <c r="BC129" s="3231"/>
      <c r="BD129" s="3231"/>
      <c r="BE129" s="3231"/>
      <c r="BF129" s="3302"/>
      <c r="BG129" s="3347"/>
      <c r="BH129" s="3302">
        <v>1</v>
      </c>
      <c r="BI129" s="3302">
        <v>1</v>
      </c>
      <c r="BJ129" s="3302">
        <v>1</v>
      </c>
      <c r="BK129" s="3302">
        <v>1</v>
      </c>
      <c r="BL129" s="3302">
        <v>1</v>
      </c>
      <c r="BM129" s="3302">
        <v>1</v>
      </c>
      <c r="BN129" s="3302">
        <v>1</v>
      </c>
      <c r="BO129" s="3302">
        <v>1</v>
      </c>
      <c r="BP129" s="3302"/>
    </row>
    <row r="130" spans="1:68" ht="29.25" customHeight="1">
      <c r="A130" s="173">
        <v>104</v>
      </c>
      <c r="B130" s="3211" t="s">
        <v>774</v>
      </c>
      <c r="C130" s="3212" t="s">
        <v>1664</v>
      </c>
      <c r="D130" s="3300"/>
      <c r="E130" s="3300"/>
      <c r="F130" s="3300"/>
      <c r="G130" s="3300"/>
      <c r="H130" s="3300"/>
      <c r="I130" s="3300"/>
      <c r="J130" s="3300"/>
      <c r="K130" s="3300"/>
      <c r="L130" s="3300"/>
      <c r="M130" s="3300"/>
      <c r="N130" s="3300"/>
      <c r="O130" s="3300"/>
      <c r="P130" s="3300"/>
      <c r="Q130" s="3300"/>
      <c r="R130" s="3300"/>
      <c r="S130" s="3300"/>
      <c r="T130" s="3300"/>
      <c r="U130" s="3300"/>
      <c r="V130" s="3300"/>
      <c r="W130" s="3300"/>
      <c r="X130" s="3300"/>
      <c r="Y130" s="3300"/>
      <c r="Z130" s="3300"/>
      <c r="AA130" s="3300"/>
      <c r="AB130" s="3300"/>
      <c r="AC130" s="3300"/>
      <c r="AD130" s="3305" t="s">
        <v>390</v>
      </c>
      <c r="AE130" s="3300"/>
      <c r="AF130" s="3300"/>
      <c r="AG130" s="3231"/>
      <c r="AH130" s="3231"/>
      <c r="AI130" s="3231"/>
      <c r="AJ130" s="3231"/>
      <c r="AK130" s="3231"/>
      <c r="AL130" s="3231"/>
      <c r="AM130" s="3233" t="s">
        <v>811</v>
      </c>
      <c r="AN130" s="3231"/>
      <c r="AO130" s="3231"/>
      <c r="AP130" s="3231"/>
      <c r="AQ130" s="3231"/>
      <c r="AR130" s="3231"/>
      <c r="AS130" s="3231"/>
      <c r="AT130" s="3231"/>
      <c r="AU130" s="3231"/>
      <c r="AV130" s="3232"/>
      <c r="AW130" s="3231"/>
      <c r="AX130" s="3231"/>
      <c r="AY130" s="3231"/>
      <c r="AZ130" s="3231"/>
      <c r="BA130" s="3231"/>
      <c r="BB130" s="4874"/>
      <c r="BC130" s="3231"/>
      <c r="BD130" s="3231"/>
      <c r="BE130" s="3231"/>
      <c r="BF130" s="3302"/>
      <c r="BG130" s="3302"/>
      <c r="BH130" s="3302">
        <v>1</v>
      </c>
      <c r="BI130" s="3302">
        <v>1</v>
      </c>
      <c r="BJ130" s="3302">
        <v>1</v>
      </c>
      <c r="BK130" s="3302">
        <v>1</v>
      </c>
      <c r="BL130" s="3302">
        <v>1</v>
      </c>
      <c r="BM130" s="3302">
        <v>1</v>
      </c>
      <c r="BN130" s="3302">
        <v>1</v>
      </c>
      <c r="BO130" s="3302">
        <v>1</v>
      </c>
      <c r="BP130" s="3302"/>
    </row>
    <row r="131" spans="1:68" ht="14.4">
      <c r="B131" s="3344" t="s">
        <v>258</v>
      </c>
      <c r="C131" s="3345"/>
      <c r="D131" s="3949"/>
      <c r="E131" s="3949"/>
      <c r="F131" s="3949"/>
      <c r="G131" s="3949"/>
      <c r="H131" s="3949"/>
      <c r="I131" s="3949"/>
      <c r="J131" s="3949"/>
      <c r="K131" s="3949"/>
      <c r="L131" s="3949"/>
      <c r="M131" s="3949"/>
      <c r="N131" s="3949"/>
      <c r="O131" s="3949"/>
      <c r="P131" s="3949"/>
      <c r="Q131" s="3949"/>
      <c r="R131" s="3949"/>
      <c r="S131" s="3949"/>
      <c r="T131" s="3949"/>
      <c r="U131" s="3949"/>
      <c r="V131" s="3949"/>
      <c r="W131" s="3949"/>
      <c r="X131" s="3949"/>
      <c r="Y131" s="3949"/>
      <c r="Z131" s="3949"/>
      <c r="AA131" s="3949"/>
      <c r="AB131" s="3949"/>
      <c r="AC131" s="3949"/>
      <c r="AD131" s="3949"/>
      <c r="AE131" s="3949"/>
      <c r="AF131" s="3949"/>
      <c r="AG131" s="3949"/>
      <c r="AH131" s="3949"/>
      <c r="AI131" s="3949"/>
      <c r="AJ131" s="3949"/>
      <c r="AK131" s="3949"/>
      <c r="AL131" s="3949"/>
      <c r="AM131" s="3949"/>
      <c r="AN131" s="3949"/>
      <c r="AO131" s="3949"/>
      <c r="AP131" s="3949"/>
      <c r="AQ131" s="3949"/>
      <c r="AR131" s="3949"/>
      <c r="AS131" s="3949"/>
      <c r="AT131" s="3949"/>
      <c r="AU131" s="3949"/>
      <c r="AV131" s="3949"/>
      <c r="AW131" s="3949"/>
      <c r="AX131" s="3949"/>
      <c r="AY131" s="3949"/>
      <c r="AZ131" s="3949"/>
      <c r="BA131" s="3949"/>
      <c r="BB131" s="4889"/>
      <c r="BC131" s="4890"/>
      <c r="BD131" s="4890"/>
      <c r="BE131" s="4890"/>
      <c r="BF131" s="3346"/>
      <c r="BG131" s="3346"/>
      <c r="BH131" s="3346"/>
      <c r="BI131" s="3346"/>
      <c r="BJ131" s="3346"/>
      <c r="BK131" s="3346"/>
      <c r="BL131" s="3346"/>
      <c r="BM131" s="3346"/>
      <c r="BN131" s="3346"/>
      <c r="BO131" s="3346"/>
      <c r="BP131" s="3346"/>
    </row>
    <row r="132" spans="1:68" ht="29.25" customHeight="1">
      <c r="A132" s="173">
        <v>105</v>
      </c>
      <c r="B132" s="3211" t="s">
        <v>775</v>
      </c>
      <c r="C132" s="3212" t="s">
        <v>581</v>
      </c>
      <c r="D132" s="3300"/>
      <c r="E132" s="3300"/>
      <c r="F132" s="3300"/>
      <c r="G132" s="3300"/>
      <c r="H132" s="3300"/>
      <c r="I132" s="3300"/>
      <c r="J132" s="3300"/>
      <c r="K132" s="3300"/>
      <c r="L132" s="3300"/>
      <c r="M132" s="3300"/>
      <c r="N132" s="3300"/>
      <c r="O132" s="3300"/>
      <c r="P132" s="3300"/>
      <c r="Q132" s="3300"/>
      <c r="R132" s="3300"/>
      <c r="S132" s="3300"/>
      <c r="T132" s="3300"/>
      <c r="U132" s="3300"/>
      <c r="V132" s="3300"/>
      <c r="W132" s="3300"/>
      <c r="X132" s="3300"/>
      <c r="Y132" s="3300"/>
      <c r="Z132" s="3305" t="s">
        <v>241</v>
      </c>
      <c r="AA132" s="3300"/>
      <c r="AB132" s="3300"/>
      <c r="AC132" s="3300"/>
      <c r="AD132" s="3300"/>
      <c r="AE132" s="3300"/>
      <c r="AF132" s="3230" t="s">
        <v>515</v>
      </c>
      <c r="AG132" s="3300"/>
      <c r="AH132" s="3231"/>
      <c r="AI132" s="3231"/>
      <c r="AJ132" s="3231"/>
      <c r="AK132" s="3231"/>
      <c r="AL132" s="3231"/>
      <c r="AM132" s="3231"/>
      <c r="AN132" s="3231"/>
      <c r="AO132" s="3231"/>
      <c r="AP132" s="3231"/>
      <c r="AQ132" s="3231"/>
      <c r="AR132" s="3231"/>
      <c r="AS132" s="3231"/>
      <c r="AT132" s="3231"/>
      <c r="AU132" s="3231"/>
      <c r="AV132" s="3232"/>
      <c r="AW132" s="3231"/>
      <c r="AX132" s="3230" t="s">
        <v>2636</v>
      </c>
      <c r="AY132" s="3950"/>
      <c r="AZ132" s="3950"/>
      <c r="BA132" s="3950"/>
      <c r="BB132" s="4891"/>
      <c r="BC132" s="3950"/>
      <c r="BD132" s="4915" t="s">
        <v>2991</v>
      </c>
      <c r="BE132" s="3950"/>
      <c r="BF132" s="3302"/>
      <c r="BG132" s="3302">
        <v>1</v>
      </c>
      <c r="BH132" s="3302">
        <v>1</v>
      </c>
      <c r="BI132" s="3302">
        <v>1</v>
      </c>
      <c r="BJ132" s="3302">
        <v>1</v>
      </c>
      <c r="BK132" s="3302">
        <v>1</v>
      </c>
      <c r="BL132" s="3302">
        <v>1</v>
      </c>
      <c r="BM132" s="3302">
        <v>1</v>
      </c>
      <c r="BN132" s="3302">
        <v>1</v>
      </c>
      <c r="BO132" s="3302">
        <v>1</v>
      </c>
      <c r="BP132" s="3302">
        <v>1</v>
      </c>
    </row>
    <row r="133" spans="1:68" ht="29.25" customHeight="1">
      <c r="A133" s="173">
        <v>106</v>
      </c>
      <c r="B133" s="3211" t="s">
        <v>776</v>
      </c>
      <c r="C133" s="3212" t="s">
        <v>581</v>
      </c>
      <c r="D133" s="3300"/>
      <c r="E133" s="3300"/>
      <c r="F133" s="3300"/>
      <c r="G133" s="3300"/>
      <c r="H133" s="3300"/>
      <c r="I133" s="3300"/>
      <c r="J133" s="3300"/>
      <c r="K133" s="3300"/>
      <c r="L133" s="3300"/>
      <c r="M133" s="3300"/>
      <c r="N133" s="3300"/>
      <c r="O133" s="3300"/>
      <c r="P133" s="3300"/>
      <c r="Q133" s="3300"/>
      <c r="R133" s="3300"/>
      <c r="S133" s="3300"/>
      <c r="T133" s="3300"/>
      <c r="U133" s="3300"/>
      <c r="V133" s="3300"/>
      <c r="W133" s="3300"/>
      <c r="X133" s="3300"/>
      <c r="Y133" s="3300"/>
      <c r="Z133" s="3305" t="s">
        <v>241</v>
      </c>
      <c r="AA133" s="3300"/>
      <c r="AB133" s="3300"/>
      <c r="AC133" s="3300"/>
      <c r="AD133" s="3300"/>
      <c r="AE133" s="3300"/>
      <c r="AF133" s="3230" t="s">
        <v>515</v>
      </c>
      <c r="AG133" s="3300"/>
      <c r="AH133" s="3231"/>
      <c r="AI133" s="3231"/>
      <c r="AJ133" s="3231"/>
      <c r="AK133" s="3231"/>
      <c r="AL133" s="3231"/>
      <c r="AM133" s="3231"/>
      <c r="AN133" s="3231"/>
      <c r="AO133" s="3231"/>
      <c r="AP133" s="3231"/>
      <c r="AQ133" s="3231"/>
      <c r="AR133" s="3231"/>
      <c r="AS133" s="3231"/>
      <c r="AT133" s="3231"/>
      <c r="AU133" s="3231"/>
      <c r="AV133" s="3232"/>
      <c r="AW133" s="3231"/>
      <c r="AX133" s="3230" t="s">
        <v>2636</v>
      </c>
      <c r="AY133" s="3950"/>
      <c r="AZ133" s="3950"/>
      <c r="BA133" s="3950"/>
      <c r="BB133" s="4891"/>
      <c r="BC133" s="3950"/>
      <c r="BD133" s="4915" t="s">
        <v>2991</v>
      </c>
      <c r="BE133" s="3950"/>
      <c r="BF133" s="3302"/>
      <c r="BG133" s="3302">
        <v>1</v>
      </c>
      <c r="BH133" s="3302">
        <v>1</v>
      </c>
      <c r="BI133" s="3302">
        <v>1</v>
      </c>
      <c r="BJ133" s="3302">
        <v>1</v>
      </c>
      <c r="BK133" s="3302">
        <v>1</v>
      </c>
      <c r="BL133" s="3302">
        <v>1</v>
      </c>
      <c r="BM133" s="3302">
        <v>1</v>
      </c>
      <c r="BN133" s="3302">
        <v>1</v>
      </c>
      <c r="BO133" s="3302">
        <v>1</v>
      </c>
      <c r="BP133" s="3302">
        <v>1</v>
      </c>
    </row>
    <row r="134" spans="1:68" ht="14.4">
      <c r="B134" s="3344" t="s">
        <v>447</v>
      </c>
      <c r="C134" s="3345"/>
      <c r="D134" s="3949"/>
      <c r="E134" s="3949"/>
      <c r="F134" s="3949"/>
      <c r="G134" s="3949"/>
      <c r="H134" s="3949"/>
      <c r="I134" s="3949"/>
      <c r="J134" s="3949"/>
      <c r="K134" s="3949"/>
      <c r="L134" s="3949"/>
      <c r="M134" s="3949"/>
      <c r="N134" s="3949"/>
      <c r="O134" s="3949"/>
      <c r="P134" s="3949"/>
      <c r="Q134" s="3949"/>
      <c r="R134" s="3949"/>
      <c r="S134" s="3949"/>
      <c r="T134" s="3949"/>
      <c r="U134" s="3949"/>
      <c r="V134" s="3949"/>
      <c r="W134" s="3949"/>
      <c r="X134" s="3949"/>
      <c r="Y134" s="3949"/>
      <c r="Z134" s="3949"/>
      <c r="AA134" s="3949"/>
      <c r="AB134" s="3949"/>
      <c r="AC134" s="3949"/>
      <c r="AD134" s="3949"/>
      <c r="AE134" s="3949"/>
      <c r="AF134" s="3949"/>
      <c r="AG134" s="3949"/>
      <c r="AH134" s="3949"/>
      <c r="AI134" s="3949"/>
      <c r="AJ134" s="3949"/>
      <c r="AK134" s="3949"/>
      <c r="AL134" s="3949"/>
      <c r="AM134" s="3949"/>
      <c r="AN134" s="3949"/>
      <c r="AO134" s="3949"/>
      <c r="AP134" s="3949"/>
      <c r="AQ134" s="3949"/>
      <c r="AR134" s="3949"/>
      <c r="AS134" s="3949"/>
      <c r="AT134" s="3949"/>
      <c r="AU134" s="3949"/>
      <c r="AV134" s="3949"/>
      <c r="AW134" s="3949"/>
      <c r="AX134" s="3949"/>
      <c r="AY134" s="3949"/>
      <c r="AZ134" s="3949"/>
      <c r="BA134" s="3949"/>
      <c r="BB134" s="4889"/>
      <c r="BC134" s="4890"/>
      <c r="BD134" s="4890"/>
      <c r="BE134" s="4890"/>
      <c r="BF134" s="3345"/>
      <c r="BG134" s="3345"/>
      <c r="BH134" s="3346"/>
      <c r="BI134" s="3346"/>
      <c r="BJ134" s="3346"/>
      <c r="BK134" s="3346"/>
      <c r="BL134" s="3346"/>
      <c r="BM134" s="3346"/>
      <c r="BN134" s="3346"/>
      <c r="BO134" s="3346"/>
      <c r="BP134" s="3346"/>
    </row>
    <row r="135" spans="1:68" ht="29.25" customHeight="1">
      <c r="A135" s="173">
        <v>107</v>
      </c>
      <c r="B135" s="3211" t="s">
        <v>777</v>
      </c>
      <c r="C135" s="3325" t="s">
        <v>581</v>
      </c>
      <c r="D135" s="3348"/>
      <c r="E135" s="3348"/>
      <c r="F135" s="3348"/>
      <c r="G135" s="3348"/>
      <c r="H135" s="3348"/>
      <c r="I135" s="3348"/>
      <c r="J135" s="3348"/>
      <c r="K135" s="3348"/>
      <c r="L135" s="3348"/>
      <c r="M135" s="3348"/>
      <c r="N135" s="3348"/>
      <c r="O135" s="3348"/>
      <c r="P135" s="3348"/>
      <c r="Q135" s="3348"/>
      <c r="R135" s="3348"/>
      <c r="S135" s="3348"/>
      <c r="T135" s="3348"/>
      <c r="U135" s="3348"/>
      <c r="V135" s="3348"/>
      <c r="W135" s="3348"/>
      <c r="X135" s="3348"/>
      <c r="Y135" s="3348"/>
      <c r="Z135" s="3348"/>
      <c r="AA135" s="3348"/>
      <c r="AB135" s="3348"/>
      <c r="AC135" s="3348"/>
      <c r="AD135" s="3305" t="s">
        <v>420</v>
      </c>
      <c r="AE135" s="3348"/>
      <c r="AF135" s="3348"/>
      <c r="AG135" s="3303"/>
      <c r="AH135" s="3300"/>
      <c r="AI135" s="3300"/>
      <c r="AJ135" s="3300"/>
      <c r="AK135" s="3300"/>
      <c r="AL135" s="3300"/>
      <c r="AM135" s="3300"/>
      <c r="AN135" s="3300"/>
      <c r="AO135" s="3300"/>
      <c r="AP135" s="3300"/>
      <c r="AQ135" s="3300"/>
      <c r="AR135" s="3300"/>
      <c r="AS135" s="3300"/>
      <c r="AT135" s="3300"/>
      <c r="AU135" s="3230" t="s">
        <v>2414</v>
      </c>
      <c r="AV135" s="4920" t="s">
        <v>2992</v>
      </c>
      <c r="AW135" s="3300"/>
      <c r="AX135" s="3950"/>
      <c r="AY135" s="3950"/>
      <c r="AZ135" s="3950"/>
      <c r="BA135" s="3950"/>
      <c r="BB135" s="4891"/>
      <c r="BC135" s="3950"/>
      <c r="BD135" s="3950"/>
      <c r="BE135" s="3950"/>
      <c r="BF135" s="3302"/>
      <c r="BG135" s="3302"/>
      <c r="BH135" s="3302">
        <v>1</v>
      </c>
      <c r="BI135" s="3302">
        <v>1</v>
      </c>
      <c r="BJ135" s="3302">
        <v>1</v>
      </c>
      <c r="BK135" s="3302">
        <v>1</v>
      </c>
      <c r="BL135" s="3302"/>
      <c r="BM135" s="3302">
        <v>1</v>
      </c>
      <c r="BN135" s="3302">
        <v>1</v>
      </c>
      <c r="BO135" s="3302">
        <v>1</v>
      </c>
      <c r="BP135" s="3302">
        <v>1</v>
      </c>
    </row>
    <row r="136" spans="1:68" ht="14.4">
      <c r="B136" s="3349" t="s">
        <v>588</v>
      </c>
      <c r="C136" s="3350"/>
      <c r="D136" s="3951"/>
      <c r="E136" s="3951"/>
      <c r="F136" s="3951"/>
      <c r="G136" s="3951"/>
      <c r="H136" s="3951"/>
      <c r="I136" s="3951"/>
      <c r="J136" s="3951"/>
      <c r="K136" s="3951"/>
      <c r="L136" s="3951"/>
      <c r="M136" s="3951"/>
      <c r="N136" s="3951"/>
      <c r="O136" s="3951"/>
      <c r="P136" s="3951"/>
      <c r="Q136" s="3951"/>
      <c r="R136" s="3951"/>
      <c r="S136" s="3951"/>
      <c r="T136" s="3951"/>
      <c r="U136" s="3951"/>
      <c r="V136" s="3951"/>
      <c r="W136" s="3951"/>
      <c r="X136" s="3951"/>
      <c r="Y136" s="3951"/>
      <c r="Z136" s="3951"/>
      <c r="AA136" s="3951"/>
      <c r="AB136" s="3951"/>
      <c r="AC136" s="3951"/>
      <c r="AD136" s="3951"/>
      <c r="AE136" s="3951"/>
      <c r="AF136" s="3951"/>
      <c r="AG136" s="3951"/>
      <c r="AH136" s="3951"/>
      <c r="AI136" s="3951"/>
      <c r="AJ136" s="3951"/>
      <c r="AK136" s="3951"/>
      <c r="AL136" s="3951"/>
      <c r="AM136" s="3951"/>
      <c r="AN136" s="3951"/>
      <c r="AO136" s="3951"/>
      <c r="AP136" s="3951"/>
      <c r="AQ136" s="3951"/>
      <c r="AR136" s="3951"/>
      <c r="AS136" s="3951"/>
      <c r="AT136" s="3951"/>
      <c r="AU136" s="3951"/>
      <c r="AV136" s="3951"/>
      <c r="AW136" s="3951"/>
      <c r="AX136" s="3951"/>
      <c r="AY136" s="3951"/>
      <c r="AZ136" s="3951"/>
      <c r="BA136" s="3951"/>
      <c r="BB136" s="4892"/>
      <c r="BC136" s="4893"/>
      <c r="BD136" s="4893"/>
      <c r="BE136" s="4893"/>
      <c r="BF136" s="3350"/>
      <c r="BG136" s="3351"/>
      <c r="BH136" s="3351"/>
      <c r="BI136" s="3351"/>
      <c r="BJ136" s="3351"/>
      <c r="BK136" s="3351"/>
      <c r="BL136" s="3351"/>
      <c r="BM136" s="3351"/>
      <c r="BN136" s="3351"/>
      <c r="BO136" s="3351"/>
      <c r="BP136" s="3351"/>
    </row>
    <row r="137" spans="1:68" ht="29.25" customHeight="1">
      <c r="A137" s="173">
        <v>108</v>
      </c>
      <c r="B137" s="3211" t="s">
        <v>778</v>
      </c>
      <c r="C137" s="3212" t="s">
        <v>1664</v>
      </c>
      <c r="D137" s="3300"/>
      <c r="E137" s="3300"/>
      <c r="F137" s="3300"/>
      <c r="G137" s="3300"/>
      <c r="H137" s="3233" t="s">
        <v>208</v>
      </c>
      <c r="I137" s="3300"/>
      <c r="J137" s="3300"/>
      <c r="K137" s="3300"/>
      <c r="L137" s="3300"/>
      <c r="M137" s="3300"/>
      <c r="N137" s="3300"/>
      <c r="O137" s="3300"/>
      <c r="P137" s="3300"/>
      <c r="Q137" s="3300"/>
      <c r="R137" s="3300"/>
      <c r="S137" s="3300"/>
      <c r="T137" s="3300"/>
      <c r="U137" s="3300"/>
      <c r="V137" s="3300"/>
      <c r="W137" s="3300"/>
      <c r="X137" s="3300"/>
      <c r="Y137" s="3300"/>
      <c r="Z137" s="3233" t="s">
        <v>211</v>
      </c>
      <c r="AA137" s="3300"/>
      <c r="AB137" s="3300"/>
      <c r="AC137" s="3300"/>
      <c r="AD137" s="3300"/>
      <c r="AE137" s="3300"/>
      <c r="AF137" s="3300"/>
      <c r="AG137" s="3231"/>
      <c r="AH137" s="3231"/>
      <c r="AI137" s="3231"/>
      <c r="AJ137" s="3231"/>
      <c r="AK137" s="3231"/>
      <c r="AL137" s="3231"/>
      <c r="AM137" s="3233" t="s">
        <v>810</v>
      </c>
      <c r="AN137" s="3300"/>
      <c r="AO137" s="3300"/>
      <c r="AP137" s="3300"/>
      <c r="AQ137" s="3300"/>
      <c r="AR137" s="3300"/>
      <c r="AS137" s="3300"/>
      <c r="AT137" s="3300"/>
      <c r="AU137" s="3300"/>
      <c r="AV137" s="3306"/>
      <c r="AW137" s="3300"/>
      <c r="AX137" s="3950"/>
      <c r="AY137" s="3230" t="s">
        <v>2636</v>
      </c>
      <c r="AZ137" s="3950"/>
      <c r="BA137" s="3300"/>
      <c r="BB137" s="4879"/>
      <c r="BC137" s="3300"/>
      <c r="BD137" s="3300"/>
      <c r="BE137" s="3300"/>
      <c r="BF137" s="3302">
        <v>1</v>
      </c>
      <c r="BG137" s="3302">
        <v>1</v>
      </c>
      <c r="BH137" s="3302">
        <v>1</v>
      </c>
      <c r="BI137" s="3302">
        <v>1</v>
      </c>
      <c r="BJ137" s="3302">
        <v>1</v>
      </c>
      <c r="BK137" s="3302">
        <v>1</v>
      </c>
      <c r="BL137" s="3302">
        <v>1</v>
      </c>
      <c r="BM137" s="3302">
        <v>1</v>
      </c>
      <c r="BN137" s="3302">
        <v>1</v>
      </c>
      <c r="BO137" s="3302">
        <v>1</v>
      </c>
      <c r="BP137" s="3302">
        <v>1</v>
      </c>
    </row>
    <row r="138" spans="1:68" ht="29.25" customHeight="1">
      <c r="A138" s="173">
        <v>109</v>
      </c>
      <c r="B138" s="3211" t="s">
        <v>779</v>
      </c>
      <c r="C138" s="3212" t="s">
        <v>1664</v>
      </c>
      <c r="D138" s="3300"/>
      <c r="E138" s="3300"/>
      <c r="F138" s="3300"/>
      <c r="G138" s="3300"/>
      <c r="H138" s="3233" t="s">
        <v>208</v>
      </c>
      <c r="I138" s="3300"/>
      <c r="J138" s="3300"/>
      <c r="K138" s="3300"/>
      <c r="L138" s="3300"/>
      <c r="M138" s="3300"/>
      <c r="N138" s="3300"/>
      <c r="O138" s="3300"/>
      <c r="P138" s="3300"/>
      <c r="Q138" s="3300"/>
      <c r="R138" s="3300"/>
      <c r="S138" s="3300"/>
      <c r="T138" s="3300"/>
      <c r="U138" s="3300"/>
      <c r="V138" s="3300"/>
      <c r="W138" s="3300"/>
      <c r="X138" s="3300"/>
      <c r="Y138" s="3300"/>
      <c r="Z138" s="3233" t="s">
        <v>211</v>
      </c>
      <c r="AA138" s="3300"/>
      <c r="AB138" s="3300"/>
      <c r="AC138" s="3300"/>
      <c r="AD138" s="3300"/>
      <c r="AE138" s="3300"/>
      <c r="AF138" s="3300"/>
      <c r="AG138" s="3231"/>
      <c r="AH138" s="3231"/>
      <c r="AI138" s="3231"/>
      <c r="AJ138" s="3231"/>
      <c r="AK138" s="3231"/>
      <c r="AL138" s="3231"/>
      <c r="AM138" s="3233" t="s">
        <v>810</v>
      </c>
      <c r="AN138" s="3300"/>
      <c r="AO138" s="3300"/>
      <c r="AP138" s="3300"/>
      <c r="AQ138" s="3300"/>
      <c r="AR138" s="3300"/>
      <c r="AS138" s="3300"/>
      <c r="AT138" s="3300"/>
      <c r="AU138" s="3300"/>
      <c r="AV138" s="3306"/>
      <c r="AW138" s="3300"/>
      <c r="AX138" s="3950"/>
      <c r="AY138" s="3230" t="s">
        <v>2636</v>
      </c>
      <c r="AZ138" s="3950"/>
      <c r="BA138" s="3300"/>
      <c r="BB138" s="4879"/>
      <c r="BC138" s="3300"/>
      <c r="BD138" s="3300"/>
      <c r="BE138" s="3300"/>
      <c r="BF138" s="3302">
        <v>1</v>
      </c>
      <c r="BG138" s="3302">
        <v>1</v>
      </c>
      <c r="BH138" s="3302">
        <v>1</v>
      </c>
      <c r="BI138" s="3302">
        <v>1</v>
      </c>
      <c r="BJ138" s="3302">
        <v>1</v>
      </c>
      <c r="BK138" s="3302">
        <v>1</v>
      </c>
      <c r="BL138" s="3302">
        <v>1</v>
      </c>
      <c r="BM138" s="3302">
        <v>1</v>
      </c>
      <c r="BN138" s="3302">
        <v>1</v>
      </c>
      <c r="BO138" s="3302">
        <v>1</v>
      </c>
      <c r="BP138" s="3302">
        <v>1</v>
      </c>
    </row>
    <row r="139" spans="1:68" ht="29.25" customHeight="1">
      <c r="A139" s="173">
        <v>110</v>
      </c>
      <c r="B139" s="3211" t="s">
        <v>780</v>
      </c>
      <c r="C139" s="3212" t="s">
        <v>1699</v>
      </c>
      <c r="D139" s="3300"/>
      <c r="E139" s="3300"/>
      <c r="F139" s="3233" t="s">
        <v>205</v>
      </c>
      <c r="G139" s="3300"/>
      <c r="H139" s="3300"/>
      <c r="I139" s="3300"/>
      <c r="J139" s="3300"/>
      <c r="K139" s="3300"/>
      <c r="L139" s="3300"/>
      <c r="M139" s="3300"/>
      <c r="N139" s="3300"/>
      <c r="O139" s="3300"/>
      <c r="P139" s="3300"/>
      <c r="Q139" s="3300"/>
      <c r="R139" s="3304" t="s">
        <v>256</v>
      </c>
      <c r="S139" s="3300"/>
      <c r="T139" s="3300"/>
      <c r="U139" s="3300"/>
      <c r="V139" s="3300"/>
      <c r="W139" s="3300"/>
      <c r="X139" s="3300"/>
      <c r="Y139" s="3300"/>
      <c r="Z139" s="3300"/>
      <c r="AA139" s="3233" t="s">
        <v>236</v>
      </c>
      <c r="AB139" s="3300"/>
      <c r="AC139" s="3300"/>
      <c r="AD139" s="3300"/>
      <c r="AE139" s="3300"/>
      <c r="AF139" s="3300"/>
      <c r="AG139" s="3231"/>
      <c r="AH139" s="3231"/>
      <c r="AI139" s="3231"/>
      <c r="AJ139" s="3231"/>
      <c r="AK139" s="3231"/>
      <c r="AL139" s="3233" t="s">
        <v>808</v>
      </c>
      <c r="AM139" s="3300"/>
      <c r="AN139" s="3300"/>
      <c r="AO139" s="3300"/>
      <c r="AP139" s="3300"/>
      <c r="AQ139" s="3300"/>
      <c r="AR139" s="3300"/>
      <c r="AS139" s="3300"/>
      <c r="AT139" s="3334" t="s">
        <v>2417</v>
      </c>
      <c r="AU139" s="3300"/>
      <c r="AV139" s="3306"/>
      <c r="AW139" s="3300"/>
      <c r="AX139" s="3950"/>
      <c r="AY139" s="3230" t="s">
        <v>2639</v>
      </c>
      <c r="AZ139" s="3950"/>
      <c r="BA139" s="3300"/>
      <c r="BB139" s="4879"/>
      <c r="BC139" s="3300"/>
      <c r="BD139" s="3300"/>
      <c r="BE139" s="3300"/>
      <c r="BF139" s="3302">
        <v>1</v>
      </c>
      <c r="BG139" s="3302">
        <v>1</v>
      </c>
      <c r="BH139" s="3302">
        <v>1</v>
      </c>
      <c r="BI139" s="3302">
        <v>1</v>
      </c>
      <c r="BJ139" s="3302">
        <v>1</v>
      </c>
      <c r="BK139" s="3302">
        <v>1</v>
      </c>
      <c r="BL139" s="3302">
        <v>1</v>
      </c>
      <c r="BM139" s="3302">
        <v>1</v>
      </c>
      <c r="BN139" s="3302">
        <v>1</v>
      </c>
      <c r="BO139" s="3302">
        <v>1</v>
      </c>
      <c r="BP139" s="3302">
        <v>1</v>
      </c>
    </row>
    <row r="140" spans="1:68" ht="29.25" customHeight="1">
      <c r="A140" s="173">
        <v>111</v>
      </c>
      <c r="B140" s="3211" t="s">
        <v>2415</v>
      </c>
      <c r="C140" s="3212" t="s">
        <v>1918</v>
      </c>
      <c r="D140" s="3300"/>
      <c r="E140" s="3300"/>
      <c r="F140" s="3300"/>
      <c r="G140" s="3300"/>
      <c r="H140" s="3300"/>
      <c r="I140" s="3300"/>
      <c r="J140" s="3300"/>
      <c r="K140" s="3300"/>
      <c r="L140" s="3300"/>
      <c r="M140" s="3300"/>
      <c r="N140" s="3300"/>
      <c r="O140" s="3300"/>
      <c r="P140" s="3300"/>
      <c r="Q140" s="3300"/>
      <c r="R140" s="3300"/>
      <c r="S140" s="3300"/>
      <c r="T140" s="3300"/>
      <c r="U140" s="3300"/>
      <c r="V140" s="3300"/>
      <c r="W140" s="3300"/>
      <c r="X140" s="3300"/>
      <c r="Y140" s="3300"/>
      <c r="Z140" s="3300"/>
      <c r="AA140" s="3300"/>
      <c r="AB140" s="3300"/>
      <c r="AC140" s="3300"/>
      <c r="AD140" s="3300"/>
      <c r="AE140" s="3300"/>
      <c r="AF140" s="3300"/>
      <c r="AG140" s="3231"/>
      <c r="AH140" s="3231"/>
      <c r="AI140" s="3231"/>
      <c r="AJ140" s="3231"/>
      <c r="AK140" s="3231"/>
      <c r="AL140" s="3231"/>
      <c r="AM140" s="3300"/>
      <c r="AN140" s="3300"/>
      <c r="AO140" s="3300"/>
      <c r="AP140" s="3300"/>
      <c r="AQ140" s="3300"/>
      <c r="AR140" s="3300"/>
      <c r="AS140" s="3352" t="s">
        <v>2675</v>
      </c>
      <c r="AT140" s="3300"/>
      <c r="AU140" s="3300"/>
      <c r="AV140" s="3306"/>
      <c r="AW140" s="3300"/>
      <c r="AX140" s="3300"/>
      <c r="AY140" s="3300"/>
      <c r="AZ140" s="3300"/>
      <c r="BA140" s="3300"/>
      <c r="BB140" s="4879"/>
      <c r="BC140" s="3300"/>
      <c r="BD140" s="3300"/>
      <c r="BE140" s="3300"/>
      <c r="BF140" s="3302"/>
      <c r="BG140" s="3302"/>
      <c r="BH140" s="3302"/>
      <c r="BI140" s="3302"/>
      <c r="BJ140" s="3302"/>
      <c r="BK140" s="3302"/>
      <c r="BL140" s="3302"/>
      <c r="BM140" s="3302"/>
      <c r="BN140" s="3302">
        <v>1</v>
      </c>
      <c r="BO140" s="3302">
        <v>1</v>
      </c>
      <c r="BP140" s="3302">
        <v>1</v>
      </c>
    </row>
    <row r="141" spans="1:68" ht="29.25" customHeight="1">
      <c r="A141" s="173">
        <v>112</v>
      </c>
      <c r="B141" s="3282" t="s">
        <v>2416</v>
      </c>
      <c r="C141" s="3283" t="s">
        <v>1918</v>
      </c>
      <c r="D141" s="3353"/>
      <c r="E141" s="3353"/>
      <c r="F141" s="3353"/>
      <c r="G141" s="3353"/>
      <c r="H141" s="3353"/>
      <c r="I141" s="3353"/>
      <c r="J141" s="3353"/>
      <c r="K141" s="3353"/>
      <c r="L141" s="3353"/>
      <c r="M141" s="3353"/>
      <c r="N141" s="3353"/>
      <c r="O141" s="3353"/>
      <c r="P141" s="3353"/>
      <c r="Q141" s="3353"/>
      <c r="R141" s="3353"/>
      <c r="S141" s="3353"/>
      <c r="T141" s="3353"/>
      <c r="U141" s="3353"/>
      <c r="V141" s="3353"/>
      <c r="W141" s="3353"/>
      <c r="X141" s="3353"/>
      <c r="Y141" s="3353"/>
      <c r="Z141" s="3353"/>
      <c r="AA141" s="3353"/>
      <c r="AB141" s="3353"/>
      <c r="AC141" s="3353"/>
      <c r="AD141" s="3353"/>
      <c r="AE141" s="3353"/>
      <c r="AF141" s="3353"/>
      <c r="AG141" s="3354"/>
      <c r="AH141" s="3354"/>
      <c r="AI141" s="3354"/>
      <c r="AJ141" s="3354"/>
      <c r="AK141" s="3354"/>
      <c r="AL141" s="3353"/>
      <c r="AM141" s="3353"/>
      <c r="AN141" s="3353"/>
      <c r="AO141" s="3353"/>
      <c r="AP141" s="3355" t="s">
        <v>1924</v>
      </c>
      <c r="AQ141" s="3353"/>
      <c r="AR141" s="3353"/>
      <c r="AS141" s="3356" t="s">
        <v>2675</v>
      </c>
      <c r="AT141" s="3353"/>
      <c r="AU141" s="3353"/>
      <c r="AV141" s="3357"/>
      <c r="AW141" s="3353"/>
      <c r="AX141" s="3353"/>
      <c r="AY141" s="3353"/>
      <c r="AZ141" s="3353"/>
      <c r="BA141" s="3353"/>
      <c r="BB141" s="4894"/>
      <c r="BC141" s="3353"/>
      <c r="BD141" s="3353"/>
      <c r="BE141" s="3353"/>
      <c r="BF141" s="3358"/>
      <c r="BG141" s="3358"/>
      <c r="BH141" s="3358"/>
      <c r="BI141" s="3358"/>
      <c r="BJ141" s="3358"/>
      <c r="BK141" s="3358"/>
      <c r="BL141" s="3358">
        <v>1</v>
      </c>
      <c r="BM141" s="3358">
        <v>1</v>
      </c>
      <c r="BN141" s="3358">
        <v>1</v>
      </c>
      <c r="BO141" s="3358">
        <v>1</v>
      </c>
      <c r="BP141" s="3358">
        <v>1</v>
      </c>
    </row>
    <row r="142" spans="1:68" ht="14.4">
      <c r="B142" s="1216" t="s">
        <v>450</v>
      </c>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83"/>
      <c r="AB142" s="171"/>
      <c r="AC142" s="171"/>
      <c r="AD142" s="171"/>
      <c r="AE142" s="171"/>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3921">
        <v>42</v>
      </c>
      <c r="BG142" s="3921">
        <f>SUM(BG5:BG139)</f>
        <v>53</v>
      </c>
      <c r="BH142" s="3921">
        <f>SUM(BH5:BH139)</f>
        <v>61</v>
      </c>
      <c r="BI142" s="3921">
        <f>SUM(BI5:BI139)</f>
        <v>59</v>
      </c>
      <c r="BJ142" s="3921">
        <f>SUM(BJ5:BJ139)</f>
        <v>64</v>
      </c>
      <c r="BK142" s="3921">
        <f>SUM(BK4:BK139)</f>
        <v>73</v>
      </c>
      <c r="BL142" s="3921">
        <f>SUM(BL5:BL141)</f>
        <v>84</v>
      </c>
      <c r="BM142" s="3921">
        <f>SUM(BM5:BM141)</f>
        <v>83</v>
      </c>
      <c r="BN142" s="3921">
        <f>SUM(BN5:BN141)</f>
        <v>81</v>
      </c>
      <c r="BO142" s="3921">
        <f>SUM(BO5:BO141)</f>
        <v>85</v>
      </c>
      <c r="BP142" s="2220">
        <f>SUM(BP5:BP141)</f>
        <v>62</v>
      </c>
    </row>
    <row r="143" spans="1:68" ht="14.4">
      <c r="B143" s="1217" t="s">
        <v>448</v>
      </c>
      <c r="C143" s="169"/>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BI143" s="173"/>
      <c r="BM143" s="173"/>
      <c r="BN143" s="173"/>
      <c r="BO143" s="173"/>
      <c r="BP143" s="173"/>
    </row>
    <row r="144" spans="1:68" ht="14.4">
      <c r="B144" s="1217" t="s">
        <v>449</v>
      </c>
      <c r="C144" s="169"/>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2"/>
      <c r="AA144" s="172"/>
      <c r="AB144" s="172"/>
      <c r="AC144" s="172"/>
      <c r="AD144" s="172"/>
      <c r="AT144" s="2219"/>
      <c r="AU144" s="2219"/>
      <c r="AV144" s="2219"/>
      <c r="AW144" s="2200"/>
      <c r="AX144" s="2200"/>
      <c r="AY144" s="2200"/>
      <c r="AZ144" s="2200"/>
      <c r="BA144" s="2200" t="s">
        <v>446</v>
      </c>
      <c r="BB144" s="2200"/>
      <c r="BC144" s="2200"/>
      <c r="BD144" s="2200"/>
      <c r="BE144" s="2200"/>
      <c r="BF144" s="3931">
        <f>BF142/73</f>
        <v>0.57534246575342463</v>
      </c>
      <c r="BG144" s="3931">
        <f>BG142/75</f>
        <v>0.70666666666666667</v>
      </c>
      <c r="BH144" s="3931">
        <f>BH142/90</f>
        <v>0.67777777777777781</v>
      </c>
      <c r="BI144" s="3931">
        <f>BI142/90</f>
        <v>0.65555555555555556</v>
      </c>
      <c r="BJ144" s="3932">
        <f>BJ142/91</f>
        <v>0.70329670329670335</v>
      </c>
      <c r="BK144" s="3932">
        <f>BK142/98</f>
        <v>0.74489795918367352</v>
      </c>
      <c r="BL144" s="3932">
        <f>BL142/99</f>
        <v>0.84848484848484851</v>
      </c>
      <c r="BM144" s="3932">
        <f>BM142/108</f>
        <v>0.76851851851851849</v>
      </c>
      <c r="BN144" s="3932">
        <f>BN142/110</f>
        <v>0.73636363636363633</v>
      </c>
      <c r="BO144" s="3932">
        <f>BO142/112</f>
        <v>0.7589285714285714</v>
      </c>
      <c r="BP144" s="3933">
        <f>BP142/112</f>
        <v>0.5535714285714286</v>
      </c>
    </row>
    <row r="145" spans="2:64" ht="14.4"/>
    <row r="146" spans="2:64" ht="14.4">
      <c r="B146" s="204" t="s">
        <v>558</v>
      </c>
      <c r="BF146" s="5930"/>
      <c r="BG146" s="1218"/>
    </row>
    <row r="147" spans="2:64" ht="14.4">
      <c r="B147" s="205" t="s">
        <v>212</v>
      </c>
      <c r="BF147" s="5930"/>
      <c r="BG147" s="1218"/>
      <c r="BH147" s="1218"/>
      <c r="BI147" s="1218"/>
      <c r="BJ147" s="1218"/>
      <c r="BK147" s="1218"/>
      <c r="BL147" s="1617"/>
    </row>
    <row r="148" spans="2:64" ht="14.4">
      <c r="B148" s="206" t="s">
        <v>213</v>
      </c>
      <c r="BF148" s="5930"/>
      <c r="BG148" s="1218"/>
      <c r="BH148" s="1218"/>
      <c r="BI148" s="1218"/>
      <c r="BJ148" s="1218"/>
      <c r="BK148" s="1218"/>
      <c r="BL148" s="1617"/>
    </row>
    <row r="149" spans="2:64" ht="14.4">
      <c r="B149" s="207" t="s">
        <v>214</v>
      </c>
      <c r="BF149" s="5930"/>
      <c r="BG149" s="1218"/>
      <c r="BH149" s="1218"/>
      <c r="BI149" s="1218"/>
      <c r="BJ149" s="1218"/>
      <c r="BK149" s="1218"/>
      <c r="BL149" s="1617"/>
    </row>
    <row r="150" spans="2:64" ht="14.4">
      <c r="B150" s="208" t="s">
        <v>583</v>
      </c>
      <c r="BF150" s="5930"/>
      <c r="BG150" s="1218"/>
    </row>
    <row r="151" spans="2:64" ht="14.4">
      <c r="B151" s="213" t="s">
        <v>557</v>
      </c>
      <c r="BF151" s="1218"/>
    </row>
    <row r="152" spans="2:64" ht="14.4">
      <c r="B152" s="1209" t="s">
        <v>582</v>
      </c>
      <c r="C152" s="203"/>
      <c r="BF152" s="1218"/>
    </row>
    <row r="153" spans="2:64" ht="14.4">
      <c r="B153" s="1211"/>
    </row>
  </sheetData>
  <sheetProtection algorithmName="SHA-512" hashValue="gaXRGEaUGfvS2lmGxGgJmGRn+/wxBIOAEQ+VEAyijNANpA0YHlzlW6FdSExKp/ZNu9YlGT6B1ows1a0vFnqw7g==" saltValue="KfSdRdHFtHpxLnMWP9eyJg==" spinCount="100000" sheet="1" objects="1" scenarios="1"/>
  <mergeCells count="1">
    <mergeCell ref="BF146:BF150"/>
  </mergeCells>
  <pageMargins left="0.75" right="0.75" top="1" bottom="1" header="0" footer="0"/>
  <pageSetup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499984740745262"/>
  </sheetPr>
  <dimension ref="A1:AH35"/>
  <sheetViews>
    <sheetView showGridLines="0" zoomScaleNormal="100" workbookViewId="0">
      <pane xSplit="3" ySplit="5" topLeftCell="AA6" activePane="bottomRight" state="frozen"/>
      <selection pane="topRight" activeCell="D1" sqref="D1"/>
      <selection pane="bottomLeft" activeCell="A6" sqref="A6"/>
      <selection pane="bottomRight" activeCell="AS22" sqref="AS22"/>
    </sheetView>
  </sheetViews>
  <sheetFormatPr baseColWidth="10" defaultRowHeight="14.4"/>
  <cols>
    <col min="1" max="1" width="3.77734375" customWidth="1"/>
    <col min="2" max="2" width="15.77734375" customWidth="1"/>
    <col min="3" max="3" width="1.77734375" customWidth="1"/>
    <col min="4" max="8" width="7.77734375" customWidth="1"/>
    <col min="11" max="11" width="1.77734375" customWidth="1"/>
    <col min="12" max="16" width="7.77734375" customWidth="1"/>
    <col min="19" max="19" width="1.77734375" customWidth="1"/>
    <col min="20" max="24" width="7.77734375" customWidth="1"/>
    <col min="25" max="26" width="11.44140625" customWidth="1"/>
    <col min="27" max="27" width="1.77734375" customWidth="1"/>
    <col min="28" max="32" width="7.77734375" customWidth="1"/>
    <col min="33" max="34" width="11.44140625" customWidth="1"/>
    <col min="35" max="55" width="7.77734375" customWidth="1"/>
  </cols>
  <sheetData>
    <row r="1" spans="1:34" ht="19.5" customHeight="1">
      <c r="B1" s="3594" t="s">
        <v>460</v>
      </c>
    </row>
    <row r="2" spans="1:34" ht="15.75" customHeight="1">
      <c r="B2" s="3593" t="s">
        <v>2738</v>
      </c>
    </row>
    <row r="3" spans="1:34">
      <c r="B3" s="1221"/>
    </row>
    <row r="4" spans="1:34" ht="15" customHeight="1">
      <c r="B4" s="5931" t="s">
        <v>2587</v>
      </c>
      <c r="C4" s="3874"/>
      <c r="D4" s="5933">
        <v>2017</v>
      </c>
      <c r="E4" s="5933"/>
      <c r="F4" s="5933"/>
      <c r="G4" s="5933"/>
      <c r="H4" s="5933"/>
      <c r="I4" s="5934" t="s">
        <v>437</v>
      </c>
      <c r="J4" s="5934" t="s">
        <v>438</v>
      </c>
      <c r="K4" s="3874"/>
      <c r="L4" s="5933">
        <v>2018</v>
      </c>
      <c r="M4" s="5933"/>
      <c r="N4" s="5933"/>
      <c r="O4" s="5933"/>
      <c r="P4" s="5933"/>
      <c r="Q4" s="5934" t="s">
        <v>437</v>
      </c>
      <c r="R4" s="5934" t="s">
        <v>438</v>
      </c>
      <c r="T4" s="5933">
        <v>2019</v>
      </c>
      <c r="U4" s="5933"/>
      <c r="V4" s="5933"/>
      <c r="W4" s="5933"/>
      <c r="X4" s="5933"/>
      <c r="Y4" s="5934" t="s">
        <v>437</v>
      </c>
      <c r="Z4" s="5934" t="s">
        <v>438</v>
      </c>
      <c r="AA4" s="5442"/>
      <c r="AB4" s="5933">
        <v>2020</v>
      </c>
      <c r="AC4" s="5933"/>
      <c r="AD4" s="5933"/>
      <c r="AE4" s="5933"/>
      <c r="AF4" s="5933"/>
      <c r="AG4" s="5934" t="s">
        <v>437</v>
      </c>
      <c r="AH4" s="5934" t="s">
        <v>438</v>
      </c>
    </row>
    <row r="5" spans="1:34" ht="15" thickBot="1">
      <c r="B5" s="5932"/>
      <c r="C5" s="3874"/>
      <c r="D5" s="3877" t="s">
        <v>77</v>
      </c>
      <c r="E5" s="3877" t="s">
        <v>78</v>
      </c>
      <c r="F5" s="3877" t="s">
        <v>79</v>
      </c>
      <c r="G5" s="3877" t="s">
        <v>80</v>
      </c>
      <c r="H5" s="3877" t="s">
        <v>15</v>
      </c>
      <c r="I5" s="5935"/>
      <c r="J5" s="5935"/>
      <c r="K5" s="3874"/>
      <c r="L5" s="3877" t="s">
        <v>77</v>
      </c>
      <c r="M5" s="3877" t="s">
        <v>78</v>
      </c>
      <c r="N5" s="3877" t="s">
        <v>79</v>
      </c>
      <c r="O5" s="3877" t="s">
        <v>80</v>
      </c>
      <c r="P5" s="3877" t="s">
        <v>15</v>
      </c>
      <c r="Q5" s="5935"/>
      <c r="R5" s="5935"/>
      <c r="T5" s="3877" t="s">
        <v>77</v>
      </c>
      <c r="U5" s="3877" t="s">
        <v>78</v>
      </c>
      <c r="V5" s="3877" t="s">
        <v>79</v>
      </c>
      <c r="W5" s="3877" t="s">
        <v>80</v>
      </c>
      <c r="X5" s="3877" t="s">
        <v>15</v>
      </c>
      <c r="Y5" s="5935"/>
      <c r="Z5" s="5935"/>
      <c r="AA5" s="5442"/>
      <c r="AB5" s="3877" t="s">
        <v>77</v>
      </c>
      <c r="AC5" s="3877" t="s">
        <v>78</v>
      </c>
      <c r="AD5" s="3877" t="s">
        <v>79</v>
      </c>
      <c r="AE5" s="3877" t="s">
        <v>80</v>
      </c>
      <c r="AF5" s="3877" t="s">
        <v>15</v>
      </c>
      <c r="AG5" s="5935"/>
      <c r="AH5" s="5935"/>
    </row>
    <row r="6" spans="1:34">
      <c r="B6" s="3878"/>
      <c r="C6" s="3875"/>
      <c r="D6" s="3878"/>
      <c r="E6" s="3878"/>
      <c r="F6" s="3878"/>
      <c r="G6" s="3878"/>
      <c r="H6" s="3878"/>
      <c r="I6" s="3875"/>
      <c r="J6" s="3875"/>
      <c r="K6" s="3875"/>
      <c r="L6" s="3878"/>
      <c r="M6" s="3878"/>
      <c r="N6" s="3878"/>
      <c r="O6" s="3878"/>
      <c r="P6" s="3878"/>
      <c r="Q6" s="3875"/>
      <c r="R6" s="3875"/>
      <c r="T6" s="3878"/>
      <c r="U6" s="3878"/>
      <c r="V6" s="3878"/>
      <c r="W6" s="3878"/>
      <c r="X6" s="3878"/>
      <c r="Y6" s="3875"/>
      <c r="Z6" s="3875"/>
      <c r="AA6" s="5442"/>
      <c r="AB6" s="3878"/>
      <c r="AC6" s="3878"/>
      <c r="AD6" s="3878"/>
      <c r="AE6" s="3878"/>
      <c r="AF6" s="3878"/>
      <c r="AG6" s="3875"/>
      <c r="AH6" s="3875"/>
    </row>
    <row r="7" spans="1:34">
      <c r="B7" s="3879" t="s">
        <v>4</v>
      </c>
      <c r="C7" s="2464"/>
      <c r="D7" s="3880">
        <v>56</v>
      </c>
      <c r="E7" s="3880">
        <v>5</v>
      </c>
      <c r="F7" s="3880">
        <v>115</v>
      </c>
      <c r="G7" s="3880">
        <v>222</v>
      </c>
      <c r="H7" s="3881">
        <f>SUM(D7:G7)</f>
        <v>398</v>
      </c>
      <c r="I7" s="2576">
        <f>(E7+F7+G7)/H7</f>
        <v>0.85929648241206025</v>
      </c>
      <c r="J7" s="2576">
        <f>G7/H7</f>
        <v>0.55778894472361806</v>
      </c>
      <c r="K7" s="2464"/>
      <c r="L7" s="3880">
        <v>53</v>
      </c>
      <c r="M7" s="3880">
        <v>4</v>
      </c>
      <c r="N7" s="3880">
        <v>116</v>
      </c>
      <c r="O7" s="3880">
        <v>229</v>
      </c>
      <c r="P7" s="3881">
        <f>SUM(L7:O7)</f>
        <v>402</v>
      </c>
      <c r="Q7" s="2576">
        <f>(M7+N7+O7)/P7</f>
        <v>0.86815920398009949</v>
      </c>
      <c r="R7" s="2576">
        <f>O7/P7</f>
        <v>0.56965174129353235</v>
      </c>
      <c r="T7" s="3880">
        <v>52</v>
      </c>
      <c r="U7" s="3880">
        <v>4</v>
      </c>
      <c r="V7" s="3880">
        <v>110</v>
      </c>
      <c r="W7" s="3880">
        <v>240</v>
      </c>
      <c r="X7" s="3881">
        <f>SUM(T7:W7)</f>
        <v>406</v>
      </c>
      <c r="Y7" s="2576">
        <f>(U7+V7+W7)/X7</f>
        <v>0.8719211822660099</v>
      </c>
      <c r="Z7" s="2576">
        <f>W7/X7</f>
        <v>0.59113300492610843</v>
      </c>
      <c r="AA7" s="5442"/>
      <c r="AB7" s="3880">
        <v>49</v>
      </c>
      <c r="AC7" s="3880">
        <v>4</v>
      </c>
      <c r="AD7" s="3880">
        <v>107</v>
      </c>
      <c r="AE7" s="3880">
        <v>242</v>
      </c>
      <c r="AF7" s="3881">
        <f>SUM(AB7:AE7)</f>
        <v>402</v>
      </c>
      <c r="AG7" s="2576">
        <f>(AC7+AD7+AE7)/AF7</f>
        <v>0.87810945273631846</v>
      </c>
      <c r="AH7" s="2576">
        <f>AE7/AF7</f>
        <v>0.60199004975124382</v>
      </c>
    </row>
    <row r="8" spans="1:34">
      <c r="B8" s="3882" t="s">
        <v>16</v>
      </c>
      <c r="C8" s="2464"/>
      <c r="D8" s="3883">
        <v>83</v>
      </c>
      <c r="E8" s="3883">
        <v>1</v>
      </c>
      <c r="F8" s="3883">
        <v>104</v>
      </c>
      <c r="G8" s="3883">
        <v>179</v>
      </c>
      <c r="H8" s="3884">
        <f>SUM(D8:G8)</f>
        <v>367</v>
      </c>
      <c r="I8" s="2577">
        <f>(E8+F8+G8)/H8</f>
        <v>0.77384196185286103</v>
      </c>
      <c r="J8" s="2577">
        <f>G8/H8</f>
        <v>0.4877384196185286</v>
      </c>
      <c r="K8" s="2464"/>
      <c r="L8" s="3883">
        <v>85</v>
      </c>
      <c r="M8" s="3883">
        <v>1</v>
      </c>
      <c r="N8" s="3883">
        <v>100</v>
      </c>
      <c r="O8" s="3883">
        <v>187</v>
      </c>
      <c r="P8" s="3884">
        <f>SUM(L8:O8)</f>
        <v>373</v>
      </c>
      <c r="Q8" s="2577">
        <f>(M8+N8+O8)/P8</f>
        <v>0.77211796246648789</v>
      </c>
      <c r="R8" s="2577">
        <f>O8/P8</f>
        <v>0.50134048257372654</v>
      </c>
      <c r="T8" s="3883">
        <v>67</v>
      </c>
      <c r="U8" s="3883">
        <v>2</v>
      </c>
      <c r="V8" s="3883">
        <v>105</v>
      </c>
      <c r="W8" s="3883">
        <v>188</v>
      </c>
      <c r="X8" s="3884">
        <f>SUM(T8:W8)</f>
        <v>362</v>
      </c>
      <c r="Y8" s="2577">
        <f>(U8+V8+W8)/X8</f>
        <v>0.81491712707182318</v>
      </c>
      <c r="Z8" s="2577">
        <f>W8/X8</f>
        <v>0.51933701657458564</v>
      </c>
      <c r="AA8" s="5442"/>
      <c r="AB8" s="3883">
        <v>66</v>
      </c>
      <c r="AC8" s="3883">
        <v>2</v>
      </c>
      <c r="AD8" s="3883">
        <v>102</v>
      </c>
      <c r="AE8" s="3883">
        <v>184</v>
      </c>
      <c r="AF8" s="3884">
        <f>SUM(AB8:AE8)</f>
        <v>354</v>
      </c>
      <c r="AG8" s="2577">
        <f>(AC8+AD8+AE8)/AF8</f>
        <v>0.81355932203389836</v>
      </c>
      <c r="AH8" s="2577">
        <f>AE8/AF8</f>
        <v>0.51977401129943501</v>
      </c>
    </row>
    <row r="9" spans="1:34">
      <c r="B9" s="5457" t="s">
        <v>21</v>
      </c>
      <c r="C9" s="5458"/>
      <c r="D9" s="5459">
        <v>51</v>
      </c>
      <c r="E9" s="5459">
        <v>4</v>
      </c>
      <c r="F9" s="5459">
        <v>123</v>
      </c>
      <c r="G9" s="5459">
        <v>59</v>
      </c>
      <c r="H9" s="5460">
        <f>SUM(D9:G9)</f>
        <v>237</v>
      </c>
      <c r="I9" s="5461">
        <f>(E9+F9+G9)/H9</f>
        <v>0.78481012658227844</v>
      </c>
      <c r="J9" s="5461">
        <f>G9/H9</f>
        <v>0.24894514767932491</v>
      </c>
      <c r="K9" s="5458"/>
      <c r="L9" s="5459">
        <v>45</v>
      </c>
      <c r="M9" s="5459">
        <v>4</v>
      </c>
      <c r="N9" s="5459">
        <v>130</v>
      </c>
      <c r="O9" s="5459">
        <v>62</v>
      </c>
      <c r="P9" s="5460">
        <f>SUM(L9:O9)</f>
        <v>241</v>
      </c>
      <c r="Q9" s="5461">
        <f>(M9+N9+O9)/P9</f>
        <v>0.81327800829875518</v>
      </c>
      <c r="R9" s="5461">
        <f>O9/P9</f>
        <v>0.25726141078838172</v>
      </c>
      <c r="S9" s="5462"/>
      <c r="T9" s="5459">
        <v>49</v>
      </c>
      <c r="U9" s="5459">
        <v>3</v>
      </c>
      <c r="V9" s="5459">
        <v>118</v>
      </c>
      <c r="W9" s="5459">
        <v>66</v>
      </c>
      <c r="X9" s="5460">
        <f>SUM(T9:W9)</f>
        <v>236</v>
      </c>
      <c r="Y9" s="5461">
        <f>(U9+V9+W9)/X9</f>
        <v>0.7923728813559322</v>
      </c>
      <c r="Z9" s="5461">
        <f>W9/X9</f>
        <v>0.27966101694915252</v>
      </c>
      <c r="AA9" s="5442"/>
      <c r="AB9" s="5459">
        <v>47</v>
      </c>
      <c r="AC9" s="5459">
        <v>3</v>
      </c>
      <c r="AD9" s="5459">
        <v>121</v>
      </c>
      <c r="AE9" s="5459">
        <v>64</v>
      </c>
      <c r="AF9" s="5460">
        <f>SUM(AB9:AE9)</f>
        <v>235</v>
      </c>
      <c r="AG9" s="5461">
        <f>(AC9+AD9+AE9)/AF9</f>
        <v>0.8</v>
      </c>
      <c r="AH9" s="5461">
        <f>AE9/AF9</f>
        <v>0.2723404255319149</v>
      </c>
    </row>
    <row r="10" spans="1:34" s="5154" customFormat="1">
      <c r="B10" s="5155" t="s">
        <v>3</v>
      </c>
      <c r="C10" s="3874"/>
      <c r="D10" s="5156">
        <f>SUM(D7:D9)</f>
        <v>190</v>
      </c>
      <c r="E10" s="5156">
        <f>SUM(E7:E9)</f>
        <v>10</v>
      </c>
      <c r="F10" s="5156">
        <f>SUM(F7:F9)</f>
        <v>342</v>
      </c>
      <c r="G10" s="5156">
        <f>SUM(G7:G9)</f>
        <v>460</v>
      </c>
      <c r="H10" s="5156">
        <f>SUM(H7:H9)</f>
        <v>1002</v>
      </c>
      <c r="I10" s="5157">
        <f>(E10+F10+G10)/H10</f>
        <v>0.81037924151696605</v>
      </c>
      <c r="J10" s="5157">
        <f>G10/H10</f>
        <v>0.45908183632734528</v>
      </c>
      <c r="K10" s="3874"/>
      <c r="L10" s="5156">
        <f>SUM(L7:L9)</f>
        <v>183</v>
      </c>
      <c r="M10" s="5156">
        <f>SUM(M7:M9)</f>
        <v>9</v>
      </c>
      <c r="N10" s="5156">
        <f>SUM(N7:N9)</f>
        <v>346</v>
      </c>
      <c r="O10" s="5156">
        <f>SUM(O7:O9)</f>
        <v>478</v>
      </c>
      <c r="P10" s="5156">
        <f>SUM(P7:P9)</f>
        <v>1016</v>
      </c>
      <c r="Q10" s="5157">
        <f>(M10+N10+O10)/P10</f>
        <v>0.81988188976377951</v>
      </c>
      <c r="R10" s="5157">
        <f>O10/P10</f>
        <v>0.47047244094488189</v>
      </c>
      <c r="T10" s="5156">
        <f>SUM(T7:T9)</f>
        <v>168</v>
      </c>
      <c r="U10" s="5156">
        <f>SUM(U7:U9)</f>
        <v>9</v>
      </c>
      <c r="V10" s="5156">
        <f>SUM(V7:V9)</f>
        <v>333</v>
      </c>
      <c r="W10" s="5156">
        <f>SUM(W7:W9)</f>
        <v>494</v>
      </c>
      <c r="X10" s="5156">
        <f>SUM(X7:X9)</f>
        <v>1004</v>
      </c>
      <c r="Y10" s="5157">
        <f>(U10+V10+W10)/X10</f>
        <v>0.83266932270916338</v>
      </c>
      <c r="Z10" s="5157">
        <f>W10/X10</f>
        <v>0.49203187250996017</v>
      </c>
      <c r="AA10" s="5442"/>
      <c r="AB10" s="5156">
        <f>SUM(AB7:AB9)</f>
        <v>162</v>
      </c>
      <c r="AC10" s="5156">
        <f>SUM(AC7:AC9)</f>
        <v>9</v>
      </c>
      <c r="AD10" s="5156">
        <f>SUM(AD7:AD9)</f>
        <v>330</v>
      </c>
      <c r="AE10" s="5156">
        <f>SUM(AE7:AE9)</f>
        <v>490</v>
      </c>
      <c r="AF10" s="5156">
        <f>SUM(AF7:AF9)</f>
        <v>991</v>
      </c>
      <c r="AG10" s="5157">
        <f>(AC10+AD10+AE10)/AF10</f>
        <v>0.8365287588294652</v>
      </c>
      <c r="AH10" s="5157">
        <f>AE10/AF10</f>
        <v>0.4944500504540868</v>
      </c>
    </row>
    <row r="11" spans="1:34">
      <c r="A11" s="2549"/>
      <c r="B11" s="3875"/>
      <c r="C11" s="2464"/>
      <c r="D11" s="3875"/>
      <c r="E11" s="3875"/>
      <c r="F11" s="3875"/>
      <c r="G11" s="3875"/>
      <c r="H11" s="3875"/>
      <c r="I11" s="3875"/>
      <c r="J11" s="3875"/>
      <c r="K11" s="2464"/>
      <c r="L11" s="3875"/>
      <c r="M11" s="3875"/>
      <c r="N11" s="3875"/>
      <c r="O11" s="3875"/>
      <c r="P11" s="3875"/>
      <c r="Q11" s="3875"/>
      <c r="R11" s="3875"/>
      <c r="T11" s="3875"/>
      <c r="U11" s="3875"/>
      <c r="V11" s="3875"/>
      <c r="W11" s="3875"/>
      <c r="X11" s="3875"/>
      <c r="Y11" s="3875"/>
      <c r="Z11" s="3875"/>
      <c r="AA11" s="5442"/>
      <c r="AB11" s="3875"/>
      <c r="AC11" s="3875"/>
      <c r="AD11" s="3875"/>
      <c r="AE11" s="3875"/>
      <c r="AF11" s="3875"/>
      <c r="AG11" s="3875"/>
      <c r="AH11" s="3875"/>
    </row>
    <row r="12" spans="1:34">
      <c r="B12" s="3879" t="s">
        <v>16</v>
      </c>
      <c r="C12" s="3875"/>
      <c r="D12" s="3880"/>
      <c r="E12" s="3880"/>
      <c r="F12" s="3880"/>
      <c r="G12" s="3880">
        <v>63</v>
      </c>
      <c r="H12" s="3881">
        <f>SUM(D12:G12)</f>
        <v>63</v>
      </c>
      <c r="I12" s="2576">
        <f>(E12+F12+G12)/H12</f>
        <v>1</v>
      </c>
      <c r="J12" s="2576">
        <f>G12/H12</f>
        <v>1</v>
      </c>
      <c r="K12" s="3875"/>
      <c r="L12" s="3880"/>
      <c r="M12" s="3880"/>
      <c r="N12" s="3880"/>
      <c r="O12" s="3880">
        <v>61</v>
      </c>
      <c r="P12" s="3881">
        <f>SUM(L12:O12)</f>
        <v>61</v>
      </c>
      <c r="Q12" s="2576">
        <f>(M12+N12+O12)/P12</f>
        <v>1</v>
      </c>
      <c r="R12" s="2576">
        <f>O12/P12</f>
        <v>1</v>
      </c>
      <c r="T12" s="3880"/>
      <c r="U12" s="3880"/>
      <c r="V12" s="3880"/>
      <c r="W12" s="3880">
        <v>60</v>
      </c>
      <c r="X12" s="3881">
        <f>SUM(T12:W12)</f>
        <v>60</v>
      </c>
      <c r="Y12" s="2576">
        <f>(U12+V12+W12)/X12</f>
        <v>1</v>
      </c>
      <c r="Z12" s="2576">
        <f>W12/X12</f>
        <v>1</v>
      </c>
      <c r="AA12" s="5442"/>
      <c r="AB12" s="3880">
        <v>0</v>
      </c>
      <c r="AC12" s="3880">
        <v>0</v>
      </c>
      <c r="AD12" s="3880">
        <v>1</v>
      </c>
      <c r="AE12" s="3880">
        <v>59</v>
      </c>
      <c r="AF12" s="3881">
        <f>SUM(AB12:AE12)</f>
        <v>60</v>
      </c>
      <c r="AG12" s="2576">
        <f>(AC12+AD12+AE12)/AF12</f>
        <v>1</v>
      </c>
      <c r="AH12" s="2576">
        <f>AE12/AF12</f>
        <v>0.98333333333333328</v>
      </c>
    </row>
    <row r="13" spans="1:34">
      <c r="B13" s="3882" t="s">
        <v>61</v>
      </c>
      <c r="C13" s="2464"/>
      <c r="D13" s="3883">
        <v>1</v>
      </c>
      <c r="E13" s="3883"/>
      <c r="F13" s="3883">
        <v>13</v>
      </c>
      <c r="G13" s="3883">
        <v>40</v>
      </c>
      <c r="H13" s="3884">
        <f>SUM(D13:G13)</f>
        <v>54</v>
      </c>
      <c r="I13" s="2577">
        <f>(E13+F13+G13)/H13</f>
        <v>0.98148148148148151</v>
      </c>
      <c r="J13" s="2577">
        <f>G13/H13</f>
        <v>0.7407407407407407</v>
      </c>
      <c r="K13" s="2464"/>
      <c r="L13" s="3883">
        <v>1</v>
      </c>
      <c r="M13" s="3883"/>
      <c r="N13" s="3883">
        <v>13</v>
      </c>
      <c r="O13" s="3883">
        <v>38</v>
      </c>
      <c r="P13" s="3884">
        <f>SUM(L13:O13)</f>
        <v>52</v>
      </c>
      <c r="Q13" s="2577">
        <f>(M13+N13+O13)/P13</f>
        <v>0.98076923076923073</v>
      </c>
      <c r="R13" s="2577">
        <f>O13/P13</f>
        <v>0.73076923076923073</v>
      </c>
      <c r="T13" s="3883">
        <v>1</v>
      </c>
      <c r="U13" s="3883"/>
      <c r="V13" s="3883">
        <v>13</v>
      </c>
      <c r="W13" s="3883">
        <v>39</v>
      </c>
      <c r="X13" s="3884">
        <f>SUM(T13:W13)</f>
        <v>53</v>
      </c>
      <c r="Y13" s="2577">
        <f>(U13+V13+W13)/X13</f>
        <v>0.98113207547169812</v>
      </c>
      <c r="Z13" s="2577">
        <f>W13/X13</f>
        <v>0.73584905660377353</v>
      </c>
      <c r="AA13" s="5442"/>
      <c r="AB13" s="3883">
        <v>1</v>
      </c>
      <c r="AC13" s="3883">
        <v>0</v>
      </c>
      <c r="AD13" s="3883">
        <v>13</v>
      </c>
      <c r="AE13" s="3883">
        <v>41</v>
      </c>
      <c r="AF13" s="3884">
        <f>SUM(AB13:AE13)</f>
        <v>55</v>
      </c>
      <c r="AG13" s="2577">
        <f>(AC13+AD13+AE13)/AF13</f>
        <v>0.98181818181818181</v>
      </c>
      <c r="AH13" s="2577">
        <f>AE13/AF13</f>
        <v>0.74545454545454548</v>
      </c>
    </row>
    <row r="14" spans="1:34">
      <c r="B14" s="3882" t="s">
        <v>64</v>
      </c>
      <c r="C14" s="2464"/>
      <c r="D14" s="3883">
        <v>2</v>
      </c>
      <c r="E14" s="3883"/>
      <c r="F14" s="3883">
        <v>4</v>
      </c>
      <c r="G14" s="3883">
        <v>48</v>
      </c>
      <c r="H14" s="3884">
        <f>SUM(D14:G14)</f>
        <v>54</v>
      </c>
      <c r="I14" s="2577">
        <f>(E14+F14+G14)/H14</f>
        <v>0.96296296296296291</v>
      </c>
      <c r="J14" s="2577">
        <f>G14/H14</f>
        <v>0.88888888888888884</v>
      </c>
      <c r="K14" s="2464"/>
      <c r="L14" s="3883">
        <v>1</v>
      </c>
      <c r="M14" s="3883"/>
      <c r="N14" s="3883">
        <v>4</v>
      </c>
      <c r="O14" s="3883">
        <v>48</v>
      </c>
      <c r="P14" s="3884">
        <f>SUM(L14:O14)</f>
        <v>53</v>
      </c>
      <c r="Q14" s="2577">
        <f>(M14+N14+O14)/P14</f>
        <v>0.98113207547169812</v>
      </c>
      <c r="R14" s="2577">
        <f>O14/P14</f>
        <v>0.90566037735849059</v>
      </c>
      <c r="T14" s="3883"/>
      <c r="U14" s="3883"/>
      <c r="V14" s="3883">
        <v>2</v>
      </c>
      <c r="W14" s="3883">
        <v>51</v>
      </c>
      <c r="X14" s="3884">
        <f>SUM(T14:W14)</f>
        <v>53</v>
      </c>
      <c r="Y14" s="2577">
        <f>(U14+V14+W14)/X14</f>
        <v>1</v>
      </c>
      <c r="Z14" s="2577">
        <f>W14/X14</f>
        <v>0.96226415094339623</v>
      </c>
      <c r="AA14" s="5442"/>
      <c r="AB14" s="3883">
        <v>0</v>
      </c>
      <c r="AC14" s="3883">
        <v>0</v>
      </c>
      <c r="AD14" s="3883">
        <v>2</v>
      </c>
      <c r="AE14" s="3883">
        <v>52</v>
      </c>
      <c r="AF14" s="3884">
        <f>SUM(AB14:AE14)</f>
        <v>54</v>
      </c>
      <c r="AG14" s="2577">
        <f>(AC14+AD14+AE14)/AF14</f>
        <v>1</v>
      </c>
      <c r="AH14" s="2577">
        <f>AE14/AF14</f>
        <v>0.96296296296296291</v>
      </c>
    </row>
    <row r="15" spans="1:34" s="5154" customFormat="1">
      <c r="B15" s="5155" t="s">
        <v>59</v>
      </c>
      <c r="C15" s="3874"/>
      <c r="D15" s="5156">
        <f>SUM(D12:D14)</f>
        <v>3</v>
      </c>
      <c r="E15" s="5156"/>
      <c r="F15" s="5156">
        <f>SUM(F12:F14)</f>
        <v>17</v>
      </c>
      <c r="G15" s="5156">
        <f>SUM(G12:G14)</f>
        <v>151</v>
      </c>
      <c r="H15" s="5156">
        <f>SUM(H12:H14)</f>
        <v>171</v>
      </c>
      <c r="I15" s="5157">
        <f>(E15+F15+G15)/H15</f>
        <v>0.98245614035087714</v>
      </c>
      <c r="J15" s="5157">
        <f>G15/H15</f>
        <v>0.88304093567251463</v>
      </c>
      <c r="K15" s="3874"/>
      <c r="L15" s="5156">
        <f>SUM(L12:L14)</f>
        <v>2</v>
      </c>
      <c r="M15" s="5156"/>
      <c r="N15" s="5156">
        <f>SUM(N12:N14)</f>
        <v>17</v>
      </c>
      <c r="O15" s="5156">
        <f>SUM(O12:O14)</f>
        <v>147</v>
      </c>
      <c r="P15" s="5156">
        <f>SUM(P12:P14)</f>
        <v>166</v>
      </c>
      <c r="Q15" s="5157">
        <f>(M15+N15+O15)/P15</f>
        <v>0.98795180722891562</v>
      </c>
      <c r="R15" s="5157">
        <f>O15/P15</f>
        <v>0.88554216867469882</v>
      </c>
      <c r="T15" s="5156">
        <f>SUM(T12:T14)</f>
        <v>1</v>
      </c>
      <c r="U15" s="5156"/>
      <c r="V15" s="5156">
        <f>SUM(V12:V14)</f>
        <v>15</v>
      </c>
      <c r="W15" s="5156">
        <f>SUM(W12:W14)</f>
        <v>150</v>
      </c>
      <c r="X15" s="5156">
        <f>SUM(X12:X14)</f>
        <v>166</v>
      </c>
      <c r="Y15" s="5157">
        <f>(U15+V15+W15)/X15</f>
        <v>0.99397590361445787</v>
      </c>
      <c r="Z15" s="5157">
        <f>W15/X15</f>
        <v>0.90361445783132532</v>
      </c>
      <c r="AA15" s="5442"/>
      <c r="AB15" s="5156">
        <f>SUM(AB12:AB14)</f>
        <v>1</v>
      </c>
      <c r="AC15" s="5156"/>
      <c r="AD15" s="5156">
        <f>SUM(AD12:AD14)</f>
        <v>16</v>
      </c>
      <c r="AE15" s="5156">
        <f>SUM(AE12:AE14)</f>
        <v>152</v>
      </c>
      <c r="AF15" s="5156">
        <f>SUM(AF12:AF14)</f>
        <v>169</v>
      </c>
      <c r="AG15" s="5157">
        <f>(AC15+AD15+AE15)/AF15</f>
        <v>0.99408284023668636</v>
      </c>
      <c r="AH15" s="5157">
        <f>AE15/AF15</f>
        <v>0.89940828402366868</v>
      </c>
    </row>
    <row r="16" spans="1:34">
      <c r="B16" s="3885"/>
      <c r="C16" s="2464"/>
      <c r="D16" s="3885"/>
      <c r="E16" s="3885"/>
      <c r="F16" s="3885"/>
      <c r="G16" s="3885"/>
      <c r="H16" s="3885"/>
      <c r="I16" s="2573"/>
      <c r="J16" s="2573"/>
      <c r="K16" s="2464"/>
      <c r="L16" s="3885"/>
      <c r="M16" s="3885"/>
      <c r="N16" s="3885"/>
      <c r="O16" s="3885"/>
      <c r="P16" s="3885"/>
      <c r="Q16" s="2573"/>
      <c r="R16" s="2573"/>
      <c r="T16" s="3885"/>
      <c r="U16" s="3885"/>
      <c r="V16" s="3885"/>
      <c r="W16" s="3885"/>
      <c r="X16" s="3885"/>
      <c r="Y16" s="2573"/>
      <c r="Z16" s="2573"/>
      <c r="AA16" s="5442"/>
      <c r="AB16" s="3885"/>
      <c r="AC16" s="3885"/>
      <c r="AD16" s="3885"/>
      <c r="AE16" s="3885"/>
      <c r="AF16" s="3885"/>
      <c r="AG16" s="2573"/>
      <c r="AH16" s="2573"/>
    </row>
    <row r="17" spans="1:34">
      <c r="B17" s="3879" t="s">
        <v>4</v>
      </c>
      <c r="C17" s="3875"/>
      <c r="D17" s="3880">
        <v>10</v>
      </c>
      <c r="E17" s="3880">
        <v>1</v>
      </c>
      <c r="F17" s="3880">
        <v>44</v>
      </c>
      <c r="G17" s="3880">
        <v>234</v>
      </c>
      <c r="H17" s="3881">
        <f>SUM(D17:G17)</f>
        <v>289</v>
      </c>
      <c r="I17" s="2576">
        <f>(E17+F17+G17)/H17</f>
        <v>0.96539792387543255</v>
      </c>
      <c r="J17" s="2576">
        <f>G17/H17</f>
        <v>0.80968858131487886</v>
      </c>
      <c r="K17" s="3875"/>
      <c r="L17" s="3880">
        <v>11</v>
      </c>
      <c r="M17" s="3880">
        <v>1</v>
      </c>
      <c r="N17" s="3880">
        <v>43</v>
      </c>
      <c r="O17" s="3880">
        <v>234</v>
      </c>
      <c r="P17" s="3881">
        <f>SUM(L17:O17)</f>
        <v>289</v>
      </c>
      <c r="Q17" s="2576">
        <f>(M17+N17+O17)/P17</f>
        <v>0.96193771626297575</v>
      </c>
      <c r="R17" s="2576">
        <f>O17/P17</f>
        <v>0.80968858131487886</v>
      </c>
      <c r="T17" s="3880">
        <v>11</v>
      </c>
      <c r="U17" s="3880">
        <v>1</v>
      </c>
      <c r="V17" s="3880">
        <v>37</v>
      </c>
      <c r="W17" s="3880">
        <v>234</v>
      </c>
      <c r="X17" s="3881">
        <f>SUM(T17:W17)</f>
        <v>283</v>
      </c>
      <c r="Y17" s="2576">
        <f>(U17+V17+W17)/X17</f>
        <v>0.96113074204946991</v>
      </c>
      <c r="Z17" s="2576">
        <f>W17/X17</f>
        <v>0.82685512367491165</v>
      </c>
      <c r="AA17" s="5442"/>
      <c r="AB17" s="3880">
        <v>9</v>
      </c>
      <c r="AC17" s="3880">
        <v>1</v>
      </c>
      <c r="AD17" s="3880">
        <v>36</v>
      </c>
      <c r="AE17" s="3880">
        <v>234</v>
      </c>
      <c r="AF17" s="3881">
        <f>SUM(AB17:AE17)</f>
        <v>280</v>
      </c>
      <c r="AG17" s="2576">
        <f>(AC17+AD17+AE17)/AF17</f>
        <v>0.96785714285714286</v>
      </c>
      <c r="AH17" s="2576">
        <f>AE17/AF17</f>
        <v>0.83571428571428574</v>
      </c>
    </row>
    <row r="18" spans="1:34">
      <c r="B18" s="3882" t="s">
        <v>16</v>
      </c>
      <c r="C18" s="2464"/>
      <c r="D18" s="3883">
        <v>45</v>
      </c>
      <c r="E18" s="3883">
        <v>1</v>
      </c>
      <c r="F18" s="3883">
        <v>83</v>
      </c>
      <c r="G18" s="3883">
        <v>220</v>
      </c>
      <c r="H18" s="3884">
        <f>SUM(D18:G18)</f>
        <v>349</v>
      </c>
      <c r="I18" s="2577">
        <f>(E18+F18+G18)/H18</f>
        <v>0.87106017191977081</v>
      </c>
      <c r="J18" s="2577">
        <f>G18/H18</f>
        <v>0.63037249283667618</v>
      </c>
      <c r="K18" s="2464"/>
      <c r="L18" s="3883">
        <v>37</v>
      </c>
      <c r="M18" s="3883">
        <v>1</v>
      </c>
      <c r="N18" s="3883">
        <v>88</v>
      </c>
      <c r="O18" s="3883">
        <v>228</v>
      </c>
      <c r="P18" s="3884">
        <f>SUM(L18:O18)</f>
        <v>354</v>
      </c>
      <c r="Q18" s="2577">
        <f>(M18+N18+O18)/P18</f>
        <v>0.89548022598870058</v>
      </c>
      <c r="R18" s="2577">
        <f>O18/P18</f>
        <v>0.64406779661016944</v>
      </c>
      <c r="T18" s="3883">
        <v>28</v>
      </c>
      <c r="U18" s="3883">
        <v>1</v>
      </c>
      <c r="V18" s="3883">
        <v>76</v>
      </c>
      <c r="W18" s="3883">
        <v>231</v>
      </c>
      <c r="X18" s="3884">
        <f>SUM(T18:W18)</f>
        <v>336</v>
      </c>
      <c r="Y18" s="2577">
        <f>(U18+V18+W18)/X18</f>
        <v>0.91666666666666663</v>
      </c>
      <c r="Z18" s="2577">
        <f>W18/X18</f>
        <v>0.6875</v>
      </c>
      <c r="AB18" s="3883">
        <v>25</v>
      </c>
      <c r="AC18" s="3883">
        <v>0</v>
      </c>
      <c r="AD18" s="3883">
        <v>75</v>
      </c>
      <c r="AE18" s="3883">
        <v>227</v>
      </c>
      <c r="AF18" s="3884">
        <f>SUM(AB18:AE18)</f>
        <v>327</v>
      </c>
      <c r="AG18" s="2577">
        <f>(AC18+AD18+AE18)/AF18</f>
        <v>0.92354740061162077</v>
      </c>
      <c r="AH18" s="2577">
        <f>AE18/AF18</f>
        <v>0.6941896024464832</v>
      </c>
    </row>
    <row r="19" spans="1:34">
      <c r="B19" s="3882" t="s">
        <v>41</v>
      </c>
      <c r="C19" s="2464"/>
      <c r="D19" s="3883">
        <v>20</v>
      </c>
      <c r="E19" s="3883">
        <v>2</v>
      </c>
      <c r="F19" s="3883">
        <v>54</v>
      </c>
      <c r="G19" s="3883">
        <v>176</v>
      </c>
      <c r="H19" s="3884">
        <f>SUM(D19:G19)</f>
        <v>252</v>
      </c>
      <c r="I19" s="2577">
        <f>(E19+F19+G19)/H19</f>
        <v>0.92063492063492058</v>
      </c>
      <c r="J19" s="2577">
        <f>G19/H19</f>
        <v>0.69841269841269837</v>
      </c>
      <c r="K19" s="2464"/>
      <c r="L19" s="3883">
        <v>20</v>
      </c>
      <c r="M19" s="3883">
        <v>2</v>
      </c>
      <c r="N19" s="3883">
        <v>52</v>
      </c>
      <c r="O19" s="3883">
        <v>175</v>
      </c>
      <c r="P19" s="3884">
        <f>SUM(L19:O19)</f>
        <v>249</v>
      </c>
      <c r="Q19" s="2577">
        <f>(M19+N19+O19)/P19</f>
        <v>0.91967871485943775</v>
      </c>
      <c r="R19" s="2577">
        <f>O19/P19</f>
        <v>0.70281124497991965</v>
      </c>
      <c r="T19" s="3883">
        <v>16</v>
      </c>
      <c r="U19" s="3883"/>
      <c r="V19" s="3883">
        <v>55</v>
      </c>
      <c r="W19" s="3883">
        <v>175</v>
      </c>
      <c r="X19" s="3884">
        <f>SUM(T19:W19)</f>
        <v>246</v>
      </c>
      <c r="Y19" s="2577">
        <f>(U19+V19+W19)/X19</f>
        <v>0.93495934959349591</v>
      </c>
      <c r="Z19" s="2577">
        <f>W19/X19</f>
        <v>0.71138211382113825</v>
      </c>
      <c r="AB19" s="3883">
        <v>16</v>
      </c>
      <c r="AC19" s="3883">
        <v>0</v>
      </c>
      <c r="AD19" s="3883">
        <v>53</v>
      </c>
      <c r="AE19" s="3883">
        <v>173</v>
      </c>
      <c r="AF19" s="3884">
        <f>SUM(AB19:AE19)</f>
        <v>242</v>
      </c>
      <c r="AG19" s="2577">
        <f>(AC19+AD19+AE19)/AF19</f>
        <v>0.93388429752066116</v>
      </c>
      <c r="AH19" s="2577">
        <f>AE19/AF19</f>
        <v>0.71487603305785119</v>
      </c>
    </row>
    <row r="20" spans="1:34" s="5154" customFormat="1">
      <c r="B20" s="5155" t="s">
        <v>25</v>
      </c>
      <c r="C20" s="3874"/>
      <c r="D20" s="5156">
        <f>SUM(D17:D19)</f>
        <v>75</v>
      </c>
      <c r="E20" s="5156">
        <f>SUM(E17:E19)</f>
        <v>4</v>
      </c>
      <c r="F20" s="5156">
        <f>SUM(F17:F19)</f>
        <v>181</v>
      </c>
      <c r="G20" s="5156">
        <f>SUM(G17:G19)</f>
        <v>630</v>
      </c>
      <c r="H20" s="5156">
        <f>SUM(D20:G20)</f>
        <v>890</v>
      </c>
      <c r="I20" s="5157">
        <f>(E20+F20+G20)/H20</f>
        <v>0.9157303370786517</v>
      </c>
      <c r="J20" s="5157">
        <f>G20/H20</f>
        <v>0.7078651685393258</v>
      </c>
      <c r="K20" s="3874"/>
      <c r="L20" s="5156">
        <f>SUM(L17:L19)</f>
        <v>68</v>
      </c>
      <c r="M20" s="5156">
        <f>SUM(M17:M19)</f>
        <v>4</v>
      </c>
      <c r="N20" s="5156">
        <f>SUM(N17:N19)</f>
        <v>183</v>
      </c>
      <c r="O20" s="5156">
        <f>SUM(O17:O19)</f>
        <v>637</v>
      </c>
      <c r="P20" s="5156">
        <f>SUM(L20:O20)</f>
        <v>892</v>
      </c>
      <c r="Q20" s="5157">
        <f>(M20+N20+O20)/P20</f>
        <v>0.92376681614349776</v>
      </c>
      <c r="R20" s="5157">
        <f>O20/P20</f>
        <v>0.7141255605381166</v>
      </c>
      <c r="T20" s="5156">
        <f>SUM(T17:T19)</f>
        <v>55</v>
      </c>
      <c r="U20" s="5156">
        <f>SUM(U17:U19)</f>
        <v>2</v>
      </c>
      <c r="V20" s="5156">
        <f>SUM(V17:V19)</f>
        <v>168</v>
      </c>
      <c r="W20" s="5156">
        <f>SUM(W17:W19)</f>
        <v>640</v>
      </c>
      <c r="X20" s="5156">
        <f>SUM(T20:W20)</f>
        <v>865</v>
      </c>
      <c r="Y20" s="5157">
        <f>(U20+V20+W20)/X20</f>
        <v>0.93641618497109824</v>
      </c>
      <c r="Z20" s="5157">
        <f>W20/X20</f>
        <v>0.73988439306358378</v>
      </c>
      <c r="AB20" s="5156">
        <f>SUM(AB17:AB19)</f>
        <v>50</v>
      </c>
      <c r="AC20" s="5156">
        <f>SUM(AC17:AC19)</f>
        <v>1</v>
      </c>
      <c r="AD20" s="5156">
        <f>SUM(AD17:AD19)</f>
        <v>164</v>
      </c>
      <c r="AE20" s="5156">
        <f>SUM(AE17:AE19)</f>
        <v>634</v>
      </c>
      <c r="AF20" s="5156">
        <f>SUM(AB20:AE20)</f>
        <v>849</v>
      </c>
      <c r="AG20" s="5157">
        <f>(AC20+AD20+AE20)/AF20</f>
        <v>0.94110718492343937</v>
      </c>
      <c r="AH20" s="5157">
        <f>AE20/AF20</f>
        <v>0.74676089517078914</v>
      </c>
    </row>
    <row r="21" spans="1:34">
      <c r="B21" s="3876"/>
      <c r="C21" s="2464"/>
      <c r="D21" s="3876"/>
      <c r="E21" s="3876"/>
      <c r="F21" s="3876"/>
      <c r="G21" s="3876"/>
      <c r="H21" s="3876"/>
      <c r="I21" s="3876"/>
      <c r="J21" s="3876"/>
      <c r="K21" s="2464"/>
      <c r="L21" s="3876"/>
      <c r="M21" s="3876"/>
      <c r="N21" s="3876"/>
      <c r="O21" s="3876"/>
      <c r="P21" s="3876"/>
      <c r="Q21" s="3876"/>
      <c r="R21" s="3876"/>
      <c r="T21" s="3876"/>
      <c r="U21" s="3876"/>
      <c r="V21" s="3876"/>
      <c r="W21" s="3876"/>
      <c r="X21" s="3876"/>
      <c r="Y21" s="3876"/>
      <c r="Z21" s="3876"/>
      <c r="AB21" s="3876"/>
      <c r="AC21" s="3876"/>
      <c r="AD21" s="3876"/>
      <c r="AE21" s="3876"/>
      <c r="AF21" s="3876"/>
      <c r="AG21" s="3876"/>
      <c r="AH21" s="3876"/>
    </row>
    <row r="22" spans="1:34">
      <c r="B22" s="3879" t="s">
        <v>4</v>
      </c>
      <c r="C22" s="3875"/>
      <c r="D22" s="3880"/>
      <c r="E22" s="3880"/>
      <c r="F22" s="3880">
        <v>2</v>
      </c>
      <c r="G22" s="3880">
        <v>17</v>
      </c>
      <c r="H22" s="3881">
        <f>SUM(D22:G22)</f>
        <v>19</v>
      </c>
      <c r="I22" s="2576">
        <f>(E22+F22+G22)/H22</f>
        <v>1</v>
      </c>
      <c r="J22" s="2576">
        <f>G22/H22</f>
        <v>0.89473684210526316</v>
      </c>
      <c r="K22" s="3875"/>
      <c r="L22" s="3880"/>
      <c r="M22" s="3880"/>
      <c r="N22" s="3880">
        <v>3</v>
      </c>
      <c r="O22" s="3880">
        <v>18</v>
      </c>
      <c r="P22" s="3881">
        <f>SUM(L22:O22)</f>
        <v>21</v>
      </c>
      <c r="Q22" s="2576">
        <f>(M22+N22+O22)/P22</f>
        <v>1</v>
      </c>
      <c r="R22" s="2576">
        <f>O22/P22</f>
        <v>0.8571428571428571</v>
      </c>
      <c r="T22" s="3880"/>
      <c r="U22" s="3880"/>
      <c r="V22" s="3880">
        <v>2</v>
      </c>
      <c r="W22" s="3880">
        <v>21</v>
      </c>
      <c r="X22" s="3881">
        <f>SUM(T22:W22)</f>
        <v>23</v>
      </c>
      <c r="Y22" s="2576">
        <f>(U22+V22+W22)/X22</f>
        <v>1</v>
      </c>
      <c r="Z22" s="2576">
        <f>W22/X22</f>
        <v>0.91304347826086951</v>
      </c>
      <c r="AB22" s="3880">
        <v>0</v>
      </c>
      <c r="AC22" s="3880">
        <v>0</v>
      </c>
      <c r="AD22" s="3880">
        <v>2</v>
      </c>
      <c r="AE22" s="3880">
        <v>20</v>
      </c>
      <c r="AF22" s="3881">
        <f>SUM(AB22:AE22)</f>
        <v>22</v>
      </c>
      <c r="AG22" s="2576">
        <f>(AC22+AD22+AE22)/AF22</f>
        <v>1</v>
      </c>
      <c r="AH22" s="2576">
        <f>AE22/AF22</f>
        <v>0.90909090909090906</v>
      </c>
    </row>
    <row r="23" spans="1:34">
      <c r="B23" s="3882" t="s">
        <v>16</v>
      </c>
      <c r="C23" s="2464"/>
      <c r="D23" s="3883"/>
      <c r="E23" s="3883"/>
      <c r="F23" s="3883">
        <v>7</v>
      </c>
      <c r="G23" s="3883">
        <v>22</v>
      </c>
      <c r="H23" s="3884">
        <f>SUM(D23:G23)</f>
        <v>29</v>
      </c>
      <c r="I23" s="2577">
        <f>(E23+F23+G23)/H23</f>
        <v>1</v>
      </c>
      <c r="J23" s="2577">
        <f>G23/H23</f>
        <v>0.75862068965517238</v>
      </c>
      <c r="K23" s="2464"/>
      <c r="L23" s="3883"/>
      <c r="M23" s="3883"/>
      <c r="N23" s="3883">
        <v>6</v>
      </c>
      <c r="O23" s="3883">
        <v>26</v>
      </c>
      <c r="P23" s="3884">
        <f>SUM(L23:O23)</f>
        <v>32</v>
      </c>
      <c r="Q23" s="2577">
        <f>(M23+N23+O23)/P23</f>
        <v>1</v>
      </c>
      <c r="R23" s="2577">
        <f>O23/P23</f>
        <v>0.8125</v>
      </c>
      <c r="T23" s="3883"/>
      <c r="U23" s="3883"/>
      <c r="V23" s="3883">
        <v>5</v>
      </c>
      <c r="W23" s="3883">
        <v>25</v>
      </c>
      <c r="X23" s="3884">
        <f>SUM(T23:W23)</f>
        <v>30</v>
      </c>
      <c r="Y23" s="2577">
        <f>(U23+V23+W23)/X23</f>
        <v>1</v>
      </c>
      <c r="Z23" s="2577">
        <f>W23/X23</f>
        <v>0.83333333333333337</v>
      </c>
      <c r="AB23" s="3883">
        <v>0</v>
      </c>
      <c r="AC23" s="3883">
        <v>0</v>
      </c>
      <c r="AD23" s="3883">
        <v>5</v>
      </c>
      <c r="AE23" s="3883">
        <v>26</v>
      </c>
      <c r="AF23" s="3884">
        <f>SUM(AB23:AE23)</f>
        <v>31</v>
      </c>
      <c r="AG23" s="2577">
        <f>(AC23+AD23+AE23)/AF23</f>
        <v>1</v>
      </c>
      <c r="AH23" s="2577">
        <f>AE23/AF23</f>
        <v>0.83870967741935487</v>
      </c>
    </row>
    <row r="24" spans="1:34">
      <c r="B24" s="3882" t="s">
        <v>41</v>
      </c>
      <c r="C24" s="2464"/>
      <c r="D24" s="3883"/>
      <c r="E24" s="3883"/>
      <c r="F24" s="3883"/>
      <c r="G24" s="3883">
        <v>20</v>
      </c>
      <c r="H24" s="3884">
        <f>SUM(D24:G24)</f>
        <v>20</v>
      </c>
      <c r="I24" s="2577">
        <f>(E24+F24+G24)/H24</f>
        <v>1</v>
      </c>
      <c r="J24" s="2577">
        <f>G24/H24</f>
        <v>1</v>
      </c>
      <c r="K24" s="2464"/>
      <c r="L24" s="3883"/>
      <c r="M24" s="3883"/>
      <c r="N24" s="3883"/>
      <c r="O24" s="3883">
        <v>20</v>
      </c>
      <c r="P24" s="3884">
        <f>SUM(L24:O24)</f>
        <v>20</v>
      </c>
      <c r="Q24" s="2577">
        <f>(M24+N24+O24)/P24</f>
        <v>1</v>
      </c>
      <c r="R24" s="2577">
        <f>O24/P24</f>
        <v>1</v>
      </c>
      <c r="T24" s="3883"/>
      <c r="U24" s="3883"/>
      <c r="V24" s="3883"/>
      <c r="W24" s="3883">
        <v>21</v>
      </c>
      <c r="X24" s="3884">
        <f>SUM(T24:W24)</f>
        <v>21</v>
      </c>
      <c r="Y24" s="2577">
        <f>(U24+V24+W24)/X24</f>
        <v>1</v>
      </c>
      <c r="Z24" s="2577">
        <f>W24/X24</f>
        <v>1</v>
      </c>
      <c r="AB24" s="3883">
        <v>0</v>
      </c>
      <c r="AC24" s="3883">
        <v>0</v>
      </c>
      <c r="AD24" s="3883">
        <v>0</v>
      </c>
      <c r="AE24" s="3883">
        <v>22</v>
      </c>
      <c r="AF24" s="3884">
        <f>SUM(AB24:AE24)</f>
        <v>22</v>
      </c>
      <c r="AG24" s="2577">
        <f>(AC24+AD24+AE24)/AF24</f>
        <v>1</v>
      </c>
      <c r="AH24" s="2577">
        <f>AE24/AF24</f>
        <v>1</v>
      </c>
    </row>
    <row r="25" spans="1:34" s="5154" customFormat="1">
      <c r="B25" s="5155" t="s">
        <v>244</v>
      </c>
      <c r="C25" s="3874"/>
      <c r="D25" s="5156"/>
      <c r="E25" s="5156"/>
      <c r="F25" s="5156">
        <f>SUM(F22:F24)</f>
        <v>9</v>
      </c>
      <c r="G25" s="5156">
        <f>SUM(G22:G24)</f>
        <v>59</v>
      </c>
      <c r="H25" s="5156">
        <f>SUM(D25:G25)</f>
        <v>68</v>
      </c>
      <c r="I25" s="5157">
        <f>(E25+F25+G25)/H25</f>
        <v>1</v>
      </c>
      <c r="J25" s="5157">
        <f>G25/H25</f>
        <v>0.86764705882352944</v>
      </c>
      <c r="K25" s="3874"/>
      <c r="L25" s="5156"/>
      <c r="M25" s="5156"/>
      <c r="N25" s="5156">
        <f>SUM(N22:N24)</f>
        <v>9</v>
      </c>
      <c r="O25" s="5156">
        <f>SUM(O22:O24)</f>
        <v>64</v>
      </c>
      <c r="P25" s="5156">
        <f>SUM(L25:O25)</f>
        <v>73</v>
      </c>
      <c r="Q25" s="5157">
        <f>(M25+N25+O25)/P25</f>
        <v>1</v>
      </c>
      <c r="R25" s="5157">
        <f>O25/P25</f>
        <v>0.87671232876712324</v>
      </c>
      <c r="T25" s="5156"/>
      <c r="U25" s="5156"/>
      <c r="V25" s="5156">
        <f>SUM(V22:V24)</f>
        <v>7</v>
      </c>
      <c r="W25" s="5156">
        <f>SUM(W22:W24)</f>
        <v>67</v>
      </c>
      <c r="X25" s="5156">
        <f>SUM(T25:W25)</f>
        <v>74</v>
      </c>
      <c r="Y25" s="5157">
        <f>(U25+V25+W25)/X25</f>
        <v>1</v>
      </c>
      <c r="Z25" s="5157">
        <f>W25/X25</f>
        <v>0.90540540540540537</v>
      </c>
      <c r="AB25" s="5156"/>
      <c r="AC25" s="5156"/>
      <c r="AD25" s="5156">
        <f>SUM(AD22:AD24)</f>
        <v>7</v>
      </c>
      <c r="AE25" s="5156">
        <f>SUM(AE22:AE24)</f>
        <v>68</v>
      </c>
      <c r="AF25" s="5156">
        <f>SUM(AB25:AE25)</f>
        <v>75</v>
      </c>
      <c r="AG25" s="5157">
        <f>(AC25+AD25+AE25)/AF25</f>
        <v>1</v>
      </c>
      <c r="AH25" s="5157">
        <f>AE25/AF25</f>
        <v>0.90666666666666662</v>
      </c>
    </row>
    <row r="26" spans="1:34">
      <c r="B26" s="3886"/>
      <c r="C26" s="2464"/>
      <c r="D26" s="3886"/>
      <c r="E26" s="3886"/>
      <c r="F26" s="3886"/>
      <c r="G26" s="3886"/>
      <c r="H26" s="3886"/>
      <c r="I26" s="2578"/>
      <c r="J26" s="2578"/>
      <c r="K26" s="2464"/>
      <c r="L26" s="3886"/>
      <c r="M26" s="3886"/>
      <c r="N26" s="3886"/>
      <c r="O26" s="3886"/>
      <c r="P26" s="3886"/>
      <c r="Q26" s="2578"/>
      <c r="R26" s="2578"/>
      <c r="T26" s="3886"/>
      <c r="U26" s="3886"/>
      <c r="V26" s="3886"/>
      <c r="W26" s="3886"/>
      <c r="X26" s="3886"/>
      <c r="Y26" s="2578"/>
      <c r="Z26" s="2578"/>
      <c r="AB26" s="3886"/>
      <c r="AC26" s="3886"/>
      <c r="AD26" s="3886"/>
      <c r="AE26" s="3886"/>
      <c r="AF26" s="3886"/>
      <c r="AG26" s="2578"/>
      <c r="AH26" s="2578"/>
    </row>
    <row r="27" spans="1:34">
      <c r="B27" s="3879" t="s">
        <v>16</v>
      </c>
      <c r="C27" s="3875"/>
      <c r="D27" s="3880">
        <v>54</v>
      </c>
      <c r="E27" s="3880">
        <v>2</v>
      </c>
      <c r="F27" s="3880">
        <v>122</v>
      </c>
      <c r="G27" s="3880">
        <v>210</v>
      </c>
      <c r="H27" s="3881">
        <f>SUM(D27:G27)</f>
        <v>388</v>
      </c>
      <c r="I27" s="2576">
        <f>(E27+F27+G27)/H27</f>
        <v>0.86082474226804129</v>
      </c>
      <c r="J27" s="2576">
        <f>G27/H27</f>
        <v>0.54123711340206182</v>
      </c>
      <c r="K27" s="3875"/>
      <c r="L27" s="3880">
        <v>52</v>
      </c>
      <c r="M27" s="3880">
        <v>1</v>
      </c>
      <c r="N27" s="3880">
        <v>122</v>
      </c>
      <c r="O27" s="3880">
        <v>218</v>
      </c>
      <c r="P27" s="3881">
        <f>SUM(L27:O27)</f>
        <v>393</v>
      </c>
      <c r="Q27" s="2576">
        <f>(M27+N27+O27)/P27</f>
        <v>0.86768447837150131</v>
      </c>
      <c r="R27" s="2576">
        <f>O27/P27</f>
        <v>0.55470737913486001</v>
      </c>
      <c r="T27" s="3880">
        <v>42</v>
      </c>
      <c r="U27" s="3880">
        <v>1</v>
      </c>
      <c r="V27" s="3880">
        <v>108</v>
      </c>
      <c r="W27" s="3880">
        <v>227</v>
      </c>
      <c r="X27" s="3881">
        <f>SUM(T27:W27)</f>
        <v>378</v>
      </c>
      <c r="Y27" s="2576">
        <f>(U27+V27+W27)/X27</f>
        <v>0.88888888888888884</v>
      </c>
      <c r="Z27" s="2576">
        <f>W27/X27</f>
        <v>0.60052910052910058</v>
      </c>
      <c r="AB27" s="3880">
        <v>42</v>
      </c>
      <c r="AC27" s="3880">
        <v>1</v>
      </c>
      <c r="AD27" s="3880">
        <v>104</v>
      </c>
      <c r="AE27" s="3880">
        <v>224</v>
      </c>
      <c r="AF27" s="3881">
        <f>SUM(AB27:AE27)</f>
        <v>371</v>
      </c>
      <c r="AG27" s="2576">
        <f>(AC27+AD27+AE27)/AF27</f>
        <v>0.8867924528301887</v>
      </c>
      <c r="AH27" s="2576">
        <f>AE27/AF27</f>
        <v>0.60377358490566035</v>
      </c>
    </row>
    <row r="28" spans="1:34">
      <c r="B28" s="3882" t="s">
        <v>41</v>
      </c>
      <c r="C28" s="2464"/>
      <c r="D28" s="3883">
        <v>42</v>
      </c>
      <c r="E28" s="3883">
        <v>7</v>
      </c>
      <c r="F28" s="3883">
        <v>143</v>
      </c>
      <c r="G28" s="3883">
        <v>194</v>
      </c>
      <c r="H28" s="3884">
        <f>SUM(D28:G28)</f>
        <v>386</v>
      </c>
      <c r="I28" s="2577">
        <f>(E28+F28+G28)/H28</f>
        <v>0.89119170984455953</v>
      </c>
      <c r="J28" s="2577">
        <f>G28/H28</f>
        <v>0.50259067357512954</v>
      </c>
      <c r="K28" s="2464"/>
      <c r="L28" s="3883">
        <v>40</v>
      </c>
      <c r="M28" s="3883">
        <v>6</v>
      </c>
      <c r="N28" s="3883">
        <v>142</v>
      </c>
      <c r="O28" s="3883">
        <v>195</v>
      </c>
      <c r="P28" s="3884">
        <f>SUM(L28:O28)</f>
        <v>383</v>
      </c>
      <c r="Q28" s="2577">
        <f>(M28+N28+O28)/P28</f>
        <v>0.8955613577023499</v>
      </c>
      <c r="R28" s="2577">
        <f>O28/P28</f>
        <v>0.50913838120104438</v>
      </c>
      <c r="T28" s="3883">
        <v>35</v>
      </c>
      <c r="U28" s="3883">
        <v>2</v>
      </c>
      <c r="V28" s="3883">
        <v>143</v>
      </c>
      <c r="W28" s="3883">
        <v>202</v>
      </c>
      <c r="X28" s="3884">
        <f>SUM(T28:W28)</f>
        <v>382</v>
      </c>
      <c r="Y28" s="2577">
        <f>(U28+V28+W28)/X28</f>
        <v>0.90837696335078533</v>
      </c>
      <c r="Z28" s="2577">
        <f>W28/X28</f>
        <v>0.52879581151832455</v>
      </c>
      <c r="AB28" s="3883">
        <v>32</v>
      </c>
      <c r="AC28" s="3883">
        <v>2</v>
      </c>
      <c r="AD28" s="3883">
        <v>137</v>
      </c>
      <c r="AE28" s="3883">
        <v>197</v>
      </c>
      <c r="AF28" s="3884">
        <f>SUM(AB28:AE28)</f>
        <v>368</v>
      </c>
      <c r="AG28" s="2577">
        <f>(AC28+AD28+AE28)/AF28</f>
        <v>0.91304347826086951</v>
      </c>
      <c r="AH28" s="2577">
        <f>AE28/AF28</f>
        <v>0.53532608695652173</v>
      </c>
    </row>
    <row r="29" spans="1:34">
      <c r="B29" s="3882" t="s">
        <v>21</v>
      </c>
      <c r="C29" s="2464"/>
      <c r="D29" s="3883">
        <v>43</v>
      </c>
      <c r="E29" s="3883">
        <v>4</v>
      </c>
      <c r="F29" s="3883">
        <v>79</v>
      </c>
      <c r="G29" s="3883">
        <v>41</v>
      </c>
      <c r="H29" s="3884">
        <f>SUM(D29:G29)</f>
        <v>167</v>
      </c>
      <c r="I29" s="2577">
        <f>(E29+F29+G29)/H29</f>
        <v>0.74251497005988021</v>
      </c>
      <c r="J29" s="2577">
        <f>G29/H29</f>
        <v>0.24550898203592814</v>
      </c>
      <c r="K29" s="2464"/>
      <c r="L29" s="3883">
        <v>39</v>
      </c>
      <c r="M29" s="3883">
        <v>4</v>
      </c>
      <c r="N29" s="3883">
        <v>79</v>
      </c>
      <c r="O29" s="3883">
        <v>43</v>
      </c>
      <c r="P29" s="3884">
        <f>SUM(L29:O29)</f>
        <v>165</v>
      </c>
      <c r="Q29" s="2577">
        <f>(M29+N29+O29)/P29</f>
        <v>0.76363636363636367</v>
      </c>
      <c r="R29" s="2577">
        <f>O29/P29</f>
        <v>0.26060606060606062</v>
      </c>
      <c r="T29" s="3883">
        <v>34</v>
      </c>
      <c r="U29" s="3883">
        <v>3</v>
      </c>
      <c r="V29" s="3883">
        <v>81</v>
      </c>
      <c r="W29" s="3883">
        <v>50</v>
      </c>
      <c r="X29" s="3884">
        <f>SUM(T29:W29)</f>
        <v>168</v>
      </c>
      <c r="Y29" s="2577">
        <f>(U29+V29+W29)/X29</f>
        <v>0.79761904761904767</v>
      </c>
      <c r="Z29" s="2577">
        <f>W29/X29</f>
        <v>0.29761904761904762</v>
      </c>
      <c r="AB29" s="3883">
        <v>31</v>
      </c>
      <c r="AC29" s="3883">
        <v>3</v>
      </c>
      <c r="AD29" s="3883">
        <v>81</v>
      </c>
      <c r="AE29" s="3883">
        <v>50</v>
      </c>
      <c r="AF29" s="3884">
        <f>SUM(AB29:AE29)</f>
        <v>165</v>
      </c>
      <c r="AG29" s="2577">
        <f>(AC29+AD29+AE29)/AF29</f>
        <v>0.81212121212121213</v>
      </c>
      <c r="AH29" s="2577">
        <f>AE29/AF29</f>
        <v>0.30303030303030304</v>
      </c>
    </row>
    <row r="30" spans="1:34" s="5154" customFormat="1">
      <c r="B30" s="5155" t="s">
        <v>48</v>
      </c>
      <c r="C30" s="3874"/>
      <c r="D30" s="5156">
        <f>SUM(D27:D29)</f>
        <v>139</v>
      </c>
      <c r="E30" s="5156">
        <f>SUM(E27:E29)</f>
        <v>13</v>
      </c>
      <c r="F30" s="5156">
        <f>SUM(F27:F29)</f>
        <v>344</v>
      </c>
      <c r="G30" s="5156">
        <f>SUM(G27:G29)</f>
        <v>445</v>
      </c>
      <c r="H30" s="5156">
        <f>SUM(H27:H29)</f>
        <v>941</v>
      </c>
      <c r="I30" s="5157">
        <f>(E30+F30+G30)/H30</f>
        <v>0.85228480340063761</v>
      </c>
      <c r="J30" s="5157">
        <f>G30/H30</f>
        <v>0.47290116896918172</v>
      </c>
      <c r="K30" s="3874"/>
      <c r="L30" s="5156">
        <f>SUM(L27:L29)</f>
        <v>131</v>
      </c>
      <c r="M30" s="5156">
        <f>SUM(M27:M29)</f>
        <v>11</v>
      </c>
      <c r="N30" s="5156">
        <f>SUM(N27:N29)</f>
        <v>343</v>
      </c>
      <c r="O30" s="5156">
        <f>SUM(O27:O29)</f>
        <v>456</v>
      </c>
      <c r="P30" s="5156">
        <f>SUM(P27:P29)</f>
        <v>941</v>
      </c>
      <c r="Q30" s="5157">
        <f>(M30+N30+O30)/P30</f>
        <v>0.86078639744952179</v>
      </c>
      <c r="R30" s="5157">
        <f>O30/P30</f>
        <v>0.48459086078639746</v>
      </c>
      <c r="T30" s="5156">
        <f>SUM(T27:T29)</f>
        <v>111</v>
      </c>
      <c r="U30" s="5156">
        <f>SUM(U27:U29)</f>
        <v>6</v>
      </c>
      <c r="V30" s="5156">
        <f>SUM(V27:V29)</f>
        <v>332</v>
      </c>
      <c r="W30" s="5156">
        <f>SUM(W27:W29)</f>
        <v>479</v>
      </c>
      <c r="X30" s="5156">
        <f>SUM(X27:X29)</f>
        <v>928</v>
      </c>
      <c r="Y30" s="5157">
        <f>(U30+V30+W30)/X30</f>
        <v>0.88038793103448276</v>
      </c>
      <c r="Z30" s="5157">
        <f>W30/X30</f>
        <v>0.51616379310344829</v>
      </c>
      <c r="AB30" s="5156">
        <f>SUM(AB27:AB29)</f>
        <v>105</v>
      </c>
      <c r="AC30" s="5156">
        <f>SUM(AC27:AC29)</f>
        <v>6</v>
      </c>
      <c r="AD30" s="5156">
        <f>SUM(AD27:AD29)</f>
        <v>322</v>
      </c>
      <c r="AE30" s="5156">
        <f>SUM(AE27:AE29)</f>
        <v>471</v>
      </c>
      <c r="AF30" s="5156">
        <f>SUM(AF27:AF29)</f>
        <v>904</v>
      </c>
      <c r="AG30" s="5157">
        <f>(AC30+AD30+AE30)/AF30</f>
        <v>0.88384955752212391</v>
      </c>
      <c r="AH30" s="5157">
        <f>AE30/AF30</f>
        <v>0.52101769911504425</v>
      </c>
    </row>
    <row r="31" spans="1:34" s="5154" customFormat="1">
      <c r="B31" s="5158"/>
      <c r="C31" s="5159"/>
      <c r="D31" s="5158"/>
      <c r="E31" s="5158"/>
      <c r="F31" s="5158"/>
      <c r="G31" s="5158"/>
      <c r="H31" s="5158"/>
      <c r="I31" s="5158"/>
      <c r="J31" s="5158"/>
      <c r="K31" s="5159"/>
      <c r="L31" s="5158"/>
      <c r="M31" s="5158"/>
      <c r="N31" s="5158"/>
      <c r="O31" s="5158"/>
      <c r="P31" s="5158"/>
      <c r="Q31" s="5158"/>
      <c r="R31" s="5158"/>
      <c r="T31" s="5158"/>
      <c r="U31" s="5158"/>
      <c r="V31" s="5158"/>
      <c r="W31" s="5158"/>
      <c r="X31" s="5158"/>
      <c r="Y31" s="5158"/>
      <c r="Z31" s="5158"/>
      <c r="AB31" s="5158"/>
      <c r="AC31" s="5158"/>
      <c r="AD31" s="5158"/>
      <c r="AE31" s="5158"/>
      <c r="AF31" s="5158"/>
      <c r="AG31" s="5158"/>
      <c r="AH31" s="5158"/>
    </row>
    <row r="32" spans="1:34" s="5163" customFormat="1" ht="20.25" customHeight="1">
      <c r="A32" s="5154"/>
      <c r="B32" s="5160" t="s">
        <v>113</v>
      </c>
      <c r="C32" s="5161"/>
      <c r="D32" s="5156">
        <f>SUM(D10,D15,D20,D25,D30)</f>
        <v>407</v>
      </c>
      <c r="E32" s="5156">
        <f>SUM(E10,E15,E20,E25,E30)</f>
        <v>27</v>
      </c>
      <c r="F32" s="5156">
        <f>SUM(F10,F15,F20,F25,F30)</f>
        <v>893</v>
      </c>
      <c r="G32" s="5156">
        <f>SUM(G10,G15,G20,G25,G30)</f>
        <v>1745</v>
      </c>
      <c r="H32" s="5156">
        <f>SUM(H10,H15,H20,H25,H30)</f>
        <v>3072</v>
      </c>
      <c r="I32" s="5162">
        <f>(E32+F32+G32)/H32</f>
        <v>0.86751302083333337</v>
      </c>
      <c r="J32" s="5162">
        <f>G32/H32</f>
        <v>0.56803385416666663</v>
      </c>
      <c r="K32" s="5161"/>
      <c r="L32" s="5156">
        <f>SUM(L10,L15,L20,L25,L30)</f>
        <v>384</v>
      </c>
      <c r="M32" s="5156">
        <f>SUM(M10,M15,M20,M25,M30)</f>
        <v>24</v>
      </c>
      <c r="N32" s="5156">
        <f>SUM(N10,N15,N20,N25,N30)</f>
        <v>898</v>
      </c>
      <c r="O32" s="5156">
        <f>SUM(O10,O15,O20,O25,O30)</f>
        <v>1782</v>
      </c>
      <c r="P32" s="5156">
        <f>SUM(P10,P15,P20,P25,P30)</f>
        <v>3088</v>
      </c>
      <c r="Q32" s="5162">
        <f>(M32+N32+O32)/P32</f>
        <v>0.87564766839378239</v>
      </c>
      <c r="R32" s="5162">
        <f>O32/P32</f>
        <v>0.57707253886010368</v>
      </c>
      <c r="S32" s="5154"/>
      <c r="T32" s="5156">
        <f>SUM(T10,T15,T20,T25,T30)</f>
        <v>335</v>
      </c>
      <c r="U32" s="5156">
        <f>SUM(U10,U15,U20,U25,U30)</f>
        <v>17</v>
      </c>
      <c r="V32" s="5156">
        <f>SUM(V10,V15,V20,V25,V30)</f>
        <v>855</v>
      </c>
      <c r="W32" s="5156">
        <f>SUM(W10,W15,W20,W25,W30)</f>
        <v>1830</v>
      </c>
      <c r="X32" s="5156">
        <f>SUM(X10,X15,X20,X25,X30)</f>
        <v>3037</v>
      </c>
      <c r="Y32" s="5162">
        <f>(U32+V32+W32)/X32</f>
        <v>0.88969377675337502</v>
      </c>
      <c r="Z32" s="5162">
        <f>W32/X32</f>
        <v>0.60256832400395122</v>
      </c>
      <c r="AB32" s="5156">
        <f>SUM(AB10,AB15,AB20,AB25,AB30)</f>
        <v>318</v>
      </c>
      <c r="AC32" s="5156">
        <f>SUM(AC10,AC15,AC20,AC25,AC30)</f>
        <v>16</v>
      </c>
      <c r="AD32" s="5156">
        <f>SUM(AD10,AD15,AD20,AD25,AD30)</f>
        <v>839</v>
      </c>
      <c r="AE32" s="5156">
        <f>SUM(AE10,AE15,AE20,AE25,AE30)</f>
        <v>1815</v>
      </c>
      <c r="AF32" s="5156">
        <f>SUM(AF10,AF15,AF20,AF25,AF30)</f>
        <v>2988</v>
      </c>
      <c r="AG32" s="5162">
        <f>(AC32+AD32+AE32)/AF32</f>
        <v>0.89357429718875503</v>
      </c>
      <c r="AH32" s="5162">
        <f>AE32/AF32</f>
        <v>0.60742971887550201</v>
      </c>
    </row>
    <row r="33" spans="3:11">
      <c r="C33" s="2549"/>
      <c r="K33" s="2549"/>
    </row>
    <row r="34" spans="3:11" ht="15" customHeight="1"/>
    <row r="35" spans="3:11" ht="15" customHeight="1"/>
  </sheetData>
  <sheetProtection algorithmName="SHA-512" hashValue="C0ZoRRuBTHZeV2V0OGsAm5OyW+incRvNMlfdRGc4w588L1Az9NFMIAz7mnwpB4EugDN3sDqE8WeCyZeyqo1MgA==" saltValue="CaYX2RR7GZYArpLqzn/R/A==" spinCount="100000" sheet="1" objects="1" scenarios="1"/>
  <mergeCells count="13">
    <mergeCell ref="AB4:AF4"/>
    <mergeCell ref="AG4:AG5"/>
    <mergeCell ref="AH4:AH5"/>
    <mergeCell ref="T4:X4"/>
    <mergeCell ref="Y4:Y5"/>
    <mergeCell ref="Z4:Z5"/>
    <mergeCell ref="B4:B5"/>
    <mergeCell ref="L4:P4"/>
    <mergeCell ref="Q4:Q5"/>
    <mergeCell ref="R4:R5"/>
    <mergeCell ref="D4:H4"/>
    <mergeCell ref="I4:I5"/>
    <mergeCell ref="J4:J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499984740745262"/>
  </sheetPr>
  <dimension ref="A1:BK197"/>
  <sheetViews>
    <sheetView showGridLines="0" zoomScaleNormal="100" workbookViewId="0">
      <pane xSplit="3" ySplit="5" topLeftCell="S6" activePane="bottomRight" state="frozen"/>
      <selection pane="topRight" activeCell="D1" sqref="D1"/>
      <selection pane="bottomLeft" activeCell="A7" sqref="A7"/>
      <selection pane="bottomRight" activeCell="S33" sqref="S33"/>
    </sheetView>
  </sheetViews>
  <sheetFormatPr baseColWidth="10" defaultColWidth="11.44140625" defaultRowHeight="14.4"/>
  <cols>
    <col min="1" max="1" width="2.77734375" customWidth="1"/>
    <col min="2" max="2" width="14.44140625" customWidth="1"/>
    <col min="3" max="3" width="1.77734375" customWidth="1"/>
    <col min="6" max="6" width="1.77734375" customWidth="1"/>
    <col min="9" max="9" width="1.77734375" customWidth="1"/>
    <col min="12" max="12" width="1.77734375" customWidth="1"/>
    <col min="15" max="15" width="1.77734375" customWidth="1"/>
    <col min="16" max="17" width="11.44140625" customWidth="1"/>
    <col min="18" max="18" width="1.77734375" customWidth="1"/>
    <col min="19" max="20" width="11.44140625" customWidth="1"/>
    <col min="21" max="21" width="1.77734375" customWidth="1"/>
    <col min="22" max="23" width="11.44140625" customWidth="1"/>
    <col min="24" max="24" width="1.77734375" customWidth="1"/>
    <col min="25" max="26" width="11.44140625" customWidth="1"/>
    <col min="27" max="27" width="1.77734375" customWidth="1"/>
    <col min="28" max="29" width="11.44140625" customWidth="1"/>
    <col min="30" max="30" width="1.77734375" customWidth="1"/>
    <col min="31" max="32" width="11.44140625" style="3595" customWidth="1"/>
    <col min="33" max="33" width="1.6640625" style="4854" customWidth="1"/>
    <col min="34" max="36" width="11.44140625" style="4854" customWidth="1"/>
    <col min="37" max="37" width="7.77734375" style="3595" customWidth="1"/>
    <col min="38" max="38" width="35.109375" style="37" bestFit="1" customWidth="1"/>
    <col min="39" max="47" width="6.77734375" style="37" bestFit="1" customWidth="1"/>
    <col min="48" max="49" width="5.44140625" style="37" bestFit="1" customWidth="1"/>
    <col min="50" max="50" width="11.44140625" style="37"/>
    <col min="51" max="51" width="6.21875" style="37" bestFit="1" customWidth="1"/>
    <col min="52" max="52" width="54" style="37" bestFit="1" customWidth="1"/>
    <col min="53" max="62" width="5.44140625" style="37" bestFit="1" customWidth="1"/>
    <col min="63" max="63" width="5.5546875" style="37" bestFit="1" customWidth="1"/>
  </cols>
  <sheetData>
    <row r="1" spans="1:63" ht="15.6">
      <c r="B1" s="447" t="s">
        <v>2749</v>
      </c>
      <c r="C1" s="3497"/>
      <c r="D1" s="341"/>
      <c r="E1" s="22"/>
      <c r="F1" s="22"/>
      <c r="G1" s="22"/>
      <c r="H1" s="22"/>
      <c r="I1" s="22"/>
      <c r="J1" s="22"/>
      <c r="K1" s="22"/>
      <c r="L1" s="22"/>
      <c r="M1" s="22"/>
      <c r="N1" s="22"/>
      <c r="O1" s="22"/>
      <c r="AQ1" s="43"/>
      <c r="AR1" s="43"/>
      <c r="AS1" s="43"/>
      <c r="AT1" s="43"/>
      <c r="AU1" s="43"/>
    </row>
    <row r="2" spans="1:63" ht="15.6">
      <c r="B2" s="67"/>
      <c r="C2" s="22"/>
      <c r="D2" s="67"/>
      <c r="E2" s="67"/>
      <c r="F2" s="67"/>
      <c r="G2" s="72"/>
      <c r="H2" s="68"/>
      <c r="J2" s="68"/>
      <c r="K2" s="68"/>
      <c r="L2" s="68"/>
      <c r="M2" s="68"/>
      <c r="N2" s="68"/>
      <c r="O2" s="68"/>
      <c r="Q2" s="22"/>
      <c r="R2" s="22"/>
      <c r="S2" s="22"/>
      <c r="T2" s="22"/>
      <c r="U2" s="22"/>
      <c r="V2" s="22"/>
      <c r="W2" s="22"/>
      <c r="X2" s="22"/>
      <c r="Y2" s="22"/>
      <c r="Z2" s="22"/>
      <c r="AB2" s="22"/>
      <c r="AC2" s="22"/>
    </row>
    <row r="3" spans="1:63" ht="15.75" customHeight="1">
      <c r="C3" s="22"/>
      <c r="D3" s="5940">
        <v>2010</v>
      </c>
      <c r="E3" s="5940"/>
      <c r="F3" s="2513"/>
      <c r="G3" s="5940">
        <v>2011</v>
      </c>
      <c r="H3" s="5940"/>
      <c r="I3" s="2514"/>
      <c r="J3" s="5940">
        <v>2012</v>
      </c>
      <c r="K3" s="5940"/>
      <c r="L3" s="2514"/>
      <c r="M3" s="5940">
        <v>2013</v>
      </c>
      <c r="N3" s="5940"/>
      <c r="O3" s="2514"/>
      <c r="P3" s="5940">
        <v>2014</v>
      </c>
      <c r="Q3" s="5940"/>
      <c r="R3" s="2515"/>
      <c r="S3" s="5940">
        <v>2015</v>
      </c>
      <c r="T3" s="5940"/>
      <c r="U3" s="2516"/>
      <c r="V3" s="5940">
        <v>2016</v>
      </c>
      <c r="W3" s="5940"/>
      <c r="X3" s="2517"/>
      <c r="Y3" s="5940">
        <v>2017</v>
      </c>
      <c r="Z3" s="5940"/>
      <c r="AA3" s="2518"/>
      <c r="AB3" s="5940">
        <v>2018</v>
      </c>
      <c r="AC3" s="5940"/>
      <c r="AE3" s="5940">
        <v>2019</v>
      </c>
      <c r="AF3" s="5940"/>
      <c r="AG3" s="2515"/>
      <c r="AH3" s="5940">
        <v>2020</v>
      </c>
      <c r="AI3" s="5940"/>
      <c r="AJ3" s="2515"/>
    </row>
    <row r="4" spans="1:63" ht="15" customHeight="1">
      <c r="B4" s="5938" t="s">
        <v>1081</v>
      </c>
      <c r="C4" s="22"/>
      <c r="D4" s="5936" t="s">
        <v>440</v>
      </c>
      <c r="E4" s="5936" t="s">
        <v>441</v>
      </c>
      <c r="F4" s="2513"/>
      <c r="G4" s="5936" t="s">
        <v>440</v>
      </c>
      <c r="H4" s="5936" t="s">
        <v>441</v>
      </c>
      <c r="I4" s="2514"/>
      <c r="J4" s="5936" t="s">
        <v>440</v>
      </c>
      <c r="K4" s="5936" t="s">
        <v>441</v>
      </c>
      <c r="L4" s="2514"/>
      <c r="M4" s="5936" t="s">
        <v>440</v>
      </c>
      <c r="N4" s="5936" t="s">
        <v>441</v>
      </c>
      <c r="O4" s="2514"/>
      <c r="P4" s="5936" t="s">
        <v>440</v>
      </c>
      <c r="Q4" s="5936" t="s">
        <v>441</v>
      </c>
      <c r="R4" s="2515"/>
      <c r="S4" s="5936" t="s">
        <v>440</v>
      </c>
      <c r="T4" s="5936" t="s">
        <v>441</v>
      </c>
      <c r="U4" s="2516"/>
      <c r="V4" s="5936" t="s">
        <v>440</v>
      </c>
      <c r="W4" s="5936" t="s">
        <v>441</v>
      </c>
      <c r="X4" s="2519"/>
      <c r="Y4" s="5941" t="s">
        <v>440</v>
      </c>
      <c r="Z4" s="5936" t="s">
        <v>441</v>
      </c>
      <c r="AA4" s="2518"/>
      <c r="AB4" s="5936" t="s">
        <v>440</v>
      </c>
      <c r="AC4" s="5936" t="s">
        <v>441</v>
      </c>
      <c r="AE4" s="5936" t="s">
        <v>440</v>
      </c>
      <c r="AF4" s="5936" t="s">
        <v>441</v>
      </c>
      <c r="AG4" s="4865"/>
      <c r="AH4" s="5936" t="s">
        <v>440</v>
      </c>
      <c r="AI4" s="5936" t="s">
        <v>441</v>
      </c>
      <c r="AJ4" s="4865"/>
    </row>
    <row r="5" spans="1:63" s="33" customFormat="1" ht="15.75" customHeight="1" thickBot="1">
      <c r="A5"/>
      <c r="B5" s="5939"/>
      <c r="C5" s="22"/>
      <c r="D5" s="5937"/>
      <c r="E5" s="5937"/>
      <c r="F5" s="2513"/>
      <c r="G5" s="5937"/>
      <c r="H5" s="5937"/>
      <c r="I5" s="2514"/>
      <c r="J5" s="5937"/>
      <c r="K5" s="5937"/>
      <c r="L5" s="2514"/>
      <c r="M5" s="5937"/>
      <c r="N5" s="5937"/>
      <c r="O5" s="2514"/>
      <c r="P5" s="5937"/>
      <c r="Q5" s="5937"/>
      <c r="R5" s="2515"/>
      <c r="S5" s="5937"/>
      <c r="T5" s="5937"/>
      <c r="U5" s="2516"/>
      <c r="V5" s="5937"/>
      <c r="W5" s="5937"/>
      <c r="X5" s="2519"/>
      <c r="Y5" s="5942"/>
      <c r="Z5" s="5937"/>
      <c r="AA5" s="2518"/>
      <c r="AB5" s="5937"/>
      <c r="AC5" s="5937"/>
      <c r="AE5" s="5937"/>
      <c r="AF5" s="5937"/>
      <c r="AG5" s="4865"/>
      <c r="AH5" s="5937"/>
      <c r="AI5" s="5937"/>
      <c r="AJ5" s="4865"/>
      <c r="AL5" s="5245"/>
      <c r="AM5" s="5245"/>
      <c r="AN5" s="5245"/>
      <c r="AO5" s="5245"/>
      <c r="AP5" s="5245"/>
      <c r="AQ5" s="5245"/>
      <c r="AR5" s="5245"/>
      <c r="AS5" s="5245"/>
      <c r="AT5" s="5245"/>
      <c r="AU5" s="5245"/>
      <c r="AV5" s="5245"/>
      <c r="AW5" s="5245"/>
      <c r="AX5" s="5245"/>
      <c r="AY5" s="5245"/>
      <c r="AZ5" s="37"/>
      <c r="BA5" s="5245"/>
      <c r="BB5" s="5245"/>
      <c r="BC5" s="5245"/>
      <c r="BD5" s="5245"/>
      <c r="BE5" s="5245"/>
      <c r="BF5" s="5245"/>
      <c r="BG5" s="5245"/>
      <c r="BH5" s="5245"/>
      <c r="BI5" s="5245"/>
      <c r="BJ5" s="5245"/>
      <c r="BK5" s="5245"/>
    </row>
    <row r="6" spans="1:63" s="34" customFormat="1" ht="14.25" customHeight="1">
      <c r="A6"/>
      <c r="C6" s="22"/>
      <c r="F6" s="2513"/>
      <c r="I6" s="2514"/>
      <c r="L6" s="2514"/>
      <c r="O6" s="2514"/>
      <c r="R6" s="2515"/>
      <c r="U6" s="2516"/>
      <c r="X6" s="2519"/>
      <c r="AA6" s="2518"/>
      <c r="AL6" s="113"/>
      <c r="AM6" s="113"/>
      <c r="AN6" s="113"/>
      <c r="AO6" s="113"/>
      <c r="AP6" s="113"/>
      <c r="AQ6" s="113"/>
      <c r="AR6" s="113"/>
      <c r="AS6" s="113"/>
      <c r="AT6" s="113"/>
      <c r="AU6" s="113"/>
      <c r="AV6" s="113"/>
      <c r="AW6" s="113"/>
      <c r="AX6" s="113"/>
      <c r="AY6" s="113"/>
      <c r="AZ6" s="37"/>
      <c r="BA6" s="113"/>
      <c r="BB6" s="113"/>
      <c r="BC6" s="113"/>
      <c r="BD6" s="113"/>
      <c r="BE6" s="113"/>
      <c r="BF6" s="113"/>
      <c r="BG6" s="113"/>
      <c r="BH6" s="113"/>
      <c r="BI6" s="113"/>
      <c r="BJ6" s="113"/>
      <c r="BK6" s="113"/>
    </row>
    <row r="7" spans="1:63" s="34" customFormat="1" ht="15.6">
      <c r="A7"/>
      <c r="B7" s="2520" t="s">
        <v>4</v>
      </c>
      <c r="C7" s="22"/>
      <c r="D7" s="2522">
        <v>8519</v>
      </c>
      <c r="E7" s="2523">
        <v>2.0072778495128535E-2</v>
      </c>
      <c r="F7" s="2513"/>
      <c r="G7" s="2522">
        <v>8730</v>
      </c>
      <c r="H7" s="2523">
        <v>2.0389461626575029E-2</v>
      </c>
      <c r="I7" s="2514"/>
      <c r="J7" s="2522">
        <v>8645</v>
      </c>
      <c r="K7" s="2523">
        <v>1.8970503181029497E-2</v>
      </c>
      <c r="L7" s="2514"/>
      <c r="M7" s="2522">
        <v>8601</v>
      </c>
      <c r="N7" s="2523">
        <v>2.185792349726776E-2</v>
      </c>
      <c r="O7" s="2514"/>
      <c r="P7" s="2522">
        <v>8372</v>
      </c>
      <c r="Q7" s="2523">
        <v>2.7472527472527472E-2</v>
      </c>
      <c r="R7" s="2515"/>
      <c r="S7" s="2522">
        <v>8005</v>
      </c>
      <c r="T7" s="2523">
        <v>3.16052467207995E-2</v>
      </c>
      <c r="U7" s="2516"/>
      <c r="V7" s="2522">
        <v>7725</v>
      </c>
      <c r="W7" s="2523">
        <v>3.7281553398058255E-2</v>
      </c>
      <c r="X7" s="2519"/>
      <c r="Y7" s="2522">
        <f>SUM(AT46,BH48)</f>
        <v>7316</v>
      </c>
      <c r="Z7" s="2523">
        <f>BH48/Y7</f>
        <v>3.9092400218698739E-2</v>
      </c>
      <c r="AA7" s="2518"/>
      <c r="AB7" s="2522">
        <f>SUM(AU46,BI48)</f>
        <v>7262</v>
      </c>
      <c r="AC7" s="2523">
        <f>BI48/AB7</f>
        <v>3.9796199394106307E-2</v>
      </c>
      <c r="AE7" s="2522">
        <v>7520</v>
      </c>
      <c r="AF7" s="2523">
        <f>BJ48/AE7</f>
        <v>3.7234042553191488E-2</v>
      </c>
      <c r="AG7" s="2662"/>
      <c r="AH7" s="2522">
        <f>SUM(AH36:AI36)</f>
        <v>7354</v>
      </c>
      <c r="AI7" s="2523">
        <f>BK48/AH7</f>
        <v>3.6170791406037531E-2</v>
      </c>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row>
    <row r="8" spans="1:63" s="34" customFormat="1" ht="15.6">
      <c r="A8"/>
      <c r="B8" s="2521" t="s">
        <v>16</v>
      </c>
      <c r="C8" s="22"/>
      <c r="D8" s="2524">
        <v>5806</v>
      </c>
      <c r="E8" s="2525">
        <v>3.0485704443678954E-2</v>
      </c>
      <c r="F8" s="67"/>
      <c r="G8" s="2524">
        <v>5968</v>
      </c>
      <c r="H8" s="2525">
        <v>3.5690348525469172E-2</v>
      </c>
      <c r="I8"/>
      <c r="J8" s="2524">
        <v>6339</v>
      </c>
      <c r="K8" s="2525">
        <v>2.9815428300993846E-2</v>
      </c>
      <c r="L8" s="2514"/>
      <c r="M8" s="2524">
        <v>6601</v>
      </c>
      <c r="N8" s="2525">
        <v>3.6206635358279046E-2</v>
      </c>
      <c r="P8" s="2524">
        <v>6619</v>
      </c>
      <c r="Q8" s="2525">
        <v>3.6863574558090348E-2</v>
      </c>
      <c r="R8" s="209"/>
      <c r="S8" s="2524">
        <v>6812</v>
      </c>
      <c r="T8" s="2525">
        <v>3.5525543159130944E-2</v>
      </c>
      <c r="U8" s="22"/>
      <c r="V8" s="2524">
        <v>6934</v>
      </c>
      <c r="W8" s="2525">
        <v>3.4179405826362849E-2</v>
      </c>
      <c r="X8" s="2519"/>
      <c r="Y8" s="2524">
        <f>SUM(AT51,BH66)</f>
        <v>6941</v>
      </c>
      <c r="Z8" s="2525">
        <f>BH66/Y8</f>
        <v>4.3653652211496904E-2</v>
      </c>
      <c r="AA8" s="2518"/>
      <c r="AB8" s="2524">
        <f>SUM(AU51,BI66)</f>
        <v>7173</v>
      </c>
      <c r="AC8" s="2525">
        <f>BI66/AB8</f>
        <v>4.1126446396208001E-2</v>
      </c>
      <c r="AE8" s="2524">
        <v>7485</v>
      </c>
      <c r="AF8" s="2525">
        <f>BJ66/AE8</f>
        <v>5.2237808951235802E-2</v>
      </c>
      <c r="AG8" s="2662"/>
      <c r="AH8" s="2522">
        <f t="shared" ref="AH8:AH9" si="0">SUM(AH37:AI37)</f>
        <v>7439</v>
      </c>
      <c r="AI8" s="2525">
        <f t="shared" ref="AI8:AI10" si="1">BK49/AH8</f>
        <v>3.2262400860330691E-3</v>
      </c>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row>
    <row r="9" spans="1:63" s="34" customFormat="1" ht="15.6">
      <c r="A9"/>
      <c r="B9" s="2521" t="s">
        <v>21</v>
      </c>
      <c r="C9" s="22"/>
      <c r="D9" s="2524">
        <v>3309</v>
      </c>
      <c r="E9" s="2525">
        <v>7.5853732245391353E-2</v>
      </c>
      <c r="F9" s="67"/>
      <c r="G9" s="2524">
        <v>3268</v>
      </c>
      <c r="H9" s="2525">
        <v>5.6303549571603426E-2</v>
      </c>
      <c r="I9"/>
      <c r="J9" s="2524">
        <v>3461</v>
      </c>
      <c r="K9" s="2525">
        <v>6.8477318694019074E-2</v>
      </c>
      <c r="L9" s="68"/>
      <c r="M9" s="2524">
        <v>3543</v>
      </c>
      <c r="N9" s="2525">
        <v>5.0804403048264182E-2</v>
      </c>
      <c r="P9" s="2524">
        <v>3673</v>
      </c>
      <c r="Q9" s="2525">
        <v>6.0985570378437243E-2</v>
      </c>
      <c r="R9" s="209"/>
      <c r="S9" s="2524">
        <v>3698</v>
      </c>
      <c r="T9" s="2525">
        <v>5.7328285559762035E-2</v>
      </c>
      <c r="U9" s="22"/>
      <c r="V9" s="2524">
        <v>3705</v>
      </c>
      <c r="W9" s="2525">
        <v>5.4520917678812418E-2</v>
      </c>
      <c r="X9" s="22"/>
      <c r="Y9" s="2524">
        <f>SUM(AT55,BH84)</f>
        <v>3808</v>
      </c>
      <c r="Z9" s="2525">
        <f>BH84/Y9</f>
        <v>5.9611344537815129E-2</v>
      </c>
      <c r="AA9"/>
      <c r="AB9" s="2524">
        <f>SUM(AU55,BI84)</f>
        <v>3830</v>
      </c>
      <c r="AC9" s="2525">
        <f>BI84/AB9</f>
        <v>4.804177545691906E-2</v>
      </c>
      <c r="AE9" s="2524">
        <v>3949</v>
      </c>
      <c r="AF9" s="2525">
        <f>BJ84/AE9</f>
        <v>4.051658647758926E-2</v>
      </c>
      <c r="AG9" s="2662"/>
      <c r="AH9" s="2522">
        <f t="shared" si="0"/>
        <v>4046</v>
      </c>
      <c r="AI9" s="2525">
        <f t="shared" si="1"/>
        <v>2.9658922392486408E-3</v>
      </c>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row>
    <row r="10" spans="1:63" s="5170" customFormat="1" ht="15.6">
      <c r="A10" s="5154"/>
      <c r="B10" s="5164" t="s">
        <v>3</v>
      </c>
      <c r="C10" s="5165"/>
      <c r="D10" s="5166">
        <f>SUM(D7:D9)</f>
        <v>17634</v>
      </c>
      <c r="E10" s="5167">
        <v>3.396847000113417E-2</v>
      </c>
      <c r="F10" s="5168"/>
      <c r="G10" s="5166">
        <f>SUM(G7:G9)</f>
        <v>17966</v>
      </c>
      <c r="H10" s="5167">
        <v>3.2004898140932873E-2</v>
      </c>
      <c r="I10" s="5154"/>
      <c r="J10" s="5166">
        <f>SUM(J7:J9)</f>
        <v>18445</v>
      </c>
      <c r="K10" s="5167">
        <v>3.1986988343724584E-2</v>
      </c>
      <c r="L10" s="5169"/>
      <c r="M10" s="5166">
        <f>SUM(M7:M9)</f>
        <v>18745</v>
      </c>
      <c r="N10" s="5167">
        <v>3.2381968524939984E-2</v>
      </c>
      <c r="P10" s="5166">
        <f>SUM(P7:P9)</f>
        <v>18664</v>
      </c>
      <c r="Q10" s="5167">
        <v>3.7398199742820402E-2</v>
      </c>
      <c r="R10" s="5171"/>
      <c r="S10" s="5166">
        <f>SUM(S7:S9)</f>
        <v>18515</v>
      </c>
      <c r="T10" s="5167">
        <v>3.8185255198487714E-2</v>
      </c>
      <c r="U10" s="5165"/>
      <c r="V10" s="5166">
        <f>SUM(V7:V9)</f>
        <v>18364</v>
      </c>
      <c r="W10" s="5167">
        <v>3.9588324983663693E-2</v>
      </c>
      <c r="X10" s="5165"/>
      <c r="Y10" s="5166">
        <f>SUM(Y7:Y9)</f>
        <v>18065</v>
      </c>
      <c r="Z10" s="5167">
        <f>BH85/Y10</f>
        <v>4.5170218654857458E-2</v>
      </c>
      <c r="AA10" s="5154"/>
      <c r="AB10" s="5166">
        <f>SUM(AU56,BI85)</f>
        <v>18265</v>
      </c>
      <c r="AC10" s="5167">
        <f>BI85/AB10</f>
        <v>4.2047632083219273E-2</v>
      </c>
      <c r="AE10" s="5166">
        <f>SUM(AE7:AE9)</f>
        <v>18954</v>
      </c>
      <c r="AF10" s="5167">
        <f>BJ85/AE10</f>
        <v>4.384298828743273E-2</v>
      </c>
      <c r="AG10" s="5175"/>
      <c r="AH10" s="5166">
        <f>SUM(AH7:AH9)</f>
        <v>18839</v>
      </c>
      <c r="AI10" s="5167">
        <f t="shared" si="1"/>
        <v>3.715696162216678E-4</v>
      </c>
      <c r="AJ10" s="34"/>
      <c r="AL10" s="5246"/>
      <c r="AM10" s="5246"/>
      <c r="AN10" s="5246"/>
      <c r="AO10" s="5246"/>
      <c r="AP10" s="5246"/>
      <c r="AQ10" s="5246"/>
      <c r="AR10" s="5246"/>
      <c r="AS10" s="5246"/>
      <c r="AT10" s="5246"/>
      <c r="AU10" s="5246"/>
      <c r="AV10" s="5246"/>
      <c r="AW10" s="5246"/>
      <c r="AX10" s="5246"/>
      <c r="AY10" s="5246"/>
      <c r="AZ10" s="5246"/>
      <c r="BA10" s="5246"/>
      <c r="BB10" s="5246"/>
      <c r="BC10" s="5246"/>
      <c r="BD10" s="5246"/>
      <c r="BE10" s="5246"/>
      <c r="BF10" s="5246"/>
      <c r="BG10" s="5246"/>
      <c r="BH10" s="5246"/>
      <c r="BI10" s="5246"/>
      <c r="BJ10" s="5246"/>
      <c r="BK10" s="5246"/>
    </row>
    <row r="11" spans="1:63" s="34" customFormat="1" ht="15.6">
      <c r="A11"/>
      <c r="C11" s="22"/>
      <c r="D11" s="65"/>
      <c r="E11" s="66"/>
      <c r="F11" s="67"/>
      <c r="G11" s="65"/>
      <c r="H11" s="66"/>
      <c r="I11" s="68"/>
      <c r="J11" s="65"/>
      <c r="K11" s="66"/>
      <c r="L11" s="68"/>
      <c r="M11" s="65"/>
      <c r="N11" s="66"/>
      <c r="P11" s="65"/>
      <c r="Q11" s="66"/>
      <c r="R11" s="209"/>
      <c r="S11" s="65"/>
      <c r="T11" s="66"/>
      <c r="U11" s="22"/>
      <c r="V11" s="65"/>
      <c r="W11" s="66"/>
      <c r="X11" s="22"/>
      <c r="Y11" s="65"/>
      <c r="Z11" s="66"/>
      <c r="AA11"/>
      <c r="AB11" s="65"/>
      <c r="AC11" s="66"/>
      <c r="AE11" s="65"/>
      <c r="AF11" s="66"/>
      <c r="AG11" s="66"/>
      <c r="AH11" s="65"/>
      <c r="AI11" s="66"/>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row>
    <row r="12" spans="1:63" s="34" customFormat="1" ht="15.6">
      <c r="A12"/>
      <c r="B12" s="2520" t="s">
        <v>16</v>
      </c>
      <c r="C12" s="22"/>
      <c r="D12" s="2522">
        <v>420</v>
      </c>
      <c r="E12" s="2523">
        <v>0</v>
      </c>
      <c r="F12" s="67"/>
      <c r="G12" s="2522">
        <v>487</v>
      </c>
      <c r="H12" s="2523">
        <v>6.5708418891170434E-2</v>
      </c>
      <c r="I12"/>
      <c r="J12" s="2522">
        <v>499</v>
      </c>
      <c r="K12" s="2523">
        <v>0.10621242484969939</v>
      </c>
      <c r="L12" s="68"/>
      <c r="M12" s="2522">
        <v>533</v>
      </c>
      <c r="N12" s="2523">
        <v>0.13883677298311445</v>
      </c>
      <c r="P12" s="2522">
        <v>654</v>
      </c>
      <c r="Q12" s="2523">
        <v>0.11926605504587157</v>
      </c>
      <c r="R12" s="209"/>
      <c r="S12" s="2522">
        <v>794</v>
      </c>
      <c r="T12" s="2523">
        <v>0.11586901763224182</v>
      </c>
      <c r="U12" s="22"/>
      <c r="V12" s="2522">
        <v>944</v>
      </c>
      <c r="W12" s="2523">
        <v>0.11228813559322035</v>
      </c>
      <c r="X12" s="22"/>
      <c r="Y12" s="2522">
        <f>SUM(AT61,BH178)</f>
        <v>1060</v>
      </c>
      <c r="Z12" s="2523">
        <f>BH178/Y12</f>
        <v>9.6226415094339629E-2</v>
      </c>
      <c r="AA12"/>
      <c r="AB12" s="2522">
        <f>SUM(AU61,BI178)</f>
        <v>1143</v>
      </c>
      <c r="AC12" s="2523">
        <f>BI178/AB12</f>
        <v>8.0489938757655297E-2</v>
      </c>
      <c r="AE12" s="2522">
        <v>1275</v>
      </c>
      <c r="AF12" s="2523">
        <f>BJ178/AE12</f>
        <v>8.5490196078431377E-2</v>
      </c>
      <c r="AG12" s="2662"/>
      <c r="AH12" s="2522">
        <f>SUM(AH41:AI41)</f>
        <v>1300</v>
      </c>
      <c r="AI12" s="2523">
        <f>BK178/AH12</f>
        <v>7.0769230769230765E-2</v>
      </c>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row>
    <row r="13" spans="1:63" s="34" customFormat="1" ht="15.6">
      <c r="A13"/>
      <c r="B13" s="2521" t="s">
        <v>61</v>
      </c>
      <c r="C13" s="22"/>
      <c r="D13" s="2524">
        <v>462</v>
      </c>
      <c r="E13" s="2525">
        <v>0</v>
      </c>
      <c r="F13" s="67"/>
      <c r="G13" s="2524">
        <v>539</v>
      </c>
      <c r="H13" s="2525">
        <v>0</v>
      </c>
      <c r="I13"/>
      <c r="J13" s="2524">
        <v>615</v>
      </c>
      <c r="K13" s="2525">
        <v>1.9512195121951219E-2</v>
      </c>
      <c r="L13" s="68"/>
      <c r="M13" s="2524">
        <v>653</v>
      </c>
      <c r="N13" s="2525">
        <v>3.6753445635528334E-2</v>
      </c>
      <c r="P13" s="2524">
        <v>753</v>
      </c>
      <c r="Q13" s="2525">
        <v>5.5776892430278883E-2</v>
      </c>
      <c r="R13" s="209"/>
      <c r="S13" s="2524">
        <v>866</v>
      </c>
      <c r="T13" s="2525">
        <v>5.7736720554272515E-2</v>
      </c>
      <c r="U13" s="22"/>
      <c r="V13" s="2524">
        <v>994</v>
      </c>
      <c r="W13" s="2525">
        <v>6.1368209255533199E-2</v>
      </c>
      <c r="X13" s="22"/>
      <c r="Y13" s="2524">
        <f>SUM(AT65,BH180)</f>
        <v>1101</v>
      </c>
      <c r="Z13" s="2525">
        <f>BH180/Y13</f>
        <v>5.6312443233424159E-2</v>
      </c>
      <c r="AA13"/>
      <c r="AB13" s="2524">
        <f>SUM(AU65,BI180)</f>
        <v>1171</v>
      </c>
      <c r="AC13" s="2525">
        <f>BI180/AB13</f>
        <v>5.6362083689154567E-2</v>
      </c>
      <c r="AE13" s="2524">
        <v>1278</v>
      </c>
      <c r="AF13" s="2525">
        <f>BJ180/AE13</f>
        <v>6.6510172143974963E-2</v>
      </c>
      <c r="AG13" s="2662"/>
      <c r="AH13" s="2522">
        <f t="shared" ref="AH13:AH14" si="2">SUM(AH42:AI42)</f>
        <v>1289</v>
      </c>
      <c r="AI13" s="2525">
        <f>BK180/AH13</f>
        <v>5.1978277734678044E-2</v>
      </c>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row>
    <row r="14" spans="1:63" s="34" customFormat="1" ht="15.6">
      <c r="A14"/>
      <c r="B14" s="2521" t="s">
        <v>64</v>
      </c>
      <c r="C14" s="22"/>
      <c r="D14" s="2524">
        <v>323</v>
      </c>
      <c r="E14" s="2525">
        <v>0</v>
      </c>
      <c r="F14" s="67"/>
      <c r="G14" s="2524">
        <v>394</v>
      </c>
      <c r="H14" s="2525">
        <v>0</v>
      </c>
      <c r="I14"/>
      <c r="J14" s="2524">
        <v>498</v>
      </c>
      <c r="K14" s="2525">
        <v>3.8152610441767071E-2</v>
      </c>
      <c r="L14" s="68"/>
      <c r="M14" s="2524">
        <v>606</v>
      </c>
      <c r="N14" s="2525">
        <v>6.6006600660066E-2</v>
      </c>
      <c r="P14" s="2524">
        <v>781</v>
      </c>
      <c r="Q14" s="2525">
        <v>7.5544174135723438E-2</v>
      </c>
      <c r="R14" s="209"/>
      <c r="S14" s="2524">
        <v>885</v>
      </c>
      <c r="T14" s="2525">
        <v>8.7005649717514122E-2</v>
      </c>
      <c r="U14" s="22"/>
      <c r="V14" s="2524">
        <v>1012</v>
      </c>
      <c r="W14" s="2525">
        <v>8.4980237154150193E-2</v>
      </c>
      <c r="X14" s="22"/>
      <c r="Y14" s="2524">
        <f>SUM(AT70,BH185)</f>
        <v>1097</v>
      </c>
      <c r="Z14" s="2525">
        <f>BH185/Y14</f>
        <v>8.0218778486782133E-2</v>
      </c>
      <c r="AA14"/>
      <c r="AB14" s="2524">
        <f>SUM(AU70,BI185)</f>
        <v>1175</v>
      </c>
      <c r="AC14" s="2525">
        <f>BI185/AB14</f>
        <v>7.3191489361702125E-2</v>
      </c>
      <c r="AE14" s="2524">
        <v>1249</v>
      </c>
      <c r="AF14" s="2525">
        <f>BJ185/AE14</f>
        <v>6.4051240992794231E-2</v>
      </c>
      <c r="AG14" s="2662"/>
      <c r="AH14" s="2522">
        <f t="shared" si="2"/>
        <v>1298</v>
      </c>
      <c r="AI14" s="2525">
        <f>BK185/AH14</f>
        <v>5.007704160246533E-2</v>
      </c>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row>
    <row r="15" spans="1:63" s="5170" customFormat="1" ht="15.6">
      <c r="A15" s="5154"/>
      <c r="B15" s="5164" t="s">
        <v>59</v>
      </c>
      <c r="C15" s="5165"/>
      <c r="D15" s="5166">
        <f>SUM(D12:D14)</f>
        <v>1205</v>
      </c>
      <c r="E15" s="5167">
        <v>0</v>
      </c>
      <c r="F15" s="5168"/>
      <c r="G15" s="5166">
        <f>SUM(G12:G14)</f>
        <v>1420</v>
      </c>
      <c r="H15" s="5167">
        <v>2.2535211267605635E-2</v>
      </c>
      <c r="I15" s="5154"/>
      <c r="J15" s="5166">
        <f>SUM(J12:J14)</f>
        <v>1612</v>
      </c>
      <c r="K15" s="5167">
        <v>5.2109181141439205E-2</v>
      </c>
      <c r="L15" s="5169"/>
      <c r="M15" s="5166">
        <f>SUM(M12:M14)</f>
        <v>1792</v>
      </c>
      <c r="N15" s="5167">
        <v>7.7008928571428575E-2</v>
      </c>
      <c r="P15" s="5166">
        <f>SUM(P12:P14)</f>
        <v>2188</v>
      </c>
      <c r="Q15" s="5167">
        <v>8.1809872029250455E-2</v>
      </c>
      <c r="R15" s="5171"/>
      <c r="S15" s="5166">
        <f>SUM(S12:S14)</f>
        <v>2545</v>
      </c>
      <c r="T15" s="5167">
        <v>8.6051080550098233E-2</v>
      </c>
      <c r="U15" s="5165"/>
      <c r="V15" s="5166">
        <f>SUM(V12:V14)</f>
        <v>2950</v>
      </c>
      <c r="W15" s="5167">
        <v>8.5762711864406774E-2</v>
      </c>
      <c r="X15" s="5165"/>
      <c r="Y15" s="5166">
        <f>SUM(Y12:Y14)</f>
        <v>3258</v>
      </c>
      <c r="Z15" s="5167">
        <f>BH186/Y15</f>
        <v>7.7348066298342538E-2</v>
      </c>
      <c r="AA15" s="5154"/>
      <c r="AB15" s="5166">
        <f>SUM(AU71,BI186)</f>
        <v>3489</v>
      </c>
      <c r="AC15" s="5167">
        <f>BI186/AB15</f>
        <v>6.9934078532530808E-2</v>
      </c>
      <c r="AE15" s="5166">
        <f>SUM(AE12:AE14)</f>
        <v>3802</v>
      </c>
      <c r="AF15" s="5167">
        <f>BJ186/AE15</f>
        <v>7.2067332982640717E-2</v>
      </c>
      <c r="AG15" s="5175"/>
      <c r="AH15" s="5166">
        <f>SUM(AH12:AH14)</f>
        <v>3887</v>
      </c>
      <c r="AI15" s="5167">
        <f>BK186/AH15</f>
        <v>5.7627990738358628E-2</v>
      </c>
      <c r="AJ15" s="34"/>
      <c r="AL15" s="5246"/>
      <c r="AM15" s="5246"/>
      <c r="AN15" s="5246"/>
      <c r="AO15" s="5246"/>
      <c r="AP15" s="5246"/>
      <c r="AQ15" s="5246"/>
      <c r="AR15" s="5246"/>
      <c r="AS15" s="5246"/>
      <c r="AT15" s="5246"/>
      <c r="AU15" s="5246"/>
      <c r="AV15" s="5246"/>
      <c r="AW15" s="5246"/>
      <c r="AX15" s="5246"/>
      <c r="AY15" s="5246"/>
      <c r="AZ15" s="5246"/>
      <c r="BA15" s="5246"/>
      <c r="BB15" s="5246"/>
      <c r="BC15" s="5246"/>
      <c r="BD15" s="5246"/>
      <c r="BE15" s="5246"/>
      <c r="BF15" s="5246"/>
      <c r="BG15" s="5246"/>
      <c r="BH15" s="5246"/>
      <c r="BI15" s="5246"/>
      <c r="BJ15" s="5246"/>
      <c r="BK15" s="5246"/>
    </row>
    <row r="16" spans="1:63" s="34" customFormat="1" ht="15.6">
      <c r="A16"/>
      <c r="C16" s="22"/>
      <c r="D16" s="65"/>
      <c r="E16" s="66"/>
      <c r="F16" s="67"/>
      <c r="G16" s="65"/>
      <c r="H16" s="66"/>
      <c r="I16"/>
      <c r="J16" s="65"/>
      <c r="K16" s="66"/>
      <c r="L16" s="68"/>
      <c r="M16" s="65"/>
      <c r="N16" s="66"/>
      <c r="P16" s="65"/>
      <c r="Q16" s="66"/>
      <c r="R16" s="209"/>
      <c r="S16" s="65"/>
      <c r="T16" s="66"/>
      <c r="U16" s="22"/>
      <c r="V16" s="65"/>
      <c r="W16" s="66"/>
      <c r="X16" s="22"/>
      <c r="Y16" s="65"/>
      <c r="Z16" s="66"/>
      <c r="AA16"/>
      <c r="AB16" s="65"/>
      <c r="AC16" s="66"/>
      <c r="AE16" s="65"/>
      <c r="AF16" s="66"/>
      <c r="AG16" s="66"/>
      <c r="AH16" s="65"/>
      <c r="AI16" s="66"/>
      <c r="AL16" s="5246"/>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row>
    <row r="17" spans="1:63" s="34" customFormat="1" ht="15.6">
      <c r="A17"/>
      <c r="B17" s="2520" t="s">
        <v>4</v>
      </c>
      <c r="C17" s="22"/>
      <c r="D17" s="2522">
        <v>3834</v>
      </c>
      <c r="E17" s="2523">
        <v>0.11841418883672405</v>
      </c>
      <c r="F17" s="67"/>
      <c r="G17" s="2522">
        <v>4031</v>
      </c>
      <c r="H17" s="2523">
        <v>0.12329446787397669</v>
      </c>
      <c r="I17"/>
      <c r="J17" s="2522">
        <v>4250</v>
      </c>
      <c r="K17" s="2523">
        <v>0.12235294117647059</v>
      </c>
      <c r="L17" s="68"/>
      <c r="M17" s="2522">
        <v>4653</v>
      </c>
      <c r="N17" s="2523">
        <v>0.11949280034386417</v>
      </c>
      <c r="P17" s="2522">
        <v>4858</v>
      </c>
      <c r="Q17" s="2523">
        <v>0.11650885137916839</v>
      </c>
      <c r="R17" s="209"/>
      <c r="S17" s="2522">
        <v>4953</v>
      </c>
      <c r="T17" s="2523">
        <v>0.11467797294568947</v>
      </c>
      <c r="U17" s="22"/>
      <c r="V17" s="2522">
        <v>5074</v>
      </c>
      <c r="W17" s="2523">
        <v>0.11726448561292865</v>
      </c>
      <c r="X17" s="22"/>
      <c r="Y17" s="2522">
        <f>SUM(AT82,BH102)</f>
        <v>4932</v>
      </c>
      <c r="Z17" s="2523">
        <f>BH102/Y17</f>
        <v>0.11658556366585564</v>
      </c>
      <c r="AA17"/>
      <c r="AB17" s="2522">
        <f>SUM(AU82,BI102)</f>
        <v>4905</v>
      </c>
      <c r="AC17" s="2523">
        <f>BI102/AB17</f>
        <v>0.11580020387359836</v>
      </c>
      <c r="AE17" s="2522">
        <v>4885</v>
      </c>
      <c r="AF17" s="2523">
        <f>BJ102/AE17</f>
        <v>0.11873080859774821</v>
      </c>
      <c r="AG17" s="2662"/>
      <c r="AH17" s="2522">
        <f>SUM(AH46:AI46)</f>
        <v>4671</v>
      </c>
      <c r="AI17" s="2523">
        <f>BK102/AH17</f>
        <v>0.11325198030400342</v>
      </c>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row>
    <row r="18" spans="1:63" s="34" customFormat="1" ht="15.6">
      <c r="A18"/>
      <c r="B18" s="2521" t="s">
        <v>16</v>
      </c>
      <c r="C18" s="22"/>
      <c r="D18" s="2524">
        <v>7118</v>
      </c>
      <c r="E18" s="2525">
        <v>0.12166338859230121</v>
      </c>
      <c r="F18" s="67"/>
      <c r="G18" s="2524">
        <v>7153</v>
      </c>
      <c r="H18" s="2525">
        <v>0.11533622256395917</v>
      </c>
      <c r="I18"/>
      <c r="J18" s="2524">
        <v>7332</v>
      </c>
      <c r="K18" s="2525">
        <v>0.10488270594653573</v>
      </c>
      <c r="L18" s="68"/>
      <c r="M18" s="2524">
        <v>7294</v>
      </c>
      <c r="N18" s="2525">
        <v>8.8977241568412399E-2</v>
      </c>
      <c r="P18" s="2524">
        <v>7318</v>
      </c>
      <c r="Q18" s="2525">
        <v>9.7567641432085267E-2</v>
      </c>
      <c r="R18" s="209"/>
      <c r="S18" s="2524">
        <v>7237</v>
      </c>
      <c r="T18" s="2525">
        <v>8.8434434157800196E-2</v>
      </c>
      <c r="U18" s="22"/>
      <c r="V18" s="2524">
        <v>7330</v>
      </c>
      <c r="W18" s="2525">
        <v>9.1950886766712148E-2</v>
      </c>
      <c r="X18" s="22"/>
      <c r="Y18" s="2524">
        <f>SUM(AT94,BH120)</f>
        <v>7191</v>
      </c>
      <c r="Z18" s="2525">
        <f>BH120/Y18</f>
        <v>8.4967320261437912E-2</v>
      </c>
      <c r="AA18"/>
      <c r="AB18" s="2524">
        <f>SUM(AU94,BI120)</f>
        <v>7281</v>
      </c>
      <c r="AC18" s="2525">
        <f>BI120/AB18</f>
        <v>8.5565169619557749E-2</v>
      </c>
      <c r="AE18" s="2524">
        <v>7233</v>
      </c>
      <c r="AF18" s="2525">
        <f>BJ120/AE18</f>
        <v>8.4612194110327665E-2</v>
      </c>
      <c r="AG18" s="2662"/>
      <c r="AH18" s="2522">
        <f t="shared" ref="AH18:AH19" si="3">SUM(AH47:AI47)</f>
        <v>7225</v>
      </c>
      <c r="AI18" s="2523">
        <f>BK120/AH18</f>
        <v>8.1660899653979241E-2</v>
      </c>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row>
    <row r="19" spans="1:63" s="34" customFormat="1" ht="15.6">
      <c r="A19"/>
      <c r="B19" s="2521" t="s">
        <v>41</v>
      </c>
      <c r="C19" s="22"/>
      <c r="D19" s="2524">
        <v>4217</v>
      </c>
      <c r="E19" s="2525">
        <v>0.10931942138961347</v>
      </c>
      <c r="F19" s="67"/>
      <c r="G19" s="2524">
        <v>4478</v>
      </c>
      <c r="H19" s="2525">
        <v>0.11143367574810183</v>
      </c>
      <c r="I19"/>
      <c r="J19" s="2524">
        <v>4791</v>
      </c>
      <c r="K19" s="2525">
        <v>0.11208515967438948</v>
      </c>
      <c r="L19" s="68"/>
      <c r="M19" s="2524">
        <v>5141</v>
      </c>
      <c r="N19" s="2525">
        <v>0.11048434156778837</v>
      </c>
      <c r="P19" s="2524">
        <v>5281</v>
      </c>
      <c r="Q19" s="2525">
        <v>0.11266805529255823</v>
      </c>
      <c r="R19" s="209"/>
      <c r="S19" s="2524">
        <v>5289</v>
      </c>
      <c r="T19" s="2525">
        <v>0.11230856494611458</v>
      </c>
      <c r="U19" s="22"/>
      <c r="V19" s="2524">
        <v>5207</v>
      </c>
      <c r="W19" s="2525">
        <v>0.10831572882657961</v>
      </c>
      <c r="X19" s="22"/>
      <c r="Y19" s="2524">
        <f>SUM(AT101,BH131)</f>
        <v>5080</v>
      </c>
      <c r="Z19" s="2525">
        <f>BH131/Y19</f>
        <v>0.10452755905511811</v>
      </c>
      <c r="AA19"/>
      <c r="AB19" s="2524">
        <f>SUM(AU101,BI131)</f>
        <v>4825</v>
      </c>
      <c r="AC19" s="2525">
        <f>BI131/AB19</f>
        <v>0.10756476683937824</v>
      </c>
      <c r="AE19" s="2524">
        <v>4565</v>
      </c>
      <c r="AF19" s="2525">
        <f>BJ131/AE19</f>
        <v>0.10952902519167579</v>
      </c>
      <c r="AG19" s="2662"/>
      <c r="AH19" s="2522">
        <f t="shared" si="3"/>
        <v>4284</v>
      </c>
      <c r="AI19" s="2523">
        <f>BK131/AH19</f>
        <v>0.10620915032679738</v>
      </c>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row>
    <row r="20" spans="1:63" s="5170" customFormat="1" ht="15" customHeight="1">
      <c r="A20" s="5154"/>
      <c r="B20" s="5164" t="s">
        <v>25</v>
      </c>
      <c r="C20" s="5165"/>
      <c r="D20" s="5166">
        <f>SUM(D17:D19)</f>
        <v>15169</v>
      </c>
      <c r="E20" s="5167">
        <v>0.11741050827345244</v>
      </c>
      <c r="F20" s="5168"/>
      <c r="G20" s="5166">
        <f>SUM(G17:G19)</f>
        <v>15662</v>
      </c>
      <c r="H20" s="5167">
        <v>0.116268675775763</v>
      </c>
      <c r="I20" s="5154"/>
      <c r="J20" s="5166">
        <f>SUM(J17:J19)</f>
        <v>16373</v>
      </c>
      <c r="K20" s="5167">
        <v>0.11152507176449032</v>
      </c>
      <c r="L20" s="5169"/>
      <c r="M20" s="5166">
        <f>SUM(M17:M19)</f>
        <v>17088</v>
      </c>
      <c r="N20" s="5167">
        <v>0.10375702247191011</v>
      </c>
      <c r="P20" s="5166">
        <f>SUM(P17:P19)</f>
        <v>17457</v>
      </c>
      <c r="Q20" s="5167">
        <v>0.10740677092283897</v>
      </c>
      <c r="R20" s="5171"/>
      <c r="S20" s="5166">
        <f>SUM(S17:S19)</f>
        <v>17479</v>
      </c>
      <c r="T20" s="5167">
        <v>0.10309514274271983</v>
      </c>
      <c r="U20" s="5165"/>
      <c r="V20" s="5166">
        <f>SUM(V17:V19)</f>
        <v>17611</v>
      </c>
      <c r="W20" s="5167">
        <v>0.10408267560047697</v>
      </c>
      <c r="X20" s="5165"/>
      <c r="Y20" s="5166">
        <f>SUM(Y17:Y19)</f>
        <v>17203</v>
      </c>
      <c r="Z20" s="5167">
        <f>BH132/Y20</f>
        <v>9.9808172993082603E-2</v>
      </c>
      <c r="AA20" s="5154"/>
      <c r="AB20" s="5166">
        <f>SUM(AU102,BI132)</f>
        <v>17011</v>
      </c>
      <c r="AC20" s="5167">
        <f>BI132/AB20</f>
        <v>0.10052319087649168</v>
      </c>
      <c r="AE20" s="5166">
        <f>SUM(AE17:AE19)</f>
        <v>16683</v>
      </c>
      <c r="AF20" s="5167">
        <f>BJ132/AE20</f>
        <v>0.10142060780435173</v>
      </c>
      <c r="AG20" s="5175"/>
      <c r="AH20" s="5166">
        <f>SUM(AH17:AH19)</f>
        <v>16180</v>
      </c>
      <c r="AI20" s="2523">
        <f>BK132/AH20</f>
        <v>9.7280593325092701E-2</v>
      </c>
      <c r="AJ20" s="34"/>
      <c r="AL20" s="5246"/>
      <c r="AM20" s="5246"/>
      <c r="AN20" s="5246"/>
      <c r="AO20" s="5246"/>
      <c r="AP20" s="5246"/>
      <c r="AQ20" s="5246"/>
      <c r="AR20" s="5246"/>
      <c r="AS20" s="5246"/>
      <c r="AT20" s="5246"/>
      <c r="AU20" s="5246"/>
      <c r="AV20" s="5246"/>
      <c r="AW20" s="5246"/>
      <c r="AX20" s="5246"/>
      <c r="AY20" s="5246"/>
      <c r="AZ20" s="5246"/>
      <c r="BA20" s="5246"/>
      <c r="BB20" s="5246"/>
      <c r="BC20" s="5246"/>
      <c r="BD20" s="5246"/>
      <c r="BE20" s="5246"/>
      <c r="BF20" s="5246"/>
      <c r="BG20" s="5246"/>
      <c r="BH20" s="5246"/>
      <c r="BI20" s="5246"/>
      <c r="BJ20" s="5246"/>
      <c r="BK20" s="5246"/>
    </row>
    <row r="21" spans="1:63" s="34" customFormat="1" ht="15.6">
      <c r="A21"/>
      <c r="B21"/>
      <c r="C21" s="22"/>
      <c r="D21"/>
      <c r="E21"/>
      <c r="F21"/>
      <c r="G21" s="2511"/>
      <c r="H21" s="2511"/>
      <c r="I21"/>
      <c r="J21" s="2511"/>
      <c r="K21" s="2511"/>
      <c r="L21" s="68"/>
      <c r="M21" s="2511"/>
      <c r="N21" s="2511"/>
      <c r="P21" s="2511"/>
      <c r="Q21" s="2511"/>
      <c r="R21" s="209"/>
      <c r="S21" s="2511"/>
      <c r="T21" s="2511"/>
      <c r="U21" s="22"/>
      <c r="V21" s="2511"/>
      <c r="W21" s="2511"/>
      <c r="X21" s="22"/>
      <c r="Y21" s="2511"/>
      <c r="Z21" s="2511"/>
      <c r="AA21"/>
      <c r="AB21" s="2511"/>
      <c r="AC21" s="2511"/>
      <c r="AE21" s="3595"/>
      <c r="AF21" s="4142"/>
      <c r="AG21" s="4854"/>
      <c r="AH21" s="4854"/>
      <c r="AI21" s="5205"/>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row>
    <row r="22" spans="1:63" s="34" customFormat="1" ht="15.6">
      <c r="A22"/>
      <c r="B22" s="2520" t="s">
        <v>4</v>
      </c>
      <c r="C22" s="22"/>
      <c r="D22" s="2522"/>
      <c r="E22" s="2523"/>
      <c r="F22" s="67"/>
      <c r="G22" s="2522">
        <v>60</v>
      </c>
      <c r="H22" s="2523"/>
      <c r="I22"/>
      <c r="J22" s="2522">
        <v>79</v>
      </c>
      <c r="K22" s="2523"/>
      <c r="L22" s="68"/>
      <c r="M22" s="2522">
        <v>123</v>
      </c>
      <c r="N22" s="2523"/>
      <c r="P22" s="2522">
        <v>139</v>
      </c>
      <c r="Q22" s="2523"/>
      <c r="R22" s="209"/>
      <c r="S22" s="2522">
        <v>173</v>
      </c>
      <c r="T22" s="2523"/>
      <c r="U22" s="22"/>
      <c r="V22" s="2522">
        <v>180</v>
      </c>
      <c r="W22" s="2523"/>
      <c r="X22" s="22"/>
      <c r="Y22" s="2522">
        <f>+AT106</f>
        <v>268</v>
      </c>
      <c r="Z22" s="2523"/>
      <c r="AA22"/>
      <c r="AB22" s="2522">
        <f>SUM(AU106)</f>
        <v>334</v>
      </c>
      <c r="AC22" s="2523"/>
      <c r="AE22" s="2522">
        <v>426</v>
      </c>
      <c r="AF22" s="2523"/>
      <c r="AG22" s="2662"/>
      <c r="AH22" s="2522">
        <f>SUM(AH51:AI51)</f>
        <v>489</v>
      </c>
      <c r="AI22" s="252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row>
    <row r="23" spans="1:63" s="34" customFormat="1" ht="15.6">
      <c r="A23"/>
      <c r="B23" s="2521" t="s">
        <v>16</v>
      </c>
      <c r="C23" s="22"/>
      <c r="D23" s="2524"/>
      <c r="E23" s="2525"/>
      <c r="F23" s="67"/>
      <c r="G23" s="2524">
        <v>58</v>
      </c>
      <c r="H23" s="2525"/>
      <c r="I23"/>
      <c r="J23" s="2524">
        <v>80</v>
      </c>
      <c r="K23" s="2525"/>
      <c r="L23" s="68"/>
      <c r="M23" s="2524">
        <v>138</v>
      </c>
      <c r="N23" s="2525"/>
      <c r="P23" s="2524">
        <v>172</v>
      </c>
      <c r="Q23" s="2525"/>
      <c r="R23" s="209"/>
      <c r="S23" s="2524">
        <v>213</v>
      </c>
      <c r="T23" s="2525"/>
      <c r="U23" s="22"/>
      <c r="V23" s="2524">
        <v>247</v>
      </c>
      <c r="W23" s="2525"/>
      <c r="X23" s="22"/>
      <c r="Y23" s="2524">
        <f>+AT110</f>
        <v>301</v>
      </c>
      <c r="Z23" s="2525"/>
      <c r="AA23"/>
      <c r="AB23" s="2524">
        <f>SUM(AU110)</f>
        <v>371</v>
      </c>
      <c r="AC23" s="2525"/>
      <c r="AE23" s="2524">
        <v>411</v>
      </c>
      <c r="AF23" s="2525"/>
      <c r="AG23" s="2662"/>
      <c r="AH23" s="2522">
        <f t="shared" ref="AH23:AH24" si="4">SUM(AH52:AI52)</f>
        <v>497</v>
      </c>
      <c r="AI23" s="2525"/>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row>
    <row r="24" spans="1:63" s="34" customFormat="1" ht="15" customHeight="1">
      <c r="A24"/>
      <c r="B24" s="2521" t="s">
        <v>41</v>
      </c>
      <c r="C24" s="22"/>
      <c r="D24" s="2524"/>
      <c r="E24" s="2525"/>
      <c r="F24" s="67"/>
      <c r="G24" s="2524">
        <v>55</v>
      </c>
      <c r="H24" s="2525"/>
      <c r="I24"/>
      <c r="J24" s="2524">
        <v>69</v>
      </c>
      <c r="K24" s="2525"/>
      <c r="L24" s="68"/>
      <c r="M24" s="2524">
        <v>116</v>
      </c>
      <c r="N24" s="2525"/>
      <c r="P24" s="2524">
        <v>147</v>
      </c>
      <c r="Q24" s="2525"/>
      <c r="R24" s="209"/>
      <c r="S24" s="2524">
        <v>208</v>
      </c>
      <c r="T24" s="2525"/>
      <c r="U24" s="22"/>
      <c r="V24" s="2524">
        <v>247</v>
      </c>
      <c r="W24" s="2525"/>
      <c r="X24" s="22"/>
      <c r="Y24" s="2524">
        <f>+AT114</f>
        <v>299</v>
      </c>
      <c r="Z24" s="2525"/>
      <c r="AA24"/>
      <c r="AB24" s="2524">
        <f>SUM(AU114,BI188)</f>
        <v>341</v>
      </c>
      <c r="AC24" s="2525">
        <f>BI188/AB24</f>
        <v>2.9325513196480938E-3</v>
      </c>
      <c r="AE24" s="2524">
        <v>415</v>
      </c>
      <c r="AF24" s="2525">
        <f>BJ188/AE24</f>
        <v>7.2289156626506026E-3</v>
      </c>
      <c r="AG24" s="2662"/>
      <c r="AH24" s="2522">
        <f t="shared" si="4"/>
        <v>496</v>
      </c>
      <c r="AI24" s="2525">
        <f>BK188/AH24</f>
        <v>1.4112903225806451E-2</v>
      </c>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row>
    <row r="25" spans="1:63" s="5170" customFormat="1" ht="15.6">
      <c r="A25" s="5154"/>
      <c r="B25" s="5164" t="s">
        <v>244</v>
      </c>
      <c r="C25" s="5165"/>
      <c r="D25" s="5166"/>
      <c r="E25" s="5167"/>
      <c r="F25" s="5168"/>
      <c r="G25" s="5166">
        <f>SUM(G22:G24)</f>
        <v>173</v>
      </c>
      <c r="H25" s="5167"/>
      <c r="I25" s="5154"/>
      <c r="J25" s="5166">
        <f>SUM(J22:J24)</f>
        <v>228</v>
      </c>
      <c r="K25" s="5167"/>
      <c r="L25" s="5169"/>
      <c r="M25" s="5166">
        <f>SUM(M22:M24)</f>
        <v>377</v>
      </c>
      <c r="N25" s="5167"/>
      <c r="P25" s="5166">
        <f>SUM(P22:P24)</f>
        <v>458</v>
      </c>
      <c r="Q25" s="5167"/>
      <c r="R25" s="5171"/>
      <c r="S25" s="5166">
        <f>SUM(S22:S24)</f>
        <v>594</v>
      </c>
      <c r="T25" s="5167"/>
      <c r="U25" s="5165"/>
      <c r="V25" s="5166">
        <f>SUM(V22:V24)</f>
        <v>674</v>
      </c>
      <c r="W25" s="5167"/>
      <c r="X25" s="5165"/>
      <c r="Y25" s="5166">
        <f>SUM(Y22:Y24)</f>
        <v>868</v>
      </c>
      <c r="Z25" s="5167"/>
      <c r="AA25" s="5154"/>
      <c r="AB25" s="5166">
        <f>SUM(AU115,BI189)</f>
        <v>1046</v>
      </c>
      <c r="AC25" s="5167">
        <f>BI189/AB25</f>
        <v>9.5602294455066918E-4</v>
      </c>
      <c r="AE25" s="5166">
        <f>SUM(AE22:AE24)</f>
        <v>1252</v>
      </c>
      <c r="AF25" s="5167">
        <f>BJ100/AE25</f>
        <v>0</v>
      </c>
      <c r="AG25" s="5175"/>
      <c r="AH25" s="5166">
        <f>SUM(AH22:AH24)</f>
        <v>1482</v>
      </c>
      <c r="AI25" s="5167">
        <f>BK100/AH25</f>
        <v>0</v>
      </c>
      <c r="AJ25" s="34"/>
      <c r="AL25" s="5246"/>
      <c r="AM25" s="5246"/>
      <c r="AN25" s="5246"/>
      <c r="AO25" s="5246"/>
      <c r="AP25" s="5246"/>
      <c r="AQ25" s="5246"/>
      <c r="AR25" s="5246"/>
      <c r="AS25" s="5246"/>
      <c r="AT25" s="5246"/>
      <c r="AU25" s="5246"/>
      <c r="AV25" s="5246"/>
      <c r="AW25" s="5246"/>
      <c r="AX25" s="5246"/>
      <c r="AY25" s="5246"/>
      <c r="AZ25" s="5246"/>
      <c r="BA25" s="5246"/>
      <c r="BB25" s="5246"/>
      <c r="BC25" s="5246"/>
      <c r="BD25" s="5246"/>
      <c r="BE25" s="5246"/>
      <c r="BF25" s="5246"/>
      <c r="BG25" s="5246"/>
      <c r="BH25" s="5246"/>
      <c r="BI25" s="5246"/>
      <c r="BJ25" s="5246"/>
      <c r="BK25" s="5246"/>
    </row>
    <row r="26" spans="1:63" s="34" customFormat="1" ht="15.6">
      <c r="A26"/>
      <c r="C26" s="22"/>
      <c r="D26" s="65"/>
      <c r="E26" s="66"/>
      <c r="F26" s="67"/>
      <c r="G26" s="65"/>
      <c r="H26" s="66"/>
      <c r="I26"/>
      <c r="J26" s="65"/>
      <c r="K26" s="66"/>
      <c r="L26" s="68"/>
      <c r="M26" s="65"/>
      <c r="N26" s="66"/>
      <c r="P26" s="65"/>
      <c r="Q26" s="66"/>
      <c r="R26" s="209"/>
      <c r="S26" s="65"/>
      <c r="T26" s="66"/>
      <c r="U26" s="22"/>
      <c r="V26" s="65"/>
      <c r="W26" s="66"/>
      <c r="X26" s="22"/>
      <c r="Y26" s="65"/>
      <c r="Z26" s="66"/>
      <c r="AA26"/>
      <c r="AB26" s="65"/>
      <c r="AC26" s="66"/>
      <c r="AE26" s="65"/>
      <c r="AF26" s="66"/>
      <c r="AG26" s="66"/>
      <c r="AH26" s="65"/>
      <c r="AI26" s="66"/>
      <c r="AL26" s="113"/>
      <c r="AM26" s="113"/>
      <c r="AN26" s="113"/>
      <c r="AO26" s="113"/>
      <c r="AP26" s="113"/>
      <c r="AQ26" s="113"/>
      <c r="AR26" s="113"/>
      <c r="AS26" s="113"/>
      <c r="AT26" s="113"/>
      <c r="AU26" s="113"/>
      <c r="AV26" s="113"/>
      <c r="AW26" s="113"/>
      <c r="AX26" s="37"/>
      <c r="AY26" s="113"/>
      <c r="AZ26" s="113"/>
      <c r="BA26" s="113"/>
      <c r="BB26" s="113"/>
      <c r="BC26" s="113"/>
      <c r="BD26" s="113"/>
      <c r="BE26" s="113"/>
      <c r="BF26" s="113"/>
      <c r="BG26" s="113"/>
      <c r="BH26" s="113"/>
      <c r="BI26" s="113"/>
      <c r="BJ26" s="113"/>
      <c r="BK26" s="113"/>
    </row>
    <row r="27" spans="1:63" s="34" customFormat="1" ht="15.6">
      <c r="A27"/>
      <c r="B27" s="2520" t="s">
        <v>16</v>
      </c>
      <c r="C27" s="22"/>
      <c r="D27" s="2522">
        <v>6625</v>
      </c>
      <c r="E27" s="2523">
        <v>7.3509433962264156E-2</v>
      </c>
      <c r="F27" s="67"/>
      <c r="G27" s="2522">
        <v>6485</v>
      </c>
      <c r="H27" s="2523">
        <v>6.6152659984579795E-2</v>
      </c>
      <c r="I27"/>
      <c r="J27" s="2522">
        <v>6593</v>
      </c>
      <c r="K27" s="2523">
        <v>7.083270134991658E-2</v>
      </c>
      <c r="L27" s="68"/>
      <c r="M27" s="2522">
        <v>6662</v>
      </c>
      <c r="N27" s="2523">
        <v>6.3794656259381563E-2</v>
      </c>
      <c r="P27" s="2522">
        <v>6602</v>
      </c>
      <c r="Q27" s="2523">
        <v>6.8767040290820966E-2</v>
      </c>
      <c r="R27" s="209"/>
      <c r="S27" s="2522">
        <v>6598</v>
      </c>
      <c r="T27" s="2523">
        <v>6.1382237041527739E-2</v>
      </c>
      <c r="U27" s="22"/>
      <c r="V27" s="2522">
        <v>6700</v>
      </c>
      <c r="W27" s="2523">
        <v>6.9850746268656713E-2</v>
      </c>
      <c r="X27" s="22"/>
      <c r="Y27" s="2522">
        <f>SUM(AT122,BH153)</f>
        <v>6734</v>
      </c>
      <c r="Z27" s="2523">
        <f>BH153/Y27</f>
        <v>6.7419067419067419E-2</v>
      </c>
      <c r="AA27"/>
      <c r="AB27" s="2522">
        <f>SUM(AU122,BI153)</f>
        <v>6983</v>
      </c>
      <c r="AC27" s="2523">
        <f>BI153/AB27</f>
        <v>8.4490906487183159E-2</v>
      </c>
      <c r="AE27" s="2522">
        <v>7021</v>
      </c>
      <c r="AF27" s="2523">
        <f>BJ153/AE27</f>
        <v>7.1927075915111813E-2</v>
      </c>
      <c r="AG27" s="2662"/>
      <c r="AH27" s="5244">
        <f>SUM(AH56:AI56)</f>
        <v>7232</v>
      </c>
      <c r="AI27" s="2523">
        <f>BK153/AH27</f>
        <v>7.8401548672566365E-2</v>
      </c>
      <c r="AL27" s="113"/>
      <c r="AM27" s="113"/>
      <c r="AN27" s="113"/>
      <c r="AO27" s="113"/>
      <c r="AP27" s="113"/>
      <c r="AQ27" s="113"/>
      <c r="AR27" s="113"/>
      <c r="AS27" s="113"/>
      <c r="AT27" s="113"/>
      <c r="AU27" s="113"/>
      <c r="AV27" s="113"/>
      <c r="AW27" s="113"/>
      <c r="AX27" s="37"/>
      <c r="AY27" s="113"/>
      <c r="AZ27" s="113"/>
      <c r="BA27" s="113"/>
      <c r="BB27" s="113"/>
      <c r="BC27" s="113"/>
      <c r="BD27" s="113"/>
      <c r="BE27" s="113"/>
      <c r="BF27" s="113"/>
      <c r="BG27" s="113"/>
      <c r="BH27" s="113"/>
      <c r="BI27" s="113"/>
      <c r="BJ27" s="113"/>
      <c r="BK27" s="113"/>
    </row>
    <row r="28" spans="1:63" s="34" customFormat="1" ht="15.6">
      <c r="A28"/>
      <c r="B28" s="2521" t="s">
        <v>41</v>
      </c>
      <c r="C28" s="22"/>
      <c r="D28" s="2524">
        <v>7952</v>
      </c>
      <c r="E28" s="2525">
        <v>3.8983903420523137E-2</v>
      </c>
      <c r="F28" s="67"/>
      <c r="G28" s="2524">
        <v>7901</v>
      </c>
      <c r="H28" s="2525">
        <v>4.2146563726110621E-2</v>
      </c>
      <c r="I28"/>
      <c r="J28" s="2524">
        <v>7833</v>
      </c>
      <c r="K28" s="2525">
        <v>4.1363462274990423E-2</v>
      </c>
      <c r="L28" s="68"/>
      <c r="M28" s="2524">
        <v>7938</v>
      </c>
      <c r="N28" s="2525">
        <v>4.6989166036785088E-2</v>
      </c>
      <c r="P28" s="2524">
        <v>7914</v>
      </c>
      <c r="Q28" s="2525">
        <v>4.2835481425322217E-2</v>
      </c>
      <c r="R28" s="209"/>
      <c r="S28" s="2524">
        <v>8022</v>
      </c>
      <c r="T28" s="2525">
        <v>4.8117676389927699E-2</v>
      </c>
      <c r="U28" s="22"/>
      <c r="V28" s="2524">
        <v>8088</v>
      </c>
      <c r="W28" s="2525">
        <v>4.9332344213649855E-2</v>
      </c>
      <c r="X28" s="22"/>
      <c r="Y28" s="2524">
        <f>SUM(AT131,BH169)</f>
        <v>8318</v>
      </c>
      <c r="Z28" s="2525">
        <f>BH169/Y28</f>
        <v>4.8809810050492904E-2</v>
      </c>
      <c r="AA28"/>
      <c r="AB28" s="2524">
        <f>SUM(AU131,BI169)</f>
        <v>8461</v>
      </c>
      <c r="AC28" s="2525">
        <f>BI169/AB28</f>
        <v>4.7630303746602057E-2</v>
      </c>
      <c r="AE28" s="2524">
        <v>8610</v>
      </c>
      <c r="AF28" s="2525">
        <f>BJ169/AE28</f>
        <v>4.878048780487805E-2</v>
      </c>
      <c r="AG28" s="2662"/>
      <c r="AH28" s="5244">
        <f t="shared" ref="AH28:AH29" si="5">SUM(AH57:AI57)</f>
        <v>8723</v>
      </c>
      <c r="AI28" s="2525">
        <f>BK169/AH28</f>
        <v>4.5855783560701593E-2</v>
      </c>
      <c r="AL28" s="113"/>
      <c r="AM28" s="113"/>
      <c r="AN28" s="113"/>
      <c r="AO28" s="113"/>
      <c r="AP28" s="113"/>
      <c r="AQ28" s="113"/>
      <c r="AR28" s="113"/>
      <c r="AS28" s="113"/>
      <c r="AT28" s="113"/>
      <c r="AU28" s="113"/>
      <c r="AV28" s="113"/>
      <c r="AW28" s="113"/>
      <c r="AX28" s="37"/>
      <c r="AY28" s="113"/>
      <c r="AZ28" s="113"/>
      <c r="BA28" s="113"/>
      <c r="BB28" s="113"/>
      <c r="BC28" s="113"/>
      <c r="BD28" s="113"/>
      <c r="BE28" s="113"/>
      <c r="BF28" s="113"/>
      <c r="BG28" s="113"/>
      <c r="BH28" s="113"/>
      <c r="BI28" s="113"/>
      <c r="BJ28" s="113"/>
      <c r="BK28" s="113"/>
    </row>
    <row r="29" spans="1:63" s="34" customFormat="1" ht="15.6">
      <c r="A29"/>
      <c r="B29" s="2521" t="s">
        <v>21</v>
      </c>
      <c r="C29" s="22"/>
      <c r="D29" s="2524">
        <v>3337</v>
      </c>
      <c r="E29" s="2525">
        <v>4.4650884027569671E-2</v>
      </c>
      <c r="F29" s="67"/>
      <c r="G29" s="2524">
        <v>3281</v>
      </c>
      <c r="H29" s="2525">
        <v>5.790917403230722E-2</v>
      </c>
      <c r="I29"/>
      <c r="J29" s="2524">
        <v>3280</v>
      </c>
      <c r="K29" s="2525">
        <v>4.4207317073170729E-2</v>
      </c>
      <c r="L29" s="68"/>
      <c r="M29" s="2524">
        <v>3365</v>
      </c>
      <c r="N29" s="2525">
        <v>5.7057949479940563E-2</v>
      </c>
      <c r="P29" s="2524">
        <v>3323</v>
      </c>
      <c r="Q29" s="2525">
        <v>4.9052061390309959E-2</v>
      </c>
      <c r="R29" s="209"/>
      <c r="S29" s="2524">
        <v>3339</v>
      </c>
      <c r="T29" s="2525">
        <v>5.9598682240191672E-2</v>
      </c>
      <c r="U29" s="22"/>
      <c r="V29" s="2524">
        <v>3355</v>
      </c>
      <c r="W29" s="2525">
        <v>4.8286140089418776E-2</v>
      </c>
      <c r="X29" s="22"/>
      <c r="Y29" s="2524">
        <f>SUM(AT136,BH174)</f>
        <v>3381</v>
      </c>
      <c r="Z29" s="2525">
        <f>BH174/Y29</f>
        <v>5.7083703046435966E-2</v>
      </c>
      <c r="AA29"/>
      <c r="AB29" s="2524">
        <f>SUM(AU136,BI174)</f>
        <v>3368</v>
      </c>
      <c r="AC29" s="2525">
        <f>BI174/AB29</f>
        <v>4.5130641330166268E-2</v>
      </c>
      <c r="AE29" s="2524">
        <v>3383</v>
      </c>
      <c r="AF29" s="2525">
        <f>BJ174/AE29</f>
        <v>4.9955660656222291E-2</v>
      </c>
      <c r="AG29" s="2662"/>
      <c r="AH29" s="5244">
        <f t="shared" si="5"/>
        <v>3366</v>
      </c>
      <c r="AI29" s="2525">
        <f>BK174/AH29</f>
        <v>4.3077837195484255E-2</v>
      </c>
      <c r="AL29" s="113"/>
      <c r="AM29" s="113"/>
      <c r="AN29" s="113"/>
      <c r="AO29" s="113"/>
      <c r="AP29" s="113"/>
      <c r="AQ29" s="113"/>
      <c r="AR29" s="113"/>
      <c r="AS29" s="113"/>
      <c r="AT29" s="113"/>
      <c r="AU29" s="113"/>
      <c r="AV29" s="113"/>
      <c r="AW29" s="113"/>
      <c r="AX29" s="37"/>
      <c r="AY29" s="113"/>
      <c r="AZ29" s="113"/>
      <c r="BA29" s="113"/>
      <c r="BB29" s="113"/>
      <c r="BC29" s="113"/>
      <c r="BD29" s="113"/>
      <c r="BE29" s="113"/>
      <c r="BF29" s="113"/>
      <c r="BG29" s="113"/>
      <c r="BH29" s="113"/>
      <c r="BI29" s="113"/>
      <c r="BJ29" s="113"/>
      <c r="BK29" s="113"/>
    </row>
    <row r="30" spans="1:63" s="5172" customFormat="1" ht="15.6">
      <c r="A30" s="5154"/>
      <c r="B30" s="5164" t="s">
        <v>48</v>
      </c>
      <c r="C30" s="5165"/>
      <c r="D30" s="5166">
        <f>SUM(D27:D29)</f>
        <v>17914</v>
      </c>
      <c r="E30" s="5167">
        <v>5.2807859774478064E-2</v>
      </c>
      <c r="F30" s="5168"/>
      <c r="G30" s="5166">
        <f>SUM(G27:G29)</f>
        <v>17667</v>
      </c>
      <c r="H30" s="5167">
        <v>5.3885775740080376E-2</v>
      </c>
      <c r="I30" s="5154"/>
      <c r="J30" s="5166">
        <f>SUM(J27:J29)</f>
        <v>17706</v>
      </c>
      <c r="K30" s="5167">
        <v>5.2863436123348019E-2</v>
      </c>
      <c r="L30" s="5169"/>
      <c r="M30" s="5166">
        <f>SUM(M27:M29)</f>
        <v>17965</v>
      </c>
      <c r="N30" s="5167">
        <v>5.5107152797105485E-2</v>
      </c>
      <c r="P30" s="5166">
        <f>SUM(P27:P29)</f>
        <v>17839</v>
      </c>
      <c r="Q30" s="5167">
        <v>5.3590447895061386E-2</v>
      </c>
      <c r="R30" s="5171"/>
      <c r="S30" s="5166">
        <f>SUM(S27:S29)</f>
        <v>17959</v>
      </c>
      <c r="T30" s="5167">
        <v>5.5125563784175068E-2</v>
      </c>
      <c r="U30" s="5165"/>
      <c r="V30" s="5166">
        <f>SUM(V27:V29)</f>
        <v>18143</v>
      </c>
      <c r="W30" s="5167">
        <v>5.6716088849694098E-2</v>
      </c>
      <c r="X30" s="5165"/>
      <c r="Y30" s="5166">
        <f>SUM(Y27:Y29)</f>
        <v>18433</v>
      </c>
      <c r="Z30" s="5167">
        <f>BH175/Y30</f>
        <v>5.7125806976618024E-2</v>
      </c>
      <c r="AA30" s="5154"/>
      <c r="AB30" s="5166">
        <f>SUM(AU137,BI175)</f>
        <v>18812</v>
      </c>
      <c r="AC30" s="5167">
        <f>BI175/AB30</f>
        <v>6.086540506059962E-2</v>
      </c>
      <c r="AE30" s="5166">
        <f>SUM(AE27:AE29)</f>
        <v>19014</v>
      </c>
      <c r="AF30" s="5167">
        <f>BJ175/AE30</f>
        <v>5.7536552014305249E-2</v>
      </c>
      <c r="AG30" s="5175"/>
      <c r="AH30" s="5166">
        <f>SUM(AH27:AH29)</f>
        <v>19321</v>
      </c>
      <c r="AI30" s="5167">
        <f>BK175/AH30</f>
        <v>5.7553956834532377E-2</v>
      </c>
      <c r="AJ30" s="5175"/>
      <c r="AL30" s="5247"/>
      <c r="AM30" s="5247"/>
      <c r="AN30" s="5247"/>
      <c r="AO30" s="5247"/>
      <c r="AP30" s="5247"/>
      <c r="AQ30" s="5247"/>
      <c r="AR30" s="5247"/>
      <c r="AS30" s="5247"/>
      <c r="AT30" s="5247"/>
      <c r="AU30" s="5247"/>
      <c r="AV30" s="5247"/>
      <c r="AW30" s="5247"/>
      <c r="AX30" s="4807"/>
      <c r="AY30" s="5247"/>
      <c r="AZ30" s="5247"/>
      <c r="BA30" s="5247"/>
      <c r="BB30" s="5247"/>
      <c r="BC30" s="5247"/>
      <c r="BD30" s="5247"/>
      <c r="BE30" s="5247"/>
      <c r="BF30" s="5247"/>
      <c r="BG30" s="5247"/>
      <c r="BH30" s="5247"/>
      <c r="BI30" s="5247"/>
      <c r="BJ30" s="5247"/>
      <c r="BK30" s="5247"/>
    </row>
    <row r="31" spans="1:63" s="34" customFormat="1" ht="15.6">
      <c r="A31"/>
      <c r="C31" s="22"/>
      <c r="D31" s="65"/>
      <c r="E31" s="66"/>
      <c r="F31" s="67"/>
      <c r="G31" s="65"/>
      <c r="H31" s="66"/>
      <c r="I31"/>
      <c r="J31" s="65"/>
      <c r="K31" s="66"/>
      <c r="L31" s="68"/>
      <c r="M31" s="65"/>
      <c r="N31" s="66"/>
      <c r="P31" s="65"/>
      <c r="Q31" s="66"/>
      <c r="R31" s="209"/>
      <c r="S31" s="65"/>
      <c r="T31" s="66"/>
      <c r="U31" s="22"/>
      <c r="V31" s="65"/>
      <c r="W31" s="66"/>
      <c r="X31" s="22"/>
      <c r="Y31" s="65"/>
      <c r="Z31" s="66"/>
      <c r="AA31"/>
      <c r="AB31" s="65"/>
      <c r="AC31" s="66"/>
      <c r="AE31" s="65"/>
      <c r="AF31" s="66"/>
      <c r="AG31" s="66"/>
      <c r="AH31" s="65"/>
      <c r="AI31" s="66"/>
      <c r="AJ31" s="66"/>
      <c r="AL31" s="113"/>
      <c r="AM31" s="113"/>
      <c r="AN31" s="113"/>
      <c r="AO31" s="113"/>
      <c r="AP31" s="113"/>
      <c r="AQ31" s="113"/>
      <c r="AR31" s="113"/>
      <c r="AS31" s="113"/>
      <c r="AT31" s="113"/>
      <c r="AU31" s="113"/>
      <c r="AV31" s="113"/>
      <c r="AW31" s="113"/>
      <c r="AX31" s="37"/>
      <c r="AY31" s="113"/>
      <c r="AZ31" s="113"/>
      <c r="BA31" s="113"/>
      <c r="BB31" s="113"/>
      <c r="BC31" s="113"/>
      <c r="BD31" s="113"/>
      <c r="BE31" s="113"/>
      <c r="BF31" s="113"/>
      <c r="BG31" s="113"/>
      <c r="BH31" s="113"/>
      <c r="BI31" s="113"/>
      <c r="BJ31" s="113"/>
      <c r="BK31" s="113"/>
    </row>
    <row r="32" spans="1:63" s="5172" customFormat="1" ht="15.6">
      <c r="A32" s="5154"/>
      <c r="B32" s="5173" t="s">
        <v>67</v>
      </c>
      <c r="C32" s="5165"/>
      <c r="D32" s="5174">
        <f>SUM(D10,D15,D20,D30)</f>
        <v>51922</v>
      </c>
      <c r="E32" s="5157">
        <v>6.4057624898886792E-2</v>
      </c>
      <c r="F32" s="5168"/>
      <c r="G32" s="5174">
        <v>52888</v>
      </c>
      <c r="H32" s="5157">
        <v>6.3908637119951595E-2</v>
      </c>
      <c r="I32" s="5154"/>
      <c r="J32" s="5174">
        <f>SUM(J10,J15,J20,J25,J30)</f>
        <v>54364</v>
      </c>
      <c r="K32" s="5157">
        <v>6.3203590611434032E-2</v>
      </c>
      <c r="L32" s="5169"/>
      <c r="M32" s="5174">
        <f>SUM(M10,M15,M20,M25,M30)</f>
        <v>55967</v>
      </c>
      <c r="N32" s="5157">
        <v>6.2679793449711432E-2</v>
      </c>
      <c r="P32" s="5174">
        <f>SUM(P10,P15,P20,P25,P30)</f>
        <v>56606</v>
      </c>
      <c r="Q32" s="5157">
        <v>6.5505423453344175E-2</v>
      </c>
      <c r="R32" s="5171"/>
      <c r="S32" s="5174">
        <f>SUM(S10,S15,S20,S25,S30)</f>
        <v>57092</v>
      </c>
      <c r="T32" s="5157">
        <v>6.5122959433896163E-2</v>
      </c>
      <c r="U32" s="5165"/>
      <c r="V32" s="5174">
        <f>SUM(V10,V15,V20,V25,V30)</f>
        <v>57742</v>
      </c>
      <c r="W32" s="5157">
        <v>6.6537355824183436E-2</v>
      </c>
      <c r="X32" s="5165"/>
      <c r="Y32" s="5174">
        <f>SUM(Y10,Y15,Y20,Y25,Y30)</f>
        <v>57827</v>
      </c>
      <c r="Z32" s="5157">
        <f>BH191/Y32</f>
        <v>6.6370380618050395E-2</v>
      </c>
      <c r="AA32" s="5154"/>
      <c r="AB32" s="5174">
        <f>SUM(AU139,BI191)</f>
        <v>58623</v>
      </c>
      <c r="AC32" s="5157">
        <f>BI191/AB32</f>
        <v>6.5980928986916404E-2</v>
      </c>
      <c r="AE32" s="5174">
        <f>SUM(AE10,AE15,AE20,AE25,AE30)</f>
        <v>59705</v>
      </c>
      <c r="AF32" s="5157">
        <f>BJ191/AE32</f>
        <v>6.5220668285738206E-2</v>
      </c>
      <c r="AG32" s="5176"/>
      <c r="AH32" s="5174">
        <f>SUM(AH10,AH15,AH20,AH25,AH30)</f>
        <v>59709</v>
      </c>
      <c r="AI32" s="5157">
        <f>BK191/AH32</f>
        <v>6.1481518699023595E-2</v>
      </c>
      <c r="AJ32" s="5176"/>
      <c r="AL32" s="5247"/>
      <c r="AM32" s="5247"/>
      <c r="AN32" s="5247"/>
      <c r="AO32" s="5247"/>
      <c r="AP32" s="5247"/>
      <c r="AQ32" s="5247"/>
      <c r="AR32" s="5247"/>
      <c r="AS32" s="5247"/>
      <c r="AT32" s="5247"/>
      <c r="AU32" s="5247"/>
      <c r="AV32" s="5247"/>
      <c r="AW32" s="5247"/>
      <c r="AX32" s="4807"/>
      <c r="AY32" s="5247"/>
      <c r="AZ32" s="5247"/>
      <c r="BA32" s="5247"/>
      <c r="BB32" s="5247"/>
      <c r="BC32" s="5247"/>
      <c r="BD32" s="5247"/>
      <c r="BE32" s="5247"/>
      <c r="BF32" s="5247"/>
      <c r="BG32" s="5247"/>
      <c r="BH32" s="5247"/>
      <c r="BI32" s="5247"/>
      <c r="BJ32" s="5247"/>
      <c r="BK32" s="5247"/>
    </row>
    <row r="33" spans="1:63" s="35" customFormat="1" ht="15.75" customHeight="1">
      <c r="A33"/>
      <c r="B33"/>
      <c r="C33" s="22"/>
      <c r="D33" s="2"/>
      <c r="E33"/>
      <c r="F33" s="67"/>
      <c r="G33"/>
      <c r="H33" s="64"/>
      <c r="I33"/>
      <c r="J33" s="64"/>
      <c r="K33" s="64"/>
      <c r="L33" s="68"/>
      <c r="M33" s="64"/>
      <c r="N33" s="64"/>
      <c r="R33" s="209"/>
      <c r="U33" s="22"/>
      <c r="X33" s="22"/>
      <c r="AA33"/>
      <c r="AL33" s="5248"/>
      <c r="AM33" s="5248"/>
      <c r="AN33" s="5248"/>
      <c r="AO33" s="5248"/>
      <c r="AP33" s="5248"/>
      <c r="AQ33" s="5248"/>
      <c r="AR33" s="5248"/>
      <c r="AS33" s="5248"/>
      <c r="AT33" s="5248"/>
      <c r="AU33" s="5248"/>
      <c r="AV33" s="5248"/>
      <c r="AW33" s="5248"/>
      <c r="AX33" s="37"/>
      <c r="AY33" s="5248"/>
      <c r="AZ33" s="5248"/>
      <c r="BA33" s="5248"/>
      <c r="BB33" s="5248"/>
      <c r="BC33" s="5248"/>
      <c r="BD33" s="5248"/>
      <c r="BE33" s="5248"/>
      <c r="BF33" s="5248"/>
      <c r="BG33" s="5248"/>
      <c r="BH33" s="5248"/>
      <c r="BI33" s="5248"/>
      <c r="BJ33" s="5248"/>
      <c r="BK33" s="5248"/>
    </row>
    <row r="34" spans="1:63" s="36" customFormat="1" ht="15.6">
      <c r="A34"/>
      <c r="B34"/>
      <c r="C34" s="22"/>
      <c r="AA34"/>
      <c r="AL34" s="113"/>
      <c r="AM34" s="113"/>
      <c r="AN34" s="113"/>
      <c r="AO34" s="113"/>
      <c r="AP34" s="113"/>
      <c r="AQ34" s="113"/>
      <c r="AR34" s="113"/>
      <c r="AS34" s="113"/>
      <c r="AT34" s="113"/>
      <c r="AU34" s="113"/>
      <c r="AV34" s="113"/>
      <c r="AW34" s="113"/>
      <c r="AX34" s="37"/>
      <c r="AY34" s="113"/>
      <c r="AZ34" s="113"/>
      <c r="BA34" s="113"/>
      <c r="BB34" s="113"/>
      <c r="BC34" s="113"/>
      <c r="BD34" s="113"/>
      <c r="BE34" s="113"/>
      <c r="BF34" s="113"/>
      <c r="BG34" s="113"/>
      <c r="BH34" s="113"/>
      <c r="BI34" s="113"/>
      <c r="BJ34" s="113"/>
      <c r="BK34" s="113"/>
    </row>
    <row r="35" spans="1:63" s="36" customFormat="1" ht="15.6">
      <c r="A35"/>
      <c r="B35"/>
      <c r="C35"/>
      <c r="D35"/>
      <c r="E35"/>
      <c r="F35"/>
      <c r="G35"/>
      <c r="H35"/>
      <c r="I35"/>
      <c r="J35"/>
      <c r="K35"/>
      <c r="L35"/>
      <c r="M35"/>
      <c r="N35"/>
      <c r="U35" s="22"/>
      <c r="AL35" s="5249" t="s">
        <v>2579</v>
      </c>
      <c r="AM35" s="5250">
        <v>2010</v>
      </c>
      <c r="AN35" s="5250">
        <v>2011</v>
      </c>
      <c r="AO35" s="5250">
        <v>2012</v>
      </c>
      <c r="AP35" s="5250">
        <v>2013</v>
      </c>
      <c r="AQ35" s="5250">
        <v>2014</v>
      </c>
      <c r="AR35" s="5250">
        <v>2015</v>
      </c>
      <c r="AS35" s="5250">
        <v>2016</v>
      </c>
      <c r="AT35" s="5250">
        <v>2017</v>
      </c>
      <c r="AU35" s="5250">
        <v>2018</v>
      </c>
      <c r="AV35" s="5251">
        <v>2019</v>
      </c>
      <c r="AW35" s="5251">
        <v>2020</v>
      </c>
      <c r="AX35" s="37"/>
      <c r="AY35" s="5249" t="s">
        <v>457</v>
      </c>
      <c r="AZ35" s="5249" t="s">
        <v>2579</v>
      </c>
      <c r="BA35" s="5252">
        <v>2010</v>
      </c>
      <c r="BB35" s="5252">
        <v>2011</v>
      </c>
      <c r="BC35" s="5252">
        <v>2012</v>
      </c>
      <c r="BD35" s="5252">
        <v>2013</v>
      </c>
      <c r="BE35" s="5252">
        <v>2014</v>
      </c>
      <c r="BF35" s="5252">
        <v>2015</v>
      </c>
      <c r="BG35" s="5252">
        <v>2016</v>
      </c>
      <c r="BH35" s="5252">
        <v>2017</v>
      </c>
      <c r="BI35" s="5252">
        <v>2018</v>
      </c>
      <c r="BJ35" s="5252">
        <v>2019</v>
      </c>
      <c r="BK35" s="5253">
        <v>2020</v>
      </c>
    </row>
    <row r="36" spans="1:63" ht="15" customHeight="1">
      <c r="C36" s="22"/>
      <c r="J36" s="29"/>
      <c r="U36" s="22"/>
      <c r="AH36" s="37">
        <v>7088</v>
      </c>
      <c r="AI36" s="37">
        <v>266</v>
      </c>
      <c r="AL36" s="5254" t="s">
        <v>527</v>
      </c>
      <c r="AM36" s="5255">
        <v>774</v>
      </c>
      <c r="AN36" s="5255">
        <v>827</v>
      </c>
      <c r="AO36" s="5255">
        <v>848</v>
      </c>
      <c r="AP36" s="5255">
        <v>847</v>
      </c>
      <c r="AQ36" s="5255">
        <v>821</v>
      </c>
      <c r="AR36" s="5255">
        <v>820</v>
      </c>
      <c r="AS36" s="5255">
        <v>774</v>
      </c>
      <c r="AT36" s="5255">
        <v>739</v>
      </c>
      <c r="AU36" s="5255">
        <v>691</v>
      </c>
      <c r="AV36" s="5256">
        <v>742</v>
      </c>
      <c r="AW36" s="5256">
        <v>732</v>
      </c>
      <c r="AY36" s="5943" t="s">
        <v>709</v>
      </c>
      <c r="AZ36" s="5257" t="s">
        <v>3065</v>
      </c>
      <c r="BA36" s="5258">
        <v>74</v>
      </c>
      <c r="BB36" s="5258">
        <v>74</v>
      </c>
      <c r="BC36" s="5258">
        <v>65</v>
      </c>
      <c r="BD36" s="5258">
        <v>72</v>
      </c>
      <c r="BE36" s="5258">
        <v>96</v>
      </c>
      <c r="BF36" s="5258">
        <v>98</v>
      </c>
      <c r="BG36" s="5258">
        <v>110</v>
      </c>
      <c r="BH36" s="5258">
        <v>19</v>
      </c>
      <c r="BI36" s="5258"/>
      <c r="BJ36" s="5259"/>
      <c r="BK36" s="5260"/>
    </row>
    <row r="37" spans="1:63" ht="15" customHeight="1">
      <c r="C37" s="22"/>
      <c r="AH37" s="37">
        <v>7127</v>
      </c>
      <c r="AI37" s="37">
        <v>312</v>
      </c>
      <c r="AL37" s="5261" t="s">
        <v>528</v>
      </c>
      <c r="AM37" s="5262">
        <v>861</v>
      </c>
      <c r="AN37" s="5262">
        <v>907</v>
      </c>
      <c r="AO37" s="5262">
        <v>892</v>
      </c>
      <c r="AP37" s="5262">
        <v>920</v>
      </c>
      <c r="AQ37" s="5262">
        <v>901</v>
      </c>
      <c r="AR37" s="5262">
        <v>884</v>
      </c>
      <c r="AS37" s="5262">
        <v>858</v>
      </c>
      <c r="AT37" s="5262">
        <v>800</v>
      </c>
      <c r="AU37" s="5262">
        <v>774</v>
      </c>
      <c r="AV37" s="5263">
        <v>814</v>
      </c>
      <c r="AW37" s="5263">
        <v>782</v>
      </c>
      <c r="AY37" s="5944"/>
      <c r="AZ37" s="5264" t="s">
        <v>274</v>
      </c>
      <c r="BA37" s="5258">
        <v>27</v>
      </c>
      <c r="BB37" s="5258">
        <v>38</v>
      </c>
      <c r="BC37" s="5258">
        <v>39</v>
      </c>
      <c r="BD37" s="5258">
        <v>43</v>
      </c>
      <c r="BE37" s="5258">
        <v>47</v>
      </c>
      <c r="BF37" s="5258">
        <v>49</v>
      </c>
      <c r="BG37" s="5258">
        <v>54</v>
      </c>
      <c r="BH37" s="5258">
        <v>58</v>
      </c>
      <c r="BI37" s="5258">
        <v>58</v>
      </c>
      <c r="BJ37" s="5258">
        <v>50</v>
      </c>
      <c r="BK37" s="5260">
        <v>41</v>
      </c>
    </row>
    <row r="38" spans="1:63" ht="15.6">
      <c r="C38" s="22"/>
      <c r="AH38" s="37">
        <v>3870</v>
      </c>
      <c r="AI38" s="37">
        <v>176</v>
      </c>
      <c r="AL38" s="5261" t="s">
        <v>783</v>
      </c>
      <c r="AM38" s="5262">
        <v>404</v>
      </c>
      <c r="AN38" s="5262">
        <v>482</v>
      </c>
      <c r="AO38" s="5262">
        <v>521</v>
      </c>
      <c r="AP38" s="5262">
        <v>567</v>
      </c>
      <c r="AQ38" s="5262">
        <v>565</v>
      </c>
      <c r="AR38" s="5262">
        <v>558</v>
      </c>
      <c r="AS38" s="5262">
        <v>519</v>
      </c>
      <c r="AT38" s="5262">
        <v>515</v>
      </c>
      <c r="AU38" s="5262">
        <v>484</v>
      </c>
      <c r="AV38" s="5263">
        <v>453</v>
      </c>
      <c r="AW38" s="5263">
        <v>429</v>
      </c>
      <c r="AY38" s="5944"/>
      <c r="AZ38" s="5265" t="s">
        <v>669</v>
      </c>
      <c r="BA38" s="5266"/>
      <c r="BB38" s="5266"/>
      <c r="BC38" s="5266">
        <v>12</v>
      </c>
      <c r="BD38" s="5266">
        <v>21</v>
      </c>
      <c r="BE38" s="5266">
        <v>36</v>
      </c>
      <c r="BF38" s="5266">
        <v>41</v>
      </c>
      <c r="BG38" s="5266">
        <v>45</v>
      </c>
      <c r="BH38" s="5266">
        <v>46</v>
      </c>
      <c r="BI38" s="5266">
        <v>43</v>
      </c>
      <c r="BJ38" s="5266">
        <v>41</v>
      </c>
      <c r="BK38" s="5267">
        <v>29</v>
      </c>
    </row>
    <row r="39" spans="1:63" ht="15.6">
      <c r="C39" s="22"/>
      <c r="AH39" s="5498">
        <v>18085</v>
      </c>
      <c r="AI39" s="5498">
        <v>754</v>
      </c>
      <c r="AL39" s="5261" t="s">
        <v>530</v>
      </c>
      <c r="AM39" s="5262">
        <v>369</v>
      </c>
      <c r="AN39" s="5262">
        <v>441</v>
      </c>
      <c r="AO39" s="5262">
        <v>479</v>
      </c>
      <c r="AP39" s="5262">
        <v>507</v>
      </c>
      <c r="AQ39" s="5262">
        <v>545</v>
      </c>
      <c r="AR39" s="5262">
        <v>545</v>
      </c>
      <c r="AS39" s="5262">
        <v>565</v>
      </c>
      <c r="AT39" s="5262">
        <v>580</v>
      </c>
      <c r="AU39" s="5262">
        <v>641</v>
      </c>
      <c r="AV39" s="5263">
        <v>697</v>
      </c>
      <c r="AW39" s="5263">
        <v>692</v>
      </c>
      <c r="AY39" s="5944"/>
      <c r="AZ39" s="5265" t="s">
        <v>668</v>
      </c>
      <c r="BA39" s="5266"/>
      <c r="BB39" s="5266"/>
      <c r="BC39" s="5266">
        <v>4</v>
      </c>
      <c r="BD39" s="5266">
        <v>8</v>
      </c>
      <c r="BE39" s="5266">
        <v>11</v>
      </c>
      <c r="BF39" s="5266">
        <v>14</v>
      </c>
      <c r="BG39" s="5266">
        <v>16</v>
      </c>
      <c r="BH39" s="5266">
        <v>18</v>
      </c>
      <c r="BI39" s="5266">
        <v>19</v>
      </c>
      <c r="BJ39" s="5266">
        <v>13</v>
      </c>
      <c r="BK39" s="5267">
        <v>13</v>
      </c>
    </row>
    <row r="40" spans="1:63" ht="15.6">
      <c r="C40" s="22"/>
      <c r="AH40" s="37"/>
      <c r="AI40" s="37"/>
      <c r="AL40" s="5261" t="s">
        <v>784</v>
      </c>
      <c r="AM40" s="5262">
        <v>1174</v>
      </c>
      <c r="AN40" s="5262">
        <v>1131</v>
      </c>
      <c r="AO40" s="5262">
        <v>1076</v>
      </c>
      <c r="AP40" s="5262">
        <v>1030</v>
      </c>
      <c r="AQ40" s="5262">
        <v>941</v>
      </c>
      <c r="AR40" s="5262">
        <v>872</v>
      </c>
      <c r="AS40" s="5262">
        <v>815</v>
      </c>
      <c r="AT40" s="5262">
        <v>740</v>
      </c>
      <c r="AU40" s="5262">
        <v>740</v>
      </c>
      <c r="AV40" s="5263">
        <v>775</v>
      </c>
      <c r="AW40" s="5263">
        <v>746</v>
      </c>
      <c r="AY40" s="5944"/>
      <c r="AZ40" s="5265" t="s">
        <v>273</v>
      </c>
      <c r="BA40" s="5266">
        <v>30</v>
      </c>
      <c r="BB40" s="5266">
        <v>24</v>
      </c>
      <c r="BC40" s="5266">
        <v>11</v>
      </c>
      <c r="BD40" s="5266">
        <v>9</v>
      </c>
      <c r="BE40" s="5266">
        <v>4</v>
      </c>
      <c r="BF40" s="5266">
        <v>7</v>
      </c>
      <c r="BG40" s="5266">
        <v>11</v>
      </c>
      <c r="BH40" s="5266">
        <v>15</v>
      </c>
      <c r="BI40" s="5266">
        <v>16</v>
      </c>
      <c r="BJ40" s="5266">
        <v>20</v>
      </c>
      <c r="BK40" s="5267">
        <v>29</v>
      </c>
    </row>
    <row r="41" spans="1:63" ht="15.6">
      <c r="C41" s="22"/>
      <c r="AH41" s="37">
        <v>1208</v>
      </c>
      <c r="AI41" s="37">
        <v>92</v>
      </c>
      <c r="AL41" s="5261" t="s">
        <v>785</v>
      </c>
      <c r="AM41" s="5262">
        <v>870</v>
      </c>
      <c r="AN41" s="5262">
        <v>884</v>
      </c>
      <c r="AO41" s="5262">
        <v>871</v>
      </c>
      <c r="AP41" s="5262">
        <v>842</v>
      </c>
      <c r="AQ41" s="5262">
        <v>800</v>
      </c>
      <c r="AR41" s="5262">
        <v>785</v>
      </c>
      <c r="AS41" s="5262">
        <v>753</v>
      </c>
      <c r="AT41" s="5262">
        <v>709</v>
      </c>
      <c r="AU41" s="5262">
        <v>715</v>
      </c>
      <c r="AV41" s="5263">
        <v>764</v>
      </c>
      <c r="AW41" s="5263">
        <v>756</v>
      </c>
      <c r="AY41" s="5944"/>
      <c r="AZ41" s="5268" t="s">
        <v>3066</v>
      </c>
      <c r="BA41" s="5266"/>
      <c r="BB41" s="5266"/>
      <c r="BC41" s="5266"/>
      <c r="BD41" s="5266"/>
      <c r="BE41" s="5266"/>
      <c r="BF41" s="5266"/>
      <c r="BG41" s="5266"/>
      <c r="BH41" s="5266">
        <v>75</v>
      </c>
      <c r="BI41" s="5266">
        <v>88</v>
      </c>
      <c r="BJ41" s="5266">
        <v>79</v>
      </c>
      <c r="BK41" s="5267">
        <v>71</v>
      </c>
    </row>
    <row r="42" spans="1:63" ht="15.6">
      <c r="C42" s="22"/>
      <c r="AH42" s="37">
        <v>1222</v>
      </c>
      <c r="AI42" s="37">
        <v>67</v>
      </c>
      <c r="AL42" s="5261" t="s">
        <v>786</v>
      </c>
      <c r="AM42" s="5262">
        <v>207</v>
      </c>
      <c r="AN42" s="5262">
        <v>283</v>
      </c>
      <c r="AO42" s="5262">
        <v>355</v>
      </c>
      <c r="AP42" s="5262">
        <v>416</v>
      </c>
      <c r="AQ42" s="5262">
        <v>473</v>
      </c>
      <c r="AR42" s="5262">
        <v>501</v>
      </c>
      <c r="AS42" s="5262">
        <v>485</v>
      </c>
      <c r="AT42" s="5262">
        <v>475</v>
      </c>
      <c r="AU42" s="5262">
        <v>494</v>
      </c>
      <c r="AV42" s="5263">
        <v>515</v>
      </c>
      <c r="AW42" s="5263">
        <v>489</v>
      </c>
      <c r="AY42" s="5945"/>
      <c r="AZ42" s="5268" t="s">
        <v>2583</v>
      </c>
      <c r="BA42" s="5266"/>
      <c r="BB42" s="5266"/>
      <c r="BC42" s="5266"/>
      <c r="BD42" s="5266"/>
      <c r="BE42" s="5266"/>
      <c r="BF42" s="5266"/>
      <c r="BG42" s="5266"/>
      <c r="BH42" s="5266"/>
      <c r="BI42" s="5266">
        <v>6</v>
      </c>
      <c r="BJ42" s="5266">
        <v>12</v>
      </c>
      <c r="BK42" s="5267">
        <v>19</v>
      </c>
    </row>
    <row r="43" spans="1:63" ht="15.6">
      <c r="C43" s="22"/>
      <c r="AH43" s="37">
        <v>1233</v>
      </c>
      <c r="AI43" s="37">
        <v>65</v>
      </c>
      <c r="AL43" s="5261" t="s">
        <v>531</v>
      </c>
      <c r="AM43" s="5262">
        <v>839</v>
      </c>
      <c r="AN43" s="5262">
        <v>843</v>
      </c>
      <c r="AO43" s="5262">
        <v>849</v>
      </c>
      <c r="AP43" s="5262">
        <v>867</v>
      </c>
      <c r="AQ43" s="5262">
        <v>840</v>
      </c>
      <c r="AR43" s="5262">
        <v>780</v>
      </c>
      <c r="AS43" s="5262">
        <v>761</v>
      </c>
      <c r="AT43" s="5262">
        <v>742</v>
      </c>
      <c r="AU43" s="5262">
        <v>758</v>
      </c>
      <c r="AV43" s="5263">
        <v>825</v>
      </c>
      <c r="AW43" s="5263">
        <v>851</v>
      </c>
      <c r="AY43" s="5943" t="s">
        <v>793</v>
      </c>
      <c r="AZ43" s="5268" t="s">
        <v>3067</v>
      </c>
      <c r="BA43" s="5266">
        <v>30</v>
      </c>
      <c r="BB43" s="5266">
        <v>35</v>
      </c>
      <c r="BC43" s="5266">
        <v>27</v>
      </c>
      <c r="BD43" s="5266">
        <v>24</v>
      </c>
      <c r="BE43" s="5266">
        <v>26</v>
      </c>
      <c r="BF43" s="5266">
        <v>27</v>
      </c>
      <c r="BG43" s="5266">
        <v>30</v>
      </c>
      <c r="BH43" s="5266">
        <v>6</v>
      </c>
      <c r="BI43" s="5266"/>
      <c r="BJ43" s="5266"/>
      <c r="BK43" s="5267"/>
    </row>
    <row r="44" spans="1:63" ht="15.6">
      <c r="C44" s="22"/>
      <c r="AH44" s="4709">
        <v>3663</v>
      </c>
      <c r="AI44" s="4709">
        <v>224</v>
      </c>
      <c r="AL44" s="5261" t="s">
        <v>787</v>
      </c>
      <c r="AM44" s="5262">
        <v>1292</v>
      </c>
      <c r="AN44" s="5262">
        <v>1262</v>
      </c>
      <c r="AO44" s="5262">
        <v>1196</v>
      </c>
      <c r="AP44" s="5262">
        <v>1128</v>
      </c>
      <c r="AQ44" s="5262">
        <v>1034</v>
      </c>
      <c r="AR44" s="5262">
        <v>951</v>
      </c>
      <c r="AS44" s="5262">
        <v>895</v>
      </c>
      <c r="AT44" s="5262">
        <v>817</v>
      </c>
      <c r="AU44" s="5262">
        <v>784</v>
      </c>
      <c r="AV44" s="5263">
        <v>741</v>
      </c>
      <c r="AW44" s="5263">
        <v>692</v>
      </c>
      <c r="AY44" s="5944"/>
      <c r="AZ44" s="5268" t="s">
        <v>275</v>
      </c>
      <c r="BA44" s="5258">
        <v>10</v>
      </c>
      <c r="BB44" s="5258">
        <v>7</v>
      </c>
      <c r="BC44" s="5258">
        <v>6</v>
      </c>
      <c r="BD44" s="5258">
        <v>6</v>
      </c>
      <c r="BE44" s="5258">
        <v>5</v>
      </c>
      <c r="BF44" s="5258">
        <v>5</v>
      </c>
      <c r="BG44" s="5258">
        <v>7</v>
      </c>
      <c r="BH44" s="5258">
        <v>12</v>
      </c>
      <c r="BI44" s="5258">
        <v>12</v>
      </c>
      <c r="BJ44" s="5258">
        <v>10</v>
      </c>
      <c r="BK44" s="5260">
        <v>10</v>
      </c>
    </row>
    <row r="45" spans="1:63" ht="15.6">
      <c r="C45" s="22"/>
      <c r="AH45" s="37"/>
      <c r="AI45" s="37"/>
      <c r="AL45" s="5269" t="s">
        <v>788</v>
      </c>
      <c r="AM45" s="5270">
        <v>1558</v>
      </c>
      <c r="AN45" s="5270">
        <v>1492</v>
      </c>
      <c r="AO45" s="5270">
        <v>1394</v>
      </c>
      <c r="AP45" s="5270">
        <v>1289</v>
      </c>
      <c r="AQ45" s="5270">
        <v>1222</v>
      </c>
      <c r="AR45" s="5270">
        <v>1056</v>
      </c>
      <c r="AS45" s="5270">
        <v>1012</v>
      </c>
      <c r="AT45" s="5270">
        <v>913</v>
      </c>
      <c r="AU45" s="5270">
        <v>892</v>
      </c>
      <c r="AV45" s="5271">
        <v>914</v>
      </c>
      <c r="AW45" s="5271">
        <v>919</v>
      </c>
      <c r="AY45" s="5944"/>
      <c r="AZ45" s="5268" t="s">
        <v>669</v>
      </c>
      <c r="BA45" s="5272"/>
      <c r="BB45" s="5272"/>
      <c r="BC45" s="5272"/>
      <c r="BD45" s="5272">
        <v>3</v>
      </c>
      <c r="BE45" s="5272">
        <v>3</v>
      </c>
      <c r="BF45" s="5272">
        <v>9</v>
      </c>
      <c r="BG45" s="5272">
        <v>9</v>
      </c>
      <c r="BH45" s="5272">
        <v>9</v>
      </c>
      <c r="BI45" s="5272">
        <v>15</v>
      </c>
      <c r="BJ45" s="5272">
        <v>18</v>
      </c>
      <c r="BK45" s="5273">
        <v>19</v>
      </c>
    </row>
    <row r="46" spans="1:63" ht="15.6">
      <c r="C46" s="22"/>
      <c r="AH46" s="37">
        <v>4142</v>
      </c>
      <c r="AI46" s="37">
        <v>529</v>
      </c>
      <c r="AL46" s="5274" t="s">
        <v>4</v>
      </c>
      <c r="AM46" s="5275">
        <f>SUM(AM36:AM45)</f>
        <v>8348</v>
      </c>
      <c r="AN46" s="5275">
        <f t="shared" ref="AN46:AT46" si="6">SUM(AN36:AN45)</f>
        <v>8552</v>
      </c>
      <c r="AO46" s="5275">
        <f t="shared" si="6"/>
        <v>8481</v>
      </c>
      <c r="AP46" s="5275">
        <f t="shared" si="6"/>
        <v>8413</v>
      </c>
      <c r="AQ46" s="5275">
        <f t="shared" si="6"/>
        <v>8142</v>
      </c>
      <c r="AR46" s="5275">
        <f t="shared" si="6"/>
        <v>7752</v>
      </c>
      <c r="AS46" s="5275">
        <f t="shared" si="6"/>
        <v>7437</v>
      </c>
      <c r="AT46" s="5276">
        <f t="shared" si="6"/>
        <v>7030</v>
      </c>
      <c r="AU46" s="5276">
        <v>6973</v>
      </c>
      <c r="AV46" s="5277">
        <f>SUM(AV36:AV45)</f>
        <v>7240</v>
      </c>
      <c r="AW46" s="5277">
        <v>7088</v>
      </c>
      <c r="AY46" s="5944"/>
      <c r="AZ46" s="5268" t="s">
        <v>668</v>
      </c>
      <c r="BA46" s="5266"/>
      <c r="BB46" s="5266"/>
      <c r="BC46" s="5266"/>
      <c r="BD46" s="5266">
        <v>2</v>
      </c>
      <c r="BE46" s="5266">
        <v>2</v>
      </c>
      <c r="BF46" s="5266">
        <v>3</v>
      </c>
      <c r="BG46" s="5266">
        <v>6</v>
      </c>
      <c r="BH46" s="5266">
        <v>6</v>
      </c>
      <c r="BI46" s="5266">
        <v>3</v>
      </c>
      <c r="BJ46" s="5266">
        <v>3</v>
      </c>
      <c r="BK46" s="5267">
        <v>3</v>
      </c>
    </row>
    <row r="47" spans="1:63" ht="15.6">
      <c r="C47" s="22"/>
      <c r="AH47" s="37">
        <v>6635</v>
      </c>
      <c r="AI47" s="37">
        <v>590</v>
      </c>
      <c r="AL47" s="5254" t="s">
        <v>17</v>
      </c>
      <c r="AM47" s="5255">
        <v>1377</v>
      </c>
      <c r="AN47" s="5255">
        <v>1394</v>
      </c>
      <c r="AO47" s="5255">
        <v>1447</v>
      </c>
      <c r="AP47" s="5255">
        <v>1458</v>
      </c>
      <c r="AQ47" s="5255">
        <v>1481</v>
      </c>
      <c r="AR47" s="5255">
        <v>1506</v>
      </c>
      <c r="AS47" s="5255">
        <v>1510</v>
      </c>
      <c r="AT47" s="5255">
        <v>1463</v>
      </c>
      <c r="AU47" s="5255">
        <v>1515</v>
      </c>
      <c r="AV47" s="5256">
        <v>1536</v>
      </c>
      <c r="AW47" s="5256">
        <v>1607</v>
      </c>
      <c r="AY47" s="5945"/>
      <c r="AZ47" s="5268" t="s">
        <v>3066</v>
      </c>
      <c r="BA47" s="5266"/>
      <c r="BB47" s="5266"/>
      <c r="BC47" s="5266"/>
      <c r="BD47" s="5266"/>
      <c r="BE47" s="5266"/>
      <c r="BF47" s="5266"/>
      <c r="BG47" s="5266"/>
      <c r="BH47" s="5266">
        <v>22</v>
      </c>
      <c r="BI47" s="5266">
        <v>29</v>
      </c>
      <c r="BJ47" s="5266">
        <v>34</v>
      </c>
      <c r="BK47" s="5267">
        <v>32</v>
      </c>
    </row>
    <row r="48" spans="1:63" ht="15.6">
      <c r="C48" s="22"/>
      <c r="AH48" s="37">
        <v>3829</v>
      </c>
      <c r="AI48" s="37">
        <v>455</v>
      </c>
      <c r="AL48" s="5261" t="s">
        <v>18</v>
      </c>
      <c r="AM48" s="5262">
        <v>2070</v>
      </c>
      <c r="AN48" s="5262">
        <v>2142</v>
      </c>
      <c r="AO48" s="5262">
        <v>2332</v>
      </c>
      <c r="AP48" s="5262">
        <v>2445</v>
      </c>
      <c r="AQ48" s="5262">
        <v>2427</v>
      </c>
      <c r="AR48" s="5262">
        <v>2518</v>
      </c>
      <c r="AS48" s="5262">
        <v>2574</v>
      </c>
      <c r="AT48" s="5262">
        <v>2494</v>
      </c>
      <c r="AU48" s="5262">
        <v>2538</v>
      </c>
      <c r="AV48" s="5263">
        <v>2571</v>
      </c>
      <c r="AW48" s="5263">
        <v>2566</v>
      </c>
      <c r="AY48" s="5278"/>
      <c r="AZ48" s="5279" t="s">
        <v>4</v>
      </c>
      <c r="BA48" s="5280">
        <f>SUM(BA36:BA44)</f>
        <v>171</v>
      </c>
      <c r="BB48" s="5280">
        <f>SUM(BB36:BB44)</f>
        <v>178</v>
      </c>
      <c r="BC48" s="5280">
        <f>SUM(BC36:BC44)</f>
        <v>164</v>
      </c>
      <c r="BD48" s="5280">
        <f>SUM(BD36:BD46)</f>
        <v>188</v>
      </c>
      <c r="BE48" s="5280">
        <f>SUM(BE36:BE46)</f>
        <v>230</v>
      </c>
      <c r="BF48" s="5280">
        <f>SUM(BF36:BF46)</f>
        <v>253</v>
      </c>
      <c r="BG48" s="5280">
        <f>SUM(BG36:BG46)</f>
        <v>288</v>
      </c>
      <c r="BH48" s="5280">
        <f>SUM(BH36:BH47)</f>
        <v>286</v>
      </c>
      <c r="BI48" s="5280">
        <v>289</v>
      </c>
      <c r="BJ48" s="5280">
        <f>SUM(BJ37:BJ47)</f>
        <v>280</v>
      </c>
      <c r="BK48" s="5281">
        <v>266</v>
      </c>
    </row>
    <row r="49" spans="3:63" ht="15.6">
      <c r="C49" s="22"/>
      <c r="AH49" s="174">
        <v>14606</v>
      </c>
      <c r="AI49" s="174">
        <v>1574</v>
      </c>
      <c r="AL49" s="5261" t="s">
        <v>19</v>
      </c>
      <c r="AM49" s="5262">
        <v>1041</v>
      </c>
      <c r="AN49" s="5262">
        <v>1083</v>
      </c>
      <c r="AO49" s="5262">
        <v>1148</v>
      </c>
      <c r="AP49" s="5262">
        <v>1186</v>
      </c>
      <c r="AQ49" s="5262">
        <v>1180</v>
      </c>
      <c r="AR49" s="5262">
        <v>1223</v>
      </c>
      <c r="AS49" s="5262">
        <v>1287</v>
      </c>
      <c r="AT49" s="5262">
        <v>1377</v>
      </c>
      <c r="AU49" s="5262">
        <v>1452</v>
      </c>
      <c r="AV49" s="5263">
        <v>1570</v>
      </c>
      <c r="AW49" s="5263">
        <v>1579</v>
      </c>
      <c r="AY49" s="5282" t="s">
        <v>708</v>
      </c>
      <c r="AZ49" s="5283" t="s">
        <v>469</v>
      </c>
      <c r="BA49" s="5284">
        <v>29</v>
      </c>
      <c r="BB49" s="5284">
        <v>31</v>
      </c>
      <c r="BC49" s="5284">
        <v>35</v>
      </c>
      <c r="BD49" s="5284">
        <v>36</v>
      </c>
      <c r="BE49" s="5284">
        <v>37</v>
      </c>
      <c r="BF49" s="5284">
        <v>40</v>
      </c>
      <c r="BG49" s="5284">
        <v>43</v>
      </c>
      <c r="BH49" s="5284">
        <v>40</v>
      </c>
      <c r="BI49" s="5284">
        <v>35</v>
      </c>
      <c r="BJ49" s="5284">
        <v>31</v>
      </c>
      <c r="BK49" s="5285">
        <v>24</v>
      </c>
    </row>
    <row r="50" spans="3:63" ht="15.6">
      <c r="C50" s="22"/>
      <c r="AH50" s="37"/>
      <c r="AI50" s="37"/>
      <c r="AL50" s="5261" t="s">
        <v>20</v>
      </c>
      <c r="AM50" s="5262">
        <v>1141</v>
      </c>
      <c r="AN50" s="5262">
        <v>1136</v>
      </c>
      <c r="AO50" s="5262">
        <v>1223</v>
      </c>
      <c r="AP50" s="5262">
        <v>1273</v>
      </c>
      <c r="AQ50" s="5262">
        <v>1287</v>
      </c>
      <c r="AR50" s="5262">
        <v>1323</v>
      </c>
      <c r="AS50" s="5262">
        <v>1326</v>
      </c>
      <c r="AT50" s="5262">
        <v>1304</v>
      </c>
      <c r="AU50" s="5262">
        <v>1373</v>
      </c>
      <c r="AV50" s="5263">
        <v>1417</v>
      </c>
      <c r="AW50" s="5263">
        <v>1375</v>
      </c>
      <c r="AY50" s="5286"/>
      <c r="AZ50" s="5283" t="s">
        <v>2648</v>
      </c>
      <c r="BA50" s="5287"/>
      <c r="BB50" s="5287"/>
      <c r="BC50" s="5287"/>
      <c r="BD50" s="5287"/>
      <c r="BE50" s="5287"/>
      <c r="BF50" s="5287"/>
      <c r="BG50" s="5287"/>
      <c r="BH50" s="5287"/>
      <c r="BI50" s="5287"/>
      <c r="BJ50" s="5287">
        <v>8</v>
      </c>
      <c r="BK50" s="5288">
        <v>12</v>
      </c>
    </row>
    <row r="51" spans="3:63" ht="15.75" customHeight="1">
      <c r="C51" s="22"/>
      <c r="AH51" s="37">
        <v>489</v>
      </c>
      <c r="AI51" s="37"/>
      <c r="AL51" s="5274" t="s">
        <v>16</v>
      </c>
      <c r="AM51" s="5275">
        <f t="shared" ref="AM51:AT51" si="7">SUM(AM47:AM50)</f>
        <v>5629</v>
      </c>
      <c r="AN51" s="5275">
        <f t="shared" si="7"/>
        <v>5755</v>
      </c>
      <c r="AO51" s="5275">
        <f t="shared" si="7"/>
        <v>6150</v>
      </c>
      <c r="AP51" s="5275">
        <f t="shared" si="7"/>
        <v>6362</v>
      </c>
      <c r="AQ51" s="5275">
        <f t="shared" si="7"/>
        <v>6375</v>
      </c>
      <c r="AR51" s="5275">
        <f t="shared" si="7"/>
        <v>6570</v>
      </c>
      <c r="AS51" s="5275">
        <f t="shared" si="7"/>
        <v>6697</v>
      </c>
      <c r="AT51" s="5276">
        <f t="shared" si="7"/>
        <v>6638</v>
      </c>
      <c r="AU51" s="5276">
        <v>6878</v>
      </c>
      <c r="AV51" s="5277">
        <f>SUM(AV47:AV50)</f>
        <v>7094</v>
      </c>
      <c r="AW51" s="5277">
        <v>7127</v>
      </c>
      <c r="AY51" s="5286"/>
      <c r="AZ51" s="5257" t="s">
        <v>342</v>
      </c>
      <c r="BA51" s="5258">
        <v>12</v>
      </c>
      <c r="BB51" s="5258">
        <v>21</v>
      </c>
      <c r="BC51" s="5258">
        <v>10</v>
      </c>
      <c r="BD51" s="5258">
        <v>11</v>
      </c>
      <c r="BE51" s="5258">
        <v>9</v>
      </c>
      <c r="BF51" s="5258">
        <v>9</v>
      </c>
      <c r="BG51" s="5258">
        <v>6</v>
      </c>
      <c r="BH51" s="5258"/>
      <c r="BI51" s="5258"/>
      <c r="BJ51" s="5258">
        <v>7</v>
      </c>
      <c r="BK51" s="5260">
        <v>7</v>
      </c>
    </row>
    <row r="52" spans="3:63" ht="15.6">
      <c r="C52" s="22"/>
      <c r="AH52" s="37">
        <v>497</v>
      </c>
      <c r="AI52" s="37"/>
      <c r="AL52" s="5254" t="s">
        <v>22</v>
      </c>
      <c r="AM52" s="5255">
        <v>1300</v>
      </c>
      <c r="AN52" s="5255">
        <v>1274</v>
      </c>
      <c r="AO52" s="5255">
        <v>1296</v>
      </c>
      <c r="AP52" s="5255">
        <v>1316</v>
      </c>
      <c r="AQ52" s="5255">
        <v>1283</v>
      </c>
      <c r="AR52" s="5255">
        <v>1267</v>
      </c>
      <c r="AS52" s="5255">
        <v>1181</v>
      </c>
      <c r="AT52" s="5255">
        <v>1252</v>
      </c>
      <c r="AU52" s="5255">
        <v>1320</v>
      </c>
      <c r="AV52" s="5256">
        <v>1401</v>
      </c>
      <c r="AW52" s="5256">
        <v>1482</v>
      </c>
      <c r="AY52" s="5289"/>
      <c r="AZ52" s="5257" t="s">
        <v>794</v>
      </c>
      <c r="BA52" s="5258"/>
      <c r="BB52" s="5258"/>
      <c r="BC52" s="5258">
        <v>2</v>
      </c>
      <c r="BD52" s="5258"/>
      <c r="BE52" s="5258"/>
      <c r="BF52" s="5258"/>
      <c r="BG52" s="5258"/>
      <c r="BH52" s="5258"/>
      <c r="BI52" s="5258"/>
      <c r="BJ52" s="5258"/>
      <c r="BK52" s="5260"/>
    </row>
    <row r="53" spans="3:63" ht="15" customHeight="1">
      <c r="C53" s="22"/>
      <c r="AH53" s="37">
        <v>489</v>
      </c>
      <c r="AI53" s="37">
        <v>7</v>
      </c>
      <c r="AL53" s="5261" t="s">
        <v>23</v>
      </c>
      <c r="AM53" s="5262">
        <v>949</v>
      </c>
      <c r="AN53" s="5262">
        <v>985</v>
      </c>
      <c r="AO53" s="5262">
        <v>1057</v>
      </c>
      <c r="AP53" s="5262">
        <v>1144</v>
      </c>
      <c r="AQ53" s="5262">
        <v>1230</v>
      </c>
      <c r="AR53" s="5262">
        <v>1275</v>
      </c>
      <c r="AS53" s="5262">
        <v>1356</v>
      </c>
      <c r="AT53" s="5262">
        <v>1360</v>
      </c>
      <c r="AU53" s="5262">
        <v>1350</v>
      </c>
      <c r="AV53" s="5263">
        <v>1404</v>
      </c>
      <c r="AW53" s="5263">
        <v>1396</v>
      </c>
      <c r="AY53" s="5943" t="s">
        <v>709</v>
      </c>
      <c r="AZ53" s="5257" t="s">
        <v>119</v>
      </c>
      <c r="BA53" s="5258">
        <v>21</v>
      </c>
      <c r="BB53" s="5258">
        <v>22</v>
      </c>
      <c r="BC53" s="5258">
        <v>8</v>
      </c>
      <c r="BD53" s="5258">
        <v>20</v>
      </c>
      <c r="BE53" s="5258">
        <v>18</v>
      </c>
      <c r="BF53" s="5258">
        <v>17</v>
      </c>
      <c r="BG53" s="5258">
        <v>13</v>
      </c>
      <c r="BH53" s="5258">
        <v>13</v>
      </c>
      <c r="BI53" s="5258">
        <v>10</v>
      </c>
      <c r="BJ53" s="5258">
        <v>17</v>
      </c>
      <c r="BK53" s="5260">
        <v>9</v>
      </c>
    </row>
    <row r="54" spans="3:63" ht="15" customHeight="1">
      <c r="C54" s="22"/>
      <c r="AH54" s="5499">
        <v>1475</v>
      </c>
      <c r="AI54" s="5499">
        <v>7</v>
      </c>
      <c r="AL54" s="5269" t="s">
        <v>24</v>
      </c>
      <c r="AM54" s="5270">
        <v>809</v>
      </c>
      <c r="AN54" s="5270">
        <v>825</v>
      </c>
      <c r="AO54" s="5270">
        <v>871</v>
      </c>
      <c r="AP54" s="5270">
        <v>903</v>
      </c>
      <c r="AQ54" s="5270">
        <v>936</v>
      </c>
      <c r="AR54" s="5270">
        <v>944</v>
      </c>
      <c r="AS54" s="5270">
        <v>966</v>
      </c>
      <c r="AT54" s="5270">
        <v>969</v>
      </c>
      <c r="AU54" s="5270">
        <v>976</v>
      </c>
      <c r="AV54" s="5263">
        <v>984</v>
      </c>
      <c r="AW54" s="5263">
        <v>992</v>
      </c>
      <c r="AY54" s="5944"/>
      <c r="AZ54" s="5257" t="s">
        <v>472</v>
      </c>
      <c r="BA54" s="5258">
        <v>2</v>
      </c>
      <c r="BB54" s="5258">
        <v>3</v>
      </c>
      <c r="BC54" s="5258"/>
      <c r="BD54" s="5258"/>
      <c r="BE54" s="5258"/>
      <c r="BF54" s="5258"/>
      <c r="BG54" s="5258"/>
      <c r="BH54" s="5258"/>
      <c r="BI54" s="5258"/>
      <c r="BJ54" s="5258"/>
      <c r="BK54" s="5260"/>
    </row>
    <row r="55" spans="3:63" ht="15.6">
      <c r="C55" s="22"/>
      <c r="AH55" s="37"/>
      <c r="AI55" s="37"/>
      <c r="AL55" s="5274" t="s">
        <v>21</v>
      </c>
      <c r="AM55" s="5275">
        <f t="shared" ref="AM55:AT55" si="8">SUM(AM52:AM54)</f>
        <v>3058</v>
      </c>
      <c r="AN55" s="5275">
        <f t="shared" si="8"/>
        <v>3084</v>
      </c>
      <c r="AO55" s="5275">
        <f t="shared" si="8"/>
        <v>3224</v>
      </c>
      <c r="AP55" s="5275">
        <f t="shared" si="8"/>
        <v>3363</v>
      </c>
      <c r="AQ55" s="5275">
        <f t="shared" si="8"/>
        <v>3449</v>
      </c>
      <c r="AR55" s="5275">
        <f t="shared" si="8"/>
        <v>3486</v>
      </c>
      <c r="AS55" s="5275">
        <f t="shared" si="8"/>
        <v>3503</v>
      </c>
      <c r="AT55" s="5276">
        <f t="shared" si="8"/>
        <v>3581</v>
      </c>
      <c r="AU55" s="5276">
        <v>3646</v>
      </c>
      <c r="AV55" s="5277">
        <f>SUM(AV52:AV54)</f>
        <v>3789</v>
      </c>
      <c r="AW55" s="5277">
        <v>3870</v>
      </c>
      <c r="AY55" s="5944"/>
      <c r="AZ55" s="5264" t="s">
        <v>276</v>
      </c>
      <c r="BA55" s="5258"/>
      <c r="BB55" s="5258">
        <v>1</v>
      </c>
      <c r="BC55" s="5258">
        <v>1</v>
      </c>
      <c r="BD55" s="5258"/>
      <c r="BE55" s="5258"/>
      <c r="BF55" s="5258"/>
      <c r="BG55" s="5258"/>
      <c r="BH55" s="5258"/>
      <c r="BI55" s="5258"/>
      <c r="BJ55" s="5258">
        <v>23</v>
      </c>
      <c r="BK55" s="5260">
        <v>11</v>
      </c>
    </row>
    <row r="56" spans="3:63" ht="15.6">
      <c r="C56" s="22"/>
      <c r="AH56" s="37">
        <v>6665</v>
      </c>
      <c r="AI56" s="37">
        <v>567</v>
      </c>
      <c r="AL56" s="5290" t="s">
        <v>3</v>
      </c>
      <c r="AM56" s="5291">
        <f t="shared" ref="AM56:AT56" si="9">SUM(AM46,AM51,AM55)</f>
        <v>17035</v>
      </c>
      <c r="AN56" s="5291">
        <f t="shared" si="9"/>
        <v>17391</v>
      </c>
      <c r="AO56" s="5292">
        <f t="shared" si="9"/>
        <v>17855</v>
      </c>
      <c r="AP56" s="5292">
        <f t="shared" si="9"/>
        <v>18138</v>
      </c>
      <c r="AQ56" s="5292">
        <f t="shared" si="9"/>
        <v>17966</v>
      </c>
      <c r="AR56" s="5292">
        <f t="shared" si="9"/>
        <v>17808</v>
      </c>
      <c r="AS56" s="5292">
        <f t="shared" si="9"/>
        <v>17637</v>
      </c>
      <c r="AT56" s="5292">
        <f t="shared" si="9"/>
        <v>17249</v>
      </c>
      <c r="AU56" s="5292">
        <v>17497</v>
      </c>
      <c r="AV56" s="5293">
        <f>SUM(AV46,AV51,AV55)</f>
        <v>18123</v>
      </c>
      <c r="AW56" s="5294">
        <v>18085</v>
      </c>
      <c r="AY56" s="5944"/>
      <c r="AZ56" s="5257" t="s">
        <v>473</v>
      </c>
      <c r="BA56" s="5258">
        <v>16</v>
      </c>
      <c r="BB56" s="5258">
        <v>13</v>
      </c>
      <c r="BC56" s="5258">
        <v>16</v>
      </c>
      <c r="BD56" s="5258">
        <v>14</v>
      </c>
      <c r="BE56" s="5258">
        <v>32</v>
      </c>
      <c r="BF56" s="5258">
        <v>42</v>
      </c>
      <c r="BG56" s="5258">
        <v>28</v>
      </c>
      <c r="BH56" s="5258">
        <v>40</v>
      </c>
      <c r="BI56" s="5258">
        <v>33</v>
      </c>
      <c r="BJ56" s="5258">
        <v>40</v>
      </c>
      <c r="BK56" s="5260">
        <v>31</v>
      </c>
    </row>
    <row r="57" spans="3:63" ht="15.6">
      <c r="C57" s="22"/>
      <c r="AH57" s="37">
        <v>8323</v>
      </c>
      <c r="AI57" s="37">
        <v>400</v>
      </c>
      <c r="AL57" s="5254" t="s">
        <v>17</v>
      </c>
      <c r="AM57" s="5255">
        <v>223</v>
      </c>
      <c r="AN57" s="5255">
        <v>225</v>
      </c>
      <c r="AO57" s="5255">
        <v>201</v>
      </c>
      <c r="AP57" s="5255">
        <v>199</v>
      </c>
      <c r="AQ57" s="5255">
        <v>217</v>
      </c>
      <c r="AR57" s="5255">
        <v>236</v>
      </c>
      <c r="AS57" s="5255">
        <v>270</v>
      </c>
      <c r="AT57" s="5255">
        <v>287</v>
      </c>
      <c r="AU57" s="5255">
        <v>306</v>
      </c>
      <c r="AV57" s="5256">
        <v>325</v>
      </c>
      <c r="AW57" s="5256">
        <v>334</v>
      </c>
      <c r="AY57" s="5944"/>
      <c r="AZ57" s="5257" t="s">
        <v>278</v>
      </c>
      <c r="BA57" s="5258">
        <v>25</v>
      </c>
      <c r="BB57" s="5258">
        <v>37</v>
      </c>
      <c r="BC57" s="5258">
        <v>37</v>
      </c>
      <c r="BD57" s="5258">
        <v>43</v>
      </c>
      <c r="BE57" s="5258">
        <v>42</v>
      </c>
      <c r="BF57" s="5258">
        <v>33</v>
      </c>
      <c r="BG57" s="5258">
        <v>29</v>
      </c>
      <c r="BH57" s="5258">
        <v>26</v>
      </c>
      <c r="BI57" s="5258">
        <v>34</v>
      </c>
      <c r="BJ57" s="5258">
        <v>37</v>
      </c>
      <c r="BK57" s="5260">
        <v>29</v>
      </c>
    </row>
    <row r="58" spans="3:63" ht="15.6">
      <c r="C58" s="22"/>
      <c r="AH58" s="37">
        <v>3221</v>
      </c>
      <c r="AI58" s="37">
        <v>145</v>
      </c>
      <c r="AL58" s="5261" t="s">
        <v>18</v>
      </c>
      <c r="AM58" s="5262">
        <v>7</v>
      </c>
      <c r="AN58" s="5262">
        <v>3</v>
      </c>
      <c r="AO58" s="5262"/>
      <c r="AP58" s="5262"/>
      <c r="AQ58" s="5262"/>
      <c r="AR58" s="5262">
        <v>36</v>
      </c>
      <c r="AS58" s="5262">
        <v>72</v>
      </c>
      <c r="AT58" s="5262">
        <v>100</v>
      </c>
      <c r="AU58" s="5262">
        <v>127</v>
      </c>
      <c r="AV58" s="5263">
        <v>161</v>
      </c>
      <c r="AW58" s="5263">
        <v>180</v>
      </c>
      <c r="AY58" s="5944"/>
      <c r="AZ58" s="5295" t="s">
        <v>508</v>
      </c>
      <c r="BA58" s="5266"/>
      <c r="BB58" s="5266"/>
      <c r="BC58" s="5266">
        <v>8</v>
      </c>
      <c r="BD58" s="5266">
        <v>12</v>
      </c>
      <c r="BE58" s="5266">
        <v>29</v>
      </c>
      <c r="BF58" s="5266">
        <v>19</v>
      </c>
      <c r="BG58" s="5266">
        <v>33</v>
      </c>
      <c r="BH58" s="5266">
        <v>23</v>
      </c>
      <c r="BI58" s="5266">
        <v>37</v>
      </c>
      <c r="BJ58" s="5266">
        <v>21</v>
      </c>
      <c r="BK58" s="5267">
        <v>18</v>
      </c>
    </row>
    <row r="59" spans="3:63" ht="15" customHeight="1">
      <c r="C59" s="22"/>
      <c r="AH59" s="5500">
        <v>18209</v>
      </c>
      <c r="AI59" s="5500">
        <v>1112</v>
      </c>
      <c r="AL59" s="5261" t="s">
        <v>60</v>
      </c>
      <c r="AM59" s="5262">
        <v>89</v>
      </c>
      <c r="AN59" s="5262">
        <v>101</v>
      </c>
      <c r="AO59" s="5262">
        <v>105</v>
      </c>
      <c r="AP59" s="5262">
        <v>110</v>
      </c>
      <c r="AQ59" s="5262">
        <v>161</v>
      </c>
      <c r="AR59" s="5262">
        <v>197</v>
      </c>
      <c r="AS59" s="5262">
        <v>244</v>
      </c>
      <c r="AT59" s="5262">
        <v>279</v>
      </c>
      <c r="AU59" s="5262">
        <v>304</v>
      </c>
      <c r="AV59" s="5263">
        <v>339</v>
      </c>
      <c r="AW59" s="5263">
        <v>346</v>
      </c>
      <c r="AY59" s="5944"/>
      <c r="AZ59" s="5295" t="s">
        <v>277</v>
      </c>
      <c r="BA59" s="5258">
        <v>18</v>
      </c>
      <c r="BB59" s="5258">
        <v>40</v>
      </c>
      <c r="BC59" s="5258">
        <v>26</v>
      </c>
      <c r="BD59" s="5258">
        <v>49</v>
      </c>
      <c r="BE59" s="5258">
        <v>26</v>
      </c>
      <c r="BF59" s="5258">
        <v>32</v>
      </c>
      <c r="BG59" s="5258">
        <v>18</v>
      </c>
      <c r="BH59" s="5258">
        <v>29</v>
      </c>
      <c r="BI59" s="5258">
        <v>10</v>
      </c>
      <c r="BJ59" s="5258">
        <v>32</v>
      </c>
      <c r="BK59" s="5260">
        <v>18</v>
      </c>
    </row>
    <row r="60" spans="3:63" ht="15.6">
      <c r="C60" s="22"/>
      <c r="AH60" s="37"/>
      <c r="AI60" s="37"/>
      <c r="AL60" s="5261" t="s">
        <v>789</v>
      </c>
      <c r="AM60" s="5262">
        <v>101</v>
      </c>
      <c r="AN60" s="5262">
        <v>126</v>
      </c>
      <c r="AO60" s="5262">
        <v>140</v>
      </c>
      <c r="AP60" s="5262">
        <v>150</v>
      </c>
      <c r="AQ60" s="5262">
        <v>198</v>
      </c>
      <c r="AR60" s="5262">
        <v>233</v>
      </c>
      <c r="AS60" s="5262">
        <v>252</v>
      </c>
      <c r="AT60" s="5262">
        <v>292</v>
      </c>
      <c r="AU60" s="5262">
        <v>314</v>
      </c>
      <c r="AV60" s="5263">
        <v>341</v>
      </c>
      <c r="AW60" s="5263">
        <v>348</v>
      </c>
      <c r="AY60" s="5944"/>
      <c r="AZ60" s="5296" t="s">
        <v>2277</v>
      </c>
      <c r="BA60" s="5258"/>
      <c r="BB60" s="5258"/>
      <c r="BC60" s="5258"/>
      <c r="BD60" s="5258"/>
      <c r="BE60" s="5258"/>
      <c r="BF60" s="5258"/>
      <c r="BG60" s="5258"/>
      <c r="BH60" s="5258">
        <v>52</v>
      </c>
      <c r="BI60" s="5258">
        <v>36</v>
      </c>
      <c r="BJ60" s="5258">
        <v>71</v>
      </c>
      <c r="BK60" s="5260">
        <v>44</v>
      </c>
    </row>
    <row r="61" spans="3:63" ht="15.6">
      <c r="C61" s="22"/>
      <c r="AH61" s="1793">
        <f>SUM(AH39,AH44,AH49,AH54,AH59)</f>
        <v>56038</v>
      </c>
      <c r="AI61" s="1793">
        <f>SUM(AI39,AI44,AI49,AI54,AI59)</f>
        <v>3671</v>
      </c>
      <c r="AL61" s="5274" t="s">
        <v>16</v>
      </c>
      <c r="AM61" s="5275">
        <f t="shared" ref="AM61:AT61" si="10">SUM(AM57:AM60)</f>
        <v>420</v>
      </c>
      <c r="AN61" s="5275">
        <f t="shared" si="10"/>
        <v>455</v>
      </c>
      <c r="AO61" s="5275">
        <f t="shared" si="10"/>
        <v>446</v>
      </c>
      <c r="AP61" s="5275">
        <f t="shared" si="10"/>
        <v>459</v>
      </c>
      <c r="AQ61" s="5275">
        <f t="shared" si="10"/>
        <v>576</v>
      </c>
      <c r="AR61" s="5275">
        <f t="shared" si="10"/>
        <v>702</v>
      </c>
      <c r="AS61" s="5275">
        <f t="shared" si="10"/>
        <v>838</v>
      </c>
      <c r="AT61" s="5276">
        <f t="shared" si="10"/>
        <v>958</v>
      </c>
      <c r="AU61" s="5276">
        <v>1051</v>
      </c>
      <c r="AV61" s="5277">
        <f>SUM(AV57:AV60)</f>
        <v>1166</v>
      </c>
      <c r="AW61" s="5277">
        <v>1208</v>
      </c>
      <c r="AY61" s="5945"/>
      <c r="AZ61" s="5296" t="s">
        <v>2278</v>
      </c>
      <c r="BA61" s="5258"/>
      <c r="BB61" s="5258"/>
      <c r="BC61" s="5258"/>
      <c r="BD61" s="5258"/>
      <c r="BE61" s="5258"/>
      <c r="BF61" s="5258"/>
      <c r="BG61" s="5258"/>
      <c r="BH61" s="5258">
        <v>13</v>
      </c>
      <c r="BI61" s="5258">
        <v>12</v>
      </c>
      <c r="BJ61" s="5258">
        <v>10</v>
      </c>
      <c r="BK61" s="5260">
        <v>5</v>
      </c>
    </row>
    <row r="62" spans="3:63" ht="15.6">
      <c r="C62" s="22"/>
      <c r="AL62" s="5297" t="s">
        <v>62</v>
      </c>
      <c r="AM62" s="5298">
        <v>204</v>
      </c>
      <c r="AN62" s="5298">
        <v>199</v>
      </c>
      <c r="AO62" s="5298">
        <v>215</v>
      </c>
      <c r="AP62" s="5298">
        <v>214</v>
      </c>
      <c r="AQ62" s="5298">
        <v>257</v>
      </c>
      <c r="AR62" s="5298">
        <v>280</v>
      </c>
      <c r="AS62" s="5298">
        <v>314</v>
      </c>
      <c r="AT62" s="5298">
        <v>343</v>
      </c>
      <c r="AU62" s="5298">
        <v>360</v>
      </c>
      <c r="AV62" s="5299">
        <v>383</v>
      </c>
      <c r="AW62" s="5299">
        <v>397</v>
      </c>
      <c r="AY62" s="5943" t="s">
        <v>793</v>
      </c>
      <c r="AZ62" s="5300" t="s">
        <v>119</v>
      </c>
      <c r="BA62" s="5258">
        <v>18</v>
      </c>
      <c r="BB62" s="5258">
        <v>17</v>
      </c>
      <c r="BC62" s="5258">
        <v>15</v>
      </c>
      <c r="BD62" s="5258">
        <v>24</v>
      </c>
      <c r="BE62" s="5258">
        <v>24</v>
      </c>
      <c r="BF62" s="5258">
        <v>26</v>
      </c>
      <c r="BG62" s="5258">
        <v>18</v>
      </c>
      <c r="BH62" s="5258">
        <v>17</v>
      </c>
      <c r="BI62" s="5258">
        <v>18</v>
      </c>
      <c r="BJ62" s="5258">
        <v>24</v>
      </c>
      <c r="BK62" s="5260">
        <v>16</v>
      </c>
    </row>
    <row r="63" spans="3:63" ht="15.6">
      <c r="C63" s="22"/>
      <c r="AL63" s="5261" t="s">
        <v>414</v>
      </c>
      <c r="AM63" s="5262">
        <v>108</v>
      </c>
      <c r="AN63" s="5262">
        <v>136</v>
      </c>
      <c r="AO63" s="5262">
        <v>160</v>
      </c>
      <c r="AP63" s="5262">
        <v>175</v>
      </c>
      <c r="AQ63" s="5262">
        <v>184</v>
      </c>
      <c r="AR63" s="5262">
        <v>215</v>
      </c>
      <c r="AS63" s="5262">
        <v>242</v>
      </c>
      <c r="AT63" s="5262">
        <v>276</v>
      </c>
      <c r="AU63" s="5262">
        <v>307</v>
      </c>
      <c r="AV63" s="5263">
        <v>332</v>
      </c>
      <c r="AW63" s="5263">
        <v>335</v>
      </c>
      <c r="AY63" s="5944"/>
      <c r="AZ63" s="5301" t="s">
        <v>280</v>
      </c>
      <c r="BA63" s="5258">
        <v>3</v>
      </c>
      <c r="BB63" s="5258">
        <v>3</v>
      </c>
      <c r="BC63" s="5258">
        <v>2</v>
      </c>
      <c r="BD63" s="5258">
        <v>1</v>
      </c>
      <c r="BE63" s="5258">
        <v>1</v>
      </c>
      <c r="BF63" s="5258"/>
      <c r="BG63" s="5258"/>
      <c r="BH63" s="5258"/>
      <c r="BI63" s="5258"/>
      <c r="BJ63" s="5258"/>
      <c r="BK63" s="5260">
        <v>11</v>
      </c>
    </row>
    <row r="64" spans="3:63" ht="15.6">
      <c r="C64" s="22"/>
      <c r="AL64" s="5261" t="s">
        <v>63</v>
      </c>
      <c r="AM64" s="5262">
        <v>150</v>
      </c>
      <c r="AN64" s="5262">
        <v>204</v>
      </c>
      <c r="AO64" s="5262">
        <v>228</v>
      </c>
      <c r="AP64" s="5262">
        <v>240</v>
      </c>
      <c r="AQ64" s="5262">
        <v>270</v>
      </c>
      <c r="AR64" s="5262">
        <v>321</v>
      </c>
      <c r="AS64" s="5262">
        <v>377</v>
      </c>
      <c r="AT64" s="5262">
        <v>420</v>
      </c>
      <c r="AU64" s="5262">
        <v>438</v>
      </c>
      <c r="AV64" s="5263">
        <v>478</v>
      </c>
      <c r="AW64" s="5263">
        <v>490</v>
      </c>
      <c r="AY64" s="5944"/>
      <c r="AZ64" s="5300" t="s">
        <v>279</v>
      </c>
      <c r="BA64" s="5258">
        <v>33</v>
      </c>
      <c r="BB64" s="5258">
        <v>25</v>
      </c>
      <c r="BC64" s="5258">
        <v>29</v>
      </c>
      <c r="BD64" s="5258">
        <v>29</v>
      </c>
      <c r="BE64" s="5258">
        <v>26</v>
      </c>
      <c r="BF64" s="5258">
        <v>24</v>
      </c>
      <c r="BG64" s="5258">
        <v>49</v>
      </c>
      <c r="BH64" s="5258">
        <v>47</v>
      </c>
      <c r="BI64" s="5258">
        <v>68</v>
      </c>
      <c r="BJ64" s="5258">
        <v>59</v>
      </c>
      <c r="BK64" s="5260">
        <v>67</v>
      </c>
    </row>
    <row r="65" spans="3:63" ht="15" customHeight="1">
      <c r="C65" s="22"/>
      <c r="AL65" s="5274" t="s">
        <v>61</v>
      </c>
      <c r="AM65" s="5275">
        <f t="shared" ref="AM65:AT65" si="11">SUM(AM62:AM64)</f>
        <v>462</v>
      </c>
      <c r="AN65" s="5275">
        <f t="shared" si="11"/>
        <v>539</v>
      </c>
      <c r="AO65" s="5275">
        <f t="shared" si="11"/>
        <v>603</v>
      </c>
      <c r="AP65" s="5275">
        <f t="shared" si="11"/>
        <v>629</v>
      </c>
      <c r="AQ65" s="5275">
        <f t="shared" si="11"/>
        <v>711</v>
      </c>
      <c r="AR65" s="5275">
        <f t="shared" si="11"/>
        <v>816</v>
      </c>
      <c r="AS65" s="5275">
        <f t="shared" si="11"/>
        <v>933</v>
      </c>
      <c r="AT65" s="5276">
        <f t="shared" si="11"/>
        <v>1039</v>
      </c>
      <c r="AU65" s="5276">
        <v>1105</v>
      </c>
      <c r="AV65" s="5277">
        <f>SUM(AV62:AV64)</f>
        <v>1193</v>
      </c>
      <c r="AW65" s="5277">
        <v>1222</v>
      </c>
      <c r="AY65" s="5302"/>
      <c r="AZ65" s="5303" t="s">
        <v>2278</v>
      </c>
      <c r="BA65" s="5304"/>
      <c r="BB65" s="5304"/>
      <c r="BC65" s="5304"/>
      <c r="BD65" s="5304"/>
      <c r="BE65" s="5304"/>
      <c r="BF65" s="5304"/>
      <c r="BG65" s="5304"/>
      <c r="BH65" s="5304">
        <v>3</v>
      </c>
      <c r="BI65" s="5304">
        <v>2</v>
      </c>
      <c r="BJ65" s="5304">
        <v>11</v>
      </c>
      <c r="BK65" s="5305">
        <v>10</v>
      </c>
    </row>
    <row r="66" spans="3:63" ht="15.6">
      <c r="C66" s="22"/>
      <c r="AL66" s="5254" t="s">
        <v>529</v>
      </c>
      <c r="AM66" s="5255">
        <v>147</v>
      </c>
      <c r="AN66" s="5255">
        <v>155</v>
      </c>
      <c r="AO66" s="5255">
        <v>162</v>
      </c>
      <c r="AP66" s="5255">
        <v>181</v>
      </c>
      <c r="AQ66" s="5255">
        <v>223</v>
      </c>
      <c r="AR66" s="5255">
        <v>235</v>
      </c>
      <c r="AS66" s="5255">
        <v>266</v>
      </c>
      <c r="AT66" s="5255">
        <v>296</v>
      </c>
      <c r="AU66" s="5255">
        <v>323</v>
      </c>
      <c r="AV66" s="5256">
        <v>343</v>
      </c>
      <c r="AW66" s="5256">
        <v>356</v>
      </c>
      <c r="AY66" s="5278"/>
      <c r="AZ66" s="5306" t="s">
        <v>16</v>
      </c>
      <c r="BA66" s="5307">
        <f t="shared" ref="BA66:BG66" si="12">SUM(BA49:BA64)</f>
        <v>177</v>
      </c>
      <c r="BB66" s="5307">
        <f t="shared" si="12"/>
        <v>213</v>
      </c>
      <c r="BC66" s="5307">
        <f t="shared" si="12"/>
        <v>189</v>
      </c>
      <c r="BD66" s="5307">
        <f t="shared" si="12"/>
        <v>239</v>
      </c>
      <c r="BE66" s="5307">
        <f t="shared" si="12"/>
        <v>244</v>
      </c>
      <c r="BF66" s="5307">
        <f t="shared" si="12"/>
        <v>242</v>
      </c>
      <c r="BG66" s="5307">
        <f t="shared" si="12"/>
        <v>237</v>
      </c>
      <c r="BH66" s="5307">
        <f>SUM(BH49:BH65)</f>
        <v>303</v>
      </c>
      <c r="BI66" s="5307">
        <v>295</v>
      </c>
      <c r="BJ66" s="5308">
        <f>SUM(BJ49:BJ65)</f>
        <v>391</v>
      </c>
      <c r="BK66" s="5309">
        <v>312</v>
      </c>
    </row>
    <row r="67" spans="3:63" ht="15.6">
      <c r="C67" s="22"/>
      <c r="AL67" s="5261" t="s">
        <v>65</v>
      </c>
      <c r="AM67" s="5262">
        <v>79</v>
      </c>
      <c r="AN67" s="5262">
        <v>96</v>
      </c>
      <c r="AO67" s="5262">
        <v>112</v>
      </c>
      <c r="AP67" s="5262">
        <v>124</v>
      </c>
      <c r="AQ67" s="5262">
        <v>140</v>
      </c>
      <c r="AR67" s="5262">
        <v>146</v>
      </c>
      <c r="AS67" s="5262">
        <v>145</v>
      </c>
      <c r="AT67" s="5262">
        <v>151</v>
      </c>
      <c r="AU67" s="5262">
        <v>151</v>
      </c>
      <c r="AV67" s="5263">
        <v>164</v>
      </c>
      <c r="AW67" s="5263">
        <v>174</v>
      </c>
      <c r="AY67" s="5943" t="s">
        <v>708</v>
      </c>
      <c r="AZ67" s="5310" t="s">
        <v>474</v>
      </c>
      <c r="BA67" s="5287">
        <v>102</v>
      </c>
      <c r="BB67" s="5287">
        <v>20</v>
      </c>
      <c r="BC67" s="5287">
        <v>95</v>
      </c>
      <c r="BD67" s="5287">
        <v>23</v>
      </c>
      <c r="BE67" s="5287">
        <v>70</v>
      </c>
      <c r="BF67" s="5287">
        <v>24</v>
      </c>
      <c r="BG67" s="5287"/>
      <c r="BH67" s="5287"/>
      <c r="BI67" s="5287"/>
      <c r="BJ67" s="5287"/>
      <c r="BK67" s="5288"/>
    </row>
    <row r="68" spans="3:63" ht="15.6">
      <c r="C68" s="22"/>
      <c r="O68" s="49"/>
      <c r="AL68" s="5261" t="s">
        <v>415</v>
      </c>
      <c r="AM68" s="5262">
        <v>70</v>
      </c>
      <c r="AN68" s="5262">
        <v>74</v>
      </c>
      <c r="AO68" s="5262">
        <v>84</v>
      </c>
      <c r="AP68" s="5262">
        <v>101</v>
      </c>
      <c r="AQ68" s="5262">
        <v>145</v>
      </c>
      <c r="AR68" s="5262">
        <v>176</v>
      </c>
      <c r="AS68" s="5262">
        <v>220</v>
      </c>
      <c r="AT68" s="5262">
        <v>250</v>
      </c>
      <c r="AU68" s="5262">
        <v>285</v>
      </c>
      <c r="AV68" s="5263">
        <v>321</v>
      </c>
      <c r="AW68" s="5263">
        <v>338</v>
      </c>
      <c r="AY68" s="5944"/>
      <c r="AZ68" s="5283" t="s">
        <v>2279</v>
      </c>
      <c r="BA68" s="5287"/>
      <c r="BB68" s="5287"/>
      <c r="BC68" s="5287"/>
      <c r="BD68" s="5287"/>
      <c r="BE68" s="5287"/>
      <c r="BF68" s="5287"/>
      <c r="BG68" s="5287"/>
      <c r="BH68" s="5287">
        <v>5</v>
      </c>
      <c r="BI68" s="5287">
        <v>11</v>
      </c>
      <c r="BJ68" s="5287">
        <v>6</v>
      </c>
      <c r="BK68" s="5288">
        <v>6</v>
      </c>
    </row>
    <row r="69" spans="3:63" ht="15" customHeight="1">
      <c r="C69" s="22"/>
      <c r="AL69" s="5261" t="s">
        <v>81</v>
      </c>
      <c r="AM69" s="5262">
        <v>27</v>
      </c>
      <c r="AN69" s="5262">
        <v>69</v>
      </c>
      <c r="AO69" s="5262">
        <v>121</v>
      </c>
      <c r="AP69" s="5262">
        <v>160</v>
      </c>
      <c r="AQ69" s="5262">
        <v>214</v>
      </c>
      <c r="AR69" s="5262">
        <v>251</v>
      </c>
      <c r="AS69" s="5262">
        <v>295</v>
      </c>
      <c r="AT69" s="5262">
        <v>312</v>
      </c>
      <c r="AU69" s="5262">
        <v>330</v>
      </c>
      <c r="AV69" s="5263">
        <v>341</v>
      </c>
      <c r="AW69" s="5263">
        <v>365</v>
      </c>
      <c r="AY69" s="5945"/>
      <c r="AZ69" s="5257" t="s">
        <v>1637</v>
      </c>
      <c r="BA69" s="5287"/>
      <c r="BB69" s="5287"/>
      <c r="BC69" s="5287"/>
      <c r="BD69" s="5287"/>
      <c r="BE69" s="5287"/>
      <c r="BF69" s="5287"/>
      <c r="BG69" s="5287">
        <v>9</v>
      </c>
      <c r="BH69" s="5287">
        <v>9</v>
      </c>
      <c r="BI69" s="5287">
        <v>14</v>
      </c>
      <c r="BJ69" s="5287">
        <v>8</v>
      </c>
      <c r="BK69" s="5288">
        <v>7</v>
      </c>
    </row>
    <row r="70" spans="3:63" ht="15" customHeight="1">
      <c r="C70" s="22"/>
      <c r="AL70" s="5274" t="s">
        <v>64</v>
      </c>
      <c r="AM70" s="5275">
        <f t="shared" ref="AM70:AT70" si="13">SUM(AM66:AM69)</f>
        <v>323</v>
      </c>
      <c r="AN70" s="5275">
        <f t="shared" si="13"/>
        <v>394</v>
      </c>
      <c r="AO70" s="5275">
        <f t="shared" si="13"/>
        <v>479</v>
      </c>
      <c r="AP70" s="5275">
        <f t="shared" si="13"/>
        <v>566</v>
      </c>
      <c r="AQ70" s="5275">
        <f t="shared" si="13"/>
        <v>722</v>
      </c>
      <c r="AR70" s="5275">
        <f t="shared" si="13"/>
        <v>808</v>
      </c>
      <c r="AS70" s="5275">
        <f t="shared" si="13"/>
        <v>926</v>
      </c>
      <c r="AT70" s="5276">
        <f t="shared" si="13"/>
        <v>1009</v>
      </c>
      <c r="AU70" s="5276">
        <v>1089</v>
      </c>
      <c r="AV70" s="5277">
        <f>SUM(AV66:AV69)</f>
        <v>1169</v>
      </c>
      <c r="AW70" s="5277">
        <v>1233</v>
      </c>
      <c r="AY70" s="5943" t="s">
        <v>709</v>
      </c>
      <c r="AZ70" s="5257" t="s">
        <v>475</v>
      </c>
      <c r="BA70" s="5258">
        <v>87</v>
      </c>
      <c r="BB70" s="5258">
        <v>108</v>
      </c>
      <c r="BC70" s="5258">
        <v>79</v>
      </c>
      <c r="BD70" s="5258">
        <v>102</v>
      </c>
      <c r="BE70" s="5258">
        <v>74</v>
      </c>
      <c r="BF70" s="5258">
        <v>38</v>
      </c>
      <c r="BG70" s="5258"/>
      <c r="BH70" s="5258"/>
      <c r="BI70" s="5258"/>
      <c r="BJ70" s="5258"/>
      <c r="BK70" s="5260"/>
    </row>
    <row r="71" spans="3:63" ht="15.6">
      <c r="C71" s="22"/>
      <c r="AL71" s="5311" t="s">
        <v>59</v>
      </c>
      <c r="AM71" s="5312">
        <f t="shared" ref="AM71:AT71" si="14">SUM(AM70,AM65,AM61)</f>
        <v>1205</v>
      </c>
      <c r="AN71" s="5312">
        <f t="shared" si="14"/>
        <v>1388</v>
      </c>
      <c r="AO71" s="5313">
        <f t="shared" si="14"/>
        <v>1528</v>
      </c>
      <c r="AP71" s="5313">
        <f t="shared" si="14"/>
        <v>1654</v>
      </c>
      <c r="AQ71" s="5313">
        <f t="shared" si="14"/>
        <v>2009</v>
      </c>
      <c r="AR71" s="5313">
        <f t="shared" si="14"/>
        <v>2326</v>
      </c>
      <c r="AS71" s="5313">
        <f t="shared" si="14"/>
        <v>2697</v>
      </c>
      <c r="AT71" s="5313">
        <f t="shared" si="14"/>
        <v>3006</v>
      </c>
      <c r="AU71" s="5313">
        <v>3245</v>
      </c>
      <c r="AV71" s="5314">
        <f>SUM(AV70,AV65,AV61)</f>
        <v>3528</v>
      </c>
      <c r="AW71" s="5315">
        <v>3663</v>
      </c>
      <c r="AY71" s="5944"/>
      <c r="AZ71" s="5257" t="s">
        <v>1638</v>
      </c>
      <c r="BA71" s="5258"/>
      <c r="BB71" s="5258"/>
      <c r="BC71" s="5258"/>
      <c r="BD71" s="5258"/>
      <c r="BE71" s="5258"/>
      <c r="BF71" s="5258">
        <v>16</v>
      </c>
      <c r="BG71" s="5258">
        <v>22</v>
      </c>
      <c r="BH71" s="5258">
        <v>10</v>
      </c>
      <c r="BI71" s="5258">
        <v>9</v>
      </c>
      <c r="BJ71" s="5258">
        <v>7</v>
      </c>
      <c r="BK71" s="5260">
        <v>13</v>
      </c>
    </row>
    <row r="72" spans="3:63" ht="15.6">
      <c r="C72" s="22"/>
      <c r="AL72" s="5297" t="s">
        <v>532</v>
      </c>
      <c r="AM72" s="5298">
        <v>548</v>
      </c>
      <c r="AN72" s="5298">
        <v>527</v>
      </c>
      <c r="AO72" s="5298">
        <v>550</v>
      </c>
      <c r="AP72" s="5298">
        <v>605</v>
      </c>
      <c r="AQ72" s="5298">
        <v>626</v>
      </c>
      <c r="AR72" s="5298">
        <v>650</v>
      </c>
      <c r="AS72" s="5298">
        <v>665</v>
      </c>
      <c r="AT72" s="5298">
        <v>651</v>
      </c>
      <c r="AU72" s="5298">
        <v>657</v>
      </c>
      <c r="AV72" s="5299">
        <v>636</v>
      </c>
      <c r="AW72" s="5299">
        <v>625</v>
      </c>
      <c r="AY72" s="5944"/>
      <c r="AZ72" s="5257" t="s">
        <v>1639</v>
      </c>
      <c r="BA72" s="5258"/>
      <c r="BB72" s="5258"/>
      <c r="BC72" s="5258"/>
      <c r="BD72" s="5258"/>
      <c r="BE72" s="5258"/>
      <c r="BF72" s="5258">
        <v>14</v>
      </c>
      <c r="BG72" s="5258">
        <v>18</v>
      </c>
      <c r="BH72" s="5258">
        <v>20</v>
      </c>
      <c r="BI72" s="5258">
        <v>15</v>
      </c>
      <c r="BJ72" s="5258">
        <v>17</v>
      </c>
      <c r="BK72" s="5260">
        <v>12</v>
      </c>
    </row>
    <row r="73" spans="3:63" ht="15.6">
      <c r="C73" s="22"/>
      <c r="AL73" s="5261" t="s">
        <v>790</v>
      </c>
      <c r="AM73" s="5262">
        <v>89</v>
      </c>
      <c r="AN73" s="5262">
        <v>104</v>
      </c>
      <c r="AO73" s="5262">
        <v>127</v>
      </c>
      <c r="AP73" s="5262">
        <v>140</v>
      </c>
      <c r="AQ73" s="5262">
        <v>164</v>
      </c>
      <c r="AR73" s="5262">
        <v>157</v>
      </c>
      <c r="AS73" s="5262">
        <v>149</v>
      </c>
      <c r="AT73" s="5262">
        <v>141</v>
      </c>
      <c r="AU73" s="5262">
        <v>142</v>
      </c>
      <c r="AV73" s="5263">
        <v>154</v>
      </c>
      <c r="AW73" s="5263">
        <v>140</v>
      </c>
      <c r="AY73" s="5944"/>
      <c r="AZ73" s="5257" t="s">
        <v>1640</v>
      </c>
      <c r="BA73" s="5258"/>
      <c r="BB73" s="5258"/>
      <c r="BC73" s="5258"/>
      <c r="BD73" s="5258"/>
      <c r="BE73" s="5258"/>
      <c r="BF73" s="5258">
        <v>21</v>
      </c>
      <c r="BG73" s="5258">
        <v>28</v>
      </c>
      <c r="BH73" s="5258">
        <v>28</v>
      </c>
      <c r="BI73" s="5258">
        <v>19</v>
      </c>
      <c r="BJ73" s="5258">
        <v>14</v>
      </c>
      <c r="BK73" s="5260">
        <v>22</v>
      </c>
    </row>
    <row r="74" spans="3:63" ht="15.6">
      <c r="C74" s="22"/>
      <c r="AL74" s="5261" t="s">
        <v>531</v>
      </c>
      <c r="AM74" s="5262">
        <v>360</v>
      </c>
      <c r="AN74" s="5262">
        <v>405</v>
      </c>
      <c r="AO74" s="5262">
        <v>455</v>
      </c>
      <c r="AP74" s="5262">
        <v>533</v>
      </c>
      <c r="AQ74" s="5262">
        <v>564</v>
      </c>
      <c r="AR74" s="5262">
        <v>593</v>
      </c>
      <c r="AS74" s="5262">
        <v>604</v>
      </c>
      <c r="AT74" s="5262">
        <v>589</v>
      </c>
      <c r="AU74" s="5262">
        <v>573</v>
      </c>
      <c r="AV74" s="5263">
        <v>560</v>
      </c>
      <c r="AW74" s="5263">
        <v>520</v>
      </c>
      <c r="AY74" s="5944"/>
      <c r="AZ74" s="5257" t="s">
        <v>1637</v>
      </c>
      <c r="BA74" s="5258"/>
      <c r="BB74" s="5258"/>
      <c r="BC74" s="5258"/>
      <c r="BD74" s="5258"/>
      <c r="BE74" s="5258"/>
      <c r="BF74" s="5258">
        <v>9</v>
      </c>
      <c r="BG74" s="5258">
        <v>21</v>
      </c>
      <c r="BH74" s="5258">
        <v>26</v>
      </c>
      <c r="BI74" s="5258">
        <v>23</v>
      </c>
      <c r="BJ74" s="5258">
        <v>16</v>
      </c>
      <c r="BK74" s="5260">
        <v>21</v>
      </c>
    </row>
    <row r="75" spans="3:63" ht="15" customHeight="1">
      <c r="C75" s="22"/>
      <c r="AL75" s="5261" t="s">
        <v>269</v>
      </c>
      <c r="AM75" s="5262">
        <v>322</v>
      </c>
      <c r="AN75" s="5262">
        <v>378</v>
      </c>
      <c r="AO75" s="5262">
        <v>412</v>
      </c>
      <c r="AP75" s="5262">
        <v>475</v>
      </c>
      <c r="AQ75" s="5262">
        <v>515</v>
      </c>
      <c r="AR75" s="5262">
        <v>549</v>
      </c>
      <c r="AS75" s="5262">
        <v>549</v>
      </c>
      <c r="AT75" s="5262">
        <v>521</v>
      </c>
      <c r="AU75" s="5262">
        <v>485</v>
      </c>
      <c r="AV75" s="5263">
        <v>451</v>
      </c>
      <c r="AW75" s="5263">
        <v>392</v>
      </c>
      <c r="AY75" s="5944"/>
      <c r="AZ75" s="5257" t="s">
        <v>1641</v>
      </c>
      <c r="BA75" s="5258"/>
      <c r="BB75" s="5258"/>
      <c r="BC75" s="5258"/>
      <c r="BD75" s="5258"/>
      <c r="BE75" s="5258"/>
      <c r="BF75" s="5258">
        <v>12</v>
      </c>
      <c r="BG75" s="5258">
        <v>24</v>
      </c>
      <c r="BH75" s="5258">
        <v>25</v>
      </c>
      <c r="BI75" s="5258">
        <v>17</v>
      </c>
      <c r="BJ75" s="5258">
        <v>17</v>
      </c>
      <c r="BK75" s="5260">
        <v>16</v>
      </c>
    </row>
    <row r="76" spans="3:63" ht="21.6">
      <c r="C76" s="22"/>
      <c r="AL76" s="5261" t="s">
        <v>29</v>
      </c>
      <c r="AM76" s="5262">
        <v>262</v>
      </c>
      <c r="AN76" s="5262">
        <v>336</v>
      </c>
      <c r="AO76" s="5262">
        <v>405</v>
      </c>
      <c r="AP76" s="5262">
        <v>474</v>
      </c>
      <c r="AQ76" s="5262">
        <v>516</v>
      </c>
      <c r="AR76" s="5262">
        <v>536</v>
      </c>
      <c r="AS76" s="5262">
        <v>542</v>
      </c>
      <c r="AT76" s="5262">
        <v>544</v>
      </c>
      <c r="AU76" s="5262">
        <v>553</v>
      </c>
      <c r="AV76" s="5263">
        <v>578</v>
      </c>
      <c r="AW76" s="5263">
        <v>590</v>
      </c>
      <c r="AY76" s="5945"/>
      <c r="AZ76" s="5257" t="s">
        <v>1727</v>
      </c>
      <c r="BA76" s="5258"/>
      <c r="BB76" s="5258"/>
      <c r="BC76" s="5258"/>
      <c r="BD76" s="5258"/>
      <c r="BE76" s="5258"/>
      <c r="BF76" s="5258">
        <v>7</v>
      </c>
      <c r="BG76" s="5258">
        <v>9</v>
      </c>
      <c r="BH76" s="5258">
        <v>14</v>
      </c>
      <c r="BI76" s="5258">
        <v>14</v>
      </c>
      <c r="BJ76" s="5258">
        <v>9</v>
      </c>
      <c r="BK76" s="5260">
        <v>6</v>
      </c>
    </row>
    <row r="77" spans="3:63" ht="15.6">
      <c r="C77" s="22"/>
      <c r="AL77" s="5261" t="s">
        <v>787</v>
      </c>
      <c r="AM77" s="5262">
        <v>529</v>
      </c>
      <c r="AN77" s="5262">
        <v>517</v>
      </c>
      <c r="AO77" s="5262">
        <v>517</v>
      </c>
      <c r="AP77" s="5262">
        <v>535</v>
      </c>
      <c r="AQ77" s="5262">
        <v>533</v>
      </c>
      <c r="AR77" s="5262">
        <v>529</v>
      </c>
      <c r="AS77" s="5262">
        <v>505</v>
      </c>
      <c r="AT77" s="5262">
        <v>472</v>
      </c>
      <c r="AU77" s="5262">
        <v>451</v>
      </c>
      <c r="AV77" s="5263">
        <v>435</v>
      </c>
      <c r="AW77" s="5263">
        <v>414</v>
      </c>
      <c r="AY77" s="5943" t="s">
        <v>793</v>
      </c>
      <c r="AZ77" s="5295" t="s">
        <v>476</v>
      </c>
      <c r="BA77" s="5258">
        <v>62</v>
      </c>
      <c r="BB77" s="5258">
        <v>56</v>
      </c>
      <c r="BC77" s="5258">
        <v>63</v>
      </c>
      <c r="BD77" s="5258">
        <v>55</v>
      </c>
      <c r="BE77" s="5258">
        <v>80</v>
      </c>
      <c r="BF77" s="5258">
        <v>15</v>
      </c>
      <c r="BG77" s="5258"/>
      <c r="BH77" s="5258"/>
      <c r="BI77" s="5258"/>
      <c r="BJ77" s="5258"/>
      <c r="BK77" s="5260"/>
    </row>
    <row r="78" spans="3:63" ht="15.6">
      <c r="C78" s="22"/>
      <c r="AL78" s="5261" t="s">
        <v>30</v>
      </c>
      <c r="AM78" s="5262">
        <v>377</v>
      </c>
      <c r="AN78" s="5262">
        <v>358</v>
      </c>
      <c r="AO78" s="5262">
        <v>344</v>
      </c>
      <c r="AP78" s="5262">
        <v>370</v>
      </c>
      <c r="AQ78" s="5262">
        <v>399</v>
      </c>
      <c r="AR78" s="5262">
        <v>414</v>
      </c>
      <c r="AS78" s="5262">
        <v>450</v>
      </c>
      <c r="AT78" s="5262">
        <v>454</v>
      </c>
      <c r="AU78" s="5262">
        <v>462</v>
      </c>
      <c r="AV78" s="5263">
        <v>455</v>
      </c>
      <c r="AW78" s="5263">
        <v>426</v>
      </c>
      <c r="AY78" s="5944"/>
      <c r="AZ78" s="5257" t="s">
        <v>1638</v>
      </c>
      <c r="BA78" s="5258"/>
      <c r="BB78" s="5258"/>
      <c r="BC78" s="5258"/>
      <c r="BD78" s="5258"/>
      <c r="BE78" s="5258"/>
      <c r="BF78" s="5258">
        <v>4</v>
      </c>
      <c r="BG78" s="5258">
        <v>4</v>
      </c>
      <c r="BH78" s="5258">
        <v>8</v>
      </c>
      <c r="BI78" s="5258">
        <v>5</v>
      </c>
      <c r="BJ78" s="5258">
        <v>4</v>
      </c>
      <c r="BK78" s="5260">
        <v>8</v>
      </c>
    </row>
    <row r="79" spans="3:63" ht="15.6">
      <c r="C79" s="22"/>
      <c r="AL79" s="5261" t="s">
        <v>31</v>
      </c>
      <c r="AM79" s="5262">
        <v>163</v>
      </c>
      <c r="AN79" s="5262">
        <v>196</v>
      </c>
      <c r="AO79" s="5262">
        <v>234</v>
      </c>
      <c r="AP79" s="5262">
        <v>274</v>
      </c>
      <c r="AQ79" s="5262">
        <v>309</v>
      </c>
      <c r="AR79" s="5262">
        <v>324</v>
      </c>
      <c r="AS79" s="5262">
        <v>358</v>
      </c>
      <c r="AT79" s="5262">
        <v>351</v>
      </c>
      <c r="AU79" s="5262">
        <v>384</v>
      </c>
      <c r="AV79" s="5263">
        <v>421</v>
      </c>
      <c r="AW79" s="5263">
        <v>428</v>
      </c>
      <c r="AY79" s="5944"/>
      <c r="AZ79" s="5257" t="s">
        <v>1639</v>
      </c>
      <c r="BA79" s="5258"/>
      <c r="BB79" s="5258"/>
      <c r="BC79" s="5258"/>
      <c r="BD79" s="5258"/>
      <c r="BE79" s="5258"/>
      <c r="BF79" s="5258">
        <v>9</v>
      </c>
      <c r="BG79" s="5258">
        <v>11</v>
      </c>
      <c r="BH79" s="5258">
        <v>12</v>
      </c>
      <c r="BI79" s="5258">
        <v>7</v>
      </c>
      <c r="BJ79" s="5258">
        <v>10</v>
      </c>
      <c r="BK79" s="5260">
        <v>11</v>
      </c>
    </row>
    <row r="80" spans="3:63" ht="15.6">
      <c r="C80" s="22"/>
      <c r="AL80" s="5261" t="s">
        <v>32</v>
      </c>
      <c r="AM80" s="5262">
        <v>730</v>
      </c>
      <c r="AN80" s="5262">
        <v>713</v>
      </c>
      <c r="AO80" s="5262">
        <v>686</v>
      </c>
      <c r="AP80" s="5262">
        <v>691</v>
      </c>
      <c r="AQ80" s="5262">
        <v>666</v>
      </c>
      <c r="AR80" s="5262">
        <v>633</v>
      </c>
      <c r="AS80" s="5262">
        <v>626</v>
      </c>
      <c r="AT80" s="5262">
        <v>583</v>
      </c>
      <c r="AU80" s="5262">
        <v>559</v>
      </c>
      <c r="AV80" s="5263">
        <v>528</v>
      </c>
      <c r="AW80" s="5263">
        <v>525</v>
      </c>
      <c r="AY80" s="5944"/>
      <c r="AZ80" s="5257" t="s">
        <v>1640</v>
      </c>
      <c r="BA80" s="5258"/>
      <c r="BB80" s="5258"/>
      <c r="BC80" s="5258"/>
      <c r="BD80" s="5258"/>
      <c r="BE80" s="5258"/>
      <c r="BF80" s="5258">
        <v>23</v>
      </c>
      <c r="BG80" s="5258">
        <v>28</v>
      </c>
      <c r="BH80" s="5258">
        <v>34</v>
      </c>
      <c r="BI80" s="5258">
        <v>24</v>
      </c>
      <c r="BJ80" s="5258">
        <v>23</v>
      </c>
      <c r="BK80" s="5260">
        <v>26</v>
      </c>
    </row>
    <row r="81" spans="3:63" ht="15.6">
      <c r="C81" s="22"/>
      <c r="AL81" s="5261" t="s">
        <v>1816</v>
      </c>
      <c r="AM81" s="5262"/>
      <c r="AN81" s="5262"/>
      <c r="AO81" s="5262"/>
      <c r="AP81" s="5262"/>
      <c r="AQ81" s="5262"/>
      <c r="AR81" s="5262"/>
      <c r="AS81" s="5262">
        <v>31</v>
      </c>
      <c r="AT81" s="5262">
        <v>51</v>
      </c>
      <c r="AU81" s="5262">
        <v>71</v>
      </c>
      <c r="AV81" s="5263">
        <v>87</v>
      </c>
      <c r="AW81" s="5263">
        <v>82</v>
      </c>
      <c r="AY81" s="5944"/>
      <c r="AZ81" s="5257" t="s">
        <v>1637</v>
      </c>
      <c r="BA81" s="5258"/>
      <c r="BB81" s="5258"/>
      <c r="BC81" s="5258"/>
      <c r="BD81" s="5258"/>
      <c r="BE81" s="5258"/>
      <c r="BF81" s="5258">
        <v>2</v>
      </c>
      <c r="BG81" s="5258">
        <v>2</v>
      </c>
      <c r="BH81" s="5258">
        <v>5</v>
      </c>
      <c r="BI81" s="5258">
        <v>4</v>
      </c>
      <c r="BJ81" s="5258">
        <v>4</v>
      </c>
      <c r="BK81" s="5260">
        <v>3</v>
      </c>
    </row>
    <row r="82" spans="3:63" ht="15.6">
      <c r="C82" s="22"/>
      <c r="AL82" s="5274" t="s">
        <v>4</v>
      </c>
      <c r="AM82" s="5275">
        <f t="shared" ref="AM82:AR82" si="15">SUM(AM72:AM80)</f>
        <v>3380</v>
      </c>
      <c r="AN82" s="5275">
        <f t="shared" si="15"/>
        <v>3534</v>
      </c>
      <c r="AO82" s="5275">
        <f t="shared" si="15"/>
        <v>3730</v>
      </c>
      <c r="AP82" s="5275">
        <f t="shared" si="15"/>
        <v>4097</v>
      </c>
      <c r="AQ82" s="5275">
        <f t="shared" si="15"/>
        <v>4292</v>
      </c>
      <c r="AR82" s="5275">
        <f t="shared" si="15"/>
        <v>4385</v>
      </c>
      <c r="AS82" s="5275">
        <f>SUM(AS72:AS81)</f>
        <v>4479</v>
      </c>
      <c r="AT82" s="5276">
        <f>SUM(AT72:AT81)</f>
        <v>4357</v>
      </c>
      <c r="AU82" s="5276">
        <v>4337</v>
      </c>
      <c r="AV82" s="5277">
        <f>SUM(AV72:AV81)</f>
        <v>4305</v>
      </c>
      <c r="AW82" s="5277">
        <v>4142</v>
      </c>
      <c r="AY82" s="5944"/>
      <c r="AZ82" s="5257" t="s">
        <v>1641</v>
      </c>
      <c r="BA82" s="5258"/>
      <c r="BB82" s="5258"/>
      <c r="BC82" s="5258"/>
      <c r="BD82" s="5258"/>
      <c r="BE82" s="5258"/>
      <c r="BF82" s="5258">
        <v>18</v>
      </c>
      <c r="BG82" s="5258">
        <v>26</v>
      </c>
      <c r="BH82" s="5258">
        <v>28</v>
      </c>
      <c r="BI82" s="5258">
        <v>18</v>
      </c>
      <c r="BJ82" s="5258">
        <v>19</v>
      </c>
      <c r="BK82" s="5260">
        <v>18</v>
      </c>
    </row>
    <row r="83" spans="3:63" ht="21.6">
      <c r="C83" s="22"/>
      <c r="AL83" s="5254" t="s">
        <v>17</v>
      </c>
      <c r="AM83" s="5255">
        <v>1280</v>
      </c>
      <c r="AN83" s="5255">
        <v>1266</v>
      </c>
      <c r="AO83" s="5255">
        <v>1300</v>
      </c>
      <c r="AP83" s="5255">
        <v>1308</v>
      </c>
      <c r="AQ83" s="5255">
        <v>1232</v>
      </c>
      <c r="AR83" s="5255">
        <v>1207</v>
      </c>
      <c r="AS83" s="5255">
        <v>1180</v>
      </c>
      <c r="AT83" s="5255">
        <v>1157</v>
      </c>
      <c r="AU83" s="5255">
        <v>1148</v>
      </c>
      <c r="AV83" s="5256">
        <v>1119</v>
      </c>
      <c r="AW83" s="5256">
        <v>1139</v>
      </c>
      <c r="AY83" s="5945"/>
      <c r="AZ83" s="5257" t="s">
        <v>1727</v>
      </c>
      <c r="BA83" s="5258"/>
      <c r="BB83" s="5258"/>
      <c r="BC83" s="5258"/>
      <c r="BD83" s="5258"/>
      <c r="BE83" s="5258"/>
      <c r="BF83" s="5304">
        <v>0</v>
      </c>
      <c r="BG83" s="5304"/>
      <c r="BH83" s="5304">
        <v>3</v>
      </c>
      <c r="BI83" s="5304">
        <v>4</v>
      </c>
      <c r="BJ83" s="5304">
        <v>6</v>
      </c>
      <c r="BK83" s="5305">
        <v>7</v>
      </c>
    </row>
    <row r="84" spans="3:63" ht="15.6">
      <c r="C84" s="22"/>
      <c r="AL84" s="5261" t="s">
        <v>33</v>
      </c>
      <c r="AM84" s="5262">
        <v>381</v>
      </c>
      <c r="AN84" s="5262">
        <v>388</v>
      </c>
      <c r="AO84" s="5262">
        <v>416</v>
      </c>
      <c r="AP84" s="5262">
        <v>406</v>
      </c>
      <c r="AQ84" s="5262">
        <v>411</v>
      </c>
      <c r="AR84" s="5262">
        <v>409</v>
      </c>
      <c r="AS84" s="5262">
        <v>420</v>
      </c>
      <c r="AT84" s="5262">
        <v>384</v>
      </c>
      <c r="AU84" s="5262">
        <v>393</v>
      </c>
      <c r="AV84" s="5263">
        <v>398</v>
      </c>
      <c r="AW84" s="5263">
        <v>400</v>
      </c>
      <c r="AY84" s="5278"/>
      <c r="AZ84" s="5316" t="s">
        <v>21</v>
      </c>
      <c r="BA84" s="5307">
        <f>SUM(BA67:BA77)</f>
        <v>251</v>
      </c>
      <c r="BB84" s="5307">
        <f>SUM(BB67:BB77)</f>
        <v>184</v>
      </c>
      <c r="BC84" s="5307">
        <f>SUM(BC67:BC77)</f>
        <v>237</v>
      </c>
      <c r="BD84" s="5307">
        <f>SUM(BD67:BD77)</f>
        <v>180</v>
      </c>
      <c r="BE84" s="5307">
        <f>SUM(BE67:BE77)</f>
        <v>224</v>
      </c>
      <c r="BF84" s="5307">
        <f>SUM(BF67:BF83)</f>
        <v>212</v>
      </c>
      <c r="BG84" s="5307">
        <f>SUM(BG67:BG83)</f>
        <v>202</v>
      </c>
      <c r="BH84" s="5307">
        <f>SUM(BH67:BH83)</f>
        <v>227</v>
      </c>
      <c r="BI84" s="5307">
        <v>184</v>
      </c>
      <c r="BJ84" s="5308">
        <f>SUM(BJ67:BJ83)</f>
        <v>160</v>
      </c>
      <c r="BK84" s="5309">
        <v>176</v>
      </c>
    </row>
    <row r="85" spans="3:63" ht="15" customHeight="1">
      <c r="C85" s="22"/>
      <c r="AL85" s="5261" t="s">
        <v>34</v>
      </c>
      <c r="AM85" s="5262">
        <v>419</v>
      </c>
      <c r="AN85" s="5262">
        <v>425</v>
      </c>
      <c r="AO85" s="5262">
        <v>431</v>
      </c>
      <c r="AP85" s="5262">
        <v>409</v>
      </c>
      <c r="AQ85" s="5262">
        <v>409</v>
      </c>
      <c r="AR85" s="5262">
        <v>428</v>
      </c>
      <c r="AS85" s="5262">
        <v>434</v>
      </c>
      <c r="AT85" s="5262">
        <v>444</v>
      </c>
      <c r="AU85" s="5262">
        <v>454</v>
      </c>
      <c r="AV85" s="5263">
        <v>428</v>
      </c>
      <c r="AW85" s="5263">
        <v>428</v>
      </c>
      <c r="AY85" s="5317"/>
      <c r="AZ85" s="5318" t="s">
        <v>106</v>
      </c>
      <c r="BA85" s="5319">
        <f t="shared" ref="BA85:BH85" si="16">SUM(BA48,BA66,BA84)</f>
        <v>599</v>
      </c>
      <c r="BB85" s="5319">
        <f t="shared" si="16"/>
        <v>575</v>
      </c>
      <c r="BC85" s="5319">
        <f t="shared" si="16"/>
        <v>590</v>
      </c>
      <c r="BD85" s="5319">
        <f t="shared" si="16"/>
        <v>607</v>
      </c>
      <c r="BE85" s="5319">
        <f t="shared" si="16"/>
        <v>698</v>
      </c>
      <c r="BF85" s="5319">
        <f t="shared" si="16"/>
        <v>707</v>
      </c>
      <c r="BG85" s="5319">
        <f t="shared" si="16"/>
        <v>727</v>
      </c>
      <c r="BH85" s="5319">
        <f t="shared" si="16"/>
        <v>816</v>
      </c>
      <c r="BI85" s="5319">
        <v>768</v>
      </c>
      <c r="BJ85" s="5320">
        <f>SUM(BJ48,BJ66,BJ84)</f>
        <v>831</v>
      </c>
      <c r="BK85" s="5321">
        <v>754</v>
      </c>
    </row>
    <row r="86" spans="3:63" ht="15.6">
      <c r="C86" s="22"/>
      <c r="AL86" s="5261" t="s">
        <v>35</v>
      </c>
      <c r="AM86" s="5262">
        <v>453</v>
      </c>
      <c r="AN86" s="5262">
        <v>455</v>
      </c>
      <c r="AO86" s="5262">
        <v>472</v>
      </c>
      <c r="AP86" s="5262">
        <v>496</v>
      </c>
      <c r="AQ86" s="5262">
        <v>499</v>
      </c>
      <c r="AR86" s="5262">
        <v>504</v>
      </c>
      <c r="AS86" s="5262">
        <v>496</v>
      </c>
      <c r="AT86" s="5262">
        <v>505</v>
      </c>
      <c r="AU86" s="5262">
        <v>531</v>
      </c>
      <c r="AV86" s="5263">
        <v>514</v>
      </c>
      <c r="AW86" s="5263">
        <v>510</v>
      </c>
      <c r="AY86" s="5322" t="s">
        <v>708</v>
      </c>
      <c r="AZ86" s="5301" t="s">
        <v>1817</v>
      </c>
      <c r="BA86" s="5258"/>
      <c r="BB86" s="5258"/>
      <c r="BC86" s="5258"/>
      <c r="BD86" s="5258"/>
      <c r="BE86" s="5258"/>
      <c r="BF86" s="5258"/>
      <c r="BG86" s="5258">
        <v>2</v>
      </c>
      <c r="BH86" s="5258">
        <v>4</v>
      </c>
      <c r="BI86" s="5258">
        <v>5</v>
      </c>
      <c r="BJ86" s="5258">
        <v>3</v>
      </c>
      <c r="BK86" s="5260">
        <v>4</v>
      </c>
    </row>
    <row r="87" spans="3:63" ht="15.6">
      <c r="C87" s="22"/>
      <c r="AL87" s="5261" t="s">
        <v>19</v>
      </c>
      <c r="AM87" s="5262">
        <v>555</v>
      </c>
      <c r="AN87" s="5262">
        <v>563</v>
      </c>
      <c r="AO87" s="5262">
        <v>598</v>
      </c>
      <c r="AP87" s="5262">
        <v>625</v>
      </c>
      <c r="AQ87" s="5262">
        <v>628</v>
      </c>
      <c r="AR87" s="5262">
        <v>643</v>
      </c>
      <c r="AS87" s="5262">
        <v>661</v>
      </c>
      <c r="AT87" s="5262">
        <v>679</v>
      </c>
      <c r="AU87" s="5262">
        <v>669</v>
      </c>
      <c r="AV87" s="5263">
        <v>699</v>
      </c>
      <c r="AW87" s="5263">
        <v>722</v>
      </c>
      <c r="AY87" s="5943" t="s">
        <v>709</v>
      </c>
      <c r="AZ87" s="5323" t="s">
        <v>120</v>
      </c>
      <c r="BA87" s="5258">
        <v>12</v>
      </c>
      <c r="BB87" s="5258">
        <v>16</v>
      </c>
      <c r="BC87" s="5258">
        <v>29</v>
      </c>
      <c r="BD87" s="5258">
        <v>30</v>
      </c>
      <c r="BE87" s="5258">
        <v>30</v>
      </c>
      <c r="BF87" s="5258">
        <v>36</v>
      </c>
      <c r="BG87" s="5258">
        <v>49</v>
      </c>
      <c r="BH87" s="5258">
        <v>63</v>
      </c>
      <c r="BI87" s="5258">
        <v>66</v>
      </c>
      <c r="BJ87" s="5258">
        <v>71</v>
      </c>
      <c r="BK87" s="5260">
        <v>69</v>
      </c>
    </row>
    <row r="88" spans="3:63" ht="15.6">
      <c r="C88" s="22"/>
      <c r="AL88" s="5261" t="s">
        <v>20</v>
      </c>
      <c r="AM88" s="5262">
        <v>541</v>
      </c>
      <c r="AN88" s="5262">
        <v>540</v>
      </c>
      <c r="AO88" s="5262">
        <v>571</v>
      </c>
      <c r="AP88" s="5262">
        <v>610</v>
      </c>
      <c r="AQ88" s="5262">
        <v>623</v>
      </c>
      <c r="AR88" s="5262">
        <v>609</v>
      </c>
      <c r="AS88" s="5262">
        <v>617</v>
      </c>
      <c r="AT88" s="5262">
        <v>595</v>
      </c>
      <c r="AU88" s="5262">
        <v>597</v>
      </c>
      <c r="AV88" s="5263">
        <v>591</v>
      </c>
      <c r="AW88" s="5263">
        <v>549</v>
      </c>
      <c r="AY88" s="5944"/>
      <c r="AZ88" s="5301" t="s">
        <v>121</v>
      </c>
      <c r="BA88" s="5258">
        <v>52</v>
      </c>
      <c r="BB88" s="5258">
        <v>72</v>
      </c>
      <c r="BC88" s="5258">
        <v>96</v>
      </c>
      <c r="BD88" s="5258">
        <v>74</v>
      </c>
      <c r="BE88" s="5258">
        <v>82</v>
      </c>
      <c r="BF88" s="5258">
        <v>79</v>
      </c>
      <c r="BG88" s="5258">
        <v>71</v>
      </c>
      <c r="BH88" s="5258">
        <v>59</v>
      </c>
      <c r="BI88" s="5258">
        <v>55</v>
      </c>
      <c r="BJ88" s="5258">
        <v>62</v>
      </c>
      <c r="BK88" s="5260">
        <v>47</v>
      </c>
    </row>
    <row r="89" spans="3:63" ht="15.6">
      <c r="C89" s="22"/>
      <c r="AL89" s="5261" t="s">
        <v>36</v>
      </c>
      <c r="AM89" s="5262">
        <v>495</v>
      </c>
      <c r="AN89" s="5262">
        <v>493</v>
      </c>
      <c r="AO89" s="5262">
        <v>506</v>
      </c>
      <c r="AP89" s="5262">
        <v>508</v>
      </c>
      <c r="AQ89" s="5262">
        <v>532</v>
      </c>
      <c r="AR89" s="5262">
        <v>537</v>
      </c>
      <c r="AS89" s="5262">
        <v>533</v>
      </c>
      <c r="AT89" s="5262">
        <v>531</v>
      </c>
      <c r="AU89" s="5262">
        <v>548</v>
      </c>
      <c r="AV89" s="5263">
        <v>560</v>
      </c>
      <c r="AW89" s="5263">
        <v>566</v>
      </c>
      <c r="AY89" s="5944"/>
      <c r="AZ89" s="5301" t="s">
        <v>122</v>
      </c>
      <c r="BA89" s="5258">
        <v>18</v>
      </c>
      <c r="BB89" s="5258">
        <v>17</v>
      </c>
      <c r="BC89" s="5258">
        <v>68</v>
      </c>
      <c r="BD89" s="5258">
        <v>18</v>
      </c>
      <c r="BE89" s="5258">
        <v>20</v>
      </c>
      <c r="BF89" s="5258">
        <v>22</v>
      </c>
      <c r="BG89" s="5258">
        <v>36</v>
      </c>
      <c r="BH89" s="5258">
        <v>36</v>
      </c>
      <c r="BI89" s="5258">
        <v>24</v>
      </c>
      <c r="BJ89" s="5258">
        <v>19</v>
      </c>
      <c r="BK89" s="5260">
        <v>17</v>
      </c>
    </row>
    <row r="90" spans="3:63" ht="15.6">
      <c r="C90" s="22"/>
      <c r="AL90" s="5261" t="s">
        <v>533</v>
      </c>
      <c r="AM90" s="5262">
        <v>213</v>
      </c>
      <c r="AN90" s="5262">
        <v>228</v>
      </c>
      <c r="AO90" s="5262">
        <v>259</v>
      </c>
      <c r="AP90" s="5262">
        <v>273</v>
      </c>
      <c r="AQ90" s="5262">
        <v>283</v>
      </c>
      <c r="AR90" s="5262">
        <v>284</v>
      </c>
      <c r="AS90" s="5262">
        <v>294</v>
      </c>
      <c r="AT90" s="5262">
        <v>299</v>
      </c>
      <c r="AU90" s="5262">
        <v>320</v>
      </c>
      <c r="AV90" s="5263">
        <v>305</v>
      </c>
      <c r="AW90" s="5263">
        <v>315</v>
      </c>
      <c r="AY90" s="5944"/>
      <c r="AZ90" s="5301" t="s">
        <v>123</v>
      </c>
      <c r="BA90" s="5258">
        <v>38</v>
      </c>
      <c r="BB90" s="5258">
        <v>30</v>
      </c>
      <c r="BC90" s="5258">
        <v>36</v>
      </c>
      <c r="BD90" s="5258">
        <v>31</v>
      </c>
      <c r="BE90" s="5258">
        <v>26</v>
      </c>
      <c r="BF90" s="5258">
        <v>32</v>
      </c>
      <c r="BG90" s="5258">
        <v>35</v>
      </c>
      <c r="BH90" s="5258">
        <v>35</v>
      </c>
      <c r="BI90" s="5258">
        <v>37</v>
      </c>
      <c r="BJ90" s="5258">
        <v>32</v>
      </c>
      <c r="BK90" s="5260">
        <v>36</v>
      </c>
    </row>
    <row r="91" spans="3:63" ht="15.6">
      <c r="C91" s="22"/>
      <c r="AL91" s="5261" t="s">
        <v>38</v>
      </c>
      <c r="AM91" s="5262">
        <v>659</v>
      </c>
      <c r="AN91" s="5262">
        <v>658</v>
      </c>
      <c r="AO91" s="5262">
        <v>689</v>
      </c>
      <c r="AP91" s="5262">
        <v>692</v>
      </c>
      <c r="AQ91" s="5262">
        <v>677</v>
      </c>
      <c r="AR91" s="5262">
        <v>694</v>
      </c>
      <c r="AS91" s="5262">
        <v>683</v>
      </c>
      <c r="AT91" s="5262">
        <v>688</v>
      </c>
      <c r="AU91" s="5262">
        <v>665</v>
      </c>
      <c r="AV91" s="5263">
        <v>665</v>
      </c>
      <c r="AW91" s="5263">
        <v>670</v>
      </c>
      <c r="AY91" s="5944"/>
      <c r="AZ91" s="5301" t="s">
        <v>124</v>
      </c>
      <c r="BA91" s="5258">
        <v>52</v>
      </c>
      <c r="BB91" s="5258">
        <v>58</v>
      </c>
      <c r="BC91" s="5258">
        <v>56</v>
      </c>
      <c r="BD91" s="5258">
        <v>43</v>
      </c>
      <c r="BE91" s="5258">
        <v>32</v>
      </c>
      <c r="BF91" s="5258">
        <v>26</v>
      </c>
      <c r="BG91" s="5258">
        <v>32</v>
      </c>
      <c r="BH91" s="5258">
        <v>33</v>
      </c>
      <c r="BI91" s="5258">
        <v>33</v>
      </c>
      <c r="BJ91" s="5258">
        <v>42</v>
      </c>
      <c r="BK91" s="5260">
        <v>31</v>
      </c>
    </row>
    <row r="92" spans="3:63" ht="15.6">
      <c r="C92" s="22"/>
      <c r="AL92" s="5261" t="s">
        <v>39</v>
      </c>
      <c r="AM92" s="5262">
        <v>1062</v>
      </c>
      <c r="AN92" s="5262">
        <v>1100</v>
      </c>
      <c r="AO92" s="5262">
        <v>1080</v>
      </c>
      <c r="AP92" s="5262">
        <v>1046</v>
      </c>
      <c r="AQ92" s="5262">
        <v>1021</v>
      </c>
      <c r="AR92" s="5262">
        <v>989</v>
      </c>
      <c r="AS92" s="5262">
        <v>1039</v>
      </c>
      <c r="AT92" s="5262">
        <v>998</v>
      </c>
      <c r="AU92" s="5262">
        <v>1024</v>
      </c>
      <c r="AV92" s="5263">
        <v>1041</v>
      </c>
      <c r="AW92" s="5263">
        <v>1046</v>
      </c>
      <c r="AY92" s="5944"/>
      <c r="AZ92" s="5301" t="s">
        <v>281</v>
      </c>
      <c r="BA92" s="5258">
        <v>48</v>
      </c>
      <c r="BB92" s="5258">
        <v>58</v>
      </c>
      <c r="BC92" s="5258">
        <v>60</v>
      </c>
      <c r="BD92" s="5258">
        <v>52</v>
      </c>
      <c r="BE92" s="5258">
        <v>47</v>
      </c>
      <c r="BF92" s="5258">
        <v>41</v>
      </c>
      <c r="BG92" s="5258">
        <v>38</v>
      </c>
      <c r="BH92" s="5258">
        <v>36</v>
      </c>
      <c r="BI92" s="5258">
        <v>32</v>
      </c>
      <c r="BJ92" s="5258">
        <v>27</v>
      </c>
      <c r="BK92" s="5260">
        <v>29</v>
      </c>
    </row>
    <row r="93" spans="3:63" ht="15.6">
      <c r="C93" s="22"/>
      <c r="AL93" s="5261" t="s">
        <v>40</v>
      </c>
      <c r="AM93" s="5262">
        <v>194</v>
      </c>
      <c r="AN93" s="5262">
        <v>212</v>
      </c>
      <c r="AO93" s="5262">
        <v>241</v>
      </c>
      <c r="AP93" s="5262">
        <v>272</v>
      </c>
      <c r="AQ93" s="5262">
        <v>289</v>
      </c>
      <c r="AR93" s="5262">
        <v>293</v>
      </c>
      <c r="AS93" s="5262">
        <v>299</v>
      </c>
      <c r="AT93" s="5262">
        <v>300</v>
      </c>
      <c r="AU93" s="5262">
        <v>309</v>
      </c>
      <c r="AV93" s="5263">
        <v>301</v>
      </c>
      <c r="AW93" s="5263">
        <v>290</v>
      </c>
      <c r="AY93" s="5945"/>
      <c r="AZ93" s="5301" t="s">
        <v>795</v>
      </c>
      <c r="BA93" s="5258"/>
      <c r="BB93" s="5258"/>
      <c r="BC93" s="5258"/>
      <c r="BD93" s="5258">
        <v>25</v>
      </c>
      <c r="BE93" s="5258">
        <v>33</v>
      </c>
      <c r="BF93" s="5258">
        <v>44</v>
      </c>
      <c r="BG93" s="5258">
        <v>63</v>
      </c>
      <c r="BH93" s="5258">
        <v>62</v>
      </c>
      <c r="BI93" s="5258">
        <v>57</v>
      </c>
      <c r="BJ93" s="5258">
        <v>73</v>
      </c>
      <c r="BK93" s="5260">
        <v>63</v>
      </c>
    </row>
    <row r="94" spans="3:63" ht="15.6">
      <c r="C94" s="22"/>
      <c r="AL94" s="5274" t="s">
        <v>16</v>
      </c>
      <c r="AM94" s="5275">
        <f t="shared" ref="AM94:AT94" si="17">SUM(AM83:AM93)</f>
        <v>6252</v>
      </c>
      <c r="AN94" s="5275">
        <f t="shared" si="17"/>
        <v>6328</v>
      </c>
      <c r="AO94" s="5275">
        <f t="shared" si="17"/>
        <v>6563</v>
      </c>
      <c r="AP94" s="5275">
        <f t="shared" si="17"/>
        <v>6645</v>
      </c>
      <c r="AQ94" s="5275">
        <f t="shared" si="17"/>
        <v>6604</v>
      </c>
      <c r="AR94" s="5275">
        <f t="shared" si="17"/>
        <v>6597</v>
      </c>
      <c r="AS94" s="5275">
        <f t="shared" si="17"/>
        <v>6656</v>
      </c>
      <c r="AT94" s="5276">
        <f t="shared" si="17"/>
        <v>6580</v>
      </c>
      <c r="AU94" s="5276">
        <v>6658</v>
      </c>
      <c r="AV94" s="5277">
        <f>SUM(AV83:AV93)</f>
        <v>6621</v>
      </c>
      <c r="AW94" s="5277">
        <v>6635</v>
      </c>
      <c r="AY94" s="5943" t="s">
        <v>793</v>
      </c>
      <c r="AZ94" s="5264" t="s">
        <v>120</v>
      </c>
      <c r="BA94" s="5258">
        <v>30</v>
      </c>
      <c r="BB94" s="5258">
        <v>27</v>
      </c>
      <c r="BC94" s="5258">
        <v>19</v>
      </c>
      <c r="BD94" s="5258">
        <v>24</v>
      </c>
      <c r="BE94" s="5258">
        <v>26</v>
      </c>
      <c r="BF94" s="5258">
        <v>27</v>
      </c>
      <c r="BG94" s="5258">
        <v>25</v>
      </c>
      <c r="BH94" s="5258">
        <v>25</v>
      </c>
      <c r="BI94" s="5258">
        <v>33</v>
      </c>
      <c r="BJ94" s="5258">
        <v>34</v>
      </c>
      <c r="BK94" s="5260">
        <v>34</v>
      </c>
    </row>
    <row r="95" spans="3:63" ht="15.6">
      <c r="C95" s="22"/>
      <c r="AL95" s="5254" t="s">
        <v>42</v>
      </c>
      <c r="AM95" s="5255">
        <v>743</v>
      </c>
      <c r="AN95" s="5255">
        <v>787</v>
      </c>
      <c r="AO95" s="5255">
        <v>824</v>
      </c>
      <c r="AP95" s="5255">
        <v>862</v>
      </c>
      <c r="AQ95" s="5255">
        <v>875</v>
      </c>
      <c r="AR95" s="5255">
        <v>856</v>
      </c>
      <c r="AS95" s="5255">
        <v>854</v>
      </c>
      <c r="AT95" s="5255">
        <v>803</v>
      </c>
      <c r="AU95" s="5255">
        <v>750</v>
      </c>
      <c r="AV95" s="5256">
        <v>701</v>
      </c>
      <c r="AW95" s="5256">
        <v>644</v>
      </c>
      <c r="AY95" s="5944"/>
      <c r="AZ95" s="5264" t="s">
        <v>121</v>
      </c>
      <c r="BA95" s="5258">
        <v>51</v>
      </c>
      <c r="BB95" s="5258">
        <v>58</v>
      </c>
      <c r="BC95" s="5258">
        <v>43</v>
      </c>
      <c r="BD95" s="5258">
        <v>62</v>
      </c>
      <c r="BE95" s="5258">
        <v>61</v>
      </c>
      <c r="BF95" s="5258">
        <v>63</v>
      </c>
      <c r="BG95" s="5258">
        <v>61</v>
      </c>
      <c r="BH95" s="5258">
        <v>52</v>
      </c>
      <c r="BI95" s="5258">
        <v>49</v>
      </c>
      <c r="BJ95" s="5258">
        <v>46</v>
      </c>
      <c r="BK95" s="5260">
        <v>48</v>
      </c>
    </row>
    <row r="96" spans="3:63" ht="15.6">
      <c r="C96" s="22"/>
      <c r="AL96" s="5261" t="s">
        <v>43</v>
      </c>
      <c r="AM96" s="5262">
        <v>559</v>
      </c>
      <c r="AN96" s="5262">
        <v>578</v>
      </c>
      <c r="AO96" s="5262">
        <v>600</v>
      </c>
      <c r="AP96" s="5262">
        <v>664</v>
      </c>
      <c r="AQ96" s="5262">
        <v>706</v>
      </c>
      <c r="AR96" s="5262">
        <v>709</v>
      </c>
      <c r="AS96" s="5262">
        <v>728</v>
      </c>
      <c r="AT96" s="5262">
        <v>721</v>
      </c>
      <c r="AU96" s="5262">
        <v>679</v>
      </c>
      <c r="AV96" s="5263">
        <v>631</v>
      </c>
      <c r="AW96" s="5263">
        <v>645</v>
      </c>
      <c r="AY96" s="5944"/>
      <c r="AZ96" s="5264" t="s">
        <v>122</v>
      </c>
      <c r="BA96" s="5258">
        <v>90</v>
      </c>
      <c r="BB96" s="5258">
        <v>93</v>
      </c>
      <c r="BC96" s="5258">
        <v>49</v>
      </c>
      <c r="BD96" s="5258">
        <v>100</v>
      </c>
      <c r="BE96" s="5258">
        <v>104</v>
      </c>
      <c r="BF96" s="5258">
        <v>86</v>
      </c>
      <c r="BG96" s="5258">
        <v>70</v>
      </c>
      <c r="BH96" s="5258">
        <v>63</v>
      </c>
      <c r="BI96" s="5258">
        <v>61</v>
      </c>
      <c r="BJ96" s="5258">
        <v>56</v>
      </c>
      <c r="BK96" s="5260">
        <v>49</v>
      </c>
    </row>
    <row r="97" spans="3:63" ht="15.6">
      <c r="C97" s="22"/>
      <c r="AL97" s="5261" t="s">
        <v>44</v>
      </c>
      <c r="AM97" s="5262">
        <v>352</v>
      </c>
      <c r="AN97" s="5262">
        <v>412</v>
      </c>
      <c r="AO97" s="5262">
        <v>474</v>
      </c>
      <c r="AP97" s="5262">
        <v>532</v>
      </c>
      <c r="AQ97" s="5262">
        <v>536</v>
      </c>
      <c r="AR97" s="5262">
        <v>562</v>
      </c>
      <c r="AS97" s="5262">
        <v>551</v>
      </c>
      <c r="AT97" s="5262">
        <v>553</v>
      </c>
      <c r="AU97" s="5262">
        <v>502</v>
      </c>
      <c r="AV97" s="5263">
        <v>471</v>
      </c>
      <c r="AW97" s="5263">
        <v>449</v>
      </c>
      <c r="AY97" s="5944"/>
      <c r="AZ97" s="5264" t="s">
        <v>123</v>
      </c>
      <c r="BA97" s="5258">
        <v>34</v>
      </c>
      <c r="BB97" s="5258">
        <v>43</v>
      </c>
      <c r="BC97" s="5258">
        <v>40</v>
      </c>
      <c r="BD97" s="5258">
        <v>41</v>
      </c>
      <c r="BE97" s="5258">
        <v>37</v>
      </c>
      <c r="BF97" s="5258">
        <v>41</v>
      </c>
      <c r="BG97" s="5258">
        <v>40</v>
      </c>
      <c r="BH97" s="5258">
        <v>37</v>
      </c>
      <c r="BI97" s="5258">
        <v>43</v>
      </c>
      <c r="BJ97" s="5258">
        <v>42</v>
      </c>
      <c r="BK97" s="5260">
        <v>36</v>
      </c>
    </row>
    <row r="98" spans="3:63" ht="15.6">
      <c r="C98" s="22"/>
      <c r="AL98" s="5261" t="s">
        <v>45</v>
      </c>
      <c r="AM98" s="5262">
        <v>215</v>
      </c>
      <c r="AN98" s="5262">
        <v>251</v>
      </c>
      <c r="AO98" s="5262">
        <v>283</v>
      </c>
      <c r="AP98" s="5262">
        <v>321</v>
      </c>
      <c r="AQ98" s="5262">
        <v>357</v>
      </c>
      <c r="AR98" s="5262">
        <v>363</v>
      </c>
      <c r="AS98" s="5262">
        <v>349</v>
      </c>
      <c r="AT98" s="5262">
        <v>342</v>
      </c>
      <c r="AU98" s="5262">
        <v>321</v>
      </c>
      <c r="AV98" s="5263">
        <v>291</v>
      </c>
      <c r="AW98" s="5263">
        <v>232</v>
      </c>
      <c r="AY98" s="5944"/>
      <c r="AZ98" s="5264" t="s">
        <v>124</v>
      </c>
      <c r="BA98" s="5258">
        <v>21</v>
      </c>
      <c r="BB98" s="5258">
        <v>19</v>
      </c>
      <c r="BC98" s="5258">
        <v>18</v>
      </c>
      <c r="BD98" s="5258">
        <v>27</v>
      </c>
      <c r="BE98" s="5258">
        <v>29</v>
      </c>
      <c r="BF98" s="5258">
        <v>32</v>
      </c>
      <c r="BG98" s="5258">
        <v>29</v>
      </c>
      <c r="BH98" s="5258">
        <v>26</v>
      </c>
      <c r="BI98" s="5258">
        <v>25</v>
      </c>
      <c r="BJ98" s="5258">
        <v>24</v>
      </c>
      <c r="BK98" s="5260">
        <v>22</v>
      </c>
    </row>
    <row r="99" spans="3:63" ht="15.6">
      <c r="C99" s="22"/>
      <c r="AL99" s="5261" t="s">
        <v>270</v>
      </c>
      <c r="AM99" s="5262">
        <v>914</v>
      </c>
      <c r="AN99" s="5262">
        <v>934</v>
      </c>
      <c r="AO99" s="5262">
        <v>1018</v>
      </c>
      <c r="AP99" s="5262">
        <v>1077</v>
      </c>
      <c r="AQ99" s="5262">
        <v>1094</v>
      </c>
      <c r="AR99" s="5262">
        <v>1104</v>
      </c>
      <c r="AS99" s="5262">
        <v>1120</v>
      </c>
      <c r="AT99" s="5262">
        <v>1121</v>
      </c>
      <c r="AU99" s="5262">
        <v>1078</v>
      </c>
      <c r="AV99" s="5263">
        <v>1044</v>
      </c>
      <c r="AW99" s="5263">
        <v>999</v>
      </c>
      <c r="AY99" s="5944"/>
      <c r="AZ99" s="5264" t="s">
        <v>477</v>
      </c>
      <c r="BA99" s="5266"/>
      <c r="BB99" s="5266">
        <v>6</v>
      </c>
      <c r="BC99" s="5266">
        <v>6</v>
      </c>
      <c r="BD99" s="5266">
        <v>24</v>
      </c>
      <c r="BE99" s="5266">
        <v>31</v>
      </c>
      <c r="BF99" s="5266">
        <v>29</v>
      </c>
      <c r="BG99" s="5266">
        <v>30</v>
      </c>
      <c r="BH99" s="5266">
        <v>28</v>
      </c>
      <c r="BI99" s="5266">
        <v>27</v>
      </c>
      <c r="BJ99" s="5266">
        <v>29</v>
      </c>
      <c r="BK99" s="5267">
        <v>24</v>
      </c>
    </row>
    <row r="100" spans="3:63" ht="15.6">
      <c r="C100" s="22"/>
      <c r="AL100" s="5261" t="s">
        <v>271</v>
      </c>
      <c r="AM100" s="5262">
        <v>973</v>
      </c>
      <c r="AN100" s="5262">
        <v>1017</v>
      </c>
      <c r="AO100" s="5262">
        <v>1055</v>
      </c>
      <c r="AP100" s="5262">
        <v>1117</v>
      </c>
      <c r="AQ100" s="5262">
        <v>1118</v>
      </c>
      <c r="AR100" s="5262">
        <v>1101</v>
      </c>
      <c r="AS100" s="5262">
        <v>1041</v>
      </c>
      <c r="AT100" s="5262">
        <v>1009</v>
      </c>
      <c r="AU100" s="5262">
        <v>976</v>
      </c>
      <c r="AV100" s="5263">
        <v>927</v>
      </c>
      <c r="AW100" s="5263">
        <v>860</v>
      </c>
      <c r="AY100" s="5944"/>
      <c r="AZ100" s="5264" t="s">
        <v>2280</v>
      </c>
      <c r="BA100" s="5258">
        <v>8</v>
      </c>
      <c r="BB100" s="5258"/>
      <c r="BC100" s="5258"/>
      <c r="BD100" s="5258"/>
      <c r="BE100" s="5258"/>
      <c r="BF100" s="5258"/>
      <c r="BG100" s="5258"/>
      <c r="BH100" s="5258"/>
      <c r="BI100" s="5258"/>
      <c r="BJ100" s="5258"/>
      <c r="BK100" s="5260"/>
    </row>
    <row r="101" spans="3:63" ht="15.6">
      <c r="C101" s="22"/>
      <c r="AL101" s="5274" t="s">
        <v>41</v>
      </c>
      <c r="AM101" s="5275">
        <f t="shared" ref="AM101:AT101" si="18">SUM(AM95:AM100)</f>
        <v>3756</v>
      </c>
      <c r="AN101" s="5275">
        <f t="shared" si="18"/>
        <v>3979</v>
      </c>
      <c r="AO101" s="5275">
        <f t="shared" si="18"/>
        <v>4254</v>
      </c>
      <c r="AP101" s="5275">
        <f t="shared" si="18"/>
        <v>4573</v>
      </c>
      <c r="AQ101" s="5275">
        <f t="shared" si="18"/>
        <v>4686</v>
      </c>
      <c r="AR101" s="5275">
        <f t="shared" si="18"/>
        <v>4695</v>
      </c>
      <c r="AS101" s="5275">
        <f t="shared" si="18"/>
        <v>4643</v>
      </c>
      <c r="AT101" s="5276">
        <f t="shared" si="18"/>
        <v>4549</v>
      </c>
      <c r="AU101" s="5276">
        <v>4306</v>
      </c>
      <c r="AV101" s="5277">
        <f>SUM(AV95:AV100)</f>
        <v>4065</v>
      </c>
      <c r="AW101" s="5277">
        <v>3829</v>
      </c>
      <c r="AY101" s="5945"/>
      <c r="AZ101" s="5264" t="s">
        <v>795</v>
      </c>
      <c r="BA101" s="5258"/>
      <c r="BB101" s="5258"/>
      <c r="BC101" s="5258"/>
      <c r="BD101" s="5258">
        <v>5</v>
      </c>
      <c r="BE101" s="5258">
        <v>8</v>
      </c>
      <c r="BF101" s="5258">
        <v>10</v>
      </c>
      <c r="BG101" s="5258">
        <v>14</v>
      </c>
      <c r="BH101" s="5258">
        <v>16</v>
      </c>
      <c r="BI101" s="5258">
        <v>21</v>
      </c>
      <c r="BJ101" s="5258">
        <v>20</v>
      </c>
      <c r="BK101" s="5260">
        <v>20</v>
      </c>
    </row>
    <row r="102" spans="3:63" ht="15" customHeight="1">
      <c r="C102" s="22"/>
      <c r="AL102" s="5324" t="s">
        <v>25</v>
      </c>
      <c r="AM102" s="5325">
        <f t="shared" ref="AM102:AT102" si="19">SUM(AM101,AM94,AM82)</f>
        <v>13388</v>
      </c>
      <c r="AN102" s="5325">
        <f t="shared" si="19"/>
        <v>13841</v>
      </c>
      <c r="AO102" s="5326">
        <f t="shared" si="19"/>
        <v>14547</v>
      </c>
      <c r="AP102" s="5326">
        <f t="shared" si="19"/>
        <v>15315</v>
      </c>
      <c r="AQ102" s="5326">
        <f t="shared" si="19"/>
        <v>15582</v>
      </c>
      <c r="AR102" s="5326">
        <f t="shared" si="19"/>
        <v>15677</v>
      </c>
      <c r="AS102" s="5326">
        <f t="shared" si="19"/>
        <v>15778</v>
      </c>
      <c r="AT102" s="5326">
        <f t="shared" si="19"/>
        <v>15486</v>
      </c>
      <c r="AU102" s="5326">
        <v>15301</v>
      </c>
      <c r="AV102" s="5327">
        <f>SUM(AV101,AV94,AV82)</f>
        <v>14991</v>
      </c>
      <c r="AW102" s="5328">
        <v>14606</v>
      </c>
      <c r="AY102" s="5278"/>
      <c r="AZ102" s="5306" t="s">
        <v>4</v>
      </c>
      <c r="BA102" s="5307">
        <f>SUM(BA87:BA100)</f>
        <v>454</v>
      </c>
      <c r="BB102" s="5307">
        <f>SUM(BB87:BB100)</f>
        <v>497</v>
      </c>
      <c r="BC102" s="5307">
        <f>SUM(BC87:BC100)</f>
        <v>520</v>
      </c>
      <c r="BD102" s="5307">
        <f>SUM(BD87:BD101)</f>
        <v>556</v>
      </c>
      <c r="BE102" s="5307">
        <f>SUM(BE87:BE101)</f>
        <v>566</v>
      </c>
      <c r="BF102" s="5307">
        <f>SUM(BF87:BF101)</f>
        <v>568</v>
      </c>
      <c r="BG102" s="5307">
        <f>SUM(BG86:BG101)</f>
        <v>595</v>
      </c>
      <c r="BH102" s="5307">
        <f>SUM(BH86:BH101)</f>
        <v>575</v>
      </c>
      <c r="BI102" s="5307">
        <v>568</v>
      </c>
      <c r="BJ102" s="5308">
        <f>SUM(BJ86:BJ101)</f>
        <v>580</v>
      </c>
      <c r="BK102" s="5309">
        <v>529</v>
      </c>
    </row>
    <row r="103" spans="3:63" ht="15.6">
      <c r="C103" s="22"/>
      <c r="AL103" s="5261" t="s">
        <v>2274</v>
      </c>
      <c r="AM103" s="5262"/>
      <c r="AN103" s="5262">
        <v>60</v>
      </c>
      <c r="AO103" s="5262">
        <v>79</v>
      </c>
      <c r="AP103" s="5262">
        <v>123</v>
      </c>
      <c r="AQ103" s="5262">
        <v>139</v>
      </c>
      <c r="AR103" s="5262">
        <v>173</v>
      </c>
      <c r="AS103" s="5262">
        <v>180</v>
      </c>
      <c r="AT103" s="5262">
        <v>209</v>
      </c>
      <c r="AU103" s="5262">
        <v>214</v>
      </c>
      <c r="AV103" s="5263">
        <v>225</v>
      </c>
      <c r="AW103" s="5263">
        <v>214</v>
      </c>
      <c r="AY103" s="5329" t="s">
        <v>708</v>
      </c>
      <c r="AZ103" s="5330" t="s">
        <v>283</v>
      </c>
      <c r="BA103" s="5284">
        <v>169</v>
      </c>
      <c r="BB103" s="5284">
        <v>153</v>
      </c>
      <c r="BC103" s="5284">
        <v>83</v>
      </c>
      <c r="BD103" s="5284">
        <v>36</v>
      </c>
      <c r="BE103" s="5284">
        <v>44</v>
      </c>
      <c r="BF103" s="5284">
        <v>59</v>
      </c>
      <c r="BG103" s="5284">
        <v>34</v>
      </c>
      <c r="BH103" s="5284">
        <v>61</v>
      </c>
      <c r="BI103" s="5284">
        <v>110</v>
      </c>
      <c r="BJ103" s="5284">
        <v>64</v>
      </c>
      <c r="BK103" s="5285">
        <v>83</v>
      </c>
    </row>
    <row r="104" spans="3:63" ht="15.6">
      <c r="C104" s="22"/>
      <c r="AL104" s="5261" t="s">
        <v>2275</v>
      </c>
      <c r="AM104" s="5262"/>
      <c r="AN104" s="5262"/>
      <c r="AO104" s="5262"/>
      <c r="AP104" s="5262"/>
      <c r="AQ104" s="5262"/>
      <c r="AR104" s="5262"/>
      <c r="AS104" s="5262"/>
      <c r="AT104" s="5262">
        <v>59</v>
      </c>
      <c r="AU104" s="5262">
        <v>92</v>
      </c>
      <c r="AV104" s="5263">
        <v>128</v>
      </c>
      <c r="AW104" s="5263">
        <v>158</v>
      </c>
      <c r="AY104" s="5943" t="s">
        <v>709</v>
      </c>
      <c r="AZ104" s="5264" t="s">
        <v>285</v>
      </c>
      <c r="BA104" s="5258">
        <v>16</v>
      </c>
      <c r="BB104" s="5258">
        <v>4</v>
      </c>
      <c r="BC104" s="5258">
        <v>15</v>
      </c>
      <c r="BD104" s="5258">
        <v>15</v>
      </c>
      <c r="BE104" s="5258">
        <v>4</v>
      </c>
      <c r="BF104" s="5258">
        <v>15</v>
      </c>
      <c r="BG104" s="5258">
        <v>6</v>
      </c>
      <c r="BH104" s="5258">
        <v>12</v>
      </c>
      <c r="BI104" s="5258">
        <v>2</v>
      </c>
      <c r="BJ104" s="5258">
        <v>11</v>
      </c>
      <c r="BK104" s="5260">
        <v>5</v>
      </c>
    </row>
    <row r="105" spans="3:63" ht="15.6">
      <c r="C105" s="22"/>
      <c r="AL105" s="5331" t="s">
        <v>2580</v>
      </c>
      <c r="AM105" s="5332"/>
      <c r="AN105" s="5332"/>
      <c r="AO105" s="5332"/>
      <c r="AP105" s="5332"/>
      <c r="AQ105" s="5332"/>
      <c r="AR105" s="5332"/>
      <c r="AS105" s="5332"/>
      <c r="AT105" s="5333"/>
      <c r="AU105" s="5333">
        <v>28</v>
      </c>
      <c r="AV105" s="5263">
        <v>73</v>
      </c>
      <c r="AW105" s="5263">
        <v>117</v>
      </c>
      <c r="AY105" s="5944"/>
      <c r="AZ105" s="5264" t="s">
        <v>478</v>
      </c>
      <c r="BA105" s="5258">
        <v>1</v>
      </c>
      <c r="BB105" s="5258">
        <v>1</v>
      </c>
      <c r="BC105" s="5258"/>
      <c r="BD105" s="5258"/>
      <c r="BE105" s="5258"/>
      <c r="BF105" s="5258"/>
      <c r="BG105" s="5258"/>
      <c r="BH105" s="5258"/>
      <c r="BI105" s="5258"/>
      <c r="BJ105" s="5258"/>
      <c r="BK105" s="5260"/>
    </row>
    <row r="106" spans="3:63" ht="15.6">
      <c r="C106" s="22"/>
      <c r="AL106" s="5274" t="s">
        <v>4</v>
      </c>
      <c r="AM106" s="5275"/>
      <c r="AN106" s="5275"/>
      <c r="AO106" s="5275"/>
      <c r="AP106" s="5275"/>
      <c r="AQ106" s="5275"/>
      <c r="AR106" s="5275"/>
      <c r="AS106" s="5275"/>
      <c r="AT106" s="5276">
        <f>SUM(AT103:AT104)</f>
        <v>268</v>
      </c>
      <c r="AU106" s="5276">
        <v>334</v>
      </c>
      <c r="AV106" s="5277">
        <f>SUM(AV103:AV105)</f>
        <v>426</v>
      </c>
      <c r="AW106" s="5277">
        <v>489</v>
      </c>
      <c r="AY106" s="5944"/>
      <c r="AZ106" s="5264" t="s">
        <v>479</v>
      </c>
      <c r="BA106" s="5258"/>
      <c r="BB106" s="5258"/>
      <c r="BC106" s="5258"/>
      <c r="BD106" s="5258"/>
      <c r="BE106" s="5258"/>
      <c r="BF106" s="5258"/>
      <c r="BG106" s="5258"/>
      <c r="BH106" s="5258"/>
      <c r="BI106" s="5258"/>
      <c r="BJ106" s="5258"/>
      <c r="BK106" s="5260"/>
    </row>
    <row r="107" spans="3:63" ht="15" customHeight="1">
      <c r="C107" s="22"/>
      <c r="AL107" s="5261" t="s">
        <v>791</v>
      </c>
      <c r="AM107" s="5262"/>
      <c r="AN107" s="5262">
        <v>58</v>
      </c>
      <c r="AO107" s="5262">
        <v>80</v>
      </c>
      <c r="AP107" s="5262">
        <v>120</v>
      </c>
      <c r="AQ107" s="5262">
        <v>140</v>
      </c>
      <c r="AR107" s="5262">
        <v>163</v>
      </c>
      <c r="AS107" s="5262">
        <v>178</v>
      </c>
      <c r="AT107" s="5262">
        <v>212</v>
      </c>
      <c r="AU107" s="5262">
        <v>207</v>
      </c>
      <c r="AV107" s="5263">
        <v>214</v>
      </c>
      <c r="AW107" s="5263">
        <v>249</v>
      </c>
      <c r="AY107" s="5944"/>
      <c r="AZ107" s="5264" t="s">
        <v>286</v>
      </c>
      <c r="BA107" s="5258">
        <v>32</v>
      </c>
      <c r="BB107" s="5258">
        <v>43</v>
      </c>
      <c r="BC107" s="5258">
        <v>32</v>
      </c>
      <c r="BD107" s="5258">
        <v>22</v>
      </c>
      <c r="BE107" s="5258">
        <v>33</v>
      </c>
      <c r="BF107" s="5258">
        <v>46</v>
      </c>
      <c r="BG107" s="5258">
        <v>43</v>
      </c>
      <c r="BH107" s="5258">
        <v>54</v>
      </c>
      <c r="BI107" s="5258">
        <v>21</v>
      </c>
      <c r="BJ107" s="5258">
        <v>44</v>
      </c>
      <c r="BK107" s="5260">
        <v>25</v>
      </c>
    </row>
    <row r="108" spans="3:63" ht="15.6">
      <c r="C108" s="22"/>
      <c r="AL108" s="5261" t="s">
        <v>551</v>
      </c>
      <c r="AM108" s="5262"/>
      <c r="AN108" s="5262"/>
      <c r="AO108" s="5262"/>
      <c r="AP108" s="5262">
        <v>18</v>
      </c>
      <c r="AQ108" s="5262">
        <v>32</v>
      </c>
      <c r="AR108" s="5262">
        <v>50</v>
      </c>
      <c r="AS108" s="5262">
        <v>69</v>
      </c>
      <c r="AT108" s="5262">
        <v>89</v>
      </c>
      <c r="AU108" s="5262">
        <v>107</v>
      </c>
      <c r="AV108" s="5263">
        <v>121</v>
      </c>
      <c r="AW108" s="5263">
        <v>135</v>
      </c>
      <c r="AY108" s="5944"/>
      <c r="AZ108" s="5264" t="s">
        <v>284</v>
      </c>
      <c r="BA108" s="5258">
        <v>191</v>
      </c>
      <c r="BB108" s="5258">
        <v>153</v>
      </c>
      <c r="BC108" s="5258">
        <v>142</v>
      </c>
      <c r="BD108" s="5258">
        <v>101</v>
      </c>
      <c r="BE108" s="5258">
        <v>131</v>
      </c>
      <c r="BF108" s="5258">
        <v>82</v>
      </c>
      <c r="BG108" s="5258">
        <v>111</v>
      </c>
      <c r="BH108" s="5258">
        <v>61</v>
      </c>
      <c r="BI108" s="5258">
        <v>103</v>
      </c>
      <c r="BJ108" s="5258">
        <v>80</v>
      </c>
      <c r="BK108" s="5260">
        <v>74</v>
      </c>
    </row>
    <row r="109" spans="3:63" ht="15.6">
      <c r="C109" s="22"/>
      <c r="AL109" s="5331" t="s">
        <v>2581</v>
      </c>
      <c r="AM109" s="5332"/>
      <c r="AN109" s="5332"/>
      <c r="AO109" s="5332"/>
      <c r="AP109" s="5332"/>
      <c r="AQ109" s="5332"/>
      <c r="AR109" s="5332"/>
      <c r="AS109" s="5332"/>
      <c r="AT109" s="5333"/>
      <c r="AU109" s="5333">
        <v>57</v>
      </c>
      <c r="AV109" s="5263">
        <v>76</v>
      </c>
      <c r="AW109" s="5263">
        <v>113</v>
      </c>
      <c r="AY109" s="5944"/>
      <c r="AZ109" s="5264" t="s">
        <v>287</v>
      </c>
      <c r="BA109" s="5258">
        <v>58</v>
      </c>
      <c r="BB109" s="5258">
        <v>44</v>
      </c>
      <c r="BC109" s="5258">
        <v>52</v>
      </c>
      <c r="BD109" s="5258">
        <v>30</v>
      </c>
      <c r="BE109" s="5258">
        <v>36</v>
      </c>
      <c r="BF109" s="5258">
        <v>25</v>
      </c>
      <c r="BG109" s="5258">
        <v>32</v>
      </c>
      <c r="BH109" s="5258">
        <v>19</v>
      </c>
      <c r="BI109" s="5258">
        <v>28</v>
      </c>
      <c r="BJ109" s="5258">
        <v>19</v>
      </c>
      <c r="BK109" s="5260">
        <v>22</v>
      </c>
    </row>
    <row r="110" spans="3:63" ht="15.6">
      <c r="C110" s="22"/>
      <c r="AL110" s="5274" t="s">
        <v>16</v>
      </c>
      <c r="AM110" s="5275"/>
      <c r="AN110" s="5275">
        <f t="shared" ref="AN110:AT110" si="20">SUM(AN107:AN108)</f>
        <v>58</v>
      </c>
      <c r="AO110" s="5275">
        <f t="shared" si="20"/>
        <v>80</v>
      </c>
      <c r="AP110" s="5275">
        <f t="shared" si="20"/>
        <v>138</v>
      </c>
      <c r="AQ110" s="5275">
        <f t="shared" si="20"/>
        <v>172</v>
      </c>
      <c r="AR110" s="5275">
        <f t="shared" si="20"/>
        <v>213</v>
      </c>
      <c r="AS110" s="5275">
        <f t="shared" si="20"/>
        <v>247</v>
      </c>
      <c r="AT110" s="5276">
        <f t="shared" si="20"/>
        <v>301</v>
      </c>
      <c r="AU110" s="5276">
        <v>371</v>
      </c>
      <c r="AV110" s="5277">
        <f>SUM(AV107:AV109)</f>
        <v>411</v>
      </c>
      <c r="AW110" s="5277">
        <v>497</v>
      </c>
      <c r="AY110" s="5944"/>
      <c r="AZ110" s="5257" t="s">
        <v>276</v>
      </c>
      <c r="BA110" s="5258">
        <v>24</v>
      </c>
      <c r="BB110" s="5258">
        <v>29</v>
      </c>
      <c r="BC110" s="5258">
        <v>28</v>
      </c>
      <c r="BD110" s="5258">
        <v>40</v>
      </c>
      <c r="BE110" s="5258">
        <v>34</v>
      </c>
      <c r="BF110" s="5258">
        <v>23</v>
      </c>
      <c r="BG110" s="5258">
        <v>22</v>
      </c>
      <c r="BH110" s="5258">
        <v>24</v>
      </c>
      <c r="BI110" s="5258">
        <v>4</v>
      </c>
      <c r="BJ110" s="5258"/>
      <c r="BK110" s="5260"/>
    </row>
    <row r="111" spans="3:63" ht="15.6">
      <c r="C111" s="22"/>
      <c r="AL111" s="5261" t="s">
        <v>792</v>
      </c>
      <c r="AM111" s="5262"/>
      <c r="AN111" s="5262">
        <v>55</v>
      </c>
      <c r="AO111" s="5262">
        <v>69</v>
      </c>
      <c r="AP111" s="5262">
        <v>116</v>
      </c>
      <c r="AQ111" s="5262">
        <v>147</v>
      </c>
      <c r="AR111" s="5262">
        <v>208</v>
      </c>
      <c r="AS111" s="5262">
        <v>247</v>
      </c>
      <c r="AT111" s="5262">
        <v>268</v>
      </c>
      <c r="AU111" s="5262">
        <v>244</v>
      </c>
      <c r="AV111" s="5263">
        <v>244</v>
      </c>
      <c r="AW111" s="5263">
        <v>259</v>
      </c>
      <c r="AY111" s="5944"/>
      <c r="AZ111" s="5296" t="s">
        <v>2278</v>
      </c>
      <c r="BA111" s="5258"/>
      <c r="BB111" s="5258"/>
      <c r="BC111" s="5258"/>
      <c r="BD111" s="5258"/>
      <c r="BE111" s="5258"/>
      <c r="BF111" s="5258"/>
      <c r="BG111" s="5258"/>
      <c r="BH111" s="5258">
        <v>10</v>
      </c>
      <c r="BI111" s="5258">
        <v>3</v>
      </c>
      <c r="BJ111" s="5258">
        <v>19</v>
      </c>
      <c r="BK111" s="5260">
        <v>13</v>
      </c>
    </row>
    <row r="112" spans="3:63" ht="15.6">
      <c r="C112" s="22"/>
      <c r="AL112" s="5261" t="s">
        <v>2276</v>
      </c>
      <c r="AM112" s="5262"/>
      <c r="AN112" s="5262"/>
      <c r="AO112" s="5262"/>
      <c r="AP112" s="5262"/>
      <c r="AQ112" s="5262"/>
      <c r="AR112" s="5262"/>
      <c r="AS112" s="5262"/>
      <c r="AT112" s="5262">
        <v>31</v>
      </c>
      <c r="AU112" s="5262">
        <v>68</v>
      </c>
      <c r="AV112" s="5263">
        <v>99</v>
      </c>
      <c r="AW112" s="5263">
        <v>131</v>
      </c>
      <c r="AY112" s="5945"/>
      <c r="AZ112" s="5296" t="s">
        <v>2281</v>
      </c>
      <c r="BA112" s="5258"/>
      <c r="BB112" s="5258"/>
      <c r="BC112" s="5258"/>
      <c r="BD112" s="5258"/>
      <c r="BE112" s="5258"/>
      <c r="BF112" s="5258"/>
      <c r="BG112" s="5258"/>
      <c r="BH112" s="5258">
        <v>9</v>
      </c>
      <c r="BI112" s="5258">
        <v>9</v>
      </c>
      <c r="BJ112" s="5258">
        <v>18</v>
      </c>
      <c r="BK112" s="5260">
        <v>12</v>
      </c>
    </row>
    <row r="113" spans="3:63" ht="15.6">
      <c r="C113" s="22"/>
      <c r="AL113" s="5331" t="s">
        <v>2582</v>
      </c>
      <c r="AM113" s="5332"/>
      <c r="AN113" s="5332"/>
      <c r="AO113" s="5332"/>
      <c r="AP113" s="5332"/>
      <c r="AQ113" s="5332"/>
      <c r="AR113" s="5332"/>
      <c r="AS113" s="5332"/>
      <c r="AT113" s="5333"/>
      <c r="AU113" s="5333">
        <v>28</v>
      </c>
      <c r="AV113" s="5263">
        <v>69</v>
      </c>
      <c r="AW113" s="5263">
        <v>99</v>
      </c>
      <c r="AY113" s="5943" t="s">
        <v>793</v>
      </c>
      <c r="AZ113" s="5264" t="s">
        <v>289</v>
      </c>
      <c r="BA113" s="5258">
        <v>79</v>
      </c>
      <c r="BB113" s="5258">
        <v>76</v>
      </c>
      <c r="BC113" s="5258">
        <v>71</v>
      </c>
      <c r="BD113" s="5258">
        <v>69</v>
      </c>
      <c r="BE113" s="5258">
        <v>76</v>
      </c>
      <c r="BF113" s="5258">
        <v>63</v>
      </c>
      <c r="BG113" s="5258">
        <v>76</v>
      </c>
      <c r="BH113" s="5258">
        <v>51</v>
      </c>
      <c r="BI113" s="5258">
        <v>62</v>
      </c>
      <c r="BJ113" s="5258">
        <v>57</v>
      </c>
      <c r="BK113" s="5260">
        <v>49</v>
      </c>
    </row>
    <row r="114" spans="3:63" ht="15.6">
      <c r="C114" s="22"/>
      <c r="AL114" s="5274" t="s">
        <v>41</v>
      </c>
      <c r="AM114" s="5275"/>
      <c r="AN114" s="5275"/>
      <c r="AO114" s="5275"/>
      <c r="AP114" s="5275"/>
      <c r="AQ114" s="5275"/>
      <c r="AR114" s="5275"/>
      <c r="AS114" s="5275"/>
      <c r="AT114" s="5276">
        <f>SUM(AT111:AT112)</f>
        <v>299</v>
      </c>
      <c r="AU114" s="5276">
        <v>340</v>
      </c>
      <c r="AV114" s="5277">
        <f>SUM(AV111:AV113)</f>
        <v>412</v>
      </c>
      <c r="AW114" s="5277">
        <v>489</v>
      </c>
      <c r="AY114" s="5944"/>
      <c r="AZ114" s="5264" t="s">
        <v>290</v>
      </c>
      <c r="BA114" s="5258">
        <v>77</v>
      </c>
      <c r="BB114" s="5258">
        <v>84</v>
      </c>
      <c r="BC114" s="5258">
        <v>81</v>
      </c>
      <c r="BD114" s="5258">
        <v>77</v>
      </c>
      <c r="BE114" s="5258">
        <v>73</v>
      </c>
      <c r="BF114" s="5258">
        <v>53</v>
      </c>
      <c r="BG114" s="5258">
        <v>57</v>
      </c>
      <c r="BH114" s="5258">
        <v>47</v>
      </c>
      <c r="BI114" s="5258">
        <v>59</v>
      </c>
      <c r="BJ114" s="5258">
        <v>49</v>
      </c>
      <c r="BK114" s="5260">
        <v>61</v>
      </c>
    </row>
    <row r="115" spans="3:63">
      <c r="AL115" s="5334" t="s">
        <v>244</v>
      </c>
      <c r="AM115" s="5335"/>
      <c r="AN115" s="5336">
        <f t="shared" ref="AN115:AS115" si="21">SUM(AN103,AN110,AN111)</f>
        <v>173</v>
      </c>
      <c r="AO115" s="5336">
        <f t="shared" si="21"/>
        <v>228</v>
      </c>
      <c r="AP115" s="5336">
        <f t="shared" si="21"/>
        <v>377</v>
      </c>
      <c r="AQ115" s="5336">
        <f t="shared" si="21"/>
        <v>458</v>
      </c>
      <c r="AR115" s="5336">
        <f t="shared" si="21"/>
        <v>594</v>
      </c>
      <c r="AS115" s="5336">
        <f t="shared" si="21"/>
        <v>674</v>
      </c>
      <c r="AT115" s="5336">
        <f>SUM(AT106,AT110,AT114)</f>
        <v>868</v>
      </c>
      <c r="AU115" s="5336">
        <v>1045</v>
      </c>
      <c r="AV115" s="5337">
        <f>SUM(AV106,AV110,AV114)</f>
        <v>1249</v>
      </c>
      <c r="AW115" s="5338">
        <v>1475</v>
      </c>
      <c r="AY115" s="5944"/>
      <c r="AZ115" s="5264" t="s">
        <v>288</v>
      </c>
      <c r="BA115" s="5258">
        <v>121</v>
      </c>
      <c r="BB115" s="5258">
        <v>137</v>
      </c>
      <c r="BC115" s="5258">
        <v>142</v>
      </c>
      <c r="BD115" s="5258">
        <v>139</v>
      </c>
      <c r="BE115" s="5258">
        <v>140</v>
      </c>
      <c r="BF115" s="5258">
        <v>135</v>
      </c>
      <c r="BG115" s="5258">
        <v>136</v>
      </c>
      <c r="BH115" s="5258">
        <v>129</v>
      </c>
      <c r="BI115" s="5258">
        <v>129</v>
      </c>
      <c r="BJ115" s="5258">
        <v>133</v>
      </c>
      <c r="BK115" s="5260">
        <v>116</v>
      </c>
    </row>
    <row r="116" spans="3:63">
      <c r="AL116" s="5297" t="s">
        <v>17</v>
      </c>
      <c r="AM116" s="5298">
        <v>982</v>
      </c>
      <c r="AN116" s="5298">
        <v>995</v>
      </c>
      <c r="AO116" s="5255">
        <v>1010</v>
      </c>
      <c r="AP116" s="5255">
        <v>1019</v>
      </c>
      <c r="AQ116" s="5255">
        <v>1000</v>
      </c>
      <c r="AR116" s="5255">
        <v>1018</v>
      </c>
      <c r="AS116" s="5255">
        <v>1028</v>
      </c>
      <c r="AT116" s="5255">
        <v>1054</v>
      </c>
      <c r="AU116" s="5255">
        <v>1055</v>
      </c>
      <c r="AV116" s="5256">
        <v>1046</v>
      </c>
      <c r="AW116" s="5256">
        <v>1056</v>
      </c>
      <c r="AY116" s="5944"/>
      <c r="AZ116" s="5264" t="s">
        <v>291</v>
      </c>
      <c r="BA116" s="5258">
        <v>64</v>
      </c>
      <c r="BB116" s="5258">
        <v>53</v>
      </c>
      <c r="BC116" s="5258">
        <v>67</v>
      </c>
      <c r="BD116" s="5258">
        <v>52</v>
      </c>
      <c r="BE116" s="5258">
        <v>71</v>
      </c>
      <c r="BF116" s="5258">
        <v>60</v>
      </c>
      <c r="BG116" s="5258">
        <v>74</v>
      </c>
      <c r="BH116" s="5258">
        <v>49</v>
      </c>
      <c r="BI116" s="5258">
        <v>64</v>
      </c>
      <c r="BJ116" s="5258">
        <v>43</v>
      </c>
      <c r="BK116" s="5260">
        <v>56</v>
      </c>
    </row>
    <row r="117" spans="3:63">
      <c r="AL117" s="5261" t="s">
        <v>49</v>
      </c>
      <c r="AM117" s="5262">
        <v>1119</v>
      </c>
      <c r="AN117" s="5262">
        <v>1079</v>
      </c>
      <c r="AO117" s="5262">
        <v>1073</v>
      </c>
      <c r="AP117" s="5262">
        <v>1091</v>
      </c>
      <c r="AQ117" s="5262">
        <v>1081</v>
      </c>
      <c r="AR117" s="5262">
        <v>1085</v>
      </c>
      <c r="AS117" s="5262">
        <v>1085</v>
      </c>
      <c r="AT117" s="5262">
        <v>1106</v>
      </c>
      <c r="AU117" s="5262">
        <v>1113</v>
      </c>
      <c r="AV117" s="5263">
        <v>1154</v>
      </c>
      <c r="AW117" s="5263">
        <v>1175</v>
      </c>
      <c r="AY117" s="5944"/>
      <c r="AZ117" s="5257" t="s">
        <v>280</v>
      </c>
      <c r="BA117" s="5258">
        <v>34</v>
      </c>
      <c r="BB117" s="5258">
        <v>48</v>
      </c>
      <c r="BC117" s="5258">
        <v>56</v>
      </c>
      <c r="BD117" s="5258">
        <v>68</v>
      </c>
      <c r="BE117" s="5258">
        <v>72</v>
      </c>
      <c r="BF117" s="5258">
        <v>79</v>
      </c>
      <c r="BG117" s="5258">
        <v>83</v>
      </c>
      <c r="BH117" s="5258">
        <v>75</v>
      </c>
      <c r="BI117" s="5258">
        <v>12</v>
      </c>
      <c r="BJ117" s="5258">
        <v>49</v>
      </c>
      <c r="BK117" s="5260">
        <v>43</v>
      </c>
    </row>
    <row r="118" spans="3:63">
      <c r="AL118" s="5261" t="s">
        <v>19</v>
      </c>
      <c r="AM118" s="5262">
        <v>940</v>
      </c>
      <c r="AN118" s="5262">
        <v>882</v>
      </c>
      <c r="AO118" s="5262">
        <v>918</v>
      </c>
      <c r="AP118" s="5262">
        <v>968</v>
      </c>
      <c r="AQ118" s="5262">
        <v>991</v>
      </c>
      <c r="AR118" s="5262">
        <v>1013</v>
      </c>
      <c r="AS118" s="5262">
        <v>1014</v>
      </c>
      <c r="AT118" s="5262">
        <v>1009</v>
      </c>
      <c r="AU118" s="5262">
        <v>1069</v>
      </c>
      <c r="AV118" s="5263">
        <v>1064</v>
      </c>
      <c r="AW118" s="5263">
        <v>1089</v>
      </c>
      <c r="AY118" s="5944"/>
      <c r="AZ118" s="5296" t="s">
        <v>2278</v>
      </c>
      <c r="BA118" s="5258"/>
      <c r="BB118" s="5258"/>
      <c r="BC118" s="5258"/>
      <c r="BD118" s="5258"/>
      <c r="BE118" s="5258"/>
      <c r="BF118" s="5258"/>
      <c r="BG118" s="5258"/>
      <c r="BH118" s="5258">
        <v>7</v>
      </c>
      <c r="BI118" s="5258">
        <v>14</v>
      </c>
      <c r="BJ118" s="5258">
        <v>15</v>
      </c>
      <c r="BK118" s="5260">
        <v>17</v>
      </c>
    </row>
    <row r="119" spans="3:63">
      <c r="AL119" s="5261" t="s">
        <v>50</v>
      </c>
      <c r="AM119" s="5262">
        <v>1851</v>
      </c>
      <c r="AN119" s="5262">
        <v>1824</v>
      </c>
      <c r="AO119" s="5262">
        <v>1843</v>
      </c>
      <c r="AP119" s="5262">
        <v>1863</v>
      </c>
      <c r="AQ119" s="5262">
        <v>1787</v>
      </c>
      <c r="AR119" s="5262">
        <v>1738</v>
      </c>
      <c r="AS119" s="5262">
        <v>1721</v>
      </c>
      <c r="AT119" s="5262">
        <v>1685</v>
      </c>
      <c r="AU119" s="5262">
        <v>1676</v>
      </c>
      <c r="AV119" s="5263">
        <v>1699</v>
      </c>
      <c r="AW119" s="5263">
        <v>1724</v>
      </c>
      <c r="AY119" s="5945"/>
      <c r="AZ119" s="5296" t="s">
        <v>2281</v>
      </c>
      <c r="BA119" s="5258"/>
      <c r="BB119" s="5258"/>
      <c r="BC119" s="5258"/>
      <c r="BD119" s="5258"/>
      <c r="BE119" s="5258"/>
      <c r="BF119" s="5258"/>
      <c r="BG119" s="5258"/>
      <c r="BH119" s="5258">
        <v>3</v>
      </c>
      <c r="BI119" s="5258">
        <v>3</v>
      </c>
      <c r="BJ119" s="5258">
        <v>11</v>
      </c>
      <c r="BK119" s="5260">
        <v>14</v>
      </c>
    </row>
    <row r="120" spans="3:63">
      <c r="AL120" s="5261" t="s">
        <v>20</v>
      </c>
      <c r="AM120" s="5262">
        <v>894</v>
      </c>
      <c r="AN120" s="5262">
        <v>917</v>
      </c>
      <c r="AO120" s="5262">
        <v>927</v>
      </c>
      <c r="AP120" s="5262">
        <v>936</v>
      </c>
      <c r="AQ120" s="5262">
        <v>902</v>
      </c>
      <c r="AR120" s="5262">
        <v>909</v>
      </c>
      <c r="AS120" s="5262">
        <v>884</v>
      </c>
      <c r="AT120" s="5262">
        <v>891</v>
      </c>
      <c r="AU120" s="5262">
        <v>922</v>
      </c>
      <c r="AV120" s="5263">
        <v>954</v>
      </c>
      <c r="AW120" s="5263">
        <v>999</v>
      </c>
      <c r="AY120" s="5278"/>
      <c r="AZ120" s="5316" t="s">
        <v>16</v>
      </c>
      <c r="BA120" s="5307">
        <f t="shared" ref="BA120:BG120" si="22">SUM(BA103:BA117)</f>
        <v>866</v>
      </c>
      <c r="BB120" s="5307">
        <f t="shared" si="22"/>
        <v>825</v>
      </c>
      <c r="BC120" s="5307">
        <f t="shared" si="22"/>
        <v>769</v>
      </c>
      <c r="BD120" s="5307">
        <f t="shared" si="22"/>
        <v>649</v>
      </c>
      <c r="BE120" s="5307">
        <f t="shared" si="22"/>
        <v>714</v>
      </c>
      <c r="BF120" s="5307">
        <f t="shared" si="22"/>
        <v>640</v>
      </c>
      <c r="BG120" s="5307">
        <f t="shared" si="22"/>
        <v>674</v>
      </c>
      <c r="BH120" s="5307">
        <f>SUM(BH103:BH119)</f>
        <v>611</v>
      </c>
      <c r="BI120" s="5307">
        <v>623</v>
      </c>
      <c r="BJ120" s="5308">
        <f>SUM(BJ103:BJ119)</f>
        <v>612</v>
      </c>
      <c r="BK120" s="5309">
        <v>590</v>
      </c>
    </row>
    <row r="121" spans="3:63">
      <c r="AL121" s="5269" t="s">
        <v>51</v>
      </c>
      <c r="AM121" s="5270">
        <v>352</v>
      </c>
      <c r="AN121" s="5270">
        <v>359</v>
      </c>
      <c r="AO121" s="5270">
        <v>355</v>
      </c>
      <c r="AP121" s="5270">
        <v>360</v>
      </c>
      <c r="AQ121" s="5270">
        <v>387</v>
      </c>
      <c r="AR121" s="5270">
        <v>430</v>
      </c>
      <c r="AS121" s="5270">
        <v>500</v>
      </c>
      <c r="AT121" s="5270">
        <v>535</v>
      </c>
      <c r="AU121" s="5270">
        <v>558</v>
      </c>
      <c r="AV121" s="5263">
        <v>599</v>
      </c>
      <c r="AW121" s="5263">
        <v>622</v>
      </c>
      <c r="AY121" s="5943" t="s">
        <v>708</v>
      </c>
      <c r="AZ121" s="5283" t="s">
        <v>292</v>
      </c>
      <c r="BA121" s="5287">
        <v>40</v>
      </c>
      <c r="BB121" s="5287">
        <v>43</v>
      </c>
      <c r="BC121" s="5287">
        <v>42</v>
      </c>
      <c r="BD121" s="5287">
        <v>35</v>
      </c>
      <c r="BE121" s="5287">
        <v>28</v>
      </c>
      <c r="BF121" s="5287">
        <v>34</v>
      </c>
      <c r="BG121" s="5287">
        <v>29</v>
      </c>
      <c r="BH121" s="5287">
        <v>24</v>
      </c>
      <c r="BI121" s="5287">
        <v>17</v>
      </c>
      <c r="BJ121" s="5287">
        <v>13</v>
      </c>
      <c r="BK121" s="5288">
        <v>12</v>
      </c>
    </row>
    <row r="122" spans="3:63">
      <c r="AL122" s="5274" t="s">
        <v>16</v>
      </c>
      <c r="AM122" s="5275">
        <f t="shared" ref="AM122:AT122" si="23">SUM(AM116:AM121)</f>
        <v>6138</v>
      </c>
      <c r="AN122" s="5275">
        <f t="shared" si="23"/>
        <v>6056</v>
      </c>
      <c r="AO122" s="5275">
        <f t="shared" si="23"/>
        <v>6126</v>
      </c>
      <c r="AP122" s="5275">
        <f t="shared" si="23"/>
        <v>6237</v>
      </c>
      <c r="AQ122" s="5275">
        <f t="shared" si="23"/>
        <v>6148</v>
      </c>
      <c r="AR122" s="5275">
        <f t="shared" si="23"/>
        <v>6193</v>
      </c>
      <c r="AS122" s="5275">
        <f t="shared" si="23"/>
        <v>6232</v>
      </c>
      <c r="AT122" s="5276">
        <f t="shared" si="23"/>
        <v>6280</v>
      </c>
      <c r="AU122" s="5276">
        <v>6393</v>
      </c>
      <c r="AV122" s="5277">
        <f>SUM(AV116:AV121)</f>
        <v>6516</v>
      </c>
      <c r="AW122" s="5277">
        <v>6665</v>
      </c>
      <c r="AY122" s="5944"/>
      <c r="AZ122" s="5257" t="s">
        <v>293</v>
      </c>
      <c r="BA122" s="5258">
        <v>23</v>
      </c>
      <c r="BB122" s="5258">
        <v>23</v>
      </c>
      <c r="BC122" s="5258">
        <v>23</v>
      </c>
      <c r="BD122" s="5258">
        <v>28</v>
      </c>
      <c r="BE122" s="5258">
        <v>27</v>
      </c>
      <c r="BF122" s="5258">
        <v>17</v>
      </c>
      <c r="BG122" s="5258">
        <v>13</v>
      </c>
      <c r="BH122" s="5258">
        <v>13</v>
      </c>
      <c r="BI122" s="5258">
        <v>13</v>
      </c>
      <c r="BJ122" s="5258">
        <v>11</v>
      </c>
      <c r="BK122" s="5260">
        <v>9</v>
      </c>
    </row>
    <row r="123" spans="3:63">
      <c r="AL123" s="5254" t="s">
        <v>42</v>
      </c>
      <c r="AM123" s="5255">
        <v>933</v>
      </c>
      <c r="AN123" s="5255">
        <v>918</v>
      </c>
      <c r="AO123" s="5255">
        <v>922</v>
      </c>
      <c r="AP123" s="5255">
        <v>928</v>
      </c>
      <c r="AQ123" s="5255">
        <v>931</v>
      </c>
      <c r="AR123" s="5255">
        <v>923</v>
      </c>
      <c r="AS123" s="5255">
        <v>971</v>
      </c>
      <c r="AT123" s="5255">
        <v>1004</v>
      </c>
      <c r="AU123" s="5255">
        <v>992</v>
      </c>
      <c r="AV123" s="5256">
        <v>991</v>
      </c>
      <c r="AW123" s="5256">
        <v>1028</v>
      </c>
      <c r="AY123" s="5302"/>
      <c r="AZ123" s="5301" t="s">
        <v>1817</v>
      </c>
      <c r="BA123" s="5258"/>
      <c r="BB123" s="5258"/>
      <c r="BC123" s="5258"/>
      <c r="BD123" s="5258"/>
      <c r="BE123" s="5258"/>
      <c r="BF123" s="5258"/>
      <c r="BG123" s="5258">
        <v>1</v>
      </c>
      <c r="BH123" s="5258"/>
      <c r="BI123" s="5258"/>
      <c r="BJ123" s="5258"/>
      <c r="BK123" s="5260"/>
    </row>
    <row r="124" spans="3:63">
      <c r="AL124" s="5261" t="s">
        <v>52</v>
      </c>
      <c r="AM124" s="5262">
        <v>714</v>
      </c>
      <c r="AN124" s="5262">
        <v>707</v>
      </c>
      <c r="AO124" s="5262">
        <v>704</v>
      </c>
      <c r="AP124" s="5262">
        <v>659</v>
      </c>
      <c r="AQ124" s="5262">
        <v>619</v>
      </c>
      <c r="AR124" s="5262">
        <v>591</v>
      </c>
      <c r="AS124" s="5262">
        <v>589</v>
      </c>
      <c r="AT124" s="5262">
        <v>604</v>
      </c>
      <c r="AU124" s="5262">
        <v>616</v>
      </c>
      <c r="AV124" s="5263">
        <v>618</v>
      </c>
      <c r="AW124" s="5263">
        <v>623</v>
      </c>
      <c r="AY124" s="5943" t="s">
        <v>709</v>
      </c>
      <c r="AZ124" s="5264" t="s">
        <v>129</v>
      </c>
      <c r="BA124" s="5258">
        <v>59</v>
      </c>
      <c r="BB124" s="5258">
        <v>53</v>
      </c>
      <c r="BC124" s="5258">
        <v>56</v>
      </c>
      <c r="BD124" s="5258">
        <v>62</v>
      </c>
      <c r="BE124" s="5258">
        <v>69</v>
      </c>
      <c r="BF124" s="5258">
        <v>65</v>
      </c>
      <c r="BG124" s="5258">
        <v>52</v>
      </c>
      <c r="BH124" s="5258">
        <v>41</v>
      </c>
      <c r="BI124" s="5258">
        <v>43</v>
      </c>
      <c r="BJ124" s="5258">
        <v>34</v>
      </c>
      <c r="BK124" s="5260">
        <v>31</v>
      </c>
    </row>
    <row r="125" spans="3:63">
      <c r="AL125" s="5261" t="s">
        <v>53</v>
      </c>
      <c r="AM125" s="5262">
        <v>903</v>
      </c>
      <c r="AN125" s="5262">
        <v>857</v>
      </c>
      <c r="AO125" s="5262">
        <v>844</v>
      </c>
      <c r="AP125" s="5262">
        <v>842</v>
      </c>
      <c r="AQ125" s="5262">
        <v>874</v>
      </c>
      <c r="AR125" s="5262">
        <v>888</v>
      </c>
      <c r="AS125" s="5262">
        <v>920</v>
      </c>
      <c r="AT125" s="5262">
        <v>948</v>
      </c>
      <c r="AU125" s="5262">
        <v>979</v>
      </c>
      <c r="AV125" s="5263">
        <v>953</v>
      </c>
      <c r="AW125" s="5263">
        <v>976</v>
      </c>
      <c r="AY125" s="5944"/>
      <c r="AZ125" s="5257" t="s">
        <v>480</v>
      </c>
      <c r="BA125" s="5258">
        <v>1</v>
      </c>
      <c r="BB125" s="5258"/>
      <c r="BC125" s="5258">
        <v>16</v>
      </c>
      <c r="BD125" s="5258">
        <v>26</v>
      </c>
      <c r="BE125" s="5258">
        <v>41</v>
      </c>
      <c r="BF125" s="5258">
        <v>41</v>
      </c>
      <c r="BG125" s="5258">
        <v>47</v>
      </c>
      <c r="BH125" s="5258">
        <v>51</v>
      </c>
      <c r="BI125" s="5258">
        <v>54</v>
      </c>
      <c r="BJ125" s="5258">
        <v>49</v>
      </c>
      <c r="BK125" s="5260">
        <v>35</v>
      </c>
    </row>
    <row r="126" spans="3:63">
      <c r="AL126" s="5261" t="s">
        <v>54</v>
      </c>
      <c r="AM126" s="5262">
        <v>1284</v>
      </c>
      <c r="AN126" s="5262">
        <v>1263</v>
      </c>
      <c r="AO126" s="5262">
        <v>1241</v>
      </c>
      <c r="AP126" s="5262">
        <v>1239</v>
      </c>
      <c r="AQ126" s="5262">
        <v>1243</v>
      </c>
      <c r="AR126" s="5262">
        <v>1318</v>
      </c>
      <c r="AS126" s="5262">
        <v>1366</v>
      </c>
      <c r="AT126" s="5262">
        <v>1456</v>
      </c>
      <c r="AU126" s="5262">
        <v>1488</v>
      </c>
      <c r="AV126" s="5263">
        <v>1509</v>
      </c>
      <c r="AW126" s="5263">
        <v>1529</v>
      </c>
      <c r="AY126" s="5944"/>
      <c r="AZ126" s="5264" t="s">
        <v>130</v>
      </c>
      <c r="BA126" s="5258">
        <v>63</v>
      </c>
      <c r="BB126" s="5258">
        <v>71</v>
      </c>
      <c r="BC126" s="5258">
        <v>71</v>
      </c>
      <c r="BD126" s="5258">
        <v>62</v>
      </c>
      <c r="BE126" s="5258">
        <v>55</v>
      </c>
      <c r="BF126" s="5258">
        <v>48</v>
      </c>
      <c r="BG126" s="5258">
        <v>46</v>
      </c>
      <c r="BH126" s="5258">
        <v>38</v>
      </c>
      <c r="BI126" s="5258">
        <v>39</v>
      </c>
      <c r="BJ126" s="5258">
        <v>39</v>
      </c>
      <c r="BK126" s="5260">
        <v>41</v>
      </c>
    </row>
    <row r="127" spans="3:63">
      <c r="AL127" s="5261" t="s">
        <v>55</v>
      </c>
      <c r="AM127" s="5262">
        <v>1237</v>
      </c>
      <c r="AN127" s="5262">
        <v>1182</v>
      </c>
      <c r="AO127" s="5262">
        <v>1158</v>
      </c>
      <c r="AP127" s="5262">
        <v>1201</v>
      </c>
      <c r="AQ127" s="5262">
        <v>1254</v>
      </c>
      <c r="AR127" s="5262">
        <v>1262</v>
      </c>
      <c r="AS127" s="5262">
        <v>1297</v>
      </c>
      <c r="AT127" s="5262">
        <v>1314</v>
      </c>
      <c r="AU127" s="5262">
        <v>1407</v>
      </c>
      <c r="AV127" s="5263">
        <v>1468</v>
      </c>
      <c r="AW127" s="5263">
        <v>1489</v>
      </c>
      <c r="AY127" s="5945"/>
      <c r="AZ127" s="5257" t="s">
        <v>295</v>
      </c>
      <c r="BA127" s="5258">
        <v>58</v>
      </c>
      <c r="BB127" s="5258">
        <v>74</v>
      </c>
      <c r="BC127" s="5258">
        <v>66</v>
      </c>
      <c r="BD127" s="5258">
        <v>83</v>
      </c>
      <c r="BE127" s="5258">
        <v>84</v>
      </c>
      <c r="BF127" s="5258">
        <v>87</v>
      </c>
      <c r="BG127" s="5258">
        <v>80</v>
      </c>
      <c r="BH127" s="5258">
        <v>64</v>
      </c>
      <c r="BI127" s="5258">
        <v>57</v>
      </c>
      <c r="BJ127" s="5258">
        <v>49</v>
      </c>
      <c r="BK127" s="5260">
        <v>51</v>
      </c>
    </row>
    <row r="128" spans="3:63">
      <c r="AL128" s="5261" t="s">
        <v>56</v>
      </c>
      <c r="AM128" s="5262">
        <v>775</v>
      </c>
      <c r="AN128" s="5262">
        <v>840</v>
      </c>
      <c r="AO128" s="5262">
        <v>867</v>
      </c>
      <c r="AP128" s="5262">
        <v>859</v>
      </c>
      <c r="AQ128" s="5262">
        <v>827</v>
      </c>
      <c r="AR128" s="5262">
        <v>826</v>
      </c>
      <c r="AS128" s="5262">
        <v>785</v>
      </c>
      <c r="AT128" s="5262">
        <v>802</v>
      </c>
      <c r="AU128" s="5262">
        <v>820</v>
      </c>
      <c r="AV128" s="5263">
        <v>872</v>
      </c>
      <c r="AW128" s="5263">
        <v>869</v>
      </c>
      <c r="AY128" s="5943" t="s">
        <v>793</v>
      </c>
      <c r="AZ128" s="5264" t="s">
        <v>129</v>
      </c>
      <c r="BA128" s="5258">
        <v>105</v>
      </c>
      <c r="BB128" s="5258">
        <v>111</v>
      </c>
      <c r="BC128" s="5258">
        <v>115</v>
      </c>
      <c r="BD128" s="5258">
        <v>115</v>
      </c>
      <c r="BE128" s="5258">
        <v>115</v>
      </c>
      <c r="BF128" s="5258">
        <v>116</v>
      </c>
      <c r="BG128" s="5258">
        <v>110</v>
      </c>
      <c r="BH128" s="5258">
        <v>117</v>
      </c>
      <c r="BI128" s="5258">
        <v>116</v>
      </c>
      <c r="BJ128" s="5258">
        <v>112</v>
      </c>
      <c r="BK128" s="5260">
        <v>103</v>
      </c>
    </row>
    <row r="129" spans="38:63">
      <c r="AL129" s="5261" t="s">
        <v>259</v>
      </c>
      <c r="AM129" s="5262">
        <v>1184</v>
      </c>
      <c r="AN129" s="5262">
        <v>1135</v>
      </c>
      <c r="AO129" s="5262">
        <v>1106</v>
      </c>
      <c r="AP129" s="5262">
        <v>1135</v>
      </c>
      <c r="AQ129" s="5262">
        <v>1098</v>
      </c>
      <c r="AR129" s="5262">
        <v>1070</v>
      </c>
      <c r="AS129" s="5262">
        <v>1018</v>
      </c>
      <c r="AT129" s="5262">
        <v>1015</v>
      </c>
      <c r="AU129" s="5262">
        <v>1009</v>
      </c>
      <c r="AV129" s="5263">
        <v>1039</v>
      </c>
      <c r="AW129" s="5263">
        <v>1079</v>
      </c>
      <c r="AY129" s="5944"/>
      <c r="AZ129" s="5264" t="s">
        <v>130</v>
      </c>
      <c r="BA129" s="5258">
        <v>47</v>
      </c>
      <c r="BB129" s="5258">
        <v>55</v>
      </c>
      <c r="BC129" s="5258">
        <v>67</v>
      </c>
      <c r="BD129" s="5258">
        <v>70</v>
      </c>
      <c r="BE129" s="5258">
        <v>74</v>
      </c>
      <c r="BF129" s="5258">
        <v>74</v>
      </c>
      <c r="BG129" s="5258">
        <v>62</v>
      </c>
      <c r="BH129" s="5258">
        <v>64</v>
      </c>
      <c r="BI129" s="5258">
        <v>59</v>
      </c>
      <c r="BJ129" s="5258">
        <v>65</v>
      </c>
      <c r="BK129" s="5260">
        <v>55</v>
      </c>
    </row>
    <row r="130" spans="38:63">
      <c r="AL130" s="5261" t="s">
        <v>57</v>
      </c>
      <c r="AM130" s="5262">
        <v>612</v>
      </c>
      <c r="AN130" s="5262">
        <v>666</v>
      </c>
      <c r="AO130" s="5262">
        <v>667</v>
      </c>
      <c r="AP130" s="5262">
        <v>702</v>
      </c>
      <c r="AQ130" s="5262">
        <v>729</v>
      </c>
      <c r="AR130" s="5262">
        <v>758</v>
      </c>
      <c r="AS130" s="5262">
        <v>743</v>
      </c>
      <c r="AT130" s="5262">
        <v>769</v>
      </c>
      <c r="AU130" s="5262">
        <v>747</v>
      </c>
      <c r="AV130" s="5263">
        <v>740</v>
      </c>
      <c r="AW130" s="5263">
        <v>730</v>
      </c>
      <c r="AY130" s="5945"/>
      <c r="AZ130" s="5296" t="s">
        <v>483</v>
      </c>
      <c r="BA130" s="5258">
        <v>65</v>
      </c>
      <c r="BB130" s="5258">
        <v>69</v>
      </c>
      <c r="BC130" s="5258">
        <v>81</v>
      </c>
      <c r="BD130" s="5258">
        <v>87</v>
      </c>
      <c r="BE130" s="5258">
        <v>102</v>
      </c>
      <c r="BF130" s="5258">
        <v>112</v>
      </c>
      <c r="BG130" s="5258">
        <v>124</v>
      </c>
      <c r="BH130" s="5258">
        <v>119</v>
      </c>
      <c r="BI130" s="5258">
        <v>121</v>
      </c>
      <c r="BJ130" s="5258">
        <v>128</v>
      </c>
      <c r="BK130" s="5260">
        <v>118</v>
      </c>
    </row>
    <row r="131" spans="38:63">
      <c r="AL131" s="5274" t="s">
        <v>41</v>
      </c>
      <c r="AM131" s="5275">
        <f t="shared" ref="AM131:AT131" si="24">SUM(AM123:AM130)</f>
        <v>7642</v>
      </c>
      <c r="AN131" s="5275">
        <f t="shared" si="24"/>
        <v>7568</v>
      </c>
      <c r="AO131" s="5275">
        <f t="shared" si="24"/>
        <v>7509</v>
      </c>
      <c r="AP131" s="5275">
        <f t="shared" si="24"/>
        <v>7565</v>
      </c>
      <c r="AQ131" s="5275">
        <f t="shared" si="24"/>
        <v>7575</v>
      </c>
      <c r="AR131" s="5275">
        <f t="shared" si="24"/>
        <v>7636</v>
      </c>
      <c r="AS131" s="5275">
        <f t="shared" si="24"/>
        <v>7689</v>
      </c>
      <c r="AT131" s="5276">
        <f t="shared" si="24"/>
        <v>7912</v>
      </c>
      <c r="AU131" s="5276">
        <v>8058</v>
      </c>
      <c r="AV131" s="5277">
        <f>SUM(AV123:AV130)</f>
        <v>8190</v>
      </c>
      <c r="AW131" s="5277">
        <v>8323</v>
      </c>
      <c r="AY131" s="5278"/>
      <c r="AZ131" s="5316" t="s">
        <v>41</v>
      </c>
      <c r="BA131" s="5307">
        <f t="shared" ref="BA131:BH131" si="25">SUM(BA121:BA130)</f>
        <v>461</v>
      </c>
      <c r="BB131" s="5307">
        <f t="shared" si="25"/>
        <v>499</v>
      </c>
      <c r="BC131" s="5307">
        <f t="shared" si="25"/>
        <v>537</v>
      </c>
      <c r="BD131" s="5307">
        <f t="shared" si="25"/>
        <v>568</v>
      </c>
      <c r="BE131" s="5307">
        <f t="shared" si="25"/>
        <v>595</v>
      </c>
      <c r="BF131" s="5307">
        <f t="shared" si="25"/>
        <v>594</v>
      </c>
      <c r="BG131" s="5307">
        <f t="shared" si="25"/>
        <v>564</v>
      </c>
      <c r="BH131" s="5307">
        <f t="shared" si="25"/>
        <v>531</v>
      </c>
      <c r="BI131" s="5307">
        <v>519</v>
      </c>
      <c r="BJ131" s="5308">
        <f>SUM(BJ121:BJ130)</f>
        <v>500</v>
      </c>
      <c r="BK131" s="5309">
        <v>455</v>
      </c>
    </row>
    <row r="132" spans="38:63" ht="15" customHeight="1">
      <c r="AL132" s="5297" t="s">
        <v>22</v>
      </c>
      <c r="AM132" s="5298">
        <v>1485</v>
      </c>
      <c r="AN132" s="5298">
        <v>1400</v>
      </c>
      <c r="AO132" s="5298">
        <v>1380</v>
      </c>
      <c r="AP132" s="5298">
        <v>1362</v>
      </c>
      <c r="AQ132" s="5298">
        <v>1372</v>
      </c>
      <c r="AR132" s="5298">
        <v>1340</v>
      </c>
      <c r="AS132" s="5298">
        <v>1365</v>
      </c>
      <c r="AT132" s="5298">
        <v>1402</v>
      </c>
      <c r="AU132" s="5298">
        <v>1447</v>
      </c>
      <c r="AV132" s="5299">
        <v>1438</v>
      </c>
      <c r="AW132" s="5299">
        <v>1465</v>
      </c>
      <c r="AY132" s="5339"/>
      <c r="AZ132" s="5340" t="s">
        <v>110</v>
      </c>
      <c r="BA132" s="5341">
        <f t="shared" ref="BA132:BG132" si="26">SUM(BA131,BA120,BA102)</f>
        <v>1781</v>
      </c>
      <c r="BB132" s="5341">
        <f t="shared" si="26"/>
        <v>1821</v>
      </c>
      <c r="BC132" s="5341">
        <f t="shared" si="26"/>
        <v>1826</v>
      </c>
      <c r="BD132" s="5341">
        <f t="shared" si="26"/>
        <v>1773</v>
      </c>
      <c r="BE132" s="5341">
        <f t="shared" si="26"/>
        <v>1875</v>
      </c>
      <c r="BF132" s="5341">
        <f t="shared" si="26"/>
        <v>1802</v>
      </c>
      <c r="BG132" s="5341">
        <f t="shared" si="26"/>
        <v>1833</v>
      </c>
      <c r="BH132" s="5341">
        <f>SUM(BH102,BH120,BH131)</f>
        <v>1717</v>
      </c>
      <c r="BI132" s="5341">
        <v>1710</v>
      </c>
      <c r="BJ132" s="5342">
        <f>SUM(BJ102,BJ120,BJ131)</f>
        <v>1692</v>
      </c>
      <c r="BK132" s="5343">
        <v>1574</v>
      </c>
    </row>
    <row r="133" spans="38:63">
      <c r="AL133" s="5261" t="s">
        <v>23</v>
      </c>
      <c r="AM133" s="5262">
        <v>637</v>
      </c>
      <c r="AN133" s="5262">
        <v>628</v>
      </c>
      <c r="AO133" s="5262">
        <v>665</v>
      </c>
      <c r="AP133" s="5262">
        <v>665</v>
      </c>
      <c r="AQ133" s="5262">
        <v>653</v>
      </c>
      <c r="AR133" s="5262">
        <v>637</v>
      </c>
      <c r="AS133" s="5262">
        <v>637</v>
      </c>
      <c r="AT133" s="5262">
        <v>609</v>
      </c>
      <c r="AU133" s="5262">
        <v>631</v>
      </c>
      <c r="AV133" s="5263">
        <v>638</v>
      </c>
      <c r="AW133" s="5263">
        <v>648</v>
      </c>
      <c r="AY133" s="5943" t="s">
        <v>708</v>
      </c>
      <c r="AZ133" s="5330" t="s">
        <v>796</v>
      </c>
      <c r="BA133" s="5284">
        <v>19</v>
      </c>
      <c r="BB133" s="5284">
        <v>1</v>
      </c>
      <c r="BC133" s="5284"/>
      <c r="BD133" s="5284"/>
      <c r="BE133" s="5284"/>
      <c r="BF133" s="5284"/>
      <c r="BG133" s="5284"/>
      <c r="BH133" s="5284"/>
      <c r="BI133" s="5284"/>
      <c r="BJ133" s="5284"/>
      <c r="BK133" s="5285"/>
    </row>
    <row r="134" spans="38:63">
      <c r="AL134" s="5261" t="s">
        <v>24</v>
      </c>
      <c r="AM134" s="5262">
        <v>583</v>
      </c>
      <c r="AN134" s="5262">
        <v>572</v>
      </c>
      <c r="AO134" s="5262">
        <v>578</v>
      </c>
      <c r="AP134" s="5262">
        <v>622</v>
      </c>
      <c r="AQ134" s="5262">
        <v>635</v>
      </c>
      <c r="AR134" s="5262">
        <v>659</v>
      </c>
      <c r="AS134" s="5262">
        <v>682</v>
      </c>
      <c r="AT134" s="5262">
        <v>679</v>
      </c>
      <c r="AU134" s="5262">
        <v>674</v>
      </c>
      <c r="AV134" s="5263">
        <v>666</v>
      </c>
      <c r="AW134" s="5263">
        <v>646</v>
      </c>
      <c r="AY134" s="5944"/>
      <c r="AZ134" s="5344" t="s">
        <v>134</v>
      </c>
      <c r="BA134" s="5287"/>
      <c r="BB134" s="5287"/>
      <c r="BC134" s="5287">
        <v>17</v>
      </c>
      <c r="BD134" s="5287"/>
      <c r="BE134" s="5287"/>
      <c r="BF134" s="5287"/>
      <c r="BG134" s="5287"/>
      <c r="BH134" s="5287"/>
      <c r="BI134" s="5287"/>
      <c r="BJ134" s="5287"/>
      <c r="BK134" s="5288"/>
    </row>
    <row r="135" spans="38:63">
      <c r="AL135" s="5261" t="s">
        <v>58</v>
      </c>
      <c r="AM135" s="5262">
        <v>483</v>
      </c>
      <c r="AN135" s="5262">
        <v>491</v>
      </c>
      <c r="AO135" s="5262">
        <v>512</v>
      </c>
      <c r="AP135" s="5262">
        <v>524</v>
      </c>
      <c r="AQ135" s="5262">
        <v>500</v>
      </c>
      <c r="AR135" s="5262">
        <v>504</v>
      </c>
      <c r="AS135" s="5262">
        <v>509</v>
      </c>
      <c r="AT135" s="5262">
        <v>498</v>
      </c>
      <c r="AU135" s="5262">
        <v>464</v>
      </c>
      <c r="AV135" s="5263">
        <v>472</v>
      </c>
      <c r="AW135" s="5263">
        <v>462</v>
      </c>
      <c r="AY135" s="5945"/>
      <c r="AZ135" s="5264" t="s">
        <v>484</v>
      </c>
      <c r="BA135" s="5258"/>
      <c r="BB135" s="5258">
        <v>35</v>
      </c>
      <c r="BC135" s="5258">
        <v>39</v>
      </c>
      <c r="BD135" s="5258">
        <v>34</v>
      </c>
      <c r="BE135" s="5258">
        <v>2</v>
      </c>
      <c r="BF135" s="5258"/>
      <c r="BG135" s="5258"/>
      <c r="BH135" s="5258">
        <v>30</v>
      </c>
      <c r="BI135" s="5258">
        <v>4</v>
      </c>
      <c r="BJ135" s="5258">
        <v>4</v>
      </c>
      <c r="BK135" s="5260"/>
    </row>
    <row r="136" spans="38:63">
      <c r="AL136" s="5274" t="s">
        <v>21</v>
      </c>
      <c r="AM136" s="5275">
        <f t="shared" ref="AM136:AT136" si="27">SUM(AM132:AM135)</f>
        <v>3188</v>
      </c>
      <c r="AN136" s="5275">
        <f t="shared" si="27"/>
        <v>3091</v>
      </c>
      <c r="AO136" s="5275">
        <f t="shared" si="27"/>
        <v>3135</v>
      </c>
      <c r="AP136" s="5275">
        <f t="shared" si="27"/>
        <v>3173</v>
      </c>
      <c r="AQ136" s="5275">
        <f t="shared" si="27"/>
        <v>3160</v>
      </c>
      <c r="AR136" s="5275">
        <f t="shared" si="27"/>
        <v>3140</v>
      </c>
      <c r="AS136" s="5275">
        <f t="shared" si="27"/>
        <v>3193</v>
      </c>
      <c r="AT136" s="5276">
        <f t="shared" si="27"/>
        <v>3188</v>
      </c>
      <c r="AU136" s="5276">
        <v>3216</v>
      </c>
      <c r="AV136" s="5345">
        <f>SUM(AV132:AV135)</f>
        <v>3214</v>
      </c>
      <c r="AW136" s="5346">
        <v>3221</v>
      </c>
      <c r="AY136" s="5943" t="s">
        <v>709</v>
      </c>
      <c r="AZ136" s="5264" t="s">
        <v>299</v>
      </c>
      <c r="BA136" s="5258">
        <v>18</v>
      </c>
      <c r="BB136" s="5258">
        <v>20</v>
      </c>
      <c r="BC136" s="5258">
        <v>23</v>
      </c>
      <c r="BD136" s="5258">
        <v>23</v>
      </c>
      <c r="BE136" s="5258">
        <v>45</v>
      </c>
      <c r="BF136" s="5258">
        <v>22</v>
      </c>
      <c r="BG136" s="5258">
        <v>43</v>
      </c>
      <c r="BH136" s="5258">
        <v>24</v>
      </c>
      <c r="BI136" s="5258">
        <v>42</v>
      </c>
      <c r="BJ136" s="5258">
        <v>20</v>
      </c>
      <c r="BK136" s="5260">
        <v>31</v>
      </c>
    </row>
    <row r="137" spans="38:63">
      <c r="AL137" s="5347" t="s">
        <v>48</v>
      </c>
      <c r="AM137" s="5348">
        <f t="shared" ref="AM137:AT137" si="28">SUM(AM136,AM131,AM122)</f>
        <v>16968</v>
      </c>
      <c r="AN137" s="5348">
        <f t="shared" si="28"/>
        <v>16715</v>
      </c>
      <c r="AO137" s="5349">
        <f t="shared" si="28"/>
        <v>16770</v>
      </c>
      <c r="AP137" s="5349">
        <f t="shared" si="28"/>
        <v>16975</v>
      </c>
      <c r="AQ137" s="5349">
        <f t="shared" si="28"/>
        <v>16883</v>
      </c>
      <c r="AR137" s="5349">
        <f t="shared" si="28"/>
        <v>16969</v>
      </c>
      <c r="AS137" s="5349">
        <f t="shared" si="28"/>
        <v>17114</v>
      </c>
      <c r="AT137" s="5349">
        <f t="shared" si="28"/>
        <v>17380</v>
      </c>
      <c r="AU137" s="5349">
        <v>17667</v>
      </c>
      <c r="AV137" s="5350">
        <f>SUM(AV136,AV131,AV122)</f>
        <v>17920</v>
      </c>
      <c r="AW137" s="5351">
        <v>18209</v>
      </c>
      <c r="AY137" s="5944"/>
      <c r="AZ137" s="5264" t="s">
        <v>485</v>
      </c>
      <c r="BA137" s="5258">
        <v>41</v>
      </c>
      <c r="BB137" s="5258">
        <v>39</v>
      </c>
      <c r="BC137" s="5258">
        <v>1</v>
      </c>
      <c r="BD137" s="5258">
        <v>40</v>
      </c>
      <c r="BE137" s="5258">
        <v>33</v>
      </c>
      <c r="BF137" s="5258">
        <v>66</v>
      </c>
      <c r="BG137" s="5258">
        <v>37</v>
      </c>
      <c r="BH137" s="5258">
        <v>34</v>
      </c>
      <c r="BI137" s="5258">
        <v>28</v>
      </c>
      <c r="BJ137" s="5258">
        <v>45</v>
      </c>
      <c r="BK137" s="5260">
        <v>20</v>
      </c>
    </row>
    <row r="138" spans="38:63">
      <c r="AL138" s="5352"/>
      <c r="AM138" s="5352"/>
      <c r="AN138" s="5352"/>
      <c r="AO138" s="5352"/>
      <c r="AP138" s="5352"/>
      <c r="AQ138" s="5352"/>
      <c r="AR138" s="5352"/>
      <c r="AS138" s="5353"/>
      <c r="AT138" s="5353"/>
      <c r="AU138" s="5353"/>
      <c r="AV138" s="5353"/>
      <c r="AW138" s="5353"/>
      <c r="AY138" s="5944"/>
      <c r="AZ138" s="5257" t="s">
        <v>411</v>
      </c>
      <c r="BA138" s="5258">
        <v>60</v>
      </c>
      <c r="BB138" s="5258">
        <v>37</v>
      </c>
      <c r="BC138" s="5258">
        <v>72</v>
      </c>
      <c r="BD138" s="5258">
        <v>47</v>
      </c>
      <c r="BE138" s="5258">
        <v>66</v>
      </c>
      <c r="BF138" s="5258">
        <v>34</v>
      </c>
      <c r="BG138" s="5258">
        <v>61</v>
      </c>
      <c r="BH138" s="5258">
        <v>29</v>
      </c>
      <c r="BI138" s="5258">
        <v>50</v>
      </c>
      <c r="BJ138" s="5258">
        <v>24</v>
      </c>
      <c r="BK138" s="5260">
        <v>46</v>
      </c>
    </row>
    <row r="139" spans="38:63">
      <c r="AL139" s="5354" t="s">
        <v>67</v>
      </c>
      <c r="AM139" s="5355">
        <f t="shared" ref="AM139:AT139" si="29">SUM(AM56,AM71,AM102,AM115,AM137)</f>
        <v>48596</v>
      </c>
      <c r="AN139" s="5355">
        <f t="shared" si="29"/>
        <v>49508</v>
      </c>
      <c r="AO139" s="5355">
        <f t="shared" si="29"/>
        <v>50928</v>
      </c>
      <c r="AP139" s="5355">
        <f t="shared" si="29"/>
        <v>52459</v>
      </c>
      <c r="AQ139" s="5355">
        <f t="shared" si="29"/>
        <v>52898</v>
      </c>
      <c r="AR139" s="5355">
        <f t="shared" si="29"/>
        <v>53374</v>
      </c>
      <c r="AS139" s="5355">
        <f t="shared" si="29"/>
        <v>53900</v>
      </c>
      <c r="AT139" s="5355">
        <f t="shared" si="29"/>
        <v>53989</v>
      </c>
      <c r="AU139" s="5355">
        <v>54755</v>
      </c>
      <c r="AV139" s="5356">
        <f>SUM(AV56,AV71,AV102,AV115,AV137)</f>
        <v>55811</v>
      </c>
      <c r="AW139" s="5357">
        <v>56038</v>
      </c>
      <c r="AY139" s="5944"/>
      <c r="AZ139" s="5257" t="s">
        <v>2282</v>
      </c>
      <c r="BA139" s="5258">
        <v>54</v>
      </c>
      <c r="BB139" s="5258">
        <v>27</v>
      </c>
      <c r="BC139" s="5258">
        <v>52</v>
      </c>
      <c r="BD139" s="5258">
        <v>24</v>
      </c>
      <c r="BE139" s="5258">
        <v>37</v>
      </c>
      <c r="BF139" s="5258">
        <v>15</v>
      </c>
      <c r="BG139" s="5258">
        <v>31</v>
      </c>
      <c r="BH139" s="5258">
        <v>18</v>
      </c>
      <c r="BI139" s="5258">
        <v>45</v>
      </c>
      <c r="BJ139" s="5258">
        <v>24</v>
      </c>
      <c r="BK139" s="5260">
        <v>48</v>
      </c>
    </row>
    <row r="140" spans="38:63">
      <c r="AY140" s="5944"/>
      <c r="AZ140" s="5257" t="s">
        <v>297</v>
      </c>
      <c r="BA140" s="5258">
        <v>46</v>
      </c>
      <c r="BB140" s="5258">
        <v>23</v>
      </c>
      <c r="BC140" s="5258">
        <v>39</v>
      </c>
      <c r="BD140" s="5258">
        <v>28</v>
      </c>
      <c r="BE140" s="5258">
        <v>41</v>
      </c>
      <c r="BF140" s="5258">
        <v>21</v>
      </c>
      <c r="BG140" s="5258">
        <v>43</v>
      </c>
      <c r="BH140" s="5258">
        <v>25</v>
      </c>
      <c r="BI140" s="5258">
        <v>41</v>
      </c>
      <c r="BJ140" s="5258">
        <v>18</v>
      </c>
      <c r="BK140" s="5260">
        <v>41</v>
      </c>
    </row>
    <row r="141" spans="38:63">
      <c r="AY141" s="5944"/>
      <c r="AZ141" s="5257" t="s">
        <v>298</v>
      </c>
      <c r="BA141" s="5258">
        <v>42</v>
      </c>
      <c r="BB141" s="5258">
        <v>20</v>
      </c>
      <c r="BC141" s="5258">
        <v>35</v>
      </c>
      <c r="BD141" s="5258">
        <v>15</v>
      </c>
      <c r="BE141" s="5258">
        <v>29</v>
      </c>
      <c r="BF141" s="5258">
        <v>19</v>
      </c>
      <c r="BG141" s="5258">
        <v>35</v>
      </c>
      <c r="BH141" s="5258">
        <v>21</v>
      </c>
      <c r="BI141" s="5258">
        <v>34</v>
      </c>
      <c r="BJ141" s="5258">
        <v>20</v>
      </c>
      <c r="BK141" s="5260">
        <v>31</v>
      </c>
    </row>
    <row r="142" spans="38:63">
      <c r="AY142" s="5944"/>
      <c r="AZ142" s="5257" t="s">
        <v>486</v>
      </c>
      <c r="BA142" s="5258">
        <v>35</v>
      </c>
      <c r="BB142" s="5258">
        <v>16</v>
      </c>
      <c r="BC142" s="5258">
        <v>27</v>
      </c>
      <c r="BD142" s="5258">
        <v>20</v>
      </c>
      <c r="BE142" s="5258">
        <v>31</v>
      </c>
      <c r="BF142" s="5258">
        <v>25</v>
      </c>
      <c r="BG142" s="5258">
        <v>35</v>
      </c>
      <c r="BH142" s="5258">
        <v>17</v>
      </c>
      <c r="BI142" s="5258">
        <v>29</v>
      </c>
      <c r="BJ142" s="5358">
        <v>16</v>
      </c>
      <c r="BK142" s="5260">
        <v>27</v>
      </c>
    </row>
    <row r="143" spans="38:63">
      <c r="AY143" s="5944"/>
      <c r="AZ143" s="5264" t="s">
        <v>276</v>
      </c>
      <c r="BA143" s="5258">
        <v>1</v>
      </c>
      <c r="BB143" s="5258"/>
      <c r="BC143" s="5258"/>
      <c r="BD143" s="5258"/>
      <c r="BE143" s="5258"/>
      <c r="BF143" s="5258"/>
      <c r="BG143" s="5258"/>
      <c r="BH143" s="5258"/>
      <c r="BI143" s="5258">
        <v>22</v>
      </c>
      <c r="BJ143" s="5258"/>
      <c r="BK143" s="5260">
        <v>10</v>
      </c>
    </row>
    <row r="144" spans="38:63">
      <c r="AY144" s="5944"/>
      <c r="AZ144" s="5265" t="s">
        <v>509</v>
      </c>
      <c r="BA144" s="5266"/>
      <c r="BB144" s="5266"/>
      <c r="BC144" s="5266">
        <v>19</v>
      </c>
      <c r="BD144" s="5266">
        <v>16</v>
      </c>
      <c r="BE144" s="5266">
        <v>22</v>
      </c>
      <c r="BF144" s="5266">
        <v>20</v>
      </c>
      <c r="BG144" s="5266">
        <v>29</v>
      </c>
      <c r="BH144" s="5266">
        <v>16</v>
      </c>
      <c r="BI144" s="5266">
        <v>27</v>
      </c>
      <c r="BJ144" s="5266">
        <v>19</v>
      </c>
      <c r="BK144" s="5267">
        <v>30</v>
      </c>
    </row>
    <row r="145" spans="51:63">
      <c r="AY145" s="5944"/>
      <c r="AZ145" s="5296" t="s">
        <v>2278</v>
      </c>
      <c r="BA145" s="5266"/>
      <c r="BB145" s="5266"/>
      <c r="BC145" s="5266"/>
      <c r="BD145" s="5266"/>
      <c r="BE145" s="5266"/>
      <c r="BF145" s="5266"/>
      <c r="BG145" s="5266"/>
      <c r="BH145" s="5266">
        <v>4</v>
      </c>
      <c r="BI145" s="5266">
        <v>3</v>
      </c>
      <c r="BJ145" s="5266">
        <v>8</v>
      </c>
      <c r="BK145" s="5267">
        <v>6</v>
      </c>
    </row>
    <row r="146" spans="51:63">
      <c r="AY146" s="5945"/>
      <c r="AZ146" s="5296" t="s">
        <v>2283</v>
      </c>
      <c r="BA146" s="5266"/>
      <c r="BB146" s="5266"/>
      <c r="BC146" s="5266"/>
      <c r="BD146" s="5266"/>
      <c r="BE146" s="5266"/>
      <c r="BF146" s="5266"/>
      <c r="BG146" s="5266"/>
      <c r="BH146" s="5266">
        <v>19</v>
      </c>
      <c r="BI146" s="5266">
        <v>17</v>
      </c>
      <c r="BJ146" s="5266">
        <v>19</v>
      </c>
      <c r="BK146" s="5267">
        <v>20</v>
      </c>
    </row>
    <row r="147" spans="51:63">
      <c r="AY147" s="5948" t="s">
        <v>793</v>
      </c>
      <c r="AZ147" s="5264" t="s">
        <v>301</v>
      </c>
      <c r="BA147" s="5258">
        <v>32</v>
      </c>
      <c r="BB147" s="5258">
        <v>53</v>
      </c>
      <c r="BC147" s="5258">
        <v>31</v>
      </c>
      <c r="BD147" s="5258">
        <v>52</v>
      </c>
      <c r="BE147" s="5258">
        <v>40</v>
      </c>
      <c r="BF147" s="5258">
        <v>63</v>
      </c>
      <c r="BG147" s="5258">
        <v>45</v>
      </c>
      <c r="BH147" s="5258">
        <v>57</v>
      </c>
      <c r="BI147" s="5258">
        <v>46</v>
      </c>
      <c r="BJ147" s="5258">
        <v>67</v>
      </c>
      <c r="BK147" s="5260">
        <v>45</v>
      </c>
    </row>
    <row r="148" spans="51:63">
      <c r="AY148" s="5949"/>
      <c r="AZ148" s="5264" t="s">
        <v>280</v>
      </c>
      <c r="BA148" s="5258">
        <v>4</v>
      </c>
      <c r="BB148" s="5258">
        <v>4</v>
      </c>
      <c r="BC148" s="5258">
        <v>5</v>
      </c>
      <c r="BD148" s="5258">
        <v>3</v>
      </c>
      <c r="BE148" s="5258">
        <v>2</v>
      </c>
      <c r="BF148" s="5258"/>
      <c r="BG148" s="5258"/>
      <c r="BH148" s="5258">
        <v>8</v>
      </c>
      <c r="BI148" s="5258">
        <v>60</v>
      </c>
      <c r="BJ148" s="5258">
        <v>24</v>
      </c>
      <c r="BK148" s="5260">
        <v>31</v>
      </c>
    </row>
    <row r="149" spans="51:63">
      <c r="AY149" s="5949"/>
      <c r="AZ149" s="5265" t="s">
        <v>302</v>
      </c>
      <c r="BA149" s="5359">
        <v>135</v>
      </c>
      <c r="BB149" s="5359">
        <v>154</v>
      </c>
      <c r="BC149" s="5359">
        <v>107</v>
      </c>
      <c r="BD149" s="5359">
        <v>123</v>
      </c>
      <c r="BE149" s="5359">
        <v>106</v>
      </c>
      <c r="BF149" s="5359">
        <v>120</v>
      </c>
      <c r="BG149" s="5359">
        <v>109</v>
      </c>
      <c r="BH149" s="5359">
        <v>136</v>
      </c>
      <c r="BI149" s="5359">
        <v>117</v>
      </c>
      <c r="BJ149" s="5359">
        <v>155</v>
      </c>
      <c r="BK149" s="5360">
        <v>130</v>
      </c>
    </row>
    <row r="150" spans="51:63">
      <c r="AY150" s="5949"/>
      <c r="AZ150" s="5264" t="s">
        <v>2278</v>
      </c>
      <c r="BA150" s="5258"/>
      <c r="BB150" s="5258"/>
      <c r="BC150" s="5258"/>
      <c r="BD150" s="5258"/>
      <c r="BE150" s="5258"/>
      <c r="BF150" s="5258"/>
      <c r="BG150" s="5258"/>
      <c r="BH150" s="5258">
        <v>1</v>
      </c>
      <c r="BI150" s="5258">
        <v>1</v>
      </c>
      <c r="BJ150" s="5258">
        <v>6</v>
      </c>
      <c r="BK150" s="5260">
        <v>3</v>
      </c>
    </row>
    <row r="151" spans="51:63">
      <c r="AY151" s="5949"/>
      <c r="AZ151" s="5265" t="s">
        <v>2284</v>
      </c>
      <c r="BA151" s="5266"/>
      <c r="BB151" s="5266"/>
      <c r="BC151" s="5266"/>
      <c r="BD151" s="5266"/>
      <c r="BE151" s="5266"/>
      <c r="BF151" s="5266"/>
      <c r="BG151" s="5266"/>
      <c r="BH151" s="5266">
        <v>15</v>
      </c>
      <c r="BI151" s="5266">
        <v>15</v>
      </c>
      <c r="BJ151" s="5266">
        <v>27</v>
      </c>
      <c r="BK151" s="5267">
        <v>26</v>
      </c>
    </row>
    <row r="152" spans="51:63">
      <c r="AY152" s="5950"/>
      <c r="AZ152" s="5296" t="s">
        <v>2407</v>
      </c>
      <c r="BA152" s="5304"/>
      <c r="BB152" s="5304"/>
      <c r="BC152" s="5304"/>
      <c r="BD152" s="5304"/>
      <c r="BE152" s="5304"/>
      <c r="BF152" s="5304"/>
      <c r="BG152" s="5304"/>
      <c r="BH152" s="5304"/>
      <c r="BI152" s="5304">
        <v>9</v>
      </c>
      <c r="BJ152" s="5266">
        <v>9</v>
      </c>
      <c r="BK152" s="5267">
        <v>22</v>
      </c>
    </row>
    <row r="153" spans="51:63">
      <c r="AY153" s="5278"/>
      <c r="AZ153" s="5316" t="s">
        <v>16</v>
      </c>
      <c r="BA153" s="5307">
        <f t="shared" ref="BA153:BG153" si="30">SUM(BA133:BA149)</f>
        <v>487</v>
      </c>
      <c r="BB153" s="5307">
        <f t="shared" si="30"/>
        <v>429</v>
      </c>
      <c r="BC153" s="5307">
        <f t="shared" si="30"/>
        <v>467</v>
      </c>
      <c r="BD153" s="5307">
        <f t="shared" si="30"/>
        <v>425</v>
      </c>
      <c r="BE153" s="5307">
        <f t="shared" si="30"/>
        <v>454</v>
      </c>
      <c r="BF153" s="5307">
        <f t="shared" si="30"/>
        <v>405</v>
      </c>
      <c r="BG153" s="5307">
        <f t="shared" si="30"/>
        <v>468</v>
      </c>
      <c r="BH153" s="5307">
        <f>SUM(BH133:BH151)</f>
        <v>454</v>
      </c>
      <c r="BI153" s="5307">
        <v>590</v>
      </c>
      <c r="BJ153" s="5308">
        <f>SUM(BJ133:BJ152)</f>
        <v>505</v>
      </c>
      <c r="BK153" s="5309">
        <v>567</v>
      </c>
    </row>
    <row r="154" spans="51:63">
      <c r="AY154" s="5943" t="s">
        <v>708</v>
      </c>
      <c r="AZ154" s="5283" t="s">
        <v>487</v>
      </c>
      <c r="BA154" s="5284"/>
      <c r="BB154" s="5284">
        <v>16</v>
      </c>
      <c r="BC154" s="5284">
        <v>1</v>
      </c>
      <c r="BD154" s="5284">
        <v>12</v>
      </c>
      <c r="BE154" s="5284"/>
      <c r="BF154" s="5284"/>
      <c r="BG154" s="5284"/>
      <c r="BH154" s="5284"/>
      <c r="BI154" s="5284"/>
      <c r="BJ154" s="5284"/>
      <c r="BK154" s="5285"/>
    </row>
    <row r="155" spans="51:63">
      <c r="AY155" s="5944"/>
      <c r="AZ155" s="5257" t="s">
        <v>489</v>
      </c>
      <c r="BA155" s="5258"/>
      <c r="BB155" s="5258"/>
      <c r="BC155" s="5258"/>
      <c r="BD155" s="5258"/>
      <c r="BE155" s="5258"/>
      <c r="BF155" s="5258"/>
      <c r="BG155" s="5258"/>
      <c r="BH155" s="5258"/>
      <c r="BI155" s="5258"/>
      <c r="BJ155" s="5258"/>
      <c r="BK155" s="5260"/>
    </row>
    <row r="156" spans="51:63">
      <c r="AY156" s="5945"/>
      <c r="AZ156" s="5257" t="s">
        <v>303</v>
      </c>
      <c r="BA156" s="5258"/>
      <c r="BB156" s="5258">
        <v>20</v>
      </c>
      <c r="BC156" s="5258">
        <v>16</v>
      </c>
      <c r="BD156" s="5258">
        <v>1</v>
      </c>
      <c r="BE156" s="5258"/>
      <c r="BF156" s="5258"/>
      <c r="BG156" s="5258"/>
      <c r="BH156" s="5258"/>
      <c r="BI156" s="5258"/>
      <c r="BJ156" s="5258"/>
      <c r="BK156" s="5260"/>
    </row>
    <row r="157" spans="51:63">
      <c r="AY157" s="5943" t="s">
        <v>709</v>
      </c>
      <c r="AZ157" s="5257" t="s">
        <v>488</v>
      </c>
      <c r="BA157" s="5258">
        <v>6</v>
      </c>
      <c r="BB157" s="5258">
        <v>1</v>
      </c>
      <c r="BC157" s="5258">
        <v>9</v>
      </c>
      <c r="BD157" s="5258">
        <v>7</v>
      </c>
      <c r="BE157" s="5258">
        <v>8</v>
      </c>
      <c r="BF157" s="5258">
        <v>12</v>
      </c>
      <c r="BG157" s="5258">
        <v>10</v>
      </c>
      <c r="BH157" s="5258">
        <v>12</v>
      </c>
      <c r="BI157" s="5258">
        <v>11</v>
      </c>
      <c r="BJ157" s="5258">
        <v>7</v>
      </c>
      <c r="BK157" s="5260">
        <v>7</v>
      </c>
    </row>
    <row r="158" spans="51:63">
      <c r="AY158" s="5944"/>
      <c r="AZ158" s="5257" t="s">
        <v>306</v>
      </c>
      <c r="BA158" s="5258">
        <v>16</v>
      </c>
      <c r="BB158" s="5258">
        <v>14</v>
      </c>
      <c r="BC158" s="5258">
        <v>6</v>
      </c>
      <c r="BD158" s="5258">
        <v>31</v>
      </c>
      <c r="BE158" s="5258">
        <v>11</v>
      </c>
      <c r="BF158" s="5258">
        <v>25</v>
      </c>
      <c r="BG158" s="5258">
        <v>13</v>
      </c>
      <c r="BH158" s="5258">
        <v>20</v>
      </c>
      <c r="BI158" s="5258">
        <v>9</v>
      </c>
      <c r="BJ158" s="5258">
        <v>22</v>
      </c>
      <c r="BK158" s="5260">
        <v>14</v>
      </c>
    </row>
    <row r="159" spans="51:63">
      <c r="AY159" s="5944"/>
      <c r="AZ159" s="5257" t="s">
        <v>305</v>
      </c>
      <c r="BA159" s="5258">
        <v>46</v>
      </c>
      <c r="BB159" s="5258">
        <v>43</v>
      </c>
      <c r="BC159" s="5258">
        <v>42</v>
      </c>
      <c r="BD159" s="5258">
        <v>50</v>
      </c>
      <c r="BE159" s="5258">
        <v>45</v>
      </c>
      <c r="BF159" s="5258">
        <v>45</v>
      </c>
      <c r="BG159" s="5258">
        <v>41</v>
      </c>
      <c r="BH159" s="5258">
        <v>39</v>
      </c>
      <c r="BI159" s="5258">
        <v>43</v>
      </c>
      <c r="BJ159" s="5258">
        <v>46</v>
      </c>
      <c r="BK159" s="5260">
        <v>43</v>
      </c>
    </row>
    <row r="160" spans="51:63">
      <c r="AY160" s="5944"/>
      <c r="AZ160" s="5257" t="s">
        <v>490</v>
      </c>
      <c r="BA160" s="5258">
        <v>16</v>
      </c>
      <c r="BB160" s="5258">
        <v>24</v>
      </c>
      <c r="BC160" s="5258">
        <v>18</v>
      </c>
      <c r="BD160" s="5258">
        <v>26</v>
      </c>
      <c r="BE160" s="5258">
        <v>10</v>
      </c>
      <c r="BF160" s="5258">
        <v>19</v>
      </c>
      <c r="BG160" s="5258">
        <v>29</v>
      </c>
      <c r="BH160" s="5258">
        <v>24</v>
      </c>
      <c r="BI160" s="5258">
        <v>24</v>
      </c>
      <c r="BJ160" s="5258">
        <v>10</v>
      </c>
      <c r="BK160" s="5260">
        <v>20</v>
      </c>
    </row>
    <row r="161" spans="51:63">
      <c r="AY161" s="5944"/>
      <c r="AZ161" s="5257" t="s">
        <v>343</v>
      </c>
      <c r="BA161" s="5258">
        <v>6</v>
      </c>
      <c r="BB161" s="5258">
        <v>6</v>
      </c>
      <c r="BC161" s="5258">
        <v>11</v>
      </c>
      <c r="BD161" s="5258">
        <v>6</v>
      </c>
      <c r="BE161" s="5258">
        <v>4</v>
      </c>
      <c r="BF161" s="5258">
        <v>7</v>
      </c>
      <c r="BG161" s="5258">
        <v>7</v>
      </c>
      <c r="BH161" s="5258">
        <v>17</v>
      </c>
      <c r="BI161" s="5258">
        <v>11</v>
      </c>
      <c r="BJ161" s="5258">
        <v>19</v>
      </c>
      <c r="BK161" s="5260">
        <v>10</v>
      </c>
    </row>
    <row r="162" spans="51:63">
      <c r="AY162" s="5944"/>
      <c r="AZ162" s="5257" t="s">
        <v>307</v>
      </c>
      <c r="BA162" s="5258">
        <v>50</v>
      </c>
      <c r="BB162" s="5258">
        <v>41</v>
      </c>
      <c r="BC162" s="5258">
        <v>37</v>
      </c>
      <c r="BD162" s="5258">
        <v>43</v>
      </c>
      <c r="BE162" s="5258">
        <v>48</v>
      </c>
      <c r="BF162" s="5258">
        <v>50</v>
      </c>
      <c r="BG162" s="5258">
        <v>53</v>
      </c>
      <c r="BH162" s="5258">
        <v>50</v>
      </c>
      <c r="BI162" s="5258">
        <v>45</v>
      </c>
      <c r="BJ162" s="5258">
        <v>50</v>
      </c>
      <c r="BK162" s="5260">
        <v>49</v>
      </c>
    </row>
    <row r="163" spans="51:63">
      <c r="AY163" s="5944"/>
      <c r="AZ163" s="5257" t="s">
        <v>304</v>
      </c>
      <c r="BA163" s="5258">
        <v>60</v>
      </c>
      <c r="BB163" s="5258">
        <v>64</v>
      </c>
      <c r="BC163" s="5258">
        <v>70</v>
      </c>
      <c r="BD163" s="5258">
        <v>79</v>
      </c>
      <c r="BE163" s="5258">
        <v>76</v>
      </c>
      <c r="BF163" s="5258">
        <v>80</v>
      </c>
      <c r="BG163" s="5258">
        <v>72</v>
      </c>
      <c r="BH163" s="5258">
        <v>69</v>
      </c>
      <c r="BI163" s="5258">
        <v>77</v>
      </c>
      <c r="BJ163" s="5258">
        <v>80</v>
      </c>
      <c r="BK163" s="5260">
        <v>71</v>
      </c>
    </row>
    <row r="164" spans="51:63">
      <c r="AY164" s="5944"/>
      <c r="AZ164" s="5257" t="s">
        <v>672</v>
      </c>
      <c r="BA164" s="5258"/>
      <c r="BB164" s="5258"/>
      <c r="BC164" s="5258"/>
      <c r="BD164" s="5258"/>
      <c r="BE164" s="5258">
        <v>10</v>
      </c>
      <c r="BF164" s="5258">
        <v>20</v>
      </c>
      <c r="BG164" s="5258">
        <v>30</v>
      </c>
      <c r="BH164" s="5258">
        <v>28</v>
      </c>
      <c r="BI164" s="5258">
        <v>23</v>
      </c>
      <c r="BJ164" s="5258">
        <v>18</v>
      </c>
      <c r="BK164" s="5260">
        <v>16</v>
      </c>
    </row>
    <row r="165" spans="51:63">
      <c r="AY165" s="5945"/>
      <c r="AZ165" s="5257" t="s">
        <v>2584</v>
      </c>
      <c r="BA165" s="5258"/>
      <c r="BB165" s="5258"/>
      <c r="BC165" s="5258"/>
      <c r="BD165" s="5258"/>
      <c r="BE165" s="5258"/>
      <c r="BF165" s="5258"/>
      <c r="BG165" s="5258"/>
      <c r="BH165" s="5258"/>
      <c r="BI165" s="5258">
        <v>10</v>
      </c>
      <c r="BJ165" s="5258">
        <v>17</v>
      </c>
      <c r="BK165" s="5260">
        <v>23</v>
      </c>
    </row>
    <row r="166" spans="51:63">
      <c r="AY166" s="5943" t="s">
        <v>793</v>
      </c>
      <c r="AZ166" s="5264" t="s">
        <v>410</v>
      </c>
      <c r="BA166" s="5361">
        <v>69</v>
      </c>
      <c r="BB166" s="5361">
        <v>76</v>
      </c>
      <c r="BC166" s="5361">
        <v>73</v>
      </c>
      <c r="BD166" s="5361">
        <v>71</v>
      </c>
      <c r="BE166" s="5361">
        <v>70</v>
      </c>
      <c r="BF166" s="5361">
        <v>80</v>
      </c>
      <c r="BG166" s="5361">
        <v>85</v>
      </c>
      <c r="BH166" s="5361">
        <v>82</v>
      </c>
      <c r="BI166" s="5361">
        <v>82</v>
      </c>
      <c r="BJ166" s="5361">
        <v>88</v>
      </c>
      <c r="BK166" s="5362">
        <v>84</v>
      </c>
    </row>
    <row r="167" spans="51:63">
      <c r="AY167" s="5944"/>
      <c r="AZ167" s="5257" t="s">
        <v>308</v>
      </c>
      <c r="BA167" s="5258">
        <v>41</v>
      </c>
      <c r="BB167" s="5258">
        <v>28</v>
      </c>
      <c r="BC167" s="5258">
        <v>41</v>
      </c>
      <c r="BD167" s="5258">
        <v>38</v>
      </c>
      <c r="BE167" s="5258">
        <v>41</v>
      </c>
      <c r="BF167" s="5258">
        <v>27</v>
      </c>
      <c r="BG167" s="5258">
        <v>34</v>
      </c>
      <c r="BH167" s="5258">
        <v>35</v>
      </c>
      <c r="BI167" s="5258">
        <v>41</v>
      </c>
      <c r="BJ167" s="5258">
        <v>32</v>
      </c>
      <c r="BK167" s="5260">
        <v>39</v>
      </c>
    </row>
    <row r="168" spans="51:63">
      <c r="AY168" s="5945"/>
      <c r="AZ168" s="5257" t="s">
        <v>587</v>
      </c>
      <c r="BA168" s="5258"/>
      <c r="BB168" s="5258"/>
      <c r="BC168" s="5258"/>
      <c r="BD168" s="5258">
        <v>9</v>
      </c>
      <c r="BE168" s="5258">
        <v>16</v>
      </c>
      <c r="BF168" s="5258">
        <v>21</v>
      </c>
      <c r="BG168" s="5258">
        <v>25</v>
      </c>
      <c r="BH168" s="5258">
        <v>30</v>
      </c>
      <c r="BI168" s="5258">
        <v>27</v>
      </c>
      <c r="BJ168" s="5258">
        <v>31</v>
      </c>
      <c r="BK168" s="5260">
        <v>24</v>
      </c>
    </row>
    <row r="169" spans="51:63">
      <c r="AY169" s="5278"/>
      <c r="AZ169" s="5316" t="s">
        <v>41</v>
      </c>
      <c r="BA169" s="5307">
        <f>SUM(BA154:BA167)</f>
        <v>310</v>
      </c>
      <c r="BB169" s="5307">
        <f>SUM(BB154:BB167)</f>
        <v>333</v>
      </c>
      <c r="BC169" s="5307">
        <f>SUM(BC154:BC167)</f>
        <v>324</v>
      </c>
      <c r="BD169" s="5307">
        <f>SUM(BD154:BD168)</f>
        <v>373</v>
      </c>
      <c r="BE169" s="5307">
        <f>SUM(BE154:BE168)</f>
        <v>339</v>
      </c>
      <c r="BF169" s="5307">
        <f>SUM(BF154:BF168)</f>
        <v>386</v>
      </c>
      <c r="BG169" s="5307">
        <f>SUM(BG154:BG168)</f>
        <v>399</v>
      </c>
      <c r="BH169" s="5307">
        <f>SUM(BH154:BH168)</f>
        <v>406</v>
      </c>
      <c r="BI169" s="5307">
        <v>403</v>
      </c>
      <c r="BJ169" s="5308">
        <f>SUM(BJ154:BJ168)</f>
        <v>420</v>
      </c>
      <c r="BK169" s="5309">
        <v>400</v>
      </c>
    </row>
    <row r="170" spans="51:63">
      <c r="AY170" s="5943" t="s">
        <v>709</v>
      </c>
      <c r="AZ170" s="5330" t="s">
        <v>309</v>
      </c>
      <c r="BA170" s="5287">
        <v>60</v>
      </c>
      <c r="BB170" s="5287">
        <v>58</v>
      </c>
      <c r="BC170" s="5287">
        <v>53</v>
      </c>
      <c r="BD170" s="5287">
        <v>62</v>
      </c>
      <c r="BE170" s="5287">
        <v>68</v>
      </c>
      <c r="BF170" s="5287">
        <v>72</v>
      </c>
      <c r="BG170" s="5287">
        <v>75</v>
      </c>
      <c r="BH170" s="5287">
        <v>71</v>
      </c>
      <c r="BI170" s="5287">
        <v>73</v>
      </c>
      <c r="BJ170" s="5287">
        <v>67</v>
      </c>
      <c r="BK170" s="5288">
        <v>68</v>
      </c>
    </row>
    <row r="171" spans="51:63">
      <c r="AY171" s="5944"/>
      <c r="AZ171" s="5257" t="s">
        <v>491</v>
      </c>
      <c r="BA171" s="5258">
        <v>17</v>
      </c>
      <c r="BB171" s="5258">
        <v>32</v>
      </c>
      <c r="BC171" s="5258">
        <v>16</v>
      </c>
      <c r="BD171" s="5258">
        <v>35</v>
      </c>
      <c r="BE171" s="5258">
        <v>21</v>
      </c>
      <c r="BF171" s="5258">
        <v>42</v>
      </c>
      <c r="BG171" s="5258">
        <v>21</v>
      </c>
      <c r="BH171" s="5258">
        <v>37</v>
      </c>
      <c r="BI171" s="5258">
        <v>15</v>
      </c>
      <c r="BJ171" s="5258">
        <v>27</v>
      </c>
      <c r="BK171" s="5260">
        <v>11</v>
      </c>
    </row>
    <row r="172" spans="51:63">
      <c r="AY172" s="5945"/>
      <c r="AZ172" s="5265" t="s">
        <v>492</v>
      </c>
      <c r="BA172" s="5359">
        <v>33</v>
      </c>
      <c r="BB172" s="5359">
        <v>57</v>
      </c>
      <c r="BC172" s="5359">
        <v>31</v>
      </c>
      <c r="BD172" s="5359">
        <v>48</v>
      </c>
      <c r="BE172" s="5359">
        <v>25</v>
      </c>
      <c r="BF172" s="5359">
        <v>45</v>
      </c>
      <c r="BG172" s="5359">
        <v>25</v>
      </c>
      <c r="BH172" s="5359">
        <v>48</v>
      </c>
      <c r="BI172" s="5359">
        <v>23</v>
      </c>
      <c r="BJ172" s="5359">
        <v>41</v>
      </c>
      <c r="BK172" s="5360">
        <v>26</v>
      </c>
    </row>
    <row r="173" spans="51:63" ht="15" customHeight="1">
      <c r="AY173" s="5363" t="s">
        <v>793</v>
      </c>
      <c r="AZ173" s="5257" t="s">
        <v>310</v>
      </c>
      <c r="BA173" s="5258">
        <v>39</v>
      </c>
      <c r="BB173" s="5258">
        <v>43</v>
      </c>
      <c r="BC173" s="5258">
        <v>45</v>
      </c>
      <c r="BD173" s="5258">
        <v>47</v>
      </c>
      <c r="BE173" s="5258">
        <v>49</v>
      </c>
      <c r="BF173" s="5258">
        <v>40</v>
      </c>
      <c r="BG173" s="5258">
        <v>41</v>
      </c>
      <c r="BH173" s="5258">
        <v>37</v>
      </c>
      <c r="BI173" s="5258">
        <v>41</v>
      </c>
      <c r="BJ173" s="5258">
        <v>34</v>
      </c>
      <c r="BK173" s="5260">
        <v>40</v>
      </c>
    </row>
    <row r="174" spans="51:63">
      <c r="AY174" s="5278"/>
      <c r="AZ174" s="5316" t="s">
        <v>21</v>
      </c>
      <c r="BA174" s="5307">
        <f t="shared" ref="BA174:BH174" si="31">SUM(BA170:BA173)</f>
        <v>149</v>
      </c>
      <c r="BB174" s="5307">
        <f t="shared" si="31"/>
        <v>190</v>
      </c>
      <c r="BC174" s="5307">
        <f t="shared" si="31"/>
        <v>145</v>
      </c>
      <c r="BD174" s="5307">
        <f t="shared" si="31"/>
        <v>192</v>
      </c>
      <c r="BE174" s="5307">
        <f t="shared" si="31"/>
        <v>163</v>
      </c>
      <c r="BF174" s="5307">
        <f t="shared" si="31"/>
        <v>199</v>
      </c>
      <c r="BG174" s="5307">
        <f t="shared" si="31"/>
        <v>162</v>
      </c>
      <c r="BH174" s="5307">
        <f t="shared" si="31"/>
        <v>193</v>
      </c>
      <c r="BI174" s="5307">
        <v>152</v>
      </c>
      <c r="BJ174" s="5308">
        <f>SUM(BJ170:BJ173)</f>
        <v>169</v>
      </c>
      <c r="BK174" s="5309">
        <v>145</v>
      </c>
    </row>
    <row r="175" spans="51:63">
      <c r="AY175" s="5364"/>
      <c r="AZ175" s="5365" t="s">
        <v>442</v>
      </c>
      <c r="BA175" s="5366">
        <f t="shared" ref="BA175:BG175" si="32">SUM(BA174,BA169,BA153)</f>
        <v>946</v>
      </c>
      <c r="BB175" s="5366">
        <f t="shared" si="32"/>
        <v>952</v>
      </c>
      <c r="BC175" s="5366">
        <f t="shared" si="32"/>
        <v>936</v>
      </c>
      <c r="BD175" s="5366">
        <f t="shared" si="32"/>
        <v>990</v>
      </c>
      <c r="BE175" s="5366">
        <f t="shared" si="32"/>
        <v>956</v>
      </c>
      <c r="BF175" s="5366">
        <f t="shared" si="32"/>
        <v>990</v>
      </c>
      <c r="BG175" s="5366">
        <f t="shared" si="32"/>
        <v>1029</v>
      </c>
      <c r="BH175" s="5366">
        <f>SUM(BH153,BH169,BH174)</f>
        <v>1053</v>
      </c>
      <c r="BI175" s="5366">
        <v>1145</v>
      </c>
      <c r="BJ175" s="5367">
        <f>SUM(BJ153,BJ169,BJ174)</f>
        <v>1094</v>
      </c>
      <c r="BK175" s="5368">
        <v>1112</v>
      </c>
    </row>
    <row r="176" spans="51:63">
      <c r="AY176" s="5363" t="s">
        <v>709</v>
      </c>
      <c r="AZ176" s="5369" t="s">
        <v>493</v>
      </c>
      <c r="BA176" s="5370"/>
      <c r="BB176" s="5370">
        <v>20</v>
      </c>
      <c r="BC176" s="5370">
        <v>31</v>
      </c>
      <c r="BD176" s="5370">
        <v>38</v>
      </c>
      <c r="BE176" s="5370">
        <v>36</v>
      </c>
      <c r="BF176" s="5370">
        <v>36</v>
      </c>
      <c r="BG176" s="5370">
        <v>43</v>
      </c>
      <c r="BH176" s="5370">
        <v>43</v>
      </c>
      <c r="BI176" s="5370">
        <v>34</v>
      </c>
      <c r="BJ176" s="5371">
        <v>40</v>
      </c>
      <c r="BK176" s="5372">
        <v>29</v>
      </c>
    </row>
    <row r="177" spans="51:63">
      <c r="AY177" s="5363" t="s">
        <v>793</v>
      </c>
      <c r="AZ177" s="5265" t="s">
        <v>494</v>
      </c>
      <c r="BA177" s="5359"/>
      <c r="BB177" s="5359">
        <v>12</v>
      </c>
      <c r="BC177" s="5359">
        <v>22</v>
      </c>
      <c r="BD177" s="5359">
        <v>36</v>
      </c>
      <c r="BE177" s="5359">
        <v>42</v>
      </c>
      <c r="BF177" s="5359">
        <v>56</v>
      </c>
      <c r="BG177" s="5359">
        <v>63</v>
      </c>
      <c r="BH177" s="5359">
        <v>59</v>
      </c>
      <c r="BI177" s="5359">
        <v>58</v>
      </c>
      <c r="BJ177" s="5359">
        <v>69</v>
      </c>
      <c r="BK177" s="5360">
        <v>63</v>
      </c>
    </row>
    <row r="178" spans="51:63">
      <c r="AY178" s="5373"/>
      <c r="AZ178" s="5316" t="s">
        <v>16</v>
      </c>
      <c r="BA178" s="5307"/>
      <c r="BB178" s="5307">
        <f t="shared" ref="BB178:BG178" si="33">SUM(BB176:BB177)</f>
        <v>32</v>
      </c>
      <c r="BC178" s="5307">
        <f t="shared" si="33"/>
        <v>53</v>
      </c>
      <c r="BD178" s="5307">
        <f t="shared" si="33"/>
        <v>74</v>
      </c>
      <c r="BE178" s="5307">
        <f t="shared" si="33"/>
        <v>78</v>
      </c>
      <c r="BF178" s="5307">
        <f t="shared" si="33"/>
        <v>92</v>
      </c>
      <c r="BG178" s="5307">
        <f t="shared" si="33"/>
        <v>106</v>
      </c>
      <c r="BH178" s="5307">
        <f>SUM(BH176:BH177)</f>
        <v>102</v>
      </c>
      <c r="BI178" s="5307">
        <v>92</v>
      </c>
      <c r="BJ178" s="5308">
        <f>SUM(BJ176:BJ177)</f>
        <v>109</v>
      </c>
      <c r="BK178" s="5309">
        <v>92</v>
      </c>
    </row>
    <row r="179" spans="51:63">
      <c r="AY179" s="5363" t="s">
        <v>709</v>
      </c>
      <c r="AZ179" s="5265" t="s">
        <v>412</v>
      </c>
      <c r="BA179" s="5359"/>
      <c r="BB179" s="5359"/>
      <c r="BC179" s="5359">
        <v>12</v>
      </c>
      <c r="BD179" s="5359">
        <v>24</v>
      </c>
      <c r="BE179" s="5359">
        <v>42</v>
      </c>
      <c r="BF179" s="5359">
        <v>50</v>
      </c>
      <c r="BG179" s="5359">
        <v>61</v>
      </c>
      <c r="BH179" s="5359">
        <v>62</v>
      </c>
      <c r="BI179" s="5359">
        <v>66</v>
      </c>
      <c r="BJ179" s="5359">
        <v>85</v>
      </c>
      <c r="BK179" s="5360">
        <v>67</v>
      </c>
    </row>
    <row r="180" spans="51:63">
      <c r="AY180" s="5373"/>
      <c r="AZ180" s="5316" t="s">
        <v>61</v>
      </c>
      <c r="BA180" s="5307"/>
      <c r="BB180" s="5307"/>
      <c r="BC180" s="5307">
        <f t="shared" ref="BC180:BH180" si="34">SUM(BC179)</f>
        <v>12</v>
      </c>
      <c r="BD180" s="5307">
        <f t="shared" si="34"/>
        <v>24</v>
      </c>
      <c r="BE180" s="5307">
        <f t="shared" si="34"/>
        <v>42</v>
      </c>
      <c r="BF180" s="5307">
        <f t="shared" si="34"/>
        <v>50</v>
      </c>
      <c r="BG180" s="5307">
        <f t="shared" si="34"/>
        <v>61</v>
      </c>
      <c r="BH180" s="5307">
        <f t="shared" si="34"/>
        <v>62</v>
      </c>
      <c r="BI180" s="5307">
        <v>66</v>
      </c>
      <c r="BJ180" s="5308">
        <f>SUM(BJ179)</f>
        <v>85</v>
      </c>
      <c r="BK180" s="5309">
        <v>67</v>
      </c>
    </row>
    <row r="181" spans="51:63">
      <c r="AY181" s="5322" t="s">
        <v>708</v>
      </c>
      <c r="AZ181" s="5369" t="s">
        <v>797</v>
      </c>
      <c r="BA181" s="5370"/>
      <c r="BB181" s="5370"/>
      <c r="BC181" s="5370">
        <v>3</v>
      </c>
      <c r="BD181" s="5370">
        <v>5</v>
      </c>
      <c r="BE181" s="5370">
        <v>4</v>
      </c>
      <c r="BF181" s="5370">
        <v>7</v>
      </c>
      <c r="BG181" s="5370">
        <v>8</v>
      </c>
      <c r="BH181" s="5370">
        <v>6</v>
      </c>
      <c r="BI181" s="5370">
        <v>3</v>
      </c>
      <c r="BJ181" s="5371"/>
      <c r="BK181" s="5372">
        <v>3</v>
      </c>
    </row>
    <row r="182" spans="51:63">
      <c r="AY182" s="5363" t="s">
        <v>709</v>
      </c>
      <c r="AZ182" s="5257" t="s">
        <v>798</v>
      </c>
      <c r="BA182" s="5258"/>
      <c r="BB182" s="5258"/>
      <c r="BC182" s="5258">
        <v>9</v>
      </c>
      <c r="BD182" s="5258">
        <v>22</v>
      </c>
      <c r="BE182" s="5258">
        <v>34</v>
      </c>
      <c r="BF182" s="5258">
        <v>37</v>
      </c>
      <c r="BG182" s="5258">
        <v>42</v>
      </c>
      <c r="BH182" s="5258">
        <v>42</v>
      </c>
      <c r="BI182" s="5258">
        <v>37</v>
      </c>
      <c r="BJ182" s="5258">
        <v>39</v>
      </c>
      <c r="BK182" s="5260">
        <v>23</v>
      </c>
    </row>
    <row r="183" spans="51:63">
      <c r="AY183" s="5943" t="s">
        <v>793</v>
      </c>
      <c r="AZ183" s="5265" t="s">
        <v>799</v>
      </c>
      <c r="BA183" s="5361"/>
      <c r="BB183" s="5361"/>
      <c r="BC183" s="5361">
        <v>7</v>
      </c>
      <c r="BD183" s="5361">
        <v>13</v>
      </c>
      <c r="BE183" s="5361">
        <v>21</v>
      </c>
      <c r="BF183" s="5361">
        <v>33</v>
      </c>
      <c r="BG183" s="5361">
        <v>34</v>
      </c>
      <c r="BH183" s="5361">
        <v>38</v>
      </c>
      <c r="BI183" s="5361">
        <v>44</v>
      </c>
      <c r="BJ183" s="5361">
        <v>38</v>
      </c>
      <c r="BK183" s="5362">
        <v>33</v>
      </c>
    </row>
    <row r="184" spans="51:63">
      <c r="AY184" s="5945"/>
      <c r="AZ184" s="5264" t="s">
        <v>410</v>
      </c>
      <c r="BA184" s="5258"/>
      <c r="BB184" s="5258"/>
      <c r="BC184" s="5258"/>
      <c r="BD184" s="5258"/>
      <c r="BE184" s="5258"/>
      <c r="BF184" s="5258"/>
      <c r="BG184" s="5258">
        <v>2</v>
      </c>
      <c r="BH184" s="5258">
        <v>2</v>
      </c>
      <c r="BI184" s="5258">
        <v>2</v>
      </c>
      <c r="BJ184" s="5258">
        <v>3</v>
      </c>
      <c r="BK184" s="5260">
        <v>6</v>
      </c>
    </row>
    <row r="185" spans="51:63">
      <c r="AY185" s="5373"/>
      <c r="AZ185" s="5316" t="s">
        <v>64</v>
      </c>
      <c r="BA185" s="5307"/>
      <c r="BB185" s="5307"/>
      <c r="BC185" s="5307">
        <f>SUM(BC181:BC183)</f>
        <v>19</v>
      </c>
      <c r="BD185" s="5307">
        <f>SUM(BD181:BD183)</f>
        <v>40</v>
      </c>
      <c r="BE185" s="5307">
        <f>SUM(BE181:BE183)</f>
        <v>59</v>
      </c>
      <c r="BF185" s="5307">
        <f>SUM(BF181:BF183)</f>
        <v>77</v>
      </c>
      <c r="BG185" s="5307">
        <f>SUM(BG181:BG184)</f>
        <v>86</v>
      </c>
      <c r="BH185" s="5307">
        <f>SUM(BH181:BH184)</f>
        <v>88</v>
      </c>
      <c r="BI185" s="5307">
        <v>86</v>
      </c>
      <c r="BJ185" s="5308">
        <f>SUM(BJ181:BJ184)</f>
        <v>80</v>
      </c>
      <c r="BK185" s="5309">
        <v>65</v>
      </c>
    </row>
    <row r="186" spans="51:63">
      <c r="AY186" s="5374"/>
      <c r="AZ186" s="5375" t="s">
        <v>260</v>
      </c>
      <c r="BA186" s="5376"/>
      <c r="BB186" s="5376">
        <f t="shared" ref="BB186:BG186" si="35">SUM(BB178,BB180,BB185)</f>
        <v>32</v>
      </c>
      <c r="BC186" s="5376">
        <f t="shared" si="35"/>
        <v>84</v>
      </c>
      <c r="BD186" s="5376">
        <f t="shared" si="35"/>
        <v>138</v>
      </c>
      <c r="BE186" s="5376">
        <f t="shared" si="35"/>
        <v>179</v>
      </c>
      <c r="BF186" s="5376">
        <f t="shared" si="35"/>
        <v>219</v>
      </c>
      <c r="BG186" s="5376">
        <f t="shared" si="35"/>
        <v>253</v>
      </c>
      <c r="BH186" s="5376">
        <f>SUM(BH178,BH180,BH185)</f>
        <v>252</v>
      </c>
      <c r="BI186" s="5376">
        <v>244</v>
      </c>
      <c r="BJ186" s="5377">
        <f>SUM(BJ178,BJ180,BJ185)</f>
        <v>274</v>
      </c>
      <c r="BK186" s="5378">
        <v>224</v>
      </c>
    </row>
    <row r="187" spans="51:63">
      <c r="AY187" s="5363" t="s">
        <v>2585</v>
      </c>
      <c r="AZ187" s="5264" t="s">
        <v>410</v>
      </c>
      <c r="BA187" s="5258"/>
      <c r="BB187" s="5258"/>
      <c r="BC187" s="5258"/>
      <c r="BD187" s="5258"/>
      <c r="BE187" s="5258"/>
      <c r="BF187" s="5258"/>
      <c r="BG187" s="5258"/>
      <c r="BH187" s="5258"/>
      <c r="BI187" s="5258">
        <v>1</v>
      </c>
      <c r="BJ187" s="5258">
        <v>3</v>
      </c>
      <c r="BK187" s="5260">
        <v>7</v>
      </c>
    </row>
    <row r="188" spans="51:63">
      <c r="AY188" s="5373"/>
      <c r="AZ188" s="5316" t="s">
        <v>41</v>
      </c>
      <c r="BA188" s="5307"/>
      <c r="BB188" s="5307"/>
      <c r="BC188" s="5307"/>
      <c r="BD188" s="5307"/>
      <c r="BE188" s="5307"/>
      <c r="BF188" s="5307"/>
      <c r="BG188" s="5307"/>
      <c r="BH188" s="5307"/>
      <c r="BI188" s="5307">
        <v>1</v>
      </c>
      <c r="BJ188" s="5308">
        <f>SUM(BJ187)</f>
        <v>3</v>
      </c>
      <c r="BK188" s="5309">
        <v>7</v>
      </c>
    </row>
    <row r="189" spans="51:63">
      <c r="AY189" s="5374"/>
      <c r="AZ189" s="5379" t="s">
        <v>1158</v>
      </c>
      <c r="BA189" s="5380"/>
      <c r="BB189" s="5380"/>
      <c r="BC189" s="5380"/>
      <c r="BD189" s="5380"/>
      <c r="BE189" s="5380"/>
      <c r="BF189" s="5380"/>
      <c r="BG189" s="5380"/>
      <c r="BH189" s="5380"/>
      <c r="BI189" s="5380">
        <v>1</v>
      </c>
      <c r="BJ189" s="5381">
        <f>SUM(BJ188)</f>
        <v>3</v>
      </c>
      <c r="BK189" s="5382">
        <v>7</v>
      </c>
    </row>
    <row r="190" spans="51:63">
      <c r="AY190" s="5353"/>
      <c r="AZ190" s="5353"/>
      <c r="BA190" s="5353"/>
      <c r="BB190" s="5353"/>
      <c r="BC190" s="5353"/>
      <c r="BD190" s="5353"/>
      <c r="BE190" s="5353"/>
      <c r="BF190" s="5353"/>
      <c r="BG190" s="5353"/>
      <c r="BH190" s="5353"/>
      <c r="BI190" s="5353"/>
      <c r="BJ190" s="5353"/>
      <c r="BK190" s="5383"/>
    </row>
    <row r="191" spans="51:63">
      <c r="AY191" s="5946" t="s">
        <v>67</v>
      </c>
      <c r="AZ191" s="5947"/>
      <c r="BA191" s="5384">
        <f t="shared" ref="BA191:BH191" si="36">SUM(BA85,BA132,BA175,BA186)</f>
        <v>3326</v>
      </c>
      <c r="BB191" s="5384">
        <f t="shared" si="36"/>
        <v>3380</v>
      </c>
      <c r="BC191" s="5384">
        <f t="shared" si="36"/>
        <v>3436</v>
      </c>
      <c r="BD191" s="5384">
        <f t="shared" si="36"/>
        <v>3508</v>
      </c>
      <c r="BE191" s="5384">
        <f t="shared" si="36"/>
        <v>3708</v>
      </c>
      <c r="BF191" s="5384">
        <f t="shared" si="36"/>
        <v>3718</v>
      </c>
      <c r="BG191" s="5384">
        <f t="shared" si="36"/>
        <v>3842</v>
      </c>
      <c r="BH191" s="5384">
        <f t="shared" si="36"/>
        <v>3838</v>
      </c>
      <c r="BI191" s="5384">
        <v>3868</v>
      </c>
      <c r="BJ191" s="5385">
        <f>SUM(BJ85,BJ132,BJ175,BJ186,BJ189)</f>
        <v>3894</v>
      </c>
      <c r="BK191" s="5386">
        <v>3671</v>
      </c>
    </row>
    <row r="193" spans="52:63">
      <c r="AZ193" s="5387" t="s">
        <v>1818</v>
      </c>
      <c r="BA193" s="5388">
        <f t="shared" ref="BA193:BK193" si="37">+AM139</f>
        <v>48596</v>
      </c>
      <c r="BB193" s="5388">
        <f t="shared" si="37"/>
        <v>49508</v>
      </c>
      <c r="BC193" s="5388">
        <f t="shared" si="37"/>
        <v>50928</v>
      </c>
      <c r="BD193" s="5388">
        <f t="shared" si="37"/>
        <v>52459</v>
      </c>
      <c r="BE193" s="5388">
        <f t="shared" si="37"/>
        <v>52898</v>
      </c>
      <c r="BF193" s="5388">
        <f t="shared" si="37"/>
        <v>53374</v>
      </c>
      <c r="BG193" s="5388">
        <f t="shared" si="37"/>
        <v>53900</v>
      </c>
      <c r="BH193" s="5388">
        <f t="shared" si="37"/>
        <v>53989</v>
      </c>
      <c r="BI193" s="5388">
        <f t="shared" si="37"/>
        <v>54755</v>
      </c>
      <c r="BJ193" s="5388">
        <f t="shared" si="37"/>
        <v>55811</v>
      </c>
      <c r="BK193" s="5388">
        <f t="shared" si="37"/>
        <v>56038</v>
      </c>
    </row>
    <row r="195" spans="52:63">
      <c r="AZ195" s="5387" t="s">
        <v>1819</v>
      </c>
      <c r="BA195" s="5389">
        <f>SUM(BA191,BA193)</f>
        <v>51922</v>
      </c>
      <c r="BB195" s="5389">
        <f t="shared" ref="BB195:BI195" si="38">SUM(BB191,BB193)</f>
        <v>52888</v>
      </c>
      <c r="BC195" s="5389">
        <f t="shared" si="38"/>
        <v>54364</v>
      </c>
      <c r="BD195" s="5389">
        <f t="shared" si="38"/>
        <v>55967</v>
      </c>
      <c r="BE195" s="5389">
        <f t="shared" si="38"/>
        <v>56606</v>
      </c>
      <c r="BF195" s="5389">
        <f t="shared" si="38"/>
        <v>57092</v>
      </c>
      <c r="BG195" s="5389">
        <f t="shared" si="38"/>
        <v>57742</v>
      </c>
      <c r="BH195" s="5389">
        <f t="shared" si="38"/>
        <v>57827</v>
      </c>
      <c r="BI195" s="5389">
        <f t="shared" si="38"/>
        <v>58623</v>
      </c>
      <c r="BJ195" s="5389">
        <f>SUM(BJ191,BJ193)</f>
        <v>59705</v>
      </c>
      <c r="BK195" s="5389">
        <f>SUM(BK191,BK193)</f>
        <v>59709</v>
      </c>
    </row>
    <row r="197" spans="52:63">
      <c r="BE197" s="5390"/>
    </row>
  </sheetData>
  <sheetProtection algorithmName="SHA-512" hashValue="evdX7Rk5+NhixuTPkpDxOBvhrzKOG2vqD9QmiWfAe5Cxbg0si5Lg707OZRqyJ3VEOteCYYY79WHv69krAcZyZA==" saltValue="tStelcvXBj5jhHY6s8APxg==" spinCount="100000" sheet="1" objects="1" scenarios="1"/>
  <mergeCells count="57">
    <mergeCell ref="AH3:AI3"/>
    <mergeCell ref="AH4:AH5"/>
    <mergeCell ref="AI4:AI5"/>
    <mergeCell ref="AE4:AE5"/>
    <mergeCell ref="AF4:AF5"/>
    <mergeCell ref="AY191:AZ191"/>
    <mergeCell ref="AY36:AY42"/>
    <mergeCell ref="AY43:AY47"/>
    <mergeCell ref="AY157:AY165"/>
    <mergeCell ref="AY166:AY168"/>
    <mergeCell ref="AY147:AY152"/>
    <mergeCell ref="AY70:AY76"/>
    <mergeCell ref="AY87:AY93"/>
    <mergeCell ref="AY154:AY156"/>
    <mergeCell ref="AY133:AY135"/>
    <mergeCell ref="AY136:AY146"/>
    <mergeCell ref="AB3:AC3"/>
    <mergeCell ref="AB4:AB5"/>
    <mergeCell ref="AC4:AC5"/>
    <mergeCell ref="AY170:AY172"/>
    <mergeCell ref="AY183:AY184"/>
    <mergeCell ref="AY104:AY112"/>
    <mergeCell ref="AY113:AY119"/>
    <mergeCell ref="AY121:AY122"/>
    <mergeCell ref="AY124:AY127"/>
    <mergeCell ref="AY128:AY130"/>
    <mergeCell ref="AY53:AY61"/>
    <mergeCell ref="AY62:AY64"/>
    <mergeCell ref="AY67:AY69"/>
    <mergeCell ref="AY77:AY83"/>
    <mergeCell ref="AY94:AY101"/>
    <mergeCell ref="AE3:AF3"/>
    <mergeCell ref="V3:W3"/>
    <mergeCell ref="V4:V5"/>
    <mergeCell ref="W4:W5"/>
    <mergeCell ref="Y3:Z3"/>
    <mergeCell ref="Y4:Y5"/>
    <mergeCell ref="Z4:Z5"/>
    <mergeCell ref="P3:Q3"/>
    <mergeCell ref="S3:T3"/>
    <mergeCell ref="K4:K5"/>
    <mergeCell ref="M4:M5"/>
    <mergeCell ref="N4:N5"/>
    <mergeCell ref="J3:K3"/>
    <mergeCell ref="J4:J5"/>
    <mergeCell ref="P4:P5"/>
    <mergeCell ref="Q4:Q5"/>
    <mergeCell ref="S4:S5"/>
    <mergeCell ref="T4:T5"/>
    <mergeCell ref="E4:E5"/>
    <mergeCell ref="G4:G5"/>
    <mergeCell ref="H4:H5"/>
    <mergeCell ref="B4:B5"/>
    <mergeCell ref="M3:N3"/>
    <mergeCell ref="D3:E3"/>
    <mergeCell ref="G3:H3"/>
    <mergeCell ref="D4:D5"/>
  </mergeCells>
  <pageMargins left="0.7" right="0.7" top="0.75" bottom="0.75" header="0.3" footer="0.3"/>
  <pageSetup orientation="portrait" r:id="rId1"/>
  <ignoredErrors>
    <ignoredError sqref="AM46:AT46"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499984740745262"/>
  </sheetPr>
  <dimension ref="A1:BH62"/>
  <sheetViews>
    <sheetView showGridLines="0" zoomScaleNormal="100" workbookViewId="0">
      <pane ySplit="2" topLeftCell="A3" activePane="bottomLeft" state="frozen"/>
      <selection activeCell="A2" sqref="A2"/>
      <selection pane="bottomLeft" activeCell="F22" sqref="F22:F24"/>
    </sheetView>
  </sheetViews>
  <sheetFormatPr baseColWidth="10" defaultRowHeight="14.4"/>
  <cols>
    <col min="1" max="1" width="16.109375" customWidth="1"/>
    <col min="2" max="2" width="13.21875" bestFit="1" customWidth="1"/>
    <col min="3" max="3" width="1.77734375" customWidth="1"/>
    <col min="4" max="6" width="8.77734375" style="4854" customWidth="1"/>
    <col min="7" max="7" width="1.77734375" style="4854" customWidth="1"/>
    <col min="8" max="9" width="8.77734375" style="3595" customWidth="1"/>
    <col min="10" max="10" width="10.21875" style="3595" bestFit="1" customWidth="1"/>
    <col min="11" max="11" width="1.77734375" style="3595" customWidth="1"/>
    <col min="12" max="14" width="8.77734375" customWidth="1"/>
    <col min="15" max="15" width="1.77734375" customWidth="1"/>
    <col min="16" max="18" width="8.77734375" customWidth="1"/>
    <col min="19" max="19" width="1.77734375" customWidth="1"/>
    <col min="20" max="22" width="8.77734375" customWidth="1"/>
    <col min="23" max="23" width="1.77734375" customWidth="1"/>
    <col min="24" max="26" width="8.77734375" customWidth="1"/>
    <col min="27" max="27" width="1.77734375" customWidth="1"/>
    <col min="28" max="30" width="8.77734375" customWidth="1"/>
    <col min="31" max="31" width="1.77734375" customWidth="1"/>
    <col min="32" max="34" width="8.77734375" customWidth="1"/>
    <col min="35" max="35" width="1.77734375" customWidth="1"/>
    <col min="36" max="36" width="8.77734375" customWidth="1"/>
    <col min="37" max="37" width="13.5546875" customWidth="1"/>
    <col min="38" max="38" width="8.77734375" customWidth="1"/>
    <col min="39" max="39" width="1.77734375" customWidth="1"/>
    <col min="40" max="40" width="10" customWidth="1"/>
    <col min="41" max="41" width="10.21875" customWidth="1"/>
    <col min="42" max="42" width="8.77734375" style="129" customWidth="1"/>
    <col min="43" max="43" width="11.44140625" style="129"/>
  </cols>
  <sheetData>
    <row r="1" spans="1:44" ht="19.5" customHeight="1">
      <c r="A1" s="234" t="s">
        <v>1008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234"/>
      <c r="AN1" s="234"/>
      <c r="AO1" s="234"/>
    </row>
    <row r="2" spans="1:44" ht="15.6">
      <c r="A2" s="1" t="s">
        <v>2822</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row>
    <row r="3" spans="1:44" s="41" customFormat="1">
      <c r="A3" s="5958" t="s">
        <v>1010</v>
      </c>
      <c r="B3" s="5960" t="s">
        <v>1011</v>
      </c>
      <c r="C3" s="3498"/>
      <c r="D3" s="5951">
        <v>2020</v>
      </c>
      <c r="E3" s="5951"/>
      <c r="F3" s="5951"/>
      <c r="G3" s="3498"/>
      <c r="H3" s="5951">
        <v>2019</v>
      </c>
      <c r="I3" s="5951"/>
      <c r="J3" s="5951"/>
      <c r="K3" s="2832"/>
      <c r="L3" s="5951">
        <v>2018</v>
      </c>
      <c r="M3" s="5951"/>
      <c r="N3" s="5951"/>
      <c r="O3" s="2832"/>
      <c r="P3" s="5951">
        <v>2017</v>
      </c>
      <c r="Q3" s="5951"/>
      <c r="R3" s="5951"/>
      <c r="S3" s="2832"/>
      <c r="T3" s="5951" t="s">
        <v>2943</v>
      </c>
      <c r="U3" s="5951"/>
      <c r="V3" s="5951"/>
      <c r="W3" s="2832"/>
      <c r="X3" s="5951">
        <v>2015</v>
      </c>
      <c r="Y3" s="5951"/>
      <c r="Z3" s="5951"/>
      <c r="AA3" s="2832"/>
      <c r="AB3" s="5951">
        <v>2014</v>
      </c>
      <c r="AC3" s="5951"/>
      <c r="AD3" s="5951"/>
      <c r="AE3" s="2832"/>
      <c r="AF3" s="5951">
        <v>2013</v>
      </c>
      <c r="AG3" s="5951"/>
      <c r="AH3" s="5951"/>
      <c r="AI3" s="2832"/>
      <c r="AJ3" s="5951">
        <v>2012</v>
      </c>
      <c r="AK3" s="5951"/>
      <c r="AL3" s="5951"/>
      <c r="AM3" s="3499"/>
      <c r="AN3" s="5951">
        <v>2011</v>
      </c>
      <c r="AO3" s="5951"/>
      <c r="AP3" s="5951"/>
      <c r="AQ3" s="47"/>
      <c r="AR3" s="47"/>
    </row>
    <row r="4" spans="1:44" s="41" customFormat="1" ht="15" thickBot="1">
      <c r="A4" s="5959"/>
      <c r="B4" s="5961"/>
      <c r="C4" s="3498"/>
      <c r="D4" s="4647" t="s">
        <v>1012</v>
      </c>
      <c r="E4" s="4647" t="s">
        <v>1013</v>
      </c>
      <c r="F4" s="4647" t="s">
        <v>1014</v>
      </c>
      <c r="G4" s="3498"/>
      <c r="H4" s="4647" t="s">
        <v>1012</v>
      </c>
      <c r="I4" s="4647" t="s">
        <v>1013</v>
      </c>
      <c r="J4" s="4647" t="s">
        <v>1014</v>
      </c>
      <c r="K4" s="171"/>
      <c r="L4" s="4647" t="s">
        <v>1012</v>
      </c>
      <c r="M4" s="4647" t="s">
        <v>1013</v>
      </c>
      <c r="N4" s="4647" t="s">
        <v>1014</v>
      </c>
      <c r="O4" s="4648"/>
      <c r="P4" s="4647" t="s">
        <v>1012</v>
      </c>
      <c r="Q4" s="4647" t="s">
        <v>1013</v>
      </c>
      <c r="R4" s="4647" t="s">
        <v>1014</v>
      </c>
      <c r="S4" s="4648"/>
      <c r="T4" s="4647" t="s">
        <v>1012</v>
      </c>
      <c r="U4" s="4647" t="s">
        <v>1013</v>
      </c>
      <c r="V4" s="4647" t="s">
        <v>1014</v>
      </c>
      <c r="W4" s="4648"/>
      <c r="X4" s="4647" t="s">
        <v>1012</v>
      </c>
      <c r="Y4" s="4647" t="s">
        <v>1013</v>
      </c>
      <c r="Z4" s="4647" t="s">
        <v>1014</v>
      </c>
      <c r="AA4" s="4648"/>
      <c r="AB4" s="4647" t="s">
        <v>1012</v>
      </c>
      <c r="AC4" s="4647" t="s">
        <v>1013</v>
      </c>
      <c r="AD4" s="4647" t="s">
        <v>1014</v>
      </c>
      <c r="AE4" s="4648"/>
      <c r="AF4" s="4647" t="s">
        <v>1012</v>
      </c>
      <c r="AG4" s="4647" t="s">
        <v>1013</v>
      </c>
      <c r="AH4" s="4647" t="s">
        <v>1014</v>
      </c>
      <c r="AI4" s="4648"/>
      <c r="AJ4" s="4647" t="s">
        <v>1012</v>
      </c>
      <c r="AK4" s="4647" t="s">
        <v>1013</v>
      </c>
      <c r="AL4" s="4647" t="s">
        <v>1014</v>
      </c>
      <c r="AM4" s="4649"/>
      <c r="AN4" s="4647" t="s">
        <v>1012</v>
      </c>
      <c r="AO4" s="4647" t="s">
        <v>1013</v>
      </c>
      <c r="AP4" s="4647" t="s">
        <v>1014</v>
      </c>
      <c r="AQ4" s="47"/>
      <c r="AR4" s="47"/>
    </row>
    <row r="5" spans="1:44" s="41" customFormat="1">
      <c r="A5" s="5952" t="s">
        <v>1015</v>
      </c>
      <c r="B5" s="3501" t="s">
        <v>1016</v>
      </c>
      <c r="C5" s="171"/>
      <c r="D5" s="3502">
        <v>1115</v>
      </c>
      <c r="E5" s="3503">
        <v>922</v>
      </c>
      <c r="F5" s="3504">
        <v>863</v>
      </c>
      <c r="G5" s="171"/>
      <c r="H5" s="3502">
        <v>1115</v>
      </c>
      <c r="I5" s="3503">
        <v>922</v>
      </c>
      <c r="J5" s="3504">
        <v>863</v>
      </c>
      <c r="K5" s="171"/>
      <c r="L5" s="3502">
        <v>1221</v>
      </c>
      <c r="M5" s="3503">
        <v>1231</v>
      </c>
      <c r="N5" s="3504">
        <v>1187</v>
      </c>
      <c r="O5" s="171"/>
      <c r="P5" s="3502">
        <v>1198</v>
      </c>
      <c r="Q5" s="3503">
        <v>1138</v>
      </c>
      <c r="R5" s="3504">
        <v>1166</v>
      </c>
      <c r="S5" s="2832"/>
      <c r="T5" s="3502">
        <v>1000</v>
      </c>
      <c r="U5" s="3503">
        <v>1027</v>
      </c>
      <c r="V5" s="3504">
        <v>998</v>
      </c>
      <c r="W5" s="4648"/>
      <c r="X5" s="3502">
        <v>1000</v>
      </c>
      <c r="Y5" s="3503">
        <v>1027</v>
      </c>
      <c r="Z5" s="3504">
        <v>998</v>
      </c>
      <c r="AA5" s="171"/>
      <c r="AB5" s="3502">
        <v>838</v>
      </c>
      <c r="AC5" s="3503">
        <v>934</v>
      </c>
      <c r="AD5" s="3504">
        <v>951</v>
      </c>
      <c r="AE5" s="99"/>
      <c r="AF5" s="3502">
        <v>481</v>
      </c>
      <c r="AG5" s="3503">
        <v>437</v>
      </c>
      <c r="AH5" s="3504">
        <v>466</v>
      </c>
      <c r="AI5" s="171"/>
      <c r="AJ5" s="3502">
        <v>857</v>
      </c>
      <c r="AK5" s="3503">
        <v>974</v>
      </c>
      <c r="AL5" s="3504">
        <v>915</v>
      </c>
      <c r="AM5" s="339"/>
      <c r="AN5" s="3502">
        <v>579</v>
      </c>
      <c r="AO5" s="3503">
        <v>687</v>
      </c>
      <c r="AP5" s="3504">
        <v>633</v>
      </c>
      <c r="AQ5" s="47"/>
      <c r="AR5" s="47"/>
    </row>
    <row r="6" spans="1:44" s="41" customFormat="1">
      <c r="A6" s="5953"/>
      <c r="B6" s="3505" t="s">
        <v>1017</v>
      </c>
      <c r="C6" s="171"/>
      <c r="D6" s="3506">
        <v>184</v>
      </c>
      <c r="E6" s="3507">
        <v>152</v>
      </c>
      <c r="F6" s="3508">
        <v>154</v>
      </c>
      <c r="G6" s="171"/>
      <c r="H6" s="3506">
        <v>184</v>
      </c>
      <c r="I6" s="3507">
        <v>152</v>
      </c>
      <c r="J6" s="3508">
        <v>154</v>
      </c>
      <c r="K6" s="171"/>
      <c r="L6" s="3506">
        <v>171</v>
      </c>
      <c r="M6" s="3507">
        <v>164</v>
      </c>
      <c r="N6" s="3508">
        <v>143</v>
      </c>
      <c r="O6" s="171"/>
      <c r="P6" s="3506">
        <v>158</v>
      </c>
      <c r="Q6" s="3507">
        <v>162</v>
      </c>
      <c r="R6" s="3508">
        <v>152</v>
      </c>
      <c r="S6" s="2832"/>
      <c r="T6" s="3506">
        <v>175</v>
      </c>
      <c r="U6" s="3507">
        <v>185</v>
      </c>
      <c r="V6" s="3508">
        <v>194</v>
      </c>
      <c r="W6" s="4648"/>
      <c r="X6" s="3506">
        <v>175</v>
      </c>
      <c r="Y6" s="3507">
        <v>185</v>
      </c>
      <c r="Z6" s="3508">
        <v>194</v>
      </c>
      <c r="AA6" s="171"/>
      <c r="AB6" s="3506">
        <v>141</v>
      </c>
      <c r="AC6" s="3507">
        <v>184</v>
      </c>
      <c r="AD6" s="3508">
        <v>186</v>
      </c>
      <c r="AE6" s="99"/>
      <c r="AF6" s="3506">
        <v>51</v>
      </c>
      <c r="AG6" s="3507">
        <v>41</v>
      </c>
      <c r="AH6" s="3508">
        <v>55</v>
      </c>
      <c r="AI6" s="171"/>
      <c r="AJ6" s="3506">
        <v>92</v>
      </c>
      <c r="AK6" s="3507">
        <v>109</v>
      </c>
      <c r="AL6" s="3508">
        <v>118</v>
      </c>
      <c r="AM6" s="339"/>
      <c r="AN6" s="3506">
        <v>184</v>
      </c>
      <c r="AO6" s="3507">
        <v>99</v>
      </c>
      <c r="AP6" s="3508">
        <v>105</v>
      </c>
      <c r="AQ6" s="47"/>
      <c r="AR6" s="47"/>
    </row>
    <row r="7" spans="1:44" s="41" customFormat="1">
      <c r="A7" s="5954"/>
      <c r="B7" s="3509" t="s">
        <v>1018</v>
      </c>
      <c r="C7" s="171"/>
      <c r="D7" s="3510">
        <v>37</v>
      </c>
      <c r="E7" s="3511">
        <v>13</v>
      </c>
      <c r="F7" s="3512">
        <v>20</v>
      </c>
      <c r="G7" s="171"/>
      <c r="H7" s="3510">
        <v>37</v>
      </c>
      <c r="I7" s="3511">
        <v>13</v>
      </c>
      <c r="J7" s="3512">
        <v>20</v>
      </c>
      <c r="K7" s="171"/>
      <c r="L7" s="3510">
        <v>25</v>
      </c>
      <c r="M7" s="3511">
        <v>41</v>
      </c>
      <c r="N7" s="3512">
        <v>55</v>
      </c>
      <c r="O7" s="171"/>
      <c r="P7" s="3510">
        <v>41</v>
      </c>
      <c r="Q7" s="3511">
        <v>53</v>
      </c>
      <c r="R7" s="3512">
        <v>37</v>
      </c>
      <c r="S7" s="2832"/>
      <c r="T7" s="3510">
        <v>33</v>
      </c>
      <c r="U7" s="3511">
        <v>28</v>
      </c>
      <c r="V7" s="3512">
        <v>49</v>
      </c>
      <c r="W7" s="4648"/>
      <c r="X7" s="3510">
        <v>33</v>
      </c>
      <c r="Y7" s="3511">
        <v>28</v>
      </c>
      <c r="Z7" s="3512">
        <v>49</v>
      </c>
      <c r="AA7" s="171"/>
      <c r="AB7" s="3510">
        <v>12</v>
      </c>
      <c r="AC7" s="3511">
        <v>13</v>
      </c>
      <c r="AD7" s="3512">
        <v>16</v>
      </c>
      <c r="AE7" s="99"/>
      <c r="AF7" s="3510">
        <v>6</v>
      </c>
      <c r="AG7" s="3511">
        <v>6</v>
      </c>
      <c r="AH7" s="3512">
        <v>7</v>
      </c>
      <c r="AI7" s="171"/>
      <c r="AJ7" s="3510">
        <v>44</v>
      </c>
      <c r="AK7" s="3511">
        <v>44</v>
      </c>
      <c r="AL7" s="3512">
        <v>15</v>
      </c>
      <c r="AM7" s="339"/>
      <c r="AN7" s="3510">
        <v>52</v>
      </c>
      <c r="AO7" s="3511">
        <v>41</v>
      </c>
      <c r="AP7" s="3512">
        <v>23</v>
      </c>
      <c r="AQ7" s="47"/>
      <c r="AR7" s="47"/>
    </row>
    <row r="8" spans="1:44" s="41" customFormat="1">
      <c r="A8" s="5955" t="s">
        <v>1019</v>
      </c>
      <c r="B8" s="5955"/>
      <c r="C8" s="171"/>
      <c r="D8" s="4656">
        <f>SUM(D5:D7)</f>
        <v>1336</v>
      </c>
      <c r="E8" s="4657">
        <f>SUM(E5:E7)</f>
        <v>1087</v>
      </c>
      <c r="F8" s="4658">
        <f>SUM(F5:F7)</f>
        <v>1037</v>
      </c>
      <c r="G8" s="171"/>
      <c r="H8" s="4656">
        <f>SUM(H5:H7)</f>
        <v>1336</v>
      </c>
      <c r="I8" s="4657">
        <f>SUM(I5:I7)</f>
        <v>1087</v>
      </c>
      <c r="J8" s="4658">
        <f>SUM(J5:J7)</f>
        <v>1037</v>
      </c>
      <c r="K8" s="171"/>
      <c r="L8" s="4656">
        <f>SUM(L5:L7)</f>
        <v>1417</v>
      </c>
      <c r="M8" s="4657">
        <f>SUM(M5:M7)</f>
        <v>1436</v>
      </c>
      <c r="N8" s="4658">
        <f>SUM(N5:N7)</f>
        <v>1385</v>
      </c>
      <c r="O8" s="171"/>
      <c r="P8" s="4656">
        <f>SUM(P5:P7)</f>
        <v>1397</v>
      </c>
      <c r="Q8" s="4657">
        <f>SUM(Q5:Q7)</f>
        <v>1353</v>
      </c>
      <c r="R8" s="4658">
        <f>SUM(R5:R7)</f>
        <v>1355</v>
      </c>
      <c r="S8" s="2832"/>
      <c r="T8" s="4656">
        <f>SUM(T5:T7)</f>
        <v>1208</v>
      </c>
      <c r="U8" s="4657">
        <f>SUM(U5:U7)</f>
        <v>1240</v>
      </c>
      <c r="V8" s="4658">
        <f>SUM(V5:V7)</f>
        <v>1241</v>
      </c>
      <c r="W8" s="4648"/>
      <c r="X8" s="4656">
        <f>SUM(X5:X7)</f>
        <v>1208</v>
      </c>
      <c r="Y8" s="4657">
        <f>SUM(Y5:Y7)</f>
        <v>1240</v>
      </c>
      <c r="Z8" s="4658">
        <f>SUM(Z5:Z7)</f>
        <v>1241</v>
      </c>
      <c r="AA8" s="171"/>
      <c r="AB8" s="4656">
        <f>SUM(AB5:AB7)</f>
        <v>991</v>
      </c>
      <c r="AC8" s="4657">
        <f>SUM(AC5:AC7)</f>
        <v>1131</v>
      </c>
      <c r="AD8" s="4658">
        <f>SUM(AD5:AD7)</f>
        <v>1153</v>
      </c>
      <c r="AE8" s="99"/>
      <c r="AF8" s="4656">
        <f>SUM(AF5:AF7)</f>
        <v>538</v>
      </c>
      <c r="AG8" s="4657">
        <f>SUM(AG5:AG7)</f>
        <v>484</v>
      </c>
      <c r="AH8" s="4658">
        <f>SUM(AH5:AH7)</f>
        <v>528</v>
      </c>
      <c r="AI8" s="171"/>
      <c r="AJ8" s="4656">
        <f>SUM(AJ5:AJ7)</f>
        <v>993</v>
      </c>
      <c r="AK8" s="4657">
        <f>SUM(AK5:AK7)</f>
        <v>1127</v>
      </c>
      <c r="AL8" s="4658">
        <f>SUM(AL5:AL7)</f>
        <v>1048</v>
      </c>
      <c r="AM8" s="339"/>
      <c r="AN8" s="4656">
        <f>SUM(AN5:AN7)</f>
        <v>815</v>
      </c>
      <c r="AO8" s="4657">
        <f>SUM(AO5:AO7)</f>
        <v>827</v>
      </c>
      <c r="AP8" s="4658">
        <f>SUM(AP5:AP7)</f>
        <v>761</v>
      </c>
      <c r="AQ8" s="47"/>
      <c r="AR8" s="47"/>
    </row>
    <row r="9" spans="1:44" s="41" customFormat="1">
      <c r="A9" s="3513" t="s">
        <v>1020</v>
      </c>
      <c r="B9" s="3514"/>
      <c r="C9" s="3515"/>
      <c r="D9" s="3516"/>
      <c r="E9" s="3517"/>
      <c r="F9" s="3517"/>
      <c r="G9" s="3515"/>
      <c r="H9" s="3516"/>
      <c r="I9" s="3517"/>
      <c r="J9" s="3517"/>
      <c r="K9" s="171"/>
      <c r="L9" s="3516"/>
      <c r="M9" s="3517"/>
      <c r="N9" s="3517"/>
      <c r="O9" s="171"/>
      <c r="P9" s="3516"/>
      <c r="Q9" s="3517"/>
      <c r="R9" s="3517"/>
      <c r="S9" s="2832"/>
      <c r="T9" s="4664" t="s">
        <v>2944</v>
      </c>
      <c r="U9" s="3517"/>
      <c r="V9" s="3517"/>
      <c r="W9" s="3515"/>
      <c r="X9" s="3516"/>
      <c r="Y9" s="3517"/>
      <c r="Z9" s="3517"/>
      <c r="AA9" s="171"/>
      <c r="AB9" s="3516"/>
      <c r="AC9" s="3517"/>
      <c r="AD9" s="3517"/>
      <c r="AE9" s="99"/>
      <c r="AF9" s="3516"/>
      <c r="AG9" s="3517"/>
      <c r="AH9" s="3517"/>
      <c r="AI9" s="171"/>
      <c r="AJ9" s="3516"/>
      <c r="AK9" s="3517"/>
      <c r="AL9" s="3517"/>
      <c r="AM9" s="339"/>
      <c r="AN9" s="3516"/>
      <c r="AO9" s="3517"/>
      <c r="AP9" s="3517"/>
      <c r="AQ9" s="47"/>
      <c r="AR9" s="47"/>
    </row>
    <row r="10" spans="1:44" s="41" customFormat="1">
      <c r="A10" s="171"/>
      <c r="B10" s="171"/>
      <c r="C10" s="171"/>
      <c r="D10" s="3498"/>
      <c r="E10" s="3498"/>
      <c r="F10" s="3498"/>
      <c r="G10" s="171"/>
      <c r="H10" s="3498"/>
      <c r="I10" s="3498"/>
      <c r="J10" s="3498"/>
      <c r="K10" s="171"/>
      <c r="L10" s="3498"/>
      <c r="M10" s="3498"/>
      <c r="N10" s="3498"/>
      <c r="O10" s="171"/>
      <c r="P10" s="3498"/>
      <c r="Q10" s="3498"/>
      <c r="R10" s="3498"/>
      <c r="S10" s="2832"/>
      <c r="T10" s="3498"/>
      <c r="U10" s="3498"/>
      <c r="V10" s="3498"/>
      <c r="W10" s="171"/>
      <c r="X10" s="3498"/>
      <c r="Y10" s="3498"/>
      <c r="Z10" s="3498"/>
      <c r="AA10" s="171"/>
      <c r="AB10" s="3498"/>
      <c r="AC10" s="3498"/>
      <c r="AD10" s="3498"/>
      <c r="AE10" s="99"/>
      <c r="AF10" s="3498"/>
      <c r="AG10" s="3498"/>
      <c r="AH10" s="3498"/>
      <c r="AI10" s="171"/>
      <c r="AJ10" s="3498"/>
      <c r="AK10" s="3498"/>
      <c r="AL10" s="3498"/>
      <c r="AM10" s="339"/>
      <c r="AN10" s="3498"/>
      <c r="AO10" s="3498"/>
      <c r="AP10" s="3498"/>
      <c r="AQ10" s="47"/>
      <c r="AR10" s="47"/>
    </row>
    <row r="11" spans="1:44" s="41" customFormat="1">
      <c r="A11" s="5956" t="s">
        <v>1010</v>
      </c>
      <c r="B11" s="5957" t="s">
        <v>1011</v>
      </c>
      <c r="C11" s="3498"/>
      <c r="D11" s="5951">
        <v>2020</v>
      </c>
      <c r="E11" s="5951"/>
      <c r="F11" s="5951"/>
      <c r="G11" s="3498"/>
      <c r="H11" s="5951">
        <v>2019</v>
      </c>
      <c r="I11" s="5951"/>
      <c r="J11" s="5951"/>
      <c r="K11" s="2832"/>
      <c r="L11" s="5951">
        <v>2018</v>
      </c>
      <c r="M11" s="5951"/>
      <c r="N11" s="5951"/>
      <c r="O11" s="2832"/>
      <c r="P11" s="5951">
        <v>2017</v>
      </c>
      <c r="Q11" s="5951"/>
      <c r="R11" s="5951"/>
      <c r="S11" s="2832"/>
      <c r="T11" s="5951">
        <v>2016</v>
      </c>
      <c r="U11" s="5951"/>
      <c r="V11" s="5951"/>
      <c r="W11" s="2832"/>
      <c r="X11" s="5951">
        <v>2015</v>
      </c>
      <c r="Y11" s="5951"/>
      <c r="Z11" s="5951"/>
      <c r="AA11" s="2832"/>
      <c r="AB11" s="5951">
        <v>2014</v>
      </c>
      <c r="AC11" s="5951"/>
      <c r="AD11" s="5951"/>
      <c r="AE11" s="2832"/>
      <c r="AF11" s="5951">
        <v>2013</v>
      </c>
      <c r="AG11" s="5951"/>
      <c r="AH11" s="5951"/>
      <c r="AI11" s="2832"/>
      <c r="AJ11" s="5951">
        <v>2012</v>
      </c>
      <c r="AK11" s="5951"/>
      <c r="AL11" s="5951"/>
      <c r="AM11" s="3499"/>
      <c r="AN11" s="5951">
        <v>2011</v>
      </c>
      <c r="AO11" s="5951"/>
      <c r="AP11" s="5951"/>
      <c r="AQ11" s="47"/>
      <c r="AR11" s="47"/>
    </row>
    <row r="12" spans="1:44" s="41" customFormat="1" ht="15" thickBot="1">
      <c r="A12" s="5956"/>
      <c r="B12" s="5957"/>
      <c r="C12" s="3498"/>
      <c r="D12" s="4650" t="s">
        <v>1012</v>
      </c>
      <c r="E12" s="4650" t="s">
        <v>1013</v>
      </c>
      <c r="F12" s="4650" t="s">
        <v>1014</v>
      </c>
      <c r="G12" s="3498"/>
      <c r="H12" s="4650" t="s">
        <v>1012</v>
      </c>
      <c r="I12" s="4650" t="s">
        <v>1013</v>
      </c>
      <c r="J12" s="4650" t="s">
        <v>1014</v>
      </c>
      <c r="K12" s="4651"/>
      <c r="L12" s="4650" t="s">
        <v>1012</v>
      </c>
      <c r="M12" s="4650" t="s">
        <v>1013</v>
      </c>
      <c r="N12" s="4650" t="s">
        <v>1014</v>
      </c>
      <c r="O12" s="4651"/>
      <c r="P12" s="4650" t="s">
        <v>1012</v>
      </c>
      <c r="Q12" s="4650" t="s">
        <v>1013</v>
      </c>
      <c r="R12" s="4650" t="s">
        <v>1014</v>
      </c>
      <c r="S12" s="4651"/>
      <c r="T12" s="4650" t="s">
        <v>1012</v>
      </c>
      <c r="U12" s="4650" t="s">
        <v>1013</v>
      </c>
      <c r="V12" s="4650" t="s">
        <v>1014</v>
      </c>
      <c r="W12" s="4651"/>
      <c r="X12" s="4650" t="s">
        <v>1012</v>
      </c>
      <c r="Y12" s="4650" t="s">
        <v>1013</v>
      </c>
      <c r="Z12" s="4650" t="s">
        <v>1014</v>
      </c>
      <c r="AA12" s="4651"/>
      <c r="AB12" s="4650" t="s">
        <v>1012</v>
      </c>
      <c r="AC12" s="4650" t="s">
        <v>1013</v>
      </c>
      <c r="AD12" s="4650" t="s">
        <v>1014</v>
      </c>
      <c r="AE12" s="4651"/>
      <c r="AF12" s="4650" t="s">
        <v>1012</v>
      </c>
      <c r="AG12" s="4650" t="s">
        <v>1013</v>
      </c>
      <c r="AH12" s="4650" t="s">
        <v>1014</v>
      </c>
      <c r="AI12" s="4651"/>
      <c r="AJ12" s="4650" t="s">
        <v>1012</v>
      </c>
      <c r="AK12" s="4650" t="s">
        <v>1013</v>
      </c>
      <c r="AL12" s="4650" t="s">
        <v>1014</v>
      </c>
      <c r="AM12" s="4652"/>
      <c r="AN12" s="4650" t="s">
        <v>1012</v>
      </c>
      <c r="AO12" s="4650" t="s">
        <v>1013</v>
      </c>
      <c r="AP12" s="4650" t="s">
        <v>1014</v>
      </c>
      <c r="AQ12" s="47"/>
      <c r="AR12" s="47"/>
    </row>
    <row r="13" spans="1:44" s="41" customFormat="1">
      <c r="A13" s="5952" t="s">
        <v>1015</v>
      </c>
      <c r="B13" s="3501" t="s">
        <v>1016</v>
      </c>
      <c r="C13" s="171"/>
      <c r="D13" s="3502">
        <v>249</v>
      </c>
      <c r="E13" s="3503">
        <v>262</v>
      </c>
      <c r="F13" s="3504">
        <v>27</v>
      </c>
      <c r="G13" s="171"/>
      <c r="H13" s="3502">
        <v>182</v>
      </c>
      <c r="I13" s="3503">
        <v>230</v>
      </c>
      <c r="J13" s="3504">
        <v>42</v>
      </c>
      <c r="K13" s="171"/>
      <c r="L13" s="3502">
        <v>139</v>
      </c>
      <c r="M13" s="3503">
        <v>240</v>
      </c>
      <c r="N13" s="3504">
        <v>308</v>
      </c>
      <c r="O13" s="171"/>
      <c r="P13" s="3502">
        <v>236</v>
      </c>
      <c r="Q13" s="3503">
        <v>200</v>
      </c>
      <c r="R13" s="3504">
        <v>233</v>
      </c>
      <c r="S13" s="2832"/>
      <c r="T13" s="3502">
        <v>242</v>
      </c>
      <c r="U13" s="3503">
        <v>209</v>
      </c>
      <c r="V13" s="3504">
        <v>422</v>
      </c>
      <c r="W13" s="171"/>
      <c r="X13" s="3502">
        <v>202</v>
      </c>
      <c r="Y13" s="3503">
        <v>181</v>
      </c>
      <c r="Z13" s="3504">
        <v>392</v>
      </c>
      <c r="AA13" s="171"/>
      <c r="AB13" s="3502">
        <v>128</v>
      </c>
      <c r="AC13" s="3503">
        <v>131</v>
      </c>
      <c r="AD13" s="3504">
        <v>293</v>
      </c>
      <c r="AE13" s="99"/>
      <c r="AF13" s="3502">
        <v>144</v>
      </c>
      <c r="AG13" s="3503">
        <v>104</v>
      </c>
      <c r="AH13" s="3504">
        <v>276</v>
      </c>
      <c r="AI13" s="171"/>
      <c r="AJ13" s="3502">
        <v>140</v>
      </c>
      <c r="AK13" s="3503">
        <v>92</v>
      </c>
      <c r="AL13" s="3504">
        <v>43</v>
      </c>
      <c r="AM13" s="339"/>
      <c r="AN13" s="3502">
        <v>202</v>
      </c>
      <c r="AO13" s="3503">
        <v>102</v>
      </c>
      <c r="AP13" s="3504">
        <v>28</v>
      </c>
      <c r="AQ13" s="47"/>
      <c r="AR13" s="47"/>
    </row>
    <row r="14" spans="1:44" s="41" customFormat="1">
      <c r="A14" s="5953"/>
      <c r="B14" s="3505" t="s">
        <v>1017</v>
      </c>
      <c r="C14" s="171"/>
      <c r="D14" s="3506">
        <v>153</v>
      </c>
      <c r="E14" s="3507">
        <v>143</v>
      </c>
      <c r="F14" s="3508">
        <v>33</v>
      </c>
      <c r="G14" s="171"/>
      <c r="H14" s="3506">
        <v>95</v>
      </c>
      <c r="I14" s="3507">
        <v>182</v>
      </c>
      <c r="J14" s="3508">
        <v>35</v>
      </c>
      <c r="K14" s="171"/>
      <c r="L14" s="3506">
        <v>130</v>
      </c>
      <c r="M14" s="3507">
        <v>116</v>
      </c>
      <c r="N14" s="3508">
        <v>169</v>
      </c>
      <c r="O14" s="171"/>
      <c r="P14" s="3506">
        <v>127</v>
      </c>
      <c r="Q14" s="3507">
        <v>112</v>
      </c>
      <c r="R14" s="3508">
        <v>117</v>
      </c>
      <c r="S14" s="2832"/>
      <c r="T14" s="3506">
        <v>111</v>
      </c>
      <c r="U14" s="3507">
        <v>75</v>
      </c>
      <c r="V14" s="3508">
        <v>229</v>
      </c>
      <c r="W14" s="171"/>
      <c r="X14" s="3506">
        <v>77</v>
      </c>
      <c r="Y14" s="3507">
        <v>66</v>
      </c>
      <c r="Z14" s="3508">
        <v>108</v>
      </c>
      <c r="AA14" s="171"/>
      <c r="AB14" s="3506">
        <v>89</v>
      </c>
      <c r="AC14" s="3507">
        <v>87</v>
      </c>
      <c r="AD14" s="3508">
        <v>140</v>
      </c>
      <c r="AE14" s="99"/>
      <c r="AF14" s="3506">
        <v>82</v>
      </c>
      <c r="AG14" s="3507">
        <v>67</v>
      </c>
      <c r="AH14" s="3508">
        <v>133</v>
      </c>
      <c r="AI14" s="171"/>
      <c r="AJ14" s="3506">
        <v>76</v>
      </c>
      <c r="AK14" s="3507">
        <v>50</v>
      </c>
      <c r="AL14" s="3508">
        <v>30</v>
      </c>
      <c r="AM14" s="339"/>
      <c r="AN14" s="3506">
        <v>50</v>
      </c>
      <c r="AO14" s="3507">
        <v>24</v>
      </c>
      <c r="AP14" s="3508">
        <v>17</v>
      </c>
      <c r="AQ14" s="47"/>
      <c r="AR14" s="47"/>
    </row>
    <row r="15" spans="1:44" s="41" customFormat="1">
      <c r="A15" s="5953"/>
      <c r="B15" s="3505" t="s">
        <v>1018</v>
      </c>
      <c r="C15" s="171"/>
      <c r="D15" s="3506">
        <v>76</v>
      </c>
      <c r="E15" s="3507">
        <v>156</v>
      </c>
      <c r="F15" s="3508">
        <v>24</v>
      </c>
      <c r="G15" s="171"/>
      <c r="H15" s="3506">
        <v>36</v>
      </c>
      <c r="I15" s="3507">
        <v>41</v>
      </c>
      <c r="J15" s="3508">
        <v>15</v>
      </c>
      <c r="K15" s="171"/>
      <c r="L15" s="3506">
        <v>30</v>
      </c>
      <c r="M15" s="3507">
        <v>50</v>
      </c>
      <c r="N15" s="3508">
        <v>57</v>
      </c>
      <c r="O15" s="171"/>
      <c r="P15" s="3506">
        <v>91</v>
      </c>
      <c r="Q15" s="3507">
        <v>38</v>
      </c>
      <c r="R15" s="3508">
        <v>32</v>
      </c>
      <c r="S15" s="2832"/>
      <c r="T15" s="3506">
        <v>82</v>
      </c>
      <c r="U15" s="3507">
        <v>44</v>
      </c>
      <c r="V15" s="3508">
        <v>136</v>
      </c>
      <c r="W15" s="171"/>
      <c r="X15" s="3506">
        <v>61</v>
      </c>
      <c r="Y15" s="3507">
        <v>40</v>
      </c>
      <c r="Z15" s="3508">
        <v>108</v>
      </c>
      <c r="AA15" s="171"/>
      <c r="AB15" s="3506">
        <v>70</v>
      </c>
      <c r="AC15" s="3507">
        <v>62</v>
      </c>
      <c r="AD15" s="3508">
        <v>63</v>
      </c>
      <c r="AE15" s="99"/>
      <c r="AF15" s="3506">
        <v>37</v>
      </c>
      <c r="AG15" s="3507">
        <v>39</v>
      </c>
      <c r="AH15" s="3508">
        <v>71</v>
      </c>
      <c r="AI15" s="171"/>
      <c r="AJ15" s="3506">
        <v>59</v>
      </c>
      <c r="AK15" s="3507">
        <v>20</v>
      </c>
      <c r="AL15" s="3508"/>
      <c r="AM15" s="339"/>
      <c r="AN15" s="3506">
        <v>41</v>
      </c>
      <c r="AO15" s="3507">
        <v>24</v>
      </c>
      <c r="AP15" s="3508"/>
      <c r="AQ15" s="47"/>
      <c r="AR15" s="47"/>
    </row>
    <row r="16" spans="1:44" s="41" customFormat="1">
      <c r="A16" s="5954"/>
      <c r="B16" s="3501"/>
      <c r="C16" s="171"/>
      <c r="D16" s="3506"/>
      <c r="E16" s="3507"/>
      <c r="F16" s="3508"/>
      <c r="G16" s="171"/>
      <c r="H16" s="3506"/>
      <c r="I16" s="3507"/>
      <c r="J16" s="3508"/>
      <c r="K16" s="171"/>
      <c r="L16" s="3506"/>
      <c r="M16" s="3507"/>
      <c r="N16" s="3508"/>
      <c r="O16" s="171"/>
      <c r="P16" s="3506"/>
      <c r="Q16" s="3507"/>
      <c r="R16" s="3508"/>
      <c r="S16" s="2832"/>
      <c r="T16" s="3506">
        <v>14</v>
      </c>
      <c r="U16" s="3507">
        <v>16</v>
      </c>
      <c r="V16" s="3508">
        <v>1</v>
      </c>
      <c r="W16" s="171"/>
      <c r="X16" s="3506"/>
      <c r="Y16" s="3507"/>
      <c r="Z16" s="3508"/>
      <c r="AA16" s="171"/>
      <c r="AB16" s="3506"/>
      <c r="AC16" s="3507"/>
      <c r="AD16" s="3508"/>
      <c r="AE16" s="99"/>
      <c r="AF16" s="3506">
        <v>80</v>
      </c>
      <c r="AG16" s="3507">
        <v>64</v>
      </c>
      <c r="AH16" s="3508">
        <v>93</v>
      </c>
      <c r="AI16" s="171"/>
      <c r="AJ16" s="3506">
        <v>9</v>
      </c>
      <c r="AK16" s="3507">
        <v>5</v>
      </c>
      <c r="AL16" s="3508"/>
      <c r="AM16" s="339"/>
      <c r="AN16" s="3506">
        <v>21</v>
      </c>
      <c r="AO16" s="3507">
        <v>21</v>
      </c>
      <c r="AP16" s="3508"/>
      <c r="AQ16" s="47"/>
      <c r="AR16" s="47"/>
    </row>
    <row r="17" spans="1:44" s="41" customFormat="1">
      <c r="A17" s="5962" t="s">
        <v>1021</v>
      </c>
      <c r="B17" s="5962"/>
      <c r="C17" s="171"/>
      <c r="D17" s="3518">
        <f>SUM(D13:D16)</f>
        <v>478</v>
      </c>
      <c r="E17" s="3519">
        <f>SUM(E13:E16)</f>
        <v>561</v>
      </c>
      <c r="F17" s="3520">
        <f>SUM(F13:F16)</f>
        <v>84</v>
      </c>
      <c r="G17" s="171"/>
      <c r="H17" s="3518">
        <f>SUM(H13:H16)</f>
        <v>313</v>
      </c>
      <c r="I17" s="3519">
        <f>SUM(I13:I16)</f>
        <v>453</v>
      </c>
      <c r="J17" s="3520">
        <f>SUM(J13:J16)</f>
        <v>92</v>
      </c>
      <c r="K17" s="171"/>
      <c r="L17" s="3518">
        <f>SUM(L13:L16)</f>
        <v>299</v>
      </c>
      <c r="M17" s="3519">
        <f>SUM(M13:M16)</f>
        <v>406</v>
      </c>
      <c r="N17" s="3520">
        <f>SUM(N13:N16)</f>
        <v>534</v>
      </c>
      <c r="O17" s="171"/>
      <c r="P17" s="3518">
        <f>SUM(P13:P16)</f>
        <v>454</v>
      </c>
      <c r="Q17" s="3519">
        <f>SUM(Q13:Q16)</f>
        <v>350</v>
      </c>
      <c r="R17" s="3520">
        <f>SUM(R13:R16)</f>
        <v>382</v>
      </c>
      <c r="S17" s="2832"/>
      <c r="T17" s="3518">
        <f>SUM(T13:T16)</f>
        <v>449</v>
      </c>
      <c r="U17" s="3519">
        <f>SUM(U13:U16)</f>
        <v>344</v>
      </c>
      <c r="V17" s="3520">
        <f>SUM(V13:V16)</f>
        <v>788</v>
      </c>
      <c r="W17" s="171"/>
      <c r="X17" s="3518">
        <f>SUM(X13:X16)</f>
        <v>340</v>
      </c>
      <c r="Y17" s="3519">
        <f>SUM(Y13:Y16)</f>
        <v>287</v>
      </c>
      <c r="Z17" s="3520">
        <f>SUM(Z13:Z16)</f>
        <v>608</v>
      </c>
      <c r="AA17" s="171"/>
      <c r="AB17" s="3518">
        <f>SUM(AB13:AB16)</f>
        <v>287</v>
      </c>
      <c r="AC17" s="3519">
        <f>SUM(AC13:AC16)</f>
        <v>280</v>
      </c>
      <c r="AD17" s="3520">
        <f>SUM(AD13:AD16)</f>
        <v>496</v>
      </c>
      <c r="AE17" s="99"/>
      <c r="AF17" s="3518">
        <f>SUM(AF13:AF16)</f>
        <v>343</v>
      </c>
      <c r="AG17" s="3519">
        <f>SUM(AG13:AG16)</f>
        <v>274</v>
      </c>
      <c r="AH17" s="3520">
        <f>SUM(AH13:AH16)</f>
        <v>573</v>
      </c>
      <c r="AI17" s="171"/>
      <c r="AJ17" s="3518">
        <f>SUM(AJ13:AJ16)</f>
        <v>284</v>
      </c>
      <c r="AK17" s="3519">
        <f>SUM(AK13:AK16)</f>
        <v>167</v>
      </c>
      <c r="AL17" s="3520">
        <f>SUM(AL13:AL16)</f>
        <v>73</v>
      </c>
      <c r="AM17" s="339"/>
      <c r="AN17" s="3518">
        <f>SUM(AN13:AN16)</f>
        <v>314</v>
      </c>
      <c r="AO17" s="3519">
        <f>SUM(AO13:AO16)</f>
        <v>171</v>
      </c>
      <c r="AP17" s="3520">
        <f>SUM(AP13:AP16)</f>
        <v>45</v>
      </c>
      <c r="AQ17" s="47"/>
      <c r="AR17" s="47"/>
    </row>
    <row r="18" spans="1:44" s="41" customFormat="1">
      <c r="A18" s="3513" t="s">
        <v>1022</v>
      </c>
      <c r="B18" s="3514"/>
      <c r="C18" s="3515"/>
      <c r="D18" s="3517"/>
      <c r="E18" s="3517"/>
      <c r="F18" s="3517"/>
      <c r="G18" s="3515"/>
      <c r="H18" s="3517"/>
      <c r="I18" s="3517"/>
      <c r="J18" s="3517"/>
      <c r="K18" s="3515"/>
      <c r="L18" s="3517"/>
      <c r="M18" s="3517"/>
      <c r="N18" s="3517"/>
      <c r="O18" s="3515"/>
      <c r="P18" s="3517"/>
      <c r="Q18" s="3517"/>
      <c r="R18" s="3517"/>
      <c r="S18" s="2832"/>
      <c r="T18" s="3517"/>
      <c r="U18" s="3517"/>
      <c r="V18" s="3517"/>
      <c r="W18" s="3515"/>
      <c r="X18" s="3517"/>
      <c r="Y18" s="3517"/>
      <c r="Z18" s="3517"/>
      <c r="AA18" s="3515"/>
      <c r="AB18" s="3517"/>
      <c r="AC18" s="3517"/>
      <c r="AD18" s="3517"/>
      <c r="AE18" s="99"/>
      <c r="AF18" s="3517"/>
      <c r="AG18" s="3517"/>
      <c r="AH18" s="3517"/>
      <c r="AI18" s="3515"/>
      <c r="AJ18" s="3517"/>
      <c r="AK18" s="3517"/>
      <c r="AL18" s="3517"/>
      <c r="AM18" s="339"/>
      <c r="AN18" s="3517"/>
      <c r="AO18" s="3517"/>
      <c r="AP18" s="3517"/>
      <c r="AQ18" s="47"/>
      <c r="AR18" s="47"/>
    </row>
    <row r="19" spans="1:44" s="41" customFormat="1">
      <c r="A19" s="99"/>
      <c r="B19" s="99"/>
      <c r="C19" s="99"/>
      <c r="D19" s="2832"/>
      <c r="E19" s="2832"/>
      <c r="F19" s="2832"/>
      <c r="G19" s="99"/>
      <c r="H19" s="2832"/>
      <c r="I19" s="2832"/>
      <c r="J19" s="2832"/>
      <c r="K19" s="99"/>
      <c r="L19" s="2832"/>
      <c r="M19" s="2832"/>
      <c r="N19" s="2832"/>
      <c r="O19" s="99"/>
      <c r="P19" s="2832"/>
      <c r="Q19" s="2832"/>
      <c r="R19" s="2832"/>
      <c r="S19" s="2832"/>
      <c r="T19" s="2832"/>
      <c r="U19" s="2832"/>
      <c r="V19" s="2832"/>
      <c r="W19" s="99"/>
      <c r="X19" s="2832"/>
      <c r="Y19" s="2832"/>
      <c r="Z19" s="2832"/>
      <c r="AA19" s="99"/>
      <c r="AB19" s="2832"/>
      <c r="AC19" s="2832"/>
      <c r="AD19" s="2832"/>
      <c r="AE19" s="99"/>
      <c r="AF19" s="2832"/>
      <c r="AG19" s="2832"/>
      <c r="AH19" s="2832"/>
      <c r="AI19" s="99"/>
      <c r="AJ19" s="2832"/>
      <c r="AK19" s="2832"/>
      <c r="AL19" s="2832"/>
      <c r="AM19" s="339"/>
      <c r="AN19" s="2832"/>
      <c r="AO19" s="2832"/>
      <c r="AP19" s="2832"/>
      <c r="AQ19" s="47"/>
      <c r="AR19" s="47"/>
    </row>
    <row r="20" spans="1:44" s="41" customFormat="1" ht="15" customHeight="1">
      <c r="A20" s="5963" t="s">
        <v>1010</v>
      </c>
      <c r="B20" s="5964" t="s">
        <v>1011</v>
      </c>
      <c r="C20" s="2832"/>
      <c r="E20" s="4866">
        <v>2020</v>
      </c>
      <c r="F20" s="4662" t="s">
        <v>2942</v>
      </c>
      <c r="G20" s="2832"/>
      <c r="I20" s="4660">
        <v>2019</v>
      </c>
      <c r="J20" s="4662" t="s">
        <v>2942</v>
      </c>
      <c r="K20" s="2832"/>
      <c r="L20" s="5951">
        <v>2018</v>
      </c>
      <c r="M20" s="5951"/>
      <c r="N20" s="5951"/>
      <c r="O20" s="2832"/>
      <c r="P20" s="5951">
        <v>2017</v>
      </c>
      <c r="Q20" s="5951"/>
      <c r="R20" s="5951"/>
      <c r="S20" s="2832"/>
      <c r="T20" s="5951">
        <v>2016</v>
      </c>
      <c r="U20" s="5951"/>
      <c r="V20" s="5951"/>
      <c r="W20" s="2832"/>
      <c r="X20" s="5951">
        <v>2015</v>
      </c>
      <c r="Y20" s="5951"/>
      <c r="Z20" s="5951"/>
      <c r="AA20" s="2832"/>
      <c r="AB20" s="5951">
        <v>2014</v>
      </c>
      <c r="AC20" s="5951"/>
      <c r="AD20" s="5951"/>
      <c r="AE20" s="2832"/>
      <c r="AF20" s="5951">
        <v>2013</v>
      </c>
      <c r="AG20" s="5951"/>
      <c r="AH20" s="5951"/>
      <c r="AI20" s="2832"/>
      <c r="AJ20" s="5951">
        <v>2012</v>
      </c>
      <c r="AK20" s="5951"/>
      <c r="AL20" s="5951"/>
      <c r="AM20" s="3499"/>
      <c r="AN20" s="5951">
        <v>2011</v>
      </c>
      <c r="AO20" s="5951"/>
      <c r="AP20" s="5951"/>
    </row>
    <row r="21" spans="1:44" s="41" customFormat="1" ht="15" customHeight="1" thickBot="1">
      <c r="A21" s="5963"/>
      <c r="B21" s="5964"/>
      <c r="C21" s="2832"/>
      <c r="D21" s="4653" t="s">
        <v>1012</v>
      </c>
      <c r="E21" s="4653" t="s">
        <v>1013</v>
      </c>
      <c r="F21" s="4653" t="s">
        <v>2941</v>
      </c>
      <c r="G21" s="2832"/>
      <c r="H21" s="4653" t="s">
        <v>1012</v>
      </c>
      <c r="I21" s="4653" t="s">
        <v>1013</v>
      </c>
      <c r="J21" s="4653" t="s">
        <v>2941</v>
      </c>
      <c r="K21" s="4654"/>
      <c r="L21" s="4653" t="s">
        <v>1012</v>
      </c>
      <c r="M21" s="4653" t="s">
        <v>1013</v>
      </c>
      <c r="N21" s="4653" t="s">
        <v>1014</v>
      </c>
      <c r="O21" s="4654"/>
      <c r="P21" s="4653" t="s">
        <v>1012</v>
      </c>
      <c r="Q21" s="4653" t="s">
        <v>1013</v>
      </c>
      <c r="R21" s="4653" t="s">
        <v>1014</v>
      </c>
      <c r="S21" s="4654"/>
      <c r="T21" s="4653" t="s">
        <v>1012</v>
      </c>
      <c r="U21" s="4653" t="s">
        <v>1013</v>
      </c>
      <c r="V21" s="4653" t="s">
        <v>1014</v>
      </c>
      <c r="W21" s="4654"/>
      <c r="X21" s="4653" t="s">
        <v>1012</v>
      </c>
      <c r="Y21" s="4653" t="s">
        <v>1013</v>
      </c>
      <c r="Z21" s="4653" t="s">
        <v>1014</v>
      </c>
      <c r="AA21" s="4654"/>
      <c r="AB21" s="4653" t="s">
        <v>1012</v>
      </c>
      <c r="AC21" s="4653" t="s">
        <v>1013</v>
      </c>
      <c r="AD21" s="4653" t="s">
        <v>1014</v>
      </c>
      <c r="AE21" s="4654"/>
      <c r="AF21" s="4653" t="s">
        <v>1012</v>
      </c>
      <c r="AG21" s="4653" t="s">
        <v>1013</v>
      </c>
      <c r="AH21" s="4653" t="s">
        <v>1014</v>
      </c>
      <c r="AI21" s="4654"/>
      <c r="AJ21" s="4653" t="s">
        <v>1012</v>
      </c>
      <c r="AK21" s="4653" t="s">
        <v>1013</v>
      </c>
      <c r="AL21" s="4653" t="s">
        <v>1014</v>
      </c>
      <c r="AM21" s="4655"/>
      <c r="AN21" s="4653" t="s">
        <v>1012</v>
      </c>
      <c r="AO21" s="4653" t="s">
        <v>1013</v>
      </c>
      <c r="AP21" s="4653" t="s">
        <v>1014</v>
      </c>
    </row>
    <row r="22" spans="1:44" s="41" customFormat="1">
      <c r="A22" s="5967" t="s">
        <v>1015</v>
      </c>
      <c r="B22" s="3501" t="s">
        <v>1016</v>
      </c>
      <c r="C22" s="99"/>
      <c r="D22" s="3521">
        <v>652</v>
      </c>
      <c r="E22" s="3522">
        <v>705</v>
      </c>
      <c r="F22" s="3523">
        <v>1249</v>
      </c>
      <c r="G22" s="99"/>
      <c r="H22" s="3521">
        <v>1004</v>
      </c>
      <c r="I22" s="3522">
        <v>634</v>
      </c>
      <c r="J22" s="3523">
        <v>1249</v>
      </c>
      <c r="K22" s="99"/>
      <c r="L22" s="3521">
        <v>1199</v>
      </c>
      <c r="M22" s="3522">
        <v>1155</v>
      </c>
      <c r="N22" s="3523">
        <v>1249</v>
      </c>
      <c r="O22" s="99"/>
      <c r="P22" s="3521">
        <v>2465</v>
      </c>
      <c r="Q22" s="3522">
        <v>2328</v>
      </c>
      <c r="R22" s="3523">
        <v>2295</v>
      </c>
      <c r="S22" s="2832"/>
      <c r="T22" s="3521">
        <v>1675</v>
      </c>
      <c r="U22" s="3522">
        <v>1567</v>
      </c>
      <c r="V22" s="3523">
        <v>1516</v>
      </c>
      <c r="W22" s="99"/>
      <c r="X22" s="3521">
        <v>2091</v>
      </c>
      <c r="Y22" s="3522">
        <v>1734</v>
      </c>
      <c r="Z22" s="3523">
        <v>1424</v>
      </c>
      <c r="AA22" s="99"/>
      <c r="AB22" s="3521">
        <v>2054</v>
      </c>
      <c r="AC22" s="3522">
        <v>1907</v>
      </c>
      <c r="AD22" s="3523">
        <v>2195</v>
      </c>
      <c r="AE22" s="99"/>
      <c r="AF22" s="3521">
        <v>1963</v>
      </c>
      <c r="AG22" s="3522">
        <v>1757</v>
      </c>
      <c r="AH22" s="3523">
        <v>1994</v>
      </c>
      <c r="AI22" s="99"/>
      <c r="AJ22" s="3521">
        <v>1646</v>
      </c>
      <c r="AK22" s="3522">
        <v>1459</v>
      </c>
      <c r="AL22" s="3523">
        <v>1998</v>
      </c>
      <c r="AM22" s="339"/>
      <c r="AN22" s="3521">
        <v>1022</v>
      </c>
      <c r="AO22" s="3522">
        <v>1061</v>
      </c>
      <c r="AP22" s="3523">
        <v>1068</v>
      </c>
    </row>
    <row r="23" spans="1:44" s="41" customFormat="1">
      <c r="A23" s="5967"/>
      <c r="B23" s="3505" t="s">
        <v>1017</v>
      </c>
      <c r="C23" s="99"/>
      <c r="D23" s="3524">
        <v>51</v>
      </c>
      <c r="E23" s="3525">
        <v>28</v>
      </c>
      <c r="F23" s="3526">
        <v>1130</v>
      </c>
      <c r="G23" s="99"/>
      <c r="H23" s="3524">
        <v>30</v>
      </c>
      <c r="I23" s="3525">
        <v>24</v>
      </c>
      <c r="J23" s="3526">
        <v>1130</v>
      </c>
      <c r="K23" s="99"/>
      <c r="L23" s="3524">
        <v>1197</v>
      </c>
      <c r="M23" s="3525">
        <v>1152</v>
      </c>
      <c r="N23" s="3526">
        <v>1130</v>
      </c>
      <c r="O23" s="99"/>
      <c r="P23" s="3524">
        <v>418</v>
      </c>
      <c r="Q23" s="3525">
        <v>430</v>
      </c>
      <c r="R23" s="3526">
        <v>413</v>
      </c>
      <c r="S23" s="2832"/>
      <c r="T23" s="3524">
        <v>1252</v>
      </c>
      <c r="U23" s="3525">
        <v>1260</v>
      </c>
      <c r="V23" s="3526">
        <v>1276</v>
      </c>
      <c r="W23" s="99"/>
      <c r="X23" s="3524">
        <v>1287</v>
      </c>
      <c r="Y23" s="3525">
        <v>1369</v>
      </c>
      <c r="Z23" s="3526">
        <v>1443</v>
      </c>
      <c r="AA23" s="99"/>
      <c r="AB23" s="3524">
        <v>1025</v>
      </c>
      <c r="AC23" s="3525">
        <v>997</v>
      </c>
      <c r="AD23" s="3526">
        <v>1101</v>
      </c>
      <c r="AE23" s="99"/>
      <c r="AF23" s="3524">
        <v>949</v>
      </c>
      <c r="AG23" s="3525">
        <v>946</v>
      </c>
      <c r="AH23" s="3526">
        <v>1087</v>
      </c>
      <c r="AI23" s="99"/>
      <c r="AJ23" s="3524">
        <v>494</v>
      </c>
      <c r="AK23" s="3525">
        <v>548</v>
      </c>
      <c r="AL23" s="3526">
        <v>699</v>
      </c>
      <c r="AM23" s="339"/>
      <c r="AN23" s="3524">
        <v>429</v>
      </c>
      <c r="AO23" s="3525">
        <v>455</v>
      </c>
      <c r="AP23" s="3526">
        <v>394</v>
      </c>
    </row>
    <row r="24" spans="1:44" s="41" customFormat="1">
      <c r="A24" s="5967"/>
      <c r="B24" s="3509" t="s">
        <v>1018</v>
      </c>
      <c r="C24" s="99"/>
      <c r="D24" s="3527">
        <v>84</v>
      </c>
      <c r="E24" s="3528">
        <v>66</v>
      </c>
      <c r="F24" s="3529">
        <v>154</v>
      </c>
      <c r="G24" s="99"/>
      <c r="H24" s="3527">
        <v>148</v>
      </c>
      <c r="I24" s="3528">
        <v>112</v>
      </c>
      <c r="J24" s="3529">
        <v>154</v>
      </c>
      <c r="K24" s="99"/>
      <c r="L24" s="3527">
        <v>115</v>
      </c>
      <c r="M24" s="3528">
        <v>144</v>
      </c>
      <c r="N24" s="3529">
        <v>154</v>
      </c>
      <c r="O24" s="99"/>
      <c r="P24" s="3527">
        <v>176</v>
      </c>
      <c r="Q24" s="3528">
        <v>184</v>
      </c>
      <c r="R24" s="3529">
        <v>190</v>
      </c>
      <c r="S24" s="2832"/>
      <c r="T24" s="3527">
        <v>142</v>
      </c>
      <c r="U24" s="3528">
        <v>185</v>
      </c>
      <c r="V24" s="3529">
        <v>157</v>
      </c>
      <c r="W24" s="99"/>
      <c r="X24" s="3527">
        <v>107</v>
      </c>
      <c r="Y24" s="3528">
        <v>140</v>
      </c>
      <c r="Z24" s="3529">
        <v>278</v>
      </c>
      <c r="AA24" s="99"/>
      <c r="AB24" s="3527">
        <v>99</v>
      </c>
      <c r="AC24" s="3528">
        <v>88</v>
      </c>
      <c r="AD24" s="3529">
        <v>185</v>
      </c>
      <c r="AE24" s="99"/>
      <c r="AF24" s="3527">
        <v>62</v>
      </c>
      <c r="AG24" s="3528">
        <v>113</v>
      </c>
      <c r="AH24" s="3529">
        <v>101</v>
      </c>
      <c r="AI24" s="99"/>
      <c r="AJ24" s="3527">
        <v>53</v>
      </c>
      <c r="AK24" s="3528">
        <v>49</v>
      </c>
      <c r="AL24" s="3529">
        <v>65</v>
      </c>
      <c r="AM24" s="339"/>
      <c r="AN24" s="3527">
        <v>50</v>
      </c>
      <c r="AO24" s="3528">
        <v>65</v>
      </c>
      <c r="AP24" s="3529">
        <v>45</v>
      </c>
    </row>
    <row r="25" spans="1:44" s="41" customFormat="1" ht="15" customHeight="1">
      <c r="A25" s="5968" t="s">
        <v>1024</v>
      </c>
      <c r="B25" s="5968"/>
      <c r="C25" s="99"/>
      <c r="D25" s="3530">
        <f>SUM(D22:D24)</f>
        <v>787</v>
      </c>
      <c r="E25" s="3531">
        <f>SUM(E22:E24)</f>
        <v>799</v>
      </c>
      <c r="F25" s="3532">
        <f>SUM(F22:F24)</f>
        <v>2533</v>
      </c>
      <c r="G25" s="99"/>
      <c r="H25" s="3530">
        <f>SUM(H22:H24)</f>
        <v>1182</v>
      </c>
      <c r="I25" s="3531">
        <f>SUM(I22:I24)</f>
        <v>770</v>
      </c>
      <c r="J25" s="3532">
        <f>SUM(J22:J24)</f>
        <v>2533</v>
      </c>
      <c r="K25" s="99"/>
      <c r="L25" s="3530">
        <f>SUM(L22:L24)</f>
        <v>2511</v>
      </c>
      <c r="M25" s="3531">
        <f>SUM(M22:M24)</f>
        <v>2451</v>
      </c>
      <c r="N25" s="3532">
        <f>SUM(N22:N24)</f>
        <v>2533</v>
      </c>
      <c r="O25" s="99"/>
      <c r="P25" s="3530">
        <f>SUM(P22:P24)</f>
        <v>3059</v>
      </c>
      <c r="Q25" s="3531">
        <f>SUM(Q22:Q24)</f>
        <v>2942</v>
      </c>
      <c r="R25" s="3532">
        <f>SUM(R22:R24)</f>
        <v>2898</v>
      </c>
      <c r="S25" s="2832"/>
      <c r="T25" s="3530">
        <f>SUM(T22:T24)</f>
        <v>3069</v>
      </c>
      <c r="U25" s="3531">
        <f>SUM(U22:U24)</f>
        <v>3012</v>
      </c>
      <c r="V25" s="3532">
        <f>SUM(V22:V24)</f>
        <v>2949</v>
      </c>
      <c r="W25" s="99"/>
      <c r="X25" s="3530">
        <f>SUM(X22:X24)</f>
        <v>3485</v>
      </c>
      <c r="Y25" s="3531">
        <f>SUM(Y22:Y24)</f>
        <v>3243</v>
      </c>
      <c r="Z25" s="3532">
        <f>SUM(Z22:Z24)</f>
        <v>3145</v>
      </c>
      <c r="AA25" s="99"/>
      <c r="AB25" s="3530">
        <f>SUM(AB22:AB24)</f>
        <v>3178</v>
      </c>
      <c r="AC25" s="3531">
        <f>SUM(AC22:AC24)</f>
        <v>2992</v>
      </c>
      <c r="AD25" s="3532">
        <f>SUM(AD22:AD24)</f>
        <v>3481</v>
      </c>
      <c r="AE25" s="1136"/>
      <c r="AF25" s="3530">
        <f>SUM(AF22:AF24)</f>
        <v>2974</v>
      </c>
      <c r="AG25" s="3531">
        <f>SUM(AG22:AG24)</f>
        <v>2816</v>
      </c>
      <c r="AH25" s="3532">
        <f>SUM(AH22:AH24)</f>
        <v>3182</v>
      </c>
      <c r="AI25" s="1136"/>
      <c r="AJ25" s="3530">
        <f>SUM(AJ22:AJ24)</f>
        <v>2193</v>
      </c>
      <c r="AK25" s="3531">
        <f>SUM(AK22:AK24)</f>
        <v>2056</v>
      </c>
      <c r="AL25" s="3532">
        <f>SUM(AL22:AL24)</f>
        <v>2762</v>
      </c>
      <c r="AM25" s="339"/>
      <c r="AN25" s="3530">
        <f>SUM(AN22:AN24)</f>
        <v>1501</v>
      </c>
      <c r="AO25" s="3531">
        <f>SUM(AO22:AO24)</f>
        <v>1581</v>
      </c>
      <c r="AP25" s="3532">
        <f>SUM(AP22:AP24)</f>
        <v>1507</v>
      </c>
    </row>
    <row r="26" spans="1:44" s="41" customFormat="1" ht="15" customHeight="1">
      <c r="A26" s="3533" t="s">
        <v>1025</v>
      </c>
      <c r="B26" s="3534"/>
      <c r="C26" s="99"/>
      <c r="D26" s="2832"/>
      <c r="E26" s="2832"/>
      <c r="F26" s="2832"/>
      <c r="G26" s="99"/>
      <c r="H26" s="2832"/>
      <c r="I26" s="2832"/>
      <c r="J26" s="2832"/>
      <c r="K26" s="99"/>
      <c r="L26" s="2832"/>
      <c r="M26" s="2832"/>
      <c r="N26" s="2832"/>
      <c r="O26" s="99"/>
      <c r="P26" s="2832"/>
      <c r="Q26" s="2832"/>
      <c r="R26" s="2832"/>
      <c r="S26" s="2832"/>
      <c r="T26" s="2832"/>
      <c r="U26" s="2832"/>
      <c r="V26" s="2832"/>
      <c r="W26" s="99"/>
      <c r="X26" s="2832"/>
      <c r="Y26" s="2832"/>
      <c r="Z26" s="2832"/>
      <c r="AA26" s="99"/>
      <c r="AB26" s="2832"/>
      <c r="AC26" s="2832"/>
      <c r="AD26" s="2832"/>
      <c r="AE26" s="99"/>
      <c r="AF26" s="2832"/>
      <c r="AG26" s="2832"/>
      <c r="AH26" s="2832"/>
      <c r="AI26" s="99"/>
      <c r="AJ26" s="2832"/>
      <c r="AK26" s="2832"/>
      <c r="AL26" s="2832"/>
      <c r="AM26" s="339"/>
      <c r="AN26" s="2832"/>
      <c r="AO26" s="2832"/>
      <c r="AP26" s="2832"/>
    </row>
    <row r="27" spans="1:44" s="41" customFormat="1">
      <c r="A27" s="1136"/>
      <c r="B27" s="1136"/>
      <c r="C27" s="1136"/>
      <c r="D27" s="3535"/>
      <c r="E27" s="3535"/>
      <c r="G27" s="1136"/>
      <c r="H27" s="3535"/>
      <c r="I27" s="3535"/>
      <c r="K27" s="1136"/>
      <c r="L27" s="3535"/>
      <c r="M27" s="3535"/>
      <c r="N27" s="3535"/>
      <c r="O27" s="1136"/>
      <c r="P27" s="3535"/>
      <c r="Q27" s="3535"/>
      <c r="R27" s="3535"/>
      <c r="S27" s="2832"/>
      <c r="T27" s="3535"/>
      <c r="U27" s="3535"/>
      <c r="V27" s="3535"/>
      <c r="W27" s="1136"/>
      <c r="X27" s="3535"/>
      <c r="Y27" s="3535"/>
      <c r="Z27" s="3535"/>
      <c r="AA27" s="1136"/>
      <c r="AB27" s="3535"/>
      <c r="AC27" s="3535"/>
      <c r="AD27" s="3535"/>
      <c r="AE27" s="99"/>
      <c r="AF27" s="3535"/>
      <c r="AG27" s="3535"/>
      <c r="AH27" s="3535"/>
      <c r="AI27" s="1136"/>
      <c r="AJ27" s="3535"/>
      <c r="AK27" s="3535"/>
      <c r="AL27" s="3535"/>
      <c r="AM27" s="339"/>
      <c r="AN27" s="3535"/>
      <c r="AO27" s="3535"/>
      <c r="AP27" s="3535"/>
    </row>
    <row r="28" spans="1:44" s="41" customFormat="1">
      <c r="A28" s="5965" t="s">
        <v>1010</v>
      </c>
      <c r="B28" s="5966" t="s">
        <v>1011</v>
      </c>
      <c r="C28" s="2832"/>
      <c r="D28" s="5951">
        <v>2020</v>
      </c>
      <c r="E28" s="5951"/>
      <c r="F28" s="5951"/>
      <c r="G28" s="2832"/>
      <c r="H28" s="5951">
        <v>2019</v>
      </c>
      <c r="I28" s="5951"/>
      <c r="J28" s="5951"/>
      <c r="K28" s="2832"/>
      <c r="L28" s="5951">
        <v>2018</v>
      </c>
      <c r="M28" s="5951"/>
      <c r="N28" s="5951"/>
      <c r="O28" s="2832"/>
      <c r="P28" s="5951" t="s">
        <v>2945</v>
      </c>
      <c r="Q28" s="5951"/>
      <c r="R28" s="5951"/>
      <c r="S28" s="2832"/>
      <c r="T28" s="5951">
        <v>2016</v>
      </c>
      <c r="U28" s="5951"/>
      <c r="V28" s="5951"/>
      <c r="W28" s="2832"/>
      <c r="X28" s="5951">
        <v>2015</v>
      </c>
      <c r="Y28" s="5951"/>
      <c r="Z28" s="5951"/>
      <c r="AA28" s="2832"/>
      <c r="AB28" s="5951">
        <v>2014</v>
      </c>
      <c r="AC28" s="5951"/>
      <c r="AD28" s="5951"/>
      <c r="AE28" s="2832"/>
      <c r="AF28" s="5951">
        <v>2013</v>
      </c>
      <c r="AG28" s="5951"/>
      <c r="AH28" s="5951"/>
      <c r="AI28" s="1136"/>
      <c r="AJ28" s="99"/>
      <c r="AK28" s="99"/>
      <c r="AL28" s="99"/>
      <c r="AM28" s="99"/>
      <c r="AN28" s="99"/>
      <c r="AO28" s="99"/>
      <c r="AP28" s="99"/>
    </row>
    <row r="29" spans="1:44" s="41" customFormat="1" ht="15" thickBot="1">
      <c r="A29" s="5965"/>
      <c r="B29" s="5966"/>
      <c r="C29" s="2832"/>
      <c r="D29" s="4645" t="s">
        <v>1012</v>
      </c>
      <c r="E29" s="4645" t="s">
        <v>1013</v>
      </c>
      <c r="F29" s="4645" t="s">
        <v>2941</v>
      </c>
      <c r="G29" s="2832"/>
      <c r="H29" s="4645" t="s">
        <v>1012</v>
      </c>
      <c r="I29" s="4645" t="s">
        <v>1013</v>
      </c>
      <c r="J29" s="4645" t="s">
        <v>2941</v>
      </c>
      <c r="K29" s="4646"/>
      <c r="L29" s="4645" t="s">
        <v>1012</v>
      </c>
      <c r="M29" s="4645" t="s">
        <v>1013</v>
      </c>
      <c r="N29" s="4645" t="s">
        <v>1014</v>
      </c>
      <c r="O29" s="4646"/>
      <c r="P29" s="4645" t="s">
        <v>1012</v>
      </c>
      <c r="Q29" s="4645" t="s">
        <v>1013</v>
      </c>
      <c r="R29" s="4645" t="s">
        <v>1014</v>
      </c>
      <c r="S29" s="2832"/>
      <c r="T29" s="4645" t="s">
        <v>1012</v>
      </c>
      <c r="U29" s="4645" t="s">
        <v>1013</v>
      </c>
      <c r="V29" s="4645" t="s">
        <v>1014</v>
      </c>
      <c r="W29" s="4646"/>
      <c r="X29" s="4645" t="s">
        <v>1012</v>
      </c>
      <c r="Y29" s="4645" t="s">
        <v>1013</v>
      </c>
      <c r="Z29" s="4645" t="s">
        <v>1014</v>
      </c>
      <c r="AA29" s="4646"/>
      <c r="AB29" s="4645" t="s">
        <v>1012</v>
      </c>
      <c r="AC29" s="4645" t="s">
        <v>1013</v>
      </c>
      <c r="AD29" s="4645" t="s">
        <v>1014</v>
      </c>
      <c r="AE29" s="4646"/>
      <c r="AF29" s="4645" t="s">
        <v>1012</v>
      </c>
      <c r="AG29" s="4645" t="s">
        <v>1013</v>
      </c>
      <c r="AH29" s="4645" t="s">
        <v>1014</v>
      </c>
      <c r="AI29" s="1136"/>
      <c r="AJ29" s="99"/>
      <c r="AK29" s="99"/>
      <c r="AL29" s="99"/>
      <c r="AM29" s="99"/>
      <c r="AN29" s="99"/>
      <c r="AO29" s="99"/>
      <c r="AP29" s="99"/>
    </row>
    <row r="30" spans="1:44" s="41" customFormat="1">
      <c r="A30" s="5967" t="s">
        <v>1015</v>
      </c>
      <c r="B30" s="3501" t="s">
        <v>1016</v>
      </c>
      <c r="C30" s="99"/>
      <c r="D30" s="3521"/>
      <c r="E30" s="3522"/>
      <c r="F30" s="3523">
        <v>125</v>
      </c>
      <c r="G30" s="99"/>
      <c r="H30" s="3521"/>
      <c r="I30" s="3522"/>
      <c r="J30" s="3523">
        <v>125</v>
      </c>
      <c r="K30" s="99"/>
      <c r="L30" s="3521"/>
      <c r="M30" s="3522">
        <v>40</v>
      </c>
      <c r="N30" s="3523">
        <v>125</v>
      </c>
      <c r="O30" s="99"/>
      <c r="P30" s="3521"/>
      <c r="Q30" s="3522">
        <v>12</v>
      </c>
      <c r="R30" s="3523"/>
      <c r="S30" s="2832"/>
      <c r="T30" s="3521"/>
      <c r="U30" s="3522">
        <v>12</v>
      </c>
      <c r="V30" s="3523"/>
      <c r="W30" s="99"/>
      <c r="X30" s="3521">
        <v>24</v>
      </c>
      <c r="Y30" s="3522">
        <v>89</v>
      </c>
      <c r="Z30" s="3523">
        <v>24</v>
      </c>
      <c r="AA30" s="99"/>
      <c r="AB30" s="3521"/>
      <c r="AC30" s="3522"/>
      <c r="AD30" s="3523">
        <v>50</v>
      </c>
      <c r="AE30" s="99"/>
      <c r="AF30" s="3521">
        <v>37</v>
      </c>
      <c r="AG30" s="3522"/>
      <c r="AH30" s="3523">
        <v>16</v>
      </c>
      <c r="AI30" s="1136"/>
      <c r="AJ30" s="99"/>
      <c r="AK30" s="99"/>
      <c r="AL30" s="99"/>
      <c r="AM30" s="99"/>
      <c r="AN30" s="99"/>
      <c r="AO30" s="99"/>
      <c r="AP30" s="99"/>
    </row>
    <row r="31" spans="1:44" s="41" customFormat="1">
      <c r="A31" s="5967"/>
      <c r="B31" s="3505" t="s">
        <v>1017</v>
      </c>
      <c r="C31" s="99"/>
      <c r="D31" s="3524"/>
      <c r="E31" s="3525"/>
      <c r="F31" s="3526">
        <v>42</v>
      </c>
      <c r="G31" s="99"/>
      <c r="H31" s="3524"/>
      <c r="I31" s="3525"/>
      <c r="J31" s="3526">
        <v>42</v>
      </c>
      <c r="K31" s="99"/>
      <c r="L31" s="3524"/>
      <c r="M31" s="3525">
        <v>33</v>
      </c>
      <c r="N31" s="3526">
        <v>42</v>
      </c>
      <c r="O31" s="99"/>
      <c r="P31" s="3524"/>
      <c r="Q31" s="3525">
        <v>17</v>
      </c>
      <c r="R31" s="3526"/>
      <c r="S31" s="2832"/>
      <c r="T31" s="3524"/>
      <c r="U31" s="3525">
        <v>17</v>
      </c>
      <c r="V31" s="3526"/>
      <c r="W31" s="99"/>
      <c r="X31" s="3524"/>
      <c r="Y31" s="3525"/>
      <c r="Z31" s="3526"/>
      <c r="AA31" s="99"/>
      <c r="AB31" s="3524"/>
      <c r="AC31" s="3525"/>
      <c r="AD31" s="3526"/>
      <c r="AE31" s="99"/>
      <c r="AF31" s="3524"/>
      <c r="AG31" s="3525">
        <v>23</v>
      </c>
      <c r="AH31" s="3526">
        <v>25</v>
      </c>
      <c r="AI31" s="1136"/>
      <c r="AJ31" s="99"/>
      <c r="AK31" s="99"/>
      <c r="AL31" s="99"/>
      <c r="AM31" s="99"/>
      <c r="AN31" s="99"/>
      <c r="AO31" s="99"/>
      <c r="AP31" s="99"/>
    </row>
    <row r="32" spans="1:44" s="41" customFormat="1">
      <c r="A32" s="5967"/>
      <c r="B32" s="3509" t="s">
        <v>1018</v>
      </c>
      <c r="C32" s="99"/>
      <c r="D32" s="3527"/>
      <c r="E32" s="3528"/>
      <c r="F32" s="3529">
        <v>9</v>
      </c>
      <c r="G32" s="99"/>
      <c r="H32" s="3527"/>
      <c r="I32" s="3528"/>
      <c r="J32" s="3529">
        <v>9</v>
      </c>
      <c r="K32" s="99"/>
      <c r="L32" s="3527"/>
      <c r="M32" s="3528">
        <v>14</v>
      </c>
      <c r="N32" s="3529">
        <v>9</v>
      </c>
      <c r="O32" s="99"/>
      <c r="P32" s="3527"/>
      <c r="Q32" s="3528">
        <v>5</v>
      </c>
      <c r="R32" s="3529"/>
      <c r="S32" s="2832"/>
      <c r="T32" s="3527"/>
      <c r="U32" s="3528">
        <v>5</v>
      </c>
      <c r="V32" s="3529"/>
      <c r="W32" s="99"/>
      <c r="X32" s="3527"/>
      <c r="Y32" s="3528"/>
      <c r="Z32" s="3529"/>
      <c r="AA32" s="99"/>
      <c r="AB32" s="3527"/>
      <c r="AC32" s="3528"/>
      <c r="AD32" s="3529"/>
      <c r="AE32" s="99"/>
      <c r="AF32" s="3527"/>
      <c r="AG32" s="3528"/>
      <c r="AH32" s="3529">
        <v>25</v>
      </c>
      <c r="AI32" s="1136"/>
      <c r="AJ32" s="99"/>
      <c r="AK32" s="99"/>
      <c r="AL32" s="99"/>
      <c r="AM32" s="99"/>
      <c r="AN32" s="99"/>
      <c r="AO32" s="99"/>
      <c r="AP32" s="99"/>
    </row>
    <row r="33" spans="1:44" s="41" customFormat="1">
      <c r="A33" s="5970" t="s">
        <v>1026</v>
      </c>
      <c r="B33" s="5970"/>
      <c r="C33" s="99"/>
      <c r="D33" s="3536"/>
      <c r="E33" s="3537">
        <f>SUM(E30:E32)</f>
        <v>0</v>
      </c>
      <c r="F33" s="3538">
        <f>SUM(F30:F32)</f>
        <v>176</v>
      </c>
      <c r="G33" s="99"/>
      <c r="H33" s="3536"/>
      <c r="I33" s="3537">
        <f>SUM(I30:I32)</f>
        <v>0</v>
      </c>
      <c r="J33" s="3538">
        <f>SUM(J30:J32)</f>
        <v>176</v>
      </c>
      <c r="K33" s="99"/>
      <c r="L33" s="3536"/>
      <c r="M33" s="3537">
        <f>SUM(M30:M32)</f>
        <v>87</v>
      </c>
      <c r="N33" s="3538">
        <f>SUM(N30:N32)</f>
        <v>176</v>
      </c>
      <c r="O33" s="99"/>
      <c r="P33" s="3536">
        <f>SUM(P30:P32)</f>
        <v>0</v>
      </c>
      <c r="Q33" s="3537">
        <f>SUM(Q30:Q32)</f>
        <v>34</v>
      </c>
      <c r="R33" s="3538">
        <f>SUM(R30:R32)</f>
        <v>0</v>
      </c>
      <c r="S33" s="2832"/>
      <c r="T33" s="3536">
        <f>SUM(T30:T32)</f>
        <v>0</v>
      </c>
      <c r="U33" s="3537">
        <f>SUM(U30:U32)</f>
        <v>34</v>
      </c>
      <c r="V33" s="3538">
        <f>SUM(V30:V32)</f>
        <v>0</v>
      </c>
      <c r="W33" s="99"/>
      <c r="X33" s="3536">
        <f>SUM(X30:X32)</f>
        <v>24</v>
      </c>
      <c r="Y33" s="3537">
        <f>SUM(Y30:Y32)</f>
        <v>89</v>
      </c>
      <c r="Z33" s="3538">
        <f>SUM(Z30:Z32)</f>
        <v>24</v>
      </c>
      <c r="AA33" s="99"/>
      <c r="AB33" s="3536">
        <f>SUM(AB30:AB32)</f>
        <v>0</v>
      </c>
      <c r="AC33" s="3537">
        <f>SUM(AC30:AC32)</f>
        <v>0</v>
      </c>
      <c r="AD33" s="3538">
        <f>SUM(AD30:AD32)</f>
        <v>50</v>
      </c>
      <c r="AE33" s="99"/>
      <c r="AF33" s="3536">
        <f>SUM(AF30:AF32)</f>
        <v>37</v>
      </c>
      <c r="AG33" s="3537">
        <f>SUM(AG30:AG32)</f>
        <v>23</v>
      </c>
      <c r="AH33" s="3538">
        <f>SUM(AH30:AH32)</f>
        <v>66</v>
      </c>
      <c r="AI33" s="1136"/>
      <c r="AJ33" s="99"/>
      <c r="AK33" s="99"/>
      <c r="AL33" s="99"/>
      <c r="AM33" s="99"/>
      <c r="AN33" s="99"/>
      <c r="AO33" s="99"/>
      <c r="AP33" s="99"/>
    </row>
    <row r="34" spans="1:44" s="41" customFormat="1">
      <c r="A34" s="99"/>
      <c r="B34" s="99"/>
      <c r="C34" s="99"/>
      <c r="D34" s="3539"/>
      <c r="E34" s="3535"/>
      <c r="F34" s="4661" t="s">
        <v>2942</v>
      </c>
      <c r="G34" s="99"/>
      <c r="H34" s="3539"/>
      <c r="I34" s="3535"/>
      <c r="J34" s="4661" t="s">
        <v>2942</v>
      </c>
      <c r="K34" s="99"/>
      <c r="L34" s="3539"/>
      <c r="M34" s="3535"/>
      <c r="N34" s="3535"/>
      <c r="O34" s="99"/>
      <c r="P34" s="4661" t="s">
        <v>2940</v>
      </c>
      <c r="Q34" s="3535"/>
      <c r="R34" s="3535"/>
      <c r="S34" s="2832"/>
      <c r="T34" s="3539"/>
      <c r="U34" s="3535"/>
      <c r="V34" s="3535"/>
      <c r="W34" s="1136"/>
      <c r="X34" s="3539"/>
      <c r="Y34" s="3535"/>
      <c r="Z34" s="3535"/>
      <c r="AA34" s="1136"/>
      <c r="AB34" s="3539"/>
      <c r="AC34" s="3535"/>
      <c r="AD34" s="3535"/>
      <c r="AE34" s="1136"/>
      <c r="AF34" s="3539"/>
      <c r="AG34" s="3535"/>
      <c r="AH34" s="3535"/>
      <c r="AI34" s="1136"/>
      <c r="AJ34" s="3539"/>
      <c r="AK34" s="3535"/>
      <c r="AL34" s="3535"/>
      <c r="AM34" s="339"/>
      <c r="AN34" s="3539"/>
      <c r="AO34" s="3535"/>
      <c r="AP34" s="3535"/>
    </row>
    <row r="35" spans="1:44" s="41" customFormat="1">
      <c r="A35" s="99"/>
      <c r="B35" s="99"/>
      <c r="C35" s="99"/>
      <c r="D35" s="2832"/>
      <c r="E35" s="2832"/>
      <c r="F35" s="2832"/>
      <c r="G35" s="99"/>
      <c r="H35" s="2832"/>
      <c r="I35" s="2832"/>
      <c r="J35" s="2832"/>
      <c r="K35" s="99"/>
      <c r="L35" s="2832"/>
      <c r="M35" s="2832"/>
      <c r="N35" s="2832"/>
      <c r="O35" s="99"/>
      <c r="P35" s="2832"/>
      <c r="Q35" s="2832"/>
      <c r="R35" s="2832"/>
      <c r="S35" s="2832"/>
      <c r="T35" s="2832"/>
      <c r="U35" s="2832"/>
      <c r="V35" s="2832"/>
      <c r="W35" s="99"/>
      <c r="X35" s="2832"/>
      <c r="Y35" s="2832"/>
      <c r="Z35" s="2832"/>
      <c r="AA35" s="99"/>
      <c r="AB35" s="2832"/>
      <c r="AC35" s="2832"/>
      <c r="AD35" s="2832"/>
      <c r="AE35" s="99"/>
      <c r="AF35" s="2832"/>
      <c r="AG35" s="2832"/>
      <c r="AH35" s="2832"/>
      <c r="AI35" s="99"/>
      <c r="AJ35" s="2832"/>
      <c r="AK35" s="2832"/>
      <c r="AL35" s="2832"/>
      <c r="AM35" s="339"/>
      <c r="AN35" s="2832"/>
      <c r="AO35" s="2832"/>
      <c r="AP35" s="2832"/>
      <c r="AQ35" s="47"/>
      <c r="AR35" s="47"/>
    </row>
    <row r="36" spans="1:44" s="41" customFormat="1">
      <c r="A36" s="5971" t="s">
        <v>1010</v>
      </c>
      <c r="B36" s="5972" t="s">
        <v>1011</v>
      </c>
      <c r="C36" s="2832"/>
      <c r="D36" s="5951">
        <v>2020</v>
      </c>
      <c r="E36" s="5951"/>
      <c r="F36" s="5951"/>
      <c r="G36" s="2832"/>
      <c r="H36" s="5951">
        <v>2019</v>
      </c>
      <c r="I36" s="5951"/>
      <c r="J36" s="5951"/>
      <c r="K36" s="2832"/>
      <c r="L36" s="5951">
        <v>2018</v>
      </c>
      <c r="M36" s="5951"/>
      <c r="N36" s="5951"/>
      <c r="O36" s="2832"/>
      <c r="P36" s="5951">
        <v>2017</v>
      </c>
      <c r="Q36" s="5951"/>
      <c r="R36" s="5951"/>
      <c r="S36" s="2832"/>
      <c r="T36" s="5951" t="s">
        <v>2943</v>
      </c>
      <c r="U36" s="5951"/>
      <c r="V36" s="5951"/>
      <c r="W36" s="2832"/>
      <c r="X36" s="5951">
        <v>2015</v>
      </c>
      <c r="Y36" s="5951"/>
      <c r="Z36" s="5951"/>
      <c r="AA36" s="2832"/>
      <c r="AB36" s="5951">
        <v>2014</v>
      </c>
      <c r="AC36" s="5951"/>
      <c r="AD36" s="5951"/>
      <c r="AE36" s="2832"/>
      <c r="AF36" s="5951">
        <v>2013</v>
      </c>
      <c r="AG36" s="5951"/>
      <c r="AH36" s="5951"/>
      <c r="AI36" s="2832"/>
      <c r="AJ36" s="5951">
        <v>2012</v>
      </c>
      <c r="AK36" s="5951"/>
      <c r="AL36" s="5951"/>
      <c r="AM36" s="3499"/>
      <c r="AN36" s="5951">
        <v>2011</v>
      </c>
      <c r="AO36" s="5951"/>
      <c r="AP36" s="5951"/>
      <c r="AQ36" s="47"/>
    </row>
    <row r="37" spans="1:44" s="41" customFormat="1" ht="15" thickBot="1">
      <c r="A37" s="5971"/>
      <c r="B37" s="5972"/>
      <c r="C37" s="2832"/>
      <c r="D37" s="4642" t="s">
        <v>1012</v>
      </c>
      <c r="E37" s="4642" t="s">
        <v>1013</v>
      </c>
      <c r="F37" s="4642" t="s">
        <v>1014</v>
      </c>
      <c r="G37" s="2832"/>
      <c r="H37" s="4642" t="s">
        <v>1012</v>
      </c>
      <c r="I37" s="4642" t="s">
        <v>1013</v>
      </c>
      <c r="J37" s="4642" t="s">
        <v>1014</v>
      </c>
      <c r="K37" s="2832"/>
      <c r="L37" s="4642" t="s">
        <v>1012</v>
      </c>
      <c r="M37" s="4642" t="s">
        <v>1013</v>
      </c>
      <c r="N37" s="4642" t="s">
        <v>1014</v>
      </c>
      <c r="O37" s="2832"/>
      <c r="P37" s="4642" t="s">
        <v>1012</v>
      </c>
      <c r="Q37" s="4642" t="s">
        <v>1013</v>
      </c>
      <c r="R37" s="4642" t="s">
        <v>1014</v>
      </c>
      <c r="S37" s="2832"/>
      <c r="T37" s="4642" t="s">
        <v>1012</v>
      </c>
      <c r="U37" s="4642" t="s">
        <v>1013</v>
      </c>
      <c r="V37" s="4642" t="s">
        <v>1014</v>
      </c>
      <c r="W37" s="2832"/>
      <c r="X37" s="4642" t="s">
        <v>1012</v>
      </c>
      <c r="Y37" s="4642" t="s">
        <v>1013</v>
      </c>
      <c r="Z37" s="4642" t="s">
        <v>1014</v>
      </c>
      <c r="AA37" s="2832"/>
      <c r="AB37" s="4642" t="s">
        <v>1012</v>
      </c>
      <c r="AC37" s="4642" t="s">
        <v>1013</v>
      </c>
      <c r="AD37" s="4642" t="s">
        <v>1014</v>
      </c>
      <c r="AE37" s="2832"/>
      <c r="AF37" s="4642" t="s">
        <v>1012</v>
      </c>
      <c r="AG37" s="4642" t="s">
        <v>1013</v>
      </c>
      <c r="AH37" s="4642" t="s">
        <v>1014</v>
      </c>
      <c r="AI37" s="2832"/>
      <c r="AJ37" s="4642" t="s">
        <v>1012</v>
      </c>
      <c r="AK37" s="4642" t="s">
        <v>1013</v>
      </c>
      <c r="AL37" s="4642" t="s">
        <v>1014</v>
      </c>
      <c r="AM37" s="3499"/>
      <c r="AN37" s="4642" t="s">
        <v>1012</v>
      </c>
      <c r="AO37" s="4642" t="s">
        <v>1013</v>
      </c>
      <c r="AP37" s="4642" t="s">
        <v>1014</v>
      </c>
      <c r="AQ37" s="47"/>
    </row>
    <row r="38" spans="1:44" s="41" customFormat="1">
      <c r="A38" s="5973" t="s">
        <v>1027</v>
      </c>
      <c r="B38" s="3501" t="s">
        <v>1016</v>
      </c>
      <c r="C38" s="3540"/>
      <c r="D38" s="3521"/>
      <c r="E38" s="3522"/>
      <c r="F38" s="3523"/>
      <c r="G38" s="3540"/>
      <c r="H38" s="3521">
        <v>80</v>
      </c>
      <c r="I38" s="3522">
        <v>45</v>
      </c>
      <c r="J38" s="3523">
        <v>62</v>
      </c>
      <c r="K38" s="2832"/>
      <c r="L38" s="3521">
        <v>64</v>
      </c>
      <c r="M38" s="3522">
        <v>63</v>
      </c>
      <c r="N38" s="3523">
        <v>33</v>
      </c>
      <c r="O38" s="2832"/>
      <c r="P38" s="3521">
        <v>154</v>
      </c>
      <c r="Q38" s="3522">
        <v>136</v>
      </c>
      <c r="R38" s="3523">
        <v>115</v>
      </c>
      <c r="S38" s="2832"/>
      <c r="T38" s="3521">
        <v>150</v>
      </c>
      <c r="U38" s="3522">
        <v>148</v>
      </c>
      <c r="V38" s="3523">
        <v>145</v>
      </c>
      <c r="W38" s="2832"/>
      <c r="X38" s="3521">
        <v>150</v>
      </c>
      <c r="Y38" s="3522">
        <v>148</v>
      </c>
      <c r="Z38" s="3523">
        <v>145</v>
      </c>
      <c r="AA38" s="2832"/>
      <c r="AB38" s="3521"/>
      <c r="AC38" s="3522"/>
      <c r="AD38" s="3523"/>
      <c r="AE38" s="2832"/>
      <c r="AF38" s="3521"/>
      <c r="AG38" s="3522"/>
      <c r="AH38" s="3523"/>
      <c r="AI38" s="2832"/>
      <c r="AJ38" s="3521">
        <v>144</v>
      </c>
      <c r="AK38" s="3522">
        <v>153</v>
      </c>
      <c r="AL38" s="3523">
        <v>198</v>
      </c>
      <c r="AM38" s="3499"/>
      <c r="AN38" s="3521">
        <v>112</v>
      </c>
      <c r="AO38" s="3522">
        <v>145</v>
      </c>
      <c r="AP38" s="3523">
        <v>71</v>
      </c>
      <c r="AQ38" s="47"/>
    </row>
    <row r="39" spans="1:44" s="41" customFormat="1">
      <c r="A39" s="5973"/>
      <c r="B39" s="3505" t="s">
        <v>1017</v>
      </c>
      <c r="C39" s="3540"/>
      <c r="D39" s="3524">
        <v>122</v>
      </c>
      <c r="E39" s="3525">
        <v>127</v>
      </c>
      <c r="F39" s="3526">
        <v>152</v>
      </c>
      <c r="G39" s="3540"/>
      <c r="H39" s="3524">
        <v>58</v>
      </c>
      <c r="I39" s="3525">
        <v>43</v>
      </c>
      <c r="J39" s="3526">
        <v>36</v>
      </c>
      <c r="K39" s="2832"/>
      <c r="L39" s="3524">
        <v>38</v>
      </c>
      <c r="M39" s="3525">
        <v>40</v>
      </c>
      <c r="N39" s="3526">
        <v>26</v>
      </c>
      <c r="O39" s="2832"/>
      <c r="P39" s="3524">
        <v>81</v>
      </c>
      <c r="Q39" s="3525">
        <v>75</v>
      </c>
      <c r="R39" s="3526">
        <v>52</v>
      </c>
      <c r="S39" s="2832"/>
      <c r="T39" s="3524">
        <v>152</v>
      </c>
      <c r="U39" s="3525">
        <v>151</v>
      </c>
      <c r="V39" s="3526">
        <v>132</v>
      </c>
      <c r="W39" s="3540"/>
      <c r="X39" s="3524">
        <v>152</v>
      </c>
      <c r="Y39" s="3525">
        <v>151</v>
      </c>
      <c r="Z39" s="3526">
        <v>132</v>
      </c>
      <c r="AA39" s="3540"/>
      <c r="AB39" s="3524"/>
      <c r="AC39" s="3525"/>
      <c r="AD39" s="3526"/>
      <c r="AE39" s="99"/>
      <c r="AF39" s="3524"/>
      <c r="AG39" s="3525"/>
      <c r="AH39" s="3526"/>
      <c r="AI39" s="3540"/>
      <c r="AJ39" s="3524">
        <v>170</v>
      </c>
      <c r="AK39" s="3525">
        <v>146</v>
      </c>
      <c r="AL39" s="3526">
        <v>213</v>
      </c>
      <c r="AM39" s="3499"/>
      <c r="AN39" s="3524">
        <v>7</v>
      </c>
      <c r="AO39" s="3525">
        <v>8</v>
      </c>
      <c r="AP39" s="3526">
        <v>4</v>
      </c>
      <c r="AQ39" s="47"/>
    </row>
    <row r="40" spans="1:44" s="41" customFormat="1">
      <c r="A40" s="5974"/>
      <c r="B40" s="3541" t="s">
        <v>1018</v>
      </c>
      <c r="C40" s="3540"/>
      <c r="D40" s="3542"/>
      <c r="E40" s="3543"/>
      <c r="F40" s="3544"/>
      <c r="G40" s="3540"/>
      <c r="H40" s="3542">
        <v>25</v>
      </c>
      <c r="I40" s="3543">
        <v>34</v>
      </c>
      <c r="J40" s="3544">
        <v>42</v>
      </c>
      <c r="K40" s="3540"/>
      <c r="L40" s="3542">
        <v>49</v>
      </c>
      <c r="M40" s="3543">
        <v>52</v>
      </c>
      <c r="N40" s="3544">
        <v>27</v>
      </c>
      <c r="O40" s="3540"/>
      <c r="P40" s="3542"/>
      <c r="Q40" s="3543"/>
      <c r="R40" s="3544"/>
      <c r="S40" s="2832"/>
      <c r="T40" s="3542">
        <v>145</v>
      </c>
      <c r="U40" s="3543">
        <v>133</v>
      </c>
      <c r="V40" s="3544">
        <v>121</v>
      </c>
      <c r="W40" s="3540"/>
      <c r="X40" s="3542">
        <v>145</v>
      </c>
      <c r="Y40" s="3543">
        <v>133</v>
      </c>
      <c r="Z40" s="3544">
        <v>121</v>
      </c>
      <c r="AA40" s="3540"/>
      <c r="AB40" s="3542"/>
      <c r="AC40" s="3543"/>
      <c r="AD40" s="3544"/>
      <c r="AE40" s="99"/>
      <c r="AF40" s="3542"/>
      <c r="AG40" s="3543"/>
      <c r="AH40" s="3544"/>
      <c r="AI40" s="3540"/>
      <c r="AJ40" s="3542">
        <v>144</v>
      </c>
      <c r="AK40" s="3543">
        <v>128</v>
      </c>
      <c r="AL40" s="3544">
        <v>129</v>
      </c>
      <c r="AM40" s="339"/>
      <c r="AN40" s="3542"/>
      <c r="AO40" s="3543"/>
      <c r="AP40" s="3544"/>
      <c r="AQ40" s="47"/>
    </row>
    <row r="41" spans="1:44" s="41" customFormat="1">
      <c r="A41" s="5975" t="s">
        <v>1028</v>
      </c>
      <c r="B41" s="3545" t="s">
        <v>1016</v>
      </c>
      <c r="C41" s="3540"/>
      <c r="D41" s="3546"/>
      <c r="E41" s="3547"/>
      <c r="F41" s="3548"/>
      <c r="G41" s="3540"/>
      <c r="H41" s="3546">
        <v>269</v>
      </c>
      <c r="I41" s="3547">
        <v>154</v>
      </c>
      <c r="J41" s="3548">
        <v>181</v>
      </c>
      <c r="K41" s="3540"/>
      <c r="L41" s="3546">
        <v>270</v>
      </c>
      <c r="M41" s="3547">
        <v>265</v>
      </c>
      <c r="N41" s="3548">
        <v>175</v>
      </c>
      <c r="O41" s="3540"/>
      <c r="P41" s="3546">
        <v>207</v>
      </c>
      <c r="Q41" s="3547">
        <v>209</v>
      </c>
      <c r="R41" s="3548">
        <v>270</v>
      </c>
      <c r="S41" s="2832"/>
      <c r="T41" s="3546">
        <v>79</v>
      </c>
      <c r="U41" s="3547">
        <v>80</v>
      </c>
      <c r="V41" s="3548">
        <v>83</v>
      </c>
      <c r="W41" s="3540"/>
      <c r="X41" s="3546">
        <v>79</v>
      </c>
      <c r="Y41" s="3547">
        <v>80</v>
      </c>
      <c r="Z41" s="3548">
        <v>83</v>
      </c>
      <c r="AA41" s="3540"/>
      <c r="AB41" s="3546"/>
      <c r="AC41" s="3547"/>
      <c r="AD41" s="3548">
        <v>668</v>
      </c>
      <c r="AE41" s="99"/>
      <c r="AF41" s="3546">
        <v>214</v>
      </c>
      <c r="AG41" s="3547">
        <v>216</v>
      </c>
      <c r="AH41" s="3548">
        <v>157</v>
      </c>
      <c r="AI41" s="3540"/>
      <c r="AJ41" s="3546">
        <v>113</v>
      </c>
      <c r="AK41" s="3547">
        <v>91</v>
      </c>
      <c r="AL41" s="3548">
        <v>114</v>
      </c>
      <c r="AM41" s="339"/>
      <c r="AN41" s="3546">
        <v>204</v>
      </c>
      <c r="AO41" s="3547">
        <v>185</v>
      </c>
      <c r="AP41" s="3548">
        <v>215</v>
      </c>
    </row>
    <row r="42" spans="1:44" s="41" customFormat="1">
      <c r="A42" s="5973"/>
      <c r="B42" s="3505" t="s">
        <v>1017</v>
      </c>
      <c r="C42" s="3540"/>
      <c r="D42" s="3524">
        <v>448</v>
      </c>
      <c r="E42" s="3525">
        <v>372</v>
      </c>
      <c r="F42" s="3526">
        <v>449</v>
      </c>
      <c r="G42" s="3540"/>
      <c r="H42" s="3524">
        <v>134</v>
      </c>
      <c r="I42" s="3525">
        <v>142</v>
      </c>
      <c r="J42" s="3526">
        <v>49</v>
      </c>
      <c r="K42" s="3540"/>
      <c r="L42" s="3524">
        <v>149</v>
      </c>
      <c r="M42" s="3525">
        <v>134</v>
      </c>
      <c r="N42" s="3526">
        <v>130</v>
      </c>
      <c r="O42" s="3540"/>
      <c r="P42" s="3524">
        <v>145</v>
      </c>
      <c r="Q42" s="3525">
        <v>161</v>
      </c>
      <c r="R42" s="3526">
        <v>160</v>
      </c>
      <c r="S42" s="2832"/>
      <c r="T42" s="3524">
        <v>58</v>
      </c>
      <c r="U42" s="3525">
        <v>58</v>
      </c>
      <c r="V42" s="3526">
        <v>59</v>
      </c>
      <c r="W42" s="3540"/>
      <c r="X42" s="3524">
        <v>58</v>
      </c>
      <c r="Y42" s="3525">
        <v>58</v>
      </c>
      <c r="Z42" s="3526">
        <v>59</v>
      </c>
      <c r="AA42" s="3540"/>
      <c r="AB42" s="3524"/>
      <c r="AC42" s="3525"/>
      <c r="AD42" s="3526"/>
      <c r="AE42" s="99"/>
      <c r="AF42" s="3524">
        <v>277</v>
      </c>
      <c r="AG42" s="3525">
        <v>206</v>
      </c>
      <c r="AH42" s="3526">
        <v>260</v>
      </c>
      <c r="AI42" s="3540"/>
      <c r="AJ42" s="3524">
        <v>3</v>
      </c>
      <c r="AK42" s="3525">
        <v>6</v>
      </c>
      <c r="AL42" s="3526">
        <v>0</v>
      </c>
      <c r="AM42" s="339"/>
      <c r="AN42" s="3524">
        <v>195</v>
      </c>
      <c r="AO42" s="3525">
        <v>161</v>
      </c>
      <c r="AP42" s="3526">
        <v>188</v>
      </c>
    </row>
    <row r="43" spans="1:44" s="41" customFormat="1">
      <c r="A43" s="5973"/>
      <c r="B43" s="3509" t="s">
        <v>1018</v>
      </c>
      <c r="C43" s="3540"/>
      <c r="D43" s="3527"/>
      <c r="E43" s="3528"/>
      <c r="F43" s="3529"/>
      <c r="G43" s="3540"/>
      <c r="H43" s="3527">
        <v>44</v>
      </c>
      <c r="I43" s="3528">
        <v>52</v>
      </c>
      <c r="J43" s="3529"/>
      <c r="K43" s="3540"/>
      <c r="L43" s="3527">
        <v>34</v>
      </c>
      <c r="M43" s="3528">
        <v>52</v>
      </c>
      <c r="N43" s="3529">
        <v>40</v>
      </c>
      <c r="O43" s="3540"/>
      <c r="P43" s="3527"/>
      <c r="Q43" s="3528"/>
      <c r="R43" s="3529"/>
      <c r="S43" s="2832"/>
      <c r="T43" s="3527">
        <v>27</v>
      </c>
      <c r="U43" s="3528">
        <v>33</v>
      </c>
      <c r="V43" s="3529">
        <v>41</v>
      </c>
      <c r="W43" s="3540"/>
      <c r="X43" s="3527">
        <v>27</v>
      </c>
      <c r="Y43" s="3528">
        <v>33</v>
      </c>
      <c r="Z43" s="3529">
        <v>41</v>
      </c>
      <c r="AA43" s="3540"/>
      <c r="AB43" s="3527"/>
      <c r="AC43" s="3528"/>
      <c r="AD43" s="3529"/>
      <c r="AE43" s="99"/>
      <c r="AF43" s="3527">
        <v>174</v>
      </c>
      <c r="AG43" s="3528">
        <v>208</v>
      </c>
      <c r="AH43" s="3529">
        <v>197</v>
      </c>
      <c r="AI43" s="3540"/>
      <c r="AJ43" s="3527">
        <v>0</v>
      </c>
      <c r="AK43" s="3528">
        <v>0</v>
      </c>
      <c r="AL43" s="3529">
        <v>0</v>
      </c>
      <c r="AM43" s="339"/>
      <c r="AN43" s="3527">
        <v>121</v>
      </c>
      <c r="AO43" s="3528">
        <v>130</v>
      </c>
      <c r="AP43" s="3529">
        <v>116</v>
      </c>
    </row>
    <row r="44" spans="1:44" s="41" customFormat="1">
      <c r="A44" s="5969" t="s">
        <v>1029</v>
      </c>
      <c r="B44" s="5969"/>
      <c r="C44" s="3540"/>
      <c r="D44" s="3549">
        <f>SUM(D38:D43)</f>
        <v>570</v>
      </c>
      <c r="E44" s="3550">
        <f>SUM(E38:E43)</f>
        <v>499</v>
      </c>
      <c r="F44" s="3551">
        <f>SUM(F38:F43)</f>
        <v>601</v>
      </c>
      <c r="G44" s="3540"/>
      <c r="H44" s="3549">
        <f>SUM(H38:H43)</f>
        <v>610</v>
      </c>
      <c r="I44" s="3550">
        <f>SUM(I38:I43)</f>
        <v>470</v>
      </c>
      <c r="J44" s="3551">
        <f>SUM(J38:J43)</f>
        <v>370</v>
      </c>
      <c r="K44" s="3540"/>
      <c r="L44" s="3549">
        <f>SUM(L38:L43)</f>
        <v>604</v>
      </c>
      <c r="M44" s="3550">
        <f>SUM(M38:M43)</f>
        <v>606</v>
      </c>
      <c r="N44" s="3551">
        <f>SUM(N38:N43)</f>
        <v>431</v>
      </c>
      <c r="O44" s="3540"/>
      <c r="P44" s="3549">
        <f>SUM(P38:P43)</f>
        <v>587</v>
      </c>
      <c r="Q44" s="3550">
        <f>SUM(Q38:Q43)</f>
        <v>581</v>
      </c>
      <c r="R44" s="3551">
        <f>SUM(R38:R43)</f>
        <v>597</v>
      </c>
      <c r="S44" s="2832"/>
      <c r="T44" s="3549">
        <f>SUM(T38:T43)</f>
        <v>611</v>
      </c>
      <c r="U44" s="3550">
        <f>SUM(U38:U43)</f>
        <v>603</v>
      </c>
      <c r="V44" s="3551">
        <f>SUM(V38:V43)</f>
        <v>581</v>
      </c>
      <c r="W44" s="3540"/>
      <c r="X44" s="3549">
        <f>SUM(X38:X43)</f>
        <v>611</v>
      </c>
      <c r="Y44" s="3550">
        <f>SUM(Y38:Y43)</f>
        <v>603</v>
      </c>
      <c r="Z44" s="3551">
        <f>SUM(Z38:Z43)</f>
        <v>581</v>
      </c>
      <c r="AA44" s="3540"/>
      <c r="AB44" s="3549">
        <f>SUM(AB41:AB43)</f>
        <v>0</v>
      </c>
      <c r="AC44" s="3550">
        <f>SUM(AC41:AC43)</f>
        <v>0</v>
      </c>
      <c r="AD44" s="3551">
        <f>SUM(AD41:AD43)</f>
        <v>668</v>
      </c>
      <c r="AE44" s="99"/>
      <c r="AF44" s="3549">
        <f>SUM(AF41:AF43)</f>
        <v>665</v>
      </c>
      <c r="AG44" s="3550">
        <f>SUM(AG41:AG43)</f>
        <v>630</v>
      </c>
      <c r="AH44" s="3551">
        <f>SUM(AH41:AH43)</f>
        <v>614</v>
      </c>
      <c r="AI44" s="3540"/>
      <c r="AJ44" s="3549">
        <f>SUM(AJ38:AJ43)</f>
        <v>574</v>
      </c>
      <c r="AK44" s="3550">
        <f>SUM(AK38:AK43)</f>
        <v>524</v>
      </c>
      <c r="AL44" s="3551">
        <f>SUM(AL38:AL43)</f>
        <v>654</v>
      </c>
      <c r="AM44" s="339"/>
      <c r="AN44" s="3549">
        <f>SUM(AN38:AN43)</f>
        <v>639</v>
      </c>
      <c r="AO44" s="3550">
        <f>SUM(AO38:AO43)</f>
        <v>629</v>
      </c>
      <c r="AP44" s="3551">
        <f>SUM(AP38:AP43)</f>
        <v>594</v>
      </c>
      <c r="AQ44" s="47"/>
    </row>
    <row r="45" spans="1:44" s="41" customFormat="1">
      <c r="A45" s="3515"/>
      <c r="B45" s="3515"/>
      <c r="C45" s="3515"/>
      <c r="D45" s="3552"/>
      <c r="E45" s="3535"/>
      <c r="F45" s="2832"/>
      <c r="G45" s="3515"/>
      <c r="H45" s="3552"/>
      <c r="I45" s="3535"/>
      <c r="J45" s="2832"/>
      <c r="K45" s="3515"/>
      <c r="L45" s="3552"/>
      <c r="M45" s="3535"/>
      <c r="N45" s="2832"/>
      <c r="O45" s="3515"/>
      <c r="P45" s="3552"/>
      <c r="Q45" s="3535"/>
      <c r="R45" s="2832"/>
      <c r="S45" s="2832"/>
      <c r="T45" s="4663" t="s">
        <v>2944</v>
      </c>
      <c r="U45" s="3535"/>
      <c r="V45" s="2832"/>
      <c r="W45" s="3515"/>
      <c r="X45" s="3552"/>
      <c r="Y45" s="3535"/>
      <c r="Z45" s="2832"/>
      <c r="AA45" s="3515"/>
      <c r="AB45" s="3552"/>
      <c r="AC45" s="3535"/>
      <c r="AD45" s="2832"/>
      <c r="AE45" s="99"/>
      <c r="AF45" s="3552"/>
      <c r="AG45" s="3535"/>
      <c r="AH45" s="2832"/>
      <c r="AI45" s="3515"/>
      <c r="AJ45" s="3552"/>
      <c r="AK45" s="3535"/>
      <c r="AL45" s="2832"/>
      <c r="AM45" s="339"/>
      <c r="AN45" s="3552"/>
      <c r="AO45" s="3535"/>
      <c r="AP45" s="2832"/>
      <c r="AQ45" s="47"/>
    </row>
    <row r="46" spans="1:44" s="41" customFormat="1">
      <c r="A46" s="1136"/>
      <c r="B46" s="1136"/>
      <c r="C46" s="1136"/>
      <c r="D46" s="3535"/>
      <c r="E46" s="3535"/>
      <c r="F46" s="3553"/>
      <c r="G46" s="1136"/>
      <c r="H46" s="3535"/>
      <c r="I46" s="3535"/>
      <c r="J46" s="3553"/>
      <c r="K46" s="1136"/>
      <c r="L46" s="3535"/>
      <c r="M46" s="3535"/>
      <c r="N46" s="3553"/>
      <c r="O46" s="1136"/>
      <c r="P46" s="3535"/>
      <c r="Q46" s="3535"/>
      <c r="R46" s="3553"/>
      <c r="S46" s="2832"/>
      <c r="T46" s="3535"/>
      <c r="U46" s="3535"/>
      <c r="V46" s="3553"/>
      <c r="W46" s="1136"/>
      <c r="X46" s="3535"/>
      <c r="Y46" s="3535"/>
      <c r="Z46" s="3553"/>
      <c r="AA46" s="1136"/>
      <c r="AB46" s="3535"/>
      <c r="AC46" s="3535"/>
      <c r="AD46" s="3553"/>
      <c r="AE46" s="99"/>
      <c r="AF46" s="3535"/>
      <c r="AG46" s="3535"/>
      <c r="AH46" s="3553"/>
      <c r="AI46" s="1136"/>
      <c r="AJ46" s="3535"/>
      <c r="AK46" s="3535"/>
      <c r="AL46" s="3553"/>
      <c r="AM46" s="339"/>
      <c r="AN46" s="3535"/>
      <c r="AO46" s="3535"/>
      <c r="AP46" s="3553"/>
      <c r="AQ46" s="47"/>
    </row>
    <row r="47" spans="1:44" s="41" customFormat="1">
      <c r="A47" s="5979" t="s">
        <v>1010</v>
      </c>
      <c r="B47" s="5980" t="s">
        <v>1011</v>
      </c>
      <c r="C47" s="3535"/>
      <c r="D47" s="5951">
        <v>2020</v>
      </c>
      <c r="E47" s="5951"/>
      <c r="F47" s="5951"/>
      <c r="G47" s="3535"/>
      <c r="H47" s="5951">
        <v>2019</v>
      </c>
      <c r="I47" s="5951"/>
      <c r="J47" s="5951"/>
      <c r="K47" s="2832"/>
      <c r="L47" s="5951">
        <v>2018</v>
      </c>
      <c r="M47" s="5951"/>
      <c r="N47" s="5951"/>
      <c r="O47" s="2832"/>
      <c r="P47" s="5951">
        <v>2017</v>
      </c>
      <c r="Q47" s="5951"/>
      <c r="R47" s="5951"/>
      <c r="S47" s="2832"/>
      <c r="T47" s="5951">
        <v>2016</v>
      </c>
      <c r="U47" s="5951"/>
      <c r="V47" s="5951"/>
      <c r="W47" s="2832"/>
      <c r="X47" s="5951">
        <v>2015</v>
      </c>
      <c r="Y47" s="5951"/>
      <c r="Z47" s="5951"/>
      <c r="AA47" s="2832"/>
      <c r="AB47" s="5951">
        <v>2014</v>
      </c>
      <c r="AC47" s="5951"/>
      <c r="AD47" s="5951"/>
      <c r="AE47" s="2832"/>
      <c r="AF47" s="5951">
        <v>2013</v>
      </c>
      <c r="AG47" s="5951"/>
      <c r="AH47" s="5951"/>
      <c r="AI47" s="2832"/>
      <c r="AJ47" s="5951">
        <v>2012</v>
      </c>
      <c r="AK47" s="5951"/>
      <c r="AL47" s="5951"/>
      <c r="AM47" s="3499"/>
      <c r="AN47" s="5951">
        <v>2011</v>
      </c>
      <c r="AO47" s="5951"/>
      <c r="AP47" s="5951"/>
      <c r="AQ47" s="47"/>
    </row>
    <row r="48" spans="1:44" s="41" customFormat="1" ht="15" thickBot="1">
      <c r="A48" s="5979"/>
      <c r="B48" s="5980"/>
      <c r="C48" s="3535"/>
      <c r="D48" s="4643" t="s">
        <v>1012</v>
      </c>
      <c r="E48" s="4643" t="s">
        <v>1013</v>
      </c>
      <c r="F48" s="4643" t="s">
        <v>1014</v>
      </c>
      <c r="G48" s="3535"/>
      <c r="H48" s="4643" t="s">
        <v>1012</v>
      </c>
      <c r="I48" s="4643" t="s">
        <v>1013</v>
      </c>
      <c r="J48" s="4643" t="s">
        <v>1014</v>
      </c>
      <c r="K48" s="2518"/>
      <c r="L48" s="4643" t="s">
        <v>1012</v>
      </c>
      <c r="M48" s="4643" t="s">
        <v>1013</v>
      </c>
      <c r="N48" s="4643" t="s">
        <v>1014</v>
      </c>
      <c r="O48" s="2518"/>
      <c r="P48" s="4643" t="s">
        <v>1012</v>
      </c>
      <c r="Q48" s="4643" t="s">
        <v>1013</v>
      </c>
      <c r="R48" s="4643" t="s">
        <v>1014</v>
      </c>
      <c r="S48" s="2832"/>
      <c r="T48" s="4643" t="s">
        <v>1012</v>
      </c>
      <c r="U48" s="4643" t="s">
        <v>1013</v>
      </c>
      <c r="V48" s="4643" t="s">
        <v>1014</v>
      </c>
      <c r="W48" s="2518"/>
      <c r="X48" s="4643" t="s">
        <v>1012</v>
      </c>
      <c r="Y48" s="4643" t="s">
        <v>1013</v>
      </c>
      <c r="Z48" s="4643" t="s">
        <v>1014</v>
      </c>
      <c r="AA48" s="2518"/>
      <c r="AB48" s="4643" t="s">
        <v>1012</v>
      </c>
      <c r="AC48" s="4643" t="s">
        <v>1013</v>
      </c>
      <c r="AD48" s="4643" t="s">
        <v>1014</v>
      </c>
      <c r="AE48" s="2518"/>
      <c r="AF48" s="4643" t="s">
        <v>1012</v>
      </c>
      <c r="AG48" s="4643" t="s">
        <v>1013</v>
      </c>
      <c r="AH48" s="4643" t="s">
        <v>1014</v>
      </c>
      <c r="AI48" s="2518"/>
      <c r="AJ48" s="4643" t="s">
        <v>1012</v>
      </c>
      <c r="AK48" s="4643" t="s">
        <v>1013</v>
      </c>
      <c r="AL48" s="4643" t="s">
        <v>1014</v>
      </c>
      <c r="AM48" s="4644"/>
      <c r="AN48" s="4643" t="s">
        <v>1012</v>
      </c>
      <c r="AO48" s="4643" t="s">
        <v>1013</v>
      </c>
      <c r="AP48" s="4643" t="s">
        <v>1014</v>
      </c>
      <c r="AQ48" s="47"/>
    </row>
    <row r="49" spans="1:60" s="41" customFormat="1">
      <c r="A49" s="5952" t="s">
        <v>1023</v>
      </c>
      <c r="B49" s="3501" t="s">
        <v>1016</v>
      </c>
      <c r="C49" s="1136"/>
      <c r="D49" s="3554">
        <f t="shared" ref="D49:F51" si="0">SUM(D5,D13,D22,D30,D38,D41)</f>
        <v>2016</v>
      </c>
      <c r="E49" s="3555">
        <f t="shared" si="0"/>
        <v>1889</v>
      </c>
      <c r="F49" s="3556">
        <f t="shared" si="0"/>
        <v>2264</v>
      </c>
      <c r="G49" s="1136"/>
      <c r="H49" s="3554">
        <f t="shared" ref="H49:J51" si="1">SUM(H5,H13,H22,H30,H38,H41)</f>
        <v>2650</v>
      </c>
      <c r="I49" s="3555">
        <f t="shared" si="1"/>
        <v>1985</v>
      </c>
      <c r="J49" s="3556">
        <f t="shared" si="1"/>
        <v>2522</v>
      </c>
      <c r="K49" s="1136"/>
      <c r="L49" s="3554">
        <f t="shared" ref="L49:N51" si="2">SUM(L5,L13,L22,L30,L38,L41)</f>
        <v>2893</v>
      </c>
      <c r="M49" s="3555">
        <f t="shared" si="2"/>
        <v>2994</v>
      </c>
      <c r="N49" s="3556">
        <f t="shared" si="2"/>
        <v>3077</v>
      </c>
      <c r="O49" s="1136"/>
      <c r="P49" s="3554">
        <f t="shared" ref="P49:R51" si="3">SUM(P5,P13,P22,P30,P38,P41)</f>
        <v>4260</v>
      </c>
      <c r="Q49" s="3555">
        <f t="shared" si="3"/>
        <v>4023</v>
      </c>
      <c r="R49" s="3556">
        <f t="shared" si="3"/>
        <v>4079</v>
      </c>
      <c r="S49" s="2832"/>
      <c r="T49" s="3554">
        <f t="shared" ref="T49:V51" si="4">SUM(T5,T13,T22,T30,T38,T41)</f>
        <v>3146</v>
      </c>
      <c r="U49" s="3555">
        <f t="shared" si="4"/>
        <v>3043</v>
      </c>
      <c r="V49" s="3556">
        <f t="shared" si="4"/>
        <v>3164</v>
      </c>
      <c r="W49" s="1136"/>
      <c r="X49" s="3554">
        <f t="shared" ref="X49:Z51" si="5">SUM(X5,X13,X22,X30,X38,X41)</f>
        <v>3546</v>
      </c>
      <c r="Y49" s="3555">
        <f t="shared" si="5"/>
        <v>3259</v>
      </c>
      <c r="Z49" s="3556">
        <f t="shared" si="5"/>
        <v>3066</v>
      </c>
      <c r="AA49" s="1136"/>
      <c r="AB49" s="3554">
        <f t="shared" ref="AB49:AD51" si="6">SUM(AB5,AB13,AB22,AB30,AB41)</f>
        <v>3020</v>
      </c>
      <c r="AC49" s="3555">
        <f t="shared" si="6"/>
        <v>2972</v>
      </c>
      <c r="AD49" s="3556">
        <f t="shared" si="6"/>
        <v>4157</v>
      </c>
      <c r="AE49" s="99"/>
      <c r="AF49" s="3554">
        <f t="shared" ref="AF49:AH51" si="7">SUM(AF5,AF13,AF22,AF30,AF41)</f>
        <v>2839</v>
      </c>
      <c r="AG49" s="3555">
        <f t="shared" si="7"/>
        <v>2514</v>
      </c>
      <c r="AH49" s="3556">
        <f t="shared" si="7"/>
        <v>2909</v>
      </c>
      <c r="AI49" s="1136"/>
      <c r="AJ49" s="3554">
        <f t="shared" ref="AJ49:AL50" si="8">SUM(AJ5,AJ13,AJ22,AJ38,AJ41)</f>
        <v>2900</v>
      </c>
      <c r="AK49" s="3555">
        <f t="shared" si="8"/>
        <v>2769</v>
      </c>
      <c r="AL49" s="3556">
        <f t="shared" si="8"/>
        <v>3268</v>
      </c>
      <c r="AM49" s="339"/>
      <c r="AN49" s="3554">
        <f t="shared" ref="AN49:AP50" si="9">SUM(AN5,AN13,AN22,AN38,AN41)</f>
        <v>2119</v>
      </c>
      <c r="AO49" s="3555">
        <f t="shared" si="9"/>
        <v>2180</v>
      </c>
      <c r="AP49" s="3556">
        <f t="shared" si="9"/>
        <v>2015</v>
      </c>
      <c r="AQ49" s="47"/>
    </row>
    <row r="50" spans="1:60" s="41" customFormat="1">
      <c r="A50" s="5953"/>
      <c r="B50" s="3505" t="s">
        <v>1017</v>
      </c>
      <c r="C50" s="1136"/>
      <c r="D50" s="3557">
        <f t="shared" si="0"/>
        <v>958</v>
      </c>
      <c r="E50" s="3558">
        <f t="shared" si="0"/>
        <v>822</v>
      </c>
      <c r="F50" s="3559">
        <f t="shared" si="0"/>
        <v>1960</v>
      </c>
      <c r="G50" s="1136"/>
      <c r="H50" s="3557">
        <f t="shared" si="1"/>
        <v>501</v>
      </c>
      <c r="I50" s="3558">
        <f t="shared" si="1"/>
        <v>543</v>
      </c>
      <c r="J50" s="3559">
        <f t="shared" si="1"/>
        <v>1446</v>
      </c>
      <c r="K50" s="1136"/>
      <c r="L50" s="3557">
        <f t="shared" si="2"/>
        <v>1685</v>
      </c>
      <c r="M50" s="3558">
        <f t="shared" si="2"/>
        <v>1639</v>
      </c>
      <c r="N50" s="3559">
        <f t="shared" si="2"/>
        <v>1640</v>
      </c>
      <c r="O50" s="1136"/>
      <c r="P50" s="3557">
        <f t="shared" si="3"/>
        <v>929</v>
      </c>
      <c r="Q50" s="3558">
        <f t="shared" si="3"/>
        <v>957</v>
      </c>
      <c r="R50" s="3559">
        <f>SUM(R6,R14,R23,R31,R39,R42)</f>
        <v>894</v>
      </c>
      <c r="S50" s="2832"/>
      <c r="T50" s="3557">
        <f t="shared" si="4"/>
        <v>1748</v>
      </c>
      <c r="U50" s="3558">
        <f t="shared" si="4"/>
        <v>1746</v>
      </c>
      <c r="V50" s="3559">
        <f t="shared" si="4"/>
        <v>1890</v>
      </c>
      <c r="W50" s="1136"/>
      <c r="X50" s="3557">
        <f t="shared" si="5"/>
        <v>1749</v>
      </c>
      <c r="Y50" s="3558">
        <f t="shared" si="5"/>
        <v>1829</v>
      </c>
      <c r="Z50" s="3559">
        <f t="shared" si="5"/>
        <v>1936</v>
      </c>
      <c r="AA50" s="1136"/>
      <c r="AB50" s="3557">
        <f t="shared" si="6"/>
        <v>1255</v>
      </c>
      <c r="AC50" s="3558">
        <f t="shared" si="6"/>
        <v>1268</v>
      </c>
      <c r="AD50" s="3559">
        <f t="shared" si="6"/>
        <v>1427</v>
      </c>
      <c r="AE50" s="99"/>
      <c r="AF50" s="3557">
        <f t="shared" si="7"/>
        <v>1359</v>
      </c>
      <c r="AG50" s="3558">
        <f t="shared" si="7"/>
        <v>1283</v>
      </c>
      <c r="AH50" s="3559">
        <f t="shared" si="7"/>
        <v>1560</v>
      </c>
      <c r="AI50" s="1136"/>
      <c r="AJ50" s="3557">
        <f t="shared" si="8"/>
        <v>835</v>
      </c>
      <c r="AK50" s="3558">
        <f t="shared" si="8"/>
        <v>859</v>
      </c>
      <c r="AL50" s="3559">
        <f t="shared" si="8"/>
        <v>1060</v>
      </c>
      <c r="AM50" s="339"/>
      <c r="AN50" s="3557">
        <f t="shared" si="9"/>
        <v>865</v>
      </c>
      <c r="AO50" s="3558">
        <f t="shared" si="9"/>
        <v>747</v>
      </c>
      <c r="AP50" s="3559">
        <f t="shared" si="9"/>
        <v>708</v>
      </c>
      <c r="AQ50" s="47"/>
    </row>
    <row r="51" spans="1:60" s="41" customFormat="1">
      <c r="A51" s="5954"/>
      <c r="B51" s="3509" t="s">
        <v>1018</v>
      </c>
      <c r="C51" s="1136"/>
      <c r="D51" s="3557">
        <f t="shared" si="0"/>
        <v>197</v>
      </c>
      <c r="E51" s="3558">
        <f t="shared" si="0"/>
        <v>235</v>
      </c>
      <c r="F51" s="3559">
        <f t="shared" si="0"/>
        <v>207</v>
      </c>
      <c r="G51" s="1136"/>
      <c r="H51" s="3557">
        <f t="shared" si="1"/>
        <v>290</v>
      </c>
      <c r="I51" s="3558">
        <f t="shared" si="1"/>
        <v>252</v>
      </c>
      <c r="J51" s="3559">
        <f t="shared" si="1"/>
        <v>240</v>
      </c>
      <c r="K51" s="1136"/>
      <c r="L51" s="3557">
        <f t="shared" si="2"/>
        <v>253</v>
      </c>
      <c r="M51" s="3558">
        <f t="shared" si="2"/>
        <v>353</v>
      </c>
      <c r="N51" s="3559">
        <f t="shared" si="2"/>
        <v>342</v>
      </c>
      <c r="O51" s="1136"/>
      <c r="P51" s="3557">
        <f t="shared" si="3"/>
        <v>308</v>
      </c>
      <c r="Q51" s="3558">
        <f t="shared" si="3"/>
        <v>280</v>
      </c>
      <c r="R51" s="3559">
        <f>SUM(R7,R15,R24,R32,R40,R43)</f>
        <v>259</v>
      </c>
      <c r="S51" s="2832"/>
      <c r="T51" s="3557">
        <f t="shared" si="4"/>
        <v>429</v>
      </c>
      <c r="U51" s="3558">
        <f t="shared" si="4"/>
        <v>428</v>
      </c>
      <c r="V51" s="3559">
        <f t="shared" si="4"/>
        <v>504</v>
      </c>
      <c r="W51" s="1136"/>
      <c r="X51" s="3557">
        <f t="shared" si="5"/>
        <v>373</v>
      </c>
      <c r="Y51" s="3558">
        <f t="shared" si="5"/>
        <v>374</v>
      </c>
      <c r="Z51" s="3559">
        <f t="shared" si="5"/>
        <v>597</v>
      </c>
      <c r="AA51" s="1136"/>
      <c r="AB51" s="3557">
        <f t="shared" si="6"/>
        <v>181</v>
      </c>
      <c r="AC51" s="3558">
        <f t="shared" si="6"/>
        <v>163</v>
      </c>
      <c r="AD51" s="3559">
        <f t="shared" si="6"/>
        <v>264</v>
      </c>
      <c r="AE51" s="99"/>
      <c r="AF51" s="3557">
        <f t="shared" si="7"/>
        <v>279</v>
      </c>
      <c r="AG51" s="3558">
        <f t="shared" si="7"/>
        <v>366</v>
      </c>
      <c r="AH51" s="3559">
        <f t="shared" si="7"/>
        <v>401</v>
      </c>
      <c r="AI51" s="1136"/>
      <c r="AJ51" s="3557">
        <f>SUM(AJ7,AJ15:AJ16,AJ24,AJ40,AJ43)</f>
        <v>309</v>
      </c>
      <c r="AK51" s="3558">
        <f>SUM(AK7,AK15:AK16,AK24,AK40,AK43)</f>
        <v>246</v>
      </c>
      <c r="AL51" s="3559">
        <f>SUM(AL7,AL15:AL16,AL24,AL40,AL43)</f>
        <v>209</v>
      </c>
      <c r="AM51" s="339"/>
      <c r="AN51" s="3557">
        <f>SUM(AN7,AN15:AN16,AN24,AN40,AN43)</f>
        <v>285</v>
      </c>
      <c r="AO51" s="3558">
        <f>SUM(AO7,AO15:AO16,AO24,AO40,AO43)</f>
        <v>281</v>
      </c>
      <c r="AP51" s="3559">
        <f>SUM(AP7,AP15:AP16,AP24,AP40,AP43)</f>
        <v>184</v>
      </c>
      <c r="AQ51" s="47"/>
    </row>
    <row r="52" spans="1:60" s="41" customFormat="1">
      <c r="A52" s="5978" t="s">
        <v>67</v>
      </c>
      <c r="B52" s="5978"/>
      <c r="C52" s="1136"/>
      <c r="D52" s="3560">
        <f>SUM(D49:D51)</f>
        <v>3171</v>
      </c>
      <c r="E52" s="3561">
        <f>SUM(E49:E51)</f>
        <v>2946</v>
      </c>
      <c r="F52" s="3562">
        <f>SUM(F49:F51)</f>
        <v>4431</v>
      </c>
      <c r="G52" s="1136"/>
      <c r="H52" s="3560">
        <f>SUM(H49:H51)</f>
        <v>3441</v>
      </c>
      <c r="I52" s="3561">
        <f>SUM(I49:I51)</f>
        <v>2780</v>
      </c>
      <c r="J52" s="3562">
        <f>SUM(J49:J51)</f>
        <v>4208</v>
      </c>
      <c r="K52" s="1136"/>
      <c r="L52" s="3560">
        <f>SUM(L49:L51)</f>
        <v>4831</v>
      </c>
      <c r="M52" s="3561">
        <f>SUM(M49:M51)</f>
        <v>4986</v>
      </c>
      <c r="N52" s="3562">
        <f>SUM(N49:N51)</f>
        <v>5059</v>
      </c>
      <c r="O52" s="1136"/>
      <c r="P52" s="3560">
        <f>SUM(P49:P51)</f>
        <v>5497</v>
      </c>
      <c r="Q52" s="3561">
        <f>SUM(Q49:Q51)</f>
        <v>5260</v>
      </c>
      <c r="R52" s="3562">
        <f>SUM(R49:R51)</f>
        <v>5232</v>
      </c>
      <c r="S52" s="2832"/>
      <c r="T52" s="3560">
        <f>SUM(T49:T51)</f>
        <v>5323</v>
      </c>
      <c r="U52" s="3561">
        <f>SUM(U49:U51)</f>
        <v>5217</v>
      </c>
      <c r="V52" s="3562">
        <f>SUM(V49:V51)</f>
        <v>5558</v>
      </c>
      <c r="W52" s="1136"/>
      <c r="X52" s="3560">
        <f>SUM(X49:X51)</f>
        <v>5668</v>
      </c>
      <c r="Y52" s="3561">
        <f>SUM(Y49:Y51)</f>
        <v>5462</v>
      </c>
      <c r="Z52" s="3562">
        <f>SUM(Z49:Z51)</f>
        <v>5599</v>
      </c>
      <c r="AA52" s="1136"/>
      <c r="AB52" s="3560">
        <f>SUM(AB49:AB51)</f>
        <v>4456</v>
      </c>
      <c r="AC52" s="3561">
        <f>SUM(AC49:AC51)</f>
        <v>4403</v>
      </c>
      <c r="AD52" s="3562">
        <f>SUM(AD49:AD51)</f>
        <v>5848</v>
      </c>
      <c r="AE52" s="99"/>
      <c r="AF52" s="3560">
        <f>SUM(AF49:AF51)</f>
        <v>4477</v>
      </c>
      <c r="AG52" s="3561">
        <f>SUM(AG49:AG51)</f>
        <v>4163</v>
      </c>
      <c r="AH52" s="3562">
        <f>SUM(AH49:AH51)</f>
        <v>4870</v>
      </c>
      <c r="AI52" s="1136"/>
      <c r="AJ52" s="3560">
        <f>SUM(AJ49:AJ51)</f>
        <v>4044</v>
      </c>
      <c r="AK52" s="3561">
        <f>SUM(AK49:AK51)</f>
        <v>3874</v>
      </c>
      <c r="AL52" s="3562">
        <f>SUM(AL49:AL51)</f>
        <v>4537</v>
      </c>
      <c r="AM52" s="339"/>
      <c r="AN52" s="3560">
        <f>SUM(AN49:AN51)</f>
        <v>3269</v>
      </c>
      <c r="AO52" s="3561">
        <f>SUM(AO49:AO51)</f>
        <v>3208</v>
      </c>
      <c r="AP52" s="3562">
        <f>SUM(AP49:AP51)</f>
        <v>2907</v>
      </c>
      <c r="AQ52" s="47"/>
    </row>
    <row r="53" spans="1:60">
      <c r="A53" s="1136"/>
      <c r="B53" s="1136"/>
      <c r="C53" s="1136"/>
      <c r="D53" s="1136"/>
      <c r="E53" s="1136"/>
      <c r="F53" s="1136"/>
      <c r="G53" s="1136"/>
      <c r="H53" s="1136"/>
      <c r="I53" s="1136"/>
      <c r="J53" s="1136"/>
      <c r="K53" s="1136"/>
      <c r="L53" s="1136"/>
      <c r="M53" s="1136"/>
      <c r="N53" s="1136"/>
      <c r="O53" s="1136"/>
      <c r="P53" s="1136"/>
      <c r="Q53" s="1136"/>
      <c r="R53" s="1136"/>
      <c r="S53" s="2832"/>
      <c r="T53" s="1136"/>
      <c r="U53" s="1136"/>
      <c r="V53" s="1136"/>
      <c r="W53" s="1136"/>
      <c r="X53" s="1136"/>
      <c r="Y53" s="1136"/>
      <c r="Z53" s="1136"/>
      <c r="AA53" s="1136"/>
      <c r="AB53" s="99"/>
      <c r="AC53" s="99"/>
      <c r="AD53" s="99"/>
      <c r="AE53" s="99"/>
      <c r="AF53" s="1136"/>
      <c r="AG53" s="1136"/>
      <c r="AH53" s="1003"/>
      <c r="AI53" s="1136"/>
      <c r="AJ53" s="1136"/>
      <c r="AK53" s="1136"/>
      <c r="AL53" s="1136"/>
      <c r="AM53" s="1136"/>
      <c r="AN53" s="1136"/>
      <c r="AO53" s="1136"/>
      <c r="AP53" s="1136"/>
      <c r="AQ53" s="44"/>
      <c r="AR53" s="41"/>
      <c r="AS53" s="41"/>
      <c r="AT53" s="41"/>
    </row>
    <row r="54" spans="1:60">
      <c r="A54" s="3563"/>
      <c r="B54" s="3563"/>
      <c r="C54" s="3563"/>
      <c r="D54" s="3563"/>
      <c r="E54" s="3563"/>
      <c r="F54" s="3563"/>
      <c r="G54" s="3563"/>
      <c r="H54" s="3563"/>
      <c r="I54" s="3563"/>
      <c r="J54" s="3563"/>
      <c r="K54" s="3563"/>
      <c r="L54" s="3563"/>
      <c r="M54" s="3563"/>
      <c r="N54" s="3563"/>
      <c r="O54" s="3563"/>
      <c r="P54" s="3563"/>
      <c r="Q54" s="3563"/>
      <c r="R54" s="3563"/>
      <c r="S54" s="2832"/>
      <c r="T54" s="3563"/>
      <c r="U54" s="3563"/>
      <c r="V54" s="3563"/>
      <c r="W54" s="3563"/>
      <c r="X54" s="3563"/>
      <c r="Y54" s="3563"/>
      <c r="Z54" s="3563"/>
      <c r="AA54" s="3563"/>
      <c r="AB54" s="99"/>
      <c r="AC54" s="99"/>
      <c r="AD54" s="99"/>
      <c r="AE54" s="99"/>
      <c r="AF54" s="1136"/>
      <c r="AG54" s="1136"/>
      <c r="AH54" s="1003"/>
      <c r="AI54" s="3563"/>
      <c r="AJ54" s="3563"/>
      <c r="AK54" s="3563"/>
      <c r="AL54" s="3563"/>
      <c r="AM54" s="339"/>
      <c r="AN54" s="1136"/>
      <c r="AO54" s="1136"/>
      <c r="AP54" s="1136"/>
      <c r="AQ54" s="44"/>
      <c r="AR54" s="41"/>
      <c r="AS54" s="41"/>
      <c r="AT54" s="41"/>
    </row>
    <row r="55" spans="1:60">
      <c r="A55" s="47" t="s">
        <v>1030</v>
      </c>
      <c r="B55" s="1136"/>
      <c r="C55" s="1136"/>
      <c r="D55" s="99"/>
      <c r="E55" s="1136"/>
      <c r="F55" s="3564">
        <f>SUM(F50:F51)</f>
        <v>2167</v>
      </c>
      <c r="G55" s="1136"/>
      <c r="H55" s="99"/>
      <c r="I55" s="1136"/>
      <c r="J55" s="3564">
        <f>SUM(J50:J51)</f>
        <v>1686</v>
      </c>
      <c r="K55" s="1136"/>
      <c r="L55" s="99"/>
      <c r="M55" s="1136"/>
      <c r="N55" s="3564">
        <f>SUM(N50:N51)</f>
        <v>1982</v>
      </c>
      <c r="O55" s="3535"/>
      <c r="P55" s="2832"/>
      <c r="Q55" s="3535"/>
      <c r="R55" s="3564">
        <f>SUM(R50:R51)</f>
        <v>1153</v>
      </c>
      <c r="S55" s="2832"/>
      <c r="T55" s="3535"/>
      <c r="U55" s="3535"/>
      <c r="V55" s="3564">
        <f>SUM(V50:V51)</f>
        <v>2394</v>
      </c>
      <c r="W55" s="3535"/>
      <c r="X55" s="3535"/>
      <c r="Y55" s="3535"/>
      <c r="Z55" s="3564">
        <f>SUM(Z50:Z51)</f>
        <v>2533</v>
      </c>
      <c r="AA55" s="3535"/>
      <c r="AB55" s="2832"/>
      <c r="AC55" s="2832"/>
      <c r="AD55" s="3564">
        <f>SUM(AD50:AD51)</f>
        <v>1691</v>
      </c>
      <c r="AE55" s="2832"/>
      <c r="AF55" s="3535"/>
      <c r="AG55" s="3535"/>
      <c r="AH55" s="3564">
        <f>SUM(AH50:AH51)</f>
        <v>1961</v>
      </c>
      <c r="AI55" s="3535"/>
      <c r="AJ55" s="3535"/>
      <c r="AK55" s="3535"/>
      <c r="AL55" s="3564">
        <f>SUM(AL50:AL51)</f>
        <v>1269</v>
      </c>
      <c r="AM55" s="3500"/>
      <c r="AN55" s="2832"/>
      <c r="AO55" s="2832"/>
      <c r="AP55" s="3564">
        <f>SUM(AP50:AP51)</f>
        <v>892</v>
      </c>
      <c r="AQ55" s="44"/>
    </row>
    <row r="56" spans="1:60">
      <c r="A56" s="4659" t="s">
        <v>1031</v>
      </c>
      <c r="B56" s="1453"/>
      <c r="C56" s="1453"/>
      <c r="D56" s="99"/>
      <c r="E56" s="1453"/>
      <c r="F56" s="3565">
        <v>9512</v>
      </c>
      <c r="G56" s="1453"/>
      <c r="H56" s="99"/>
      <c r="I56" s="1453"/>
      <c r="J56" s="3565">
        <v>8713</v>
      </c>
      <c r="K56" s="1453"/>
      <c r="L56" s="99"/>
      <c r="M56" s="1453"/>
      <c r="N56" s="3565">
        <v>9224</v>
      </c>
      <c r="O56" s="3566"/>
      <c r="P56" s="2832"/>
      <c r="Q56" s="3566"/>
      <c r="R56" s="3565">
        <v>8700</v>
      </c>
      <c r="S56" s="2832"/>
      <c r="T56" s="3566"/>
      <c r="U56" s="3566"/>
      <c r="V56" s="3565">
        <v>7927</v>
      </c>
      <c r="W56" s="3566"/>
      <c r="X56" s="3566"/>
      <c r="Y56" s="3535"/>
      <c r="Z56" s="3565">
        <v>7502</v>
      </c>
      <c r="AA56" s="3535"/>
      <c r="AB56" s="2832"/>
      <c r="AC56" s="2832"/>
      <c r="AD56" s="3565">
        <v>6904</v>
      </c>
      <c r="AE56" s="2832"/>
      <c r="AF56" s="3535"/>
      <c r="AG56" s="3535"/>
      <c r="AH56" s="3565">
        <v>6362</v>
      </c>
      <c r="AI56" s="3535"/>
      <c r="AJ56" s="3535"/>
      <c r="AK56" s="3535"/>
      <c r="AL56" s="3565">
        <v>6405</v>
      </c>
      <c r="AM56" s="3500"/>
      <c r="AN56" s="2832"/>
      <c r="AO56" s="2832"/>
      <c r="AP56" s="3565">
        <v>5891</v>
      </c>
      <c r="AQ56" s="44"/>
    </row>
    <row r="57" spans="1:60">
      <c r="A57" s="1136"/>
      <c r="B57" s="1136"/>
      <c r="C57" s="1136"/>
      <c r="D57" s="99"/>
      <c r="E57" s="1136"/>
      <c r="F57" s="3567">
        <f>F55/F56</f>
        <v>0.2278174936921783</v>
      </c>
      <c r="G57" s="1136"/>
      <c r="H57" s="99"/>
      <c r="I57" s="1136"/>
      <c r="J57" s="3567">
        <f>J55/J56</f>
        <v>0.1935039596005968</v>
      </c>
      <c r="K57" s="1136"/>
      <c r="L57" s="99"/>
      <c r="M57" s="1136"/>
      <c r="N57" s="3567">
        <f>N55/N56</f>
        <v>0.21487424111014744</v>
      </c>
      <c r="O57" s="3535"/>
      <c r="P57" s="2832"/>
      <c r="Q57" s="3535"/>
      <c r="R57" s="3567">
        <f>R55/R56</f>
        <v>0.1325287356321839</v>
      </c>
      <c r="S57" s="2832"/>
      <c r="T57" s="3535"/>
      <c r="U57" s="3535"/>
      <c r="V57" s="3567">
        <f>V55/V56</f>
        <v>0.30200580295193641</v>
      </c>
      <c r="W57" s="3535"/>
      <c r="X57" s="3535"/>
      <c r="Y57" s="3535"/>
      <c r="Z57" s="3567">
        <f>Z55/Z56</f>
        <v>0.33764329512130098</v>
      </c>
      <c r="AA57" s="3535"/>
      <c r="AB57" s="2832"/>
      <c r="AC57" s="2832"/>
      <c r="AD57" s="3567">
        <f>AD55/AD56</f>
        <v>0.24493047508690613</v>
      </c>
      <c r="AE57" s="2832"/>
      <c r="AF57" s="3535"/>
      <c r="AG57" s="3535"/>
      <c r="AH57" s="3567">
        <f>AH55/AH56</f>
        <v>0.308236403646652</v>
      </c>
      <c r="AI57" s="3535"/>
      <c r="AJ57" s="3535" t="s">
        <v>327</v>
      </c>
      <c r="AK57" s="3535"/>
      <c r="AL57" s="3567">
        <f>AL55/AL56</f>
        <v>0.19812646370023418</v>
      </c>
      <c r="AM57" s="3535"/>
      <c r="AN57" s="2832"/>
      <c r="AO57" s="2832"/>
      <c r="AP57" s="3567">
        <f>AP55/AP56</f>
        <v>0.1514174163978951</v>
      </c>
      <c r="AQ57" s="236"/>
    </row>
    <row r="58" spans="1:60">
      <c r="A58" s="44"/>
      <c r="B58" s="44"/>
      <c r="C58" s="44"/>
      <c r="D58" s="44"/>
      <c r="E58" s="44"/>
      <c r="F58" s="44"/>
      <c r="G58" s="44"/>
      <c r="H58" s="44"/>
      <c r="I58" s="44"/>
      <c r="J58" s="44"/>
      <c r="K58" s="44"/>
      <c r="L58" s="44"/>
      <c r="M58" s="44"/>
      <c r="N58" s="44"/>
      <c r="O58" s="44"/>
      <c r="P58" s="44"/>
      <c r="Q58" s="44"/>
      <c r="R58" s="44"/>
      <c r="S58" s="2832"/>
      <c r="T58" s="44"/>
      <c r="U58" s="44"/>
      <c r="V58" s="44"/>
      <c r="W58" s="44"/>
      <c r="X58" s="44"/>
      <c r="Y58" s="44"/>
      <c r="Z58" s="44"/>
      <c r="AA58" s="44"/>
      <c r="AB58" s="44"/>
      <c r="AC58" s="44"/>
      <c r="AD58" s="44"/>
      <c r="AE58" s="44"/>
      <c r="AF58" s="44"/>
      <c r="AG58" s="44"/>
      <c r="AH58" s="44"/>
      <c r="AI58" s="44"/>
      <c r="AJ58" s="44"/>
      <c r="AK58" s="44"/>
      <c r="AL58" s="44"/>
      <c r="AM58" s="44"/>
      <c r="AN58" s="44"/>
      <c r="AO58" s="44"/>
    </row>
    <row r="59" spans="1:60">
      <c r="S59" s="2832"/>
    </row>
    <row r="60" spans="1:60" s="132" customFormat="1" ht="90" customHeight="1">
      <c r="A60" s="5976" t="s">
        <v>1032</v>
      </c>
      <c r="B60" s="5977"/>
      <c r="C60" s="5977"/>
      <c r="D60" s="5977"/>
      <c r="E60" s="5977"/>
      <c r="F60" s="5977"/>
      <c r="G60" s="5977"/>
      <c r="H60" s="5977"/>
      <c r="I60" s="3908"/>
      <c r="J60" s="3908"/>
      <c r="K60" s="3908"/>
      <c r="L60" s="3908"/>
      <c r="M60" s="3908"/>
      <c r="N60" s="3908"/>
      <c r="O60" s="3908"/>
      <c r="P60" s="3908"/>
      <c r="Q60" s="3908"/>
      <c r="R60" s="3908"/>
      <c r="S60" s="2832"/>
      <c r="T60" s="3908"/>
      <c r="U60" s="3908"/>
      <c r="V60" s="3908"/>
      <c r="W60" s="3908"/>
      <c r="X60" s="3908"/>
      <c r="Y60" s="3908"/>
      <c r="Z60" s="3908"/>
      <c r="AA60" s="3908"/>
      <c r="AB60" s="3908"/>
      <c r="AC60" s="3908"/>
      <c r="AD60" s="3908"/>
      <c r="AE60" s="3908"/>
      <c r="AF60" s="3908"/>
      <c r="AG60" s="3908"/>
      <c r="AH60" s="3908"/>
      <c r="AI60" s="3908"/>
      <c r="AJ60" s="3908"/>
      <c r="AK60" s="3908"/>
      <c r="AL60" s="3908"/>
      <c r="AM60" s="166"/>
      <c r="AN60" s="166"/>
      <c r="AO60" s="166"/>
      <c r="AP60" s="3906"/>
      <c r="AQ60" s="3906"/>
      <c r="AR60" s="3907"/>
      <c r="AS60" s="3907"/>
      <c r="AT60" s="3907"/>
      <c r="AU60" s="3907"/>
      <c r="AV60" s="3907"/>
      <c r="AW60" s="3907"/>
      <c r="AX60" s="3907"/>
      <c r="AY60" s="3907"/>
      <c r="AZ60" s="3907"/>
      <c r="BA60" s="3907"/>
      <c r="BB60" s="3907"/>
      <c r="BC60" s="3907"/>
      <c r="BD60" s="3907"/>
      <c r="BE60" s="3907"/>
      <c r="BF60" s="3907"/>
      <c r="BG60" s="3907"/>
      <c r="BH60" s="3907"/>
    </row>
    <row r="61" spans="1:60">
      <c r="A61" s="3909"/>
      <c r="B61" s="3909"/>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row>
    <row r="62" spans="1:60" ht="59.25" customHeight="1">
      <c r="A62" s="5976" t="s">
        <v>1033</v>
      </c>
      <c r="B62" s="5977"/>
      <c r="C62" s="5977"/>
      <c r="D62" s="5977"/>
      <c r="E62" s="5977"/>
      <c r="F62" s="5977"/>
      <c r="G62" s="5977"/>
      <c r="H62" s="5977"/>
      <c r="I62" s="3908"/>
      <c r="J62" s="3908"/>
      <c r="K62" s="3908"/>
      <c r="L62" s="3908"/>
      <c r="M62" s="3908"/>
      <c r="N62" s="3908"/>
      <c r="O62" s="3908"/>
      <c r="P62" s="3908"/>
      <c r="Q62" s="3908"/>
      <c r="R62" s="3908"/>
      <c r="S62" s="3908"/>
      <c r="T62" s="3908"/>
      <c r="U62" s="3908"/>
      <c r="V62" s="3908"/>
      <c r="W62" s="3908"/>
      <c r="X62" s="3908"/>
      <c r="Y62" s="3908"/>
      <c r="Z62" s="3908"/>
      <c r="AA62" s="3908"/>
      <c r="AB62" s="3908"/>
      <c r="AC62" s="3908"/>
      <c r="AD62" s="3908"/>
      <c r="AE62" s="3908"/>
      <c r="AF62" s="3908"/>
      <c r="AG62" s="3908"/>
      <c r="AH62" s="3908"/>
      <c r="AI62" s="3908"/>
      <c r="AJ62" s="3908"/>
      <c r="AK62" s="3908"/>
      <c r="AL62" s="3908"/>
      <c r="AM62" s="166"/>
      <c r="AN62" s="166"/>
      <c r="AO62" s="166"/>
      <c r="AP62" s="70"/>
      <c r="AQ62" s="70"/>
      <c r="AR62" s="42"/>
      <c r="AS62" s="42"/>
      <c r="AT62" s="42"/>
      <c r="AU62" s="42"/>
      <c r="AV62" s="42"/>
      <c r="AW62" s="42"/>
      <c r="AX62" s="42"/>
      <c r="AY62" s="42"/>
      <c r="AZ62" s="42"/>
      <c r="BA62" s="42"/>
      <c r="BB62" s="42"/>
      <c r="BC62" s="42"/>
      <c r="BD62" s="42"/>
      <c r="BE62" s="42"/>
      <c r="BF62" s="42"/>
      <c r="BG62" s="42"/>
      <c r="BH62" s="42"/>
    </row>
  </sheetData>
  <sheetProtection algorithmName="SHA-512" hashValue="tweyu8fUQUalTzG77c0RwgwkrnKc+P40Z2ahDgrkZX6wFF4h2nbCwpSpJphCtMvoCagv7w9MUH3uElT1R3Cleg==" saltValue="lvD7U/2oq2r1UlBtwSu8MQ==" spinCount="100000" sheet="1" objects="1" scenarios="1"/>
  <mergeCells count="83">
    <mergeCell ref="A62:H62"/>
    <mergeCell ref="AN47:AP47"/>
    <mergeCell ref="A49:A51"/>
    <mergeCell ref="A52:B52"/>
    <mergeCell ref="A47:A48"/>
    <mergeCell ref="B47:B48"/>
    <mergeCell ref="X47:Z47"/>
    <mergeCell ref="AB47:AD47"/>
    <mergeCell ref="AF47:AH47"/>
    <mergeCell ref="AJ47:AL47"/>
    <mergeCell ref="T47:V47"/>
    <mergeCell ref="P47:R47"/>
    <mergeCell ref="L47:N47"/>
    <mergeCell ref="H47:J47"/>
    <mergeCell ref="A60:H60"/>
    <mergeCell ref="D47:F47"/>
    <mergeCell ref="AF36:AH36"/>
    <mergeCell ref="AJ36:AL36"/>
    <mergeCell ref="AN36:AP36"/>
    <mergeCell ref="A38:A40"/>
    <mergeCell ref="A41:A43"/>
    <mergeCell ref="X36:Z36"/>
    <mergeCell ref="AB36:AD36"/>
    <mergeCell ref="T36:V36"/>
    <mergeCell ref="P36:R36"/>
    <mergeCell ref="L36:N36"/>
    <mergeCell ref="H36:J36"/>
    <mergeCell ref="D36:F36"/>
    <mergeCell ref="A44:B44"/>
    <mergeCell ref="A30:A32"/>
    <mergeCell ref="A33:B33"/>
    <mergeCell ref="A36:A37"/>
    <mergeCell ref="B36:B37"/>
    <mergeCell ref="A22:A24"/>
    <mergeCell ref="A25:B25"/>
    <mergeCell ref="AB20:AD20"/>
    <mergeCell ref="AF20:AH20"/>
    <mergeCell ref="AJ20:AL20"/>
    <mergeCell ref="T20:V20"/>
    <mergeCell ref="A28:A29"/>
    <mergeCell ref="B28:B29"/>
    <mergeCell ref="X28:Z28"/>
    <mergeCell ref="AB28:AD28"/>
    <mergeCell ref="AF28:AH28"/>
    <mergeCell ref="T28:V28"/>
    <mergeCell ref="L28:N28"/>
    <mergeCell ref="H28:J28"/>
    <mergeCell ref="D28:F28"/>
    <mergeCell ref="A13:A16"/>
    <mergeCell ref="A17:B17"/>
    <mergeCell ref="A20:A21"/>
    <mergeCell ref="B20:B21"/>
    <mergeCell ref="X20:Z20"/>
    <mergeCell ref="L20:N20"/>
    <mergeCell ref="A3:A4"/>
    <mergeCell ref="B3:B4"/>
    <mergeCell ref="X3:Z3"/>
    <mergeCell ref="AB3:AD3"/>
    <mergeCell ref="AF3:AH3"/>
    <mergeCell ref="L3:N3"/>
    <mergeCell ref="H3:J3"/>
    <mergeCell ref="D3:F3"/>
    <mergeCell ref="A5:A7"/>
    <mergeCell ref="A8:B8"/>
    <mergeCell ref="A11:A12"/>
    <mergeCell ref="B11:B12"/>
    <mergeCell ref="X11:Z11"/>
    <mergeCell ref="L11:N11"/>
    <mergeCell ref="H11:J11"/>
    <mergeCell ref="D11:F11"/>
    <mergeCell ref="AN20:AP20"/>
    <mergeCell ref="P3:R3"/>
    <mergeCell ref="P11:R11"/>
    <mergeCell ref="P20:R20"/>
    <mergeCell ref="P28:R28"/>
    <mergeCell ref="AJ3:AL3"/>
    <mergeCell ref="T3:V3"/>
    <mergeCell ref="T11:V11"/>
    <mergeCell ref="AN3:AP3"/>
    <mergeCell ref="AB11:AD11"/>
    <mergeCell ref="AF11:AH11"/>
    <mergeCell ref="AJ11:AL11"/>
    <mergeCell ref="AN11:AP11"/>
  </mergeCells>
  <pageMargins left="0.70866141732283472" right="0.70866141732283472" top="0.74803149606299213" bottom="0.74803149606299213" header="0.31496062992125984" footer="0.31496062992125984"/>
  <pageSetup scale="45" orientation="portrait" r:id="rId1"/>
  <ignoredErrors>
    <ignoredError sqref="AN51:AP5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N151"/>
  <sheetViews>
    <sheetView showGridLines="0" topLeftCell="A118" workbookViewId="0">
      <selection activeCell="A47" sqref="A47:A72"/>
    </sheetView>
  </sheetViews>
  <sheetFormatPr baseColWidth="10" defaultColWidth="11.44140625" defaultRowHeight="13.2"/>
  <cols>
    <col min="1" max="1" width="20.44140625" style="56" bestFit="1" customWidth="1"/>
    <col min="2" max="2" width="8.21875" style="56" customWidth="1"/>
    <col min="3" max="3" width="4.21875" style="56" bestFit="1" customWidth="1"/>
    <col min="4" max="4" width="39.21875" style="56" customWidth="1"/>
    <col min="5" max="5" width="4.21875" style="56" bestFit="1" customWidth="1"/>
    <col min="6" max="6" width="9.77734375" style="56" customWidth="1"/>
    <col min="7" max="7" width="4.21875" style="56" customWidth="1"/>
    <col min="8" max="8" width="28.77734375" style="56" customWidth="1"/>
    <col min="9" max="9" width="3" style="56" customWidth="1"/>
    <col min="10" max="10" width="30.77734375" style="56" customWidth="1"/>
    <col min="11" max="11" width="4.21875" style="56" bestFit="1" customWidth="1"/>
    <col min="12" max="16384" width="11.44140625" style="56"/>
  </cols>
  <sheetData>
    <row r="2" spans="1:14" ht="25.5" customHeight="1">
      <c r="A2" s="1116" t="s">
        <v>190</v>
      </c>
      <c r="C2" s="5605" t="s">
        <v>1286</v>
      </c>
      <c r="D2" s="444" t="s">
        <v>1285</v>
      </c>
      <c r="E2" s="5605" t="s">
        <v>1287</v>
      </c>
      <c r="F2" s="5606" t="s">
        <v>1283</v>
      </c>
    </row>
    <row r="3" spans="1:14" ht="25.5" customHeight="1">
      <c r="C3" s="5605"/>
      <c r="D3" s="89" t="s">
        <v>1284</v>
      </c>
      <c r="E3" s="5605"/>
      <c r="F3" s="5606"/>
    </row>
    <row r="4" spans="1:14">
      <c r="F4" s="1033"/>
    </row>
    <row r="5" spans="1:14" ht="39.6">
      <c r="C5" s="5605" t="s">
        <v>1286</v>
      </c>
      <c r="D5" s="444" t="s">
        <v>1296</v>
      </c>
      <c r="E5" s="5605" t="s">
        <v>1287</v>
      </c>
      <c r="F5" s="5606" t="s">
        <v>1283</v>
      </c>
    </row>
    <row r="6" spans="1:14" ht="26.4">
      <c r="C6" s="5605"/>
      <c r="D6" s="89" t="s">
        <v>1295</v>
      </c>
      <c r="E6" s="5605"/>
      <c r="F6" s="5606"/>
    </row>
    <row r="7" spans="1:14">
      <c r="F7" s="1033"/>
    </row>
    <row r="8" spans="1:14" ht="26.4">
      <c r="C8" s="5605" t="s">
        <v>1286</v>
      </c>
      <c r="D8" s="444" t="s">
        <v>1297</v>
      </c>
      <c r="E8" s="5605" t="s">
        <v>1287</v>
      </c>
      <c r="F8" s="5606" t="s">
        <v>1283</v>
      </c>
    </row>
    <row r="9" spans="1:14">
      <c r="C9" s="5605"/>
      <c r="D9" s="56" t="s">
        <v>1298</v>
      </c>
      <c r="E9" s="5605"/>
      <c r="F9" s="5606"/>
    </row>
    <row r="10" spans="1:14">
      <c r="F10" s="1033"/>
    </row>
    <row r="11" spans="1:14" ht="39.6">
      <c r="C11" s="5605" t="s">
        <v>1286</v>
      </c>
      <c r="D11" s="444" t="s">
        <v>1299</v>
      </c>
      <c r="E11" s="5605" t="s">
        <v>1287</v>
      </c>
      <c r="F11" s="5606" t="s">
        <v>1283</v>
      </c>
    </row>
    <row r="12" spans="1:14" ht="26.4">
      <c r="C12" s="5605"/>
      <c r="D12" s="89" t="s">
        <v>1300</v>
      </c>
      <c r="E12" s="5605"/>
      <c r="F12" s="5606"/>
    </row>
    <row r="13" spans="1:14">
      <c r="F13" s="1033"/>
    </row>
    <row r="14" spans="1:14" ht="42" customHeight="1">
      <c r="F14" s="1033"/>
      <c r="G14" s="1113" t="s">
        <v>1286</v>
      </c>
      <c r="H14" s="1031" t="s">
        <v>1388</v>
      </c>
      <c r="I14" s="1012"/>
      <c r="J14" s="1032" t="s">
        <v>1389</v>
      </c>
      <c r="K14" s="1113" t="s">
        <v>1287</v>
      </c>
      <c r="M14" s="1011"/>
      <c r="N14" s="453"/>
    </row>
    <row r="15" spans="1:14" ht="12.75" customHeight="1">
      <c r="F15" s="1033"/>
      <c r="G15" s="1113"/>
      <c r="K15" s="1113"/>
    </row>
    <row r="16" spans="1:14" ht="39.6">
      <c r="C16" s="5605" t="s">
        <v>1286</v>
      </c>
      <c r="D16" s="444" t="s">
        <v>1392</v>
      </c>
      <c r="E16" s="5605" t="s">
        <v>1287</v>
      </c>
      <c r="F16" s="5606" t="s">
        <v>1283</v>
      </c>
    </row>
    <row r="17" spans="3:11">
      <c r="C17" s="5605"/>
      <c r="D17" s="89" t="s">
        <v>1391</v>
      </c>
      <c r="E17" s="5605"/>
      <c r="F17" s="5606"/>
    </row>
    <row r="18" spans="3:11">
      <c r="F18" s="1033"/>
    </row>
    <row r="19" spans="3:11" ht="39.6">
      <c r="C19" s="5605" t="s">
        <v>1286</v>
      </c>
      <c r="D19" s="444" t="s">
        <v>1393</v>
      </c>
      <c r="E19" s="5605" t="s">
        <v>1287</v>
      </c>
      <c r="F19" s="5606" t="s">
        <v>1283</v>
      </c>
    </row>
    <row r="20" spans="3:11">
      <c r="C20" s="5605"/>
      <c r="D20" s="89" t="s">
        <v>1391</v>
      </c>
      <c r="E20" s="5605"/>
      <c r="F20" s="5606"/>
    </row>
    <row r="21" spans="3:11">
      <c r="F21" s="1033"/>
    </row>
    <row r="22" spans="3:11" ht="39.6">
      <c r="C22" s="5605" t="s">
        <v>1286</v>
      </c>
      <c r="D22" s="444" t="s">
        <v>1394</v>
      </c>
      <c r="E22" s="5605" t="s">
        <v>1287</v>
      </c>
      <c r="F22" s="5606" t="s">
        <v>1283</v>
      </c>
    </row>
    <row r="23" spans="3:11">
      <c r="C23" s="5605"/>
      <c r="D23" s="89" t="s">
        <v>1391</v>
      </c>
      <c r="E23" s="5605"/>
      <c r="F23" s="5606"/>
    </row>
    <row r="26" spans="3:11" ht="52.8">
      <c r="G26" s="1113" t="s">
        <v>1286</v>
      </c>
      <c r="H26" s="1031" t="s">
        <v>1395</v>
      </c>
      <c r="I26" s="1012"/>
      <c r="J26" s="1032" t="s">
        <v>1396</v>
      </c>
      <c r="K26" s="1113" t="s">
        <v>1287</v>
      </c>
    </row>
    <row r="27" spans="3:11">
      <c r="H27" s="1031"/>
      <c r="J27" s="1033"/>
    </row>
    <row r="28" spans="3:11" ht="52.8">
      <c r="G28" s="1113" t="s">
        <v>1286</v>
      </c>
      <c r="H28" s="1031" t="s">
        <v>1397</v>
      </c>
      <c r="I28" s="1012"/>
      <c r="J28" s="1032" t="s">
        <v>1398</v>
      </c>
      <c r="K28" s="1113" t="s">
        <v>1287</v>
      </c>
    </row>
    <row r="29" spans="3:11">
      <c r="H29" s="1031"/>
      <c r="J29" s="1033"/>
    </row>
    <row r="30" spans="3:11" ht="52.8">
      <c r="G30" s="1113" t="s">
        <v>1286</v>
      </c>
      <c r="H30" s="1031" t="s">
        <v>1399</v>
      </c>
      <c r="I30" s="1012"/>
      <c r="J30" s="1032" t="s">
        <v>1400</v>
      </c>
      <c r="K30" s="1113" t="s">
        <v>1287</v>
      </c>
    </row>
    <row r="33" spans="3:6" ht="39.6">
      <c r="C33" s="5605" t="s">
        <v>1286</v>
      </c>
      <c r="D33" s="444" t="s">
        <v>1402</v>
      </c>
      <c r="E33" s="5605" t="s">
        <v>1287</v>
      </c>
      <c r="F33" s="5606" t="s">
        <v>1283</v>
      </c>
    </row>
    <row r="34" spans="3:6">
      <c r="C34" s="5605"/>
      <c r="D34" s="89" t="s">
        <v>1401</v>
      </c>
      <c r="E34" s="5605"/>
      <c r="F34" s="5606"/>
    </row>
    <row r="35" spans="3:6">
      <c r="F35" s="446"/>
    </row>
    <row r="36" spans="3:6" ht="39.6">
      <c r="C36" s="5605" t="s">
        <v>1286</v>
      </c>
      <c r="D36" s="444" t="s">
        <v>1629</v>
      </c>
      <c r="E36" s="5605" t="s">
        <v>1287</v>
      </c>
      <c r="F36" s="5606" t="s">
        <v>1283</v>
      </c>
    </row>
    <row r="37" spans="3:6">
      <c r="C37" s="5605"/>
      <c r="D37" s="89" t="s">
        <v>1628</v>
      </c>
      <c r="E37" s="5605"/>
      <c r="F37" s="5606"/>
    </row>
    <row r="38" spans="3:6">
      <c r="F38" s="446"/>
    </row>
    <row r="39" spans="3:6">
      <c r="F39" s="446"/>
    </row>
    <row r="40" spans="3:6" ht="26.4">
      <c r="C40" s="5605" t="s">
        <v>1286</v>
      </c>
      <c r="D40" s="444" t="s">
        <v>1403</v>
      </c>
      <c r="E40" s="5605" t="s">
        <v>1287</v>
      </c>
      <c r="F40" s="5606" t="s">
        <v>1283</v>
      </c>
    </row>
    <row r="41" spans="3:6">
      <c r="C41" s="5605"/>
      <c r="D41" s="453" t="s">
        <v>1404</v>
      </c>
      <c r="E41" s="5605"/>
      <c r="F41" s="5606"/>
    </row>
    <row r="42" spans="3:6">
      <c r="F42" s="446"/>
    </row>
    <row r="43" spans="3:6" ht="26.4">
      <c r="C43" s="5605" t="s">
        <v>1286</v>
      </c>
      <c r="D43" s="444" t="s">
        <v>1630</v>
      </c>
      <c r="E43" s="5605" t="s">
        <v>1287</v>
      </c>
      <c r="F43" s="5606" t="s">
        <v>1283</v>
      </c>
    </row>
    <row r="44" spans="3:6">
      <c r="C44" s="5605"/>
      <c r="D44" s="453" t="s">
        <v>1631</v>
      </c>
      <c r="E44" s="5605"/>
      <c r="F44" s="5606"/>
    </row>
    <row r="45" spans="3:6">
      <c r="F45" s="446"/>
    </row>
    <row r="46" spans="3:6">
      <c r="F46" s="446"/>
    </row>
    <row r="47" spans="3:6" ht="39.6">
      <c r="C47" s="5605" t="s">
        <v>1286</v>
      </c>
      <c r="D47" s="444" t="s">
        <v>1406</v>
      </c>
      <c r="E47" s="5605" t="s">
        <v>1287</v>
      </c>
      <c r="F47" s="5606" t="s">
        <v>1283</v>
      </c>
    </row>
    <row r="48" spans="3:6">
      <c r="C48" s="5605"/>
      <c r="D48" s="89" t="s">
        <v>1405</v>
      </c>
      <c r="E48" s="5605"/>
      <c r="F48" s="5606"/>
    </row>
    <row r="49" spans="3:6">
      <c r="F49" s="446"/>
    </row>
    <row r="50" spans="3:6" ht="39.6">
      <c r="C50" s="5605" t="s">
        <v>1286</v>
      </c>
      <c r="D50" s="444" t="s">
        <v>1407</v>
      </c>
      <c r="E50" s="5605" t="s">
        <v>1287</v>
      </c>
      <c r="F50" s="5606" t="s">
        <v>1283</v>
      </c>
    </row>
    <row r="51" spans="3:6">
      <c r="C51" s="5605"/>
      <c r="D51" s="89" t="s">
        <v>1404</v>
      </c>
      <c r="E51" s="5605"/>
      <c r="F51" s="5606"/>
    </row>
    <row r="52" spans="3:6">
      <c r="F52" s="446"/>
    </row>
    <row r="53" spans="3:6">
      <c r="F53" s="446"/>
    </row>
    <row r="54" spans="3:6" ht="12.75" customHeight="1">
      <c r="C54" s="5608" t="s">
        <v>1286</v>
      </c>
      <c r="D54" s="1018" t="s">
        <v>1408</v>
      </c>
      <c r="E54" s="5608" t="s">
        <v>1287</v>
      </c>
      <c r="F54" s="5606" t="s">
        <v>1283</v>
      </c>
    </row>
    <row r="55" spans="3:6" ht="12.75" customHeight="1">
      <c r="C55" s="5608"/>
      <c r="D55" s="453" t="s">
        <v>1409</v>
      </c>
      <c r="E55" s="5608"/>
      <c r="F55" s="5606"/>
    </row>
    <row r="56" spans="3:6">
      <c r="F56" s="446"/>
    </row>
    <row r="57" spans="3:6" ht="26.4">
      <c r="C57" s="5605" t="s">
        <v>1286</v>
      </c>
      <c r="D57" s="444" t="s">
        <v>1410</v>
      </c>
      <c r="E57" s="5605" t="s">
        <v>1287</v>
      </c>
      <c r="F57" s="5606" t="s">
        <v>1283</v>
      </c>
    </row>
    <row r="58" spans="3:6">
      <c r="C58" s="5605"/>
      <c r="D58" s="89" t="s">
        <v>1411</v>
      </c>
      <c r="E58" s="5605"/>
      <c r="F58" s="5606"/>
    </row>
    <row r="59" spans="3:6">
      <c r="F59" s="446"/>
    </row>
    <row r="60" spans="3:6" ht="39.6">
      <c r="C60" s="5605" t="s">
        <v>1286</v>
      </c>
      <c r="D60" s="444" t="s">
        <v>1412</v>
      </c>
      <c r="E60" s="5605" t="s">
        <v>1287</v>
      </c>
      <c r="F60" s="5606" t="s">
        <v>1283</v>
      </c>
    </row>
    <row r="61" spans="3:6" ht="26.4">
      <c r="C61" s="5605"/>
      <c r="D61" s="89" t="s">
        <v>1413</v>
      </c>
      <c r="E61" s="5605"/>
      <c r="F61" s="5606"/>
    </row>
    <row r="62" spans="3:6">
      <c r="F62" s="446"/>
    </row>
    <row r="63" spans="3:6" ht="39.6">
      <c r="C63" s="5605" t="s">
        <v>1286</v>
      </c>
      <c r="D63" s="444" t="s">
        <v>1414</v>
      </c>
      <c r="E63" s="5605" t="s">
        <v>1287</v>
      </c>
      <c r="F63" s="5606" t="s">
        <v>1283</v>
      </c>
    </row>
    <row r="64" spans="3:6" ht="26.4">
      <c r="C64" s="5605"/>
      <c r="D64" s="89" t="s">
        <v>1415</v>
      </c>
      <c r="E64" s="5605"/>
      <c r="F64" s="5606"/>
    </row>
    <row r="65" spans="1:6">
      <c r="F65" s="446"/>
    </row>
    <row r="66" spans="1:6" ht="26.4">
      <c r="C66" s="5605" t="s">
        <v>1286</v>
      </c>
      <c r="D66" s="444" t="s">
        <v>1416</v>
      </c>
      <c r="E66" s="5605" t="s">
        <v>1287</v>
      </c>
      <c r="F66" s="5606" t="s">
        <v>1283</v>
      </c>
    </row>
    <row r="67" spans="1:6" ht="26.4">
      <c r="C67" s="5605"/>
      <c r="D67" s="89" t="s">
        <v>1415</v>
      </c>
      <c r="E67" s="5605"/>
      <c r="F67" s="5606"/>
    </row>
    <row r="68" spans="1:6">
      <c r="F68" s="446"/>
    </row>
    <row r="69" spans="1:6" ht="26.4">
      <c r="A69" s="1116" t="s">
        <v>84</v>
      </c>
      <c r="C69" s="5605" t="s">
        <v>1286</v>
      </c>
      <c r="D69" s="444" t="s">
        <v>1421</v>
      </c>
      <c r="E69" s="5605" t="s">
        <v>1287</v>
      </c>
      <c r="F69" s="5606" t="s">
        <v>1283</v>
      </c>
    </row>
    <row r="70" spans="1:6">
      <c r="C70" s="5605"/>
      <c r="D70" s="453" t="s">
        <v>1422</v>
      </c>
      <c r="E70" s="5605"/>
      <c r="F70" s="5606"/>
    </row>
    <row r="71" spans="1:6">
      <c r="F71" s="446"/>
    </row>
    <row r="72" spans="1:6">
      <c r="F72" s="446"/>
    </row>
    <row r="73" spans="1:6" ht="26.4">
      <c r="C73" s="5605" t="s">
        <v>1286</v>
      </c>
      <c r="D73" s="444" t="s">
        <v>1421</v>
      </c>
      <c r="E73" s="5605" t="s">
        <v>1287</v>
      </c>
      <c r="F73" s="5606" t="s">
        <v>1283</v>
      </c>
    </row>
    <row r="74" spans="1:6" ht="26.4">
      <c r="C74" s="5605"/>
      <c r="D74" s="89" t="s">
        <v>1423</v>
      </c>
      <c r="E74" s="5605"/>
      <c r="F74" s="5606"/>
    </row>
    <row r="75" spans="1:6">
      <c r="F75" s="446"/>
    </row>
    <row r="76" spans="1:6" ht="26.4">
      <c r="C76" s="5605" t="s">
        <v>1286</v>
      </c>
      <c r="D76" s="444" t="s">
        <v>1425</v>
      </c>
      <c r="E76" s="5605" t="s">
        <v>1287</v>
      </c>
      <c r="F76" s="5606" t="s">
        <v>1283</v>
      </c>
    </row>
    <row r="77" spans="1:6" ht="26.4">
      <c r="C77" s="5605"/>
      <c r="D77" s="89" t="s">
        <v>1426</v>
      </c>
      <c r="E77" s="5605"/>
      <c r="F77" s="5606"/>
    </row>
    <row r="78" spans="1:6">
      <c r="F78" s="446"/>
    </row>
    <row r="79" spans="1:6">
      <c r="F79" s="446"/>
    </row>
    <row r="80" spans="1:6">
      <c r="C80" s="5608" t="s">
        <v>1286</v>
      </c>
      <c r="D80" s="1018" t="s">
        <v>1427</v>
      </c>
      <c r="E80" s="5608" t="s">
        <v>1287</v>
      </c>
      <c r="F80" s="5606" t="s">
        <v>1283</v>
      </c>
    </row>
    <row r="81" spans="3:6">
      <c r="C81" s="5608"/>
      <c r="D81" s="453" t="s">
        <v>1428</v>
      </c>
      <c r="E81" s="5608"/>
      <c r="F81" s="5606"/>
    </row>
    <row r="82" spans="3:6">
      <c r="F82" s="446"/>
    </row>
    <row r="83" spans="3:6" ht="26.4">
      <c r="C83" s="5607" t="s">
        <v>1286</v>
      </c>
      <c r="D83" s="444" t="s">
        <v>1429</v>
      </c>
      <c r="E83" s="5607" t="s">
        <v>1287</v>
      </c>
      <c r="F83" s="5606" t="s">
        <v>1283</v>
      </c>
    </row>
    <row r="84" spans="3:6" ht="39.6">
      <c r="C84" s="5607"/>
      <c r="D84" s="89" t="s">
        <v>1430</v>
      </c>
      <c r="E84" s="5607"/>
      <c r="F84" s="5606"/>
    </row>
    <row r="85" spans="3:6">
      <c r="F85" s="446"/>
    </row>
    <row r="86" spans="3:6" ht="26.4">
      <c r="C86" s="5605" t="s">
        <v>1286</v>
      </c>
      <c r="D86" s="444" t="s">
        <v>1438</v>
      </c>
      <c r="E86" s="5605" t="s">
        <v>1287</v>
      </c>
      <c r="F86" s="5606" t="s">
        <v>1283</v>
      </c>
    </row>
    <row r="87" spans="3:6" ht="26.4">
      <c r="C87" s="5605"/>
      <c r="D87" s="89" t="s">
        <v>1415</v>
      </c>
      <c r="E87" s="5605"/>
      <c r="F87" s="5606"/>
    </row>
    <row r="88" spans="3:6">
      <c r="F88" s="446"/>
    </row>
    <row r="89" spans="3:6">
      <c r="F89" s="446"/>
    </row>
    <row r="90" spans="3:6" ht="26.4">
      <c r="C90" s="5605" t="s">
        <v>1286</v>
      </c>
      <c r="D90" s="444" t="s">
        <v>1439</v>
      </c>
      <c r="E90" s="5605" t="s">
        <v>1287</v>
      </c>
      <c r="F90" s="5606" t="s">
        <v>1283</v>
      </c>
    </row>
    <row r="91" spans="3:6" ht="26.4">
      <c r="C91" s="5605"/>
      <c r="D91" s="89" t="s">
        <v>1415</v>
      </c>
      <c r="E91" s="5605"/>
      <c r="F91" s="5606"/>
    </row>
    <row r="92" spans="3:6">
      <c r="F92" s="446"/>
    </row>
    <row r="93" spans="3:6">
      <c r="F93" s="446"/>
    </row>
    <row r="94" spans="3:6" ht="26.4">
      <c r="C94" s="5605" t="s">
        <v>1286</v>
      </c>
      <c r="D94" s="444" t="s">
        <v>1439</v>
      </c>
      <c r="E94" s="5605" t="s">
        <v>1287</v>
      </c>
      <c r="F94" s="5606" t="s">
        <v>1283</v>
      </c>
    </row>
    <row r="95" spans="3:6" ht="26.4">
      <c r="C95" s="5605"/>
      <c r="D95" s="89" t="s">
        <v>1438</v>
      </c>
      <c r="E95" s="5605"/>
      <c r="F95" s="5606"/>
    </row>
    <row r="96" spans="3:6">
      <c r="F96" s="446"/>
    </row>
    <row r="97" spans="1:6">
      <c r="F97" s="446"/>
    </row>
    <row r="98" spans="1:6" ht="19.5" customHeight="1">
      <c r="C98" s="5605" t="s">
        <v>1286</v>
      </c>
      <c r="D98" s="444" t="s">
        <v>1443</v>
      </c>
      <c r="E98" s="5605" t="s">
        <v>1287</v>
      </c>
      <c r="F98" s="5606" t="s">
        <v>1454</v>
      </c>
    </row>
    <row r="99" spans="1:6" ht="15.75" customHeight="1">
      <c r="C99" s="5605"/>
      <c r="D99" s="89" t="s">
        <v>1450</v>
      </c>
      <c r="E99" s="5605"/>
      <c r="F99" s="5606"/>
    </row>
    <row r="100" spans="1:6" ht="13.5" customHeight="1">
      <c r="F100" s="446"/>
    </row>
    <row r="101" spans="1:6">
      <c r="C101" s="5605" t="s">
        <v>1286</v>
      </c>
      <c r="D101" s="444" t="s">
        <v>1497</v>
      </c>
      <c r="E101" s="5605" t="s">
        <v>1287</v>
      </c>
      <c r="F101" s="5606" t="s">
        <v>1283</v>
      </c>
    </row>
    <row r="102" spans="1:6">
      <c r="C102" s="5605"/>
      <c r="D102" s="89" t="s">
        <v>1498</v>
      </c>
      <c r="E102" s="5605"/>
      <c r="F102" s="5606"/>
    </row>
    <row r="103" spans="1:6" ht="13.5" customHeight="1">
      <c r="F103" s="446"/>
    </row>
    <row r="104" spans="1:6" ht="13.5" customHeight="1">
      <c r="F104" s="446"/>
    </row>
    <row r="105" spans="1:6" ht="13.5" customHeight="1">
      <c r="F105" s="446"/>
    </row>
    <row r="106" spans="1:6">
      <c r="F106" s="446"/>
    </row>
    <row r="107" spans="1:6" ht="12.75" customHeight="1">
      <c r="A107" s="1116" t="s">
        <v>1452</v>
      </c>
      <c r="C107" s="5608" t="s">
        <v>1286</v>
      </c>
      <c r="D107" s="1018" t="s">
        <v>1444</v>
      </c>
      <c r="E107" s="5608" t="s">
        <v>1287</v>
      </c>
      <c r="F107" s="5606" t="s">
        <v>1283</v>
      </c>
    </row>
    <row r="108" spans="1:6" ht="12.75" customHeight="1">
      <c r="C108" s="5608"/>
      <c r="D108" s="453" t="s">
        <v>1445</v>
      </c>
      <c r="E108" s="5608"/>
      <c r="F108" s="5606"/>
    </row>
    <row r="110" spans="1:6" ht="31.2">
      <c r="C110" s="5605" t="s">
        <v>1286</v>
      </c>
      <c r="D110" s="1034" t="s">
        <v>1448</v>
      </c>
      <c r="E110" s="5605" t="s">
        <v>1287</v>
      </c>
      <c r="F110" s="5589"/>
    </row>
    <row r="111" spans="1:6">
      <c r="C111" s="5605"/>
      <c r="D111" s="453" t="s">
        <v>1447</v>
      </c>
      <c r="E111" s="5605"/>
      <c r="F111" s="5589"/>
    </row>
    <row r="114" spans="1:6" ht="12.75" customHeight="1">
      <c r="C114" s="5608" t="s">
        <v>1286</v>
      </c>
      <c r="D114" s="444" t="s">
        <v>1451</v>
      </c>
      <c r="E114" s="5608" t="s">
        <v>1287</v>
      </c>
      <c r="F114" s="5609" t="s">
        <v>1454</v>
      </c>
    </row>
    <row r="115" spans="1:6" ht="12.75" customHeight="1">
      <c r="C115" s="5608"/>
      <c r="D115" s="89" t="s">
        <v>1499</v>
      </c>
      <c r="E115" s="5608"/>
      <c r="F115" s="5609"/>
    </row>
    <row r="118" spans="1:6">
      <c r="A118" s="1116" t="s">
        <v>1453</v>
      </c>
      <c r="C118" s="5608" t="s">
        <v>1286</v>
      </c>
      <c r="D118" s="1018" t="s">
        <v>1455</v>
      </c>
      <c r="E118" s="5608" t="s">
        <v>1287</v>
      </c>
      <c r="F118" s="5609" t="s">
        <v>1454</v>
      </c>
    </row>
    <row r="119" spans="1:6">
      <c r="C119" s="5608"/>
      <c r="D119" s="453" t="s">
        <v>1456</v>
      </c>
      <c r="E119" s="5608"/>
      <c r="F119" s="5609"/>
    </row>
    <row r="121" spans="1:6">
      <c r="C121" s="5608" t="s">
        <v>1286</v>
      </c>
      <c r="D121" s="1018" t="s">
        <v>1457</v>
      </c>
      <c r="E121" s="5608" t="s">
        <v>1287</v>
      </c>
      <c r="F121" s="5606" t="s">
        <v>1283</v>
      </c>
    </row>
    <row r="122" spans="1:6">
      <c r="C122" s="5608"/>
      <c r="D122" s="453" t="s">
        <v>1458</v>
      </c>
      <c r="E122" s="5608"/>
      <c r="F122" s="5606"/>
    </row>
    <row r="124" spans="1:6">
      <c r="C124" s="5608" t="s">
        <v>1286</v>
      </c>
      <c r="D124" s="1018" t="s">
        <v>1459</v>
      </c>
      <c r="E124" s="5608" t="s">
        <v>1287</v>
      </c>
      <c r="F124" s="5606" t="s">
        <v>1283</v>
      </c>
    </row>
    <row r="125" spans="1:6" ht="12.75" customHeight="1">
      <c r="C125" s="5608"/>
      <c r="D125" s="453" t="s">
        <v>1460</v>
      </c>
      <c r="E125" s="5608"/>
      <c r="F125" s="5606"/>
    </row>
    <row r="127" spans="1:6" ht="26.4">
      <c r="C127" s="5605" t="s">
        <v>1286</v>
      </c>
      <c r="D127" s="444" t="s">
        <v>1461</v>
      </c>
      <c r="E127" s="5605" t="s">
        <v>1287</v>
      </c>
      <c r="F127" s="5606" t="s">
        <v>1283</v>
      </c>
    </row>
    <row r="128" spans="1:6" ht="39.6">
      <c r="C128" s="5605"/>
      <c r="D128" s="89" t="s">
        <v>1462</v>
      </c>
      <c r="E128" s="5605"/>
      <c r="F128" s="5606"/>
    </row>
    <row r="130" spans="3:6" ht="26.4">
      <c r="C130" s="5605" t="s">
        <v>1286</v>
      </c>
      <c r="D130" s="444" t="s">
        <v>1463</v>
      </c>
      <c r="E130" s="5605" t="s">
        <v>1287</v>
      </c>
      <c r="F130" s="5606" t="s">
        <v>1283</v>
      </c>
    </row>
    <row r="131" spans="3:6" ht="39.6">
      <c r="C131" s="5605"/>
      <c r="D131" s="89" t="s">
        <v>1462</v>
      </c>
      <c r="E131" s="5605"/>
      <c r="F131" s="5606"/>
    </row>
    <row r="133" spans="3:6">
      <c r="C133" s="5605" t="s">
        <v>1286</v>
      </c>
      <c r="D133" s="444" t="s">
        <v>1464</v>
      </c>
      <c r="E133" s="5605" t="s">
        <v>1287</v>
      </c>
    </row>
    <row r="134" spans="3:6" ht="26.4">
      <c r="C134" s="5605"/>
      <c r="D134" s="89" t="s">
        <v>1466</v>
      </c>
      <c r="E134" s="5605"/>
    </row>
    <row r="136" spans="3:6">
      <c r="C136" s="5605" t="s">
        <v>1286</v>
      </c>
      <c r="D136" s="444" t="s">
        <v>1465</v>
      </c>
      <c r="E136" s="5605" t="s">
        <v>1287</v>
      </c>
    </row>
    <row r="137" spans="3:6" ht="26.4">
      <c r="C137" s="5605"/>
      <c r="D137" s="89" t="s">
        <v>1467</v>
      </c>
      <c r="E137" s="5605"/>
    </row>
    <row r="139" spans="3:6">
      <c r="C139" s="5605" t="s">
        <v>1286</v>
      </c>
      <c r="D139" s="444" t="s">
        <v>1469</v>
      </c>
      <c r="E139" s="5605" t="s">
        <v>1287</v>
      </c>
    </row>
    <row r="140" spans="3:6" ht="26.4">
      <c r="C140" s="5605"/>
      <c r="D140" s="89" t="s">
        <v>1468</v>
      </c>
      <c r="E140" s="5605"/>
    </row>
    <row r="143" spans="3:6">
      <c r="C143" s="5605" t="s">
        <v>1286</v>
      </c>
      <c r="D143" s="444" t="s">
        <v>1471</v>
      </c>
      <c r="E143" s="5605" t="s">
        <v>1287</v>
      </c>
      <c r="F143" s="5606" t="s">
        <v>1283</v>
      </c>
    </row>
    <row r="144" spans="3:6" ht="26.4">
      <c r="C144" s="5605"/>
      <c r="D144" s="89" t="s">
        <v>445</v>
      </c>
      <c r="E144" s="5605"/>
      <c r="F144" s="5606"/>
    </row>
    <row r="147" spans="3:6" ht="26.4">
      <c r="C147" s="5605" t="s">
        <v>1286</v>
      </c>
      <c r="D147" s="444" t="s">
        <v>1472</v>
      </c>
      <c r="E147" s="5605" t="s">
        <v>1287</v>
      </c>
      <c r="F147" s="5606" t="s">
        <v>1454</v>
      </c>
    </row>
    <row r="148" spans="3:6" ht="26.4">
      <c r="C148" s="5605"/>
      <c r="D148" s="89" t="s">
        <v>1473</v>
      </c>
      <c r="E148" s="5605"/>
      <c r="F148" s="5606"/>
    </row>
    <row r="150" spans="3:6" ht="26.4">
      <c r="C150" s="5605" t="s">
        <v>1286</v>
      </c>
      <c r="D150" s="444" t="s">
        <v>1474</v>
      </c>
      <c r="E150" s="5605" t="s">
        <v>1287</v>
      </c>
      <c r="F150" s="5606" t="s">
        <v>1454</v>
      </c>
    </row>
    <row r="151" spans="3:6" ht="26.4">
      <c r="C151" s="5605"/>
      <c r="D151" s="89" t="s">
        <v>1475</v>
      </c>
      <c r="E151" s="5605"/>
      <c r="F151" s="5606"/>
    </row>
  </sheetData>
  <mergeCells count="123">
    <mergeCell ref="C150:C151"/>
    <mergeCell ref="E150:E151"/>
    <mergeCell ref="F150:F151"/>
    <mergeCell ref="C143:C144"/>
    <mergeCell ref="E143:E144"/>
    <mergeCell ref="F143:F144"/>
    <mergeCell ref="C147:C148"/>
    <mergeCell ref="E147:E148"/>
    <mergeCell ref="F147:F148"/>
    <mergeCell ref="C133:C134"/>
    <mergeCell ref="E133:E134"/>
    <mergeCell ref="C136:C137"/>
    <mergeCell ref="E136:E137"/>
    <mergeCell ref="C139:C140"/>
    <mergeCell ref="E139:E140"/>
    <mergeCell ref="C127:C128"/>
    <mergeCell ref="E127:E128"/>
    <mergeCell ref="F127:F128"/>
    <mergeCell ref="C130:C131"/>
    <mergeCell ref="E130:E131"/>
    <mergeCell ref="F130:F131"/>
    <mergeCell ref="C121:C122"/>
    <mergeCell ref="E121:E122"/>
    <mergeCell ref="F121:F122"/>
    <mergeCell ref="C124:C125"/>
    <mergeCell ref="E124:E125"/>
    <mergeCell ref="F124:F125"/>
    <mergeCell ref="C114:C115"/>
    <mergeCell ref="E114:E115"/>
    <mergeCell ref="F114:F115"/>
    <mergeCell ref="C118:C119"/>
    <mergeCell ref="E118:E119"/>
    <mergeCell ref="F118:F119"/>
    <mergeCell ref="C107:C108"/>
    <mergeCell ref="E107:E108"/>
    <mergeCell ref="F107:F108"/>
    <mergeCell ref="C110:C111"/>
    <mergeCell ref="E110:E111"/>
    <mergeCell ref="F110:F111"/>
    <mergeCell ref="C94:C95"/>
    <mergeCell ref="E94:E95"/>
    <mergeCell ref="F94:F95"/>
    <mergeCell ref="C98:C99"/>
    <mergeCell ref="E98:E99"/>
    <mergeCell ref="F98:F99"/>
    <mergeCell ref="C101:C102"/>
    <mergeCell ref="E101:E102"/>
    <mergeCell ref="F101:F102"/>
    <mergeCell ref="C86:C87"/>
    <mergeCell ref="E86:E87"/>
    <mergeCell ref="F86:F87"/>
    <mergeCell ref="C90:C91"/>
    <mergeCell ref="E90:E91"/>
    <mergeCell ref="F90:F91"/>
    <mergeCell ref="F2:F3"/>
    <mergeCell ref="E2:E3"/>
    <mergeCell ref="C2:C3"/>
    <mergeCell ref="C5:C6"/>
    <mergeCell ref="E5:E6"/>
    <mergeCell ref="F5:F6"/>
    <mergeCell ref="E8:E9"/>
    <mergeCell ref="F8:F9"/>
    <mergeCell ref="C8:C9"/>
    <mergeCell ref="C11:C12"/>
    <mergeCell ref="E11:E12"/>
    <mergeCell ref="F11:F12"/>
    <mergeCell ref="C16:C17"/>
    <mergeCell ref="E16:E17"/>
    <mergeCell ref="F16:F17"/>
    <mergeCell ref="C19:C20"/>
    <mergeCell ref="E19:E20"/>
    <mergeCell ref="F19:F20"/>
    <mergeCell ref="C22:C23"/>
    <mergeCell ref="E22:E23"/>
    <mergeCell ref="F22:F23"/>
    <mergeCell ref="E33:E34"/>
    <mergeCell ref="F33:F34"/>
    <mergeCell ref="C33:C34"/>
    <mergeCell ref="C40:C41"/>
    <mergeCell ref="E40:E41"/>
    <mergeCell ref="F40:F41"/>
    <mergeCell ref="C36:C37"/>
    <mergeCell ref="E36:E37"/>
    <mergeCell ref="F36:F37"/>
    <mergeCell ref="C60:C61"/>
    <mergeCell ref="E60:E61"/>
    <mergeCell ref="F60:F61"/>
    <mergeCell ref="C63:C64"/>
    <mergeCell ref="E63:E64"/>
    <mergeCell ref="F63:F64"/>
    <mergeCell ref="C47:C48"/>
    <mergeCell ref="F47:F48"/>
    <mergeCell ref="E47:E48"/>
    <mergeCell ref="C50:C51"/>
    <mergeCell ref="E50:E51"/>
    <mergeCell ref="F50:F51"/>
    <mergeCell ref="C54:C55"/>
    <mergeCell ref="E54:E55"/>
    <mergeCell ref="F54:F55"/>
    <mergeCell ref="C43:C44"/>
    <mergeCell ref="E43:E44"/>
    <mergeCell ref="F43:F44"/>
    <mergeCell ref="C83:C84"/>
    <mergeCell ref="E83:E84"/>
    <mergeCell ref="F83:F84"/>
    <mergeCell ref="C76:C77"/>
    <mergeCell ref="E76:E77"/>
    <mergeCell ref="F76:F77"/>
    <mergeCell ref="C80:C81"/>
    <mergeCell ref="E80:E81"/>
    <mergeCell ref="F80:F81"/>
    <mergeCell ref="C66:C67"/>
    <mergeCell ref="E66:E67"/>
    <mergeCell ref="F66:F67"/>
    <mergeCell ref="C69:C70"/>
    <mergeCell ref="E69:E70"/>
    <mergeCell ref="F69:F70"/>
    <mergeCell ref="C73:C74"/>
    <mergeCell ref="E73:E74"/>
    <mergeCell ref="F73:F74"/>
    <mergeCell ref="C57:C58"/>
    <mergeCell ref="E57:E58"/>
    <mergeCell ref="F57:F58"/>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499984740745262"/>
  </sheetPr>
  <dimension ref="A1:AS85"/>
  <sheetViews>
    <sheetView showGridLines="0" zoomScaleNormal="100" workbookViewId="0">
      <pane xSplit="2" ySplit="3" topLeftCell="AG4" activePane="bottomRight" state="frozen"/>
      <selection activeCell="F55" sqref="F55"/>
      <selection pane="topRight" activeCell="F55" sqref="F55"/>
      <selection pane="bottomLeft" activeCell="F55" sqref="F55"/>
      <selection pane="bottomRight" activeCell="AQ4" sqref="AQ4:AQ83"/>
    </sheetView>
  </sheetViews>
  <sheetFormatPr baseColWidth="10" defaultRowHeight="14.4"/>
  <cols>
    <col min="1" max="1" width="2.77734375" style="167" customWidth="1"/>
    <col min="2" max="2" width="45.5546875" customWidth="1"/>
    <col min="3" max="5" width="9.77734375" customWidth="1"/>
    <col min="6" max="6" width="1.77734375" style="2549" customWidth="1"/>
    <col min="7" max="9" width="9.77734375" customWidth="1"/>
    <col min="10" max="10" width="1.77734375" style="2549" customWidth="1"/>
    <col min="11" max="13" width="9.77734375" customWidth="1"/>
    <col min="14" max="14" width="1.77734375" style="2549" customWidth="1"/>
    <col min="15" max="17" width="9.77734375" customWidth="1"/>
    <col min="18" max="18" width="1.77734375" style="2549" customWidth="1"/>
    <col min="19" max="21" width="9.77734375" customWidth="1"/>
    <col min="22" max="22" width="1.77734375" style="2549" customWidth="1"/>
    <col min="23" max="25" width="9.77734375" customWidth="1"/>
    <col min="26" max="26" width="1.77734375" style="2549" customWidth="1"/>
    <col min="27" max="27" width="11.21875" customWidth="1"/>
    <col min="28" max="29" width="9.77734375" customWidth="1"/>
    <col min="30" max="30" width="1.77734375" style="2549" customWidth="1"/>
    <col min="31" max="33" width="9.77734375" customWidth="1"/>
    <col min="34" max="34" width="1.77734375" style="2549" customWidth="1"/>
    <col min="35" max="37" width="9.77734375" customWidth="1"/>
    <col min="38" max="38" width="1.5546875" customWidth="1"/>
    <col min="39" max="41" width="9.77734375" customWidth="1"/>
    <col min="42" max="42" width="1.77734375" customWidth="1"/>
    <col min="43" max="51" width="9.77734375" customWidth="1"/>
  </cols>
  <sheetData>
    <row r="1" spans="1:45" ht="49.5" customHeight="1">
      <c r="B1" s="3605" t="s">
        <v>2750</v>
      </c>
      <c r="C1" s="90"/>
      <c r="D1" s="90"/>
      <c r="E1" s="90"/>
      <c r="F1" s="90"/>
      <c r="G1" s="90"/>
      <c r="H1" s="90"/>
      <c r="T1" s="196"/>
    </row>
    <row r="2" spans="1:45">
      <c r="B2" s="2582"/>
      <c r="C2" s="5981">
        <v>2010</v>
      </c>
      <c r="D2" s="5981"/>
      <c r="E2" s="5981"/>
      <c r="F2" s="2661"/>
      <c r="G2" s="5981">
        <v>2011</v>
      </c>
      <c r="H2" s="5981"/>
      <c r="I2" s="5981"/>
      <c r="J2" s="2661"/>
      <c r="K2" s="5981">
        <v>2012</v>
      </c>
      <c r="L2" s="5981"/>
      <c r="M2" s="5981"/>
      <c r="N2" s="2661"/>
      <c r="O2" s="5981">
        <v>2013</v>
      </c>
      <c r="P2" s="5981"/>
      <c r="Q2" s="5981"/>
      <c r="R2" s="2661"/>
      <c r="S2" s="5981">
        <v>2014</v>
      </c>
      <c r="T2" s="5981"/>
      <c r="U2" s="5981"/>
      <c r="V2" s="2661"/>
      <c r="W2" s="5981">
        <v>2015</v>
      </c>
      <c r="X2" s="5981"/>
      <c r="Y2" s="5981"/>
      <c r="Z2" s="2661"/>
      <c r="AA2" s="5981">
        <v>2016</v>
      </c>
      <c r="AB2" s="5981"/>
      <c r="AC2" s="5981"/>
      <c r="AD2" s="2661"/>
      <c r="AE2" s="5981">
        <v>2017</v>
      </c>
      <c r="AF2" s="5981"/>
      <c r="AG2" s="5981"/>
      <c r="AH2" s="2661"/>
      <c r="AI2" s="5981">
        <v>2018</v>
      </c>
      <c r="AJ2" s="5981"/>
      <c r="AK2" s="5981"/>
      <c r="AM2" s="5981">
        <v>2019</v>
      </c>
      <c r="AN2" s="5981"/>
      <c r="AO2" s="5981"/>
      <c r="AQ2" s="5981">
        <v>2020</v>
      </c>
      <c r="AR2" s="5981"/>
      <c r="AS2" s="5981"/>
    </row>
    <row r="3" spans="1:45" s="1" customFormat="1" ht="55.8" thickBot="1">
      <c r="A3" s="167"/>
      <c r="B3" s="2583" t="s">
        <v>2665</v>
      </c>
      <c r="C3" s="2612" t="s">
        <v>83</v>
      </c>
      <c r="D3" s="2611" t="s">
        <v>1094</v>
      </c>
      <c r="E3" s="2584" t="s">
        <v>76</v>
      </c>
      <c r="F3" s="2661"/>
      <c r="G3" s="2612" t="s">
        <v>83</v>
      </c>
      <c r="H3" s="2611" t="s">
        <v>1094</v>
      </c>
      <c r="I3" s="2584" t="s">
        <v>76</v>
      </c>
      <c r="J3" s="2661"/>
      <c r="K3" s="2612" t="s">
        <v>83</v>
      </c>
      <c r="L3" s="2611" t="s">
        <v>1094</v>
      </c>
      <c r="M3" s="2584" t="s">
        <v>76</v>
      </c>
      <c r="N3" s="2661"/>
      <c r="O3" s="2612" t="s">
        <v>83</v>
      </c>
      <c r="P3" s="2611" t="s">
        <v>1094</v>
      </c>
      <c r="Q3" s="2584" t="s">
        <v>76</v>
      </c>
      <c r="R3" s="2661"/>
      <c r="S3" s="2612" t="s">
        <v>83</v>
      </c>
      <c r="T3" s="2611" t="s">
        <v>1094</v>
      </c>
      <c r="U3" s="2584" t="s">
        <v>76</v>
      </c>
      <c r="V3" s="2661"/>
      <c r="W3" s="2612" t="s">
        <v>83</v>
      </c>
      <c r="X3" s="2611" t="s">
        <v>1094</v>
      </c>
      <c r="Y3" s="2584" t="s">
        <v>76</v>
      </c>
      <c r="Z3" s="2661"/>
      <c r="AA3" s="2612" t="s">
        <v>83</v>
      </c>
      <c r="AB3" s="2611" t="s">
        <v>1094</v>
      </c>
      <c r="AC3" s="2584" t="s">
        <v>76</v>
      </c>
      <c r="AD3" s="2661"/>
      <c r="AE3" s="2612" t="s">
        <v>83</v>
      </c>
      <c r="AF3" s="2611" t="s">
        <v>1094</v>
      </c>
      <c r="AG3" s="2584" t="s">
        <v>76</v>
      </c>
      <c r="AH3" s="2661"/>
      <c r="AI3" s="2612" t="s">
        <v>83</v>
      </c>
      <c r="AJ3" s="2611" t="s">
        <v>1094</v>
      </c>
      <c r="AK3" s="2584" t="s">
        <v>76</v>
      </c>
      <c r="AM3" s="2612" t="s">
        <v>83</v>
      </c>
      <c r="AN3" s="2611" t="s">
        <v>1094</v>
      </c>
      <c r="AO3" s="2584" t="s">
        <v>76</v>
      </c>
      <c r="AQ3" s="2612" t="s">
        <v>83</v>
      </c>
      <c r="AR3" s="2611" t="s">
        <v>1094</v>
      </c>
      <c r="AS3" s="2584" t="s">
        <v>76</v>
      </c>
    </row>
    <row r="4" spans="1:45" s="1" customFormat="1">
      <c r="A4" s="167"/>
      <c r="B4" s="3568" t="s">
        <v>1097</v>
      </c>
      <c r="C4" s="2688">
        <v>49</v>
      </c>
      <c r="D4" s="2689">
        <v>134</v>
      </c>
      <c r="E4" s="2690">
        <f>C4/D4</f>
        <v>0.36567164179104478</v>
      </c>
      <c r="F4" s="2661"/>
      <c r="G4" s="2688">
        <v>53</v>
      </c>
      <c r="H4" s="2689">
        <v>136</v>
      </c>
      <c r="I4" s="2690">
        <f>G4/H4</f>
        <v>0.38970588235294118</v>
      </c>
      <c r="J4" s="2661"/>
      <c r="K4" s="2688">
        <v>52</v>
      </c>
      <c r="L4" s="2689">
        <v>139</v>
      </c>
      <c r="M4" s="2690">
        <f>K4/L4</f>
        <v>0.37410071942446044</v>
      </c>
      <c r="N4" s="2661"/>
      <c r="O4" s="2688">
        <v>57</v>
      </c>
      <c r="P4" s="2689">
        <v>139</v>
      </c>
      <c r="Q4" s="2690">
        <f>O4/P4</f>
        <v>0.41007194244604317</v>
      </c>
      <c r="R4" s="2661"/>
      <c r="S4" s="2688">
        <v>59</v>
      </c>
      <c r="T4" s="2689">
        <v>145</v>
      </c>
      <c r="U4" s="2690">
        <f>S4/T4</f>
        <v>0.40689655172413791</v>
      </c>
      <c r="V4" s="2661"/>
      <c r="W4" s="2688">
        <v>59</v>
      </c>
      <c r="X4" s="2689">
        <v>143</v>
      </c>
      <c r="Y4" s="2690">
        <f>W4/X4</f>
        <v>0.41258741258741261</v>
      </c>
      <c r="Z4" s="2661"/>
      <c r="AA4" s="2688">
        <v>60</v>
      </c>
      <c r="AB4" s="2689">
        <v>142</v>
      </c>
      <c r="AC4" s="2690">
        <f>AA4/AB4</f>
        <v>0.42253521126760563</v>
      </c>
      <c r="AD4" s="2661"/>
      <c r="AE4" s="2688">
        <v>50</v>
      </c>
      <c r="AF4" s="2689">
        <v>142</v>
      </c>
      <c r="AG4" s="2690">
        <f>AE4/AF4</f>
        <v>0.352112676056338</v>
      </c>
      <c r="AH4" s="2661"/>
      <c r="AI4" s="2688">
        <v>49</v>
      </c>
      <c r="AJ4" s="2689">
        <v>143</v>
      </c>
      <c r="AK4" s="2690">
        <f>AI4/AJ4</f>
        <v>0.34265734265734266</v>
      </c>
      <c r="AM4" s="2688">
        <v>49</v>
      </c>
      <c r="AN4" s="2689">
        <v>143</v>
      </c>
      <c r="AO4" s="2690">
        <f>AM4/AN4</f>
        <v>0.34265734265734266</v>
      </c>
      <c r="AQ4" s="2688">
        <v>52</v>
      </c>
      <c r="AR4" s="2689">
        <v>144</v>
      </c>
      <c r="AS4" s="2690">
        <f>AQ4/AR4</f>
        <v>0.3611111111111111</v>
      </c>
    </row>
    <row r="5" spans="1:45" s="1" customFormat="1">
      <c r="A5" s="167"/>
      <c r="B5" s="3569" t="s">
        <v>1098</v>
      </c>
      <c r="C5" s="1265">
        <v>4</v>
      </c>
      <c r="D5" s="2691">
        <v>52</v>
      </c>
      <c r="E5" s="2692">
        <f t="shared" ref="E5:E68" si="0">C5/D5</f>
        <v>7.6923076923076927E-2</v>
      </c>
      <c r="F5" s="2661"/>
      <c r="G5" s="1265">
        <v>5</v>
      </c>
      <c r="H5" s="2691">
        <v>52</v>
      </c>
      <c r="I5" s="2692">
        <f t="shared" ref="I5:I68" si="1">G5/H5</f>
        <v>9.6153846153846159E-2</v>
      </c>
      <c r="J5" s="2661"/>
      <c r="K5" s="1265">
        <v>4</v>
      </c>
      <c r="L5" s="2691">
        <v>52</v>
      </c>
      <c r="M5" s="2692">
        <f t="shared" ref="M5:M68" si="2">K5/L5</f>
        <v>7.6923076923076927E-2</v>
      </c>
      <c r="N5" s="2661"/>
      <c r="O5" s="1265">
        <v>5</v>
      </c>
      <c r="P5" s="2691">
        <v>51</v>
      </c>
      <c r="Q5" s="2692">
        <f t="shared" ref="Q5:Q68" si="3">O5/P5</f>
        <v>9.8039215686274508E-2</v>
      </c>
      <c r="R5" s="2661"/>
      <c r="S5" s="1265">
        <v>5</v>
      </c>
      <c r="T5" s="2691">
        <v>53</v>
      </c>
      <c r="U5" s="2692">
        <f t="shared" ref="U5:U68" si="4">S5/T5</f>
        <v>9.4339622641509441E-2</v>
      </c>
      <c r="V5" s="2661"/>
      <c r="W5" s="1265">
        <v>5</v>
      </c>
      <c r="X5" s="2691">
        <v>56</v>
      </c>
      <c r="Y5" s="2692">
        <f t="shared" ref="Y5:Y68" si="5">W5/X5</f>
        <v>8.9285714285714288E-2</v>
      </c>
      <c r="Z5" s="2661"/>
      <c r="AA5" s="1265">
        <v>7</v>
      </c>
      <c r="AB5" s="2691">
        <v>54</v>
      </c>
      <c r="AC5" s="2692">
        <f t="shared" ref="AC5:AC19" si="6">AA5/AB5</f>
        <v>0.12962962962962962</v>
      </c>
      <c r="AD5" s="2661"/>
      <c r="AE5" s="1265">
        <v>9</v>
      </c>
      <c r="AF5" s="2691">
        <v>56</v>
      </c>
      <c r="AG5" s="2692">
        <f t="shared" ref="AG5:AG68" si="7">AE5/AF5</f>
        <v>0.16071428571428573</v>
      </c>
      <c r="AH5" s="2661"/>
      <c r="AI5" s="1265">
        <v>8</v>
      </c>
      <c r="AJ5" s="2691">
        <v>55</v>
      </c>
      <c r="AK5" s="2692">
        <f t="shared" ref="AK5:AK68" si="8">AI5/AJ5</f>
        <v>0.14545454545454545</v>
      </c>
      <c r="AM5" s="1265">
        <v>7</v>
      </c>
      <c r="AN5" s="2691">
        <v>54</v>
      </c>
      <c r="AO5" s="2692">
        <f t="shared" ref="AO5:AO68" si="9">AM5/AN5</f>
        <v>0.12962962962962962</v>
      </c>
      <c r="AQ5" s="1265">
        <v>7</v>
      </c>
      <c r="AR5" s="2691">
        <v>51</v>
      </c>
      <c r="AS5" s="2692">
        <f t="shared" ref="AS5:AS68" si="10">AQ5/AR5</f>
        <v>0.13725490196078433</v>
      </c>
    </row>
    <row r="6" spans="1:45" s="1" customFormat="1">
      <c r="A6" s="167"/>
      <c r="B6" s="3569" t="s">
        <v>1099</v>
      </c>
      <c r="C6" s="1265">
        <v>11</v>
      </c>
      <c r="D6" s="2691">
        <v>64</v>
      </c>
      <c r="E6" s="2692">
        <f t="shared" si="0"/>
        <v>0.171875</v>
      </c>
      <c r="F6" s="2661"/>
      <c r="G6" s="1265">
        <v>13</v>
      </c>
      <c r="H6" s="2691">
        <v>62</v>
      </c>
      <c r="I6" s="2692">
        <f t="shared" si="1"/>
        <v>0.20967741935483872</v>
      </c>
      <c r="J6" s="2661"/>
      <c r="K6" s="1265">
        <v>14</v>
      </c>
      <c r="L6" s="2691">
        <v>63</v>
      </c>
      <c r="M6" s="2692">
        <f t="shared" si="2"/>
        <v>0.22222222222222221</v>
      </c>
      <c r="N6" s="2661"/>
      <c r="O6" s="1265">
        <v>17</v>
      </c>
      <c r="P6" s="2691">
        <v>64</v>
      </c>
      <c r="Q6" s="2692">
        <f t="shared" si="3"/>
        <v>0.265625</v>
      </c>
      <c r="R6" s="2661"/>
      <c r="S6" s="1265">
        <v>16</v>
      </c>
      <c r="T6" s="2691">
        <v>66</v>
      </c>
      <c r="U6" s="2692">
        <f t="shared" si="4"/>
        <v>0.24242424242424243</v>
      </c>
      <c r="V6" s="2661"/>
      <c r="W6" s="1265">
        <v>17</v>
      </c>
      <c r="X6" s="2691">
        <v>61</v>
      </c>
      <c r="Y6" s="2692">
        <f t="shared" si="5"/>
        <v>0.27868852459016391</v>
      </c>
      <c r="Z6" s="2661"/>
      <c r="AA6" s="1265">
        <v>23</v>
      </c>
      <c r="AB6" s="2691">
        <v>60</v>
      </c>
      <c r="AC6" s="2692">
        <f t="shared" si="6"/>
        <v>0.38333333333333336</v>
      </c>
      <c r="AD6" s="2661"/>
      <c r="AE6" s="1265">
        <v>26</v>
      </c>
      <c r="AF6" s="2691">
        <v>62</v>
      </c>
      <c r="AG6" s="2692">
        <f t="shared" si="7"/>
        <v>0.41935483870967744</v>
      </c>
      <c r="AH6" s="2661"/>
      <c r="AI6" s="1265">
        <v>22</v>
      </c>
      <c r="AJ6" s="2691">
        <v>65</v>
      </c>
      <c r="AK6" s="2692">
        <f t="shared" si="8"/>
        <v>0.33846153846153848</v>
      </c>
      <c r="AM6" s="1265">
        <v>21</v>
      </c>
      <c r="AN6" s="2691">
        <v>67</v>
      </c>
      <c r="AO6" s="2692">
        <f t="shared" si="9"/>
        <v>0.31343283582089554</v>
      </c>
      <c r="AQ6" s="1265">
        <v>22</v>
      </c>
      <c r="AR6" s="2691">
        <v>63</v>
      </c>
      <c r="AS6" s="2692">
        <f t="shared" si="10"/>
        <v>0.34920634920634919</v>
      </c>
    </row>
    <row r="7" spans="1:45" s="1" customFormat="1">
      <c r="A7" s="167"/>
      <c r="B7" s="3569" t="s">
        <v>1100</v>
      </c>
      <c r="C7" s="1265">
        <v>15</v>
      </c>
      <c r="D7" s="2691">
        <v>50</v>
      </c>
      <c r="E7" s="2692">
        <f t="shared" si="0"/>
        <v>0.3</v>
      </c>
      <c r="F7" s="2661"/>
      <c r="G7" s="1265">
        <v>14</v>
      </c>
      <c r="H7" s="2691">
        <v>51</v>
      </c>
      <c r="I7" s="2692">
        <f t="shared" si="1"/>
        <v>0.27450980392156865</v>
      </c>
      <c r="J7" s="2661"/>
      <c r="K7" s="1265">
        <v>13</v>
      </c>
      <c r="L7" s="2691">
        <v>49</v>
      </c>
      <c r="M7" s="2692">
        <f t="shared" si="2"/>
        <v>0.26530612244897961</v>
      </c>
      <c r="N7" s="2661"/>
      <c r="O7" s="1265">
        <v>15</v>
      </c>
      <c r="P7" s="2691">
        <v>51</v>
      </c>
      <c r="Q7" s="2692">
        <f t="shared" si="3"/>
        <v>0.29411764705882354</v>
      </c>
      <c r="R7" s="2661"/>
      <c r="S7" s="1265">
        <v>16</v>
      </c>
      <c r="T7" s="2691">
        <v>51</v>
      </c>
      <c r="U7" s="2692">
        <f t="shared" si="4"/>
        <v>0.31372549019607843</v>
      </c>
      <c r="V7" s="2661"/>
      <c r="W7" s="1265">
        <v>16</v>
      </c>
      <c r="X7" s="2691">
        <v>50</v>
      </c>
      <c r="Y7" s="2692">
        <f t="shared" si="5"/>
        <v>0.32</v>
      </c>
      <c r="Z7" s="2661"/>
      <c r="AA7" s="1265">
        <v>18</v>
      </c>
      <c r="AB7" s="2691">
        <v>49</v>
      </c>
      <c r="AC7" s="2692">
        <f t="shared" si="6"/>
        <v>0.36734693877551022</v>
      </c>
      <c r="AD7" s="2661"/>
      <c r="AE7" s="1265">
        <v>19</v>
      </c>
      <c r="AF7" s="2691">
        <v>50</v>
      </c>
      <c r="AG7" s="2692">
        <f t="shared" si="7"/>
        <v>0.38</v>
      </c>
      <c r="AH7" s="2661"/>
      <c r="AI7" s="1265">
        <v>19</v>
      </c>
      <c r="AJ7" s="2691">
        <v>50</v>
      </c>
      <c r="AK7" s="2692">
        <f t="shared" si="8"/>
        <v>0.38</v>
      </c>
      <c r="AM7" s="1265">
        <v>22</v>
      </c>
      <c r="AN7" s="2691">
        <v>53</v>
      </c>
      <c r="AO7" s="2692">
        <f t="shared" si="9"/>
        <v>0.41509433962264153</v>
      </c>
      <c r="AQ7" s="1265">
        <v>22</v>
      </c>
      <c r="AR7" s="2691">
        <v>53</v>
      </c>
      <c r="AS7" s="2692">
        <f t="shared" si="10"/>
        <v>0.41509433962264153</v>
      </c>
    </row>
    <row r="8" spans="1:45" s="1" customFormat="1" ht="15" thickBot="1">
      <c r="A8" s="167"/>
      <c r="B8" s="3570" t="s">
        <v>1101</v>
      </c>
      <c r="C8" s="1265">
        <v>9</v>
      </c>
      <c r="D8" s="1266">
        <v>42</v>
      </c>
      <c r="E8" s="2692">
        <f t="shared" si="0"/>
        <v>0.21428571428571427</v>
      </c>
      <c r="F8" s="2661"/>
      <c r="G8" s="1265">
        <v>9</v>
      </c>
      <c r="H8" s="1266">
        <v>41</v>
      </c>
      <c r="I8" s="2692">
        <f t="shared" si="1"/>
        <v>0.21951219512195122</v>
      </c>
      <c r="J8" s="2661"/>
      <c r="K8" s="1265">
        <v>13</v>
      </c>
      <c r="L8" s="1266">
        <v>45</v>
      </c>
      <c r="M8" s="2692">
        <f t="shared" si="2"/>
        <v>0.28888888888888886</v>
      </c>
      <c r="N8" s="2661"/>
      <c r="O8" s="1265">
        <v>16</v>
      </c>
      <c r="P8" s="1266">
        <v>44</v>
      </c>
      <c r="Q8" s="2692">
        <f t="shared" si="3"/>
        <v>0.36363636363636365</v>
      </c>
      <c r="R8" s="2661"/>
      <c r="S8" s="1265">
        <v>15</v>
      </c>
      <c r="T8" s="1266">
        <v>42</v>
      </c>
      <c r="U8" s="2692">
        <f t="shared" si="4"/>
        <v>0.35714285714285715</v>
      </c>
      <c r="V8" s="2661"/>
      <c r="W8" s="1265">
        <v>13</v>
      </c>
      <c r="X8" s="1266">
        <v>41</v>
      </c>
      <c r="Y8" s="2692">
        <f t="shared" si="5"/>
        <v>0.31707317073170732</v>
      </c>
      <c r="Z8" s="2661"/>
      <c r="AA8" s="1265">
        <v>16</v>
      </c>
      <c r="AB8" s="1266">
        <v>43</v>
      </c>
      <c r="AC8" s="2692">
        <f t="shared" si="6"/>
        <v>0.37209302325581395</v>
      </c>
      <c r="AD8" s="2661"/>
      <c r="AE8" s="1265">
        <v>16</v>
      </c>
      <c r="AF8" s="1266">
        <v>45</v>
      </c>
      <c r="AG8" s="2692">
        <f t="shared" si="7"/>
        <v>0.35555555555555557</v>
      </c>
      <c r="AH8" s="2661"/>
      <c r="AI8" s="1265">
        <v>15</v>
      </c>
      <c r="AJ8" s="1266">
        <v>47</v>
      </c>
      <c r="AK8" s="2692">
        <f t="shared" si="8"/>
        <v>0.31914893617021278</v>
      </c>
      <c r="AM8" s="1265">
        <v>18</v>
      </c>
      <c r="AN8" s="1266">
        <v>47</v>
      </c>
      <c r="AO8" s="2692">
        <f t="shared" si="9"/>
        <v>0.38297872340425532</v>
      </c>
      <c r="AQ8" s="1265">
        <v>19</v>
      </c>
      <c r="AR8" s="1266">
        <v>49</v>
      </c>
      <c r="AS8" s="2692">
        <f t="shared" si="10"/>
        <v>0.38775510204081631</v>
      </c>
    </row>
    <row r="9" spans="1:45" s="1" customFormat="1" ht="15" thickBot="1">
      <c r="A9" s="167"/>
      <c r="B9" s="2905" t="s">
        <v>4</v>
      </c>
      <c r="C9" s="1267">
        <f>SUM(C4:C8)</f>
        <v>88</v>
      </c>
      <c r="D9" s="1268">
        <f>SUM(D4:D8)</f>
        <v>342</v>
      </c>
      <c r="E9" s="2693">
        <f t="shared" si="0"/>
        <v>0.25730994152046782</v>
      </c>
      <c r="F9" s="2661"/>
      <c r="G9" s="1267">
        <v>94</v>
      </c>
      <c r="H9" s="1268">
        <f>SUM(H4:H8)</f>
        <v>342</v>
      </c>
      <c r="I9" s="2693">
        <f t="shared" si="1"/>
        <v>0.27485380116959063</v>
      </c>
      <c r="J9" s="2661"/>
      <c r="K9" s="1267">
        <v>96</v>
      </c>
      <c r="L9" s="1268">
        <f>SUM(L4:L8)</f>
        <v>348</v>
      </c>
      <c r="M9" s="2693">
        <f t="shared" si="2"/>
        <v>0.27586206896551724</v>
      </c>
      <c r="N9" s="2661"/>
      <c r="O9" s="1267">
        <v>110</v>
      </c>
      <c r="P9" s="1268">
        <f>SUM(P4:P8)</f>
        <v>349</v>
      </c>
      <c r="Q9" s="2693">
        <f t="shared" si="3"/>
        <v>0.31518624641833809</v>
      </c>
      <c r="R9" s="2661"/>
      <c r="S9" s="1267">
        <v>111</v>
      </c>
      <c r="T9" s="1268">
        <f>SUM(T4:T8)</f>
        <v>357</v>
      </c>
      <c r="U9" s="2693">
        <f t="shared" si="4"/>
        <v>0.31092436974789917</v>
      </c>
      <c r="V9" s="2661"/>
      <c r="W9" s="1267">
        <f>SUM(W4:W8)</f>
        <v>110</v>
      </c>
      <c r="X9" s="1268">
        <f>SUM(X4:X8)</f>
        <v>351</v>
      </c>
      <c r="Y9" s="2693">
        <f t="shared" si="5"/>
        <v>0.31339031339031337</v>
      </c>
      <c r="Z9" s="2661"/>
      <c r="AA9" s="1267">
        <f>SUM(AA4:AA8)</f>
        <v>124</v>
      </c>
      <c r="AB9" s="1268">
        <f>SUM(AB4:AB8)</f>
        <v>348</v>
      </c>
      <c r="AC9" s="2693">
        <f t="shared" si="6"/>
        <v>0.35632183908045978</v>
      </c>
      <c r="AD9" s="2661"/>
      <c r="AE9" s="1267">
        <v>120</v>
      </c>
      <c r="AF9" s="1268">
        <f>SUM(AF4:AF8)</f>
        <v>355</v>
      </c>
      <c r="AG9" s="2693">
        <f t="shared" si="7"/>
        <v>0.3380281690140845</v>
      </c>
      <c r="AH9" s="2661"/>
      <c r="AI9" s="1267">
        <v>113</v>
      </c>
      <c r="AJ9" s="1268">
        <f>SUM(AJ4:AJ8)</f>
        <v>360</v>
      </c>
      <c r="AK9" s="2693">
        <f t="shared" si="8"/>
        <v>0.31388888888888888</v>
      </c>
      <c r="AM9" s="1267">
        <v>117</v>
      </c>
      <c r="AN9" s="1268">
        <f>SUM(AN4:AN8)</f>
        <v>364</v>
      </c>
      <c r="AO9" s="2693">
        <f t="shared" si="9"/>
        <v>0.32142857142857145</v>
      </c>
      <c r="AQ9" s="1267">
        <f>SUM(AQ4:AQ8)</f>
        <v>122</v>
      </c>
      <c r="AR9" s="1268">
        <f>SUM(AR4:AR8)</f>
        <v>360</v>
      </c>
      <c r="AS9" s="2693">
        <f t="shared" si="10"/>
        <v>0.33888888888888891</v>
      </c>
    </row>
    <row r="10" spans="1:45" s="1" customFormat="1">
      <c r="A10" s="167"/>
      <c r="B10" s="3571" t="s">
        <v>1102</v>
      </c>
      <c r="C10" s="1265">
        <v>9</v>
      </c>
      <c r="D10" s="2694">
        <v>42</v>
      </c>
      <c r="E10" s="2692">
        <f t="shared" si="0"/>
        <v>0.21428571428571427</v>
      </c>
      <c r="F10" s="2661"/>
      <c r="G10" s="1265">
        <v>10</v>
      </c>
      <c r="H10" s="2694">
        <v>44</v>
      </c>
      <c r="I10" s="2692">
        <f t="shared" si="1"/>
        <v>0.22727272727272727</v>
      </c>
      <c r="J10" s="2661"/>
      <c r="K10" s="1265">
        <v>9</v>
      </c>
      <c r="L10" s="2694">
        <v>44</v>
      </c>
      <c r="M10" s="2692">
        <f t="shared" si="2"/>
        <v>0.20454545454545456</v>
      </c>
      <c r="N10" s="2661"/>
      <c r="O10" s="1265">
        <v>10</v>
      </c>
      <c r="P10" s="2694">
        <v>43</v>
      </c>
      <c r="Q10" s="2692">
        <f t="shared" si="3"/>
        <v>0.23255813953488372</v>
      </c>
      <c r="R10" s="2661"/>
      <c r="S10" s="1265">
        <v>10</v>
      </c>
      <c r="T10" s="2694">
        <v>44</v>
      </c>
      <c r="U10" s="2692">
        <f t="shared" si="4"/>
        <v>0.22727272727272727</v>
      </c>
      <c r="V10" s="2661"/>
      <c r="W10" s="1265">
        <v>11</v>
      </c>
      <c r="X10" s="2694">
        <v>43</v>
      </c>
      <c r="Y10" s="2692">
        <f t="shared" si="5"/>
        <v>0.2558139534883721</v>
      </c>
      <c r="Z10" s="2661"/>
      <c r="AA10" s="1265">
        <v>10</v>
      </c>
      <c r="AB10" s="2694">
        <v>41</v>
      </c>
      <c r="AC10" s="2692">
        <f t="shared" si="6"/>
        <v>0.24390243902439024</v>
      </c>
      <c r="AD10" s="2661"/>
      <c r="AE10" s="1265">
        <v>12</v>
      </c>
      <c r="AF10" s="2694">
        <v>45</v>
      </c>
      <c r="AG10" s="2692">
        <f t="shared" si="7"/>
        <v>0.26666666666666666</v>
      </c>
      <c r="AH10" s="2661"/>
      <c r="AI10" s="1265">
        <v>13</v>
      </c>
      <c r="AJ10" s="2694">
        <v>49</v>
      </c>
      <c r="AK10" s="2692">
        <f t="shared" si="8"/>
        <v>0.26530612244897961</v>
      </c>
      <c r="AM10" s="1265">
        <v>12</v>
      </c>
      <c r="AN10" s="2694">
        <v>47</v>
      </c>
      <c r="AO10" s="2692">
        <f t="shared" si="9"/>
        <v>0.25531914893617019</v>
      </c>
      <c r="AQ10" s="1265">
        <v>13</v>
      </c>
      <c r="AR10" s="2694">
        <v>46</v>
      </c>
      <c r="AS10" s="2692">
        <f t="shared" si="10"/>
        <v>0.28260869565217389</v>
      </c>
    </row>
    <row r="11" spans="1:45" s="1" customFormat="1">
      <c r="A11" s="167"/>
      <c r="B11" s="3569" t="s">
        <v>1103</v>
      </c>
      <c r="C11" s="1269">
        <v>9</v>
      </c>
      <c r="D11" s="2694">
        <v>64</v>
      </c>
      <c r="E11" s="2692">
        <f t="shared" si="0"/>
        <v>0.140625</v>
      </c>
      <c r="F11" s="2661"/>
      <c r="G11" s="1269">
        <v>8</v>
      </c>
      <c r="H11" s="2694">
        <v>63</v>
      </c>
      <c r="I11" s="2692">
        <f t="shared" si="1"/>
        <v>0.12698412698412698</v>
      </c>
      <c r="J11" s="2661"/>
      <c r="K11" s="1269">
        <v>8</v>
      </c>
      <c r="L11" s="2694">
        <v>62</v>
      </c>
      <c r="M11" s="2692">
        <f t="shared" si="2"/>
        <v>0.12903225806451613</v>
      </c>
      <c r="N11" s="2661"/>
      <c r="O11" s="1269">
        <v>13</v>
      </c>
      <c r="P11" s="2694">
        <v>73</v>
      </c>
      <c r="Q11" s="2692">
        <f t="shared" si="3"/>
        <v>0.17808219178082191</v>
      </c>
      <c r="R11" s="2661"/>
      <c r="S11" s="1269">
        <v>15</v>
      </c>
      <c r="T11" s="2694">
        <v>71</v>
      </c>
      <c r="U11" s="2692">
        <f t="shared" si="4"/>
        <v>0.21126760563380281</v>
      </c>
      <c r="V11" s="2661"/>
      <c r="W11" s="1269">
        <v>17</v>
      </c>
      <c r="X11" s="2694">
        <v>71</v>
      </c>
      <c r="Y11" s="2692">
        <f t="shared" si="5"/>
        <v>0.23943661971830985</v>
      </c>
      <c r="Z11" s="2661"/>
      <c r="AA11" s="1269">
        <v>18</v>
      </c>
      <c r="AB11" s="2694">
        <v>68</v>
      </c>
      <c r="AC11" s="2692">
        <f t="shared" si="6"/>
        <v>0.26470588235294118</v>
      </c>
      <c r="AD11" s="2661"/>
      <c r="AE11" s="1269">
        <v>18</v>
      </c>
      <c r="AF11" s="2694">
        <v>70</v>
      </c>
      <c r="AG11" s="2692">
        <f t="shared" si="7"/>
        <v>0.25714285714285712</v>
      </c>
      <c r="AH11" s="2661"/>
      <c r="AI11" s="1269">
        <v>16</v>
      </c>
      <c r="AJ11" s="2694">
        <v>72</v>
      </c>
      <c r="AK11" s="2692">
        <f t="shared" si="8"/>
        <v>0.22222222222222221</v>
      </c>
      <c r="AM11" s="1269">
        <v>16</v>
      </c>
      <c r="AN11" s="2694">
        <v>70</v>
      </c>
      <c r="AO11" s="2692">
        <f t="shared" si="9"/>
        <v>0.22857142857142856</v>
      </c>
      <c r="AQ11" s="1269">
        <v>19</v>
      </c>
      <c r="AR11" s="2694">
        <v>69</v>
      </c>
      <c r="AS11" s="2692">
        <f t="shared" si="10"/>
        <v>0.27536231884057971</v>
      </c>
    </row>
    <row r="12" spans="1:45" s="1" customFormat="1">
      <c r="A12" s="167"/>
      <c r="B12" s="3569" t="s">
        <v>1104</v>
      </c>
      <c r="C12" s="1269">
        <v>23</v>
      </c>
      <c r="D12" s="2694">
        <v>71</v>
      </c>
      <c r="E12" s="2692">
        <f t="shared" si="0"/>
        <v>0.323943661971831</v>
      </c>
      <c r="F12" s="2661"/>
      <c r="G12" s="1269">
        <v>22</v>
      </c>
      <c r="H12" s="2694">
        <v>74</v>
      </c>
      <c r="I12" s="2692">
        <f t="shared" si="1"/>
        <v>0.29729729729729731</v>
      </c>
      <c r="J12" s="2661"/>
      <c r="K12" s="1269">
        <v>22</v>
      </c>
      <c r="L12" s="2694">
        <v>74</v>
      </c>
      <c r="M12" s="2692">
        <f t="shared" si="2"/>
        <v>0.29729729729729731</v>
      </c>
      <c r="N12" s="2661"/>
      <c r="O12" s="1269">
        <v>25</v>
      </c>
      <c r="P12" s="2694">
        <v>76</v>
      </c>
      <c r="Q12" s="2692">
        <f t="shared" si="3"/>
        <v>0.32894736842105265</v>
      </c>
      <c r="R12" s="2661"/>
      <c r="S12" s="1269">
        <v>25</v>
      </c>
      <c r="T12" s="2694">
        <v>76</v>
      </c>
      <c r="U12" s="2692">
        <f t="shared" si="4"/>
        <v>0.32894736842105265</v>
      </c>
      <c r="V12" s="2661"/>
      <c r="W12" s="1269">
        <v>24</v>
      </c>
      <c r="X12" s="2694">
        <v>74</v>
      </c>
      <c r="Y12" s="2692">
        <f t="shared" si="5"/>
        <v>0.32432432432432434</v>
      </c>
      <c r="Z12" s="2661"/>
      <c r="AA12" s="1269">
        <v>25</v>
      </c>
      <c r="AB12" s="2694">
        <v>74</v>
      </c>
      <c r="AC12" s="2692">
        <f t="shared" si="6"/>
        <v>0.33783783783783783</v>
      </c>
      <c r="AD12" s="2661"/>
      <c r="AE12" s="1269">
        <v>27</v>
      </c>
      <c r="AF12" s="2694">
        <v>78</v>
      </c>
      <c r="AG12" s="2692">
        <f t="shared" si="7"/>
        <v>0.34615384615384615</v>
      </c>
      <c r="AH12" s="2661"/>
      <c r="AI12" s="1269">
        <v>28</v>
      </c>
      <c r="AJ12" s="2694">
        <v>77</v>
      </c>
      <c r="AK12" s="2692">
        <f t="shared" si="8"/>
        <v>0.36363636363636365</v>
      </c>
      <c r="AM12" s="1269">
        <v>27</v>
      </c>
      <c r="AN12" s="2694">
        <v>76</v>
      </c>
      <c r="AO12" s="2692">
        <f t="shared" si="9"/>
        <v>0.35526315789473684</v>
      </c>
      <c r="AQ12" s="1269">
        <v>26</v>
      </c>
      <c r="AR12" s="2694">
        <v>73</v>
      </c>
      <c r="AS12" s="2692">
        <f t="shared" si="10"/>
        <v>0.35616438356164382</v>
      </c>
    </row>
    <row r="13" spans="1:45" s="1" customFormat="1">
      <c r="A13" s="167"/>
      <c r="B13" s="3569" t="s">
        <v>813</v>
      </c>
      <c r="C13" s="1265">
        <v>17</v>
      </c>
      <c r="D13" s="2694">
        <v>56</v>
      </c>
      <c r="E13" s="2692">
        <f t="shared" si="0"/>
        <v>0.30357142857142855</v>
      </c>
      <c r="F13" s="2661"/>
      <c r="G13" s="1265">
        <v>17</v>
      </c>
      <c r="H13" s="2694">
        <v>57</v>
      </c>
      <c r="I13" s="2692">
        <f t="shared" si="1"/>
        <v>0.2982456140350877</v>
      </c>
      <c r="J13" s="2661"/>
      <c r="K13" s="1265">
        <v>18</v>
      </c>
      <c r="L13" s="2694">
        <v>58</v>
      </c>
      <c r="M13" s="2692">
        <f t="shared" si="2"/>
        <v>0.31034482758620691</v>
      </c>
      <c r="N13" s="2661"/>
      <c r="O13" s="1265">
        <v>19</v>
      </c>
      <c r="P13" s="2694">
        <v>58</v>
      </c>
      <c r="Q13" s="2692">
        <f t="shared" si="3"/>
        <v>0.32758620689655171</v>
      </c>
      <c r="R13" s="2661"/>
      <c r="S13" s="1265">
        <v>19</v>
      </c>
      <c r="T13" s="2694">
        <v>58</v>
      </c>
      <c r="U13" s="2692">
        <f t="shared" si="4"/>
        <v>0.32758620689655171</v>
      </c>
      <c r="V13" s="2661"/>
      <c r="W13" s="1265">
        <v>18</v>
      </c>
      <c r="X13" s="2694">
        <v>56</v>
      </c>
      <c r="Y13" s="2692">
        <f t="shared" si="5"/>
        <v>0.32142857142857145</v>
      </c>
      <c r="Z13" s="2661"/>
      <c r="AA13" s="1265">
        <v>16</v>
      </c>
      <c r="AB13" s="2694">
        <v>56</v>
      </c>
      <c r="AC13" s="2692">
        <f t="shared" si="6"/>
        <v>0.2857142857142857</v>
      </c>
      <c r="AD13" s="2661"/>
      <c r="AE13" s="1265">
        <v>16</v>
      </c>
      <c r="AF13" s="2694">
        <v>57</v>
      </c>
      <c r="AG13" s="2692">
        <f t="shared" si="7"/>
        <v>0.2807017543859649</v>
      </c>
      <c r="AH13" s="2661"/>
      <c r="AI13" s="1265">
        <v>20</v>
      </c>
      <c r="AJ13" s="2694">
        <v>57</v>
      </c>
      <c r="AK13" s="2692">
        <f t="shared" si="8"/>
        <v>0.35087719298245612</v>
      </c>
      <c r="AM13" s="1265">
        <v>18</v>
      </c>
      <c r="AN13" s="2694">
        <v>57</v>
      </c>
      <c r="AO13" s="2692">
        <f t="shared" si="9"/>
        <v>0.31578947368421051</v>
      </c>
      <c r="AQ13" s="1265">
        <v>18</v>
      </c>
      <c r="AR13" s="2694">
        <v>56</v>
      </c>
      <c r="AS13" s="2692">
        <f t="shared" si="10"/>
        <v>0.32142857142857145</v>
      </c>
    </row>
    <row r="14" spans="1:45" s="1" customFormat="1" ht="15" thickBot="1">
      <c r="A14" s="167"/>
      <c r="B14" s="3572" t="s">
        <v>1105</v>
      </c>
      <c r="C14" s="1269">
        <v>31</v>
      </c>
      <c r="D14" s="1270">
        <v>75</v>
      </c>
      <c r="E14" s="2692">
        <f t="shared" si="0"/>
        <v>0.41333333333333333</v>
      </c>
      <c r="F14" s="2661"/>
      <c r="G14" s="1269">
        <v>31</v>
      </c>
      <c r="H14" s="1270">
        <v>77</v>
      </c>
      <c r="I14" s="2692">
        <f t="shared" si="1"/>
        <v>0.40259740259740262</v>
      </c>
      <c r="J14" s="2661"/>
      <c r="K14" s="1269">
        <v>31</v>
      </c>
      <c r="L14" s="1270">
        <v>76</v>
      </c>
      <c r="M14" s="2692">
        <f t="shared" si="2"/>
        <v>0.40789473684210525</v>
      </c>
      <c r="N14" s="2661"/>
      <c r="O14" s="1269">
        <v>37</v>
      </c>
      <c r="P14" s="1270">
        <v>76</v>
      </c>
      <c r="Q14" s="2692">
        <f t="shared" si="3"/>
        <v>0.48684210526315791</v>
      </c>
      <c r="R14" s="2661"/>
      <c r="S14" s="1269">
        <v>40</v>
      </c>
      <c r="T14" s="1270">
        <v>76</v>
      </c>
      <c r="U14" s="2692">
        <f t="shared" si="4"/>
        <v>0.52631578947368418</v>
      </c>
      <c r="V14" s="2661"/>
      <c r="W14" s="1269">
        <v>41</v>
      </c>
      <c r="X14" s="1270">
        <v>75</v>
      </c>
      <c r="Y14" s="2692">
        <f t="shared" si="5"/>
        <v>0.54666666666666663</v>
      </c>
      <c r="Z14" s="2661"/>
      <c r="AA14" s="1269">
        <v>43</v>
      </c>
      <c r="AB14" s="1270">
        <v>72</v>
      </c>
      <c r="AC14" s="2692">
        <f t="shared" si="6"/>
        <v>0.59722222222222221</v>
      </c>
      <c r="AD14" s="2661"/>
      <c r="AE14" s="1269">
        <v>45</v>
      </c>
      <c r="AF14" s="1270">
        <v>73</v>
      </c>
      <c r="AG14" s="2692">
        <f t="shared" si="7"/>
        <v>0.61643835616438358</v>
      </c>
      <c r="AH14" s="2661"/>
      <c r="AI14" s="1269">
        <v>40</v>
      </c>
      <c r="AJ14" s="1270">
        <v>76</v>
      </c>
      <c r="AK14" s="2692">
        <f t="shared" si="8"/>
        <v>0.52631578947368418</v>
      </c>
      <c r="AM14" s="1269">
        <v>39</v>
      </c>
      <c r="AN14" s="1270">
        <v>73</v>
      </c>
      <c r="AO14" s="2692">
        <f t="shared" si="9"/>
        <v>0.53424657534246578</v>
      </c>
      <c r="AQ14" s="1269">
        <v>39</v>
      </c>
      <c r="AR14" s="1270">
        <v>73</v>
      </c>
      <c r="AS14" s="2692">
        <f t="shared" si="10"/>
        <v>0.53424657534246578</v>
      </c>
    </row>
    <row r="15" spans="1:45" s="1" customFormat="1" ht="15" thickBot="1">
      <c r="A15" s="167"/>
      <c r="B15" s="2905" t="s">
        <v>16</v>
      </c>
      <c r="C15" s="1267">
        <f>SUM(C10:C14)</f>
        <v>89</v>
      </c>
      <c r="D15" s="1268">
        <f>SUM(D10:D14)</f>
        <v>308</v>
      </c>
      <c r="E15" s="2693">
        <f t="shared" si="0"/>
        <v>0.28896103896103897</v>
      </c>
      <c r="F15" s="2661"/>
      <c r="G15" s="1267">
        <v>88</v>
      </c>
      <c r="H15" s="1268">
        <f>SUM(H10:H14)</f>
        <v>315</v>
      </c>
      <c r="I15" s="2693">
        <f t="shared" si="1"/>
        <v>0.27936507936507937</v>
      </c>
      <c r="J15" s="2661"/>
      <c r="K15" s="1267">
        <v>88</v>
      </c>
      <c r="L15" s="1268">
        <f>SUM(L10:L14)</f>
        <v>314</v>
      </c>
      <c r="M15" s="2693">
        <f t="shared" si="2"/>
        <v>0.28025477707006369</v>
      </c>
      <c r="N15" s="2661"/>
      <c r="O15" s="1267">
        <v>104</v>
      </c>
      <c r="P15" s="1268">
        <f>SUM(P10:P14)</f>
        <v>326</v>
      </c>
      <c r="Q15" s="2693">
        <f t="shared" si="3"/>
        <v>0.31901840490797545</v>
      </c>
      <c r="R15" s="2661"/>
      <c r="S15" s="1267">
        <v>109</v>
      </c>
      <c r="T15" s="1268">
        <f>SUM(T10:T14)</f>
        <v>325</v>
      </c>
      <c r="U15" s="2693">
        <f t="shared" si="4"/>
        <v>0.33538461538461539</v>
      </c>
      <c r="V15" s="2661"/>
      <c r="W15" s="1267">
        <f>SUM(W10:W14)</f>
        <v>111</v>
      </c>
      <c r="X15" s="1268">
        <f>SUM(X10:X14)</f>
        <v>319</v>
      </c>
      <c r="Y15" s="2693">
        <f t="shared" si="5"/>
        <v>0.34796238244514105</v>
      </c>
      <c r="Z15" s="2661"/>
      <c r="AA15" s="1267">
        <f>SUM(AA10:AA14)</f>
        <v>112</v>
      </c>
      <c r="AB15" s="1268">
        <f>SUM(AB10:AB14)</f>
        <v>311</v>
      </c>
      <c r="AC15" s="2693">
        <f t="shared" si="6"/>
        <v>0.36012861736334406</v>
      </c>
      <c r="AD15" s="2661"/>
      <c r="AE15" s="1267">
        <v>118</v>
      </c>
      <c r="AF15" s="1268">
        <f>SUM(AF10:AF14)</f>
        <v>323</v>
      </c>
      <c r="AG15" s="2693">
        <f t="shared" si="7"/>
        <v>0.3653250773993808</v>
      </c>
      <c r="AH15" s="2661"/>
      <c r="AI15" s="1267">
        <v>117</v>
      </c>
      <c r="AJ15" s="1268">
        <f>SUM(AJ10:AJ14)</f>
        <v>331</v>
      </c>
      <c r="AK15" s="2693">
        <f t="shared" si="8"/>
        <v>0.35347432024169184</v>
      </c>
      <c r="AM15" s="1267">
        <v>112</v>
      </c>
      <c r="AN15" s="1268">
        <f>SUM(AN10:AN14)</f>
        <v>323</v>
      </c>
      <c r="AO15" s="2693">
        <f t="shared" si="9"/>
        <v>0.34674922600619196</v>
      </c>
      <c r="AQ15" s="1267">
        <f>SUM(AQ10:AQ14)</f>
        <v>115</v>
      </c>
      <c r="AR15" s="1268">
        <f>SUM(AR10:AR14)</f>
        <v>317</v>
      </c>
      <c r="AS15" s="2693">
        <f t="shared" si="10"/>
        <v>0.36277602523659308</v>
      </c>
    </row>
    <row r="16" spans="1:45" s="1" customFormat="1">
      <c r="A16" s="167"/>
      <c r="B16" s="3569" t="s">
        <v>1109</v>
      </c>
      <c r="C16" s="1265">
        <v>1</v>
      </c>
      <c r="D16" s="2694">
        <v>36</v>
      </c>
      <c r="E16" s="2692">
        <f>C16/D16</f>
        <v>2.7777777777777776E-2</v>
      </c>
      <c r="F16" s="2661"/>
      <c r="G16" s="1265">
        <v>1</v>
      </c>
      <c r="H16" s="2694">
        <v>36</v>
      </c>
      <c r="I16" s="2692">
        <f>G16/H16</f>
        <v>2.7777777777777776E-2</v>
      </c>
      <c r="J16" s="2661"/>
      <c r="K16" s="1265">
        <v>2</v>
      </c>
      <c r="L16" s="2694">
        <v>38</v>
      </c>
      <c r="M16" s="2692">
        <f>K16/L16</f>
        <v>5.2631578947368418E-2</v>
      </c>
      <c r="N16" s="2661"/>
      <c r="O16" s="1265">
        <v>3</v>
      </c>
      <c r="P16" s="2694">
        <v>39</v>
      </c>
      <c r="Q16" s="2692">
        <f>O16/P16</f>
        <v>7.6923076923076927E-2</v>
      </c>
      <c r="R16" s="2661"/>
      <c r="S16" s="1265">
        <v>3</v>
      </c>
      <c r="T16" s="2694">
        <v>41</v>
      </c>
      <c r="U16" s="2692">
        <f>S16/T16</f>
        <v>7.3170731707317069E-2</v>
      </c>
      <c r="V16" s="2661"/>
      <c r="W16" s="1265">
        <v>3</v>
      </c>
      <c r="X16" s="2694">
        <v>41</v>
      </c>
      <c r="Y16" s="2692">
        <f>W16/X16</f>
        <v>7.3170731707317069E-2</v>
      </c>
      <c r="Z16" s="2661"/>
      <c r="AA16" s="1265">
        <v>5</v>
      </c>
      <c r="AB16" s="2694">
        <v>41</v>
      </c>
      <c r="AC16" s="2692">
        <f>AA16/AB16</f>
        <v>0.12195121951219512</v>
      </c>
      <c r="AD16" s="2661"/>
      <c r="AE16" s="1265">
        <v>5</v>
      </c>
      <c r="AF16" s="2694">
        <v>40</v>
      </c>
      <c r="AG16" s="2692">
        <f>AE16/AF16</f>
        <v>0.125</v>
      </c>
      <c r="AH16" s="2661"/>
      <c r="AI16" s="1265">
        <v>4</v>
      </c>
      <c r="AJ16" s="2694">
        <v>42</v>
      </c>
      <c r="AK16" s="2692">
        <f>AI16/AJ16</f>
        <v>9.5238095238095233E-2</v>
      </c>
      <c r="AM16" s="1265">
        <v>3</v>
      </c>
      <c r="AN16" s="2694">
        <v>37</v>
      </c>
      <c r="AO16" s="2692">
        <f>AM16/AN16</f>
        <v>8.1081081081081086E-2</v>
      </c>
      <c r="AQ16" s="1265">
        <v>3</v>
      </c>
      <c r="AR16" s="2694">
        <v>41</v>
      </c>
      <c r="AS16" s="2692">
        <f>AQ16/AR16</f>
        <v>7.3170731707317069E-2</v>
      </c>
    </row>
    <row r="17" spans="1:45" s="1" customFormat="1">
      <c r="A17" s="167"/>
      <c r="B17" s="3573" t="s">
        <v>1595</v>
      </c>
      <c r="C17" s="1265">
        <v>3</v>
      </c>
      <c r="D17" s="2694">
        <v>55</v>
      </c>
      <c r="E17" s="2692">
        <f t="shared" si="0"/>
        <v>5.4545454545454543E-2</v>
      </c>
      <c r="F17" s="2661"/>
      <c r="G17" s="1265">
        <v>3</v>
      </c>
      <c r="H17" s="2694">
        <v>58</v>
      </c>
      <c r="I17" s="2692">
        <f t="shared" si="1"/>
        <v>5.1724137931034482E-2</v>
      </c>
      <c r="J17" s="2661"/>
      <c r="K17" s="1265">
        <v>2</v>
      </c>
      <c r="L17" s="2694">
        <v>57</v>
      </c>
      <c r="M17" s="2692">
        <f t="shared" si="2"/>
        <v>3.5087719298245612E-2</v>
      </c>
      <c r="N17" s="2661"/>
      <c r="O17" s="1265">
        <v>3</v>
      </c>
      <c r="P17" s="2694">
        <v>59</v>
      </c>
      <c r="Q17" s="2692">
        <f t="shared" si="3"/>
        <v>5.0847457627118647E-2</v>
      </c>
      <c r="R17" s="2661"/>
      <c r="S17" s="1265">
        <v>3</v>
      </c>
      <c r="T17" s="2694">
        <v>60</v>
      </c>
      <c r="U17" s="2692">
        <f t="shared" si="4"/>
        <v>0.05</v>
      </c>
      <c r="V17" s="2661"/>
      <c r="W17" s="1265">
        <v>4</v>
      </c>
      <c r="X17" s="2694">
        <v>60</v>
      </c>
      <c r="Y17" s="2692">
        <f t="shared" si="5"/>
        <v>6.6666666666666666E-2</v>
      </c>
      <c r="Z17" s="2661"/>
      <c r="AA17" s="1265">
        <v>4</v>
      </c>
      <c r="AB17" s="2694">
        <v>61</v>
      </c>
      <c r="AC17" s="2692">
        <f t="shared" si="6"/>
        <v>6.5573770491803282E-2</v>
      </c>
      <c r="AD17" s="2661"/>
      <c r="AE17" s="1265">
        <v>4</v>
      </c>
      <c r="AF17" s="2694">
        <v>60</v>
      </c>
      <c r="AG17" s="2692">
        <f t="shared" si="7"/>
        <v>6.6666666666666666E-2</v>
      </c>
      <c r="AH17" s="2661"/>
      <c r="AI17" s="1265">
        <v>4</v>
      </c>
      <c r="AJ17" s="2694">
        <v>61</v>
      </c>
      <c r="AK17" s="2692">
        <f t="shared" si="8"/>
        <v>6.5573770491803282E-2</v>
      </c>
      <c r="AM17" s="1265">
        <v>5</v>
      </c>
      <c r="AN17" s="2694">
        <v>60</v>
      </c>
      <c r="AO17" s="2692">
        <f t="shared" si="9"/>
        <v>8.3333333333333329E-2</v>
      </c>
      <c r="AQ17" s="1265">
        <v>6</v>
      </c>
      <c r="AR17" s="2694">
        <v>61</v>
      </c>
      <c r="AS17" s="2692">
        <f t="shared" si="10"/>
        <v>9.8360655737704916E-2</v>
      </c>
    </row>
    <row r="18" spans="1:45" s="1" customFormat="1">
      <c r="A18" s="167"/>
      <c r="B18" s="3573" t="s">
        <v>1596</v>
      </c>
      <c r="C18" s="1265">
        <v>1</v>
      </c>
      <c r="D18" s="2694">
        <v>41</v>
      </c>
      <c r="E18" s="2692">
        <f t="shared" si="0"/>
        <v>2.4390243902439025E-2</v>
      </c>
      <c r="F18" s="2661"/>
      <c r="G18" s="1265">
        <v>1</v>
      </c>
      <c r="H18" s="2694">
        <v>41</v>
      </c>
      <c r="I18" s="2692">
        <f t="shared" si="1"/>
        <v>2.4390243902439025E-2</v>
      </c>
      <c r="J18" s="2661"/>
      <c r="K18" s="1265">
        <v>1</v>
      </c>
      <c r="L18" s="2694">
        <v>41</v>
      </c>
      <c r="M18" s="2692">
        <f t="shared" si="2"/>
        <v>2.4390243902439025E-2</v>
      </c>
      <c r="N18" s="2661"/>
      <c r="O18" s="1265">
        <v>1</v>
      </c>
      <c r="P18" s="2694">
        <v>44</v>
      </c>
      <c r="Q18" s="2692">
        <f t="shared" si="3"/>
        <v>2.2727272727272728E-2</v>
      </c>
      <c r="R18" s="2661"/>
      <c r="S18" s="1265">
        <v>2</v>
      </c>
      <c r="T18" s="2694">
        <v>45</v>
      </c>
      <c r="U18" s="2692">
        <f t="shared" si="4"/>
        <v>4.4444444444444446E-2</v>
      </c>
      <c r="V18" s="2661"/>
      <c r="W18" s="1265">
        <v>3</v>
      </c>
      <c r="X18" s="2694">
        <v>42</v>
      </c>
      <c r="Y18" s="2692">
        <f t="shared" si="5"/>
        <v>7.1428571428571425E-2</v>
      </c>
      <c r="Z18" s="2661"/>
      <c r="AA18" s="1265">
        <v>3</v>
      </c>
      <c r="AB18" s="2694">
        <v>40</v>
      </c>
      <c r="AC18" s="2692">
        <f t="shared" si="6"/>
        <v>7.4999999999999997E-2</v>
      </c>
      <c r="AD18" s="2661"/>
      <c r="AE18" s="1265">
        <v>3</v>
      </c>
      <c r="AF18" s="2694">
        <v>38</v>
      </c>
      <c r="AG18" s="2692">
        <f t="shared" si="7"/>
        <v>7.8947368421052627E-2</v>
      </c>
      <c r="AH18" s="2661"/>
      <c r="AI18" s="1265">
        <v>2</v>
      </c>
      <c r="AJ18" s="2694">
        <v>37</v>
      </c>
      <c r="AK18" s="2692">
        <f t="shared" si="8"/>
        <v>5.4054054054054057E-2</v>
      </c>
      <c r="AM18" s="1265">
        <v>3</v>
      </c>
      <c r="AN18" s="2694">
        <v>41</v>
      </c>
      <c r="AO18" s="2692">
        <f t="shared" si="9"/>
        <v>7.3170731707317069E-2</v>
      </c>
      <c r="AQ18" s="1265">
        <v>5</v>
      </c>
      <c r="AR18" s="2694">
        <v>35</v>
      </c>
      <c r="AS18" s="2692">
        <f t="shared" si="10"/>
        <v>0.14285714285714285</v>
      </c>
    </row>
    <row r="19" spans="1:45" s="1" customFormat="1" ht="15" thickBot="1">
      <c r="A19" s="167"/>
      <c r="B19" s="3572" t="s">
        <v>1597</v>
      </c>
      <c r="C19" s="1265">
        <v>1</v>
      </c>
      <c r="D19" s="2694">
        <v>67</v>
      </c>
      <c r="E19" s="2692">
        <f t="shared" si="0"/>
        <v>1.4925373134328358E-2</v>
      </c>
      <c r="F19" s="2661"/>
      <c r="G19" s="1265">
        <v>1</v>
      </c>
      <c r="H19" s="2694">
        <v>66</v>
      </c>
      <c r="I19" s="2692">
        <f t="shared" si="1"/>
        <v>1.5151515151515152E-2</v>
      </c>
      <c r="J19" s="2661"/>
      <c r="K19" s="1265">
        <v>1</v>
      </c>
      <c r="L19" s="2694">
        <v>70</v>
      </c>
      <c r="M19" s="2692">
        <f t="shared" si="2"/>
        <v>1.4285714285714285E-2</v>
      </c>
      <c r="N19" s="2661"/>
      <c r="O19" s="1265">
        <v>1</v>
      </c>
      <c r="P19" s="2694">
        <v>69</v>
      </c>
      <c r="Q19" s="2692">
        <f t="shared" si="3"/>
        <v>1.4492753623188406E-2</v>
      </c>
      <c r="R19" s="2661"/>
      <c r="S19" s="1265">
        <v>3</v>
      </c>
      <c r="T19" s="2694">
        <v>75</v>
      </c>
      <c r="U19" s="2692">
        <f t="shared" si="4"/>
        <v>0.04</v>
      </c>
      <c r="V19" s="2661"/>
      <c r="W19" s="1265">
        <v>3</v>
      </c>
      <c r="X19" s="2694">
        <v>72</v>
      </c>
      <c r="Y19" s="2692">
        <f t="shared" si="5"/>
        <v>4.1666666666666664E-2</v>
      </c>
      <c r="Z19" s="2661"/>
      <c r="AA19" s="1265">
        <v>3</v>
      </c>
      <c r="AB19" s="2694">
        <v>71</v>
      </c>
      <c r="AC19" s="2692">
        <f t="shared" si="6"/>
        <v>4.2253521126760563E-2</v>
      </c>
      <c r="AD19" s="2661"/>
      <c r="AE19" s="1265">
        <v>3</v>
      </c>
      <c r="AF19" s="2694">
        <v>71</v>
      </c>
      <c r="AG19" s="2692">
        <f t="shared" si="7"/>
        <v>4.2253521126760563E-2</v>
      </c>
      <c r="AH19" s="2661"/>
      <c r="AI19" s="1265">
        <v>4</v>
      </c>
      <c r="AJ19" s="2694">
        <v>73</v>
      </c>
      <c r="AK19" s="2692">
        <f t="shared" si="8"/>
        <v>5.4794520547945202E-2</v>
      </c>
      <c r="AM19" s="1265">
        <v>5</v>
      </c>
      <c r="AN19" s="2694">
        <v>71</v>
      </c>
      <c r="AO19" s="2692">
        <f t="shared" si="9"/>
        <v>7.0422535211267609E-2</v>
      </c>
      <c r="AQ19" s="1265">
        <v>5</v>
      </c>
      <c r="AR19" s="2694">
        <v>72</v>
      </c>
      <c r="AS19" s="2692">
        <f t="shared" si="10"/>
        <v>6.9444444444444448E-2</v>
      </c>
    </row>
    <row r="20" spans="1:45" s="1" customFormat="1">
      <c r="A20" s="167"/>
      <c r="B20" s="2906" t="s">
        <v>21</v>
      </c>
      <c r="C20" s="1275">
        <f>SUM(C17:C19)</f>
        <v>5</v>
      </c>
      <c r="D20" s="2357">
        <f>SUM(D16:D19)</f>
        <v>199</v>
      </c>
      <c r="E20" s="2693">
        <f t="shared" si="0"/>
        <v>2.5125628140703519E-2</v>
      </c>
      <c r="F20" s="2661"/>
      <c r="G20" s="1275">
        <v>6</v>
      </c>
      <c r="H20" s="2357">
        <f>SUM(H16:H19)</f>
        <v>201</v>
      </c>
      <c r="I20" s="2693">
        <f t="shared" si="1"/>
        <v>2.9850746268656716E-2</v>
      </c>
      <c r="J20" s="2661"/>
      <c r="K20" s="1275">
        <v>6</v>
      </c>
      <c r="L20" s="2357">
        <f>SUM(L16:L19)</f>
        <v>206</v>
      </c>
      <c r="M20" s="2693">
        <f t="shared" si="2"/>
        <v>2.9126213592233011E-2</v>
      </c>
      <c r="N20" s="2661"/>
      <c r="O20" s="1275">
        <v>8</v>
      </c>
      <c r="P20" s="2357">
        <f>SUM(P16:P19)</f>
        <v>211</v>
      </c>
      <c r="Q20" s="2693">
        <f t="shared" si="3"/>
        <v>3.7914691943127965E-2</v>
      </c>
      <c r="R20" s="2661"/>
      <c r="S20" s="1275">
        <v>11</v>
      </c>
      <c r="T20" s="2357">
        <f>SUM(T16:T19)</f>
        <v>221</v>
      </c>
      <c r="U20" s="2693">
        <f t="shared" si="4"/>
        <v>4.9773755656108594E-2</v>
      </c>
      <c r="V20" s="2661"/>
      <c r="W20" s="1275">
        <f>SUM(W17:W19)</f>
        <v>10</v>
      </c>
      <c r="X20" s="2357">
        <f>SUM(X16:X19)</f>
        <v>215</v>
      </c>
      <c r="Y20" s="2693">
        <f t="shared" si="5"/>
        <v>4.6511627906976744E-2</v>
      </c>
      <c r="Z20" s="2661"/>
      <c r="AA20" s="1275">
        <f>SUM(AA17:AA19)</f>
        <v>10</v>
      </c>
      <c r="AB20" s="2357">
        <f>SUM(AB16:AB19)</f>
        <v>213</v>
      </c>
      <c r="AC20" s="2693">
        <f t="shared" ref="AC20:AC51" si="11">AA20/AB20</f>
        <v>4.6948356807511735E-2</v>
      </c>
      <c r="AD20" s="2661"/>
      <c r="AE20" s="1275">
        <v>15</v>
      </c>
      <c r="AF20" s="2357">
        <f>SUM(AF16:AF19)</f>
        <v>209</v>
      </c>
      <c r="AG20" s="2693">
        <f t="shared" si="7"/>
        <v>7.1770334928229665E-2</v>
      </c>
      <c r="AH20" s="2661"/>
      <c r="AI20" s="1275">
        <v>14</v>
      </c>
      <c r="AJ20" s="2357">
        <f>SUM(AJ16:AJ19)</f>
        <v>213</v>
      </c>
      <c r="AK20" s="2693">
        <f t="shared" si="8"/>
        <v>6.5727699530516437E-2</v>
      </c>
      <c r="AM20" s="1275">
        <v>16</v>
      </c>
      <c r="AN20" s="2357">
        <f>SUM(AN16:AN19)</f>
        <v>209</v>
      </c>
      <c r="AO20" s="2693">
        <f t="shared" si="9"/>
        <v>7.6555023923444973E-2</v>
      </c>
      <c r="AQ20" s="1275">
        <f>SUM(AQ16:AQ19)</f>
        <v>19</v>
      </c>
      <c r="AR20" s="2357">
        <f>SUM(AR16:AR19)</f>
        <v>209</v>
      </c>
      <c r="AS20" s="2693">
        <f t="shared" si="10"/>
        <v>9.0909090909090912E-2</v>
      </c>
    </row>
    <row r="21" spans="1:45" s="1" customFormat="1" ht="15" customHeight="1">
      <c r="A21" s="167"/>
      <c r="B21" s="3574" t="s">
        <v>1019</v>
      </c>
      <c r="C21" s="2695">
        <f>SUM(C20,C15,C9)</f>
        <v>182</v>
      </c>
      <c r="D21" s="2696">
        <f>SUM(D9,D15,D20)</f>
        <v>849</v>
      </c>
      <c r="E21" s="2697">
        <f t="shared" si="0"/>
        <v>0.2143698468786808</v>
      </c>
      <c r="F21" s="2661"/>
      <c r="G21" s="2695">
        <v>188</v>
      </c>
      <c r="H21" s="2696">
        <f>SUM(H9,H15,H20)</f>
        <v>858</v>
      </c>
      <c r="I21" s="2697">
        <f t="shared" si="1"/>
        <v>0.21911421911421911</v>
      </c>
      <c r="J21" s="2661"/>
      <c r="K21" s="2695">
        <v>190</v>
      </c>
      <c r="L21" s="2696">
        <f>SUM(L9,L15,L20)</f>
        <v>868</v>
      </c>
      <c r="M21" s="2697">
        <f t="shared" si="2"/>
        <v>0.21889400921658986</v>
      </c>
      <c r="N21" s="2661"/>
      <c r="O21" s="2695">
        <v>222</v>
      </c>
      <c r="P21" s="2696">
        <f>SUM(P9,P15,P20)</f>
        <v>886</v>
      </c>
      <c r="Q21" s="2697">
        <f t="shared" si="3"/>
        <v>0.25056433408577877</v>
      </c>
      <c r="R21" s="2661"/>
      <c r="S21" s="2695">
        <v>231</v>
      </c>
      <c r="T21" s="2696">
        <f>SUM(T9,T15,T20)</f>
        <v>903</v>
      </c>
      <c r="U21" s="2697">
        <f t="shared" si="4"/>
        <v>0.2558139534883721</v>
      </c>
      <c r="V21" s="2661"/>
      <c r="W21" s="2695">
        <f>SUM(W9,W15,W20)</f>
        <v>231</v>
      </c>
      <c r="X21" s="2696">
        <v>885</v>
      </c>
      <c r="Y21" s="2697">
        <f t="shared" si="5"/>
        <v>0.26101694915254237</v>
      </c>
      <c r="Z21" s="2661"/>
      <c r="AA21" s="2695">
        <f>SUM(AA9,AA15,AA20)</f>
        <v>246</v>
      </c>
      <c r="AB21" s="2696">
        <f>SUM(AB9,AB15,AB20)</f>
        <v>872</v>
      </c>
      <c r="AC21" s="2697">
        <f t="shared" si="11"/>
        <v>0.28211009174311924</v>
      </c>
      <c r="AD21" s="2661"/>
      <c r="AE21" s="2695">
        <v>253</v>
      </c>
      <c r="AF21" s="2696">
        <f>SUM(AF9,AF15,AF20)</f>
        <v>887</v>
      </c>
      <c r="AG21" s="2697">
        <f t="shared" si="7"/>
        <v>0.28523111612175872</v>
      </c>
      <c r="AH21" s="2661"/>
      <c r="AI21" s="2695">
        <v>244</v>
      </c>
      <c r="AJ21" s="2696">
        <f>SUM(AJ9,AJ15,AJ20)</f>
        <v>904</v>
      </c>
      <c r="AK21" s="2697">
        <f t="shared" si="8"/>
        <v>0.26991150442477874</v>
      </c>
      <c r="AM21" s="2695">
        <v>245</v>
      </c>
      <c r="AN21" s="2696">
        <f>SUM(AN9,AN15,AN20)</f>
        <v>896</v>
      </c>
      <c r="AO21" s="2697">
        <f t="shared" si="9"/>
        <v>0.2734375</v>
      </c>
      <c r="AQ21" s="2695">
        <f>SUM(AQ9,AQ15,AQ20)</f>
        <v>256</v>
      </c>
      <c r="AR21" s="2696">
        <f>SUM(AR9,AR15,AR20)</f>
        <v>886</v>
      </c>
      <c r="AS21" s="2697">
        <f t="shared" si="10"/>
        <v>0.28893905191873587</v>
      </c>
    </row>
    <row r="22" spans="1:45" s="1" customFormat="1">
      <c r="A22" s="167"/>
      <c r="B22" s="3571" t="s">
        <v>1112</v>
      </c>
      <c r="C22" s="1271">
        <v>9</v>
      </c>
      <c r="D22" s="2694">
        <v>16</v>
      </c>
      <c r="E22" s="2698">
        <f t="shared" si="0"/>
        <v>0.5625</v>
      </c>
      <c r="F22" s="2661"/>
      <c r="G22" s="1271">
        <v>9</v>
      </c>
      <c r="H22" s="2694">
        <v>17</v>
      </c>
      <c r="I22" s="2698">
        <f t="shared" si="1"/>
        <v>0.52941176470588236</v>
      </c>
      <c r="J22" s="2661"/>
      <c r="K22" s="1271">
        <v>9</v>
      </c>
      <c r="L22" s="2694">
        <v>18</v>
      </c>
      <c r="M22" s="2698">
        <f t="shared" si="2"/>
        <v>0.5</v>
      </c>
      <c r="N22" s="2661"/>
      <c r="O22" s="1271">
        <v>6</v>
      </c>
      <c r="P22" s="2694">
        <v>21</v>
      </c>
      <c r="Q22" s="2698">
        <f t="shared" si="3"/>
        <v>0.2857142857142857</v>
      </c>
      <c r="R22" s="2661"/>
      <c r="S22" s="1271">
        <v>7</v>
      </c>
      <c r="T22" s="2694">
        <v>21</v>
      </c>
      <c r="U22" s="2698">
        <f t="shared" si="4"/>
        <v>0.33333333333333331</v>
      </c>
      <c r="V22" s="2661"/>
      <c r="W22" s="1271">
        <v>7</v>
      </c>
      <c r="X22" s="2694">
        <v>19</v>
      </c>
      <c r="Y22" s="2698">
        <f t="shared" si="5"/>
        <v>0.36842105263157893</v>
      </c>
      <c r="Z22" s="2661"/>
      <c r="AA22" s="1271">
        <v>6</v>
      </c>
      <c r="AB22" s="2694">
        <v>18</v>
      </c>
      <c r="AC22" s="2698">
        <f t="shared" si="11"/>
        <v>0.33333333333333331</v>
      </c>
      <c r="AD22" s="2661"/>
      <c r="AE22" s="1271">
        <v>10</v>
      </c>
      <c r="AF22" s="2694">
        <v>19</v>
      </c>
      <c r="AG22" s="2698">
        <f t="shared" si="7"/>
        <v>0.52631578947368418</v>
      </c>
      <c r="AH22" s="2661"/>
      <c r="AI22" s="1271">
        <v>9</v>
      </c>
      <c r="AJ22" s="2694">
        <v>16</v>
      </c>
      <c r="AK22" s="2698">
        <f t="shared" si="8"/>
        <v>0.5625</v>
      </c>
      <c r="AM22" s="1271">
        <v>9</v>
      </c>
      <c r="AN22" s="2694">
        <v>16</v>
      </c>
      <c r="AO22" s="2698">
        <f t="shared" si="9"/>
        <v>0.5625</v>
      </c>
      <c r="AQ22" s="1271">
        <v>7</v>
      </c>
      <c r="AR22" s="2694">
        <v>16</v>
      </c>
      <c r="AS22" s="2698">
        <f t="shared" si="10"/>
        <v>0.4375</v>
      </c>
    </row>
    <row r="23" spans="1:45" s="1" customFormat="1">
      <c r="A23" s="167"/>
      <c r="B23" s="3569" t="s">
        <v>1113</v>
      </c>
      <c r="C23" s="1265">
        <v>2</v>
      </c>
      <c r="D23" s="2694">
        <v>6</v>
      </c>
      <c r="E23" s="2692">
        <f t="shared" si="0"/>
        <v>0.33333333333333331</v>
      </c>
      <c r="F23" s="2661"/>
      <c r="G23" s="1265">
        <v>2</v>
      </c>
      <c r="H23" s="2694">
        <v>7</v>
      </c>
      <c r="I23" s="2692">
        <f t="shared" si="1"/>
        <v>0.2857142857142857</v>
      </c>
      <c r="J23" s="2661"/>
      <c r="K23" s="1265">
        <v>4</v>
      </c>
      <c r="L23" s="2694">
        <v>14</v>
      </c>
      <c r="M23" s="2692">
        <f t="shared" si="2"/>
        <v>0.2857142857142857</v>
      </c>
      <c r="N23" s="2661"/>
      <c r="O23" s="1265">
        <v>6</v>
      </c>
      <c r="P23" s="2694">
        <v>13</v>
      </c>
      <c r="Q23" s="2692">
        <f t="shared" si="3"/>
        <v>0.46153846153846156</v>
      </c>
      <c r="R23" s="2661"/>
      <c r="S23" s="1265">
        <v>5</v>
      </c>
      <c r="T23" s="2694">
        <v>14</v>
      </c>
      <c r="U23" s="2692">
        <f t="shared" si="4"/>
        <v>0.35714285714285715</v>
      </c>
      <c r="V23" s="2661"/>
      <c r="W23" s="1265">
        <v>7</v>
      </c>
      <c r="X23" s="2694">
        <v>16</v>
      </c>
      <c r="Y23" s="2692">
        <f t="shared" si="5"/>
        <v>0.4375</v>
      </c>
      <c r="Z23" s="2661"/>
      <c r="AA23" s="1265">
        <v>5</v>
      </c>
      <c r="AB23" s="2694">
        <v>16</v>
      </c>
      <c r="AC23" s="2692">
        <f t="shared" si="11"/>
        <v>0.3125</v>
      </c>
      <c r="AD23" s="2661"/>
      <c r="AE23" s="1265">
        <v>6</v>
      </c>
      <c r="AF23" s="2694">
        <v>16</v>
      </c>
      <c r="AG23" s="2692">
        <f t="shared" si="7"/>
        <v>0.375</v>
      </c>
      <c r="AH23" s="2661"/>
      <c r="AI23" s="1265">
        <v>5</v>
      </c>
      <c r="AJ23" s="2694">
        <v>17</v>
      </c>
      <c r="AK23" s="2692">
        <f t="shared" si="8"/>
        <v>0.29411764705882354</v>
      </c>
      <c r="AM23" s="1265">
        <v>5</v>
      </c>
      <c r="AN23" s="2694">
        <v>18</v>
      </c>
      <c r="AO23" s="2692">
        <f t="shared" si="9"/>
        <v>0.27777777777777779</v>
      </c>
      <c r="AQ23" s="1265">
        <v>5</v>
      </c>
      <c r="AR23" s="2694">
        <v>18</v>
      </c>
      <c r="AS23" s="2692">
        <f t="shared" si="10"/>
        <v>0.27777777777777779</v>
      </c>
    </row>
    <row r="24" spans="1:45" s="1" customFormat="1" ht="15" thickBot="1">
      <c r="A24" s="167"/>
      <c r="B24" s="3572" t="s">
        <v>1114</v>
      </c>
      <c r="C24" s="1265">
        <v>4</v>
      </c>
      <c r="D24" s="2694">
        <v>16</v>
      </c>
      <c r="E24" s="2692">
        <f t="shared" si="0"/>
        <v>0.25</v>
      </c>
      <c r="F24" s="2661"/>
      <c r="G24" s="1265">
        <v>4</v>
      </c>
      <c r="H24" s="2694">
        <v>17</v>
      </c>
      <c r="I24" s="2692">
        <f t="shared" si="1"/>
        <v>0.23529411764705882</v>
      </c>
      <c r="J24" s="2661"/>
      <c r="K24" s="1265">
        <v>5</v>
      </c>
      <c r="L24" s="2694">
        <v>20</v>
      </c>
      <c r="M24" s="2692">
        <f t="shared" si="2"/>
        <v>0.25</v>
      </c>
      <c r="N24" s="2661"/>
      <c r="O24" s="1265">
        <v>6</v>
      </c>
      <c r="P24" s="2694">
        <v>17</v>
      </c>
      <c r="Q24" s="2692">
        <f t="shared" si="3"/>
        <v>0.35294117647058826</v>
      </c>
      <c r="R24" s="2661"/>
      <c r="S24" s="1265">
        <v>7</v>
      </c>
      <c r="T24" s="2694">
        <v>17</v>
      </c>
      <c r="U24" s="2692">
        <f t="shared" si="4"/>
        <v>0.41176470588235292</v>
      </c>
      <c r="V24" s="2661"/>
      <c r="W24" s="1265">
        <v>8</v>
      </c>
      <c r="X24" s="2694">
        <v>19</v>
      </c>
      <c r="Y24" s="2692">
        <f t="shared" si="5"/>
        <v>0.42105263157894735</v>
      </c>
      <c r="Z24" s="2661"/>
      <c r="AA24" s="1265">
        <v>8</v>
      </c>
      <c r="AB24" s="2694">
        <v>19</v>
      </c>
      <c r="AC24" s="2692">
        <f t="shared" si="11"/>
        <v>0.42105263157894735</v>
      </c>
      <c r="AD24" s="2661"/>
      <c r="AE24" s="1265">
        <v>5</v>
      </c>
      <c r="AF24" s="2694">
        <v>19</v>
      </c>
      <c r="AG24" s="2692">
        <f t="shared" si="7"/>
        <v>0.26315789473684209</v>
      </c>
      <c r="AH24" s="2661"/>
      <c r="AI24" s="1265">
        <v>6</v>
      </c>
      <c r="AJ24" s="2694">
        <v>19</v>
      </c>
      <c r="AK24" s="2692">
        <f t="shared" si="8"/>
        <v>0.31578947368421051</v>
      </c>
      <c r="AM24" s="1265">
        <v>6</v>
      </c>
      <c r="AN24" s="2694">
        <v>19</v>
      </c>
      <c r="AO24" s="2692">
        <f t="shared" si="9"/>
        <v>0.31578947368421051</v>
      </c>
      <c r="AQ24" s="1265">
        <v>6</v>
      </c>
      <c r="AR24" s="2694">
        <v>21</v>
      </c>
      <c r="AS24" s="2692">
        <f t="shared" si="10"/>
        <v>0.2857142857142857</v>
      </c>
    </row>
    <row r="25" spans="1:45" s="1" customFormat="1" ht="15" thickBot="1">
      <c r="A25" s="167"/>
      <c r="B25" s="2905" t="s">
        <v>61</v>
      </c>
      <c r="C25" s="1272">
        <f>SUM(C22:C24)</f>
        <v>15</v>
      </c>
      <c r="D25" s="1268">
        <f>SUM(D22:D24)</f>
        <v>38</v>
      </c>
      <c r="E25" s="2693">
        <f t="shared" si="0"/>
        <v>0.39473684210526316</v>
      </c>
      <c r="F25" s="2661"/>
      <c r="G25" s="1272">
        <v>15</v>
      </c>
      <c r="H25" s="1268">
        <f>SUM(H22:H24)</f>
        <v>41</v>
      </c>
      <c r="I25" s="2693">
        <f t="shared" si="1"/>
        <v>0.36585365853658536</v>
      </c>
      <c r="J25" s="2661"/>
      <c r="K25" s="1272">
        <v>18</v>
      </c>
      <c r="L25" s="1268">
        <f>SUM(L22:L24)</f>
        <v>52</v>
      </c>
      <c r="M25" s="2693">
        <f t="shared" si="2"/>
        <v>0.34615384615384615</v>
      </c>
      <c r="N25" s="2661"/>
      <c r="O25" s="1272">
        <v>18</v>
      </c>
      <c r="P25" s="1268">
        <f>SUM(P22:P24)</f>
        <v>51</v>
      </c>
      <c r="Q25" s="2693">
        <f t="shared" si="3"/>
        <v>0.35294117647058826</v>
      </c>
      <c r="R25" s="2661"/>
      <c r="S25" s="1272">
        <v>19</v>
      </c>
      <c r="T25" s="1268">
        <f>SUM(T22:T24)</f>
        <v>52</v>
      </c>
      <c r="U25" s="2693">
        <f t="shared" si="4"/>
        <v>0.36538461538461536</v>
      </c>
      <c r="V25" s="2661"/>
      <c r="W25" s="1272">
        <f>SUM(W22:W24)</f>
        <v>22</v>
      </c>
      <c r="X25" s="1268">
        <v>54</v>
      </c>
      <c r="Y25" s="2693">
        <f t="shared" si="5"/>
        <v>0.40740740740740738</v>
      </c>
      <c r="Z25" s="2661"/>
      <c r="AA25" s="1272">
        <f>SUM(AA22:AA24)</f>
        <v>19</v>
      </c>
      <c r="AB25" s="1268">
        <f>SUM(AB22:AB24)</f>
        <v>53</v>
      </c>
      <c r="AC25" s="2693">
        <f t="shared" si="11"/>
        <v>0.35849056603773582</v>
      </c>
      <c r="AD25" s="2661"/>
      <c r="AE25" s="1272">
        <v>21</v>
      </c>
      <c r="AF25" s="1268">
        <f>SUM(AF22:AF24)</f>
        <v>54</v>
      </c>
      <c r="AG25" s="2693">
        <f t="shared" si="7"/>
        <v>0.3888888888888889</v>
      </c>
      <c r="AH25" s="2661"/>
      <c r="AI25" s="1272">
        <v>20</v>
      </c>
      <c r="AJ25" s="1268">
        <f>SUM(AJ22:AJ24)</f>
        <v>52</v>
      </c>
      <c r="AK25" s="2693">
        <f t="shared" si="8"/>
        <v>0.38461538461538464</v>
      </c>
      <c r="AM25" s="1272">
        <v>20</v>
      </c>
      <c r="AN25" s="1268">
        <f>SUM(AN22:AN24)</f>
        <v>53</v>
      </c>
      <c r="AO25" s="2693">
        <f t="shared" si="9"/>
        <v>0.37735849056603776</v>
      </c>
      <c r="AQ25" s="1272">
        <f>SUM(AQ22:AQ24)</f>
        <v>18</v>
      </c>
      <c r="AR25" s="1268">
        <f>SUM(AR22:AR24)</f>
        <v>55</v>
      </c>
      <c r="AS25" s="2693">
        <f t="shared" si="10"/>
        <v>0.32727272727272727</v>
      </c>
    </row>
    <row r="26" spans="1:45" s="1" customFormat="1">
      <c r="A26" s="167"/>
      <c r="B26" s="3575" t="s">
        <v>1115</v>
      </c>
      <c r="C26" s="1265">
        <v>14</v>
      </c>
      <c r="D26" s="2694">
        <v>8</v>
      </c>
      <c r="E26" s="2692">
        <f t="shared" si="0"/>
        <v>1.75</v>
      </c>
      <c r="F26" s="2661"/>
      <c r="G26" s="1265">
        <v>13</v>
      </c>
      <c r="H26" s="2694">
        <v>8</v>
      </c>
      <c r="I26" s="2692">
        <f t="shared" si="1"/>
        <v>1.625</v>
      </c>
      <c r="J26" s="2661"/>
      <c r="K26" s="1265">
        <v>15</v>
      </c>
      <c r="L26" s="2694">
        <v>9</v>
      </c>
      <c r="M26" s="2692">
        <f t="shared" si="2"/>
        <v>1.6666666666666667</v>
      </c>
      <c r="N26" s="2661"/>
      <c r="O26" s="1265">
        <v>15</v>
      </c>
      <c r="P26" s="2694">
        <v>10</v>
      </c>
      <c r="Q26" s="2692">
        <f t="shared" si="3"/>
        <v>1.5</v>
      </c>
      <c r="R26" s="2661"/>
      <c r="S26" s="1265">
        <v>18</v>
      </c>
      <c r="T26" s="2694">
        <v>10</v>
      </c>
      <c r="U26" s="2692">
        <f t="shared" si="4"/>
        <v>1.8</v>
      </c>
      <c r="V26" s="2661"/>
      <c r="W26" s="1265">
        <v>13</v>
      </c>
      <c r="X26" s="2694">
        <v>12</v>
      </c>
      <c r="Y26" s="2692">
        <f t="shared" si="5"/>
        <v>1.0833333333333333</v>
      </c>
      <c r="Z26" s="2661"/>
      <c r="AA26" s="1265">
        <v>14</v>
      </c>
      <c r="AB26" s="2694">
        <v>13</v>
      </c>
      <c r="AC26" s="2692">
        <f t="shared" si="11"/>
        <v>1.0769230769230769</v>
      </c>
      <c r="AD26" s="2661"/>
      <c r="AE26" s="1265">
        <v>11</v>
      </c>
      <c r="AF26" s="2694">
        <v>13</v>
      </c>
      <c r="AG26" s="2692">
        <f t="shared" si="7"/>
        <v>0.84615384615384615</v>
      </c>
      <c r="AH26" s="2661"/>
      <c r="AI26" s="1265">
        <v>12</v>
      </c>
      <c r="AJ26" s="2694">
        <v>13</v>
      </c>
      <c r="AK26" s="2692">
        <f t="shared" si="8"/>
        <v>0.92307692307692313</v>
      </c>
      <c r="AM26" s="1265">
        <v>13</v>
      </c>
      <c r="AN26" s="2694">
        <v>14</v>
      </c>
      <c r="AO26" s="2692">
        <f t="shared" si="9"/>
        <v>0.9285714285714286</v>
      </c>
      <c r="AQ26" s="1265">
        <v>12</v>
      </c>
      <c r="AR26" s="2694">
        <v>15</v>
      </c>
      <c r="AS26" s="2692">
        <f t="shared" si="10"/>
        <v>0.8</v>
      </c>
    </row>
    <row r="27" spans="1:45" s="1" customFormat="1">
      <c r="A27" s="167"/>
      <c r="B27" s="3576" t="s">
        <v>1116</v>
      </c>
      <c r="C27" s="1265">
        <v>14</v>
      </c>
      <c r="D27" s="2694">
        <v>8</v>
      </c>
      <c r="E27" s="2692">
        <f t="shared" si="0"/>
        <v>1.75</v>
      </c>
      <c r="F27" s="2661"/>
      <c r="G27" s="1265">
        <v>13</v>
      </c>
      <c r="H27" s="2694">
        <v>11</v>
      </c>
      <c r="I27" s="2692">
        <f t="shared" si="1"/>
        <v>1.1818181818181819</v>
      </c>
      <c r="J27" s="2661"/>
      <c r="K27" s="1265">
        <v>18</v>
      </c>
      <c r="L27" s="2694">
        <v>14</v>
      </c>
      <c r="M27" s="2692">
        <f t="shared" si="2"/>
        <v>1.2857142857142858</v>
      </c>
      <c r="N27" s="2661"/>
      <c r="O27" s="1265">
        <v>19</v>
      </c>
      <c r="P27" s="2694">
        <v>14</v>
      </c>
      <c r="Q27" s="2692">
        <f t="shared" si="3"/>
        <v>1.3571428571428572</v>
      </c>
      <c r="R27" s="2661"/>
      <c r="S27" s="1265">
        <v>17</v>
      </c>
      <c r="T27" s="2694">
        <v>17</v>
      </c>
      <c r="U27" s="2692">
        <f t="shared" si="4"/>
        <v>1</v>
      </c>
      <c r="V27" s="2661"/>
      <c r="W27" s="1265">
        <v>16</v>
      </c>
      <c r="X27" s="2694">
        <v>16</v>
      </c>
      <c r="Y27" s="2692">
        <f t="shared" si="5"/>
        <v>1</v>
      </c>
      <c r="Z27" s="2661"/>
      <c r="AA27" s="1265">
        <v>17</v>
      </c>
      <c r="AB27" s="2694">
        <v>18</v>
      </c>
      <c r="AC27" s="2692">
        <f t="shared" si="11"/>
        <v>0.94444444444444442</v>
      </c>
      <c r="AD27" s="2661"/>
      <c r="AE27" s="1265">
        <v>16</v>
      </c>
      <c r="AF27" s="2694">
        <v>19</v>
      </c>
      <c r="AG27" s="2692">
        <f t="shared" si="7"/>
        <v>0.84210526315789469</v>
      </c>
      <c r="AH27" s="2661"/>
      <c r="AI27" s="1265">
        <v>16</v>
      </c>
      <c r="AJ27" s="2694">
        <v>19</v>
      </c>
      <c r="AK27" s="2692">
        <f t="shared" si="8"/>
        <v>0.84210526315789469</v>
      </c>
      <c r="AM27" s="1265">
        <v>20</v>
      </c>
      <c r="AN27" s="2694">
        <v>19</v>
      </c>
      <c r="AO27" s="2692">
        <f t="shared" si="9"/>
        <v>1.0526315789473684</v>
      </c>
      <c r="AQ27" s="1265">
        <v>17</v>
      </c>
      <c r="AR27" s="2694">
        <v>20</v>
      </c>
      <c r="AS27" s="2692">
        <f t="shared" si="10"/>
        <v>0.85</v>
      </c>
    </row>
    <row r="28" spans="1:45" s="1" customFormat="1" ht="15" thickBot="1">
      <c r="A28" s="167"/>
      <c r="B28" s="3576" t="s">
        <v>1117</v>
      </c>
      <c r="C28" s="1269">
        <v>12</v>
      </c>
      <c r="D28" s="2694">
        <v>11</v>
      </c>
      <c r="E28" s="2692">
        <f t="shared" si="0"/>
        <v>1.0909090909090908</v>
      </c>
      <c r="F28" s="2661"/>
      <c r="G28" s="1269">
        <v>13</v>
      </c>
      <c r="H28" s="2694">
        <v>14</v>
      </c>
      <c r="I28" s="2692">
        <f t="shared" si="1"/>
        <v>0.9285714285714286</v>
      </c>
      <c r="J28" s="2661"/>
      <c r="K28" s="1269">
        <v>13</v>
      </c>
      <c r="L28" s="2694">
        <v>13</v>
      </c>
      <c r="M28" s="2692">
        <f t="shared" si="2"/>
        <v>1</v>
      </c>
      <c r="N28" s="2661"/>
      <c r="O28" s="1269">
        <v>17</v>
      </c>
      <c r="P28" s="2694">
        <v>14</v>
      </c>
      <c r="Q28" s="2692">
        <f t="shared" si="3"/>
        <v>1.2142857142857142</v>
      </c>
      <c r="R28" s="2661"/>
      <c r="S28" s="1269">
        <v>17</v>
      </c>
      <c r="T28" s="2694">
        <v>15</v>
      </c>
      <c r="U28" s="2692">
        <f t="shared" si="4"/>
        <v>1.1333333333333333</v>
      </c>
      <c r="V28" s="2661"/>
      <c r="W28" s="1269">
        <v>18</v>
      </c>
      <c r="X28" s="2694">
        <v>15</v>
      </c>
      <c r="Y28" s="2692">
        <f t="shared" si="5"/>
        <v>1.2</v>
      </c>
      <c r="Z28" s="2661"/>
      <c r="AA28" s="1269">
        <v>18</v>
      </c>
      <c r="AB28" s="2694">
        <v>15</v>
      </c>
      <c r="AC28" s="2692">
        <f t="shared" si="11"/>
        <v>1.2</v>
      </c>
      <c r="AD28" s="2661"/>
      <c r="AE28" s="1269">
        <v>18</v>
      </c>
      <c r="AF28" s="2694">
        <v>16</v>
      </c>
      <c r="AG28" s="2692">
        <f t="shared" si="7"/>
        <v>1.125</v>
      </c>
      <c r="AH28" s="2661"/>
      <c r="AI28" s="1269">
        <v>26</v>
      </c>
      <c r="AJ28" s="2694">
        <v>17</v>
      </c>
      <c r="AK28" s="2692">
        <f t="shared" si="8"/>
        <v>1.5294117647058822</v>
      </c>
      <c r="AM28" s="1269">
        <v>25</v>
      </c>
      <c r="AN28" s="2694">
        <v>17</v>
      </c>
      <c r="AO28" s="2692">
        <f t="shared" si="9"/>
        <v>1.4705882352941178</v>
      </c>
      <c r="AQ28" s="1269">
        <v>24</v>
      </c>
      <c r="AR28" s="2694">
        <v>17</v>
      </c>
      <c r="AS28" s="2692">
        <f t="shared" si="10"/>
        <v>1.411764705882353</v>
      </c>
    </row>
    <row r="29" spans="1:45" s="1" customFormat="1" ht="15" thickBot="1">
      <c r="A29" s="167"/>
      <c r="B29" s="2905" t="s">
        <v>64</v>
      </c>
      <c r="C29" s="1272">
        <f>SUM(C26:C28)</f>
        <v>40</v>
      </c>
      <c r="D29" s="1268">
        <f>SUM(D26:D28)</f>
        <v>27</v>
      </c>
      <c r="E29" s="2693">
        <f t="shared" si="0"/>
        <v>1.4814814814814814</v>
      </c>
      <c r="F29" s="2661"/>
      <c r="G29" s="1272">
        <v>39</v>
      </c>
      <c r="H29" s="1268">
        <f>SUM(H26:H28)</f>
        <v>33</v>
      </c>
      <c r="I29" s="2693">
        <f t="shared" si="1"/>
        <v>1.1818181818181819</v>
      </c>
      <c r="J29" s="2661"/>
      <c r="K29" s="1272">
        <v>46</v>
      </c>
      <c r="L29" s="1268">
        <f>SUM(L26:L28)</f>
        <v>36</v>
      </c>
      <c r="M29" s="2693">
        <f t="shared" si="2"/>
        <v>1.2777777777777777</v>
      </c>
      <c r="N29" s="2661"/>
      <c r="O29" s="1272">
        <v>51</v>
      </c>
      <c r="P29" s="1268">
        <f>SUM(P26:P28)</f>
        <v>38</v>
      </c>
      <c r="Q29" s="2693">
        <f t="shared" si="3"/>
        <v>1.3421052631578947</v>
      </c>
      <c r="R29" s="2661"/>
      <c r="S29" s="1272">
        <v>52</v>
      </c>
      <c r="T29" s="1268">
        <f>SUM(T26:T28)</f>
        <v>42</v>
      </c>
      <c r="U29" s="2693">
        <f t="shared" si="4"/>
        <v>1.2380952380952381</v>
      </c>
      <c r="V29" s="2661"/>
      <c r="W29" s="1272">
        <f>SUM(W26:W28)</f>
        <v>47</v>
      </c>
      <c r="X29" s="1268">
        <v>43</v>
      </c>
      <c r="Y29" s="2693">
        <f t="shared" si="5"/>
        <v>1.0930232558139534</v>
      </c>
      <c r="Z29" s="2661"/>
      <c r="AA29" s="1272">
        <f>SUM(AA26:AA28)</f>
        <v>49</v>
      </c>
      <c r="AB29" s="1268">
        <f>SUM(AB26:AB28)</f>
        <v>46</v>
      </c>
      <c r="AC29" s="2693">
        <f t="shared" si="11"/>
        <v>1.0652173913043479</v>
      </c>
      <c r="AD29" s="2661"/>
      <c r="AE29" s="1272">
        <v>45</v>
      </c>
      <c r="AF29" s="1268">
        <f>SUM(AF26:AF28)</f>
        <v>48</v>
      </c>
      <c r="AG29" s="2693">
        <f t="shared" si="7"/>
        <v>0.9375</v>
      </c>
      <c r="AH29" s="2661"/>
      <c r="AI29" s="1272">
        <v>54</v>
      </c>
      <c r="AJ29" s="1268">
        <f>SUM(AJ26:AJ28)</f>
        <v>49</v>
      </c>
      <c r="AK29" s="2693">
        <f t="shared" si="8"/>
        <v>1.1020408163265305</v>
      </c>
      <c r="AM29" s="1272">
        <v>58</v>
      </c>
      <c r="AN29" s="1268">
        <f>SUM(AN26:AN28)</f>
        <v>50</v>
      </c>
      <c r="AO29" s="2693">
        <f t="shared" si="9"/>
        <v>1.1599999999999999</v>
      </c>
      <c r="AQ29" s="1272">
        <f>SUM(AQ26:AQ28)</f>
        <v>53</v>
      </c>
      <c r="AR29" s="1268">
        <f>SUM(AR26:AR28)</f>
        <v>52</v>
      </c>
      <c r="AS29" s="2693">
        <f t="shared" si="10"/>
        <v>1.0192307692307692</v>
      </c>
    </row>
    <row r="30" spans="1:45" s="1" customFormat="1">
      <c r="A30" s="167"/>
      <c r="B30" s="3575" t="s">
        <v>1118</v>
      </c>
      <c r="C30" s="1265">
        <v>11</v>
      </c>
      <c r="D30" s="2694">
        <v>11</v>
      </c>
      <c r="E30" s="2692">
        <f t="shared" si="0"/>
        <v>1</v>
      </c>
      <c r="F30" s="2661"/>
      <c r="G30" s="1265">
        <v>14</v>
      </c>
      <c r="H30" s="2694">
        <v>13</v>
      </c>
      <c r="I30" s="2692">
        <f t="shared" si="1"/>
        <v>1.0769230769230769</v>
      </c>
      <c r="J30" s="2661"/>
      <c r="K30" s="1265">
        <v>14</v>
      </c>
      <c r="L30" s="2694">
        <v>13</v>
      </c>
      <c r="M30" s="2692">
        <f t="shared" si="2"/>
        <v>1.0769230769230769</v>
      </c>
      <c r="N30" s="2661"/>
      <c r="O30" s="1265">
        <v>13</v>
      </c>
      <c r="P30" s="2694">
        <v>13</v>
      </c>
      <c r="Q30" s="2692">
        <f t="shared" si="3"/>
        <v>1</v>
      </c>
      <c r="R30" s="2661"/>
      <c r="S30" s="1265">
        <v>12</v>
      </c>
      <c r="T30" s="2694">
        <v>13</v>
      </c>
      <c r="U30" s="2692">
        <f t="shared" si="4"/>
        <v>0.92307692307692313</v>
      </c>
      <c r="V30" s="2661"/>
      <c r="W30" s="1265">
        <v>16</v>
      </c>
      <c r="X30" s="2694">
        <v>15</v>
      </c>
      <c r="Y30" s="2692">
        <f t="shared" si="5"/>
        <v>1.0666666666666667</v>
      </c>
      <c r="Z30" s="2661"/>
      <c r="AA30" s="1265">
        <v>17</v>
      </c>
      <c r="AB30" s="2694">
        <v>15</v>
      </c>
      <c r="AC30" s="2692">
        <f t="shared" si="11"/>
        <v>1.1333333333333333</v>
      </c>
      <c r="AD30" s="2661"/>
      <c r="AE30" s="1265">
        <v>19</v>
      </c>
      <c r="AF30" s="2694">
        <v>19</v>
      </c>
      <c r="AG30" s="2692">
        <f t="shared" si="7"/>
        <v>1</v>
      </c>
      <c r="AH30" s="2661"/>
      <c r="AI30" s="1265">
        <v>15</v>
      </c>
      <c r="AJ30" s="2694">
        <v>17</v>
      </c>
      <c r="AK30" s="2692">
        <f t="shared" si="8"/>
        <v>0.88235294117647056</v>
      </c>
      <c r="AM30" s="1265">
        <v>15</v>
      </c>
      <c r="AN30" s="2694">
        <v>18</v>
      </c>
      <c r="AO30" s="2692">
        <f t="shared" si="9"/>
        <v>0.83333333333333337</v>
      </c>
      <c r="AQ30" s="1265">
        <v>15</v>
      </c>
      <c r="AR30" s="2694">
        <v>17</v>
      </c>
      <c r="AS30" s="2692">
        <f t="shared" si="10"/>
        <v>0.88235294117647056</v>
      </c>
    </row>
    <row r="31" spans="1:45" s="1" customFormat="1">
      <c r="A31" s="167"/>
      <c r="B31" s="3576" t="s">
        <v>1119</v>
      </c>
      <c r="C31" s="1265">
        <v>14</v>
      </c>
      <c r="D31" s="2694">
        <v>12</v>
      </c>
      <c r="E31" s="2692">
        <f t="shared" si="0"/>
        <v>1.1666666666666667</v>
      </c>
      <c r="F31" s="2661"/>
      <c r="G31" s="1265">
        <v>14</v>
      </c>
      <c r="H31" s="2694">
        <v>15</v>
      </c>
      <c r="I31" s="2692">
        <f t="shared" si="1"/>
        <v>0.93333333333333335</v>
      </c>
      <c r="J31" s="2661"/>
      <c r="K31" s="1265">
        <v>11</v>
      </c>
      <c r="L31" s="2694">
        <v>12</v>
      </c>
      <c r="M31" s="2692">
        <f t="shared" si="2"/>
        <v>0.91666666666666663</v>
      </c>
      <c r="N31" s="2661"/>
      <c r="O31" s="1265">
        <v>11</v>
      </c>
      <c r="P31" s="2694">
        <v>13</v>
      </c>
      <c r="Q31" s="2692">
        <f t="shared" si="3"/>
        <v>0.84615384615384615</v>
      </c>
      <c r="R31" s="2661"/>
      <c r="S31" s="1265">
        <v>10</v>
      </c>
      <c r="T31" s="2694">
        <v>16</v>
      </c>
      <c r="U31" s="2692">
        <f t="shared" si="4"/>
        <v>0.625</v>
      </c>
      <c r="V31" s="2661"/>
      <c r="W31" s="1265">
        <v>12</v>
      </c>
      <c r="X31" s="2694">
        <v>16</v>
      </c>
      <c r="Y31" s="2692">
        <f t="shared" si="5"/>
        <v>0.75</v>
      </c>
      <c r="Z31" s="2661"/>
      <c r="AA31" s="1265">
        <v>13</v>
      </c>
      <c r="AB31" s="2694">
        <v>18</v>
      </c>
      <c r="AC31" s="2692">
        <f t="shared" si="11"/>
        <v>0.72222222222222221</v>
      </c>
      <c r="AD31" s="2661"/>
      <c r="AE31" s="1265">
        <v>10</v>
      </c>
      <c r="AF31" s="2694">
        <v>21</v>
      </c>
      <c r="AG31" s="2692">
        <f t="shared" si="7"/>
        <v>0.47619047619047616</v>
      </c>
      <c r="AH31" s="2661"/>
      <c r="AI31" s="1265">
        <v>7</v>
      </c>
      <c r="AJ31" s="2694">
        <v>20</v>
      </c>
      <c r="AK31" s="2692">
        <f t="shared" si="8"/>
        <v>0.35</v>
      </c>
      <c r="AM31" s="1265">
        <v>8</v>
      </c>
      <c r="AN31" s="2694">
        <v>20</v>
      </c>
      <c r="AO31" s="2692">
        <f t="shared" si="9"/>
        <v>0.4</v>
      </c>
      <c r="AQ31" s="1265">
        <v>8</v>
      </c>
      <c r="AR31" s="2694">
        <v>21</v>
      </c>
      <c r="AS31" s="2692">
        <f t="shared" si="10"/>
        <v>0.38095238095238093</v>
      </c>
    </row>
    <row r="32" spans="1:45" s="1" customFormat="1" ht="15" thickBot="1">
      <c r="A32" s="167"/>
      <c r="B32" s="3577" t="s">
        <v>813</v>
      </c>
      <c r="C32" s="1265">
        <v>14</v>
      </c>
      <c r="D32" s="2694">
        <v>15</v>
      </c>
      <c r="E32" s="2692">
        <f t="shared" si="0"/>
        <v>0.93333333333333335</v>
      </c>
      <c r="F32" s="2661"/>
      <c r="G32" s="1265">
        <v>15</v>
      </c>
      <c r="H32" s="2694">
        <v>17</v>
      </c>
      <c r="I32" s="2692">
        <f t="shared" si="1"/>
        <v>0.88235294117647056</v>
      </c>
      <c r="J32" s="2661"/>
      <c r="K32" s="1265">
        <v>17</v>
      </c>
      <c r="L32" s="2694">
        <v>17</v>
      </c>
      <c r="M32" s="2692">
        <f t="shared" si="2"/>
        <v>1</v>
      </c>
      <c r="N32" s="2661"/>
      <c r="O32" s="1265">
        <v>22</v>
      </c>
      <c r="P32" s="2694">
        <v>20</v>
      </c>
      <c r="Q32" s="2692">
        <f t="shared" si="3"/>
        <v>1.1000000000000001</v>
      </c>
      <c r="R32" s="2661"/>
      <c r="S32" s="1265">
        <v>22</v>
      </c>
      <c r="T32" s="2694">
        <v>20</v>
      </c>
      <c r="U32" s="2692">
        <f t="shared" si="4"/>
        <v>1.1000000000000001</v>
      </c>
      <c r="V32" s="2661"/>
      <c r="W32" s="1265">
        <v>21</v>
      </c>
      <c r="X32" s="2694">
        <v>19</v>
      </c>
      <c r="Y32" s="2692">
        <f t="shared" si="5"/>
        <v>1.1052631578947369</v>
      </c>
      <c r="Z32" s="2661"/>
      <c r="AA32" s="1265">
        <v>25</v>
      </c>
      <c r="AB32" s="2694">
        <v>21</v>
      </c>
      <c r="AC32" s="2692">
        <f t="shared" si="11"/>
        <v>1.1904761904761905</v>
      </c>
      <c r="AD32" s="2661"/>
      <c r="AE32" s="1265">
        <v>23</v>
      </c>
      <c r="AF32" s="2694">
        <v>21</v>
      </c>
      <c r="AG32" s="2692">
        <f t="shared" si="7"/>
        <v>1.0952380952380953</v>
      </c>
      <c r="AH32" s="2661"/>
      <c r="AI32" s="1265">
        <v>22</v>
      </c>
      <c r="AJ32" s="2694">
        <v>22</v>
      </c>
      <c r="AK32" s="2692">
        <f t="shared" si="8"/>
        <v>1</v>
      </c>
      <c r="AM32" s="1265">
        <v>21</v>
      </c>
      <c r="AN32" s="2694">
        <v>21</v>
      </c>
      <c r="AO32" s="2692">
        <f t="shared" si="9"/>
        <v>1</v>
      </c>
      <c r="AQ32" s="1265">
        <v>20</v>
      </c>
      <c r="AR32" s="2694">
        <v>21</v>
      </c>
      <c r="AS32" s="2692">
        <f t="shared" si="10"/>
        <v>0.95238095238095233</v>
      </c>
    </row>
    <row r="33" spans="1:45" s="1" customFormat="1">
      <c r="A33" s="167"/>
      <c r="B33" s="2906" t="s">
        <v>16</v>
      </c>
      <c r="C33" s="1273">
        <f>SUM(C30:C32)</f>
        <v>39</v>
      </c>
      <c r="D33" s="2357">
        <f>SUM(D30:D32)</f>
        <v>38</v>
      </c>
      <c r="E33" s="2693">
        <f t="shared" si="0"/>
        <v>1.0263157894736843</v>
      </c>
      <c r="F33" s="2661"/>
      <c r="G33" s="1273">
        <v>43</v>
      </c>
      <c r="H33" s="2357">
        <f>SUM(H30:H32)</f>
        <v>45</v>
      </c>
      <c r="I33" s="2693">
        <f t="shared" si="1"/>
        <v>0.9555555555555556</v>
      </c>
      <c r="J33" s="2661"/>
      <c r="K33" s="1273">
        <v>42</v>
      </c>
      <c r="L33" s="2357">
        <f>SUM(L30:L32)</f>
        <v>42</v>
      </c>
      <c r="M33" s="2693">
        <f t="shared" si="2"/>
        <v>1</v>
      </c>
      <c r="N33" s="2661"/>
      <c r="O33" s="1273">
        <v>46</v>
      </c>
      <c r="P33" s="2357">
        <f>SUM(P30:P32)</f>
        <v>46</v>
      </c>
      <c r="Q33" s="2693">
        <f t="shared" si="3"/>
        <v>1</v>
      </c>
      <c r="R33" s="2661"/>
      <c r="S33" s="1273">
        <v>44</v>
      </c>
      <c r="T33" s="2357">
        <f>SUM(T30:T32)</f>
        <v>49</v>
      </c>
      <c r="U33" s="2693">
        <f t="shared" si="4"/>
        <v>0.89795918367346939</v>
      </c>
      <c r="V33" s="2661"/>
      <c r="W33" s="1273">
        <f>SUM(W30:W32)</f>
        <v>49</v>
      </c>
      <c r="X33" s="2357">
        <v>50</v>
      </c>
      <c r="Y33" s="2693">
        <f t="shared" si="5"/>
        <v>0.98</v>
      </c>
      <c r="Z33" s="2661"/>
      <c r="AA33" s="1273">
        <f>SUM(AA30:AA32)</f>
        <v>55</v>
      </c>
      <c r="AB33" s="2357">
        <f>SUM(AB30:AB32)</f>
        <v>54</v>
      </c>
      <c r="AC33" s="2693">
        <f t="shared" si="11"/>
        <v>1.0185185185185186</v>
      </c>
      <c r="AD33" s="2661"/>
      <c r="AE33" s="1273">
        <v>52</v>
      </c>
      <c r="AF33" s="2357">
        <f>SUM(AF30:AF32)</f>
        <v>61</v>
      </c>
      <c r="AG33" s="2693">
        <f t="shared" si="7"/>
        <v>0.85245901639344257</v>
      </c>
      <c r="AH33" s="2661"/>
      <c r="AI33" s="1273">
        <v>44</v>
      </c>
      <c r="AJ33" s="2357">
        <f>SUM(AJ30:AJ32)</f>
        <v>59</v>
      </c>
      <c r="AK33" s="2693">
        <f t="shared" si="8"/>
        <v>0.74576271186440679</v>
      </c>
      <c r="AM33" s="1273">
        <v>44</v>
      </c>
      <c r="AN33" s="2357">
        <f>SUM(AN30:AN32)</f>
        <v>59</v>
      </c>
      <c r="AO33" s="2693">
        <f t="shared" si="9"/>
        <v>0.74576271186440679</v>
      </c>
      <c r="AQ33" s="1273">
        <f>SUM(AQ30:AQ32)</f>
        <v>43</v>
      </c>
      <c r="AR33" s="2357">
        <f>SUM(AR30:AR32)</f>
        <v>59</v>
      </c>
      <c r="AS33" s="2693">
        <f t="shared" si="10"/>
        <v>0.72881355932203384</v>
      </c>
    </row>
    <row r="34" spans="1:45" s="1" customFormat="1" ht="15" customHeight="1">
      <c r="A34" s="167"/>
      <c r="B34" s="3578" t="s">
        <v>1021</v>
      </c>
      <c r="C34" s="2699">
        <f>SUM(C33,C29,C25)</f>
        <v>94</v>
      </c>
      <c r="D34" s="2700">
        <f>SUM(D33,D29,D25)</f>
        <v>103</v>
      </c>
      <c r="E34" s="2701">
        <f t="shared" si="0"/>
        <v>0.91262135922330101</v>
      </c>
      <c r="F34" s="2661"/>
      <c r="G34" s="2699">
        <v>97</v>
      </c>
      <c r="H34" s="2700">
        <f>SUM(H33,H29,H25)</f>
        <v>119</v>
      </c>
      <c r="I34" s="2701">
        <f t="shared" si="1"/>
        <v>0.81512605042016806</v>
      </c>
      <c r="J34" s="2661"/>
      <c r="K34" s="2699">
        <v>106</v>
      </c>
      <c r="L34" s="2700">
        <f>SUM(L33,L29,L25)</f>
        <v>130</v>
      </c>
      <c r="M34" s="2701">
        <f t="shared" si="2"/>
        <v>0.81538461538461537</v>
      </c>
      <c r="N34" s="2661"/>
      <c r="O34" s="2699">
        <v>115</v>
      </c>
      <c r="P34" s="2700">
        <f>SUM(P33,P29,P25)</f>
        <v>135</v>
      </c>
      <c r="Q34" s="2701">
        <f t="shared" si="3"/>
        <v>0.85185185185185186</v>
      </c>
      <c r="R34" s="2661"/>
      <c r="S34" s="2699">
        <v>115</v>
      </c>
      <c r="T34" s="2700">
        <f>SUM(T33,T29,T25)</f>
        <v>143</v>
      </c>
      <c r="U34" s="2701">
        <f t="shared" si="4"/>
        <v>0.80419580419580416</v>
      </c>
      <c r="V34" s="2661"/>
      <c r="W34" s="2699">
        <f>SUM(W25,W29,W33)</f>
        <v>118</v>
      </c>
      <c r="X34" s="2700">
        <v>147</v>
      </c>
      <c r="Y34" s="2701">
        <f t="shared" si="5"/>
        <v>0.80272108843537415</v>
      </c>
      <c r="Z34" s="2661"/>
      <c r="AA34" s="2699">
        <f>SUM(AA25,AA29,AA33)</f>
        <v>123</v>
      </c>
      <c r="AB34" s="2700">
        <f>SUM(AB25,AB29,AB33)</f>
        <v>153</v>
      </c>
      <c r="AC34" s="2701">
        <f t="shared" si="11"/>
        <v>0.80392156862745101</v>
      </c>
      <c r="AD34" s="2661"/>
      <c r="AE34" s="2699">
        <v>118</v>
      </c>
      <c r="AF34" s="2700">
        <f>SUM(AF25,AF29,AF33)</f>
        <v>163</v>
      </c>
      <c r="AG34" s="2701">
        <f t="shared" si="7"/>
        <v>0.7239263803680982</v>
      </c>
      <c r="AH34" s="2661"/>
      <c r="AI34" s="2699">
        <v>118</v>
      </c>
      <c r="AJ34" s="2700">
        <f>SUM(AJ25,AJ29,AJ33)</f>
        <v>160</v>
      </c>
      <c r="AK34" s="2701">
        <f t="shared" si="8"/>
        <v>0.73750000000000004</v>
      </c>
      <c r="AM34" s="2699">
        <v>122</v>
      </c>
      <c r="AN34" s="2700">
        <f>SUM(AN25,AN29,AN33)</f>
        <v>162</v>
      </c>
      <c r="AO34" s="2701">
        <f t="shared" si="9"/>
        <v>0.75308641975308643</v>
      </c>
      <c r="AQ34" s="2699">
        <f>SUM(AQ25,AQ29,AQ33)</f>
        <v>114</v>
      </c>
      <c r="AR34" s="2700">
        <f>SUM(AR25,AR29,AR33)</f>
        <v>166</v>
      </c>
      <c r="AS34" s="2701">
        <f t="shared" si="10"/>
        <v>0.68674698795180722</v>
      </c>
    </row>
    <row r="35" spans="1:45" s="1" customFormat="1">
      <c r="A35" s="167"/>
      <c r="B35" s="3571" t="s">
        <v>1120</v>
      </c>
      <c r="C35" s="1264">
        <v>43</v>
      </c>
      <c r="D35" s="2694">
        <v>56</v>
      </c>
      <c r="E35" s="2698">
        <f t="shared" si="0"/>
        <v>0.7678571428571429</v>
      </c>
      <c r="F35" s="2661"/>
      <c r="G35" s="1264">
        <v>44</v>
      </c>
      <c r="H35" s="2694">
        <v>56</v>
      </c>
      <c r="I35" s="2698">
        <f t="shared" si="1"/>
        <v>0.7857142857142857</v>
      </c>
      <c r="J35" s="2661"/>
      <c r="K35" s="1264">
        <v>44</v>
      </c>
      <c r="L35" s="2694">
        <v>56</v>
      </c>
      <c r="M35" s="2698">
        <f t="shared" si="2"/>
        <v>0.7857142857142857</v>
      </c>
      <c r="N35" s="2661"/>
      <c r="O35" s="1264">
        <v>48</v>
      </c>
      <c r="P35" s="2694">
        <v>58</v>
      </c>
      <c r="Q35" s="2698">
        <f t="shared" si="3"/>
        <v>0.82758620689655171</v>
      </c>
      <c r="R35" s="2661"/>
      <c r="S35" s="1264">
        <v>53</v>
      </c>
      <c r="T35" s="2694">
        <v>57</v>
      </c>
      <c r="U35" s="2698">
        <f t="shared" si="4"/>
        <v>0.92982456140350878</v>
      </c>
      <c r="V35" s="2661"/>
      <c r="W35" s="1264">
        <v>54</v>
      </c>
      <c r="X35" s="2694">
        <v>56</v>
      </c>
      <c r="Y35" s="2698">
        <f t="shared" si="5"/>
        <v>0.9642857142857143</v>
      </c>
      <c r="Z35" s="2661"/>
      <c r="AA35" s="1264">
        <v>59</v>
      </c>
      <c r="AB35" s="2694">
        <v>57</v>
      </c>
      <c r="AC35" s="2698">
        <f t="shared" si="11"/>
        <v>1.0350877192982457</v>
      </c>
      <c r="AD35" s="2661"/>
      <c r="AE35" s="1264">
        <v>52</v>
      </c>
      <c r="AF35" s="2694">
        <v>56</v>
      </c>
      <c r="AG35" s="2698">
        <f t="shared" si="7"/>
        <v>0.9285714285714286</v>
      </c>
      <c r="AH35" s="2661"/>
      <c r="AI35" s="1264">
        <v>48</v>
      </c>
      <c r="AJ35" s="2694">
        <v>57</v>
      </c>
      <c r="AK35" s="2698">
        <f t="shared" si="8"/>
        <v>0.84210526315789469</v>
      </c>
      <c r="AM35" s="1264">
        <v>53</v>
      </c>
      <c r="AN35" s="2694">
        <v>54</v>
      </c>
      <c r="AO35" s="2698">
        <f t="shared" si="9"/>
        <v>0.98148148148148151</v>
      </c>
      <c r="AQ35" s="1264">
        <v>53</v>
      </c>
      <c r="AR35" s="2694">
        <v>53</v>
      </c>
      <c r="AS35" s="2698">
        <f t="shared" si="10"/>
        <v>1</v>
      </c>
    </row>
    <row r="36" spans="1:45" s="1" customFormat="1">
      <c r="A36" s="167"/>
      <c r="B36" s="3576" t="s">
        <v>1121</v>
      </c>
      <c r="C36" s="1269">
        <v>21</v>
      </c>
      <c r="D36" s="2694">
        <v>38</v>
      </c>
      <c r="E36" s="2692">
        <f t="shared" si="0"/>
        <v>0.55263157894736847</v>
      </c>
      <c r="F36" s="2661"/>
      <c r="G36" s="1269">
        <v>21</v>
      </c>
      <c r="H36" s="2694">
        <v>39</v>
      </c>
      <c r="I36" s="2692">
        <f t="shared" si="1"/>
        <v>0.53846153846153844</v>
      </c>
      <c r="J36" s="2661"/>
      <c r="K36" s="1269">
        <v>26</v>
      </c>
      <c r="L36" s="2694">
        <v>43</v>
      </c>
      <c r="M36" s="2692">
        <f t="shared" si="2"/>
        <v>0.60465116279069764</v>
      </c>
      <c r="N36" s="2661"/>
      <c r="O36" s="1269">
        <v>28</v>
      </c>
      <c r="P36" s="2694">
        <v>44</v>
      </c>
      <c r="Q36" s="2692">
        <f t="shared" si="3"/>
        <v>0.63636363636363635</v>
      </c>
      <c r="R36" s="2661"/>
      <c r="S36" s="1269">
        <v>27</v>
      </c>
      <c r="T36" s="2694">
        <v>46</v>
      </c>
      <c r="U36" s="2692">
        <f t="shared" si="4"/>
        <v>0.58695652173913049</v>
      </c>
      <c r="V36" s="2661"/>
      <c r="W36" s="1269">
        <v>28</v>
      </c>
      <c r="X36" s="2694">
        <v>46</v>
      </c>
      <c r="Y36" s="2692">
        <f t="shared" si="5"/>
        <v>0.60869565217391308</v>
      </c>
      <c r="Z36" s="2661"/>
      <c r="AA36" s="1269">
        <v>30</v>
      </c>
      <c r="AB36" s="2694">
        <v>45</v>
      </c>
      <c r="AC36" s="2692">
        <f t="shared" si="11"/>
        <v>0.66666666666666663</v>
      </c>
      <c r="AD36" s="2661"/>
      <c r="AE36" s="1269">
        <v>32</v>
      </c>
      <c r="AF36" s="2694">
        <v>42</v>
      </c>
      <c r="AG36" s="2692">
        <f t="shared" si="7"/>
        <v>0.76190476190476186</v>
      </c>
      <c r="AH36" s="2661"/>
      <c r="AI36" s="1269">
        <v>30</v>
      </c>
      <c r="AJ36" s="2694">
        <v>40</v>
      </c>
      <c r="AK36" s="2692">
        <f t="shared" si="8"/>
        <v>0.75</v>
      </c>
      <c r="AM36" s="1269">
        <v>28</v>
      </c>
      <c r="AN36" s="2694">
        <v>40</v>
      </c>
      <c r="AO36" s="2692">
        <f t="shared" si="9"/>
        <v>0.7</v>
      </c>
      <c r="AQ36" s="1269">
        <v>32</v>
      </c>
      <c r="AR36" s="2694">
        <v>41</v>
      </c>
      <c r="AS36" s="2692">
        <f t="shared" si="10"/>
        <v>0.78048780487804881</v>
      </c>
    </row>
    <row r="37" spans="1:45" s="1" customFormat="1">
      <c r="A37" s="167"/>
      <c r="B37" s="3576" t="s">
        <v>1122</v>
      </c>
      <c r="C37" s="1269">
        <v>14</v>
      </c>
      <c r="D37" s="2694">
        <v>64</v>
      </c>
      <c r="E37" s="2692">
        <f t="shared" si="0"/>
        <v>0.21875</v>
      </c>
      <c r="F37" s="2661"/>
      <c r="G37" s="1269">
        <v>13</v>
      </c>
      <c r="H37" s="2694">
        <v>64</v>
      </c>
      <c r="I37" s="2692">
        <f t="shared" si="1"/>
        <v>0.203125</v>
      </c>
      <c r="J37" s="2661"/>
      <c r="K37" s="1269">
        <v>13</v>
      </c>
      <c r="L37" s="2694">
        <v>62</v>
      </c>
      <c r="M37" s="2692">
        <f t="shared" si="2"/>
        <v>0.20967741935483872</v>
      </c>
      <c r="N37" s="2661"/>
      <c r="O37" s="1269">
        <v>18</v>
      </c>
      <c r="P37" s="2694">
        <v>64</v>
      </c>
      <c r="Q37" s="2692">
        <f t="shared" si="3"/>
        <v>0.28125</v>
      </c>
      <c r="R37" s="2661"/>
      <c r="S37" s="1269">
        <v>17</v>
      </c>
      <c r="T37" s="2694">
        <v>64</v>
      </c>
      <c r="U37" s="2692">
        <f t="shared" si="4"/>
        <v>0.265625</v>
      </c>
      <c r="V37" s="2661"/>
      <c r="W37" s="1269">
        <v>24</v>
      </c>
      <c r="X37" s="2694">
        <v>66</v>
      </c>
      <c r="Y37" s="2692">
        <f t="shared" si="5"/>
        <v>0.36363636363636365</v>
      </c>
      <c r="Z37" s="2661"/>
      <c r="AA37" s="1269">
        <v>23</v>
      </c>
      <c r="AB37" s="2694">
        <v>65</v>
      </c>
      <c r="AC37" s="2692">
        <f t="shared" si="11"/>
        <v>0.35384615384615387</v>
      </c>
      <c r="AD37" s="2661"/>
      <c r="AE37" s="1269">
        <v>21</v>
      </c>
      <c r="AF37" s="2694">
        <v>64</v>
      </c>
      <c r="AG37" s="2692">
        <f t="shared" si="7"/>
        <v>0.328125</v>
      </c>
      <c r="AH37" s="2661"/>
      <c r="AI37" s="1269">
        <v>25</v>
      </c>
      <c r="AJ37" s="2694">
        <v>64</v>
      </c>
      <c r="AK37" s="2692">
        <f t="shared" si="8"/>
        <v>0.390625</v>
      </c>
      <c r="AM37" s="1269">
        <v>27</v>
      </c>
      <c r="AN37" s="2694">
        <v>62</v>
      </c>
      <c r="AO37" s="2692">
        <f t="shared" si="9"/>
        <v>0.43548387096774194</v>
      </c>
      <c r="AQ37" s="1269">
        <v>29</v>
      </c>
      <c r="AR37" s="2694">
        <v>60</v>
      </c>
      <c r="AS37" s="2692">
        <f t="shared" si="10"/>
        <v>0.48333333333333334</v>
      </c>
    </row>
    <row r="38" spans="1:45" s="1" customFormat="1">
      <c r="A38" s="167"/>
      <c r="B38" s="3576" t="s">
        <v>1123</v>
      </c>
      <c r="C38" s="1269">
        <v>38</v>
      </c>
      <c r="D38" s="2694">
        <v>63</v>
      </c>
      <c r="E38" s="2692">
        <f t="shared" si="0"/>
        <v>0.60317460317460314</v>
      </c>
      <c r="F38" s="2661"/>
      <c r="G38" s="1269">
        <v>37</v>
      </c>
      <c r="H38" s="2694">
        <v>63</v>
      </c>
      <c r="I38" s="2692">
        <f t="shared" si="1"/>
        <v>0.58730158730158732</v>
      </c>
      <c r="J38" s="2661"/>
      <c r="K38" s="1269">
        <v>37</v>
      </c>
      <c r="L38" s="2694">
        <v>62</v>
      </c>
      <c r="M38" s="2692">
        <f t="shared" si="2"/>
        <v>0.59677419354838712</v>
      </c>
      <c r="N38" s="2661"/>
      <c r="O38" s="1269">
        <v>43</v>
      </c>
      <c r="P38" s="2694">
        <v>62</v>
      </c>
      <c r="Q38" s="2692">
        <f t="shared" si="3"/>
        <v>0.69354838709677424</v>
      </c>
      <c r="R38" s="2661"/>
      <c r="S38" s="1269">
        <v>45</v>
      </c>
      <c r="T38" s="2694">
        <v>63</v>
      </c>
      <c r="U38" s="2692">
        <f t="shared" si="4"/>
        <v>0.7142857142857143</v>
      </c>
      <c r="V38" s="2661"/>
      <c r="W38" s="1269">
        <v>42</v>
      </c>
      <c r="X38" s="2694">
        <v>60</v>
      </c>
      <c r="Y38" s="2692">
        <f t="shared" si="5"/>
        <v>0.7</v>
      </c>
      <c r="Z38" s="2661"/>
      <c r="AA38" s="1269">
        <v>46</v>
      </c>
      <c r="AB38" s="2694">
        <v>60</v>
      </c>
      <c r="AC38" s="2692">
        <f t="shared" si="11"/>
        <v>0.76666666666666672</v>
      </c>
      <c r="AD38" s="2661"/>
      <c r="AE38" s="1269">
        <v>46</v>
      </c>
      <c r="AF38" s="2694">
        <v>59</v>
      </c>
      <c r="AG38" s="2692">
        <f t="shared" si="7"/>
        <v>0.77966101694915257</v>
      </c>
      <c r="AH38" s="2661"/>
      <c r="AI38" s="1269">
        <v>44</v>
      </c>
      <c r="AJ38" s="2694">
        <v>60</v>
      </c>
      <c r="AK38" s="2692">
        <f t="shared" si="8"/>
        <v>0.73333333333333328</v>
      </c>
      <c r="AM38" s="1269">
        <v>44</v>
      </c>
      <c r="AN38" s="2694">
        <v>61</v>
      </c>
      <c r="AO38" s="2692">
        <f t="shared" si="9"/>
        <v>0.72131147540983609</v>
      </c>
      <c r="AQ38" s="1269">
        <v>44</v>
      </c>
      <c r="AR38" s="2694">
        <v>63</v>
      </c>
      <c r="AS38" s="2692">
        <f t="shared" si="10"/>
        <v>0.69841269841269837</v>
      </c>
    </row>
    <row r="39" spans="1:45" s="1" customFormat="1" ht="15" thickBot="1">
      <c r="A39" s="167"/>
      <c r="B39" s="3577" t="s">
        <v>1124</v>
      </c>
      <c r="C39" s="1269">
        <v>47</v>
      </c>
      <c r="D39" s="2694">
        <v>55</v>
      </c>
      <c r="E39" s="2692">
        <f t="shared" si="0"/>
        <v>0.8545454545454545</v>
      </c>
      <c r="F39" s="2661"/>
      <c r="G39" s="1269">
        <v>46</v>
      </c>
      <c r="H39" s="2694">
        <v>56</v>
      </c>
      <c r="I39" s="2692">
        <f t="shared" si="1"/>
        <v>0.8214285714285714</v>
      </c>
      <c r="J39" s="2661"/>
      <c r="K39" s="1269">
        <v>46</v>
      </c>
      <c r="L39" s="2694">
        <v>56</v>
      </c>
      <c r="M39" s="2692">
        <f t="shared" si="2"/>
        <v>0.8214285714285714</v>
      </c>
      <c r="N39" s="2661"/>
      <c r="O39" s="1269">
        <v>56</v>
      </c>
      <c r="P39" s="2694">
        <v>56</v>
      </c>
      <c r="Q39" s="2692">
        <f t="shared" si="3"/>
        <v>1</v>
      </c>
      <c r="R39" s="2661"/>
      <c r="S39" s="1269">
        <v>59</v>
      </c>
      <c r="T39" s="2694">
        <v>56</v>
      </c>
      <c r="U39" s="2692">
        <f t="shared" si="4"/>
        <v>1.0535714285714286</v>
      </c>
      <c r="V39" s="2661"/>
      <c r="W39" s="1269">
        <v>60</v>
      </c>
      <c r="X39" s="2694">
        <v>55</v>
      </c>
      <c r="Y39" s="2692">
        <f t="shared" si="5"/>
        <v>1.0909090909090908</v>
      </c>
      <c r="Z39" s="2661"/>
      <c r="AA39" s="1269">
        <v>67</v>
      </c>
      <c r="AB39" s="2694">
        <v>54</v>
      </c>
      <c r="AC39" s="2692">
        <f t="shared" si="11"/>
        <v>1.2407407407407407</v>
      </c>
      <c r="AD39" s="2661"/>
      <c r="AE39" s="1269">
        <v>64</v>
      </c>
      <c r="AF39" s="2694">
        <v>54</v>
      </c>
      <c r="AG39" s="2692">
        <f t="shared" si="7"/>
        <v>1.1851851851851851</v>
      </c>
      <c r="AH39" s="2661"/>
      <c r="AI39" s="1269">
        <v>65</v>
      </c>
      <c r="AJ39" s="2694">
        <v>54</v>
      </c>
      <c r="AK39" s="2692">
        <f t="shared" si="8"/>
        <v>1.2037037037037037</v>
      </c>
      <c r="AM39" s="1269">
        <v>64</v>
      </c>
      <c r="AN39" s="2694">
        <v>52</v>
      </c>
      <c r="AO39" s="2692">
        <f t="shared" si="9"/>
        <v>1.2307692307692308</v>
      </c>
      <c r="AQ39" s="1269">
        <v>64</v>
      </c>
      <c r="AR39" s="2694">
        <v>51</v>
      </c>
      <c r="AS39" s="2692">
        <f t="shared" si="10"/>
        <v>1.2549019607843137</v>
      </c>
    </row>
    <row r="40" spans="1:45" s="1" customFormat="1" ht="15" thickBot="1">
      <c r="A40" s="167"/>
      <c r="B40" s="2905" t="s">
        <v>4</v>
      </c>
      <c r="C40" s="1267">
        <f>SUM(C35:C39)</f>
        <v>163</v>
      </c>
      <c r="D40" s="1268">
        <f>SUM(D35:D39)</f>
        <v>276</v>
      </c>
      <c r="E40" s="2693">
        <f t="shared" si="0"/>
        <v>0.59057971014492749</v>
      </c>
      <c r="F40" s="2661"/>
      <c r="G40" s="1267">
        <v>161</v>
      </c>
      <c r="H40" s="1268">
        <f>SUM(H35:H39)</f>
        <v>278</v>
      </c>
      <c r="I40" s="2693">
        <f t="shared" si="1"/>
        <v>0.57913669064748197</v>
      </c>
      <c r="J40" s="2661"/>
      <c r="K40" s="1267">
        <v>166</v>
      </c>
      <c r="L40" s="1268">
        <f>SUM(L35:L39)</f>
        <v>279</v>
      </c>
      <c r="M40" s="2693">
        <f t="shared" si="2"/>
        <v>0.59498207885304655</v>
      </c>
      <c r="N40" s="2661"/>
      <c r="O40" s="1267">
        <v>193</v>
      </c>
      <c r="P40" s="1268">
        <f>SUM(P35:P39)</f>
        <v>284</v>
      </c>
      <c r="Q40" s="2693">
        <f t="shared" si="3"/>
        <v>0.67957746478873238</v>
      </c>
      <c r="R40" s="2661"/>
      <c r="S40" s="1267">
        <v>201</v>
      </c>
      <c r="T40" s="1268">
        <f>SUM(T35:T39)</f>
        <v>286</v>
      </c>
      <c r="U40" s="2693">
        <f t="shared" si="4"/>
        <v>0.70279720279720281</v>
      </c>
      <c r="V40" s="2661"/>
      <c r="W40" s="1267">
        <f>SUM(W35:W39)</f>
        <v>208</v>
      </c>
      <c r="X40" s="1268">
        <v>283</v>
      </c>
      <c r="Y40" s="2693">
        <f t="shared" si="5"/>
        <v>0.73498233215547704</v>
      </c>
      <c r="Z40" s="2661"/>
      <c r="AA40" s="1267">
        <f>SUM(AA35:AA39)</f>
        <v>225</v>
      </c>
      <c r="AB40" s="1268">
        <f>SUM(AB35:AB39)</f>
        <v>281</v>
      </c>
      <c r="AC40" s="2693">
        <f t="shared" si="11"/>
        <v>0.80071174377224197</v>
      </c>
      <c r="AD40" s="2661"/>
      <c r="AE40" s="1267">
        <v>215</v>
      </c>
      <c r="AF40" s="1268">
        <f>SUM(AF35:AF39)</f>
        <v>275</v>
      </c>
      <c r="AG40" s="2693">
        <f t="shared" si="7"/>
        <v>0.78181818181818186</v>
      </c>
      <c r="AH40" s="2661"/>
      <c r="AI40" s="1267">
        <v>212</v>
      </c>
      <c r="AJ40" s="1268">
        <f>SUM(AJ35:AJ39)</f>
        <v>275</v>
      </c>
      <c r="AK40" s="2693">
        <f t="shared" si="8"/>
        <v>0.77090909090909088</v>
      </c>
      <c r="AM40" s="1267">
        <v>216</v>
      </c>
      <c r="AN40" s="1268">
        <f>SUM(AN35:AN39)</f>
        <v>269</v>
      </c>
      <c r="AO40" s="2693">
        <f t="shared" si="9"/>
        <v>0.80297397769516732</v>
      </c>
      <c r="AQ40" s="1267">
        <f>SUM(AQ35:AQ39)</f>
        <v>222</v>
      </c>
      <c r="AR40" s="1268">
        <f>SUM(AR35:AR39)</f>
        <v>268</v>
      </c>
      <c r="AS40" s="2693">
        <f t="shared" si="10"/>
        <v>0.82835820895522383</v>
      </c>
    </row>
    <row r="41" spans="1:45" s="1" customFormat="1">
      <c r="A41" s="167"/>
      <c r="B41" s="3575" t="s">
        <v>1125</v>
      </c>
      <c r="C41" s="1265">
        <v>16</v>
      </c>
      <c r="D41" s="2694">
        <v>40</v>
      </c>
      <c r="E41" s="2692">
        <f t="shared" si="0"/>
        <v>0.4</v>
      </c>
      <c r="F41" s="2661"/>
      <c r="G41" s="1265">
        <v>19</v>
      </c>
      <c r="H41" s="2694">
        <v>43</v>
      </c>
      <c r="I41" s="2692">
        <f t="shared" si="1"/>
        <v>0.44186046511627908</v>
      </c>
      <c r="J41" s="2661"/>
      <c r="K41" s="1265">
        <v>19</v>
      </c>
      <c r="L41" s="2694">
        <v>43</v>
      </c>
      <c r="M41" s="2692">
        <f t="shared" si="2"/>
        <v>0.44186046511627908</v>
      </c>
      <c r="N41" s="2661"/>
      <c r="O41" s="1265">
        <v>17</v>
      </c>
      <c r="P41" s="2694">
        <v>46</v>
      </c>
      <c r="Q41" s="2692">
        <f t="shared" si="3"/>
        <v>0.36956521739130432</v>
      </c>
      <c r="R41" s="2661"/>
      <c r="S41" s="1265">
        <v>15</v>
      </c>
      <c r="T41" s="2694">
        <v>47</v>
      </c>
      <c r="U41" s="2692">
        <f t="shared" si="4"/>
        <v>0.31914893617021278</v>
      </c>
      <c r="V41" s="2661"/>
      <c r="W41" s="1265">
        <v>13</v>
      </c>
      <c r="X41" s="2694">
        <v>47</v>
      </c>
      <c r="Y41" s="2692">
        <f t="shared" si="5"/>
        <v>0.27659574468085107</v>
      </c>
      <c r="Z41" s="2661"/>
      <c r="AA41" s="1265">
        <v>14</v>
      </c>
      <c r="AB41" s="2694">
        <v>48</v>
      </c>
      <c r="AC41" s="2692">
        <f t="shared" si="11"/>
        <v>0.29166666666666669</v>
      </c>
      <c r="AD41" s="2661"/>
      <c r="AE41" s="1265">
        <v>15</v>
      </c>
      <c r="AF41" s="2694">
        <v>47</v>
      </c>
      <c r="AG41" s="2692">
        <f t="shared" si="7"/>
        <v>0.31914893617021278</v>
      </c>
      <c r="AH41" s="2661"/>
      <c r="AI41" s="1265">
        <v>18</v>
      </c>
      <c r="AJ41" s="2694">
        <v>47</v>
      </c>
      <c r="AK41" s="2692">
        <f t="shared" si="8"/>
        <v>0.38297872340425532</v>
      </c>
      <c r="AM41" s="1265">
        <v>19</v>
      </c>
      <c r="AN41" s="2694">
        <v>46</v>
      </c>
      <c r="AO41" s="2692">
        <f t="shared" si="9"/>
        <v>0.41304347826086957</v>
      </c>
      <c r="AQ41" s="1265">
        <v>19</v>
      </c>
      <c r="AR41" s="2694">
        <v>46</v>
      </c>
      <c r="AS41" s="2692">
        <f t="shared" si="10"/>
        <v>0.41304347826086957</v>
      </c>
    </row>
    <row r="42" spans="1:45" s="1" customFormat="1">
      <c r="A42" s="167"/>
      <c r="B42" s="3576" t="s">
        <v>1157</v>
      </c>
      <c r="C42" s="1269">
        <v>17</v>
      </c>
      <c r="D42" s="2694">
        <v>33</v>
      </c>
      <c r="E42" s="2692">
        <f t="shared" si="0"/>
        <v>0.51515151515151514</v>
      </c>
      <c r="F42" s="2661"/>
      <c r="G42" s="1269">
        <v>17</v>
      </c>
      <c r="H42" s="2694">
        <v>36</v>
      </c>
      <c r="I42" s="2692">
        <f t="shared" si="1"/>
        <v>0.47222222222222221</v>
      </c>
      <c r="J42" s="2661"/>
      <c r="K42" s="1269">
        <v>19</v>
      </c>
      <c r="L42" s="2694">
        <v>35</v>
      </c>
      <c r="M42" s="2692">
        <f t="shared" si="2"/>
        <v>0.54285714285714282</v>
      </c>
      <c r="N42" s="2661"/>
      <c r="O42" s="1269">
        <v>20</v>
      </c>
      <c r="P42" s="2694">
        <v>35</v>
      </c>
      <c r="Q42" s="2692">
        <f t="shared" si="3"/>
        <v>0.5714285714285714</v>
      </c>
      <c r="R42" s="2661"/>
      <c r="S42" s="1269">
        <v>19</v>
      </c>
      <c r="T42" s="2694">
        <v>34</v>
      </c>
      <c r="U42" s="2692">
        <f t="shared" si="4"/>
        <v>0.55882352941176472</v>
      </c>
      <c r="V42" s="2661"/>
      <c r="W42" s="1269">
        <v>19</v>
      </c>
      <c r="X42" s="2694">
        <v>36</v>
      </c>
      <c r="Y42" s="2692">
        <f t="shared" si="5"/>
        <v>0.52777777777777779</v>
      </c>
      <c r="Z42" s="2661"/>
      <c r="AA42" s="1269">
        <v>20</v>
      </c>
      <c r="AB42" s="2694">
        <v>37</v>
      </c>
      <c r="AC42" s="2692">
        <f t="shared" si="11"/>
        <v>0.54054054054054057</v>
      </c>
      <c r="AD42" s="2661"/>
      <c r="AE42" s="1269">
        <v>20</v>
      </c>
      <c r="AF42" s="2694">
        <v>37</v>
      </c>
      <c r="AG42" s="2692">
        <f t="shared" si="7"/>
        <v>0.54054054054054057</v>
      </c>
      <c r="AH42" s="2661"/>
      <c r="AI42" s="1269">
        <v>17</v>
      </c>
      <c r="AJ42" s="2694">
        <v>39</v>
      </c>
      <c r="AK42" s="2692">
        <f t="shared" si="8"/>
        <v>0.4358974358974359</v>
      </c>
      <c r="AM42" s="1269">
        <v>16</v>
      </c>
      <c r="AN42" s="2694">
        <v>39</v>
      </c>
      <c r="AO42" s="2692">
        <f t="shared" si="9"/>
        <v>0.41025641025641024</v>
      </c>
      <c r="AQ42" s="1269">
        <v>18</v>
      </c>
      <c r="AR42" s="2694">
        <v>38</v>
      </c>
      <c r="AS42" s="2692">
        <f t="shared" si="10"/>
        <v>0.47368421052631576</v>
      </c>
    </row>
    <row r="43" spans="1:45" s="1" customFormat="1">
      <c r="A43" s="167"/>
      <c r="B43" s="3576" t="s">
        <v>1127</v>
      </c>
      <c r="C43" s="1269">
        <v>39</v>
      </c>
      <c r="D43" s="2694">
        <v>50</v>
      </c>
      <c r="E43" s="2692">
        <f t="shared" si="0"/>
        <v>0.78</v>
      </c>
      <c r="F43" s="2661"/>
      <c r="G43" s="1269">
        <v>34</v>
      </c>
      <c r="H43" s="2694">
        <v>49</v>
      </c>
      <c r="I43" s="2692">
        <f t="shared" si="1"/>
        <v>0.69387755102040816</v>
      </c>
      <c r="J43" s="2661"/>
      <c r="K43" s="1269">
        <v>34</v>
      </c>
      <c r="L43" s="2694">
        <v>48</v>
      </c>
      <c r="M43" s="2692">
        <f t="shared" si="2"/>
        <v>0.70833333333333337</v>
      </c>
      <c r="N43" s="2661"/>
      <c r="O43" s="1269">
        <v>41</v>
      </c>
      <c r="P43" s="2694">
        <v>49</v>
      </c>
      <c r="Q43" s="2692">
        <f t="shared" si="3"/>
        <v>0.83673469387755106</v>
      </c>
      <c r="R43" s="2661"/>
      <c r="S43" s="1269">
        <v>40</v>
      </c>
      <c r="T43" s="2694">
        <v>51</v>
      </c>
      <c r="U43" s="2692">
        <f t="shared" si="4"/>
        <v>0.78431372549019607</v>
      </c>
      <c r="V43" s="2661"/>
      <c r="W43" s="1269">
        <v>42</v>
      </c>
      <c r="X43" s="2694">
        <v>53</v>
      </c>
      <c r="Y43" s="2692">
        <f t="shared" si="5"/>
        <v>0.79245283018867929</v>
      </c>
      <c r="Z43" s="2661"/>
      <c r="AA43" s="1269">
        <v>45</v>
      </c>
      <c r="AB43" s="2694">
        <v>53</v>
      </c>
      <c r="AC43" s="2692">
        <f t="shared" si="11"/>
        <v>0.84905660377358494</v>
      </c>
      <c r="AD43" s="2661"/>
      <c r="AE43" s="1269">
        <v>47</v>
      </c>
      <c r="AF43" s="2694">
        <v>51</v>
      </c>
      <c r="AG43" s="2692">
        <f t="shared" si="7"/>
        <v>0.92156862745098034</v>
      </c>
      <c r="AH43" s="2661"/>
      <c r="AI43" s="1269">
        <v>38</v>
      </c>
      <c r="AJ43" s="2694">
        <v>49</v>
      </c>
      <c r="AK43" s="2692">
        <f t="shared" si="8"/>
        <v>0.77551020408163263</v>
      </c>
      <c r="AM43" s="1269">
        <v>41</v>
      </c>
      <c r="AN43" s="2694">
        <v>50</v>
      </c>
      <c r="AO43" s="2692">
        <f t="shared" si="9"/>
        <v>0.82</v>
      </c>
      <c r="AQ43" s="1269">
        <v>42</v>
      </c>
      <c r="AR43" s="2694">
        <v>49</v>
      </c>
      <c r="AS43" s="2692">
        <f t="shared" si="10"/>
        <v>0.8571428571428571</v>
      </c>
    </row>
    <row r="44" spans="1:45" s="1" customFormat="1">
      <c r="A44" s="167"/>
      <c r="B44" s="3576" t="s">
        <v>1128</v>
      </c>
      <c r="C44" s="1265">
        <v>29</v>
      </c>
      <c r="D44" s="2694">
        <v>46</v>
      </c>
      <c r="E44" s="2692">
        <f t="shared" si="0"/>
        <v>0.63043478260869568</v>
      </c>
      <c r="F44" s="2661"/>
      <c r="G44" s="1265">
        <v>28</v>
      </c>
      <c r="H44" s="2694">
        <v>48</v>
      </c>
      <c r="I44" s="2692">
        <f t="shared" si="1"/>
        <v>0.58333333333333337</v>
      </c>
      <c r="J44" s="2661"/>
      <c r="K44" s="1265">
        <v>24</v>
      </c>
      <c r="L44" s="2694">
        <v>48</v>
      </c>
      <c r="M44" s="2692">
        <f t="shared" si="2"/>
        <v>0.5</v>
      </c>
      <c r="N44" s="2661"/>
      <c r="O44" s="1265">
        <v>28</v>
      </c>
      <c r="P44" s="2694">
        <v>50</v>
      </c>
      <c r="Q44" s="2692">
        <f t="shared" si="3"/>
        <v>0.56000000000000005</v>
      </c>
      <c r="R44" s="2661"/>
      <c r="S44" s="1265">
        <v>33</v>
      </c>
      <c r="T44" s="2694">
        <v>55</v>
      </c>
      <c r="U44" s="2692">
        <f t="shared" si="4"/>
        <v>0.6</v>
      </c>
      <c r="V44" s="2661"/>
      <c r="W44" s="1265">
        <v>37</v>
      </c>
      <c r="X44" s="2694">
        <v>54</v>
      </c>
      <c r="Y44" s="2692">
        <f t="shared" si="5"/>
        <v>0.68518518518518523</v>
      </c>
      <c r="Z44" s="2661"/>
      <c r="AA44" s="1265">
        <v>38</v>
      </c>
      <c r="AB44" s="2694">
        <v>55</v>
      </c>
      <c r="AC44" s="2692">
        <f t="shared" si="11"/>
        <v>0.69090909090909092</v>
      </c>
      <c r="AD44" s="2661"/>
      <c r="AE44" s="1265">
        <v>38</v>
      </c>
      <c r="AF44" s="2694">
        <v>55</v>
      </c>
      <c r="AG44" s="2692">
        <f t="shared" si="7"/>
        <v>0.69090909090909092</v>
      </c>
      <c r="AH44" s="2661"/>
      <c r="AI44" s="1265">
        <v>34</v>
      </c>
      <c r="AJ44" s="2694">
        <v>55</v>
      </c>
      <c r="AK44" s="2692">
        <f t="shared" si="8"/>
        <v>0.61818181818181817</v>
      </c>
      <c r="AM44" s="1265">
        <v>36</v>
      </c>
      <c r="AN44" s="2694">
        <v>54</v>
      </c>
      <c r="AO44" s="2692">
        <f t="shared" si="9"/>
        <v>0.66666666666666663</v>
      </c>
      <c r="AQ44" s="1265">
        <v>33</v>
      </c>
      <c r="AR44" s="2694">
        <v>54</v>
      </c>
      <c r="AS44" s="2692">
        <f t="shared" si="10"/>
        <v>0.61111111111111116</v>
      </c>
    </row>
    <row r="45" spans="1:45" s="1" customFormat="1" ht="15" thickBot="1">
      <c r="A45" s="167"/>
      <c r="B45" s="3576" t="s">
        <v>1129</v>
      </c>
      <c r="C45" s="1265">
        <v>13</v>
      </c>
      <c r="D45" s="2694">
        <v>37</v>
      </c>
      <c r="E45" s="2692">
        <f t="shared" si="0"/>
        <v>0.35135135135135137</v>
      </c>
      <c r="F45" s="2661"/>
      <c r="G45" s="1265">
        <v>12</v>
      </c>
      <c r="H45" s="2694">
        <v>38</v>
      </c>
      <c r="I45" s="2692">
        <f t="shared" si="1"/>
        <v>0.31578947368421051</v>
      </c>
      <c r="J45" s="2661"/>
      <c r="K45" s="1265">
        <v>14</v>
      </c>
      <c r="L45" s="2694">
        <v>40</v>
      </c>
      <c r="M45" s="2692">
        <f t="shared" si="2"/>
        <v>0.35</v>
      </c>
      <c r="N45" s="2661"/>
      <c r="O45" s="1265">
        <v>14</v>
      </c>
      <c r="P45" s="2694">
        <v>41</v>
      </c>
      <c r="Q45" s="2692">
        <f t="shared" si="3"/>
        <v>0.34146341463414637</v>
      </c>
      <c r="R45" s="2661"/>
      <c r="S45" s="1265">
        <v>14</v>
      </c>
      <c r="T45" s="2694">
        <v>41</v>
      </c>
      <c r="U45" s="2692">
        <f t="shared" si="4"/>
        <v>0.34146341463414637</v>
      </c>
      <c r="V45" s="2661"/>
      <c r="W45" s="1265">
        <v>13</v>
      </c>
      <c r="X45" s="2694">
        <v>39</v>
      </c>
      <c r="Y45" s="2692">
        <f t="shared" si="5"/>
        <v>0.33333333333333331</v>
      </c>
      <c r="Z45" s="2661"/>
      <c r="AA45" s="1265">
        <v>10</v>
      </c>
      <c r="AB45" s="2694">
        <v>38</v>
      </c>
      <c r="AC45" s="2692">
        <f t="shared" si="11"/>
        <v>0.26315789473684209</v>
      </c>
      <c r="AD45" s="2661"/>
      <c r="AE45" s="1265">
        <v>9</v>
      </c>
      <c r="AF45" s="2694">
        <v>38</v>
      </c>
      <c r="AG45" s="2692">
        <f t="shared" si="7"/>
        <v>0.23684210526315788</v>
      </c>
      <c r="AH45" s="2661"/>
      <c r="AI45" s="1265">
        <v>11</v>
      </c>
      <c r="AJ45" s="2694">
        <v>37</v>
      </c>
      <c r="AK45" s="2692">
        <f t="shared" si="8"/>
        <v>0.29729729729729731</v>
      </c>
      <c r="AM45" s="1265">
        <v>12</v>
      </c>
      <c r="AN45" s="2694">
        <v>35</v>
      </c>
      <c r="AO45" s="2692">
        <f t="shared" si="9"/>
        <v>0.34285714285714286</v>
      </c>
      <c r="AQ45" s="1265">
        <v>14</v>
      </c>
      <c r="AR45" s="2694">
        <v>35</v>
      </c>
      <c r="AS45" s="2692">
        <f t="shared" si="10"/>
        <v>0.4</v>
      </c>
    </row>
    <row r="46" spans="1:45" s="1" customFormat="1" ht="15" thickBot="1">
      <c r="A46" s="167"/>
      <c r="B46" s="2905" t="s">
        <v>41</v>
      </c>
      <c r="C46" s="1272">
        <f>SUM(C41:C45)</f>
        <v>114</v>
      </c>
      <c r="D46" s="1268">
        <f>SUM(D41:D45)</f>
        <v>206</v>
      </c>
      <c r="E46" s="2693">
        <f t="shared" si="0"/>
        <v>0.55339805825242716</v>
      </c>
      <c r="F46" s="2661"/>
      <c r="G46" s="1272">
        <v>110</v>
      </c>
      <c r="H46" s="1268">
        <f>SUM(H41:H45)</f>
        <v>214</v>
      </c>
      <c r="I46" s="2693">
        <f t="shared" si="1"/>
        <v>0.51401869158878499</v>
      </c>
      <c r="J46" s="2661"/>
      <c r="K46" s="1272">
        <v>110</v>
      </c>
      <c r="L46" s="1268">
        <f>SUM(L41:L45)</f>
        <v>214</v>
      </c>
      <c r="M46" s="2693">
        <f t="shared" si="2"/>
        <v>0.51401869158878499</v>
      </c>
      <c r="N46" s="2661"/>
      <c r="O46" s="1272">
        <v>120</v>
      </c>
      <c r="P46" s="1268">
        <f>SUM(P41:P45)</f>
        <v>221</v>
      </c>
      <c r="Q46" s="2693">
        <f t="shared" si="3"/>
        <v>0.54298642533936647</v>
      </c>
      <c r="R46" s="2661"/>
      <c r="S46" s="1272">
        <v>121</v>
      </c>
      <c r="T46" s="1268">
        <f>SUM(T41:T45)</f>
        <v>228</v>
      </c>
      <c r="U46" s="2693">
        <f t="shared" si="4"/>
        <v>0.5307017543859649</v>
      </c>
      <c r="V46" s="2661"/>
      <c r="W46" s="1272">
        <f>SUM(W41:W45)</f>
        <v>124</v>
      </c>
      <c r="X46" s="1268">
        <v>229</v>
      </c>
      <c r="Y46" s="2693">
        <f t="shared" si="5"/>
        <v>0.54148471615720528</v>
      </c>
      <c r="Z46" s="2661"/>
      <c r="AA46" s="1272">
        <f>SUM(AA41:AA45)</f>
        <v>127</v>
      </c>
      <c r="AB46" s="1268">
        <f>SUM(AB41:AB45)</f>
        <v>231</v>
      </c>
      <c r="AC46" s="2693">
        <f t="shared" si="11"/>
        <v>0.54978354978354982</v>
      </c>
      <c r="AD46" s="2661"/>
      <c r="AE46" s="1272">
        <v>129</v>
      </c>
      <c r="AF46" s="1268">
        <f>SUM(AF41:AF45)</f>
        <v>228</v>
      </c>
      <c r="AG46" s="2693">
        <f t="shared" si="7"/>
        <v>0.56578947368421051</v>
      </c>
      <c r="AH46" s="2661"/>
      <c r="AI46" s="1272">
        <v>118</v>
      </c>
      <c r="AJ46" s="1268">
        <f>SUM(AJ41:AJ45)</f>
        <v>227</v>
      </c>
      <c r="AK46" s="2693">
        <f t="shared" si="8"/>
        <v>0.51982378854625555</v>
      </c>
      <c r="AM46" s="1272">
        <v>124</v>
      </c>
      <c r="AN46" s="1268">
        <f>SUM(AN41:AN45)</f>
        <v>224</v>
      </c>
      <c r="AO46" s="2693">
        <f t="shared" si="9"/>
        <v>0.5535714285714286</v>
      </c>
      <c r="AQ46" s="1272">
        <f>SUM(AQ41:AQ45)</f>
        <v>126</v>
      </c>
      <c r="AR46" s="1268">
        <f>SUM(AR41:AR45)</f>
        <v>222</v>
      </c>
      <c r="AS46" s="2693">
        <f t="shared" si="10"/>
        <v>0.56756756756756754</v>
      </c>
    </row>
    <row r="47" spans="1:45" s="1" customFormat="1">
      <c r="A47" s="167"/>
      <c r="B47" s="3575" t="s">
        <v>1130</v>
      </c>
      <c r="C47" s="1269">
        <v>21</v>
      </c>
      <c r="D47" s="2694">
        <v>25</v>
      </c>
      <c r="E47" s="2692">
        <f t="shared" si="0"/>
        <v>0.84</v>
      </c>
      <c r="F47" s="2661"/>
      <c r="G47" s="1269">
        <v>20</v>
      </c>
      <c r="H47" s="2694">
        <v>25</v>
      </c>
      <c r="I47" s="2692">
        <f t="shared" si="1"/>
        <v>0.8</v>
      </c>
      <c r="J47" s="2661"/>
      <c r="K47" s="1269">
        <v>20</v>
      </c>
      <c r="L47" s="2694">
        <v>26</v>
      </c>
      <c r="M47" s="2692">
        <f t="shared" si="2"/>
        <v>0.76923076923076927</v>
      </c>
      <c r="N47" s="2661"/>
      <c r="O47" s="1269">
        <v>20</v>
      </c>
      <c r="P47" s="2694">
        <v>24</v>
      </c>
      <c r="Q47" s="2692">
        <f t="shared" si="3"/>
        <v>0.83333333333333337</v>
      </c>
      <c r="R47" s="2661"/>
      <c r="S47" s="1269">
        <v>18</v>
      </c>
      <c r="T47" s="2694">
        <v>24</v>
      </c>
      <c r="U47" s="2692">
        <f t="shared" si="4"/>
        <v>0.75</v>
      </c>
      <c r="V47" s="2661"/>
      <c r="W47" s="1269">
        <v>22</v>
      </c>
      <c r="X47" s="2694">
        <v>24</v>
      </c>
      <c r="Y47" s="2692">
        <f t="shared" si="5"/>
        <v>0.91666666666666663</v>
      </c>
      <c r="Z47" s="2661"/>
      <c r="AA47" s="1269">
        <v>24</v>
      </c>
      <c r="AB47" s="2694">
        <v>24</v>
      </c>
      <c r="AC47" s="2692">
        <f t="shared" si="11"/>
        <v>1</v>
      </c>
      <c r="AD47" s="2661"/>
      <c r="AE47" s="1269">
        <v>24</v>
      </c>
      <c r="AF47" s="2694">
        <v>23</v>
      </c>
      <c r="AG47" s="2692">
        <f t="shared" si="7"/>
        <v>1.0434782608695652</v>
      </c>
      <c r="AH47" s="2661"/>
      <c r="AI47" s="1269">
        <v>23</v>
      </c>
      <c r="AJ47" s="2694">
        <v>23</v>
      </c>
      <c r="AK47" s="2692">
        <f t="shared" si="8"/>
        <v>1</v>
      </c>
      <c r="AM47" s="1269">
        <v>23</v>
      </c>
      <c r="AN47" s="2694">
        <v>24</v>
      </c>
      <c r="AO47" s="2692">
        <f t="shared" si="9"/>
        <v>0.95833333333333337</v>
      </c>
      <c r="AQ47" s="1269">
        <v>20</v>
      </c>
      <c r="AR47" s="2694">
        <v>24</v>
      </c>
      <c r="AS47" s="2692">
        <f t="shared" si="10"/>
        <v>0.83333333333333337</v>
      </c>
    </row>
    <row r="48" spans="1:45" s="1" customFormat="1">
      <c r="A48" s="167"/>
      <c r="B48" s="3576" t="s">
        <v>1104</v>
      </c>
      <c r="C48" s="1269">
        <v>31</v>
      </c>
      <c r="D48" s="2694">
        <v>82</v>
      </c>
      <c r="E48" s="2692">
        <f t="shared" si="0"/>
        <v>0.37804878048780488</v>
      </c>
      <c r="F48" s="2661"/>
      <c r="G48" s="1269">
        <v>30</v>
      </c>
      <c r="H48" s="2694">
        <v>80</v>
      </c>
      <c r="I48" s="2692">
        <f t="shared" si="1"/>
        <v>0.375</v>
      </c>
      <c r="J48" s="2661"/>
      <c r="K48" s="1269">
        <v>30</v>
      </c>
      <c r="L48" s="2694">
        <v>78</v>
      </c>
      <c r="M48" s="2692">
        <f t="shared" si="2"/>
        <v>0.38461538461538464</v>
      </c>
      <c r="N48" s="2661"/>
      <c r="O48" s="1269">
        <v>31</v>
      </c>
      <c r="P48" s="2694">
        <v>79</v>
      </c>
      <c r="Q48" s="2692">
        <f t="shared" si="3"/>
        <v>0.39240506329113922</v>
      </c>
      <c r="R48" s="2661"/>
      <c r="S48" s="1269">
        <v>31</v>
      </c>
      <c r="T48" s="2694">
        <v>79</v>
      </c>
      <c r="U48" s="2692">
        <f t="shared" si="4"/>
        <v>0.39240506329113922</v>
      </c>
      <c r="V48" s="2661"/>
      <c r="W48" s="1269">
        <v>30</v>
      </c>
      <c r="X48" s="2694">
        <v>78</v>
      </c>
      <c r="Y48" s="2692">
        <f t="shared" si="5"/>
        <v>0.38461538461538464</v>
      </c>
      <c r="Z48" s="2661"/>
      <c r="AA48" s="1269">
        <v>29</v>
      </c>
      <c r="AB48" s="2694">
        <v>78</v>
      </c>
      <c r="AC48" s="2692">
        <f t="shared" si="11"/>
        <v>0.37179487179487181</v>
      </c>
      <c r="AD48" s="2661"/>
      <c r="AE48" s="1269">
        <v>29</v>
      </c>
      <c r="AF48" s="2694">
        <v>83</v>
      </c>
      <c r="AG48" s="2692">
        <f t="shared" si="7"/>
        <v>0.3493975903614458</v>
      </c>
      <c r="AH48" s="2661"/>
      <c r="AI48" s="1269">
        <v>30</v>
      </c>
      <c r="AJ48" s="2694">
        <v>87</v>
      </c>
      <c r="AK48" s="2692">
        <f t="shared" si="8"/>
        <v>0.34482758620689657</v>
      </c>
      <c r="AM48" s="1269">
        <v>30</v>
      </c>
      <c r="AN48" s="2694">
        <v>87</v>
      </c>
      <c r="AO48" s="2692">
        <f t="shared" si="9"/>
        <v>0.34482758620689657</v>
      </c>
      <c r="AQ48" s="1269">
        <v>29</v>
      </c>
      <c r="AR48" s="2694">
        <v>82</v>
      </c>
      <c r="AS48" s="2692">
        <f t="shared" si="10"/>
        <v>0.35365853658536583</v>
      </c>
    </row>
    <row r="49" spans="1:45" s="1" customFormat="1">
      <c r="A49" s="167"/>
      <c r="B49" s="3576" t="s">
        <v>1131</v>
      </c>
      <c r="C49" s="1269">
        <v>50</v>
      </c>
      <c r="D49" s="2694">
        <v>108</v>
      </c>
      <c r="E49" s="2692">
        <f t="shared" si="0"/>
        <v>0.46296296296296297</v>
      </c>
      <c r="F49" s="2661"/>
      <c r="G49" s="1269">
        <v>51</v>
      </c>
      <c r="H49" s="2694">
        <v>105</v>
      </c>
      <c r="I49" s="2692">
        <f t="shared" si="1"/>
        <v>0.48571428571428571</v>
      </c>
      <c r="J49" s="2661"/>
      <c r="K49" s="1269">
        <v>48</v>
      </c>
      <c r="L49" s="2694">
        <v>105</v>
      </c>
      <c r="M49" s="2692">
        <f t="shared" si="2"/>
        <v>0.45714285714285713</v>
      </c>
      <c r="N49" s="2661"/>
      <c r="O49" s="1269">
        <v>49</v>
      </c>
      <c r="P49" s="2694">
        <v>104</v>
      </c>
      <c r="Q49" s="2692">
        <f t="shared" si="3"/>
        <v>0.47115384615384615</v>
      </c>
      <c r="R49" s="2661"/>
      <c r="S49" s="1269">
        <v>51</v>
      </c>
      <c r="T49" s="2694">
        <v>106</v>
      </c>
      <c r="U49" s="2692">
        <f t="shared" si="4"/>
        <v>0.48113207547169812</v>
      </c>
      <c r="V49" s="2661"/>
      <c r="W49" s="1269">
        <v>55</v>
      </c>
      <c r="X49" s="2694">
        <v>107</v>
      </c>
      <c r="Y49" s="2692">
        <f t="shared" si="5"/>
        <v>0.51401869158878499</v>
      </c>
      <c r="Z49" s="2661"/>
      <c r="AA49" s="1269">
        <v>53</v>
      </c>
      <c r="AB49" s="2694">
        <v>105</v>
      </c>
      <c r="AC49" s="2692">
        <f t="shared" si="11"/>
        <v>0.50476190476190474</v>
      </c>
      <c r="AD49" s="2661"/>
      <c r="AE49" s="1269">
        <v>53</v>
      </c>
      <c r="AF49" s="2694">
        <v>107</v>
      </c>
      <c r="AG49" s="2692">
        <f t="shared" si="7"/>
        <v>0.49532710280373832</v>
      </c>
      <c r="AH49" s="2661"/>
      <c r="AI49" s="1269">
        <v>51</v>
      </c>
      <c r="AJ49" s="2694">
        <v>106</v>
      </c>
      <c r="AK49" s="2692">
        <f t="shared" si="8"/>
        <v>0.48113207547169812</v>
      </c>
      <c r="AM49" s="1269">
        <v>53</v>
      </c>
      <c r="AN49" s="2694">
        <v>99</v>
      </c>
      <c r="AO49" s="2692">
        <f t="shared" si="9"/>
        <v>0.53535353535353536</v>
      </c>
      <c r="AQ49" s="1269">
        <v>52</v>
      </c>
      <c r="AR49" s="2694">
        <v>98</v>
      </c>
      <c r="AS49" s="2692">
        <f t="shared" si="10"/>
        <v>0.53061224489795922</v>
      </c>
    </row>
    <row r="50" spans="1:45" s="1" customFormat="1" ht="15" thickBot="1">
      <c r="A50" s="167"/>
      <c r="B50" s="3577" t="s">
        <v>1105</v>
      </c>
      <c r="C50" s="1269">
        <v>35</v>
      </c>
      <c r="D50" s="2694">
        <v>92</v>
      </c>
      <c r="E50" s="2692">
        <f t="shared" si="0"/>
        <v>0.38043478260869568</v>
      </c>
      <c r="F50" s="2661"/>
      <c r="G50" s="1269">
        <v>33</v>
      </c>
      <c r="H50" s="2694">
        <v>92</v>
      </c>
      <c r="I50" s="2692">
        <f t="shared" si="1"/>
        <v>0.35869565217391303</v>
      </c>
      <c r="J50" s="2661"/>
      <c r="K50" s="1269">
        <v>33</v>
      </c>
      <c r="L50" s="2694">
        <v>89</v>
      </c>
      <c r="M50" s="2692">
        <f t="shared" si="2"/>
        <v>0.3707865168539326</v>
      </c>
      <c r="N50" s="2661"/>
      <c r="O50" s="1269">
        <v>37</v>
      </c>
      <c r="P50" s="2694">
        <v>92</v>
      </c>
      <c r="Q50" s="2692">
        <f t="shared" si="3"/>
        <v>0.40217391304347827</v>
      </c>
      <c r="R50" s="2661"/>
      <c r="S50" s="1269">
        <v>39</v>
      </c>
      <c r="T50" s="2694">
        <v>94</v>
      </c>
      <c r="U50" s="2692">
        <f t="shared" si="4"/>
        <v>0.41489361702127658</v>
      </c>
      <c r="V50" s="2661"/>
      <c r="W50" s="1269">
        <v>38</v>
      </c>
      <c r="X50" s="2694">
        <v>92</v>
      </c>
      <c r="Y50" s="2692">
        <f t="shared" si="5"/>
        <v>0.41304347826086957</v>
      </c>
      <c r="Z50" s="2661"/>
      <c r="AA50" s="1269">
        <v>43</v>
      </c>
      <c r="AB50" s="2694">
        <v>91</v>
      </c>
      <c r="AC50" s="2692">
        <f t="shared" si="11"/>
        <v>0.47252747252747251</v>
      </c>
      <c r="AD50" s="2661"/>
      <c r="AE50" s="1269">
        <v>42</v>
      </c>
      <c r="AF50" s="2694">
        <v>90</v>
      </c>
      <c r="AG50" s="2692">
        <f t="shared" si="7"/>
        <v>0.46666666666666667</v>
      </c>
      <c r="AH50" s="2661"/>
      <c r="AI50" s="1269">
        <v>41</v>
      </c>
      <c r="AJ50" s="2694">
        <v>93</v>
      </c>
      <c r="AK50" s="2692">
        <f t="shared" si="8"/>
        <v>0.44086021505376344</v>
      </c>
      <c r="AM50" s="1269">
        <v>43</v>
      </c>
      <c r="AN50" s="2694">
        <v>87</v>
      </c>
      <c r="AO50" s="2692">
        <f t="shared" si="9"/>
        <v>0.4942528735632184</v>
      </c>
      <c r="AQ50" s="1269">
        <v>43</v>
      </c>
      <c r="AR50" s="2694">
        <v>85</v>
      </c>
      <c r="AS50" s="2692">
        <f t="shared" si="10"/>
        <v>0.50588235294117645</v>
      </c>
    </row>
    <row r="51" spans="1:45" s="1" customFormat="1">
      <c r="A51" s="167"/>
      <c r="B51" s="2906" t="s">
        <v>16</v>
      </c>
      <c r="C51" s="1273">
        <f>SUM(C47:C50)</f>
        <v>137</v>
      </c>
      <c r="D51" s="2357">
        <f>SUM(D47:D50)</f>
        <v>307</v>
      </c>
      <c r="E51" s="2693">
        <f t="shared" si="0"/>
        <v>0.44625407166123776</v>
      </c>
      <c r="F51" s="2661"/>
      <c r="G51" s="1273">
        <v>134</v>
      </c>
      <c r="H51" s="2357">
        <f>SUM(H47:H50)</f>
        <v>302</v>
      </c>
      <c r="I51" s="2693">
        <f t="shared" si="1"/>
        <v>0.44370860927152317</v>
      </c>
      <c r="J51" s="2661"/>
      <c r="K51" s="1273">
        <v>131</v>
      </c>
      <c r="L51" s="2357">
        <f>SUM(L47:L50)</f>
        <v>298</v>
      </c>
      <c r="M51" s="2693">
        <f t="shared" si="2"/>
        <v>0.43959731543624159</v>
      </c>
      <c r="N51" s="2661"/>
      <c r="O51" s="1273">
        <v>137</v>
      </c>
      <c r="P51" s="2357">
        <f>SUM(P47:P50)</f>
        <v>299</v>
      </c>
      <c r="Q51" s="2693">
        <f t="shared" si="3"/>
        <v>0.45819397993311034</v>
      </c>
      <c r="R51" s="2661"/>
      <c r="S51" s="1273">
        <v>139</v>
      </c>
      <c r="T51" s="2357">
        <f>SUM(T47:T50)</f>
        <v>303</v>
      </c>
      <c r="U51" s="2693">
        <f t="shared" si="4"/>
        <v>0.45874587458745875</v>
      </c>
      <c r="V51" s="2661"/>
      <c r="W51" s="1273">
        <f>SUM(W47:W50)</f>
        <v>145</v>
      </c>
      <c r="X51" s="2357">
        <v>301</v>
      </c>
      <c r="Y51" s="2693">
        <f t="shared" si="5"/>
        <v>0.48172757475083056</v>
      </c>
      <c r="Z51" s="2661"/>
      <c r="AA51" s="1273">
        <f>SUM(AA47:AA50)</f>
        <v>149</v>
      </c>
      <c r="AB51" s="2357">
        <f>SUM(AB47:AB50)</f>
        <v>298</v>
      </c>
      <c r="AC51" s="2693">
        <f t="shared" si="11"/>
        <v>0.5</v>
      </c>
      <c r="AD51" s="2661"/>
      <c r="AE51" s="1273">
        <v>148</v>
      </c>
      <c r="AF51" s="2357">
        <f>SUM(AF47:AF50)</f>
        <v>303</v>
      </c>
      <c r="AG51" s="2693">
        <f t="shared" si="7"/>
        <v>0.48844884488448848</v>
      </c>
      <c r="AH51" s="2661"/>
      <c r="AI51" s="1273">
        <v>145</v>
      </c>
      <c r="AJ51" s="2357">
        <f>SUM(AJ47:AJ50)</f>
        <v>309</v>
      </c>
      <c r="AK51" s="2693">
        <f t="shared" si="8"/>
        <v>0.46925566343042069</v>
      </c>
      <c r="AM51" s="1273">
        <v>149</v>
      </c>
      <c r="AN51" s="2357">
        <f>SUM(AN47:AN50)</f>
        <v>297</v>
      </c>
      <c r="AO51" s="2693">
        <f t="shared" si="9"/>
        <v>0.50168350168350173</v>
      </c>
      <c r="AQ51" s="1273">
        <f>SUM(AQ47:AQ50)</f>
        <v>144</v>
      </c>
      <c r="AR51" s="2357">
        <f>SUM(AR47:AR50)</f>
        <v>289</v>
      </c>
      <c r="AS51" s="2693">
        <f t="shared" si="10"/>
        <v>0.4982698961937716</v>
      </c>
    </row>
    <row r="52" spans="1:45" s="1" customFormat="1" ht="15" customHeight="1">
      <c r="A52" s="167"/>
      <c r="B52" s="3579" t="s">
        <v>1024</v>
      </c>
      <c r="C52" s="2702">
        <f>SUM(C51,C46,C40)</f>
        <v>414</v>
      </c>
      <c r="D52" s="2703">
        <f>SUM(D51,D46,D40)</f>
        <v>789</v>
      </c>
      <c r="E52" s="2704">
        <f t="shared" si="0"/>
        <v>0.52471482889733845</v>
      </c>
      <c r="F52" s="2661"/>
      <c r="G52" s="2702">
        <v>405</v>
      </c>
      <c r="H52" s="2703">
        <f>SUM(H51,H46,H40)</f>
        <v>794</v>
      </c>
      <c r="I52" s="2704">
        <f t="shared" si="1"/>
        <v>0.51007556675062971</v>
      </c>
      <c r="J52" s="2661"/>
      <c r="K52" s="2702">
        <v>407</v>
      </c>
      <c r="L52" s="2703">
        <f>SUM(L51,L46,L40)</f>
        <v>791</v>
      </c>
      <c r="M52" s="2704">
        <f t="shared" si="2"/>
        <v>0.51453855878634636</v>
      </c>
      <c r="N52" s="2661"/>
      <c r="O52" s="2702">
        <v>450</v>
      </c>
      <c r="P52" s="2703">
        <f>SUM(P51,P46,P40)</f>
        <v>804</v>
      </c>
      <c r="Q52" s="2704">
        <f t="shared" si="3"/>
        <v>0.55970149253731338</v>
      </c>
      <c r="R52" s="2661"/>
      <c r="S52" s="2702">
        <v>461</v>
      </c>
      <c r="T52" s="2703">
        <f>SUM(T51,T46,T40)</f>
        <v>817</v>
      </c>
      <c r="U52" s="2704">
        <f t="shared" si="4"/>
        <v>0.56425948592411257</v>
      </c>
      <c r="V52" s="2661"/>
      <c r="W52" s="2702">
        <f>SUM(W40,W46,W51)</f>
        <v>477</v>
      </c>
      <c r="X52" s="2703">
        <v>813</v>
      </c>
      <c r="Y52" s="2704">
        <f t="shared" si="5"/>
        <v>0.58671586715867163</v>
      </c>
      <c r="Z52" s="2661"/>
      <c r="AA52" s="2702">
        <f>SUM(AA40,AA46,AA51)</f>
        <v>501</v>
      </c>
      <c r="AB52" s="2703">
        <f>SUM(AB40,AB46,AB51)</f>
        <v>810</v>
      </c>
      <c r="AC52" s="2704">
        <f t="shared" ref="AC52:AC83" si="12">AA52/AB52</f>
        <v>0.61851851851851847</v>
      </c>
      <c r="AD52" s="2661"/>
      <c r="AE52" s="2702">
        <v>492</v>
      </c>
      <c r="AF52" s="2703">
        <f>SUM(AF40,AF46,AF51)</f>
        <v>806</v>
      </c>
      <c r="AG52" s="2704">
        <f t="shared" si="7"/>
        <v>0.61042183622828783</v>
      </c>
      <c r="AH52" s="2661"/>
      <c r="AI52" s="2702">
        <v>475</v>
      </c>
      <c r="AJ52" s="2703">
        <f>SUM(AJ40,AJ46,AJ51)</f>
        <v>811</v>
      </c>
      <c r="AK52" s="2704">
        <f t="shared" si="8"/>
        <v>0.58569667077681875</v>
      </c>
      <c r="AM52" s="2702">
        <v>489</v>
      </c>
      <c r="AN52" s="2703">
        <f>SUM(AN40,AN46,AN51)</f>
        <v>790</v>
      </c>
      <c r="AO52" s="2704">
        <f t="shared" si="9"/>
        <v>0.61898734177215187</v>
      </c>
      <c r="AQ52" s="2702">
        <f>SUM(AQ40,AQ46,AQ51)</f>
        <v>492</v>
      </c>
      <c r="AR52" s="2703">
        <f>SUM(AR40,AR46,AR51)</f>
        <v>779</v>
      </c>
      <c r="AS52" s="2704">
        <f t="shared" si="10"/>
        <v>0.63157894736842102</v>
      </c>
    </row>
    <row r="53" spans="1:45" s="1" customFormat="1">
      <c r="A53" s="167"/>
      <c r="B53" s="3580" t="s">
        <v>1133</v>
      </c>
      <c r="C53" s="1274"/>
      <c r="D53" s="2705">
        <v>1</v>
      </c>
      <c r="E53" s="2698">
        <f t="shared" si="0"/>
        <v>0</v>
      </c>
      <c r="F53" s="2661"/>
      <c r="G53" s="1274"/>
      <c r="H53" s="2705">
        <v>1</v>
      </c>
      <c r="I53" s="2698">
        <f t="shared" si="1"/>
        <v>0</v>
      </c>
      <c r="J53" s="2661"/>
      <c r="K53" s="1274">
        <v>0</v>
      </c>
      <c r="L53" s="2705">
        <v>2</v>
      </c>
      <c r="M53" s="2698">
        <f t="shared" si="2"/>
        <v>0</v>
      </c>
      <c r="N53" s="2661"/>
      <c r="O53" s="1274">
        <v>1</v>
      </c>
      <c r="P53" s="2705">
        <v>2</v>
      </c>
      <c r="Q53" s="2698">
        <f t="shared" si="3"/>
        <v>0.5</v>
      </c>
      <c r="R53" s="2661"/>
      <c r="S53" s="1274">
        <v>1</v>
      </c>
      <c r="T53" s="2705">
        <v>2</v>
      </c>
      <c r="U53" s="2698">
        <f t="shared" si="4"/>
        <v>0.5</v>
      </c>
      <c r="V53" s="2661"/>
      <c r="W53" s="1274">
        <v>1</v>
      </c>
      <c r="X53" s="2705">
        <v>5</v>
      </c>
      <c r="Y53" s="2698">
        <f t="shared" si="5"/>
        <v>0.2</v>
      </c>
      <c r="Z53" s="2661"/>
      <c r="AA53" s="1274">
        <v>0</v>
      </c>
      <c r="AB53" s="2705">
        <v>5</v>
      </c>
      <c r="AC53" s="2698">
        <f t="shared" si="12"/>
        <v>0</v>
      </c>
      <c r="AD53" s="2661"/>
      <c r="AE53" s="1274">
        <v>1</v>
      </c>
      <c r="AF53" s="2705">
        <v>6</v>
      </c>
      <c r="AG53" s="2698">
        <f t="shared" si="7"/>
        <v>0.16666666666666666</v>
      </c>
      <c r="AH53" s="2661"/>
      <c r="AI53" s="1274">
        <v>2</v>
      </c>
      <c r="AJ53" s="2705">
        <v>6</v>
      </c>
      <c r="AK53" s="2698">
        <f t="shared" si="8"/>
        <v>0.33333333333333331</v>
      </c>
      <c r="AM53" s="1274">
        <v>3</v>
      </c>
      <c r="AN53" s="2705">
        <v>6</v>
      </c>
      <c r="AO53" s="2698">
        <f t="shared" si="9"/>
        <v>0.5</v>
      </c>
      <c r="AQ53" s="1274">
        <v>3</v>
      </c>
      <c r="AR53" s="2705">
        <v>6</v>
      </c>
      <c r="AS53" s="2698">
        <f t="shared" si="10"/>
        <v>0.5</v>
      </c>
    </row>
    <row r="54" spans="1:45" s="1" customFormat="1">
      <c r="A54" s="167"/>
      <c r="B54" s="3581" t="s">
        <v>1134</v>
      </c>
      <c r="C54" s="1269">
        <v>2</v>
      </c>
      <c r="D54" s="2705">
        <v>1</v>
      </c>
      <c r="E54" s="2692">
        <f t="shared" si="0"/>
        <v>2</v>
      </c>
      <c r="F54" s="2661"/>
      <c r="G54" s="1269">
        <v>4</v>
      </c>
      <c r="H54" s="2705">
        <v>2</v>
      </c>
      <c r="I54" s="2692">
        <f t="shared" si="1"/>
        <v>2</v>
      </c>
      <c r="J54" s="2661"/>
      <c r="K54" s="1269">
        <v>3</v>
      </c>
      <c r="L54" s="2705">
        <v>3</v>
      </c>
      <c r="M54" s="2692">
        <f t="shared" si="2"/>
        <v>1</v>
      </c>
      <c r="N54" s="2661"/>
      <c r="O54" s="1269">
        <v>7</v>
      </c>
      <c r="P54" s="2705">
        <v>4</v>
      </c>
      <c r="Q54" s="2692">
        <f t="shared" si="3"/>
        <v>1.75</v>
      </c>
      <c r="R54" s="2661"/>
      <c r="S54" s="1269">
        <v>4</v>
      </c>
      <c r="T54" s="2705">
        <v>6</v>
      </c>
      <c r="U54" s="2692">
        <f t="shared" si="4"/>
        <v>0.66666666666666663</v>
      </c>
      <c r="V54" s="2661"/>
      <c r="W54" s="1269">
        <v>7</v>
      </c>
      <c r="X54" s="2705">
        <v>8</v>
      </c>
      <c r="Y54" s="2692">
        <f t="shared" si="5"/>
        <v>0.875</v>
      </c>
      <c r="Z54" s="2661"/>
      <c r="AA54" s="1269">
        <v>9</v>
      </c>
      <c r="AB54" s="2705">
        <v>8</v>
      </c>
      <c r="AC54" s="2692">
        <f t="shared" si="12"/>
        <v>1.125</v>
      </c>
      <c r="AD54" s="2661"/>
      <c r="AE54" s="1269">
        <v>10</v>
      </c>
      <c r="AF54" s="2705">
        <v>9</v>
      </c>
      <c r="AG54" s="2692">
        <f t="shared" si="7"/>
        <v>1.1111111111111112</v>
      </c>
      <c r="AH54" s="2661"/>
      <c r="AI54" s="1269">
        <v>8</v>
      </c>
      <c r="AJ54" s="2705">
        <v>11</v>
      </c>
      <c r="AK54" s="2692">
        <f t="shared" si="8"/>
        <v>0.72727272727272729</v>
      </c>
      <c r="AM54" s="1269">
        <v>8</v>
      </c>
      <c r="AN54" s="2705">
        <v>12</v>
      </c>
      <c r="AO54" s="2692">
        <f t="shared" si="9"/>
        <v>0.66666666666666663</v>
      </c>
      <c r="AQ54" s="1269">
        <v>9</v>
      </c>
      <c r="AR54" s="2705">
        <v>12</v>
      </c>
      <c r="AS54" s="2692">
        <f t="shared" si="10"/>
        <v>0.75</v>
      </c>
    </row>
    <row r="55" spans="1:45" s="1" customFormat="1" ht="15" thickBot="1">
      <c r="A55" s="167"/>
      <c r="B55" s="3582" t="s">
        <v>1135</v>
      </c>
      <c r="C55" s="1269"/>
      <c r="D55" s="2705">
        <v>1</v>
      </c>
      <c r="E55" s="2692">
        <f t="shared" si="0"/>
        <v>0</v>
      </c>
      <c r="F55" s="2661"/>
      <c r="G55" s="1269"/>
      <c r="H55" s="2705">
        <v>1</v>
      </c>
      <c r="I55" s="2692">
        <f t="shared" si="1"/>
        <v>0</v>
      </c>
      <c r="J55" s="2661"/>
      <c r="K55" s="1269">
        <v>1</v>
      </c>
      <c r="L55" s="2705">
        <v>2</v>
      </c>
      <c r="M55" s="2692">
        <f t="shared" si="2"/>
        <v>0.5</v>
      </c>
      <c r="N55" s="2661"/>
      <c r="O55" s="1269">
        <v>1</v>
      </c>
      <c r="P55" s="2705">
        <v>2</v>
      </c>
      <c r="Q55" s="2692">
        <f t="shared" si="3"/>
        <v>0.5</v>
      </c>
      <c r="R55" s="2661"/>
      <c r="S55" s="1269">
        <v>1</v>
      </c>
      <c r="T55" s="2705">
        <v>2</v>
      </c>
      <c r="U55" s="2692">
        <f t="shared" si="4"/>
        <v>0.5</v>
      </c>
      <c r="V55" s="2661"/>
      <c r="W55" s="1269">
        <v>0</v>
      </c>
      <c r="X55" s="2705">
        <v>2</v>
      </c>
      <c r="Y55" s="2692">
        <f t="shared" si="5"/>
        <v>0</v>
      </c>
      <c r="Z55" s="2661"/>
      <c r="AA55" s="1269">
        <v>0</v>
      </c>
      <c r="AB55" s="2705">
        <v>3</v>
      </c>
      <c r="AC55" s="2692">
        <f t="shared" si="12"/>
        <v>0</v>
      </c>
      <c r="AD55" s="2661"/>
      <c r="AE55" s="1269">
        <v>2</v>
      </c>
      <c r="AF55" s="2705">
        <v>4</v>
      </c>
      <c r="AG55" s="2692">
        <f t="shared" si="7"/>
        <v>0.5</v>
      </c>
      <c r="AH55" s="2661"/>
      <c r="AI55" s="1269">
        <v>4</v>
      </c>
      <c r="AJ55" s="2705">
        <v>4</v>
      </c>
      <c r="AK55" s="2692">
        <f t="shared" si="8"/>
        <v>1</v>
      </c>
      <c r="AM55" s="1269">
        <v>5</v>
      </c>
      <c r="AN55" s="2705">
        <v>5</v>
      </c>
      <c r="AO55" s="2692">
        <f t="shared" si="9"/>
        <v>1</v>
      </c>
      <c r="AQ55" s="1269">
        <v>4</v>
      </c>
      <c r="AR55" s="2705">
        <v>4</v>
      </c>
      <c r="AS55" s="2692">
        <f t="shared" si="10"/>
        <v>1</v>
      </c>
    </row>
    <row r="56" spans="1:45" s="1" customFormat="1" ht="15" thickBot="1">
      <c r="A56" s="167"/>
      <c r="B56" s="2905" t="s">
        <v>4</v>
      </c>
      <c r="C56" s="1272">
        <f>SUM(C53:C55)</f>
        <v>2</v>
      </c>
      <c r="D56" s="1268">
        <f>SUM(D53:D55)</f>
        <v>3</v>
      </c>
      <c r="E56" s="2693">
        <f t="shared" si="0"/>
        <v>0.66666666666666663</v>
      </c>
      <c r="F56" s="2661"/>
      <c r="G56" s="1272">
        <v>4</v>
      </c>
      <c r="H56" s="1268">
        <f>SUM(H53:H55)</f>
        <v>4</v>
      </c>
      <c r="I56" s="2693">
        <f t="shared" si="1"/>
        <v>1</v>
      </c>
      <c r="J56" s="2661"/>
      <c r="K56" s="1272">
        <v>4</v>
      </c>
      <c r="L56" s="1268">
        <f>SUM(L53:L55)</f>
        <v>7</v>
      </c>
      <c r="M56" s="2693">
        <f t="shared" si="2"/>
        <v>0.5714285714285714</v>
      </c>
      <c r="N56" s="2661"/>
      <c r="O56" s="1272">
        <v>9</v>
      </c>
      <c r="P56" s="1268">
        <f>SUM(P53:P55)</f>
        <v>8</v>
      </c>
      <c r="Q56" s="2693">
        <f t="shared" si="3"/>
        <v>1.125</v>
      </c>
      <c r="R56" s="2661"/>
      <c r="S56" s="1272">
        <v>6</v>
      </c>
      <c r="T56" s="1268">
        <f>SUM(T53:T55)</f>
        <v>10</v>
      </c>
      <c r="U56" s="2693">
        <f t="shared" si="4"/>
        <v>0.6</v>
      </c>
      <c r="V56" s="2661"/>
      <c r="W56" s="1272">
        <f>SUM(W53:W55)</f>
        <v>8</v>
      </c>
      <c r="X56" s="1268">
        <v>15</v>
      </c>
      <c r="Y56" s="2693">
        <f t="shared" si="5"/>
        <v>0.53333333333333333</v>
      </c>
      <c r="Z56" s="2661"/>
      <c r="AA56" s="1272">
        <f>SUM(AA53:AA55)</f>
        <v>9</v>
      </c>
      <c r="AB56" s="1268">
        <f>SUM(AB53:AB55)</f>
        <v>16</v>
      </c>
      <c r="AC56" s="2693">
        <f t="shared" si="12"/>
        <v>0.5625</v>
      </c>
      <c r="AD56" s="2661"/>
      <c r="AE56" s="1272">
        <v>13</v>
      </c>
      <c r="AF56" s="1268">
        <f>SUM(AF53:AF55)</f>
        <v>19</v>
      </c>
      <c r="AG56" s="2693">
        <f t="shared" si="7"/>
        <v>0.68421052631578949</v>
      </c>
      <c r="AH56" s="2661"/>
      <c r="AI56" s="1272">
        <v>14</v>
      </c>
      <c r="AJ56" s="1268">
        <f>SUM(AJ53:AJ55)</f>
        <v>21</v>
      </c>
      <c r="AK56" s="2693">
        <f t="shared" si="8"/>
        <v>0.66666666666666663</v>
      </c>
      <c r="AM56" s="1272">
        <v>16</v>
      </c>
      <c r="AN56" s="1268">
        <f>SUM(AN53:AN55)</f>
        <v>23</v>
      </c>
      <c r="AO56" s="2693">
        <f t="shared" si="9"/>
        <v>0.69565217391304346</v>
      </c>
      <c r="AQ56" s="1272">
        <f>SUM(AQ53:AQ55)</f>
        <v>16</v>
      </c>
      <c r="AR56" s="1268">
        <f>SUM(AR53:AR55)</f>
        <v>22</v>
      </c>
      <c r="AS56" s="2693">
        <f t="shared" si="10"/>
        <v>0.72727272727272729</v>
      </c>
    </row>
    <row r="57" spans="1:45" s="1" customFormat="1">
      <c r="A57" s="167"/>
      <c r="B57" s="3576" t="s">
        <v>1136</v>
      </c>
      <c r="C57" s="1269">
        <v>1</v>
      </c>
      <c r="D57" s="2705">
        <v>1</v>
      </c>
      <c r="E57" s="2692">
        <f t="shared" si="0"/>
        <v>1</v>
      </c>
      <c r="F57" s="2661"/>
      <c r="G57" s="1269">
        <v>4</v>
      </c>
      <c r="H57" s="2705">
        <v>2</v>
      </c>
      <c r="I57" s="2692">
        <f t="shared" si="1"/>
        <v>2</v>
      </c>
      <c r="J57" s="2661"/>
      <c r="K57" s="1269">
        <v>4</v>
      </c>
      <c r="L57" s="2705">
        <v>2</v>
      </c>
      <c r="M57" s="2692">
        <f t="shared" si="2"/>
        <v>2</v>
      </c>
      <c r="N57" s="2661"/>
      <c r="O57" s="1269">
        <v>7</v>
      </c>
      <c r="P57" s="2705">
        <v>6</v>
      </c>
      <c r="Q57" s="2692">
        <f t="shared" si="3"/>
        <v>1.1666666666666667</v>
      </c>
      <c r="R57" s="2661"/>
      <c r="S57" s="1269">
        <v>8</v>
      </c>
      <c r="T57" s="2705">
        <v>8</v>
      </c>
      <c r="U57" s="2692">
        <f t="shared" si="4"/>
        <v>1</v>
      </c>
      <c r="V57" s="2661"/>
      <c r="W57" s="1269">
        <v>5</v>
      </c>
      <c r="X57" s="2705">
        <v>7</v>
      </c>
      <c r="Y57" s="2692">
        <f t="shared" si="5"/>
        <v>0.7142857142857143</v>
      </c>
      <c r="Z57" s="2661"/>
      <c r="AA57" s="1269">
        <v>6</v>
      </c>
      <c r="AB57" s="2705">
        <v>8</v>
      </c>
      <c r="AC57" s="2692">
        <f t="shared" si="12"/>
        <v>0.75</v>
      </c>
      <c r="AD57" s="2661"/>
      <c r="AE57" s="1269">
        <v>5</v>
      </c>
      <c r="AF57" s="2705">
        <v>9</v>
      </c>
      <c r="AG57" s="2692">
        <f t="shared" si="7"/>
        <v>0.55555555555555558</v>
      </c>
      <c r="AH57" s="2661"/>
      <c r="AI57" s="1269">
        <v>8</v>
      </c>
      <c r="AJ57" s="2705">
        <v>9</v>
      </c>
      <c r="AK57" s="2692">
        <f t="shared" si="8"/>
        <v>0.88888888888888884</v>
      </c>
      <c r="AM57" s="1269">
        <v>9</v>
      </c>
      <c r="AN57" s="2705">
        <v>11</v>
      </c>
      <c r="AO57" s="2692">
        <f t="shared" si="9"/>
        <v>0.81818181818181823</v>
      </c>
      <c r="AQ57" s="1269">
        <v>9</v>
      </c>
      <c r="AR57" s="2705">
        <v>11</v>
      </c>
      <c r="AS57" s="2692">
        <f t="shared" si="10"/>
        <v>0.81818181818181823</v>
      </c>
    </row>
    <row r="58" spans="1:45" s="1" customFormat="1">
      <c r="A58" s="167"/>
      <c r="B58" s="3576" t="s">
        <v>1137</v>
      </c>
      <c r="C58" s="1269">
        <v>1</v>
      </c>
      <c r="D58" s="2705">
        <v>2</v>
      </c>
      <c r="E58" s="2692">
        <f t="shared" si="0"/>
        <v>0.5</v>
      </c>
      <c r="F58" s="2661"/>
      <c r="G58" s="1269">
        <v>2</v>
      </c>
      <c r="H58" s="2705">
        <v>2</v>
      </c>
      <c r="I58" s="2692">
        <f t="shared" si="1"/>
        <v>1</v>
      </c>
      <c r="J58" s="2661"/>
      <c r="K58" s="1269">
        <v>3</v>
      </c>
      <c r="L58" s="2705">
        <v>4</v>
      </c>
      <c r="M58" s="2692">
        <f t="shared" si="2"/>
        <v>0.75</v>
      </c>
      <c r="N58" s="2661"/>
      <c r="O58" s="1269">
        <v>4</v>
      </c>
      <c r="P58" s="2705">
        <v>4</v>
      </c>
      <c r="Q58" s="2692">
        <f t="shared" si="3"/>
        <v>1</v>
      </c>
      <c r="R58" s="2661"/>
      <c r="S58" s="1269">
        <v>5</v>
      </c>
      <c r="T58" s="2705">
        <v>2</v>
      </c>
      <c r="U58" s="2692">
        <f t="shared" si="4"/>
        <v>2.5</v>
      </c>
      <c r="V58" s="2661"/>
      <c r="W58" s="1269">
        <v>5</v>
      </c>
      <c r="X58" s="2705">
        <v>4</v>
      </c>
      <c r="Y58" s="2692">
        <f t="shared" si="5"/>
        <v>1.25</v>
      </c>
      <c r="Z58" s="2661"/>
      <c r="AA58" s="1269">
        <v>4</v>
      </c>
      <c r="AB58" s="2705">
        <v>6</v>
      </c>
      <c r="AC58" s="2692">
        <f t="shared" si="12"/>
        <v>0.66666666666666663</v>
      </c>
      <c r="AD58" s="2661"/>
      <c r="AE58" s="1269">
        <v>5</v>
      </c>
      <c r="AF58" s="2705">
        <v>7</v>
      </c>
      <c r="AG58" s="2692">
        <f t="shared" si="7"/>
        <v>0.7142857142857143</v>
      </c>
      <c r="AH58" s="2661"/>
      <c r="AI58" s="1269">
        <v>5</v>
      </c>
      <c r="AJ58" s="2705">
        <v>8</v>
      </c>
      <c r="AK58" s="2692">
        <f t="shared" si="8"/>
        <v>0.625</v>
      </c>
      <c r="AM58" s="1269">
        <v>5</v>
      </c>
      <c r="AN58" s="2705">
        <v>6</v>
      </c>
      <c r="AO58" s="2692">
        <f t="shared" si="9"/>
        <v>0.83333333333333337</v>
      </c>
      <c r="AQ58" s="1269">
        <v>6</v>
      </c>
      <c r="AR58" s="2705">
        <v>6</v>
      </c>
      <c r="AS58" s="2692">
        <f t="shared" si="10"/>
        <v>1</v>
      </c>
    </row>
    <row r="59" spans="1:45" s="1" customFormat="1" ht="15" thickBot="1">
      <c r="A59" s="167"/>
      <c r="B59" s="3576" t="s">
        <v>1128</v>
      </c>
      <c r="C59" s="1269"/>
      <c r="D59" s="2705">
        <v>2</v>
      </c>
      <c r="E59" s="2692">
        <f t="shared" si="0"/>
        <v>0</v>
      </c>
      <c r="F59" s="2661"/>
      <c r="G59" s="1269">
        <v>1</v>
      </c>
      <c r="H59" s="2705">
        <v>2</v>
      </c>
      <c r="I59" s="2692">
        <f t="shared" si="1"/>
        <v>0.5</v>
      </c>
      <c r="J59" s="2661"/>
      <c r="K59" s="1269">
        <v>1</v>
      </c>
      <c r="L59" s="2705">
        <v>3</v>
      </c>
      <c r="M59" s="2692">
        <f t="shared" si="2"/>
        <v>0.33333333333333331</v>
      </c>
      <c r="N59" s="2661"/>
      <c r="O59" s="1269">
        <v>6</v>
      </c>
      <c r="P59" s="2705">
        <v>3</v>
      </c>
      <c r="Q59" s="2692">
        <f t="shared" si="3"/>
        <v>2</v>
      </c>
      <c r="R59" s="2661"/>
      <c r="S59" s="1269">
        <v>2</v>
      </c>
      <c r="T59" s="2705">
        <v>3</v>
      </c>
      <c r="U59" s="2692">
        <f t="shared" si="4"/>
        <v>0.66666666666666663</v>
      </c>
      <c r="V59" s="2661"/>
      <c r="W59" s="1269">
        <v>5</v>
      </c>
      <c r="X59" s="2705">
        <v>3</v>
      </c>
      <c r="Y59" s="2692">
        <f t="shared" si="5"/>
        <v>1.6666666666666667</v>
      </c>
      <c r="Z59" s="2661"/>
      <c r="AA59" s="1269">
        <v>4</v>
      </c>
      <c r="AB59" s="2705">
        <v>4</v>
      </c>
      <c r="AC59" s="2692">
        <f t="shared" si="12"/>
        <v>1</v>
      </c>
      <c r="AD59" s="2661"/>
      <c r="AE59" s="1269">
        <v>7</v>
      </c>
      <c r="AF59" s="2705">
        <v>4</v>
      </c>
      <c r="AG59" s="2692">
        <f t="shared" si="7"/>
        <v>1.75</v>
      </c>
      <c r="AH59" s="2661"/>
      <c r="AI59" s="1269">
        <v>6</v>
      </c>
      <c r="AJ59" s="2705">
        <v>3</v>
      </c>
      <c r="AK59" s="2692">
        <f t="shared" si="8"/>
        <v>2</v>
      </c>
      <c r="AM59" s="1269">
        <v>7</v>
      </c>
      <c r="AN59" s="2705">
        <v>4</v>
      </c>
      <c r="AO59" s="2692">
        <f t="shared" si="9"/>
        <v>1.75</v>
      </c>
      <c r="AQ59" s="1269">
        <v>8</v>
      </c>
      <c r="AR59" s="2705">
        <v>5</v>
      </c>
      <c r="AS59" s="2692">
        <f t="shared" si="10"/>
        <v>1.6</v>
      </c>
    </row>
    <row r="60" spans="1:45" s="1" customFormat="1" ht="15" thickBot="1">
      <c r="A60" s="167"/>
      <c r="B60" s="2905" t="s">
        <v>41</v>
      </c>
      <c r="C60" s="1272">
        <f>SUM(C57:C59)</f>
        <v>2</v>
      </c>
      <c r="D60" s="1268">
        <f>SUM(D57:D59)</f>
        <v>5</v>
      </c>
      <c r="E60" s="2693">
        <f t="shared" si="0"/>
        <v>0.4</v>
      </c>
      <c r="F60" s="2661"/>
      <c r="G60" s="1272">
        <v>7</v>
      </c>
      <c r="H60" s="1268">
        <f>SUM(H57:H59)</f>
        <v>6</v>
      </c>
      <c r="I60" s="2693">
        <f t="shared" si="1"/>
        <v>1.1666666666666667</v>
      </c>
      <c r="J60" s="2661"/>
      <c r="K60" s="1272">
        <v>8</v>
      </c>
      <c r="L60" s="1268">
        <f>SUM(L57:L59)</f>
        <v>9</v>
      </c>
      <c r="M60" s="2693">
        <f t="shared" si="2"/>
        <v>0.88888888888888884</v>
      </c>
      <c r="N60" s="2661"/>
      <c r="O60" s="1272">
        <v>17</v>
      </c>
      <c r="P60" s="1268">
        <f>SUM(P57:P59)</f>
        <v>13</v>
      </c>
      <c r="Q60" s="2693">
        <f t="shared" si="3"/>
        <v>1.3076923076923077</v>
      </c>
      <c r="R60" s="2661"/>
      <c r="S60" s="1272">
        <v>15</v>
      </c>
      <c r="T60" s="1268">
        <f>SUM(T57:T59)</f>
        <v>13</v>
      </c>
      <c r="U60" s="2693">
        <f t="shared" si="4"/>
        <v>1.1538461538461537</v>
      </c>
      <c r="V60" s="2661"/>
      <c r="W60" s="1272">
        <f>SUM(W57:W59)</f>
        <v>15</v>
      </c>
      <c r="X60" s="1268">
        <v>14</v>
      </c>
      <c r="Y60" s="2693">
        <f t="shared" si="5"/>
        <v>1.0714285714285714</v>
      </c>
      <c r="Z60" s="2661"/>
      <c r="AA60" s="1272">
        <f>SUM(AA57:AA59)</f>
        <v>14</v>
      </c>
      <c r="AB60" s="1268">
        <f>SUM(AB57:AB59)</f>
        <v>18</v>
      </c>
      <c r="AC60" s="2693">
        <f t="shared" si="12"/>
        <v>0.77777777777777779</v>
      </c>
      <c r="AD60" s="2661"/>
      <c r="AE60" s="1272">
        <v>17</v>
      </c>
      <c r="AF60" s="1268">
        <f>SUM(AF57:AF59)</f>
        <v>20</v>
      </c>
      <c r="AG60" s="2693">
        <f t="shared" si="7"/>
        <v>0.85</v>
      </c>
      <c r="AH60" s="2661"/>
      <c r="AI60" s="1272">
        <v>19</v>
      </c>
      <c r="AJ60" s="1268">
        <f>SUM(AJ57:AJ59)</f>
        <v>20</v>
      </c>
      <c r="AK60" s="2693">
        <f t="shared" si="8"/>
        <v>0.95</v>
      </c>
      <c r="AM60" s="1272">
        <v>21</v>
      </c>
      <c r="AN60" s="1268">
        <f>SUM(AN57:AN59)</f>
        <v>21</v>
      </c>
      <c r="AO60" s="2693">
        <f t="shared" si="9"/>
        <v>1</v>
      </c>
      <c r="AQ60" s="1272">
        <f>SUM(AQ57:AQ59)</f>
        <v>23</v>
      </c>
      <c r="AR60" s="1268">
        <f>SUM(AR57:AR59)</f>
        <v>22</v>
      </c>
      <c r="AS60" s="2693">
        <f t="shared" si="10"/>
        <v>1.0454545454545454</v>
      </c>
    </row>
    <row r="61" spans="1:45" s="1" customFormat="1">
      <c r="A61" s="167"/>
      <c r="B61" s="3581" t="s">
        <v>1138</v>
      </c>
      <c r="C61" s="1269">
        <v>0</v>
      </c>
      <c r="D61" s="2705"/>
      <c r="E61" s="2692"/>
      <c r="F61" s="2661"/>
      <c r="G61" s="1269">
        <v>0</v>
      </c>
      <c r="H61" s="2705"/>
      <c r="I61" s="2692"/>
      <c r="J61" s="2661"/>
      <c r="K61" s="1269">
        <v>0</v>
      </c>
      <c r="L61" s="2705">
        <v>1</v>
      </c>
      <c r="M61" s="2692"/>
      <c r="N61" s="2661"/>
      <c r="O61" s="1269">
        <v>1</v>
      </c>
      <c r="P61" s="2705">
        <v>1</v>
      </c>
      <c r="Q61" s="2692"/>
      <c r="R61" s="2661"/>
      <c r="S61" s="1269">
        <v>1</v>
      </c>
      <c r="T61" s="2705">
        <v>2</v>
      </c>
      <c r="U61" s="2692">
        <f t="shared" si="4"/>
        <v>0.5</v>
      </c>
      <c r="V61" s="2661"/>
      <c r="W61" s="1269">
        <v>2</v>
      </c>
      <c r="X61" s="2705">
        <v>1</v>
      </c>
      <c r="Y61" s="2692">
        <f t="shared" si="5"/>
        <v>2</v>
      </c>
      <c r="Z61" s="2661"/>
      <c r="AA61" s="1269">
        <v>2</v>
      </c>
      <c r="AB61" s="2705">
        <v>6</v>
      </c>
      <c r="AC61" s="2692">
        <f t="shared" si="12"/>
        <v>0.33333333333333331</v>
      </c>
      <c r="AD61" s="2661"/>
      <c r="AE61" s="1269">
        <v>4</v>
      </c>
      <c r="AF61" s="2705">
        <v>9</v>
      </c>
      <c r="AG61" s="2692">
        <f t="shared" si="7"/>
        <v>0.44444444444444442</v>
      </c>
      <c r="AH61" s="2661"/>
      <c r="AI61" s="1269">
        <v>3</v>
      </c>
      <c r="AJ61" s="2705">
        <v>9</v>
      </c>
      <c r="AK61" s="2692">
        <f t="shared" si="8"/>
        <v>0.33333333333333331</v>
      </c>
      <c r="AM61" s="1269">
        <v>4</v>
      </c>
      <c r="AN61" s="2705">
        <v>9</v>
      </c>
      <c r="AO61" s="2692">
        <f t="shared" si="9"/>
        <v>0.44444444444444442</v>
      </c>
      <c r="AQ61" s="1269">
        <v>4</v>
      </c>
      <c r="AR61" s="2705">
        <v>10</v>
      </c>
      <c r="AS61" s="2692">
        <f t="shared" si="10"/>
        <v>0.4</v>
      </c>
    </row>
    <row r="62" spans="1:45" s="1" customFormat="1">
      <c r="A62" s="167"/>
      <c r="B62" s="3581" t="s">
        <v>1139</v>
      </c>
      <c r="C62" s="1269"/>
      <c r="D62" s="2705"/>
      <c r="E62" s="2692"/>
      <c r="F62" s="2661"/>
      <c r="G62" s="1269"/>
      <c r="H62" s="2705"/>
      <c r="I62" s="2692"/>
      <c r="J62" s="2661"/>
      <c r="K62" s="1269">
        <v>0</v>
      </c>
      <c r="L62" s="2705">
        <v>1</v>
      </c>
      <c r="M62" s="2692"/>
      <c r="N62" s="2661"/>
      <c r="O62" s="1269">
        <v>0</v>
      </c>
      <c r="P62" s="2705">
        <v>1</v>
      </c>
      <c r="Q62" s="2692"/>
      <c r="R62" s="2661"/>
      <c r="S62" s="1269">
        <v>1</v>
      </c>
      <c r="T62" s="2705">
        <v>3</v>
      </c>
      <c r="U62" s="2692">
        <f t="shared" si="4"/>
        <v>0.33333333333333331</v>
      </c>
      <c r="V62" s="2661"/>
      <c r="W62" s="1269">
        <v>2</v>
      </c>
      <c r="X62" s="2705">
        <v>2</v>
      </c>
      <c r="Y62" s="2692">
        <f t="shared" si="5"/>
        <v>1</v>
      </c>
      <c r="Z62" s="2661"/>
      <c r="AA62" s="1269">
        <v>3</v>
      </c>
      <c r="AB62" s="2705">
        <v>3</v>
      </c>
      <c r="AC62" s="2692">
        <f t="shared" si="12"/>
        <v>1</v>
      </c>
      <c r="AD62" s="2661"/>
      <c r="AE62" s="1269">
        <v>4</v>
      </c>
      <c r="AF62" s="2705">
        <v>4</v>
      </c>
      <c r="AG62" s="2692">
        <f t="shared" si="7"/>
        <v>1</v>
      </c>
      <c r="AH62" s="2661"/>
      <c r="AI62" s="1269">
        <v>5</v>
      </c>
      <c r="AJ62" s="2705">
        <v>7</v>
      </c>
      <c r="AK62" s="2692">
        <f t="shared" si="8"/>
        <v>0.7142857142857143</v>
      </c>
      <c r="AM62" s="1269">
        <v>5</v>
      </c>
      <c r="AN62" s="2705">
        <v>5</v>
      </c>
      <c r="AO62" s="2692">
        <f t="shared" si="9"/>
        <v>1</v>
      </c>
      <c r="AQ62" s="1269">
        <v>5</v>
      </c>
      <c r="AR62" s="2705">
        <v>5</v>
      </c>
      <c r="AS62" s="2692">
        <f t="shared" si="10"/>
        <v>1</v>
      </c>
    </row>
    <row r="63" spans="1:45" s="1" customFormat="1" ht="15" thickBot="1">
      <c r="A63" s="167"/>
      <c r="B63" s="3582" t="s">
        <v>1140</v>
      </c>
      <c r="C63" s="1269"/>
      <c r="D63" s="2705">
        <v>2</v>
      </c>
      <c r="E63" s="2692">
        <f t="shared" si="0"/>
        <v>0</v>
      </c>
      <c r="F63" s="2661"/>
      <c r="G63" s="1269"/>
      <c r="H63" s="2705">
        <v>3</v>
      </c>
      <c r="I63" s="2692">
        <f t="shared" si="1"/>
        <v>0</v>
      </c>
      <c r="J63" s="2661"/>
      <c r="K63" s="1269">
        <v>1</v>
      </c>
      <c r="L63" s="2705">
        <v>4</v>
      </c>
      <c r="M63" s="2692">
        <f t="shared" si="2"/>
        <v>0.25</v>
      </c>
      <c r="N63" s="2661"/>
      <c r="O63" s="1269">
        <v>4</v>
      </c>
      <c r="P63" s="2705">
        <v>5</v>
      </c>
      <c r="Q63" s="2692">
        <f t="shared" si="3"/>
        <v>0.8</v>
      </c>
      <c r="R63" s="2661"/>
      <c r="S63" s="1269">
        <v>5</v>
      </c>
      <c r="T63" s="2705">
        <v>8</v>
      </c>
      <c r="U63" s="2692">
        <f t="shared" si="4"/>
        <v>0.625</v>
      </c>
      <c r="V63" s="2661"/>
      <c r="W63" s="1269">
        <v>7</v>
      </c>
      <c r="X63" s="2705">
        <v>10</v>
      </c>
      <c r="Y63" s="2692">
        <f t="shared" si="5"/>
        <v>0.7</v>
      </c>
      <c r="Z63" s="2661"/>
      <c r="AA63" s="1269">
        <v>9</v>
      </c>
      <c r="AB63" s="2705">
        <v>12</v>
      </c>
      <c r="AC63" s="2692">
        <f t="shared" si="12"/>
        <v>0.75</v>
      </c>
      <c r="AD63" s="2661"/>
      <c r="AE63" s="1269">
        <v>13</v>
      </c>
      <c r="AF63" s="2705">
        <v>14</v>
      </c>
      <c r="AG63" s="2692">
        <f t="shared" si="7"/>
        <v>0.9285714285714286</v>
      </c>
      <c r="AH63" s="2661"/>
      <c r="AI63" s="1269">
        <v>10</v>
      </c>
      <c r="AJ63" s="2705">
        <v>14</v>
      </c>
      <c r="AK63" s="2692">
        <f t="shared" si="8"/>
        <v>0.7142857142857143</v>
      </c>
      <c r="AM63" s="1269">
        <v>13</v>
      </c>
      <c r="AN63" s="2705">
        <v>16</v>
      </c>
      <c r="AO63" s="2692">
        <f t="shared" si="9"/>
        <v>0.8125</v>
      </c>
      <c r="AQ63" s="1269">
        <v>13</v>
      </c>
      <c r="AR63" s="2705">
        <v>16</v>
      </c>
      <c r="AS63" s="2692">
        <f t="shared" si="10"/>
        <v>0.8125</v>
      </c>
    </row>
    <row r="64" spans="1:45" s="1" customFormat="1">
      <c r="A64" s="167"/>
      <c r="B64" s="2906" t="s">
        <v>16</v>
      </c>
      <c r="C64" s="1275">
        <f>SUM(C61:C63)</f>
        <v>0</v>
      </c>
      <c r="D64" s="2357">
        <f>SUM(D61:D63)</f>
        <v>2</v>
      </c>
      <c r="E64" s="2693">
        <f t="shared" si="0"/>
        <v>0</v>
      </c>
      <c r="F64" s="2661"/>
      <c r="G64" s="1275">
        <v>0</v>
      </c>
      <c r="H64" s="2357">
        <f>SUM(H61:H63)</f>
        <v>3</v>
      </c>
      <c r="I64" s="2693">
        <f t="shared" si="1"/>
        <v>0</v>
      </c>
      <c r="J64" s="2661"/>
      <c r="K64" s="1275">
        <v>1</v>
      </c>
      <c r="L64" s="2357">
        <f>SUM(L61:L63)</f>
        <v>6</v>
      </c>
      <c r="M64" s="2693">
        <f t="shared" si="2"/>
        <v>0.16666666666666666</v>
      </c>
      <c r="N64" s="2661"/>
      <c r="O64" s="1275">
        <v>5</v>
      </c>
      <c r="P64" s="2357">
        <f>SUM(P61:P63)</f>
        <v>7</v>
      </c>
      <c r="Q64" s="2693">
        <f t="shared" si="3"/>
        <v>0.7142857142857143</v>
      </c>
      <c r="R64" s="2661"/>
      <c r="S64" s="1275">
        <v>7</v>
      </c>
      <c r="T64" s="2357">
        <f>SUM(T61:T63)</f>
        <v>13</v>
      </c>
      <c r="U64" s="2693">
        <f t="shared" si="4"/>
        <v>0.53846153846153844</v>
      </c>
      <c r="V64" s="2661"/>
      <c r="W64" s="1275">
        <f>SUM(W61:W63)</f>
        <v>11</v>
      </c>
      <c r="X64" s="2357">
        <v>13</v>
      </c>
      <c r="Y64" s="2693">
        <f t="shared" si="5"/>
        <v>0.84615384615384615</v>
      </c>
      <c r="Z64" s="2661"/>
      <c r="AA64" s="1275">
        <f>SUM(AA61:AA63)</f>
        <v>14</v>
      </c>
      <c r="AB64" s="2357">
        <f>SUM(AB61:AB63)</f>
        <v>21</v>
      </c>
      <c r="AC64" s="2693">
        <f t="shared" si="12"/>
        <v>0.66666666666666663</v>
      </c>
      <c r="AD64" s="2661"/>
      <c r="AE64" s="1275">
        <v>21</v>
      </c>
      <c r="AF64" s="2357">
        <f>SUM(AF61:AF63)</f>
        <v>27</v>
      </c>
      <c r="AG64" s="2693">
        <f t="shared" si="7"/>
        <v>0.77777777777777779</v>
      </c>
      <c r="AH64" s="2661"/>
      <c r="AI64" s="1275">
        <v>18</v>
      </c>
      <c r="AJ64" s="2357">
        <f>SUM(AJ61:AJ63)</f>
        <v>30</v>
      </c>
      <c r="AK64" s="2693">
        <f t="shared" si="8"/>
        <v>0.6</v>
      </c>
      <c r="AM64" s="1275">
        <v>22</v>
      </c>
      <c r="AN64" s="2357">
        <f>SUM(AN61:AN63)</f>
        <v>30</v>
      </c>
      <c r="AO64" s="2693">
        <f t="shared" si="9"/>
        <v>0.73333333333333328</v>
      </c>
      <c r="AQ64" s="1275">
        <f>SUM(AQ61:AQ63)</f>
        <v>22</v>
      </c>
      <c r="AR64" s="2357">
        <f>SUM(AR61:AR63)</f>
        <v>31</v>
      </c>
      <c r="AS64" s="2693">
        <f t="shared" si="10"/>
        <v>0.70967741935483875</v>
      </c>
    </row>
    <row r="65" spans="1:45" s="1" customFormat="1">
      <c r="A65" s="167"/>
      <c r="B65" s="3583" t="s">
        <v>1026</v>
      </c>
      <c r="C65" s="2706">
        <f>SUM(C64,C60,C56)</f>
        <v>4</v>
      </c>
      <c r="D65" s="2707">
        <f>SUM(D56,D60,D64)</f>
        <v>10</v>
      </c>
      <c r="E65" s="2708">
        <f t="shared" si="0"/>
        <v>0.4</v>
      </c>
      <c r="F65" s="2661"/>
      <c r="G65" s="2706">
        <v>11</v>
      </c>
      <c r="H65" s="2707">
        <f>SUM(H56,H60,H64)</f>
        <v>13</v>
      </c>
      <c r="I65" s="2708">
        <f t="shared" si="1"/>
        <v>0.84615384615384615</v>
      </c>
      <c r="J65" s="2661"/>
      <c r="K65" s="2706">
        <v>13</v>
      </c>
      <c r="L65" s="2707">
        <f>SUM(L56,L60,L64)</f>
        <v>22</v>
      </c>
      <c r="M65" s="2708">
        <f t="shared" si="2"/>
        <v>0.59090909090909094</v>
      </c>
      <c r="N65" s="2661"/>
      <c r="O65" s="2706">
        <v>31</v>
      </c>
      <c r="P65" s="2707">
        <f>SUM(P56,P60,P64)</f>
        <v>28</v>
      </c>
      <c r="Q65" s="2708">
        <f t="shared" si="3"/>
        <v>1.1071428571428572</v>
      </c>
      <c r="R65" s="2661"/>
      <c r="S65" s="2706">
        <v>28</v>
      </c>
      <c r="T65" s="2707">
        <f>SUM(T56,T60,T64)</f>
        <v>36</v>
      </c>
      <c r="U65" s="2708">
        <f t="shared" si="4"/>
        <v>0.77777777777777779</v>
      </c>
      <c r="V65" s="2661"/>
      <c r="W65" s="2706">
        <f>SUM(W56,W60,W64)</f>
        <v>34</v>
      </c>
      <c r="X65" s="2707">
        <v>42</v>
      </c>
      <c r="Y65" s="2708">
        <f t="shared" si="5"/>
        <v>0.80952380952380953</v>
      </c>
      <c r="Z65" s="2661"/>
      <c r="AA65" s="2706">
        <f>SUM(AA56,AA60,AA64)</f>
        <v>37</v>
      </c>
      <c r="AB65" s="2707">
        <f>SUM(AB56,AB60,AB64)</f>
        <v>55</v>
      </c>
      <c r="AC65" s="2708">
        <f t="shared" si="12"/>
        <v>0.67272727272727273</v>
      </c>
      <c r="AD65" s="2661"/>
      <c r="AE65" s="2706">
        <v>51</v>
      </c>
      <c r="AF65" s="2707">
        <f>SUM(AF56,AF60,AF64)</f>
        <v>66</v>
      </c>
      <c r="AG65" s="2708">
        <f t="shared" si="7"/>
        <v>0.77272727272727271</v>
      </c>
      <c r="AH65" s="2661"/>
      <c r="AI65" s="2706">
        <v>51</v>
      </c>
      <c r="AJ65" s="2707">
        <f>SUM(AJ56,AJ60,AJ64)</f>
        <v>71</v>
      </c>
      <c r="AK65" s="2708">
        <f t="shared" si="8"/>
        <v>0.71830985915492962</v>
      </c>
      <c r="AM65" s="2706">
        <v>59</v>
      </c>
      <c r="AN65" s="2707">
        <f>SUM(AN56,AN60,AN64)</f>
        <v>74</v>
      </c>
      <c r="AO65" s="2708">
        <f t="shared" si="9"/>
        <v>0.79729729729729726</v>
      </c>
      <c r="AQ65" s="2706">
        <f>SUM(AQ56,AQ60,AQ64)</f>
        <v>61</v>
      </c>
      <c r="AR65" s="2707">
        <f>SUM(AR56,AR60,AR64)</f>
        <v>75</v>
      </c>
      <c r="AS65" s="2708">
        <f t="shared" si="10"/>
        <v>0.81333333333333335</v>
      </c>
    </row>
    <row r="66" spans="1:45" s="1" customFormat="1">
      <c r="A66" s="167"/>
      <c r="B66" s="3571" t="s">
        <v>1141</v>
      </c>
      <c r="C66" s="1274">
        <v>22</v>
      </c>
      <c r="D66" s="2694">
        <v>129</v>
      </c>
      <c r="E66" s="2698">
        <f t="shared" si="0"/>
        <v>0.17054263565891473</v>
      </c>
      <c r="F66" s="2661"/>
      <c r="G66" s="1274">
        <v>23</v>
      </c>
      <c r="H66" s="2694">
        <v>129</v>
      </c>
      <c r="I66" s="2698">
        <f t="shared" si="1"/>
        <v>0.17829457364341086</v>
      </c>
      <c r="J66" s="2661"/>
      <c r="K66" s="1274">
        <v>23</v>
      </c>
      <c r="L66" s="2694">
        <v>135</v>
      </c>
      <c r="M66" s="2698">
        <f t="shared" si="2"/>
        <v>0.17037037037037037</v>
      </c>
      <c r="N66" s="2661"/>
      <c r="O66" s="1274">
        <v>23</v>
      </c>
      <c r="P66" s="2694">
        <v>137</v>
      </c>
      <c r="Q66" s="2698">
        <f t="shared" si="3"/>
        <v>0.16788321167883211</v>
      </c>
      <c r="R66" s="2661"/>
      <c r="S66" s="1274">
        <v>29</v>
      </c>
      <c r="T66" s="2694">
        <v>138</v>
      </c>
      <c r="U66" s="2698">
        <f t="shared" si="4"/>
        <v>0.21014492753623187</v>
      </c>
      <c r="V66" s="2661"/>
      <c r="W66" s="1274">
        <v>32</v>
      </c>
      <c r="X66" s="2694">
        <v>140</v>
      </c>
      <c r="Y66" s="2698">
        <f t="shared" si="5"/>
        <v>0.22857142857142856</v>
      </c>
      <c r="Z66" s="2661"/>
      <c r="AA66" s="1274">
        <v>39</v>
      </c>
      <c r="AB66" s="2694">
        <v>135</v>
      </c>
      <c r="AC66" s="2698">
        <f t="shared" si="12"/>
        <v>0.28888888888888886</v>
      </c>
      <c r="AD66" s="2661"/>
      <c r="AE66" s="1274">
        <v>38</v>
      </c>
      <c r="AF66" s="2694">
        <v>138</v>
      </c>
      <c r="AG66" s="2698">
        <f t="shared" si="7"/>
        <v>0.27536231884057971</v>
      </c>
      <c r="AH66" s="2661"/>
      <c r="AI66" s="1274">
        <v>38</v>
      </c>
      <c r="AJ66" s="2694">
        <v>136</v>
      </c>
      <c r="AK66" s="2698">
        <f t="shared" si="8"/>
        <v>0.27941176470588236</v>
      </c>
      <c r="AM66" s="1274">
        <v>33</v>
      </c>
      <c r="AN66" s="2694">
        <v>135</v>
      </c>
      <c r="AO66" s="2698">
        <f t="shared" si="9"/>
        <v>0.24444444444444444</v>
      </c>
      <c r="AQ66" s="1274">
        <v>30</v>
      </c>
      <c r="AR66" s="2694">
        <v>130</v>
      </c>
      <c r="AS66" s="2698">
        <f t="shared" si="10"/>
        <v>0.23076923076923078</v>
      </c>
    </row>
    <row r="67" spans="1:45" s="1" customFormat="1">
      <c r="A67" s="167"/>
      <c r="B67" s="3576" t="s">
        <v>1142</v>
      </c>
      <c r="C67" s="1265">
        <v>12</v>
      </c>
      <c r="D67" s="2694">
        <v>56</v>
      </c>
      <c r="E67" s="2692">
        <f t="shared" si="0"/>
        <v>0.21428571428571427</v>
      </c>
      <c r="F67" s="2661"/>
      <c r="G67" s="1265">
        <v>12</v>
      </c>
      <c r="H67" s="2694">
        <v>55</v>
      </c>
      <c r="I67" s="2692">
        <f t="shared" si="1"/>
        <v>0.21818181818181817</v>
      </c>
      <c r="J67" s="2661"/>
      <c r="K67" s="1265">
        <v>11</v>
      </c>
      <c r="L67" s="2694">
        <v>55</v>
      </c>
      <c r="M67" s="2692">
        <f t="shared" si="2"/>
        <v>0.2</v>
      </c>
      <c r="N67" s="2661"/>
      <c r="O67" s="1265">
        <v>10</v>
      </c>
      <c r="P67" s="2694">
        <v>52</v>
      </c>
      <c r="Q67" s="2692">
        <f t="shared" si="3"/>
        <v>0.19230769230769232</v>
      </c>
      <c r="R67" s="2661"/>
      <c r="S67" s="1265">
        <v>7</v>
      </c>
      <c r="T67" s="2694">
        <v>53</v>
      </c>
      <c r="U67" s="2692">
        <f t="shared" si="4"/>
        <v>0.13207547169811321</v>
      </c>
      <c r="V67" s="2661"/>
      <c r="W67" s="1265">
        <v>10</v>
      </c>
      <c r="X67" s="2694">
        <v>53</v>
      </c>
      <c r="Y67" s="2692">
        <f t="shared" si="5"/>
        <v>0.18867924528301888</v>
      </c>
      <c r="Z67" s="2661"/>
      <c r="AA67" s="1265">
        <v>15</v>
      </c>
      <c r="AB67" s="2694">
        <v>53</v>
      </c>
      <c r="AC67" s="2692">
        <f t="shared" si="12"/>
        <v>0.28301886792452829</v>
      </c>
      <c r="AD67" s="2661"/>
      <c r="AE67" s="1265">
        <v>14</v>
      </c>
      <c r="AF67" s="2694">
        <v>52</v>
      </c>
      <c r="AG67" s="2692">
        <f t="shared" si="7"/>
        <v>0.26923076923076922</v>
      </c>
      <c r="AH67" s="2661"/>
      <c r="AI67" s="1265">
        <v>12</v>
      </c>
      <c r="AJ67" s="2694">
        <v>52</v>
      </c>
      <c r="AK67" s="2692">
        <f t="shared" si="8"/>
        <v>0.23076923076923078</v>
      </c>
      <c r="AM67" s="1265">
        <v>10</v>
      </c>
      <c r="AN67" s="2694">
        <v>52</v>
      </c>
      <c r="AO67" s="2692">
        <f t="shared" si="9"/>
        <v>0.19230769230769232</v>
      </c>
      <c r="AQ67" s="1265">
        <v>12</v>
      </c>
      <c r="AR67" s="2694">
        <v>52</v>
      </c>
      <c r="AS67" s="2692">
        <f t="shared" si="10"/>
        <v>0.23076923076923078</v>
      </c>
    </row>
    <row r="68" spans="1:45" s="1" customFormat="1">
      <c r="A68" s="167"/>
      <c r="B68" s="3576" t="s">
        <v>1143</v>
      </c>
      <c r="C68" s="1269">
        <v>21</v>
      </c>
      <c r="D68" s="2694">
        <v>86</v>
      </c>
      <c r="E68" s="2692">
        <f t="shared" si="0"/>
        <v>0.2441860465116279</v>
      </c>
      <c r="F68" s="2661"/>
      <c r="G68" s="1269">
        <v>21</v>
      </c>
      <c r="H68" s="2694">
        <v>87</v>
      </c>
      <c r="I68" s="2692">
        <f t="shared" si="1"/>
        <v>0.2413793103448276</v>
      </c>
      <c r="J68" s="2661"/>
      <c r="K68" s="1269">
        <v>21</v>
      </c>
      <c r="L68" s="2694">
        <v>89</v>
      </c>
      <c r="M68" s="2692">
        <f t="shared" si="2"/>
        <v>0.23595505617977527</v>
      </c>
      <c r="N68" s="2661"/>
      <c r="O68" s="1269">
        <v>25</v>
      </c>
      <c r="P68" s="2694">
        <v>89</v>
      </c>
      <c r="Q68" s="2692">
        <f t="shared" si="3"/>
        <v>0.2808988764044944</v>
      </c>
      <c r="R68" s="2661"/>
      <c r="S68" s="1269">
        <v>26</v>
      </c>
      <c r="T68" s="2694">
        <v>91</v>
      </c>
      <c r="U68" s="2692">
        <f t="shared" si="4"/>
        <v>0.2857142857142857</v>
      </c>
      <c r="V68" s="2661"/>
      <c r="W68" s="1269">
        <v>27</v>
      </c>
      <c r="X68" s="2694">
        <v>93</v>
      </c>
      <c r="Y68" s="2692">
        <f t="shared" si="5"/>
        <v>0.29032258064516131</v>
      </c>
      <c r="Z68" s="2661"/>
      <c r="AA68" s="1269">
        <v>25</v>
      </c>
      <c r="AB68" s="2694">
        <v>92</v>
      </c>
      <c r="AC68" s="2692">
        <f t="shared" si="12"/>
        <v>0.27173913043478259</v>
      </c>
      <c r="AD68" s="2661"/>
      <c r="AE68" s="1269">
        <v>24</v>
      </c>
      <c r="AF68" s="2694">
        <v>89</v>
      </c>
      <c r="AG68" s="2692">
        <f t="shared" si="7"/>
        <v>0.2696629213483146</v>
      </c>
      <c r="AH68" s="2661"/>
      <c r="AI68" s="1269">
        <v>24</v>
      </c>
      <c r="AJ68" s="2694">
        <v>88</v>
      </c>
      <c r="AK68" s="2692">
        <f t="shared" si="8"/>
        <v>0.27272727272727271</v>
      </c>
      <c r="AM68" s="1269">
        <v>22</v>
      </c>
      <c r="AN68" s="2694">
        <v>88</v>
      </c>
      <c r="AO68" s="2692">
        <f t="shared" si="9"/>
        <v>0.25</v>
      </c>
      <c r="AQ68" s="1269">
        <v>23</v>
      </c>
      <c r="AR68" s="2694">
        <v>85</v>
      </c>
      <c r="AS68" s="2692">
        <f t="shared" si="10"/>
        <v>0.27058823529411763</v>
      </c>
    </row>
    <row r="69" spans="1:45" s="1" customFormat="1" ht="15" thickBot="1">
      <c r="A69" s="167"/>
      <c r="B69" s="3577" t="s">
        <v>1144</v>
      </c>
      <c r="C69" s="1265">
        <v>21</v>
      </c>
      <c r="D69" s="2694">
        <v>69</v>
      </c>
      <c r="E69" s="2692">
        <f t="shared" ref="E69:E83" si="13">C69/D69</f>
        <v>0.30434782608695654</v>
      </c>
      <c r="F69" s="2661"/>
      <c r="G69" s="1265">
        <v>23</v>
      </c>
      <c r="H69" s="2694">
        <v>69</v>
      </c>
      <c r="I69" s="2692">
        <f t="shared" ref="I69:I83" si="14">G69/H69</f>
        <v>0.33333333333333331</v>
      </c>
      <c r="J69" s="2661"/>
      <c r="K69" s="1265">
        <v>31</v>
      </c>
      <c r="L69" s="2694">
        <v>69</v>
      </c>
      <c r="M69" s="2692">
        <f t="shared" ref="M69:M83" si="15">K69/L69</f>
        <v>0.44927536231884058</v>
      </c>
      <c r="N69" s="2661"/>
      <c r="O69" s="1265">
        <v>40</v>
      </c>
      <c r="P69" s="2694">
        <v>71</v>
      </c>
      <c r="Q69" s="2692">
        <f t="shared" ref="Q69:Q83" si="16">O69/P69</f>
        <v>0.56338028169014087</v>
      </c>
      <c r="R69" s="2661"/>
      <c r="S69" s="1265">
        <v>40</v>
      </c>
      <c r="T69" s="2694">
        <v>71</v>
      </c>
      <c r="U69" s="2692">
        <f t="shared" ref="U69:U83" si="17">S69/T69</f>
        <v>0.56338028169014087</v>
      </c>
      <c r="V69" s="2661"/>
      <c r="W69" s="1265">
        <v>39</v>
      </c>
      <c r="X69" s="2694">
        <v>68</v>
      </c>
      <c r="Y69" s="2692">
        <f t="shared" ref="Y69:Y83" si="18">W69/X69</f>
        <v>0.57352941176470584</v>
      </c>
      <c r="Z69" s="2661"/>
      <c r="AA69" s="1265">
        <v>41</v>
      </c>
      <c r="AB69" s="2694">
        <v>67</v>
      </c>
      <c r="AC69" s="2692">
        <f t="shared" si="12"/>
        <v>0.61194029850746268</v>
      </c>
      <c r="AD69" s="2661"/>
      <c r="AE69" s="1265">
        <v>40</v>
      </c>
      <c r="AF69" s="2694">
        <v>68</v>
      </c>
      <c r="AG69" s="2692">
        <f t="shared" ref="AG69:AG83" si="19">AE69/AF69</f>
        <v>0.58823529411764708</v>
      </c>
      <c r="AH69" s="2661"/>
      <c r="AI69" s="1265">
        <v>36</v>
      </c>
      <c r="AJ69" s="2694">
        <v>68</v>
      </c>
      <c r="AK69" s="2692">
        <f t="shared" ref="AK69:AK83" si="20">AI69/AJ69</f>
        <v>0.52941176470588236</v>
      </c>
      <c r="AM69" s="1265">
        <v>40</v>
      </c>
      <c r="AN69" s="2694">
        <v>69</v>
      </c>
      <c r="AO69" s="2692">
        <f t="shared" ref="AO69:AO81" si="21">AM69/AN69</f>
        <v>0.57971014492753625</v>
      </c>
      <c r="AQ69" s="1265">
        <v>41</v>
      </c>
      <c r="AR69" s="2694">
        <v>65</v>
      </c>
      <c r="AS69" s="2692">
        <f t="shared" ref="AS69:AS81" si="22">AQ69/AR69</f>
        <v>0.63076923076923075</v>
      </c>
    </row>
    <row r="70" spans="1:45" s="1" customFormat="1" ht="15" thickBot="1">
      <c r="A70" s="167"/>
      <c r="B70" s="2905" t="s">
        <v>41</v>
      </c>
      <c r="C70" s="1272">
        <f>SUM(C66:C69)</f>
        <v>76</v>
      </c>
      <c r="D70" s="1268">
        <f>SUM(D66:D69)</f>
        <v>340</v>
      </c>
      <c r="E70" s="2693">
        <f t="shared" si="13"/>
        <v>0.22352941176470589</v>
      </c>
      <c r="F70" s="2661"/>
      <c r="G70" s="1272">
        <v>79</v>
      </c>
      <c r="H70" s="1268">
        <f>SUM(H66:H69)</f>
        <v>340</v>
      </c>
      <c r="I70" s="2693">
        <f t="shared" si="14"/>
        <v>0.2323529411764706</v>
      </c>
      <c r="J70" s="2661"/>
      <c r="K70" s="1272">
        <v>86</v>
      </c>
      <c r="L70" s="1268">
        <f>SUM(L66:L69)</f>
        <v>348</v>
      </c>
      <c r="M70" s="2693">
        <f t="shared" si="15"/>
        <v>0.2471264367816092</v>
      </c>
      <c r="N70" s="2661"/>
      <c r="O70" s="1272">
        <v>98</v>
      </c>
      <c r="P70" s="1268">
        <f>SUM(P66:P69)</f>
        <v>349</v>
      </c>
      <c r="Q70" s="2693">
        <f t="shared" si="16"/>
        <v>0.28080229226361031</v>
      </c>
      <c r="R70" s="2661"/>
      <c r="S70" s="1272">
        <v>102</v>
      </c>
      <c r="T70" s="1268">
        <f>SUM(T66:T69)</f>
        <v>353</v>
      </c>
      <c r="U70" s="2693">
        <f t="shared" si="17"/>
        <v>0.28895184135977336</v>
      </c>
      <c r="V70" s="2661"/>
      <c r="W70" s="1272">
        <f>SUM(W66:W69)</f>
        <v>108</v>
      </c>
      <c r="X70" s="1268">
        <v>354</v>
      </c>
      <c r="Y70" s="2693">
        <f t="shared" si="18"/>
        <v>0.30508474576271188</v>
      </c>
      <c r="Z70" s="2661"/>
      <c r="AA70" s="1272">
        <f>SUM(AA66:AA69)</f>
        <v>120</v>
      </c>
      <c r="AB70" s="1268">
        <f>SUM(AB66:AB69)</f>
        <v>347</v>
      </c>
      <c r="AC70" s="2693">
        <f t="shared" si="12"/>
        <v>0.345821325648415</v>
      </c>
      <c r="AD70" s="2661"/>
      <c r="AE70" s="1272">
        <v>116</v>
      </c>
      <c r="AF70" s="1268">
        <f>SUM(AF66:AF69)</f>
        <v>347</v>
      </c>
      <c r="AG70" s="2693">
        <f t="shared" si="19"/>
        <v>0.33429394812680113</v>
      </c>
      <c r="AH70" s="2661"/>
      <c r="AI70" s="1272">
        <v>110</v>
      </c>
      <c r="AJ70" s="1268">
        <f>SUM(AJ66:AJ69)</f>
        <v>344</v>
      </c>
      <c r="AK70" s="2693">
        <f t="shared" si="20"/>
        <v>0.31976744186046513</v>
      </c>
      <c r="AM70" s="1272">
        <v>105</v>
      </c>
      <c r="AN70" s="1268">
        <f>SUM(AN66:AN69)</f>
        <v>344</v>
      </c>
      <c r="AO70" s="2693">
        <f t="shared" si="21"/>
        <v>0.30523255813953487</v>
      </c>
      <c r="AQ70" s="1272">
        <f>SUM(AQ66:AQ69)</f>
        <v>106</v>
      </c>
      <c r="AR70" s="1268">
        <f>SUM(AR66:AR69)</f>
        <v>332</v>
      </c>
      <c r="AS70" s="2693">
        <f t="shared" si="22"/>
        <v>0.31927710843373491</v>
      </c>
    </row>
    <row r="71" spans="1:45" s="1" customFormat="1">
      <c r="A71" s="167"/>
      <c r="B71" s="3575" t="s">
        <v>1145</v>
      </c>
      <c r="C71" s="1265">
        <v>28</v>
      </c>
      <c r="D71" s="2694">
        <v>128</v>
      </c>
      <c r="E71" s="2692">
        <f t="shared" si="13"/>
        <v>0.21875</v>
      </c>
      <c r="F71" s="2661"/>
      <c r="G71" s="1265">
        <v>28</v>
      </c>
      <c r="H71" s="2694">
        <v>131</v>
      </c>
      <c r="I71" s="2692">
        <f t="shared" si="14"/>
        <v>0.21374045801526717</v>
      </c>
      <c r="J71" s="2661"/>
      <c r="K71" s="1265">
        <v>29</v>
      </c>
      <c r="L71" s="2694">
        <v>134</v>
      </c>
      <c r="M71" s="2692">
        <f t="shared" si="15"/>
        <v>0.21641791044776118</v>
      </c>
      <c r="N71" s="2661"/>
      <c r="O71" s="1265">
        <v>30</v>
      </c>
      <c r="P71" s="2694">
        <v>136</v>
      </c>
      <c r="Q71" s="2692">
        <f t="shared" si="16"/>
        <v>0.22058823529411764</v>
      </c>
      <c r="R71" s="2661"/>
      <c r="S71" s="1265">
        <v>31</v>
      </c>
      <c r="T71" s="2694">
        <v>135</v>
      </c>
      <c r="U71" s="2692">
        <f t="shared" si="17"/>
        <v>0.22962962962962963</v>
      </c>
      <c r="V71" s="2661"/>
      <c r="W71" s="1265">
        <v>30</v>
      </c>
      <c r="X71" s="2694">
        <v>132</v>
      </c>
      <c r="Y71" s="2692">
        <f t="shared" si="18"/>
        <v>0.22727272727272727</v>
      </c>
      <c r="Z71" s="2661"/>
      <c r="AA71" s="1265">
        <v>29</v>
      </c>
      <c r="AB71" s="2694">
        <v>130</v>
      </c>
      <c r="AC71" s="2692">
        <f t="shared" si="12"/>
        <v>0.22307692307692309</v>
      </c>
      <c r="AD71" s="2661"/>
      <c r="AE71" s="1265">
        <v>27</v>
      </c>
      <c r="AF71" s="2694">
        <v>126</v>
      </c>
      <c r="AG71" s="2692">
        <f t="shared" si="19"/>
        <v>0.21428571428571427</v>
      </c>
      <c r="AH71" s="2661"/>
      <c r="AI71" s="1265">
        <v>29</v>
      </c>
      <c r="AJ71" s="2694">
        <v>125</v>
      </c>
      <c r="AK71" s="2692">
        <f t="shared" si="20"/>
        <v>0.23200000000000001</v>
      </c>
      <c r="AM71" s="1265">
        <v>26</v>
      </c>
      <c r="AN71" s="2694">
        <v>120</v>
      </c>
      <c r="AO71" s="2692">
        <f t="shared" si="21"/>
        <v>0.21666666666666667</v>
      </c>
      <c r="AQ71" s="1265">
        <v>25</v>
      </c>
      <c r="AR71" s="2694">
        <v>120</v>
      </c>
      <c r="AS71" s="2692">
        <f t="shared" si="22"/>
        <v>0.20833333333333334</v>
      </c>
    </row>
    <row r="72" spans="1:45" s="1" customFormat="1">
      <c r="A72" s="167"/>
      <c r="B72" s="3576" t="s">
        <v>1146</v>
      </c>
      <c r="C72" s="1269">
        <v>34</v>
      </c>
      <c r="D72" s="2694">
        <v>91</v>
      </c>
      <c r="E72" s="2692">
        <f t="shared" si="13"/>
        <v>0.37362637362637363</v>
      </c>
      <c r="F72" s="2661"/>
      <c r="G72" s="1269">
        <v>34</v>
      </c>
      <c r="H72" s="2694">
        <v>98</v>
      </c>
      <c r="I72" s="2692">
        <f t="shared" si="14"/>
        <v>0.34693877551020408</v>
      </c>
      <c r="J72" s="2661"/>
      <c r="K72" s="1269">
        <v>33</v>
      </c>
      <c r="L72" s="2694">
        <v>99</v>
      </c>
      <c r="M72" s="2692">
        <f t="shared" si="15"/>
        <v>0.33333333333333331</v>
      </c>
      <c r="N72" s="2661"/>
      <c r="O72" s="1269">
        <v>38</v>
      </c>
      <c r="P72" s="2694">
        <v>99</v>
      </c>
      <c r="Q72" s="2692">
        <f t="shared" si="16"/>
        <v>0.38383838383838381</v>
      </c>
      <c r="R72" s="2661"/>
      <c r="S72" s="1269">
        <v>40</v>
      </c>
      <c r="T72" s="2694">
        <v>98</v>
      </c>
      <c r="U72" s="2692">
        <f t="shared" si="17"/>
        <v>0.40816326530612246</v>
      </c>
      <c r="V72" s="2661"/>
      <c r="W72" s="1269">
        <v>39</v>
      </c>
      <c r="X72" s="2694">
        <v>97</v>
      </c>
      <c r="Y72" s="2692">
        <f t="shared" si="18"/>
        <v>0.40206185567010311</v>
      </c>
      <c r="Z72" s="2661"/>
      <c r="AA72" s="1269">
        <v>39</v>
      </c>
      <c r="AB72" s="2694">
        <v>96</v>
      </c>
      <c r="AC72" s="2692">
        <f t="shared" si="12"/>
        <v>0.40625</v>
      </c>
      <c r="AD72" s="2661"/>
      <c r="AE72" s="1269">
        <v>36</v>
      </c>
      <c r="AF72" s="2694">
        <v>99</v>
      </c>
      <c r="AG72" s="2692">
        <f t="shared" si="19"/>
        <v>0.36363636363636365</v>
      </c>
      <c r="AH72" s="2661"/>
      <c r="AI72" s="1269">
        <v>35</v>
      </c>
      <c r="AJ72" s="2694">
        <v>100</v>
      </c>
      <c r="AK72" s="2692">
        <f t="shared" si="20"/>
        <v>0.35</v>
      </c>
      <c r="AM72" s="1269">
        <v>37</v>
      </c>
      <c r="AN72" s="2694">
        <v>96</v>
      </c>
      <c r="AO72" s="2692">
        <f t="shared" si="21"/>
        <v>0.38541666666666669</v>
      </c>
      <c r="AQ72" s="1269">
        <v>36</v>
      </c>
      <c r="AR72" s="2694">
        <v>93</v>
      </c>
      <c r="AS72" s="2692">
        <f t="shared" si="22"/>
        <v>0.38709677419354838</v>
      </c>
    </row>
    <row r="73" spans="1:45" s="1" customFormat="1">
      <c r="A73" s="167"/>
      <c r="B73" s="3576" t="s">
        <v>1147</v>
      </c>
      <c r="C73" s="1269">
        <v>30</v>
      </c>
      <c r="D73" s="2694">
        <v>66</v>
      </c>
      <c r="E73" s="2692">
        <f t="shared" si="13"/>
        <v>0.45454545454545453</v>
      </c>
      <c r="F73" s="2661"/>
      <c r="G73" s="1269">
        <v>29</v>
      </c>
      <c r="H73" s="2694">
        <v>69</v>
      </c>
      <c r="I73" s="2692">
        <f t="shared" si="14"/>
        <v>0.42028985507246375</v>
      </c>
      <c r="J73" s="2661"/>
      <c r="K73" s="1269">
        <v>35</v>
      </c>
      <c r="L73" s="2694">
        <v>73</v>
      </c>
      <c r="M73" s="2692">
        <f t="shared" si="15"/>
        <v>0.47945205479452052</v>
      </c>
      <c r="N73" s="2661"/>
      <c r="O73" s="1269">
        <v>34</v>
      </c>
      <c r="P73" s="2694">
        <v>70</v>
      </c>
      <c r="Q73" s="2692">
        <f t="shared" si="16"/>
        <v>0.48571428571428571</v>
      </c>
      <c r="R73" s="2661"/>
      <c r="S73" s="1269">
        <v>34</v>
      </c>
      <c r="T73" s="2694">
        <v>68</v>
      </c>
      <c r="U73" s="2692">
        <f t="shared" si="17"/>
        <v>0.5</v>
      </c>
      <c r="V73" s="2661"/>
      <c r="W73" s="1269">
        <v>34</v>
      </c>
      <c r="X73" s="2694">
        <v>68</v>
      </c>
      <c r="Y73" s="2692">
        <f t="shared" si="18"/>
        <v>0.5</v>
      </c>
      <c r="Z73" s="2661"/>
      <c r="AA73" s="1269">
        <v>34</v>
      </c>
      <c r="AB73" s="2694">
        <v>66</v>
      </c>
      <c r="AC73" s="2692">
        <f t="shared" si="12"/>
        <v>0.51515151515151514</v>
      </c>
      <c r="AD73" s="2661"/>
      <c r="AE73" s="1269">
        <v>34</v>
      </c>
      <c r="AF73" s="2694">
        <v>67</v>
      </c>
      <c r="AG73" s="2692">
        <f t="shared" si="19"/>
        <v>0.5074626865671642</v>
      </c>
      <c r="AH73" s="2661"/>
      <c r="AI73" s="1269">
        <v>33</v>
      </c>
      <c r="AJ73" s="2694">
        <v>68</v>
      </c>
      <c r="AK73" s="2692">
        <f t="shared" si="20"/>
        <v>0.48529411764705882</v>
      </c>
      <c r="AM73" s="1269">
        <v>33</v>
      </c>
      <c r="AN73" s="2694">
        <v>67</v>
      </c>
      <c r="AO73" s="2692">
        <f t="shared" si="21"/>
        <v>0.4925373134328358</v>
      </c>
      <c r="AQ73" s="1269">
        <v>35</v>
      </c>
      <c r="AR73" s="2694">
        <v>66</v>
      </c>
      <c r="AS73" s="2692">
        <f t="shared" si="22"/>
        <v>0.53030303030303028</v>
      </c>
    </row>
    <row r="74" spans="1:45" s="1" customFormat="1" ht="15" thickBot="1">
      <c r="A74" s="167"/>
      <c r="B74" s="3576" t="s">
        <v>1148</v>
      </c>
      <c r="C74" s="1269">
        <v>24</v>
      </c>
      <c r="D74" s="2694">
        <v>57</v>
      </c>
      <c r="E74" s="2692">
        <f t="shared" si="13"/>
        <v>0.42105263157894735</v>
      </c>
      <c r="F74" s="2661"/>
      <c r="G74" s="1269">
        <v>24</v>
      </c>
      <c r="H74" s="2694">
        <v>58</v>
      </c>
      <c r="I74" s="2692">
        <f t="shared" si="14"/>
        <v>0.41379310344827586</v>
      </c>
      <c r="J74" s="2661"/>
      <c r="K74" s="1269">
        <v>23</v>
      </c>
      <c r="L74" s="2694">
        <v>57</v>
      </c>
      <c r="M74" s="2692">
        <f t="shared" si="15"/>
        <v>0.40350877192982454</v>
      </c>
      <c r="N74" s="2661"/>
      <c r="O74" s="1269">
        <v>23</v>
      </c>
      <c r="P74" s="2694">
        <v>57</v>
      </c>
      <c r="Q74" s="2692">
        <f t="shared" si="16"/>
        <v>0.40350877192982454</v>
      </c>
      <c r="R74" s="2661"/>
      <c r="S74" s="1269">
        <v>23</v>
      </c>
      <c r="T74" s="2694">
        <v>60</v>
      </c>
      <c r="U74" s="2692">
        <f t="shared" si="17"/>
        <v>0.38333333333333336</v>
      </c>
      <c r="V74" s="2661"/>
      <c r="W74" s="1269">
        <v>20</v>
      </c>
      <c r="X74" s="2694">
        <v>61</v>
      </c>
      <c r="Y74" s="2692">
        <f t="shared" si="18"/>
        <v>0.32786885245901637</v>
      </c>
      <c r="Z74" s="2661"/>
      <c r="AA74" s="1269">
        <v>21</v>
      </c>
      <c r="AB74" s="2694">
        <v>59</v>
      </c>
      <c r="AC74" s="2692">
        <f t="shared" si="12"/>
        <v>0.3559322033898305</v>
      </c>
      <c r="AD74" s="2661"/>
      <c r="AE74" s="1269">
        <v>20</v>
      </c>
      <c r="AF74" s="2694">
        <v>58</v>
      </c>
      <c r="AG74" s="2692">
        <f t="shared" si="19"/>
        <v>0.34482758620689657</v>
      </c>
      <c r="AH74" s="2661"/>
      <c r="AI74" s="1269">
        <v>20</v>
      </c>
      <c r="AJ74" s="2694">
        <v>60</v>
      </c>
      <c r="AK74" s="2692">
        <f t="shared" si="20"/>
        <v>0.33333333333333331</v>
      </c>
      <c r="AM74" s="1269">
        <v>21</v>
      </c>
      <c r="AN74" s="2694">
        <v>58</v>
      </c>
      <c r="AO74" s="2692">
        <f t="shared" si="21"/>
        <v>0.36206896551724138</v>
      </c>
      <c r="AQ74" s="1269">
        <v>22</v>
      </c>
      <c r="AR74" s="2694">
        <v>58</v>
      </c>
      <c r="AS74" s="2692">
        <f t="shared" si="22"/>
        <v>0.37931034482758619</v>
      </c>
    </row>
    <row r="75" spans="1:45" s="1" customFormat="1" ht="15" thickBot="1">
      <c r="A75" s="167"/>
      <c r="B75" s="2905" t="s">
        <v>16</v>
      </c>
      <c r="C75" s="1272">
        <f>SUM(C71:C74)</f>
        <v>116</v>
      </c>
      <c r="D75" s="1268">
        <f>SUM(D71:D74)</f>
        <v>342</v>
      </c>
      <c r="E75" s="2693">
        <f t="shared" si="13"/>
        <v>0.33918128654970758</v>
      </c>
      <c r="F75" s="2661"/>
      <c r="G75" s="1272">
        <v>115</v>
      </c>
      <c r="H75" s="1268">
        <f>SUM(H71:H74)</f>
        <v>356</v>
      </c>
      <c r="I75" s="2693">
        <f t="shared" si="14"/>
        <v>0.32303370786516855</v>
      </c>
      <c r="J75" s="2661"/>
      <c r="K75" s="1272">
        <v>120</v>
      </c>
      <c r="L75" s="1268">
        <f>SUM(L71:L74)</f>
        <v>363</v>
      </c>
      <c r="M75" s="2693">
        <f t="shared" si="15"/>
        <v>0.33057851239669422</v>
      </c>
      <c r="N75" s="2661"/>
      <c r="O75" s="1272">
        <v>125</v>
      </c>
      <c r="P75" s="1268">
        <f>SUM(P71:P74)</f>
        <v>362</v>
      </c>
      <c r="Q75" s="2693">
        <f t="shared" si="16"/>
        <v>0.34530386740331492</v>
      </c>
      <c r="R75" s="2661"/>
      <c r="S75" s="1272">
        <v>128</v>
      </c>
      <c r="T75" s="1268">
        <f>SUM(T71:T74)</f>
        <v>361</v>
      </c>
      <c r="U75" s="2693">
        <f t="shared" si="17"/>
        <v>0.35457063711911357</v>
      </c>
      <c r="V75" s="2661"/>
      <c r="W75" s="1272">
        <f>SUM(W71:W74)</f>
        <v>123</v>
      </c>
      <c r="X75" s="1268">
        <v>358</v>
      </c>
      <c r="Y75" s="2693">
        <f t="shared" si="18"/>
        <v>0.34357541899441341</v>
      </c>
      <c r="Z75" s="2661"/>
      <c r="AA75" s="1272">
        <f>SUM(AA71:AA74)</f>
        <v>123</v>
      </c>
      <c r="AB75" s="1268">
        <f>SUM(AB71:AB74)</f>
        <v>351</v>
      </c>
      <c r="AC75" s="2693">
        <f t="shared" si="12"/>
        <v>0.3504273504273504</v>
      </c>
      <c r="AD75" s="2661"/>
      <c r="AE75" s="1272">
        <v>117</v>
      </c>
      <c r="AF75" s="1268">
        <f>SUM(AF71:AF74)</f>
        <v>350</v>
      </c>
      <c r="AG75" s="2693">
        <f t="shared" si="19"/>
        <v>0.3342857142857143</v>
      </c>
      <c r="AH75" s="2661"/>
      <c r="AI75" s="1272">
        <v>117</v>
      </c>
      <c r="AJ75" s="1268">
        <f>SUM(AJ71:AJ74)</f>
        <v>353</v>
      </c>
      <c r="AK75" s="2693">
        <f t="shared" si="20"/>
        <v>0.33144475920679889</v>
      </c>
      <c r="AM75" s="1272">
        <v>117</v>
      </c>
      <c r="AN75" s="1268">
        <f>SUM(AN71:AN74)</f>
        <v>341</v>
      </c>
      <c r="AO75" s="2693">
        <f t="shared" si="21"/>
        <v>0.34310850439882695</v>
      </c>
      <c r="AQ75" s="1272">
        <f>SUM(AQ71:AQ74)</f>
        <v>118</v>
      </c>
      <c r="AR75" s="1268">
        <f>SUM(AR71:AR74)</f>
        <v>337</v>
      </c>
      <c r="AS75" s="2693">
        <f t="shared" si="22"/>
        <v>0.35014836795252224</v>
      </c>
    </row>
    <row r="76" spans="1:45" s="1" customFormat="1">
      <c r="A76" s="167"/>
      <c r="B76" s="3575" t="s">
        <v>1149</v>
      </c>
      <c r="C76" s="1265">
        <v>6</v>
      </c>
      <c r="D76" s="2694">
        <v>29</v>
      </c>
      <c r="E76" s="2692">
        <f t="shared" si="13"/>
        <v>0.20689655172413793</v>
      </c>
      <c r="F76" s="2661"/>
      <c r="G76" s="1265">
        <v>6</v>
      </c>
      <c r="H76" s="2694">
        <v>28</v>
      </c>
      <c r="I76" s="2692">
        <f t="shared" si="14"/>
        <v>0.21428571428571427</v>
      </c>
      <c r="J76" s="2661"/>
      <c r="K76" s="1265">
        <v>7</v>
      </c>
      <c r="L76" s="2694">
        <v>26</v>
      </c>
      <c r="M76" s="2692">
        <f t="shared" si="15"/>
        <v>0.26923076923076922</v>
      </c>
      <c r="N76" s="2661"/>
      <c r="O76" s="1265">
        <v>8</v>
      </c>
      <c r="P76" s="2694">
        <v>26</v>
      </c>
      <c r="Q76" s="2692">
        <f t="shared" si="16"/>
        <v>0.30769230769230771</v>
      </c>
      <c r="R76" s="2661"/>
      <c r="S76" s="1265">
        <v>7</v>
      </c>
      <c r="T76" s="2694">
        <v>29</v>
      </c>
      <c r="U76" s="2692">
        <f t="shared" si="17"/>
        <v>0.2413793103448276</v>
      </c>
      <c r="V76" s="2661"/>
      <c r="W76" s="1265">
        <v>6</v>
      </c>
      <c r="X76" s="2694">
        <v>29</v>
      </c>
      <c r="Y76" s="2692">
        <f t="shared" si="18"/>
        <v>0.20689655172413793</v>
      </c>
      <c r="Z76" s="2661"/>
      <c r="AA76" s="1265">
        <v>7</v>
      </c>
      <c r="AB76" s="2694">
        <v>32</v>
      </c>
      <c r="AC76" s="2692">
        <f t="shared" si="12"/>
        <v>0.21875</v>
      </c>
      <c r="AD76" s="2661"/>
      <c r="AE76" s="1265">
        <v>6</v>
      </c>
      <c r="AF76" s="2694">
        <v>31</v>
      </c>
      <c r="AG76" s="2692">
        <f t="shared" si="19"/>
        <v>0.19354838709677419</v>
      </c>
      <c r="AH76" s="2661"/>
      <c r="AI76" s="1265">
        <v>7</v>
      </c>
      <c r="AJ76" s="2694">
        <v>29</v>
      </c>
      <c r="AK76" s="2692">
        <f t="shared" si="20"/>
        <v>0.2413793103448276</v>
      </c>
      <c r="AM76" s="1265">
        <v>5</v>
      </c>
      <c r="AN76" s="2694">
        <v>30</v>
      </c>
      <c r="AO76" s="2692">
        <f t="shared" si="21"/>
        <v>0.16666666666666666</v>
      </c>
      <c r="AQ76" s="1265">
        <v>4</v>
      </c>
      <c r="AR76" s="2694">
        <v>30</v>
      </c>
      <c r="AS76" s="2692">
        <f t="shared" si="22"/>
        <v>0.13333333333333333</v>
      </c>
    </row>
    <row r="77" spans="1:45" s="1" customFormat="1">
      <c r="A77" s="167"/>
      <c r="B77" s="3576" t="s">
        <v>1150</v>
      </c>
      <c r="C77" s="1265">
        <v>3</v>
      </c>
      <c r="D77" s="2694">
        <v>37</v>
      </c>
      <c r="E77" s="2692">
        <f t="shared" si="13"/>
        <v>8.1081081081081086E-2</v>
      </c>
      <c r="F77" s="2661"/>
      <c r="G77" s="1265">
        <v>3</v>
      </c>
      <c r="H77" s="2694">
        <v>39</v>
      </c>
      <c r="I77" s="2692">
        <f t="shared" si="14"/>
        <v>7.6923076923076927E-2</v>
      </c>
      <c r="J77" s="2661"/>
      <c r="K77" s="1265">
        <v>3</v>
      </c>
      <c r="L77" s="2694">
        <v>38</v>
      </c>
      <c r="M77" s="2692">
        <f t="shared" si="15"/>
        <v>7.8947368421052627E-2</v>
      </c>
      <c r="N77" s="2661"/>
      <c r="O77" s="1265">
        <v>4</v>
      </c>
      <c r="P77" s="2694">
        <v>39</v>
      </c>
      <c r="Q77" s="2692">
        <f t="shared" si="16"/>
        <v>0.10256410256410256</v>
      </c>
      <c r="R77" s="2661"/>
      <c r="S77" s="1265">
        <v>4</v>
      </c>
      <c r="T77" s="2694">
        <v>40</v>
      </c>
      <c r="U77" s="2692">
        <f t="shared" si="17"/>
        <v>0.1</v>
      </c>
      <c r="V77" s="2661"/>
      <c r="W77" s="1265">
        <v>3</v>
      </c>
      <c r="X77" s="2694">
        <v>40</v>
      </c>
      <c r="Y77" s="2692">
        <f t="shared" si="18"/>
        <v>7.4999999999999997E-2</v>
      </c>
      <c r="Z77" s="2661"/>
      <c r="AA77" s="1265">
        <v>2</v>
      </c>
      <c r="AB77" s="2694">
        <v>39</v>
      </c>
      <c r="AC77" s="2692">
        <f t="shared" si="12"/>
        <v>5.128205128205128E-2</v>
      </c>
      <c r="AD77" s="2661"/>
      <c r="AE77" s="1265">
        <v>2</v>
      </c>
      <c r="AF77" s="2694">
        <v>38</v>
      </c>
      <c r="AG77" s="2692">
        <f t="shared" si="19"/>
        <v>5.2631578947368418E-2</v>
      </c>
      <c r="AH77" s="2661"/>
      <c r="AI77" s="1265">
        <v>3</v>
      </c>
      <c r="AJ77" s="2694">
        <v>36</v>
      </c>
      <c r="AK77" s="2692">
        <f t="shared" si="20"/>
        <v>8.3333333333333329E-2</v>
      </c>
      <c r="AM77" s="1265">
        <v>3</v>
      </c>
      <c r="AN77" s="2694">
        <v>40</v>
      </c>
      <c r="AO77" s="2692">
        <f t="shared" si="21"/>
        <v>7.4999999999999997E-2</v>
      </c>
      <c r="AQ77" s="1265">
        <v>4</v>
      </c>
      <c r="AR77" s="2694">
        <v>40</v>
      </c>
      <c r="AS77" s="2692">
        <f t="shared" si="22"/>
        <v>0.1</v>
      </c>
    </row>
    <row r="78" spans="1:45" s="1" customFormat="1">
      <c r="A78" s="167"/>
      <c r="B78" s="3576" t="s">
        <v>1151</v>
      </c>
      <c r="C78" s="1265">
        <v>3</v>
      </c>
      <c r="D78" s="2694">
        <v>29</v>
      </c>
      <c r="E78" s="2692">
        <f t="shared" si="13"/>
        <v>0.10344827586206896</v>
      </c>
      <c r="F78" s="2661"/>
      <c r="G78" s="1265">
        <v>3</v>
      </c>
      <c r="H78" s="2694">
        <v>28</v>
      </c>
      <c r="I78" s="2692">
        <f t="shared" si="14"/>
        <v>0.10714285714285714</v>
      </c>
      <c r="J78" s="2661"/>
      <c r="K78" s="1265">
        <v>3</v>
      </c>
      <c r="L78" s="2694">
        <v>30</v>
      </c>
      <c r="M78" s="2692">
        <f t="shared" si="15"/>
        <v>0.1</v>
      </c>
      <c r="N78" s="2661"/>
      <c r="O78" s="1265">
        <v>2</v>
      </c>
      <c r="P78" s="2694">
        <v>29</v>
      </c>
      <c r="Q78" s="2692">
        <f t="shared" si="16"/>
        <v>6.8965517241379309E-2</v>
      </c>
      <c r="R78" s="2661"/>
      <c r="S78" s="1265">
        <v>2</v>
      </c>
      <c r="T78" s="2694">
        <v>31</v>
      </c>
      <c r="U78" s="2692">
        <f t="shared" si="17"/>
        <v>6.4516129032258063E-2</v>
      </c>
      <c r="V78" s="2661"/>
      <c r="W78" s="1265">
        <v>2</v>
      </c>
      <c r="X78" s="2694">
        <v>30</v>
      </c>
      <c r="Y78" s="2692">
        <f t="shared" si="18"/>
        <v>6.6666666666666666E-2</v>
      </c>
      <c r="Z78" s="2661"/>
      <c r="AA78" s="1265">
        <v>1</v>
      </c>
      <c r="AB78" s="2694">
        <v>27</v>
      </c>
      <c r="AC78" s="2692">
        <f t="shared" si="12"/>
        <v>3.7037037037037035E-2</v>
      </c>
      <c r="AD78" s="2661"/>
      <c r="AE78" s="1265">
        <v>1</v>
      </c>
      <c r="AF78" s="2694">
        <v>22</v>
      </c>
      <c r="AG78" s="2692">
        <f t="shared" si="19"/>
        <v>4.5454545454545456E-2</v>
      </c>
      <c r="AH78" s="2661"/>
      <c r="AI78" s="1265">
        <v>2</v>
      </c>
      <c r="AJ78" s="2694">
        <v>24</v>
      </c>
      <c r="AK78" s="2692">
        <f t="shared" si="20"/>
        <v>8.3333333333333329E-2</v>
      </c>
      <c r="AM78" s="1265">
        <v>2</v>
      </c>
      <c r="AN78" s="2694">
        <v>26</v>
      </c>
      <c r="AO78" s="2692">
        <f t="shared" si="21"/>
        <v>7.6923076923076927E-2</v>
      </c>
      <c r="AQ78" s="1265">
        <v>2</v>
      </c>
      <c r="AR78" s="2694">
        <v>26</v>
      </c>
      <c r="AS78" s="2692">
        <f t="shared" si="22"/>
        <v>7.6923076923076927E-2</v>
      </c>
    </row>
    <row r="79" spans="1:45" s="1" customFormat="1" ht="15" thickBot="1">
      <c r="A79" s="167"/>
      <c r="B79" s="3577" t="s">
        <v>1152</v>
      </c>
      <c r="C79" s="1265">
        <v>7</v>
      </c>
      <c r="D79" s="2694">
        <v>47</v>
      </c>
      <c r="E79" s="2692">
        <f t="shared" si="13"/>
        <v>0.14893617021276595</v>
      </c>
      <c r="F79" s="2661"/>
      <c r="G79" s="1265">
        <v>7</v>
      </c>
      <c r="H79" s="2694">
        <v>48</v>
      </c>
      <c r="I79" s="2692">
        <f t="shared" si="14"/>
        <v>0.14583333333333334</v>
      </c>
      <c r="J79" s="2661"/>
      <c r="K79" s="1265">
        <v>6</v>
      </c>
      <c r="L79" s="2694">
        <v>47</v>
      </c>
      <c r="M79" s="2692">
        <f t="shared" si="15"/>
        <v>0.1276595744680851</v>
      </c>
      <c r="N79" s="2661"/>
      <c r="O79" s="1265">
        <v>6</v>
      </c>
      <c r="P79" s="2694">
        <v>47</v>
      </c>
      <c r="Q79" s="2692">
        <f t="shared" si="16"/>
        <v>0.1276595744680851</v>
      </c>
      <c r="R79" s="2661"/>
      <c r="S79" s="1265">
        <v>6</v>
      </c>
      <c r="T79" s="2694">
        <v>46</v>
      </c>
      <c r="U79" s="2692">
        <f t="shared" si="17"/>
        <v>0.13043478260869565</v>
      </c>
      <c r="V79" s="2661"/>
      <c r="W79" s="1265">
        <v>5</v>
      </c>
      <c r="X79" s="2694">
        <v>45</v>
      </c>
      <c r="Y79" s="2692">
        <f t="shared" si="18"/>
        <v>0.1111111111111111</v>
      </c>
      <c r="Z79" s="2661"/>
      <c r="AA79" s="1265">
        <v>5</v>
      </c>
      <c r="AB79" s="2694">
        <v>46</v>
      </c>
      <c r="AC79" s="2692">
        <f t="shared" si="12"/>
        <v>0.10869565217391304</v>
      </c>
      <c r="AD79" s="2661"/>
      <c r="AE79" s="1265">
        <v>7</v>
      </c>
      <c r="AF79" s="2694">
        <v>44</v>
      </c>
      <c r="AG79" s="2692">
        <f t="shared" si="19"/>
        <v>0.15909090909090909</v>
      </c>
      <c r="AH79" s="2661"/>
      <c r="AI79" s="1265">
        <v>8</v>
      </c>
      <c r="AJ79" s="2694">
        <v>44</v>
      </c>
      <c r="AK79" s="2692">
        <f t="shared" si="20"/>
        <v>0.18181818181818182</v>
      </c>
      <c r="AM79" s="1265">
        <v>9</v>
      </c>
      <c r="AN79" s="2694">
        <v>40</v>
      </c>
      <c r="AO79" s="2692">
        <f t="shared" si="21"/>
        <v>0.22500000000000001</v>
      </c>
      <c r="AQ79" s="1265">
        <v>7</v>
      </c>
      <c r="AR79" s="2694">
        <v>38</v>
      </c>
      <c r="AS79" s="2692">
        <f t="shared" si="22"/>
        <v>0.18421052631578946</v>
      </c>
    </row>
    <row r="80" spans="1:45" s="1" customFormat="1">
      <c r="A80" s="167"/>
      <c r="B80" s="2906" t="s">
        <v>21</v>
      </c>
      <c r="C80" s="1275">
        <f>SUM(C76:C79)</f>
        <v>19</v>
      </c>
      <c r="D80" s="2357">
        <f>SUM(D76:D79)</f>
        <v>142</v>
      </c>
      <c r="E80" s="2693">
        <f t="shared" si="13"/>
        <v>0.13380281690140844</v>
      </c>
      <c r="F80" s="2661"/>
      <c r="G80" s="1275">
        <v>19</v>
      </c>
      <c r="H80" s="2357">
        <f>SUM(H76:H79)</f>
        <v>143</v>
      </c>
      <c r="I80" s="2693">
        <f t="shared" si="14"/>
        <v>0.13286713286713286</v>
      </c>
      <c r="J80" s="2661"/>
      <c r="K80" s="1275">
        <v>19</v>
      </c>
      <c r="L80" s="2357">
        <f>SUM(L76:L79)</f>
        <v>141</v>
      </c>
      <c r="M80" s="2693">
        <f t="shared" si="15"/>
        <v>0.13475177304964539</v>
      </c>
      <c r="N80" s="2661"/>
      <c r="O80" s="1275">
        <v>20</v>
      </c>
      <c r="P80" s="2357">
        <f>SUM(P76:P79)</f>
        <v>141</v>
      </c>
      <c r="Q80" s="2693">
        <f t="shared" si="16"/>
        <v>0.14184397163120568</v>
      </c>
      <c r="R80" s="2661"/>
      <c r="S80" s="1275">
        <v>19</v>
      </c>
      <c r="T80" s="2357">
        <f>SUM(T76:T79)</f>
        <v>146</v>
      </c>
      <c r="U80" s="2693">
        <f t="shared" si="17"/>
        <v>0.13013698630136986</v>
      </c>
      <c r="V80" s="2661"/>
      <c r="W80" s="1275">
        <f>SUM(W76:W79)</f>
        <v>16</v>
      </c>
      <c r="X80" s="2357">
        <f>SUM(X76:X79)</f>
        <v>144</v>
      </c>
      <c r="Y80" s="2693">
        <f t="shared" si="18"/>
        <v>0.1111111111111111</v>
      </c>
      <c r="Z80" s="2661"/>
      <c r="AA80" s="1275">
        <f>SUM(AA76:AA79)</f>
        <v>15</v>
      </c>
      <c r="AB80" s="2357">
        <f>SUM(AB76:AB79)</f>
        <v>144</v>
      </c>
      <c r="AC80" s="2693">
        <f t="shared" si="12"/>
        <v>0.10416666666666667</v>
      </c>
      <c r="AD80" s="2661"/>
      <c r="AE80" s="1275">
        <v>16</v>
      </c>
      <c r="AF80" s="2357">
        <f>SUM(AF76:AF79)</f>
        <v>135</v>
      </c>
      <c r="AG80" s="2693">
        <f t="shared" si="19"/>
        <v>0.11851851851851852</v>
      </c>
      <c r="AH80" s="2661"/>
      <c r="AI80" s="1275">
        <f>SUM(AI76:AI79)</f>
        <v>20</v>
      </c>
      <c r="AJ80" s="2357">
        <f>SUM(AJ76:AJ79)</f>
        <v>133</v>
      </c>
      <c r="AK80" s="2693">
        <f t="shared" si="20"/>
        <v>0.15037593984962405</v>
      </c>
      <c r="AM80" s="1275">
        <v>19</v>
      </c>
      <c r="AN80" s="2357">
        <f>SUM(AN76:AN79)</f>
        <v>136</v>
      </c>
      <c r="AO80" s="2693">
        <f t="shared" si="21"/>
        <v>0.13970588235294118</v>
      </c>
      <c r="AQ80" s="1275">
        <f>SUM(AQ76:AQ79)</f>
        <v>17</v>
      </c>
      <c r="AR80" s="2357">
        <f>SUM(AR76:AR79)</f>
        <v>134</v>
      </c>
      <c r="AS80" s="2693">
        <f t="shared" si="22"/>
        <v>0.12686567164179105</v>
      </c>
    </row>
    <row r="81" spans="1:45" s="1" customFormat="1" ht="15" customHeight="1">
      <c r="A81" s="167"/>
      <c r="B81" s="3584" t="s">
        <v>1029</v>
      </c>
      <c r="C81" s="2607">
        <f>SUM(C80,C75,C70)</f>
        <v>211</v>
      </c>
      <c r="D81" s="2608">
        <f>SUM(D80,D75,D70)</f>
        <v>824</v>
      </c>
      <c r="E81" s="2709">
        <f t="shared" si="13"/>
        <v>0.25606796116504854</v>
      </c>
      <c r="F81" s="2661"/>
      <c r="G81" s="2607">
        <v>213</v>
      </c>
      <c r="H81" s="2608">
        <f>SUM(H80,H75,H70)</f>
        <v>839</v>
      </c>
      <c r="I81" s="2709">
        <f t="shared" si="14"/>
        <v>0.25387365911799764</v>
      </c>
      <c r="J81" s="2661"/>
      <c r="K81" s="2607">
        <v>225</v>
      </c>
      <c r="L81" s="2608">
        <f>SUM(L80,L75,L70)</f>
        <v>852</v>
      </c>
      <c r="M81" s="2709">
        <f t="shared" si="15"/>
        <v>0.2640845070422535</v>
      </c>
      <c r="N81" s="2661"/>
      <c r="O81" s="2607">
        <v>243</v>
      </c>
      <c r="P81" s="2608">
        <f>SUM(P80,P75,P70)</f>
        <v>852</v>
      </c>
      <c r="Q81" s="2709">
        <f t="shared" si="16"/>
        <v>0.28521126760563381</v>
      </c>
      <c r="R81" s="2661"/>
      <c r="S81" s="2607">
        <v>249</v>
      </c>
      <c r="T81" s="2608">
        <f>SUM(T80,T75,T70)</f>
        <v>860</v>
      </c>
      <c r="U81" s="2709">
        <f t="shared" si="17"/>
        <v>0.28953488372093023</v>
      </c>
      <c r="V81" s="2661"/>
      <c r="W81" s="2607">
        <f>SUM(W70,W75,W80)</f>
        <v>247</v>
      </c>
      <c r="X81" s="2608">
        <f>SUM(X70,X75,X80)</f>
        <v>856</v>
      </c>
      <c r="Y81" s="2709">
        <f t="shared" si="18"/>
        <v>0.2885514018691589</v>
      </c>
      <c r="Z81" s="2661"/>
      <c r="AA81" s="2607">
        <f>SUM(AA70,AA75,AA80)</f>
        <v>258</v>
      </c>
      <c r="AB81" s="2608">
        <f>SUM(AB80,AB75,AB70)</f>
        <v>842</v>
      </c>
      <c r="AC81" s="2709">
        <f t="shared" si="12"/>
        <v>0.30641330166270786</v>
      </c>
      <c r="AD81" s="2661"/>
      <c r="AE81" s="2607">
        <f>SUM(AE70,AE75,AE80)</f>
        <v>249</v>
      </c>
      <c r="AF81" s="2608">
        <f>SUM(AF80,AF75,AF70)</f>
        <v>832</v>
      </c>
      <c r="AG81" s="2709">
        <f t="shared" si="19"/>
        <v>0.29927884615384615</v>
      </c>
      <c r="AH81" s="2661"/>
      <c r="AI81" s="2607">
        <f>SUM(AI70,AI75,AI80)</f>
        <v>247</v>
      </c>
      <c r="AJ81" s="2608">
        <f>SUM(AJ70,AJ75,AJ80)</f>
        <v>830</v>
      </c>
      <c r="AK81" s="2709">
        <f t="shared" si="20"/>
        <v>0.29759036144578316</v>
      </c>
      <c r="AM81" s="2607">
        <v>241</v>
      </c>
      <c r="AN81" s="2608">
        <f>SUM(AN70,AN75,AN80)</f>
        <v>821</v>
      </c>
      <c r="AO81" s="2709">
        <f t="shared" si="21"/>
        <v>0.29354445797807549</v>
      </c>
      <c r="AQ81" s="2607">
        <f>SUM(AQ70,AQ75,AQ80)</f>
        <v>241</v>
      </c>
      <c r="AR81" s="2608">
        <f>SUM(AR70,AR75,AR80)</f>
        <v>803</v>
      </c>
      <c r="AS81" s="2709">
        <f t="shared" si="22"/>
        <v>0.30012453300124531</v>
      </c>
    </row>
    <row r="82" spans="1:45" s="1" customFormat="1" ht="15" customHeight="1">
      <c r="A82" s="167"/>
      <c r="B82" s="2574"/>
      <c r="C82" s="2574"/>
      <c r="D82" s="2574"/>
      <c r="E82" s="2574"/>
      <c r="F82" s="2661"/>
      <c r="G82" s="2574"/>
      <c r="H82" s="2574"/>
      <c r="I82" s="2574"/>
      <c r="J82" s="2661"/>
      <c r="K82" s="2574"/>
      <c r="L82" s="2574"/>
      <c r="M82" s="2574"/>
      <c r="N82" s="2661"/>
      <c r="O82" s="2574"/>
      <c r="P82" s="2574"/>
      <c r="Q82" s="2574"/>
      <c r="R82" s="2661"/>
      <c r="S82" s="2574"/>
      <c r="T82" s="2574"/>
      <c r="U82" s="2574"/>
      <c r="V82" s="2661"/>
      <c r="W82" s="2574"/>
      <c r="X82" s="2574"/>
      <c r="Y82" s="2574"/>
      <c r="Z82" s="2661"/>
      <c r="AA82" s="2574"/>
      <c r="AB82" s="2574"/>
      <c r="AC82" s="2574"/>
      <c r="AD82" s="2661"/>
      <c r="AE82" s="2574"/>
      <c r="AF82" s="2574"/>
      <c r="AG82" s="2574"/>
      <c r="AH82" s="2661"/>
      <c r="AI82" s="2574"/>
      <c r="AJ82" s="2574"/>
      <c r="AK82" s="2574"/>
      <c r="AM82" s="2574"/>
      <c r="AN82" s="2574"/>
      <c r="AO82" s="2574"/>
      <c r="AQ82" s="2574"/>
      <c r="AR82" s="2574"/>
      <c r="AS82" s="2574"/>
    </row>
    <row r="83" spans="1:45" s="1" customFormat="1" ht="18.75" customHeight="1">
      <c r="A83" s="167"/>
      <c r="B83" s="3585" t="s">
        <v>67</v>
      </c>
      <c r="C83" s="2609">
        <f>SUM(C81,C65,C52,C34,C21)</f>
        <v>905</v>
      </c>
      <c r="D83" s="2610">
        <f>SUM(D21,D34,D52,D65,D81)</f>
        <v>2575</v>
      </c>
      <c r="E83" s="2710">
        <f t="shared" si="13"/>
        <v>0.35145631067961164</v>
      </c>
      <c r="F83" s="2661"/>
      <c r="G83" s="2609">
        <v>914</v>
      </c>
      <c r="H83" s="2610">
        <f>SUM(H21,H34,H52,H65,H81)</f>
        <v>2623</v>
      </c>
      <c r="I83" s="2710">
        <f t="shared" si="14"/>
        <v>0.34845596645062904</v>
      </c>
      <c r="J83" s="2661"/>
      <c r="K83" s="2609">
        <v>941</v>
      </c>
      <c r="L83" s="2610">
        <f>SUM(L21,L34,L52,L65,L81)</f>
        <v>2663</v>
      </c>
      <c r="M83" s="2710">
        <f t="shared" si="15"/>
        <v>0.35336087119789711</v>
      </c>
      <c r="N83" s="2661"/>
      <c r="O83" s="2609">
        <v>1061</v>
      </c>
      <c r="P83" s="2610">
        <f>SUM(P21,P34,P52,P65,P81)</f>
        <v>2705</v>
      </c>
      <c r="Q83" s="2710">
        <f t="shared" si="16"/>
        <v>0.3922365988909427</v>
      </c>
      <c r="R83" s="2661"/>
      <c r="S83" s="2609">
        <v>1084</v>
      </c>
      <c r="T83" s="2610">
        <f>SUM(T21,T34,T52,T65,T81)</f>
        <v>2759</v>
      </c>
      <c r="U83" s="2710">
        <f t="shared" si="17"/>
        <v>0.39289597680318955</v>
      </c>
      <c r="V83" s="2661"/>
      <c r="W83" s="2609">
        <f>SUM(W21,W34,W52,W65,W81)</f>
        <v>1107</v>
      </c>
      <c r="X83" s="2610">
        <f>SUM(X21,X34,X52,X65,X81)</f>
        <v>2743</v>
      </c>
      <c r="Y83" s="2710">
        <f t="shared" si="18"/>
        <v>0.40357273058694859</v>
      </c>
      <c r="Z83" s="2661"/>
      <c r="AA83" s="2609">
        <f>SUM(AA21,AA34,AA52,AA65,AA81)</f>
        <v>1165</v>
      </c>
      <c r="AB83" s="2610">
        <f>SUM(AB81,AB65,AB52,AB34,AB21)</f>
        <v>2732</v>
      </c>
      <c r="AC83" s="2710">
        <f t="shared" si="12"/>
        <v>0.42642752562225478</v>
      </c>
      <c r="AD83" s="2661"/>
      <c r="AE83" s="2609">
        <f>SUM(AE21,AE34,AE52,AE65,AE81)</f>
        <v>1163</v>
      </c>
      <c r="AF83" s="2610">
        <f>SUM(AF81,AF65,AF52,AF34,AF21)</f>
        <v>2754</v>
      </c>
      <c r="AG83" s="2710">
        <f t="shared" si="19"/>
        <v>0.42229484386347133</v>
      </c>
      <c r="AH83" s="2661"/>
      <c r="AI83" s="2609">
        <f>SUM(AI21,AI34,AI52,AI65,AI81)</f>
        <v>1135</v>
      </c>
      <c r="AJ83" s="2610">
        <f>SUM(AJ21,AJ34,AJ52,AJ65,AJ81)</f>
        <v>2776</v>
      </c>
      <c r="AK83" s="2710">
        <f t="shared" si="20"/>
        <v>0.40886167146974062</v>
      </c>
      <c r="AM83" s="2609">
        <v>1156</v>
      </c>
      <c r="AN83" s="2610">
        <f>SUM(AN21,AN34,AN52,AN65,AN81)</f>
        <v>2743</v>
      </c>
      <c r="AO83" s="2710">
        <f>AM83/AN83</f>
        <v>0.4214363835216916</v>
      </c>
      <c r="AQ83" s="2609">
        <v>1164</v>
      </c>
      <c r="AR83" s="2610">
        <f>SUM(AR21,AR34,AR52,AR65,AR81)</f>
        <v>2709</v>
      </c>
      <c r="AS83" s="2710">
        <f>AQ83/AR83</f>
        <v>0.42967884828349945</v>
      </c>
    </row>
    <row r="84" spans="1:45">
      <c r="F84" s="2661"/>
    </row>
    <row r="85" spans="1:45">
      <c r="F85" s="2661"/>
    </row>
  </sheetData>
  <sheetProtection algorithmName="SHA-512" hashValue="5+IGQy4UM8u+I2plIFGmd4GBK40n+sJnPYpN43BPEZHc9r97m5U9pi+2YomTBAsHhnxDi/jYmRC6kLrqde2YuA==" saltValue="8E8f1jpv0AXUsTy0BMK2JA==" spinCount="100000" sheet="1" objects="1" scenarios="1"/>
  <mergeCells count="11">
    <mergeCell ref="AQ2:AS2"/>
    <mergeCell ref="AM2:AO2"/>
    <mergeCell ref="C2:E2"/>
    <mergeCell ref="G2:I2"/>
    <mergeCell ref="K2:M2"/>
    <mergeCell ref="O2:Q2"/>
    <mergeCell ref="AI2:AK2"/>
    <mergeCell ref="AE2:AG2"/>
    <mergeCell ref="AA2:AC2"/>
    <mergeCell ref="W2:Y2"/>
    <mergeCell ref="S2:U2"/>
  </mergeCells>
  <pageMargins left="0.7" right="0.7" top="0.75" bottom="0.75" header="0.3" footer="0.3"/>
  <pageSetup orientation="portrait" r:id="rId1"/>
  <ignoredErrors>
    <ignoredError sqref="U83 AG80 U17:U18 U4:U15 U19:U81" formula="1"/>
    <ignoredError sqref="X83 X80:X81" formulaRange="1"/>
    <ignoredError sqref="Y83 AI80 Y80:Y81" formula="1"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499984740745262"/>
    <pageSetUpPr fitToPage="1"/>
  </sheetPr>
  <dimension ref="A1:Q118"/>
  <sheetViews>
    <sheetView showGridLines="0" zoomScaleNormal="100" zoomScaleSheetLayoutView="70" workbookViewId="0">
      <pane xSplit="2" ySplit="3" topLeftCell="C4" activePane="bottomRight" state="frozen"/>
      <selection activeCell="Z16" sqref="Z16"/>
      <selection pane="topRight" activeCell="Z16" sqref="Z16"/>
      <selection pane="bottomLeft" activeCell="Z16" sqref="Z16"/>
      <selection pane="bottomRight" activeCell="R89" sqref="R89"/>
    </sheetView>
  </sheetViews>
  <sheetFormatPr baseColWidth="10" defaultColWidth="11.44140625" defaultRowHeight="13.2"/>
  <cols>
    <col min="1" max="1" width="2.77734375" style="308" customWidth="1"/>
    <col min="2" max="2" width="45.21875" style="49" bestFit="1" customWidth="1"/>
    <col min="3" max="5" width="9.77734375" style="49" customWidth="1"/>
    <col min="6" max="6" width="1.77734375" style="49" customWidth="1"/>
    <col min="7" max="7" width="7.21875" style="49" customWidth="1"/>
    <col min="8" max="8" width="10.44140625" style="49" customWidth="1"/>
    <col min="9" max="9" width="8.77734375" style="49" customWidth="1"/>
    <col min="10" max="10" width="1.77734375" style="49" customWidth="1"/>
    <col min="11" max="11" width="7.21875" style="49" customWidth="1"/>
    <col min="12" max="12" width="9.77734375" style="49" customWidth="1"/>
    <col min="13" max="13" width="8.77734375" style="49" customWidth="1"/>
    <col min="14" max="14" width="1.77734375" style="49" customWidth="1"/>
    <col min="15" max="16" width="8.77734375" style="49" customWidth="1"/>
    <col min="17" max="17" width="8.33203125" style="49" bestFit="1" customWidth="1"/>
    <col min="18" max="16384" width="11.44140625" style="49"/>
  </cols>
  <sheetData>
    <row r="1" spans="2:17" ht="68.25" customHeight="1">
      <c r="B1" s="2374" t="s">
        <v>2751</v>
      </c>
    </row>
    <row r="2" spans="2:17" ht="14.4">
      <c r="B2" s="77"/>
      <c r="C2" s="5981">
        <v>2017</v>
      </c>
      <c r="D2" s="5981"/>
      <c r="E2" s="5981"/>
      <c r="G2" s="5981">
        <v>2018</v>
      </c>
      <c r="H2" s="5981"/>
      <c r="I2" s="5981"/>
      <c r="K2" s="5981">
        <v>2019</v>
      </c>
      <c r="L2" s="5981"/>
      <c r="M2" s="5981"/>
      <c r="O2" s="5981">
        <v>2020</v>
      </c>
      <c r="P2" s="5981"/>
      <c r="Q2" s="5981"/>
    </row>
    <row r="3" spans="2:17" ht="55.8" thickBot="1">
      <c r="B3" s="2375" t="s">
        <v>2665</v>
      </c>
      <c r="C3" s="2612" t="s">
        <v>83</v>
      </c>
      <c r="D3" s="2611" t="s">
        <v>1083</v>
      </c>
      <c r="E3" s="2584" t="s">
        <v>76</v>
      </c>
      <c r="G3" s="2612" t="s">
        <v>83</v>
      </c>
      <c r="H3" s="2611" t="s">
        <v>1083</v>
      </c>
      <c r="I3" s="2584" t="s">
        <v>76</v>
      </c>
      <c r="K3" s="2612" t="s">
        <v>83</v>
      </c>
      <c r="L3" s="2611" t="s">
        <v>1083</v>
      </c>
      <c r="M3" s="2584" t="s">
        <v>76</v>
      </c>
      <c r="O3" s="2612" t="s">
        <v>83</v>
      </c>
      <c r="P3" s="2611" t="s">
        <v>1083</v>
      </c>
      <c r="Q3" s="2584" t="s">
        <v>76</v>
      </c>
    </row>
    <row r="4" spans="2:17" ht="14.4">
      <c r="B4" s="3568" t="s">
        <v>1097</v>
      </c>
      <c r="C4" s="2671">
        <v>50</v>
      </c>
      <c r="D4" s="2671">
        <v>100</v>
      </c>
      <c r="E4" s="2672">
        <f>C4/D4</f>
        <v>0.5</v>
      </c>
      <c r="G4" s="2671">
        <v>49</v>
      </c>
      <c r="H4" s="2671">
        <v>101</v>
      </c>
      <c r="I4" s="2672">
        <f>G4/H4</f>
        <v>0.48514851485148514</v>
      </c>
      <c r="K4" s="2671">
        <v>49</v>
      </c>
      <c r="L4" s="2671">
        <v>104</v>
      </c>
      <c r="M4" s="2672">
        <f>K4/L4</f>
        <v>0.47115384615384615</v>
      </c>
      <c r="O4" s="2671">
        <v>52</v>
      </c>
      <c r="P4" s="2671">
        <v>106</v>
      </c>
      <c r="Q4" s="2672">
        <f>O4/P4</f>
        <v>0.49056603773584906</v>
      </c>
    </row>
    <row r="5" spans="2:17" ht="14.4">
      <c r="B5" s="3576" t="s">
        <v>1098</v>
      </c>
      <c r="C5" s="1153">
        <v>9</v>
      </c>
      <c r="D5" s="1153">
        <v>21</v>
      </c>
      <c r="E5" s="2663">
        <f t="shared" ref="E5:E59" si="0">C5/D5</f>
        <v>0.42857142857142855</v>
      </c>
      <c r="G5" s="1153">
        <v>8</v>
      </c>
      <c r="H5" s="1153">
        <v>21</v>
      </c>
      <c r="I5" s="2663">
        <f t="shared" ref="I5:I59" si="1">G5/H5</f>
        <v>0.38095238095238093</v>
      </c>
      <c r="K5" s="1153">
        <v>7</v>
      </c>
      <c r="L5" s="1153">
        <v>20</v>
      </c>
      <c r="M5" s="2663">
        <f t="shared" ref="M5:M64" si="2">K5/L5</f>
        <v>0.35</v>
      </c>
      <c r="O5" s="1153">
        <v>7</v>
      </c>
      <c r="P5" s="1153">
        <v>19</v>
      </c>
      <c r="Q5" s="2663">
        <f t="shared" ref="Q5:Q59" si="3">O5/P5</f>
        <v>0.36842105263157893</v>
      </c>
    </row>
    <row r="6" spans="2:17" ht="14.4">
      <c r="B6" s="3576" t="s">
        <v>1099</v>
      </c>
      <c r="C6" s="1153">
        <v>26</v>
      </c>
      <c r="D6" s="1153">
        <v>38</v>
      </c>
      <c r="E6" s="2663">
        <f t="shared" si="0"/>
        <v>0.68421052631578949</v>
      </c>
      <c r="G6" s="1153">
        <v>22</v>
      </c>
      <c r="H6" s="1153">
        <v>41</v>
      </c>
      <c r="I6" s="2663">
        <f t="shared" si="1"/>
        <v>0.53658536585365857</v>
      </c>
      <c r="K6" s="1153">
        <v>21</v>
      </c>
      <c r="L6" s="1153">
        <v>44</v>
      </c>
      <c r="M6" s="2663">
        <f t="shared" si="2"/>
        <v>0.47727272727272729</v>
      </c>
      <c r="O6" s="1153">
        <v>22</v>
      </c>
      <c r="P6" s="1153">
        <v>43</v>
      </c>
      <c r="Q6" s="2663">
        <f t="shared" si="3"/>
        <v>0.51162790697674421</v>
      </c>
    </row>
    <row r="7" spans="2:17" ht="14.4">
      <c r="B7" s="3576" t="s">
        <v>1100</v>
      </c>
      <c r="C7" s="1153">
        <v>19</v>
      </c>
      <c r="D7" s="1153">
        <v>33</v>
      </c>
      <c r="E7" s="2663">
        <f t="shared" si="0"/>
        <v>0.5757575757575758</v>
      </c>
      <c r="G7" s="1153">
        <v>19</v>
      </c>
      <c r="H7" s="1153">
        <v>34</v>
      </c>
      <c r="I7" s="2663">
        <f t="shared" si="1"/>
        <v>0.55882352941176472</v>
      </c>
      <c r="K7" s="1153">
        <v>22</v>
      </c>
      <c r="L7" s="1153">
        <v>36</v>
      </c>
      <c r="M7" s="2663">
        <f t="shared" si="2"/>
        <v>0.61111111111111116</v>
      </c>
      <c r="O7" s="1153">
        <v>22</v>
      </c>
      <c r="P7" s="1153">
        <v>36</v>
      </c>
      <c r="Q7" s="2663">
        <f t="shared" si="3"/>
        <v>0.61111111111111116</v>
      </c>
    </row>
    <row r="8" spans="2:17" ht="15" thickBot="1">
      <c r="B8" s="3586" t="s">
        <v>1101</v>
      </c>
      <c r="C8" s="1153">
        <v>16</v>
      </c>
      <c r="D8" s="1153">
        <v>30</v>
      </c>
      <c r="E8" s="2663">
        <f t="shared" si="0"/>
        <v>0.53333333333333333</v>
      </c>
      <c r="G8" s="1153">
        <v>15</v>
      </c>
      <c r="H8" s="1153">
        <v>32</v>
      </c>
      <c r="I8" s="2663">
        <f t="shared" si="1"/>
        <v>0.46875</v>
      </c>
      <c r="K8" s="1153">
        <v>18</v>
      </c>
      <c r="L8" s="1153">
        <v>36</v>
      </c>
      <c r="M8" s="2663">
        <f t="shared" si="2"/>
        <v>0.5</v>
      </c>
      <c r="O8" s="1153">
        <v>19</v>
      </c>
      <c r="P8" s="1153">
        <v>38</v>
      </c>
      <c r="Q8" s="2663">
        <f t="shared" si="3"/>
        <v>0.5</v>
      </c>
    </row>
    <row r="9" spans="2:17" ht="15" thickBot="1">
      <c r="B9" s="2905" t="s">
        <v>4</v>
      </c>
      <c r="C9" s="1154">
        <v>120</v>
      </c>
      <c r="D9" s="1154">
        <f>SUM(D4:D8)</f>
        <v>222</v>
      </c>
      <c r="E9" s="2664">
        <f t="shared" si="0"/>
        <v>0.54054054054054057</v>
      </c>
      <c r="G9" s="1154">
        <v>113</v>
      </c>
      <c r="H9" s="1154">
        <v>229</v>
      </c>
      <c r="I9" s="2664">
        <f t="shared" si="1"/>
        <v>0.49344978165938863</v>
      </c>
      <c r="K9" s="1154">
        <v>117</v>
      </c>
      <c r="L9" s="1154">
        <v>240</v>
      </c>
      <c r="M9" s="2664">
        <f t="shared" si="2"/>
        <v>0.48749999999999999</v>
      </c>
      <c r="O9" s="1154">
        <v>122</v>
      </c>
      <c r="P9" s="1154">
        <f>SUM(P4:P8)</f>
        <v>242</v>
      </c>
      <c r="Q9" s="2664">
        <f t="shared" si="3"/>
        <v>0.50413223140495866</v>
      </c>
    </row>
    <row r="10" spans="2:17" ht="14.4">
      <c r="B10" s="3571" t="s">
        <v>1102</v>
      </c>
      <c r="C10" s="1153">
        <v>12</v>
      </c>
      <c r="D10" s="1153">
        <v>27</v>
      </c>
      <c r="E10" s="2663">
        <f t="shared" si="0"/>
        <v>0.44444444444444442</v>
      </c>
      <c r="G10" s="1153">
        <v>13</v>
      </c>
      <c r="H10" s="1153">
        <v>29</v>
      </c>
      <c r="I10" s="2663">
        <f t="shared" si="1"/>
        <v>0.44827586206896552</v>
      </c>
      <c r="K10" s="1153">
        <v>12</v>
      </c>
      <c r="L10" s="1153">
        <v>32</v>
      </c>
      <c r="M10" s="2663">
        <f t="shared" si="2"/>
        <v>0.375</v>
      </c>
      <c r="O10" s="1153">
        <v>13</v>
      </c>
      <c r="P10" s="1153">
        <v>31</v>
      </c>
      <c r="Q10" s="2663">
        <f t="shared" si="3"/>
        <v>0.41935483870967744</v>
      </c>
    </row>
    <row r="11" spans="2:17" ht="14.4">
      <c r="B11" s="3576" t="s">
        <v>1103</v>
      </c>
      <c r="C11" s="1155">
        <v>18</v>
      </c>
      <c r="D11" s="1155">
        <v>25</v>
      </c>
      <c r="E11" s="2663">
        <f t="shared" si="0"/>
        <v>0.72</v>
      </c>
      <c r="G11" s="1155">
        <v>16</v>
      </c>
      <c r="H11" s="1155">
        <v>25</v>
      </c>
      <c r="I11" s="2663">
        <f t="shared" si="1"/>
        <v>0.64</v>
      </c>
      <c r="K11" s="1155">
        <v>16</v>
      </c>
      <c r="L11" s="1155">
        <v>29</v>
      </c>
      <c r="M11" s="2663">
        <f t="shared" si="2"/>
        <v>0.55172413793103448</v>
      </c>
      <c r="O11" s="1155">
        <v>19</v>
      </c>
      <c r="P11" s="1155">
        <v>28</v>
      </c>
      <c r="Q11" s="2663">
        <f t="shared" si="3"/>
        <v>0.6785714285714286</v>
      </c>
    </row>
    <row r="12" spans="2:17" ht="14.4">
      <c r="B12" s="3576" t="s">
        <v>1104</v>
      </c>
      <c r="C12" s="1155">
        <v>27</v>
      </c>
      <c r="D12" s="1155">
        <v>41</v>
      </c>
      <c r="E12" s="2663">
        <f t="shared" si="0"/>
        <v>0.65853658536585369</v>
      </c>
      <c r="G12" s="1155">
        <v>28</v>
      </c>
      <c r="H12" s="1155">
        <v>43</v>
      </c>
      <c r="I12" s="2663">
        <f t="shared" si="1"/>
        <v>0.65116279069767447</v>
      </c>
      <c r="K12" s="1155">
        <v>27</v>
      </c>
      <c r="L12" s="1155">
        <v>42</v>
      </c>
      <c r="M12" s="2663">
        <f t="shared" si="2"/>
        <v>0.6428571428571429</v>
      </c>
      <c r="O12" s="1155">
        <v>26</v>
      </c>
      <c r="P12" s="1155">
        <v>39</v>
      </c>
      <c r="Q12" s="2663">
        <f t="shared" si="3"/>
        <v>0.66666666666666663</v>
      </c>
    </row>
    <row r="13" spans="2:17" ht="14.4">
      <c r="B13" s="3576" t="s">
        <v>813</v>
      </c>
      <c r="C13" s="1153">
        <v>16</v>
      </c>
      <c r="D13" s="1153">
        <v>30</v>
      </c>
      <c r="E13" s="2663">
        <f t="shared" si="0"/>
        <v>0.53333333333333333</v>
      </c>
      <c r="G13" s="1153">
        <v>20</v>
      </c>
      <c r="H13" s="1153">
        <v>31</v>
      </c>
      <c r="I13" s="2663">
        <f t="shared" si="1"/>
        <v>0.64516129032258063</v>
      </c>
      <c r="K13" s="1153">
        <v>18</v>
      </c>
      <c r="L13" s="1153">
        <v>31</v>
      </c>
      <c r="M13" s="2663">
        <f t="shared" si="2"/>
        <v>0.58064516129032262</v>
      </c>
      <c r="O13" s="1153">
        <v>18</v>
      </c>
      <c r="P13" s="1153">
        <v>31</v>
      </c>
      <c r="Q13" s="2663">
        <f t="shared" si="3"/>
        <v>0.58064516129032262</v>
      </c>
    </row>
    <row r="14" spans="2:17" ht="15" thickBot="1">
      <c r="B14" s="3577" t="s">
        <v>1105</v>
      </c>
      <c r="C14" s="1155">
        <v>45</v>
      </c>
      <c r="D14" s="1155">
        <v>56</v>
      </c>
      <c r="E14" s="2663">
        <f t="shared" si="0"/>
        <v>0.8035714285714286</v>
      </c>
      <c r="G14" s="1155">
        <v>40</v>
      </c>
      <c r="H14" s="1155">
        <v>59</v>
      </c>
      <c r="I14" s="2663">
        <f t="shared" si="1"/>
        <v>0.67796610169491522</v>
      </c>
      <c r="K14" s="1155">
        <v>39</v>
      </c>
      <c r="L14" s="1155">
        <v>54</v>
      </c>
      <c r="M14" s="2663">
        <f t="shared" si="2"/>
        <v>0.72222222222222221</v>
      </c>
      <c r="O14" s="1155">
        <v>39</v>
      </c>
      <c r="P14" s="1155">
        <v>55</v>
      </c>
      <c r="Q14" s="2663">
        <f t="shared" si="3"/>
        <v>0.70909090909090911</v>
      </c>
    </row>
    <row r="15" spans="2:17" ht="15" thickBot="1">
      <c r="B15" s="2905" t="s">
        <v>16</v>
      </c>
      <c r="C15" s="1154">
        <v>118</v>
      </c>
      <c r="D15" s="1154">
        <f>SUM(D10:D14)</f>
        <v>179</v>
      </c>
      <c r="E15" s="2664">
        <f t="shared" si="0"/>
        <v>0.65921787709497204</v>
      </c>
      <c r="G15" s="1154">
        <v>117</v>
      </c>
      <c r="H15" s="1154">
        <v>187</v>
      </c>
      <c r="I15" s="2664">
        <f t="shared" si="1"/>
        <v>0.62566844919786091</v>
      </c>
      <c r="K15" s="1154">
        <v>112</v>
      </c>
      <c r="L15" s="1154">
        <v>188</v>
      </c>
      <c r="M15" s="2664">
        <f t="shared" si="2"/>
        <v>0.5957446808510638</v>
      </c>
      <c r="O15" s="1154">
        <v>115</v>
      </c>
      <c r="P15" s="1154">
        <f>SUM(P10:P14)</f>
        <v>184</v>
      </c>
      <c r="Q15" s="2664">
        <f t="shared" si="3"/>
        <v>0.625</v>
      </c>
    </row>
    <row r="16" spans="2:17" ht="14.4">
      <c r="B16" s="3587" t="s">
        <v>1109</v>
      </c>
      <c r="C16" s="1153">
        <v>4</v>
      </c>
      <c r="D16" s="1153">
        <v>14</v>
      </c>
      <c r="E16" s="2663">
        <f t="shared" si="0"/>
        <v>0.2857142857142857</v>
      </c>
      <c r="G16" s="1153">
        <v>4</v>
      </c>
      <c r="H16" s="1153">
        <v>14</v>
      </c>
      <c r="I16" s="2663">
        <f t="shared" si="1"/>
        <v>0.2857142857142857</v>
      </c>
      <c r="K16" s="1153">
        <v>5</v>
      </c>
      <c r="L16" s="1153">
        <v>13</v>
      </c>
      <c r="M16" s="2663">
        <f t="shared" si="2"/>
        <v>0.38461538461538464</v>
      </c>
      <c r="O16" s="1153">
        <v>3</v>
      </c>
      <c r="P16" s="1153">
        <v>13</v>
      </c>
      <c r="Q16" s="2663">
        <f t="shared" si="3"/>
        <v>0.23076923076923078</v>
      </c>
    </row>
    <row r="17" spans="2:17" ht="14.4">
      <c r="B17" s="3587" t="s">
        <v>1595</v>
      </c>
      <c r="C17" s="1153">
        <v>3</v>
      </c>
      <c r="D17" s="1153">
        <v>19</v>
      </c>
      <c r="E17" s="2663">
        <f t="shared" si="0"/>
        <v>0.15789473684210525</v>
      </c>
      <c r="G17" s="1153">
        <v>2</v>
      </c>
      <c r="H17" s="1153">
        <v>19</v>
      </c>
      <c r="I17" s="2663">
        <f t="shared" si="1"/>
        <v>0.10526315789473684</v>
      </c>
      <c r="K17" s="1153">
        <v>3</v>
      </c>
      <c r="L17" s="1153">
        <v>23</v>
      </c>
      <c r="M17" s="2663">
        <f t="shared" si="2"/>
        <v>0.13043478260869565</v>
      </c>
      <c r="O17" s="1153">
        <v>6</v>
      </c>
      <c r="P17" s="1153">
        <v>22</v>
      </c>
      <c r="Q17" s="2663">
        <f t="shared" si="3"/>
        <v>0.27272727272727271</v>
      </c>
    </row>
    <row r="18" spans="2:17" ht="14.4">
      <c r="B18" s="3587" t="s">
        <v>1596</v>
      </c>
      <c r="C18" s="1153">
        <v>5</v>
      </c>
      <c r="D18" s="1153">
        <v>10</v>
      </c>
      <c r="E18" s="2663">
        <f t="shared" si="0"/>
        <v>0.5</v>
      </c>
      <c r="G18" s="1153">
        <v>4</v>
      </c>
      <c r="H18" s="1153">
        <v>11</v>
      </c>
      <c r="I18" s="2663">
        <f t="shared" si="1"/>
        <v>0.36363636363636365</v>
      </c>
      <c r="K18" s="1153">
        <v>3</v>
      </c>
      <c r="L18" s="1153">
        <v>12</v>
      </c>
      <c r="M18" s="2663">
        <f t="shared" si="2"/>
        <v>0.25</v>
      </c>
      <c r="O18" s="1153">
        <v>5</v>
      </c>
      <c r="P18" s="1153">
        <v>11</v>
      </c>
      <c r="Q18" s="2663">
        <f t="shared" si="3"/>
        <v>0.45454545454545453</v>
      </c>
    </row>
    <row r="19" spans="2:17" ht="15" thickBot="1">
      <c r="B19" s="3577" t="s">
        <v>1597</v>
      </c>
      <c r="C19" s="1153">
        <v>3</v>
      </c>
      <c r="D19" s="1153">
        <v>16</v>
      </c>
      <c r="E19" s="2663">
        <f t="shared" si="0"/>
        <v>0.1875</v>
      </c>
      <c r="G19" s="1153">
        <v>4</v>
      </c>
      <c r="H19" s="1153">
        <v>18</v>
      </c>
      <c r="I19" s="2663">
        <f t="shared" si="1"/>
        <v>0.22222222222222221</v>
      </c>
      <c r="K19" s="1153">
        <v>5</v>
      </c>
      <c r="L19" s="1153">
        <v>18</v>
      </c>
      <c r="M19" s="2663">
        <f t="shared" si="2"/>
        <v>0.27777777777777779</v>
      </c>
      <c r="O19" s="1153">
        <v>5</v>
      </c>
      <c r="P19" s="1153">
        <v>18</v>
      </c>
      <c r="Q19" s="2663">
        <f t="shared" si="3"/>
        <v>0.27777777777777779</v>
      </c>
    </row>
    <row r="20" spans="2:17" ht="15" customHeight="1">
      <c r="B20" s="2906" t="s">
        <v>21</v>
      </c>
      <c r="C20" s="1160">
        <v>15</v>
      </c>
      <c r="D20" s="1160">
        <f>SUM(D16:D19)</f>
        <v>59</v>
      </c>
      <c r="E20" s="2664">
        <f t="shared" si="0"/>
        <v>0.25423728813559321</v>
      </c>
      <c r="G20" s="1160">
        <v>14</v>
      </c>
      <c r="H20" s="1160">
        <v>62</v>
      </c>
      <c r="I20" s="2664">
        <f t="shared" si="1"/>
        <v>0.22580645161290322</v>
      </c>
      <c r="K20" s="1160">
        <v>16</v>
      </c>
      <c r="L20" s="1160">
        <v>66</v>
      </c>
      <c r="M20" s="2664">
        <f t="shared" si="2"/>
        <v>0.24242424242424243</v>
      </c>
      <c r="O20" s="1160">
        <v>19</v>
      </c>
      <c r="P20" s="1160">
        <f>SUM(P16:P19)</f>
        <v>64</v>
      </c>
      <c r="Q20" s="2664">
        <f t="shared" si="3"/>
        <v>0.296875</v>
      </c>
    </row>
    <row r="21" spans="2:17" ht="15" customHeight="1">
      <c r="B21" s="3574" t="s">
        <v>1019</v>
      </c>
      <c r="C21" s="2673">
        <v>253</v>
      </c>
      <c r="D21" s="2673">
        <f>SUM(D9,D15,D20)</f>
        <v>460</v>
      </c>
      <c r="E21" s="2665">
        <f t="shared" si="0"/>
        <v>0.55000000000000004</v>
      </c>
      <c r="G21" s="2673">
        <v>244</v>
      </c>
      <c r="H21" s="2673">
        <v>478</v>
      </c>
      <c r="I21" s="2665">
        <f t="shared" si="1"/>
        <v>0.5104602510460251</v>
      </c>
      <c r="K21" s="2673">
        <v>245</v>
      </c>
      <c r="L21" s="2673">
        <v>494</v>
      </c>
      <c r="M21" s="2665">
        <f t="shared" si="2"/>
        <v>0.4959514170040486</v>
      </c>
      <c r="O21" s="2673">
        <v>256</v>
      </c>
      <c r="P21" s="2673">
        <f>SUM(P9,P15,P20)</f>
        <v>490</v>
      </c>
      <c r="Q21" s="2665">
        <f t="shared" si="3"/>
        <v>0.52244897959183678</v>
      </c>
    </row>
    <row r="22" spans="2:17" ht="14.4">
      <c r="B22" s="3571" t="s">
        <v>1112</v>
      </c>
      <c r="C22" s="1156">
        <v>10</v>
      </c>
      <c r="D22" s="1156">
        <v>14</v>
      </c>
      <c r="E22" s="2662">
        <f t="shared" si="0"/>
        <v>0.7142857142857143</v>
      </c>
      <c r="G22" s="1156">
        <v>9</v>
      </c>
      <c r="H22" s="1156">
        <v>12</v>
      </c>
      <c r="I22" s="2662">
        <f t="shared" si="1"/>
        <v>0.75</v>
      </c>
      <c r="K22" s="1156">
        <v>9</v>
      </c>
      <c r="L22" s="1156">
        <v>12</v>
      </c>
      <c r="M22" s="2662">
        <f t="shared" si="2"/>
        <v>0.75</v>
      </c>
      <c r="O22" s="1156">
        <v>7</v>
      </c>
      <c r="P22" s="1156">
        <v>12</v>
      </c>
      <c r="Q22" s="2662">
        <f t="shared" si="3"/>
        <v>0.58333333333333337</v>
      </c>
    </row>
    <row r="23" spans="2:17" ht="14.4">
      <c r="B23" s="3576" t="s">
        <v>1113</v>
      </c>
      <c r="C23" s="1153">
        <v>6</v>
      </c>
      <c r="D23" s="1153">
        <v>15</v>
      </c>
      <c r="E23" s="2663">
        <f t="shared" si="0"/>
        <v>0.4</v>
      </c>
      <c r="G23" s="1153">
        <v>5</v>
      </c>
      <c r="H23" s="1153">
        <v>15</v>
      </c>
      <c r="I23" s="2663">
        <f t="shared" si="1"/>
        <v>0.33333333333333331</v>
      </c>
      <c r="K23" s="1153">
        <v>5</v>
      </c>
      <c r="L23" s="1153">
        <v>17</v>
      </c>
      <c r="M23" s="2663">
        <f t="shared" si="2"/>
        <v>0.29411764705882354</v>
      </c>
      <c r="O23" s="1153">
        <v>5</v>
      </c>
      <c r="P23" s="1153">
        <v>17</v>
      </c>
      <c r="Q23" s="2663">
        <f t="shared" si="3"/>
        <v>0.29411764705882354</v>
      </c>
    </row>
    <row r="24" spans="2:17" ht="15" thickBot="1">
      <c r="B24" s="3577" t="s">
        <v>1114</v>
      </c>
      <c r="C24" s="1153">
        <v>5</v>
      </c>
      <c r="D24" s="1153">
        <v>11</v>
      </c>
      <c r="E24" s="2663">
        <f t="shared" si="0"/>
        <v>0.45454545454545453</v>
      </c>
      <c r="G24" s="1153">
        <v>6</v>
      </c>
      <c r="H24" s="1153">
        <v>11</v>
      </c>
      <c r="I24" s="2663">
        <f t="shared" si="1"/>
        <v>0.54545454545454541</v>
      </c>
      <c r="K24" s="1153">
        <v>6</v>
      </c>
      <c r="L24" s="1153">
        <v>10</v>
      </c>
      <c r="M24" s="2663">
        <f t="shared" si="2"/>
        <v>0.6</v>
      </c>
      <c r="O24" s="1153">
        <v>6</v>
      </c>
      <c r="P24" s="1153">
        <v>12</v>
      </c>
      <c r="Q24" s="2663">
        <f t="shared" si="3"/>
        <v>0.5</v>
      </c>
    </row>
    <row r="25" spans="2:17" ht="15" thickBot="1">
      <c r="B25" s="2905" t="s">
        <v>61</v>
      </c>
      <c r="C25" s="1157">
        <v>21</v>
      </c>
      <c r="D25" s="1157">
        <f>SUM(D22:D24)</f>
        <v>40</v>
      </c>
      <c r="E25" s="2664">
        <f t="shared" si="0"/>
        <v>0.52500000000000002</v>
      </c>
      <c r="G25" s="1157">
        <v>20</v>
      </c>
      <c r="H25" s="1157">
        <v>38</v>
      </c>
      <c r="I25" s="2664">
        <f t="shared" si="1"/>
        <v>0.52631578947368418</v>
      </c>
      <c r="K25" s="1157">
        <v>20</v>
      </c>
      <c r="L25" s="1157">
        <v>39</v>
      </c>
      <c r="M25" s="2664">
        <f t="shared" si="2"/>
        <v>0.51282051282051277</v>
      </c>
      <c r="O25" s="1157">
        <v>18</v>
      </c>
      <c r="P25" s="1157">
        <f>SUM(P22:P24)</f>
        <v>41</v>
      </c>
      <c r="Q25" s="2664">
        <f t="shared" si="3"/>
        <v>0.43902439024390244</v>
      </c>
    </row>
    <row r="26" spans="2:17" ht="14.4">
      <c r="B26" s="3575" t="s">
        <v>1115</v>
      </c>
      <c r="C26" s="1153">
        <v>11</v>
      </c>
      <c r="D26" s="1153">
        <v>13</v>
      </c>
      <c r="E26" s="2663">
        <f t="shared" si="0"/>
        <v>0.84615384615384615</v>
      </c>
      <c r="G26" s="1153">
        <v>12</v>
      </c>
      <c r="H26" s="1153">
        <v>13</v>
      </c>
      <c r="I26" s="2663">
        <f t="shared" si="1"/>
        <v>0.92307692307692313</v>
      </c>
      <c r="K26" s="1153">
        <v>13</v>
      </c>
      <c r="L26" s="1153">
        <v>15</v>
      </c>
      <c r="M26" s="2663">
        <f t="shared" si="2"/>
        <v>0.8666666666666667</v>
      </c>
      <c r="O26" s="1153">
        <v>12</v>
      </c>
      <c r="P26" s="1153">
        <v>16</v>
      </c>
      <c r="Q26" s="2663">
        <f t="shared" si="3"/>
        <v>0.75</v>
      </c>
    </row>
    <row r="27" spans="2:17" ht="14.4">
      <c r="B27" s="3576" t="s">
        <v>1116</v>
      </c>
      <c r="C27" s="1153">
        <v>16</v>
      </c>
      <c r="D27" s="1153">
        <v>18</v>
      </c>
      <c r="E27" s="2663">
        <f t="shared" si="0"/>
        <v>0.88888888888888884</v>
      </c>
      <c r="G27" s="1153">
        <v>16</v>
      </c>
      <c r="H27" s="1153">
        <v>18</v>
      </c>
      <c r="I27" s="2663">
        <f t="shared" si="1"/>
        <v>0.88888888888888884</v>
      </c>
      <c r="K27" s="1153">
        <v>20</v>
      </c>
      <c r="L27" s="1153">
        <v>20</v>
      </c>
      <c r="M27" s="2663">
        <f t="shared" si="2"/>
        <v>1</v>
      </c>
      <c r="O27" s="1153">
        <v>17</v>
      </c>
      <c r="P27" s="1153">
        <v>20</v>
      </c>
      <c r="Q27" s="2663">
        <f t="shared" si="3"/>
        <v>0.85</v>
      </c>
    </row>
    <row r="28" spans="2:17" ht="15" thickBot="1">
      <c r="B28" s="3576" t="s">
        <v>1117</v>
      </c>
      <c r="C28" s="1155">
        <v>18</v>
      </c>
      <c r="D28" s="1155">
        <v>17</v>
      </c>
      <c r="E28" s="2663">
        <f t="shared" si="0"/>
        <v>1.0588235294117647</v>
      </c>
      <c r="G28" s="1155">
        <v>26</v>
      </c>
      <c r="H28" s="1155">
        <v>17</v>
      </c>
      <c r="I28" s="2663">
        <f t="shared" si="1"/>
        <v>1.5294117647058822</v>
      </c>
      <c r="K28" s="1155">
        <v>25</v>
      </c>
      <c r="L28" s="1155">
        <v>16</v>
      </c>
      <c r="M28" s="2663">
        <f t="shared" si="2"/>
        <v>1.5625</v>
      </c>
      <c r="O28" s="1155">
        <v>24</v>
      </c>
      <c r="P28" s="1155">
        <v>16</v>
      </c>
      <c r="Q28" s="2663">
        <f t="shared" si="3"/>
        <v>1.5</v>
      </c>
    </row>
    <row r="29" spans="2:17" ht="15" thickBot="1">
      <c r="B29" s="2905" t="s">
        <v>64</v>
      </c>
      <c r="C29" s="1157">
        <v>45</v>
      </c>
      <c r="D29" s="1157">
        <f>SUM(D26:D28)</f>
        <v>48</v>
      </c>
      <c r="E29" s="2664">
        <f t="shared" si="0"/>
        <v>0.9375</v>
      </c>
      <c r="G29" s="1157">
        <v>54</v>
      </c>
      <c r="H29" s="1157">
        <v>48</v>
      </c>
      <c r="I29" s="2664">
        <f t="shared" si="1"/>
        <v>1.125</v>
      </c>
      <c r="K29" s="1157">
        <v>58</v>
      </c>
      <c r="L29" s="1157">
        <v>51</v>
      </c>
      <c r="M29" s="2664">
        <f t="shared" si="2"/>
        <v>1.1372549019607843</v>
      </c>
      <c r="O29" s="1157">
        <v>53</v>
      </c>
      <c r="P29" s="1157">
        <f>SUM(P26:P28)</f>
        <v>52</v>
      </c>
      <c r="Q29" s="2664">
        <f t="shared" si="3"/>
        <v>1.0192307692307692</v>
      </c>
    </row>
    <row r="30" spans="2:17" ht="14.4">
      <c r="B30" s="3575" t="s">
        <v>1118</v>
      </c>
      <c r="C30" s="1153">
        <v>19</v>
      </c>
      <c r="D30" s="1153">
        <v>19</v>
      </c>
      <c r="E30" s="2663">
        <f t="shared" si="0"/>
        <v>1</v>
      </c>
      <c r="G30" s="1153">
        <v>15</v>
      </c>
      <c r="H30" s="1153">
        <v>17</v>
      </c>
      <c r="I30" s="2663">
        <f t="shared" si="1"/>
        <v>0.88235294117647056</v>
      </c>
      <c r="K30" s="1153">
        <v>15</v>
      </c>
      <c r="L30" s="1153">
        <v>18</v>
      </c>
      <c r="M30" s="2663">
        <f t="shared" si="2"/>
        <v>0.83333333333333337</v>
      </c>
      <c r="O30" s="1153">
        <v>15</v>
      </c>
      <c r="P30" s="1153">
        <v>17</v>
      </c>
      <c r="Q30" s="2663">
        <f t="shared" si="3"/>
        <v>0.88235294117647056</v>
      </c>
    </row>
    <row r="31" spans="2:17" ht="14.4">
      <c r="B31" s="3576" t="s">
        <v>1119</v>
      </c>
      <c r="C31" s="1153">
        <v>10</v>
      </c>
      <c r="D31" s="1153">
        <v>23</v>
      </c>
      <c r="E31" s="2663">
        <f t="shared" si="0"/>
        <v>0.43478260869565216</v>
      </c>
      <c r="G31" s="1153">
        <v>7</v>
      </c>
      <c r="H31" s="1153">
        <v>22</v>
      </c>
      <c r="I31" s="2663">
        <f t="shared" si="1"/>
        <v>0.31818181818181818</v>
      </c>
      <c r="K31" s="1153">
        <v>8</v>
      </c>
      <c r="L31" s="1153">
        <v>21</v>
      </c>
      <c r="M31" s="2663">
        <f t="shared" si="2"/>
        <v>0.38095238095238093</v>
      </c>
      <c r="O31" s="1153">
        <v>8</v>
      </c>
      <c r="P31" s="1153">
        <v>21</v>
      </c>
      <c r="Q31" s="2663">
        <f t="shared" si="3"/>
        <v>0.38095238095238093</v>
      </c>
    </row>
    <row r="32" spans="2:17" ht="15" thickBot="1">
      <c r="B32" s="3577" t="s">
        <v>813</v>
      </c>
      <c r="C32" s="1153">
        <v>23</v>
      </c>
      <c r="D32" s="1153">
        <v>21</v>
      </c>
      <c r="E32" s="2663">
        <f t="shared" si="0"/>
        <v>1.0952380952380953</v>
      </c>
      <c r="G32" s="1153">
        <v>22</v>
      </c>
      <c r="H32" s="1153">
        <v>22</v>
      </c>
      <c r="I32" s="2663">
        <f t="shared" si="1"/>
        <v>1</v>
      </c>
      <c r="K32" s="1153">
        <v>21</v>
      </c>
      <c r="L32" s="1153">
        <v>21</v>
      </c>
      <c r="M32" s="2663">
        <f t="shared" si="2"/>
        <v>1</v>
      </c>
      <c r="O32" s="1153">
        <v>20</v>
      </c>
      <c r="P32" s="1153">
        <v>21</v>
      </c>
      <c r="Q32" s="2663">
        <f t="shared" si="3"/>
        <v>0.95238095238095233</v>
      </c>
    </row>
    <row r="33" spans="2:17" ht="14.4">
      <c r="B33" s="2906" t="s">
        <v>16</v>
      </c>
      <c r="C33" s="1158">
        <v>52</v>
      </c>
      <c r="D33" s="1158">
        <f>SUM(D30:D32)</f>
        <v>63</v>
      </c>
      <c r="E33" s="2664">
        <f t="shared" si="0"/>
        <v>0.82539682539682535</v>
      </c>
      <c r="G33" s="1158">
        <v>44</v>
      </c>
      <c r="H33" s="1158">
        <v>61</v>
      </c>
      <c r="I33" s="2664">
        <f t="shared" si="1"/>
        <v>0.72131147540983609</v>
      </c>
      <c r="K33" s="1158">
        <v>44</v>
      </c>
      <c r="L33" s="1158">
        <v>60</v>
      </c>
      <c r="M33" s="2664">
        <f t="shared" si="2"/>
        <v>0.73333333333333328</v>
      </c>
      <c r="O33" s="1158">
        <v>43</v>
      </c>
      <c r="P33" s="1158">
        <f>SUM(P30:P32)</f>
        <v>59</v>
      </c>
      <c r="Q33" s="2664">
        <f t="shared" si="3"/>
        <v>0.72881355932203384</v>
      </c>
    </row>
    <row r="34" spans="2:17" ht="15" customHeight="1">
      <c r="B34" s="3578" t="s">
        <v>1021</v>
      </c>
      <c r="C34" s="2674">
        <v>118</v>
      </c>
      <c r="D34" s="2674">
        <f>SUM(D25,D29,D33)</f>
        <v>151</v>
      </c>
      <c r="E34" s="2666">
        <f t="shared" si="0"/>
        <v>0.7814569536423841</v>
      </c>
      <c r="G34" s="2674">
        <v>118</v>
      </c>
      <c r="H34" s="2674">
        <v>147</v>
      </c>
      <c r="I34" s="2666">
        <f t="shared" si="1"/>
        <v>0.80272108843537415</v>
      </c>
      <c r="K34" s="2674">
        <v>122</v>
      </c>
      <c r="L34" s="2674">
        <v>150</v>
      </c>
      <c r="M34" s="2666">
        <f t="shared" si="2"/>
        <v>0.81333333333333335</v>
      </c>
      <c r="O34" s="2674">
        <v>114</v>
      </c>
      <c r="P34" s="2674">
        <f>SUM(P25,P29,P33)</f>
        <v>152</v>
      </c>
      <c r="Q34" s="2666">
        <f t="shared" si="3"/>
        <v>0.75</v>
      </c>
    </row>
    <row r="35" spans="2:17" ht="14.4">
      <c r="B35" s="3571" t="s">
        <v>1120</v>
      </c>
      <c r="C35" s="1152">
        <v>52</v>
      </c>
      <c r="D35" s="1152">
        <v>56</v>
      </c>
      <c r="E35" s="2662">
        <f t="shared" si="0"/>
        <v>0.9285714285714286</v>
      </c>
      <c r="G35" s="1152">
        <v>48</v>
      </c>
      <c r="H35" s="1152">
        <v>56</v>
      </c>
      <c r="I35" s="2662">
        <f t="shared" si="1"/>
        <v>0.8571428571428571</v>
      </c>
      <c r="K35" s="1152">
        <v>53</v>
      </c>
      <c r="L35" s="1152">
        <v>55</v>
      </c>
      <c r="M35" s="2662">
        <f t="shared" si="2"/>
        <v>0.96363636363636362</v>
      </c>
      <c r="O35" s="1152">
        <v>53</v>
      </c>
      <c r="P35" s="1152">
        <v>54</v>
      </c>
      <c r="Q35" s="2662">
        <f t="shared" si="3"/>
        <v>0.98148148148148151</v>
      </c>
    </row>
    <row r="36" spans="2:17" ht="14.4">
      <c r="B36" s="3576" t="s">
        <v>1121</v>
      </c>
      <c r="C36" s="1155">
        <v>32</v>
      </c>
      <c r="D36" s="1155">
        <v>34</v>
      </c>
      <c r="E36" s="2663">
        <f t="shared" si="0"/>
        <v>0.94117647058823528</v>
      </c>
      <c r="G36" s="1155">
        <v>30</v>
      </c>
      <c r="H36" s="1155">
        <v>33</v>
      </c>
      <c r="I36" s="2663">
        <f t="shared" si="1"/>
        <v>0.90909090909090906</v>
      </c>
      <c r="K36" s="1155">
        <v>28</v>
      </c>
      <c r="L36" s="1155">
        <v>36</v>
      </c>
      <c r="M36" s="2663">
        <f t="shared" si="2"/>
        <v>0.77777777777777779</v>
      </c>
      <c r="O36" s="1155">
        <v>32</v>
      </c>
      <c r="P36" s="1155">
        <v>36</v>
      </c>
      <c r="Q36" s="2663">
        <f t="shared" si="3"/>
        <v>0.88888888888888884</v>
      </c>
    </row>
    <row r="37" spans="2:17" ht="14.4">
      <c r="B37" s="3576" t="s">
        <v>1122</v>
      </c>
      <c r="C37" s="1155">
        <v>21</v>
      </c>
      <c r="D37" s="1155">
        <v>43</v>
      </c>
      <c r="E37" s="2663">
        <f t="shared" si="0"/>
        <v>0.48837209302325579</v>
      </c>
      <c r="G37" s="1155">
        <v>25</v>
      </c>
      <c r="H37" s="1155">
        <v>43</v>
      </c>
      <c r="I37" s="2663">
        <f t="shared" si="1"/>
        <v>0.58139534883720934</v>
      </c>
      <c r="K37" s="1155">
        <v>27</v>
      </c>
      <c r="L37" s="1155">
        <v>40</v>
      </c>
      <c r="M37" s="2663">
        <f t="shared" si="2"/>
        <v>0.67500000000000004</v>
      </c>
      <c r="O37" s="1155">
        <v>29</v>
      </c>
      <c r="P37" s="1155">
        <v>40</v>
      </c>
      <c r="Q37" s="2663">
        <f t="shared" si="3"/>
        <v>0.72499999999999998</v>
      </c>
    </row>
    <row r="38" spans="2:17" ht="14.4">
      <c r="B38" s="3576" t="s">
        <v>1123</v>
      </c>
      <c r="C38" s="1155">
        <v>46</v>
      </c>
      <c r="D38" s="1155">
        <v>50</v>
      </c>
      <c r="E38" s="2663">
        <f t="shared" si="0"/>
        <v>0.92</v>
      </c>
      <c r="G38" s="1155">
        <v>44</v>
      </c>
      <c r="H38" s="1155">
        <v>51</v>
      </c>
      <c r="I38" s="2663">
        <f t="shared" si="1"/>
        <v>0.86274509803921573</v>
      </c>
      <c r="K38" s="1155">
        <v>44</v>
      </c>
      <c r="L38" s="1155">
        <v>53</v>
      </c>
      <c r="M38" s="2663">
        <f t="shared" si="2"/>
        <v>0.83018867924528306</v>
      </c>
      <c r="O38" s="1155">
        <v>44</v>
      </c>
      <c r="P38" s="1155">
        <v>55</v>
      </c>
      <c r="Q38" s="2663">
        <f t="shared" si="3"/>
        <v>0.8</v>
      </c>
    </row>
    <row r="39" spans="2:17" ht="15" thickBot="1">
      <c r="B39" s="3577" t="s">
        <v>1124</v>
      </c>
      <c r="C39" s="1155">
        <v>64</v>
      </c>
      <c r="D39" s="1155">
        <v>51</v>
      </c>
      <c r="E39" s="2663">
        <f t="shared" si="0"/>
        <v>1.2549019607843137</v>
      </c>
      <c r="G39" s="1155">
        <v>65</v>
      </c>
      <c r="H39" s="1155">
        <v>51</v>
      </c>
      <c r="I39" s="2663">
        <f t="shared" si="1"/>
        <v>1.2745098039215685</v>
      </c>
      <c r="K39" s="1155">
        <v>64</v>
      </c>
      <c r="L39" s="1155">
        <v>50</v>
      </c>
      <c r="M39" s="2663">
        <f t="shared" si="2"/>
        <v>1.28</v>
      </c>
      <c r="O39" s="1155">
        <v>64</v>
      </c>
      <c r="P39" s="1155">
        <v>49</v>
      </c>
      <c r="Q39" s="2663">
        <f t="shared" si="3"/>
        <v>1.3061224489795917</v>
      </c>
    </row>
    <row r="40" spans="2:17" ht="15" thickBot="1">
      <c r="B40" s="2905" t="s">
        <v>4</v>
      </c>
      <c r="C40" s="1154">
        <v>215</v>
      </c>
      <c r="D40" s="1154">
        <f>SUM(D35:D39)</f>
        <v>234</v>
      </c>
      <c r="E40" s="2664">
        <f t="shared" si="0"/>
        <v>0.91880341880341876</v>
      </c>
      <c r="G40" s="1154">
        <v>212</v>
      </c>
      <c r="H40" s="1154">
        <v>234</v>
      </c>
      <c r="I40" s="2664">
        <f t="shared" si="1"/>
        <v>0.90598290598290598</v>
      </c>
      <c r="K40" s="1154">
        <v>216</v>
      </c>
      <c r="L40" s="1154">
        <v>234</v>
      </c>
      <c r="M40" s="2664">
        <f t="shared" si="2"/>
        <v>0.92307692307692313</v>
      </c>
      <c r="O40" s="1154">
        <v>222</v>
      </c>
      <c r="P40" s="1154">
        <f>SUM(P35:P39)</f>
        <v>234</v>
      </c>
      <c r="Q40" s="2664">
        <f t="shared" si="3"/>
        <v>0.94871794871794868</v>
      </c>
    </row>
    <row r="41" spans="2:17" ht="14.4">
      <c r="B41" s="3575" t="s">
        <v>1125</v>
      </c>
      <c r="C41" s="1153">
        <v>15</v>
      </c>
      <c r="D41" s="1153">
        <v>32</v>
      </c>
      <c r="E41" s="2663">
        <f t="shared" si="0"/>
        <v>0.46875</v>
      </c>
      <c r="G41" s="1153">
        <v>18</v>
      </c>
      <c r="H41" s="1153">
        <v>31</v>
      </c>
      <c r="I41" s="2663">
        <f t="shared" si="1"/>
        <v>0.58064516129032262</v>
      </c>
      <c r="K41" s="1153">
        <v>19</v>
      </c>
      <c r="L41" s="1153">
        <v>30</v>
      </c>
      <c r="M41" s="2663">
        <f t="shared" si="2"/>
        <v>0.6333333333333333</v>
      </c>
      <c r="O41" s="1153">
        <v>19</v>
      </c>
      <c r="P41" s="1153">
        <v>32</v>
      </c>
      <c r="Q41" s="2663">
        <f t="shared" si="3"/>
        <v>0.59375</v>
      </c>
    </row>
    <row r="42" spans="2:17" ht="14.4">
      <c r="B42" s="3576" t="s">
        <v>1157</v>
      </c>
      <c r="C42" s="1155">
        <v>20</v>
      </c>
      <c r="D42" s="1155">
        <v>31</v>
      </c>
      <c r="E42" s="2663">
        <f t="shared" si="0"/>
        <v>0.64516129032258063</v>
      </c>
      <c r="G42" s="1155">
        <v>17</v>
      </c>
      <c r="H42" s="1155">
        <v>33</v>
      </c>
      <c r="I42" s="2663">
        <f t="shared" si="1"/>
        <v>0.51515151515151514</v>
      </c>
      <c r="K42" s="1155">
        <v>16</v>
      </c>
      <c r="L42" s="1155">
        <v>34</v>
      </c>
      <c r="M42" s="2663">
        <f t="shared" si="2"/>
        <v>0.47058823529411764</v>
      </c>
      <c r="O42" s="1155">
        <v>18</v>
      </c>
      <c r="P42" s="1155">
        <v>33</v>
      </c>
      <c r="Q42" s="2663">
        <f t="shared" si="3"/>
        <v>0.54545454545454541</v>
      </c>
    </row>
    <row r="43" spans="2:17" ht="14.4">
      <c r="B43" s="3576" t="s">
        <v>1127</v>
      </c>
      <c r="C43" s="1155">
        <v>47</v>
      </c>
      <c r="D43" s="1155">
        <v>44</v>
      </c>
      <c r="E43" s="2663">
        <f t="shared" si="0"/>
        <v>1.0681818181818181</v>
      </c>
      <c r="G43" s="1155">
        <v>38</v>
      </c>
      <c r="H43" s="1155">
        <v>43</v>
      </c>
      <c r="I43" s="2663">
        <f t="shared" si="1"/>
        <v>0.88372093023255816</v>
      </c>
      <c r="K43" s="1155">
        <v>41</v>
      </c>
      <c r="L43" s="1155">
        <v>44</v>
      </c>
      <c r="M43" s="2663">
        <f t="shared" si="2"/>
        <v>0.93181818181818177</v>
      </c>
      <c r="O43" s="1155">
        <v>42</v>
      </c>
      <c r="P43" s="1155">
        <v>42</v>
      </c>
      <c r="Q43" s="2663">
        <f t="shared" si="3"/>
        <v>1</v>
      </c>
    </row>
    <row r="44" spans="2:17" ht="14.4">
      <c r="B44" s="3576" t="s">
        <v>1128</v>
      </c>
      <c r="C44" s="1153">
        <v>38</v>
      </c>
      <c r="D44" s="1153">
        <v>46</v>
      </c>
      <c r="E44" s="2663">
        <f t="shared" si="0"/>
        <v>0.82608695652173914</v>
      </c>
      <c r="G44" s="1153">
        <v>34</v>
      </c>
      <c r="H44" s="1153">
        <v>46</v>
      </c>
      <c r="I44" s="2663">
        <f t="shared" si="1"/>
        <v>0.73913043478260865</v>
      </c>
      <c r="K44" s="1153">
        <v>36</v>
      </c>
      <c r="L44" s="1153">
        <v>46</v>
      </c>
      <c r="M44" s="2663">
        <f t="shared" si="2"/>
        <v>0.78260869565217395</v>
      </c>
      <c r="O44" s="1153">
        <v>33</v>
      </c>
      <c r="P44" s="1153">
        <v>45</v>
      </c>
      <c r="Q44" s="2663">
        <f t="shared" si="3"/>
        <v>0.73333333333333328</v>
      </c>
    </row>
    <row r="45" spans="2:17" ht="15" thickBot="1">
      <c r="B45" s="3577" t="s">
        <v>1129</v>
      </c>
      <c r="C45" s="1153">
        <v>9</v>
      </c>
      <c r="D45" s="1153">
        <v>23</v>
      </c>
      <c r="E45" s="2663">
        <f t="shared" si="0"/>
        <v>0.39130434782608697</v>
      </c>
      <c r="G45" s="1153">
        <v>11</v>
      </c>
      <c r="H45" s="1153">
        <v>22</v>
      </c>
      <c r="I45" s="2663">
        <f t="shared" si="1"/>
        <v>0.5</v>
      </c>
      <c r="K45" s="1153">
        <v>12</v>
      </c>
      <c r="L45" s="1153">
        <v>21</v>
      </c>
      <c r="M45" s="2663">
        <f t="shared" si="2"/>
        <v>0.5714285714285714</v>
      </c>
      <c r="O45" s="1153">
        <v>14</v>
      </c>
      <c r="P45" s="1153">
        <v>21</v>
      </c>
      <c r="Q45" s="2663">
        <f t="shared" si="3"/>
        <v>0.66666666666666663</v>
      </c>
    </row>
    <row r="46" spans="2:17" ht="15" thickBot="1">
      <c r="B46" s="2905" t="s">
        <v>41</v>
      </c>
      <c r="C46" s="1157">
        <v>129</v>
      </c>
      <c r="D46" s="1157">
        <f>SUM(D41:D45)</f>
        <v>176</v>
      </c>
      <c r="E46" s="2664">
        <f t="shared" si="0"/>
        <v>0.73295454545454541</v>
      </c>
      <c r="G46" s="1157">
        <v>118</v>
      </c>
      <c r="H46" s="1157">
        <v>175</v>
      </c>
      <c r="I46" s="2664">
        <f t="shared" si="1"/>
        <v>0.67428571428571427</v>
      </c>
      <c r="K46" s="1157">
        <v>124</v>
      </c>
      <c r="L46" s="1157">
        <v>175</v>
      </c>
      <c r="M46" s="2664">
        <f t="shared" si="2"/>
        <v>0.70857142857142852</v>
      </c>
      <c r="O46" s="1157">
        <v>126</v>
      </c>
      <c r="P46" s="1157">
        <f>SUM(P41:P45)</f>
        <v>173</v>
      </c>
      <c r="Q46" s="2664">
        <f t="shared" si="3"/>
        <v>0.72832369942196529</v>
      </c>
    </row>
    <row r="47" spans="2:17" ht="14.4">
      <c r="B47" s="3575" t="s">
        <v>1130</v>
      </c>
      <c r="C47" s="1155">
        <v>24</v>
      </c>
      <c r="D47" s="1155">
        <v>22</v>
      </c>
      <c r="E47" s="2663">
        <f t="shared" si="0"/>
        <v>1.0909090909090908</v>
      </c>
      <c r="G47" s="1155">
        <v>23</v>
      </c>
      <c r="H47" s="1155">
        <v>22</v>
      </c>
      <c r="I47" s="2663">
        <f t="shared" si="1"/>
        <v>1.0454545454545454</v>
      </c>
      <c r="K47" s="1155">
        <v>23</v>
      </c>
      <c r="L47" s="1155">
        <v>22</v>
      </c>
      <c r="M47" s="2663">
        <f t="shared" si="2"/>
        <v>1.0454545454545454</v>
      </c>
      <c r="O47" s="1155">
        <v>20</v>
      </c>
      <c r="P47" s="1155">
        <v>22</v>
      </c>
      <c r="Q47" s="2663">
        <f t="shared" si="3"/>
        <v>0.90909090909090906</v>
      </c>
    </row>
    <row r="48" spans="2:17" ht="14.4">
      <c r="B48" s="3576" t="s">
        <v>1104</v>
      </c>
      <c r="C48" s="1155">
        <v>29</v>
      </c>
      <c r="D48" s="1155">
        <v>58</v>
      </c>
      <c r="E48" s="2663">
        <f t="shared" si="0"/>
        <v>0.5</v>
      </c>
      <c r="G48" s="1155">
        <v>30</v>
      </c>
      <c r="H48" s="1155">
        <v>61</v>
      </c>
      <c r="I48" s="2663">
        <f t="shared" si="1"/>
        <v>0.49180327868852458</v>
      </c>
      <c r="K48" s="1155">
        <v>30</v>
      </c>
      <c r="L48" s="1155">
        <v>62</v>
      </c>
      <c r="M48" s="2663">
        <f t="shared" si="2"/>
        <v>0.4838709677419355</v>
      </c>
      <c r="O48" s="1155">
        <v>29</v>
      </c>
      <c r="P48" s="1155">
        <v>61</v>
      </c>
      <c r="Q48" s="2663">
        <f t="shared" si="3"/>
        <v>0.47540983606557374</v>
      </c>
    </row>
    <row r="49" spans="2:17" ht="14.4">
      <c r="B49" s="3576" t="s">
        <v>1131</v>
      </c>
      <c r="C49" s="1155">
        <v>53</v>
      </c>
      <c r="D49" s="1155">
        <v>75</v>
      </c>
      <c r="E49" s="2663">
        <f t="shared" si="0"/>
        <v>0.70666666666666667</v>
      </c>
      <c r="G49" s="1155">
        <v>51</v>
      </c>
      <c r="H49" s="1155">
        <v>76</v>
      </c>
      <c r="I49" s="2663">
        <f t="shared" si="1"/>
        <v>0.67105263157894735</v>
      </c>
      <c r="K49" s="1155">
        <v>53</v>
      </c>
      <c r="L49" s="1155">
        <v>76</v>
      </c>
      <c r="M49" s="2663">
        <f t="shared" si="2"/>
        <v>0.69736842105263153</v>
      </c>
      <c r="O49" s="1155">
        <v>52</v>
      </c>
      <c r="P49" s="1155">
        <v>75</v>
      </c>
      <c r="Q49" s="2663">
        <f t="shared" si="3"/>
        <v>0.69333333333333336</v>
      </c>
    </row>
    <row r="50" spans="2:17" ht="15" thickBot="1">
      <c r="B50" s="3577" t="s">
        <v>1105</v>
      </c>
      <c r="C50" s="1155">
        <v>42</v>
      </c>
      <c r="D50" s="1155">
        <v>65</v>
      </c>
      <c r="E50" s="2663">
        <f t="shared" si="0"/>
        <v>0.64615384615384619</v>
      </c>
      <c r="G50" s="1155">
        <v>41</v>
      </c>
      <c r="H50" s="1155">
        <v>69</v>
      </c>
      <c r="I50" s="2663">
        <f t="shared" si="1"/>
        <v>0.59420289855072461</v>
      </c>
      <c r="K50" s="1155">
        <v>43</v>
      </c>
      <c r="L50" s="1155">
        <v>71</v>
      </c>
      <c r="M50" s="2663">
        <f t="shared" si="2"/>
        <v>0.60563380281690138</v>
      </c>
      <c r="O50" s="1155">
        <v>43</v>
      </c>
      <c r="P50" s="1155">
        <v>69</v>
      </c>
      <c r="Q50" s="2663">
        <f t="shared" si="3"/>
        <v>0.62318840579710144</v>
      </c>
    </row>
    <row r="51" spans="2:17" ht="14.4">
      <c r="B51" s="2906" t="s">
        <v>16</v>
      </c>
      <c r="C51" s="1158">
        <v>148</v>
      </c>
      <c r="D51" s="1158">
        <f>SUM(D47:D50)</f>
        <v>220</v>
      </c>
      <c r="E51" s="2664">
        <f t="shared" si="0"/>
        <v>0.67272727272727273</v>
      </c>
      <c r="G51" s="1158">
        <v>145</v>
      </c>
      <c r="H51" s="1158">
        <v>228</v>
      </c>
      <c r="I51" s="2664">
        <f t="shared" si="1"/>
        <v>0.63596491228070173</v>
      </c>
      <c r="K51" s="1158">
        <v>149</v>
      </c>
      <c r="L51" s="1158">
        <v>231</v>
      </c>
      <c r="M51" s="2664">
        <f t="shared" si="2"/>
        <v>0.64502164502164505</v>
      </c>
      <c r="O51" s="1158">
        <v>144</v>
      </c>
      <c r="P51" s="1158">
        <f>SUM(P47:P50)</f>
        <v>227</v>
      </c>
      <c r="Q51" s="2664">
        <f t="shared" si="3"/>
        <v>0.63436123348017626</v>
      </c>
    </row>
    <row r="52" spans="2:17" ht="15" customHeight="1">
      <c r="B52" s="3579" t="s">
        <v>1024</v>
      </c>
      <c r="C52" s="2675">
        <v>492</v>
      </c>
      <c r="D52" s="2675">
        <f>SUM(D40,D46,D51)</f>
        <v>630</v>
      </c>
      <c r="E52" s="2667">
        <f t="shared" si="0"/>
        <v>0.78095238095238095</v>
      </c>
      <c r="G52" s="2675">
        <v>475</v>
      </c>
      <c r="H52" s="2675">
        <v>637</v>
      </c>
      <c r="I52" s="2667">
        <f t="shared" si="1"/>
        <v>0.7456828885400314</v>
      </c>
      <c r="K52" s="2675">
        <v>489</v>
      </c>
      <c r="L52" s="2675">
        <v>640</v>
      </c>
      <c r="M52" s="2667">
        <f t="shared" si="2"/>
        <v>0.76406249999999998</v>
      </c>
      <c r="O52" s="2675">
        <v>492</v>
      </c>
      <c r="P52" s="2675">
        <f>SUM(P40,P46,P51)</f>
        <v>634</v>
      </c>
      <c r="Q52" s="2667">
        <f t="shared" si="3"/>
        <v>0.77602523659305989</v>
      </c>
    </row>
    <row r="53" spans="2:17" ht="14.4">
      <c r="B53" s="3580" t="s">
        <v>1133</v>
      </c>
      <c r="C53" s="1159">
        <v>1</v>
      </c>
      <c r="D53" s="1159">
        <v>5</v>
      </c>
      <c r="E53" s="2662">
        <f t="shared" si="0"/>
        <v>0.2</v>
      </c>
      <c r="G53" s="1159">
        <v>2</v>
      </c>
      <c r="H53" s="1159">
        <v>4</v>
      </c>
      <c r="I53" s="2662">
        <f t="shared" si="1"/>
        <v>0.5</v>
      </c>
      <c r="K53" s="1159">
        <v>3</v>
      </c>
      <c r="L53" s="1159">
        <v>5</v>
      </c>
      <c r="M53" s="2662">
        <f t="shared" si="2"/>
        <v>0.6</v>
      </c>
      <c r="O53" s="1159">
        <v>3</v>
      </c>
      <c r="P53" s="1159">
        <v>5</v>
      </c>
      <c r="Q53" s="2662">
        <f t="shared" si="3"/>
        <v>0.6</v>
      </c>
    </row>
    <row r="54" spans="2:17" ht="14.4">
      <c r="B54" s="3581" t="s">
        <v>1134</v>
      </c>
      <c r="C54" s="1155">
        <v>10</v>
      </c>
      <c r="D54" s="1155">
        <v>9</v>
      </c>
      <c r="E54" s="2663">
        <f t="shared" si="0"/>
        <v>1.1111111111111112</v>
      </c>
      <c r="G54" s="1155">
        <v>8</v>
      </c>
      <c r="H54" s="1155">
        <v>11</v>
      </c>
      <c r="I54" s="2663">
        <f t="shared" si="1"/>
        <v>0.72727272727272729</v>
      </c>
      <c r="K54" s="1155">
        <v>8</v>
      </c>
      <c r="L54" s="1155">
        <v>11</v>
      </c>
      <c r="M54" s="2663">
        <f t="shared" si="2"/>
        <v>0.72727272727272729</v>
      </c>
      <c r="O54" s="1155">
        <v>9</v>
      </c>
      <c r="P54" s="1155">
        <v>11</v>
      </c>
      <c r="Q54" s="2663">
        <f t="shared" si="3"/>
        <v>0.81818181818181823</v>
      </c>
    </row>
    <row r="55" spans="2:17" ht="15" thickBot="1">
      <c r="B55" s="3582" t="s">
        <v>1135</v>
      </c>
      <c r="C55" s="1155">
        <v>2</v>
      </c>
      <c r="D55" s="1155">
        <v>3</v>
      </c>
      <c r="E55" s="2663">
        <f t="shared" si="0"/>
        <v>0.66666666666666663</v>
      </c>
      <c r="G55" s="1155">
        <v>4</v>
      </c>
      <c r="H55" s="1155">
        <v>3</v>
      </c>
      <c r="I55" s="2663">
        <f t="shared" si="1"/>
        <v>1.3333333333333333</v>
      </c>
      <c r="K55" s="1155">
        <v>5</v>
      </c>
      <c r="L55" s="1155">
        <v>5</v>
      </c>
      <c r="M55" s="2663">
        <f t="shared" si="2"/>
        <v>1</v>
      </c>
      <c r="O55" s="1155">
        <v>4</v>
      </c>
      <c r="P55" s="1155">
        <v>4</v>
      </c>
      <c r="Q55" s="2663">
        <f t="shared" si="3"/>
        <v>1</v>
      </c>
    </row>
    <row r="56" spans="2:17" ht="15" thickBot="1">
      <c r="B56" s="2905" t="s">
        <v>4</v>
      </c>
      <c r="C56" s="1157">
        <v>13</v>
      </c>
      <c r="D56" s="1157">
        <f>SUM(D53:D55)</f>
        <v>17</v>
      </c>
      <c r="E56" s="2664">
        <f t="shared" si="0"/>
        <v>0.76470588235294112</v>
      </c>
      <c r="G56" s="1157">
        <v>14</v>
      </c>
      <c r="H56" s="1157">
        <v>18</v>
      </c>
      <c r="I56" s="2664">
        <f t="shared" si="1"/>
        <v>0.77777777777777779</v>
      </c>
      <c r="K56" s="1157">
        <v>16</v>
      </c>
      <c r="L56" s="1157">
        <v>21</v>
      </c>
      <c r="M56" s="2664">
        <f t="shared" si="2"/>
        <v>0.76190476190476186</v>
      </c>
      <c r="O56" s="1157">
        <v>16</v>
      </c>
      <c r="P56" s="1157">
        <f>SUM(P53:P55)</f>
        <v>20</v>
      </c>
      <c r="Q56" s="2664">
        <f t="shared" si="3"/>
        <v>0.8</v>
      </c>
    </row>
    <row r="57" spans="2:17" ht="14.4">
      <c r="B57" s="3576" t="s">
        <v>1136</v>
      </c>
      <c r="C57" s="1155">
        <v>5</v>
      </c>
      <c r="D57" s="1155">
        <v>9</v>
      </c>
      <c r="E57" s="2663">
        <f t="shared" si="0"/>
        <v>0.55555555555555558</v>
      </c>
      <c r="G57" s="1155">
        <v>8</v>
      </c>
      <c r="H57" s="1155">
        <v>9</v>
      </c>
      <c r="I57" s="2663">
        <f t="shared" si="1"/>
        <v>0.88888888888888884</v>
      </c>
      <c r="K57" s="1155">
        <v>9</v>
      </c>
      <c r="L57" s="1155">
        <v>11</v>
      </c>
      <c r="M57" s="2663">
        <f t="shared" si="2"/>
        <v>0.81818181818181823</v>
      </c>
      <c r="O57" s="1155">
        <v>9</v>
      </c>
      <c r="P57" s="1155">
        <v>11</v>
      </c>
      <c r="Q57" s="2663">
        <f t="shared" si="3"/>
        <v>0.81818181818181823</v>
      </c>
    </row>
    <row r="58" spans="2:17" ht="14.4">
      <c r="B58" s="3576" t="s">
        <v>1137</v>
      </c>
      <c r="C58" s="1155">
        <v>5</v>
      </c>
      <c r="D58" s="1155">
        <v>7</v>
      </c>
      <c r="E58" s="2663">
        <f t="shared" si="0"/>
        <v>0.7142857142857143</v>
      </c>
      <c r="G58" s="1155">
        <v>5</v>
      </c>
      <c r="H58" s="1155">
        <v>8</v>
      </c>
      <c r="I58" s="2663">
        <f t="shared" si="1"/>
        <v>0.625</v>
      </c>
      <c r="K58" s="1155">
        <v>5</v>
      </c>
      <c r="L58" s="1155">
        <v>6</v>
      </c>
      <c r="M58" s="2663">
        <f t="shared" si="2"/>
        <v>0.83333333333333337</v>
      </c>
      <c r="O58" s="1155">
        <v>6</v>
      </c>
      <c r="P58" s="1155">
        <v>6</v>
      </c>
      <c r="Q58" s="2663">
        <f t="shared" si="3"/>
        <v>1</v>
      </c>
    </row>
    <row r="59" spans="2:17" ht="15" thickBot="1">
      <c r="B59" s="3576" t="s">
        <v>1128</v>
      </c>
      <c r="C59" s="1155">
        <v>7</v>
      </c>
      <c r="D59" s="1155">
        <v>4</v>
      </c>
      <c r="E59" s="2663">
        <f t="shared" si="0"/>
        <v>1.75</v>
      </c>
      <c r="G59" s="1155">
        <v>6</v>
      </c>
      <c r="H59" s="1155">
        <v>3</v>
      </c>
      <c r="I59" s="2663">
        <f t="shared" si="1"/>
        <v>2</v>
      </c>
      <c r="K59" s="1155">
        <v>7</v>
      </c>
      <c r="L59" s="1155">
        <v>4</v>
      </c>
      <c r="M59" s="2663">
        <f t="shared" si="2"/>
        <v>1.75</v>
      </c>
      <c r="O59" s="1155">
        <v>8</v>
      </c>
      <c r="P59" s="1155">
        <v>5</v>
      </c>
      <c r="Q59" s="2663">
        <f t="shared" si="3"/>
        <v>1.6</v>
      </c>
    </row>
    <row r="60" spans="2:17" ht="15" thickBot="1">
      <c r="B60" s="2905" t="s">
        <v>41</v>
      </c>
      <c r="C60" s="1157">
        <v>17</v>
      </c>
      <c r="D60" s="1157">
        <f>SUM(D57:D59)</f>
        <v>20</v>
      </c>
      <c r="E60" s="2664">
        <v>1</v>
      </c>
      <c r="G60" s="1157">
        <v>19</v>
      </c>
      <c r="H60" s="1157">
        <v>20</v>
      </c>
      <c r="I60" s="2664"/>
      <c r="K60" s="1157">
        <v>21</v>
      </c>
      <c r="L60" s="1157">
        <v>21</v>
      </c>
      <c r="M60" s="2664">
        <f t="shared" si="2"/>
        <v>1</v>
      </c>
      <c r="O60" s="1157">
        <v>23</v>
      </c>
      <c r="P60" s="1157">
        <f>SUM(P57:P59)</f>
        <v>22</v>
      </c>
      <c r="Q60" s="2664"/>
    </row>
    <row r="61" spans="2:17" ht="14.4">
      <c r="B61" s="3581" t="s">
        <v>1138</v>
      </c>
      <c r="C61" s="1155">
        <v>4</v>
      </c>
      <c r="D61" s="1155">
        <v>6</v>
      </c>
      <c r="E61" s="2663">
        <f>C61/D61</f>
        <v>0.66666666666666663</v>
      </c>
      <c r="G61" s="1155">
        <v>3</v>
      </c>
      <c r="H61" s="1155">
        <v>7</v>
      </c>
      <c r="I61" s="2663">
        <f>G61/H61</f>
        <v>0.42857142857142855</v>
      </c>
      <c r="K61" s="1155">
        <v>4</v>
      </c>
      <c r="L61" s="1155">
        <v>7</v>
      </c>
      <c r="M61" s="2663">
        <f t="shared" si="2"/>
        <v>0.5714285714285714</v>
      </c>
      <c r="O61" s="1155">
        <v>4</v>
      </c>
      <c r="P61" s="1155">
        <v>8</v>
      </c>
      <c r="Q61" s="2663">
        <f>O61/P61</f>
        <v>0.5</v>
      </c>
    </row>
    <row r="62" spans="2:17" ht="14.4">
      <c r="B62" s="3581" t="s">
        <v>1139</v>
      </c>
      <c r="C62" s="1155">
        <v>4</v>
      </c>
      <c r="D62" s="1155">
        <v>3</v>
      </c>
      <c r="E62" s="2663">
        <f>C62/D62</f>
        <v>1.3333333333333333</v>
      </c>
      <c r="G62" s="1155">
        <v>5</v>
      </c>
      <c r="H62" s="1155">
        <v>6</v>
      </c>
      <c r="I62" s="2663">
        <f>G62/H62</f>
        <v>0.83333333333333337</v>
      </c>
      <c r="K62" s="1155">
        <v>5</v>
      </c>
      <c r="L62" s="1155">
        <v>4</v>
      </c>
      <c r="M62" s="2663">
        <f t="shared" si="2"/>
        <v>1.25</v>
      </c>
      <c r="O62" s="1155">
        <v>5</v>
      </c>
      <c r="P62" s="1155">
        <v>4</v>
      </c>
      <c r="Q62" s="2663">
        <f>O62/P62</f>
        <v>1.25</v>
      </c>
    </row>
    <row r="63" spans="2:17" ht="15" thickBot="1">
      <c r="B63" s="3582" t="s">
        <v>1140</v>
      </c>
      <c r="C63" s="1155">
        <v>13</v>
      </c>
      <c r="D63" s="1155">
        <v>13</v>
      </c>
      <c r="E63" s="2663">
        <v>1</v>
      </c>
      <c r="G63" s="1155">
        <v>10</v>
      </c>
      <c r="H63" s="1155">
        <v>13</v>
      </c>
      <c r="I63" s="2663">
        <v>1</v>
      </c>
      <c r="K63" s="1155">
        <v>13</v>
      </c>
      <c r="L63" s="1155">
        <v>14</v>
      </c>
      <c r="M63" s="2663">
        <f t="shared" si="2"/>
        <v>0.9285714285714286</v>
      </c>
      <c r="O63" s="1155">
        <v>13</v>
      </c>
      <c r="P63" s="1155">
        <v>14</v>
      </c>
      <c r="Q63" s="2663">
        <v>1</v>
      </c>
    </row>
    <row r="64" spans="2:17" ht="14.4">
      <c r="B64" s="2906" t="s">
        <v>16</v>
      </c>
      <c r="C64" s="1160">
        <v>21</v>
      </c>
      <c r="D64" s="1160">
        <f>SUM(D61:D63)</f>
        <v>22</v>
      </c>
      <c r="E64" s="2664">
        <v>1</v>
      </c>
      <c r="G64" s="1160">
        <v>18</v>
      </c>
      <c r="H64" s="1160">
        <v>26</v>
      </c>
      <c r="I64" s="2664"/>
      <c r="K64" s="1160">
        <v>22</v>
      </c>
      <c r="L64" s="1160">
        <v>25</v>
      </c>
      <c r="M64" s="2664">
        <f t="shared" si="2"/>
        <v>0.88</v>
      </c>
      <c r="O64" s="1160">
        <v>22</v>
      </c>
      <c r="P64" s="1160">
        <f>SUM(P61:P63)</f>
        <v>26</v>
      </c>
      <c r="Q64" s="2664"/>
    </row>
    <row r="65" spans="2:17" ht="14.4">
      <c r="B65" s="3583" t="s">
        <v>1026</v>
      </c>
      <c r="C65" s="2676">
        <v>51</v>
      </c>
      <c r="D65" s="2676">
        <f>SUM(D56,D60,D64)</f>
        <v>59</v>
      </c>
      <c r="E65" s="2668">
        <f t="shared" ref="E65:E83" si="4">C65/D65</f>
        <v>0.86440677966101698</v>
      </c>
      <c r="G65" s="2676">
        <v>51</v>
      </c>
      <c r="H65" s="2676">
        <v>64</v>
      </c>
      <c r="I65" s="2668">
        <f t="shared" ref="I65:I83" si="5">G65/H65</f>
        <v>0.796875</v>
      </c>
      <c r="K65" s="2676">
        <v>59</v>
      </c>
      <c r="L65" s="2676">
        <v>67</v>
      </c>
      <c r="M65" s="2668">
        <f t="shared" ref="M65:M81" si="6">K65/L65</f>
        <v>0.88059701492537312</v>
      </c>
      <c r="O65" s="2676">
        <v>61</v>
      </c>
      <c r="P65" s="2676">
        <f>SUM(P56,P60,P64)</f>
        <v>68</v>
      </c>
      <c r="Q65" s="2668">
        <f t="shared" ref="Q65:Q81" si="7">O65/P65</f>
        <v>0.8970588235294118</v>
      </c>
    </row>
    <row r="66" spans="2:17" ht="14.4">
      <c r="B66" s="3571" t="s">
        <v>1141</v>
      </c>
      <c r="C66" s="1159">
        <v>38</v>
      </c>
      <c r="D66" s="1159">
        <v>64</v>
      </c>
      <c r="E66" s="2662">
        <f t="shared" si="4"/>
        <v>0.59375</v>
      </c>
      <c r="G66" s="1159">
        <v>38</v>
      </c>
      <c r="H66" s="1159">
        <v>64</v>
      </c>
      <c r="I66" s="2662">
        <f t="shared" si="5"/>
        <v>0.59375</v>
      </c>
      <c r="K66" s="1159">
        <v>33</v>
      </c>
      <c r="L66" s="1159">
        <v>67</v>
      </c>
      <c r="M66" s="2662">
        <f t="shared" si="6"/>
        <v>0.4925373134328358</v>
      </c>
      <c r="O66" s="1159">
        <v>30</v>
      </c>
      <c r="P66" s="1159">
        <v>64</v>
      </c>
      <c r="Q66" s="2662">
        <f t="shared" si="7"/>
        <v>0.46875</v>
      </c>
    </row>
    <row r="67" spans="2:17" ht="14.4">
      <c r="B67" s="3576" t="s">
        <v>1142</v>
      </c>
      <c r="C67" s="1153">
        <v>14</v>
      </c>
      <c r="D67" s="1153">
        <v>28</v>
      </c>
      <c r="E67" s="2663">
        <f t="shared" si="4"/>
        <v>0.5</v>
      </c>
      <c r="G67" s="1153">
        <v>12</v>
      </c>
      <c r="H67" s="1153">
        <v>28</v>
      </c>
      <c r="I67" s="2663">
        <f t="shared" si="5"/>
        <v>0.42857142857142855</v>
      </c>
      <c r="K67" s="1153">
        <v>10</v>
      </c>
      <c r="L67" s="1153">
        <v>28</v>
      </c>
      <c r="M67" s="2663">
        <f t="shared" si="6"/>
        <v>0.35714285714285715</v>
      </c>
      <c r="O67" s="1153">
        <v>12</v>
      </c>
      <c r="P67" s="1153">
        <v>28</v>
      </c>
      <c r="Q67" s="2663">
        <f t="shared" si="7"/>
        <v>0.42857142857142855</v>
      </c>
    </row>
    <row r="68" spans="2:17" ht="14.4">
      <c r="B68" s="3576" t="s">
        <v>1143</v>
      </c>
      <c r="C68" s="1155">
        <v>24</v>
      </c>
      <c r="D68" s="1155">
        <v>55</v>
      </c>
      <c r="E68" s="2663">
        <f t="shared" si="4"/>
        <v>0.43636363636363634</v>
      </c>
      <c r="G68" s="1155">
        <v>24</v>
      </c>
      <c r="H68" s="1155">
        <v>55</v>
      </c>
      <c r="I68" s="2663">
        <f t="shared" si="5"/>
        <v>0.43636363636363634</v>
      </c>
      <c r="K68" s="1155">
        <v>22</v>
      </c>
      <c r="L68" s="1155">
        <v>57</v>
      </c>
      <c r="M68" s="2663">
        <f t="shared" si="6"/>
        <v>0.38596491228070173</v>
      </c>
      <c r="O68" s="1155">
        <v>23</v>
      </c>
      <c r="P68" s="1155">
        <v>56</v>
      </c>
      <c r="Q68" s="2663">
        <f t="shared" si="7"/>
        <v>0.4107142857142857</v>
      </c>
    </row>
    <row r="69" spans="2:17" ht="15" thickBot="1">
      <c r="B69" s="3577" t="s">
        <v>1144</v>
      </c>
      <c r="C69" s="1153">
        <v>40</v>
      </c>
      <c r="D69" s="1153">
        <v>47</v>
      </c>
      <c r="E69" s="2663">
        <f t="shared" si="4"/>
        <v>0.85106382978723405</v>
      </c>
      <c r="G69" s="1153">
        <v>36</v>
      </c>
      <c r="H69" s="1153">
        <v>48</v>
      </c>
      <c r="I69" s="2663">
        <f t="shared" si="5"/>
        <v>0.75</v>
      </c>
      <c r="K69" s="1153">
        <v>40</v>
      </c>
      <c r="L69" s="1153">
        <v>50</v>
      </c>
      <c r="M69" s="2663">
        <f t="shared" si="6"/>
        <v>0.8</v>
      </c>
      <c r="O69" s="1153">
        <v>41</v>
      </c>
      <c r="P69" s="1153">
        <v>49</v>
      </c>
      <c r="Q69" s="2663">
        <f t="shared" si="7"/>
        <v>0.83673469387755106</v>
      </c>
    </row>
    <row r="70" spans="2:17" ht="15" thickBot="1">
      <c r="B70" s="2905" t="s">
        <v>41</v>
      </c>
      <c r="C70" s="1157">
        <v>116</v>
      </c>
      <c r="D70" s="1157">
        <f>SUM(D66:D69)</f>
        <v>194</v>
      </c>
      <c r="E70" s="2664">
        <f t="shared" si="4"/>
        <v>0.59793814432989689</v>
      </c>
      <c r="G70" s="1157">
        <v>110</v>
      </c>
      <c r="H70" s="1157">
        <v>195</v>
      </c>
      <c r="I70" s="2664">
        <f t="shared" si="5"/>
        <v>0.5641025641025641</v>
      </c>
      <c r="K70" s="1157">
        <v>105</v>
      </c>
      <c r="L70" s="1157">
        <v>202</v>
      </c>
      <c r="M70" s="2664">
        <f t="shared" si="6"/>
        <v>0.51980198019801982</v>
      </c>
      <c r="O70" s="1157">
        <v>106</v>
      </c>
      <c r="P70" s="1157">
        <f>SUM(P66:P69)</f>
        <v>197</v>
      </c>
      <c r="Q70" s="2664">
        <f t="shared" si="7"/>
        <v>0.53807106598984766</v>
      </c>
    </row>
    <row r="71" spans="2:17" ht="14.4">
      <c r="B71" s="3575" t="s">
        <v>1145</v>
      </c>
      <c r="C71" s="1153">
        <v>27</v>
      </c>
      <c r="D71" s="1153">
        <v>66</v>
      </c>
      <c r="E71" s="2663">
        <f t="shared" si="4"/>
        <v>0.40909090909090912</v>
      </c>
      <c r="G71" s="1153">
        <v>29</v>
      </c>
      <c r="H71" s="1153">
        <v>69</v>
      </c>
      <c r="I71" s="2663">
        <f t="shared" si="5"/>
        <v>0.42028985507246375</v>
      </c>
      <c r="K71" s="1153">
        <v>26</v>
      </c>
      <c r="L71" s="1153">
        <v>67</v>
      </c>
      <c r="M71" s="2663">
        <f t="shared" si="6"/>
        <v>0.38805970149253732</v>
      </c>
      <c r="O71" s="1153">
        <v>25</v>
      </c>
      <c r="P71" s="1153">
        <v>68</v>
      </c>
      <c r="Q71" s="2663">
        <f t="shared" si="7"/>
        <v>0.36764705882352944</v>
      </c>
    </row>
    <row r="72" spans="2:17" ht="14.4">
      <c r="B72" s="3576" t="s">
        <v>1146</v>
      </c>
      <c r="C72" s="1155">
        <v>36</v>
      </c>
      <c r="D72" s="1155">
        <v>64</v>
      </c>
      <c r="E72" s="2663">
        <f t="shared" si="4"/>
        <v>0.5625</v>
      </c>
      <c r="G72" s="1155">
        <v>35</v>
      </c>
      <c r="H72" s="1155">
        <v>67</v>
      </c>
      <c r="I72" s="2663">
        <f t="shared" si="5"/>
        <v>0.52238805970149249</v>
      </c>
      <c r="K72" s="1155">
        <v>37</v>
      </c>
      <c r="L72" s="1155">
        <v>70</v>
      </c>
      <c r="M72" s="2663">
        <f t="shared" si="6"/>
        <v>0.52857142857142858</v>
      </c>
      <c r="O72" s="1155">
        <v>36</v>
      </c>
      <c r="P72" s="1155">
        <v>65</v>
      </c>
      <c r="Q72" s="2663">
        <f t="shared" si="7"/>
        <v>0.55384615384615388</v>
      </c>
    </row>
    <row r="73" spans="2:17" ht="14.4">
      <c r="B73" s="3576" t="s">
        <v>1147</v>
      </c>
      <c r="C73" s="1155">
        <v>34</v>
      </c>
      <c r="D73" s="1155">
        <v>46</v>
      </c>
      <c r="E73" s="2663">
        <f t="shared" si="4"/>
        <v>0.73913043478260865</v>
      </c>
      <c r="G73" s="1155">
        <v>33</v>
      </c>
      <c r="H73" s="1155">
        <v>47</v>
      </c>
      <c r="I73" s="2663">
        <f t="shared" si="5"/>
        <v>0.7021276595744681</v>
      </c>
      <c r="K73" s="1155">
        <v>33</v>
      </c>
      <c r="L73" s="1155">
        <v>51</v>
      </c>
      <c r="M73" s="2663">
        <f t="shared" si="6"/>
        <v>0.6470588235294118</v>
      </c>
      <c r="O73" s="1155">
        <v>35</v>
      </c>
      <c r="P73" s="1155">
        <v>51</v>
      </c>
      <c r="Q73" s="2663">
        <f t="shared" si="7"/>
        <v>0.68627450980392157</v>
      </c>
    </row>
    <row r="74" spans="2:17" ht="15" thickBot="1">
      <c r="B74" s="3576" t="s">
        <v>1148</v>
      </c>
      <c r="C74" s="1155">
        <v>20</v>
      </c>
      <c r="D74" s="1155">
        <v>34</v>
      </c>
      <c r="E74" s="2663">
        <f t="shared" si="4"/>
        <v>0.58823529411764708</v>
      </c>
      <c r="G74" s="1155">
        <v>20</v>
      </c>
      <c r="H74" s="1155">
        <v>35</v>
      </c>
      <c r="I74" s="2663">
        <f t="shared" si="5"/>
        <v>0.5714285714285714</v>
      </c>
      <c r="K74" s="1155">
        <v>21</v>
      </c>
      <c r="L74" s="1155">
        <v>39</v>
      </c>
      <c r="M74" s="2663">
        <f t="shared" si="6"/>
        <v>0.53846153846153844</v>
      </c>
      <c r="O74" s="1155">
        <v>22</v>
      </c>
      <c r="P74" s="1155">
        <v>40</v>
      </c>
      <c r="Q74" s="2663">
        <f t="shared" si="7"/>
        <v>0.55000000000000004</v>
      </c>
    </row>
    <row r="75" spans="2:17" ht="15" thickBot="1">
      <c r="B75" s="2905" t="s">
        <v>16</v>
      </c>
      <c r="C75" s="1157">
        <v>117</v>
      </c>
      <c r="D75" s="1157">
        <f>SUM(D71:D74)</f>
        <v>210</v>
      </c>
      <c r="E75" s="2664">
        <f t="shared" si="4"/>
        <v>0.55714285714285716</v>
      </c>
      <c r="G75" s="1157">
        <v>117</v>
      </c>
      <c r="H75" s="1157">
        <v>218</v>
      </c>
      <c r="I75" s="2664">
        <f t="shared" si="5"/>
        <v>0.53669724770642202</v>
      </c>
      <c r="K75" s="1157">
        <v>117</v>
      </c>
      <c r="L75" s="1157">
        <v>227</v>
      </c>
      <c r="M75" s="2664">
        <f t="shared" si="6"/>
        <v>0.51541850220264318</v>
      </c>
      <c r="O75" s="1157">
        <v>118</v>
      </c>
      <c r="P75" s="1157">
        <f>SUM(P71:P74)</f>
        <v>224</v>
      </c>
      <c r="Q75" s="2664">
        <f t="shared" si="7"/>
        <v>0.5267857142857143</v>
      </c>
    </row>
    <row r="76" spans="2:17" ht="14.4">
      <c r="B76" s="3575" t="s">
        <v>1149</v>
      </c>
      <c r="C76" s="1153">
        <v>6</v>
      </c>
      <c r="D76" s="1153">
        <v>17</v>
      </c>
      <c r="E76" s="2663">
        <f t="shared" si="4"/>
        <v>0.35294117647058826</v>
      </c>
      <c r="G76" s="1153">
        <v>7</v>
      </c>
      <c r="H76" s="1153">
        <v>17</v>
      </c>
      <c r="I76" s="2663">
        <f t="shared" si="5"/>
        <v>0.41176470588235292</v>
      </c>
      <c r="K76" s="1153">
        <v>5</v>
      </c>
      <c r="L76" s="1153">
        <v>19</v>
      </c>
      <c r="M76" s="2663">
        <f t="shared" si="6"/>
        <v>0.26315789473684209</v>
      </c>
      <c r="O76" s="1153">
        <v>4</v>
      </c>
      <c r="P76" s="1153">
        <v>19</v>
      </c>
      <c r="Q76" s="2663">
        <f t="shared" si="7"/>
        <v>0.21052631578947367</v>
      </c>
    </row>
    <row r="77" spans="2:17" ht="14.4">
      <c r="B77" s="3576" t="s">
        <v>1150</v>
      </c>
      <c r="C77" s="1153">
        <v>2</v>
      </c>
      <c r="D77" s="1153">
        <v>6</v>
      </c>
      <c r="E77" s="2663">
        <f t="shared" si="4"/>
        <v>0.33333333333333331</v>
      </c>
      <c r="G77" s="1153">
        <v>3</v>
      </c>
      <c r="H77" s="1153">
        <v>6</v>
      </c>
      <c r="I77" s="2663">
        <f t="shared" si="5"/>
        <v>0.5</v>
      </c>
      <c r="K77" s="1153">
        <v>3</v>
      </c>
      <c r="L77" s="1153">
        <v>7</v>
      </c>
      <c r="M77" s="2663">
        <f t="shared" si="6"/>
        <v>0.42857142857142855</v>
      </c>
      <c r="O77" s="1153">
        <v>4</v>
      </c>
      <c r="P77" s="1153">
        <v>7</v>
      </c>
      <c r="Q77" s="2663">
        <f t="shared" si="7"/>
        <v>0.5714285714285714</v>
      </c>
    </row>
    <row r="78" spans="2:17" ht="14.4">
      <c r="B78" s="3576" t="s">
        <v>1151</v>
      </c>
      <c r="C78" s="1153">
        <v>1</v>
      </c>
      <c r="D78" s="1153">
        <v>6</v>
      </c>
      <c r="E78" s="2663">
        <f t="shared" si="4"/>
        <v>0.16666666666666666</v>
      </c>
      <c r="G78" s="1153">
        <v>2</v>
      </c>
      <c r="H78" s="1153">
        <v>7</v>
      </c>
      <c r="I78" s="2663">
        <f t="shared" si="5"/>
        <v>0.2857142857142857</v>
      </c>
      <c r="K78" s="1153">
        <v>2</v>
      </c>
      <c r="L78" s="1153">
        <v>9</v>
      </c>
      <c r="M78" s="2663">
        <f t="shared" si="6"/>
        <v>0.22222222222222221</v>
      </c>
      <c r="O78" s="1153">
        <v>2</v>
      </c>
      <c r="P78" s="1153">
        <v>9</v>
      </c>
      <c r="Q78" s="2663">
        <f t="shared" si="7"/>
        <v>0.22222222222222221</v>
      </c>
    </row>
    <row r="79" spans="2:17" ht="15" thickBot="1">
      <c r="B79" s="3588" t="s">
        <v>1152</v>
      </c>
      <c r="C79" s="1153">
        <v>7</v>
      </c>
      <c r="D79" s="1153">
        <v>12</v>
      </c>
      <c r="E79" s="2663">
        <f t="shared" si="4"/>
        <v>0.58333333333333337</v>
      </c>
      <c r="G79" s="1153">
        <v>8</v>
      </c>
      <c r="H79" s="1153">
        <v>13</v>
      </c>
      <c r="I79" s="2663">
        <f t="shared" si="5"/>
        <v>0.61538461538461542</v>
      </c>
      <c r="K79" s="1153">
        <v>9</v>
      </c>
      <c r="L79" s="1153">
        <v>15</v>
      </c>
      <c r="M79" s="2663">
        <f t="shared" si="6"/>
        <v>0.6</v>
      </c>
      <c r="O79" s="1153">
        <v>7</v>
      </c>
      <c r="P79" s="1153">
        <v>15</v>
      </c>
      <c r="Q79" s="2663">
        <f t="shared" si="7"/>
        <v>0.46666666666666667</v>
      </c>
    </row>
    <row r="80" spans="2:17" ht="15" customHeight="1">
      <c r="B80" s="2906" t="s">
        <v>21</v>
      </c>
      <c r="C80" s="1160">
        <v>16</v>
      </c>
      <c r="D80" s="1160">
        <f>SUM(D76:D79)</f>
        <v>41</v>
      </c>
      <c r="E80" s="2664">
        <f t="shared" si="4"/>
        <v>0.3902439024390244</v>
      </c>
      <c r="G80" s="1160">
        <v>20</v>
      </c>
      <c r="H80" s="1160">
        <v>43</v>
      </c>
      <c r="I80" s="2664">
        <f t="shared" si="5"/>
        <v>0.46511627906976744</v>
      </c>
      <c r="K80" s="1160">
        <v>19</v>
      </c>
      <c r="L80" s="1160">
        <v>50</v>
      </c>
      <c r="M80" s="2664">
        <f t="shared" si="6"/>
        <v>0.38</v>
      </c>
      <c r="O80" s="1160">
        <v>17</v>
      </c>
      <c r="P80" s="1160">
        <f>SUM(P76:P79)</f>
        <v>50</v>
      </c>
      <c r="Q80" s="2664">
        <f t="shared" si="7"/>
        <v>0.34</v>
      </c>
    </row>
    <row r="81" spans="1:17" ht="15" customHeight="1">
      <c r="B81" s="3584" t="s">
        <v>1029</v>
      </c>
      <c r="C81" s="2605">
        <f>SUM(C70,C75,C80)</f>
        <v>249</v>
      </c>
      <c r="D81" s="2605">
        <f>SUM(D80,D75,D70)</f>
        <v>445</v>
      </c>
      <c r="E81" s="2669">
        <f t="shared" si="4"/>
        <v>0.55955056179775275</v>
      </c>
      <c r="G81" s="2605">
        <v>247</v>
      </c>
      <c r="H81" s="2605">
        <v>456</v>
      </c>
      <c r="I81" s="2669">
        <f t="shared" si="5"/>
        <v>0.54166666666666663</v>
      </c>
      <c r="K81" s="2605">
        <v>241</v>
      </c>
      <c r="L81" s="2605">
        <v>479</v>
      </c>
      <c r="M81" s="2669">
        <f t="shared" si="6"/>
        <v>0.50313152400835071</v>
      </c>
      <c r="O81" s="2605">
        <v>241</v>
      </c>
      <c r="P81" s="2605">
        <f>SUM(P70,P75,P80)</f>
        <v>471</v>
      </c>
      <c r="Q81" s="2669">
        <f t="shared" si="7"/>
        <v>0.51167728237791932</v>
      </c>
    </row>
    <row r="82" spans="1:17" ht="15" customHeight="1">
      <c r="A82" s="49"/>
      <c r="B82" s="2677"/>
      <c r="C82" s="2677"/>
      <c r="D82" s="2677"/>
      <c r="E82" s="2677"/>
      <c r="G82" s="2677"/>
      <c r="H82" s="2677"/>
      <c r="I82" s="2677"/>
      <c r="K82" s="2677"/>
      <c r="L82" s="2677"/>
      <c r="M82" s="2677"/>
      <c r="O82" s="2677"/>
      <c r="P82" s="2677"/>
      <c r="Q82" s="2677"/>
    </row>
    <row r="83" spans="1:17" ht="20.25" customHeight="1">
      <c r="B83" s="3585" t="s">
        <v>67</v>
      </c>
      <c r="C83" s="2606">
        <f>SUM(C21,C34,C52,C65,C81)</f>
        <v>1163</v>
      </c>
      <c r="D83" s="2606">
        <f>SUM(D21,D34,D52,D65,D81)</f>
        <v>1745</v>
      </c>
      <c r="E83" s="2670">
        <f t="shared" si="4"/>
        <v>0.66647564469914045</v>
      </c>
      <c r="G83" s="2606">
        <v>1135</v>
      </c>
      <c r="H83" s="2606">
        <v>1782</v>
      </c>
      <c r="I83" s="2678">
        <f t="shared" si="5"/>
        <v>0.6369248035914703</v>
      </c>
      <c r="K83" s="2606">
        <v>1156</v>
      </c>
      <c r="L83" s="2606">
        <f>SUM(L21,L34,L52,L65,L81)</f>
        <v>1830</v>
      </c>
      <c r="M83" s="2678">
        <f>K83/L83</f>
        <v>0.63169398907103824</v>
      </c>
      <c r="O83" s="2606">
        <v>1164</v>
      </c>
      <c r="P83" s="2606">
        <f>SUM(P21,P34,P52,P65,P81)</f>
        <v>1815</v>
      </c>
      <c r="Q83" s="2678">
        <f>O83/P83</f>
        <v>0.64132231404958673</v>
      </c>
    </row>
    <row r="100" spans="1:1">
      <c r="A100" s="49"/>
    </row>
    <row r="101" spans="1:1">
      <c r="A101" s="49"/>
    </row>
    <row r="102" spans="1:1">
      <c r="A102" s="49"/>
    </row>
    <row r="103" spans="1:1">
      <c r="A103" s="49"/>
    </row>
    <row r="104" spans="1:1">
      <c r="A104" s="49"/>
    </row>
    <row r="105" spans="1:1">
      <c r="A105" s="49"/>
    </row>
    <row r="106" spans="1:1">
      <c r="A106" s="49"/>
    </row>
    <row r="107" spans="1:1">
      <c r="A107" s="49"/>
    </row>
    <row r="108" spans="1:1">
      <c r="A108" s="49"/>
    </row>
    <row r="109" spans="1:1">
      <c r="A109" s="49"/>
    </row>
    <row r="110" spans="1:1">
      <c r="A110" s="49"/>
    </row>
    <row r="111" spans="1:1">
      <c r="A111" s="49"/>
    </row>
    <row r="112" spans="1:1">
      <c r="A112" s="49"/>
    </row>
    <row r="113" spans="1:1">
      <c r="A113" s="49"/>
    </row>
    <row r="114" spans="1:1">
      <c r="A114" s="49"/>
    </row>
    <row r="115" spans="1:1">
      <c r="A115" s="49"/>
    </row>
    <row r="116" spans="1:1">
      <c r="A116" s="49"/>
    </row>
    <row r="117" spans="1:1">
      <c r="A117" s="49"/>
    </row>
    <row r="118" spans="1:1">
      <c r="A118" s="49"/>
    </row>
  </sheetData>
  <sheetProtection algorithmName="SHA-512" hashValue="HkQ0VvQst0RZil8LkikyT2Eay7TkZCU719kWoVsETyFXc76GURdSGVto9xFR0JQLRqcoKMbIhnihZVdFUxTcdQ==" saltValue="Des3Y9KAD3WudWawnhSEow==" spinCount="100000" sheet="1" objects="1" scenarios="1"/>
  <mergeCells count="4">
    <mergeCell ref="G2:I2"/>
    <mergeCell ref="C2:E2"/>
    <mergeCell ref="K2:M2"/>
    <mergeCell ref="O2:Q2"/>
  </mergeCells>
  <printOptions horizontalCentered="1" verticalCentered="1"/>
  <pageMargins left="0.74803149606299202" right="0.74803149606299202" top="0.98425196850393704" bottom="0.98425196850393704" header="0" footer="0"/>
  <pageSetup scale="33" orientation="landscape" r:id="rId1"/>
  <headerFooter alignWithMargins="0">
    <oddHeader>&amp;LANEXO ESTADÍSTICO 2009&amp;CINVESTIGACIÓN&amp;R&amp;G</oddHeader>
    <oddFooter>&amp;R77</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499984740745262"/>
    <pageSetUpPr fitToPage="1"/>
  </sheetPr>
  <dimension ref="A1:CA91"/>
  <sheetViews>
    <sheetView showGridLines="0" zoomScaleNormal="100" zoomScaleSheetLayoutView="70" workbookViewId="0">
      <pane xSplit="3" ySplit="4" topLeftCell="BG5" activePane="bottomRight" state="frozen"/>
      <selection activeCell="Z16" sqref="Z16"/>
      <selection pane="topRight" activeCell="Z16" sqref="Z16"/>
      <selection pane="bottomLeft" activeCell="Z16" sqref="Z16"/>
      <selection pane="bottomRight" activeCell="CA89" sqref="CA89"/>
    </sheetView>
  </sheetViews>
  <sheetFormatPr baseColWidth="10" defaultColWidth="11.44140625" defaultRowHeight="13.2"/>
  <cols>
    <col min="1" max="1" width="17.21875" style="308" customWidth="1"/>
    <col min="2" max="2" width="10.21875" style="308" customWidth="1"/>
    <col min="3" max="3" width="45.21875" style="49" bestFit="1" customWidth="1"/>
    <col min="4" max="7" width="5.77734375" style="49" customWidth="1"/>
    <col min="8" max="8" width="6.5546875" style="49" bestFit="1" customWidth="1"/>
    <col min="9" max="9" width="11.5546875" style="49" bestFit="1" customWidth="1"/>
    <col min="10" max="10" width="1.77734375" style="49" customWidth="1"/>
    <col min="11" max="14" width="5.77734375" style="49" customWidth="1"/>
    <col min="15" max="15" width="6.5546875" style="49" bestFit="1" customWidth="1"/>
    <col min="16" max="16" width="11.5546875" style="49" bestFit="1" customWidth="1"/>
    <col min="17" max="17" width="1.77734375" style="49" customWidth="1"/>
    <col min="18" max="21" width="5.77734375" style="49" customWidth="1"/>
    <col min="22" max="22" width="6.5546875" style="49" bestFit="1" customWidth="1"/>
    <col min="23" max="23" width="11.5546875" style="49" bestFit="1" customWidth="1"/>
    <col min="24" max="24" width="1.77734375" style="49" customWidth="1"/>
    <col min="25" max="28" width="5.77734375" style="308" customWidth="1"/>
    <col min="29" max="29" width="6.5546875" style="49" bestFit="1" customWidth="1"/>
    <col min="30" max="30" width="11.5546875" style="49" bestFit="1" customWidth="1"/>
    <col min="31" max="31" width="1.77734375" style="49" customWidth="1"/>
    <col min="32" max="35" width="5.77734375" style="49" customWidth="1"/>
    <col min="36" max="36" width="6.5546875" style="49" bestFit="1" customWidth="1"/>
    <col min="37" max="37" width="11.5546875" style="49" bestFit="1" customWidth="1"/>
    <col min="38" max="38" width="1.77734375" style="49" customWidth="1"/>
    <col min="39" max="42" width="5.77734375" style="49" customWidth="1"/>
    <col min="43" max="43" width="6.5546875" style="49" bestFit="1" customWidth="1"/>
    <col min="44" max="44" width="11.5546875" style="49" bestFit="1" customWidth="1"/>
    <col min="45" max="45" width="1.77734375" style="49" customWidth="1"/>
    <col min="46" max="49" width="5.77734375" style="49" customWidth="1"/>
    <col min="50" max="50" width="6.5546875" style="49" customWidth="1"/>
    <col min="51" max="51" width="11.5546875" style="49" bestFit="1" customWidth="1"/>
    <col min="52" max="52" width="1.77734375" style="49" customWidth="1"/>
    <col min="53" max="56" width="5.77734375" style="49" customWidth="1"/>
    <col min="57" max="57" width="6.5546875" style="49" bestFit="1" customWidth="1"/>
    <col min="58" max="58" width="11.44140625" style="49"/>
    <col min="59" max="59" width="1.77734375" style="49" customWidth="1"/>
    <col min="60" max="63" width="5.77734375" style="49" customWidth="1"/>
    <col min="64" max="64" width="6.5546875" style="49" bestFit="1" customWidth="1"/>
    <col min="65" max="65" width="11.44140625" style="49"/>
    <col min="66" max="66" width="1.77734375" style="49" customWidth="1"/>
    <col min="67" max="70" width="5.77734375" style="49" customWidth="1"/>
    <col min="71" max="71" width="6.77734375" style="49" bestFit="1" customWidth="1"/>
    <col min="72" max="72" width="11.44140625" style="49" customWidth="1"/>
    <col min="73" max="73" width="1.77734375" style="49" customWidth="1"/>
    <col min="74" max="77" width="5.77734375" style="49" customWidth="1"/>
    <col min="78" max="78" width="6.33203125" style="49" bestFit="1" customWidth="1"/>
    <col min="79" max="79" width="11" style="49" bestFit="1" customWidth="1"/>
    <col min="80" max="16384" width="11.44140625" style="49"/>
  </cols>
  <sheetData>
    <row r="1" spans="1:79" ht="29.25" customHeight="1">
      <c r="A1" s="5995" t="s">
        <v>2752</v>
      </c>
      <c r="B1" s="5995"/>
      <c r="C1" s="5995"/>
      <c r="D1" s="309"/>
      <c r="E1" s="309"/>
      <c r="F1" s="309"/>
      <c r="G1" s="309"/>
      <c r="H1" s="309"/>
      <c r="U1" s="1137"/>
    </row>
    <row r="2" spans="1:79" ht="12.75" customHeight="1">
      <c r="B2" s="2374"/>
      <c r="C2" s="2374"/>
    </row>
    <row r="3" spans="1:79" s="2592" customFormat="1" ht="13.5" customHeight="1">
      <c r="A3" s="2589"/>
      <c r="B3" s="2590"/>
      <c r="C3" s="2591"/>
      <c r="D3" s="5982" t="s">
        <v>1082</v>
      </c>
      <c r="E3" s="5982"/>
      <c r="F3" s="5982"/>
      <c r="G3" s="5982"/>
      <c r="H3" s="5982"/>
      <c r="I3" s="2550" t="s">
        <v>76</v>
      </c>
      <c r="J3" s="2550"/>
      <c r="K3" s="5982" t="s">
        <v>1084</v>
      </c>
      <c r="L3" s="5982"/>
      <c r="M3" s="5982"/>
      <c r="N3" s="5982"/>
      <c r="O3" s="5982"/>
      <c r="P3" s="2550" t="s">
        <v>76</v>
      </c>
      <c r="Q3" s="2550"/>
      <c r="R3" s="5982" t="s">
        <v>1085</v>
      </c>
      <c r="S3" s="5982"/>
      <c r="T3" s="5982"/>
      <c r="U3" s="5982"/>
      <c r="V3" s="5982"/>
      <c r="W3" s="2550" t="s">
        <v>76</v>
      </c>
      <c r="X3" s="2550"/>
      <c r="Y3" s="5982" t="s">
        <v>1086</v>
      </c>
      <c r="Z3" s="5982"/>
      <c r="AA3" s="5982"/>
      <c r="AB3" s="5982"/>
      <c r="AC3" s="5982"/>
      <c r="AD3" s="2550" t="s">
        <v>76</v>
      </c>
      <c r="AE3" s="2550"/>
      <c r="AF3" s="5982" t="s">
        <v>1087</v>
      </c>
      <c r="AG3" s="5982"/>
      <c r="AH3" s="5982"/>
      <c r="AI3" s="5982"/>
      <c r="AJ3" s="5982"/>
      <c r="AK3" s="2550" t="s">
        <v>76</v>
      </c>
      <c r="AL3" s="2550"/>
      <c r="AM3" s="5982" t="s">
        <v>1632</v>
      </c>
      <c r="AN3" s="5982"/>
      <c r="AO3" s="5982"/>
      <c r="AP3" s="5982"/>
      <c r="AQ3" s="5982"/>
      <c r="AR3" s="2550" t="s">
        <v>76</v>
      </c>
      <c r="AS3" s="2550"/>
      <c r="AT3" s="5982" t="s">
        <v>1820</v>
      </c>
      <c r="AU3" s="5982"/>
      <c r="AV3" s="5982"/>
      <c r="AW3" s="5982"/>
      <c r="AX3" s="5982"/>
      <c r="AY3" s="2550" t="s">
        <v>76</v>
      </c>
      <c r="AZ3" s="2550"/>
      <c r="BA3" s="5982" t="s">
        <v>2392</v>
      </c>
      <c r="BB3" s="5982"/>
      <c r="BC3" s="5982"/>
      <c r="BD3" s="5982"/>
      <c r="BE3" s="5982"/>
      <c r="BF3" s="2550" t="s">
        <v>76</v>
      </c>
      <c r="BG3" s="2550"/>
      <c r="BH3" s="5982" t="s">
        <v>2586</v>
      </c>
      <c r="BI3" s="5982"/>
      <c r="BJ3" s="5982"/>
      <c r="BK3" s="5982"/>
      <c r="BL3" s="5982"/>
      <c r="BM3" s="2550" t="s">
        <v>76</v>
      </c>
      <c r="BO3" s="5982" t="s">
        <v>2769</v>
      </c>
      <c r="BP3" s="5982"/>
      <c r="BQ3" s="5982"/>
      <c r="BR3" s="5982"/>
      <c r="BS3" s="5982"/>
      <c r="BT3" s="3596" t="s">
        <v>76</v>
      </c>
      <c r="BV3" s="5982" t="s">
        <v>3068</v>
      </c>
      <c r="BW3" s="5982"/>
      <c r="BX3" s="5982"/>
      <c r="BY3" s="5982"/>
      <c r="BZ3" s="5982"/>
      <c r="CA3" s="5391" t="s">
        <v>76</v>
      </c>
    </row>
    <row r="4" spans="1:79" ht="15" thickBot="1">
      <c r="A4" s="2583" t="s">
        <v>68</v>
      </c>
      <c r="B4" s="2583" t="s">
        <v>1592</v>
      </c>
      <c r="C4" s="2583" t="s">
        <v>1591</v>
      </c>
      <c r="D4" s="2612" t="s">
        <v>592</v>
      </c>
      <c r="E4" s="2612">
        <v>1</v>
      </c>
      <c r="F4" s="2612">
        <v>2</v>
      </c>
      <c r="G4" s="2612">
        <v>3</v>
      </c>
      <c r="H4" s="2612" t="s">
        <v>71</v>
      </c>
      <c r="I4" s="2588" t="s">
        <v>1088</v>
      </c>
      <c r="J4" s="2550"/>
      <c r="K4" s="2612" t="s">
        <v>592</v>
      </c>
      <c r="L4" s="2612">
        <v>1</v>
      </c>
      <c r="M4" s="2612">
        <v>2</v>
      </c>
      <c r="N4" s="2612">
        <v>3</v>
      </c>
      <c r="O4" s="2612" t="s">
        <v>71</v>
      </c>
      <c r="P4" s="2588" t="s">
        <v>1088</v>
      </c>
      <c r="Q4" s="2550"/>
      <c r="R4" s="2612" t="s">
        <v>592</v>
      </c>
      <c r="S4" s="2612">
        <v>1</v>
      </c>
      <c r="T4" s="2612">
        <v>2</v>
      </c>
      <c r="U4" s="2612">
        <v>3</v>
      </c>
      <c r="V4" s="2612" t="s">
        <v>71</v>
      </c>
      <c r="W4" s="2588" t="s">
        <v>1088</v>
      </c>
      <c r="X4" s="2550"/>
      <c r="Y4" s="2612" t="s">
        <v>592</v>
      </c>
      <c r="Z4" s="2612">
        <v>1</v>
      </c>
      <c r="AA4" s="2612">
        <v>2</v>
      </c>
      <c r="AB4" s="2612">
        <v>3</v>
      </c>
      <c r="AC4" s="2612" t="s">
        <v>71</v>
      </c>
      <c r="AD4" s="2588" t="s">
        <v>1088</v>
      </c>
      <c r="AE4" s="2550"/>
      <c r="AF4" s="2612" t="s">
        <v>592</v>
      </c>
      <c r="AG4" s="2612">
        <v>1</v>
      </c>
      <c r="AH4" s="2612">
        <v>2</v>
      </c>
      <c r="AI4" s="2612">
        <v>3</v>
      </c>
      <c r="AJ4" s="2612" t="s">
        <v>71</v>
      </c>
      <c r="AK4" s="2588" t="s">
        <v>1088</v>
      </c>
      <c r="AL4" s="2550"/>
      <c r="AM4" s="2612" t="s">
        <v>592</v>
      </c>
      <c r="AN4" s="2612">
        <v>1</v>
      </c>
      <c r="AO4" s="2612">
        <v>2</v>
      </c>
      <c r="AP4" s="2612">
        <v>3</v>
      </c>
      <c r="AQ4" s="2612" t="s">
        <v>71</v>
      </c>
      <c r="AR4" s="2588" t="s">
        <v>1088</v>
      </c>
      <c r="AS4" s="2550"/>
      <c r="AT4" s="2612" t="s">
        <v>592</v>
      </c>
      <c r="AU4" s="2612">
        <v>1</v>
      </c>
      <c r="AV4" s="2612">
        <v>2</v>
      </c>
      <c r="AW4" s="2612">
        <v>3</v>
      </c>
      <c r="AX4" s="2612" t="s">
        <v>71</v>
      </c>
      <c r="AY4" s="2588" t="s">
        <v>1088</v>
      </c>
      <c r="AZ4" s="2550"/>
      <c r="BA4" s="2612" t="s">
        <v>592</v>
      </c>
      <c r="BB4" s="2612">
        <v>1</v>
      </c>
      <c r="BC4" s="2612">
        <v>2</v>
      </c>
      <c r="BD4" s="2612">
        <v>3</v>
      </c>
      <c r="BE4" s="2612" t="s">
        <v>71</v>
      </c>
      <c r="BF4" s="2588" t="s">
        <v>1088</v>
      </c>
      <c r="BG4" s="2550"/>
      <c r="BH4" s="2612" t="s">
        <v>592</v>
      </c>
      <c r="BI4" s="2612">
        <v>1</v>
      </c>
      <c r="BJ4" s="2612">
        <v>2</v>
      </c>
      <c r="BK4" s="2612">
        <v>3</v>
      </c>
      <c r="BL4" s="2612" t="s">
        <v>71</v>
      </c>
      <c r="BM4" s="2588" t="s">
        <v>1088</v>
      </c>
      <c r="BO4" s="2612" t="s">
        <v>592</v>
      </c>
      <c r="BP4" s="2612">
        <v>1</v>
      </c>
      <c r="BQ4" s="2612">
        <v>2</v>
      </c>
      <c r="BR4" s="2612">
        <v>3</v>
      </c>
      <c r="BS4" s="2612" t="s">
        <v>71</v>
      </c>
      <c r="BT4" s="2588" t="s">
        <v>1088</v>
      </c>
      <c r="BV4" s="2612" t="s">
        <v>592</v>
      </c>
      <c r="BW4" s="2612">
        <v>1</v>
      </c>
      <c r="BX4" s="2612">
        <v>2</v>
      </c>
      <c r="BY4" s="2612">
        <v>3</v>
      </c>
      <c r="BZ4" s="2612" t="s">
        <v>71</v>
      </c>
      <c r="CA4" s="2588" t="s">
        <v>1088</v>
      </c>
    </row>
    <row r="5" spans="1:79" ht="17.100000000000001" customHeight="1">
      <c r="A5" s="2585" t="s">
        <v>70</v>
      </c>
      <c r="B5" s="2586" t="s">
        <v>4</v>
      </c>
      <c r="C5" s="2679" t="s">
        <v>1097</v>
      </c>
      <c r="D5" s="1142">
        <v>4</v>
      </c>
      <c r="E5" s="1142">
        <v>35</v>
      </c>
      <c r="F5" s="1142">
        <v>9</v>
      </c>
      <c r="G5" s="1142">
        <v>1</v>
      </c>
      <c r="H5" s="2711">
        <f>SUM(D5:G5)</f>
        <v>49</v>
      </c>
      <c r="I5" s="2712">
        <f t="shared" ref="I5:I68" si="0">(F5+G5)/(D5+E5)</f>
        <v>0.25641025641025639</v>
      </c>
      <c r="J5" s="2550"/>
      <c r="K5" s="1142">
        <v>8</v>
      </c>
      <c r="L5" s="1142">
        <v>34</v>
      </c>
      <c r="M5" s="1142">
        <v>10</v>
      </c>
      <c r="N5" s="1142">
        <v>1</v>
      </c>
      <c r="O5" s="2711">
        <f>SUM(K5:N5)</f>
        <v>53</v>
      </c>
      <c r="P5" s="2712">
        <f t="shared" ref="P5:P68" si="1">(M5+N5)/(K5+L5)</f>
        <v>0.26190476190476192</v>
      </c>
      <c r="Q5" s="2550"/>
      <c r="R5" s="1142">
        <v>6</v>
      </c>
      <c r="S5" s="1142">
        <v>35</v>
      </c>
      <c r="T5" s="1142">
        <v>10</v>
      </c>
      <c r="U5" s="1142">
        <v>1</v>
      </c>
      <c r="V5" s="2711">
        <f>SUM(R5:U5)</f>
        <v>52</v>
      </c>
      <c r="W5" s="2712">
        <f t="shared" ref="W5:W68" si="2">(T5+U5)/(R5+S5)</f>
        <v>0.26829268292682928</v>
      </c>
      <c r="X5" s="2550"/>
      <c r="Y5" s="1142">
        <v>11</v>
      </c>
      <c r="Z5" s="1142">
        <v>31</v>
      </c>
      <c r="AA5" s="1142">
        <v>14</v>
      </c>
      <c r="AB5" s="1142">
        <v>1</v>
      </c>
      <c r="AC5" s="2711">
        <f>SUM(Y5:AB5)</f>
        <v>57</v>
      </c>
      <c r="AD5" s="2712">
        <f t="shared" ref="AD5:AD68" si="3">(AA5+AB5)/(Y5+Z5)</f>
        <v>0.35714285714285715</v>
      </c>
      <c r="AE5" s="2550"/>
      <c r="AF5" s="1142">
        <v>7</v>
      </c>
      <c r="AG5" s="1142">
        <v>35</v>
      </c>
      <c r="AH5" s="1142">
        <v>15</v>
      </c>
      <c r="AI5" s="1142">
        <v>2</v>
      </c>
      <c r="AJ5" s="2711">
        <f>SUM(AF5:AI5)</f>
        <v>59</v>
      </c>
      <c r="AK5" s="2712">
        <f t="shared" ref="AK5:AK68" si="4">(AH5+AI5)/(AF5+AG5)</f>
        <v>0.40476190476190477</v>
      </c>
      <c r="AL5" s="2550"/>
      <c r="AM5" s="1142">
        <v>9</v>
      </c>
      <c r="AN5" s="1142">
        <v>31</v>
      </c>
      <c r="AO5" s="1142">
        <v>17</v>
      </c>
      <c r="AP5" s="1142">
        <v>2</v>
      </c>
      <c r="AQ5" s="2711">
        <f>SUM(AM5:AP5)</f>
        <v>59</v>
      </c>
      <c r="AR5" s="2712">
        <f t="shared" ref="AR5:AR68" si="5">(AO5+AP5)/(AM5+AN5)</f>
        <v>0.47499999999999998</v>
      </c>
      <c r="AS5" s="2550"/>
      <c r="AT5" s="1142">
        <v>9</v>
      </c>
      <c r="AU5" s="1142">
        <v>33</v>
      </c>
      <c r="AV5" s="1142">
        <v>16</v>
      </c>
      <c r="AW5" s="1142">
        <v>2</v>
      </c>
      <c r="AX5" s="2711">
        <f>SUM(AT5:AW5)</f>
        <v>60</v>
      </c>
      <c r="AY5" s="2712">
        <f t="shared" ref="AY5:AY35" si="6">(AV5+AW5)/(AT5+AU5)</f>
        <v>0.42857142857142855</v>
      </c>
      <c r="AZ5" s="2550"/>
      <c r="BA5" s="1142">
        <v>6</v>
      </c>
      <c r="BB5" s="1142">
        <v>26</v>
      </c>
      <c r="BC5" s="1142">
        <v>16</v>
      </c>
      <c r="BD5" s="1142">
        <v>2</v>
      </c>
      <c r="BE5" s="2711">
        <f>SUM(BA5:BD5)</f>
        <v>50</v>
      </c>
      <c r="BF5" s="2712">
        <f t="shared" ref="BF5:BF35" si="7">(BC5+BD5)/(BA5+BB5)</f>
        <v>0.5625</v>
      </c>
      <c r="BG5" s="2550"/>
      <c r="BH5" s="1142">
        <v>4</v>
      </c>
      <c r="BI5" s="1142">
        <v>27</v>
      </c>
      <c r="BJ5" s="1142">
        <v>15</v>
      </c>
      <c r="BK5" s="1142">
        <v>3</v>
      </c>
      <c r="BL5" s="2711">
        <v>49</v>
      </c>
      <c r="BM5" s="2712">
        <f t="shared" ref="BM5:BM35" si="8">(BJ5+BK5)/(BH5+BI5)</f>
        <v>0.58064516129032262</v>
      </c>
      <c r="BO5" s="1142">
        <v>6</v>
      </c>
      <c r="BP5" s="1142">
        <v>25</v>
      </c>
      <c r="BQ5" s="1142">
        <v>13</v>
      </c>
      <c r="BR5" s="1142">
        <v>5</v>
      </c>
      <c r="BS5" s="2711">
        <v>49</v>
      </c>
      <c r="BT5" s="2712">
        <f t="shared" ref="BT5:BT35" si="9">(BQ5+BR5)/(BO5+BP5)</f>
        <v>0.58064516129032262</v>
      </c>
      <c r="BV5" s="1142">
        <v>10</v>
      </c>
      <c r="BW5" s="1142">
        <v>24</v>
      </c>
      <c r="BX5" s="1142">
        <v>13</v>
      </c>
      <c r="BY5" s="1142">
        <v>5</v>
      </c>
      <c r="BZ5" s="2711">
        <v>52</v>
      </c>
      <c r="CA5" s="2712">
        <f t="shared" ref="CA5:CA35" si="10">(BX5+BY5)/(BV5+BW5)</f>
        <v>0.52941176470588236</v>
      </c>
    </row>
    <row r="6" spans="1:79" ht="17.100000000000001" customHeight="1">
      <c r="A6" s="1162" t="s">
        <v>70</v>
      </c>
      <c r="B6" s="1144" t="s">
        <v>4</v>
      </c>
      <c r="C6" s="2680" t="s">
        <v>1098</v>
      </c>
      <c r="D6" s="1139"/>
      <c r="E6" s="1139">
        <v>4</v>
      </c>
      <c r="F6" s="1145"/>
      <c r="G6" s="1145"/>
      <c r="H6" s="2713">
        <f>SUM(D6:G6)</f>
        <v>4</v>
      </c>
      <c r="I6" s="2714">
        <f t="shared" si="0"/>
        <v>0</v>
      </c>
      <c r="J6" s="2550"/>
      <c r="K6" s="1139">
        <v>1</v>
      </c>
      <c r="L6" s="1139">
        <v>4</v>
      </c>
      <c r="M6" s="1145"/>
      <c r="N6" s="1145"/>
      <c r="O6" s="2713">
        <f>SUM(K6:N6)</f>
        <v>5</v>
      </c>
      <c r="P6" s="2714">
        <f t="shared" si="1"/>
        <v>0</v>
      </c>
      <c r="Q6" s="2550"/>
      <c r="R6" s="1139">
        <v>2</v>
      </c>
      <c r="S6" s="1139">
        <v>2</v>
      </c>
      <c r="T6" s="1145"/>
      <c r="U6" s="1145"/>
      <c r="V6" s="2713">
        <f>SUM(R6:U6)</f>
        <v>4</v>
      </c>
      <c r="W6" s="2714">
        <f t="shared" si="2"/>
        <v>0</v>
      </c>
      <c r="X6" s="2550"/>
      <c r="Y6" s="1139">
        <v>3</v>
      </c>
      <c r="Z6" s="1139">
        <v>2</v>
      </c>
      <c r="AA6" s="1145"/>
      <c r="AB6" s="1145"/>
      <c r="AC6" s="2713">
        <f>SUM(Y6:AB6)</f>
        <v>5</v>
      </c>
      <c r="AD6" s="2714">
        <f t="shared" si="3"/>
        <v>0</v>
      </c>
      <c r="AE6" s="2550"/>
      <c r="AF6" s="1139">
        <v>2</v>
      </c>
      <c r="AG6" s="1139">
        <v>3</v>
      </c>
      <c r="AH6" s="1145"/>
      <c r="AI6" s="1145"/>
      <c r="AJ6" s="2713">
        <f t="shared" ref="AJ6:AJ69" si="11">SUM(AF6:AI6)</f>
        <v>5</v>
      </c>
      <c r="AK6" s="2714">
        <f t="shared" si="4"/>
        <v>0</v>
      </c>
      <c r="AL6" s="2550"/>
      <c r="AM6" s="1139">
        <v>1</v>
      </c>
      <c r="AN6" s="1139">
        <v>4</v>
      </c>
      <c r="AO6" s="1145"/>
      <c r="AP6" s="1145"/>
      <c r="AQ6" s="2713">
        <f t="shared" ref="AQ6:AQ69" si="12">SUM(AM6:AP6)</f>
        <v>5</v>
      </c>
      <c r="AR6" s="2714">
        <f t="shared" si="5"/>
        <v>0</v>
      </c>
      <c r="AS6" s="2550"/>
      <c r="AT6" s="1139">
        <v>2</v>
      </c>
      <c r="AU6" s="1139">
        <v>5</v>
      </c>
      <c r="AV6" s="1145"/>
      <c r="AW6" s="1145"/>
      <c r="AX6" s="2713">
        <f t="shared" ref="AX6:AX20" si="13">SUM(AT6:AW6)</f>
        <v>7</v>
      </c>
      <c r="AY6" s="2714">
        <f t="shared" si="6"/>
        <v>0</v>
      </c>
      <c r="AZ6" s="2550"/>
      <c r="BA6" s="1139">
        <v>4</v>
      </c>
      <c r="BB6" s="1139">
        <v>5</v>
      </c>
      <c r="BC6" s="1145">
        <v>0</v>
      </c>
      <c r="BD6" s="1145">
        <v>0</v>
      </c>
      <c r="BE6" s="2713">
        <f>SUM(BA6:BD6)</f>
        <v>9</v>
      </c>
      <c r="BF6" s="2714">
        <f t="shared" si="7"/>
        <v>0</v>
      </c>
      <c r="BG6" s="2550"/>
      <c r="BH6" s="1139">
        <v>2</v>
      </c>
      <c r="BI6" s="1139">
        <v>6</v>
      </c>
      <c r="BJ6" s="1145"/>
      <c r="BK6" s="1145"/>
      <c r="BL6" s="2713">
        <v>8</v>
      </c>
      <c r="BM6" s="2714">
        <f t="shared" si="8"/>
        <v>0</v>
      </c>
      <c r="BO6" s="1139">
        <v>2</v>
      </c>
      <c r="BP6" s="1139">
        <v>5</v>
      </c>
      <c r="BQ6" s="1145"/>
      <c r="BR6" s="1145"/>
      <c r="BS6" s="2713">
        <v>7</v>
      </c>
      <c r="BT6" s="2714">
        <f t="shared" si="9"/>
        <v>0</v>
      </c>
      <c r="BV6" s="1139">
        <v>2</v>
      </c>
      <c r="BW6" s="1139">
        <v>5</v>
      </c>
      <c r="BX6" s="1145"/>
      <c r="BY6" s="1145"/>
      <c r="BZ6" s="2713">
        <v>7</v>
      </c>
      <c r="CA6" s="2714">
        <f t="shared" si="10"/>
        <v>0</v>
      </c>
    </row>
    <row r="7" spans="1:79" ht="17.100000000000001" customHeight="1">
      <c r="A7" s="1162" t="s">
        <v>70</v>
      </c>
      <c r="B7" s="1144" t="s">
        <v>4</v>
      </c>
      <c r="C7" s="2680" t="s">
        <v>1099</v>
      </c>
      <c r="D7" s="1139">
        <v>2</v>
      </c>
      <c r="E7" s="1139">
        <v>5</v>
      </c>
      <c r="F7" s="1145">
        <v>4</v>
      </c>
      <c r="G7" s="1145"/>
      <c r="H7" s="2713">
        <f>SUM(D7:G7)</f>
        <v>11</v>
      </c>
      <c r="I7" s="2714">
        <f t="shared" si="0"/>
        <v>0.5714285714285714</v>
      </c>
      <c r="J7" s="2550"/>
      <c r="K7" s="1139">
        <v>4</v>
      </c>
      <c r="L7" s="1139">
        <v>6</v>
      </c>
      <c r="M7" s="1145">
        <v>3</v>
      </c>
      <c r="N7" s="1145"/>
      <c r="O7" s="2713">
        <f>SUM(K7:N7)</f>
        <v>13</v>
      </c>
      <c r="P7" s="2714">
        <f t="shared" si="1"/>
        <v>0.3</v>
      </c>
      <c r="Q7" s="2550"/>
      <c r="R7" s="1139">
        <v>5</v>
      </c>
      <c r="S7" s="1139">
        <v>6</v>
      </c>
      <c r="T7" s="1145">
        <v>3</v>
      </c>
      <c r="U7" s="1145"/>
      <c r="V7" s="2713">
        <f>SUM(R7:U7)</f>
        <v>14</v>
      </c>
      <c r="W7" s="2714">
        <f t="shared" si="2"/>
        <v>0.27272727272727271</v>
      </c>
      <c r="X7" s="2550"/>
      <c r="Y7" s="1139">
        <v>5</v>
      </c>
      <c r="Z7" s="1139">
        <v>9</v>
      </c>
      <c r="AA7" s="1145">
        <v>3</v>
      </c>
      <c r="AB7" s="1145"/>
      <c r="AC7" s="2713">
        <f>SUM(Y7:AB7)</f>
        <v>17</v>
      </c>
      <c r="AD7" s="2714">
        <f t="shared" si="3"/>
        <v>0.21428571428571427</v>
      </c>
      <c r="AE7" s="2550"/>
      <c r="AF7" s="1139">
        <v>4</v>
      </c>
      <c r="AG7" s="1139">
        <v>7</v>
      </c>
      <c r="AH7" s="1145">
        <v>5</v>
      </c>
      <c r="AI7" s="1145"/>
      <c r="AJ7" s="2713">
        <f t="shared" si="11"/>
        <v>16</v>
      </c>
      <c r="AK7" s="2714">
        <f t="shared" si="4"/>
        <v>0.45454545454545453</v>
      </c>
      <c r="AL7" s="2550"/>
      <c r="AM7" s="1139">
        <v>4</v>
      </c>
      <c r="AN7" s="1139">
        <v>8</v>
      </c>
      <c r="AO7" s="1145">
        <v>5</v>
      </c>
      <c r="AP7" s="1145"/>
      <c r="AQ7" s="2713">
        <f t="shared" si="12"/>
        <v>17</v>
      </c>
      <c r="AR7" s="2714">
        <f t="shared" si="5"/>
        <v>0.41666666666666669</v>
      </c>
      <c r="AS7" s="2550"/>
      <c r="AT7" s="1139">
        <v>4</v>
      </c>
      <c r="AU7" s="1139">
        <v>14</v>
      </c>
      <c r="AV7" s="1145">
        <v>5</v>
      </c>
      <c r="AW7" s="1145"/>
      <c r="AX7" s="2713">
        <f t="shared" si="13"/>
        <v>23</v>
      </c>
      <c r="AY7" s="2714">
        <f t="shared" si="6"/>
        <v>0.27777777777777779</v>
      </c>
      <c r="AZ7" s="2550"/>
      <c r="BA7" s="1139">
        <v>6</v>
      </c>
      <c r="BB7" s="1139">
        <v>15</v>
      </c>
      <c r="BC7" s="1145">
        <v>5</v>
      </c>
      <c r="BD7" s="1145">
        <v>0</v>
      </c>
      <c r="BE7" s="2713">
        <f>SUM(BA7:BD7)</f>
        <v>26</v>
      </c>
      <c r="BF7" s="2714">
        <f t="shared" si="7"/>
        <v>0.23809523809523808</v>
      </c>
      <c r="BG7" s="2550"/>
      <c r="BH7" s="1139">
        <v>4</v>
      </c>
      <c r="BI7" s="1139">
        <v>15</v>
      </c>
      <c r="BJ7" s="1145">
        <v>3</v>
      </c>
      <c r="BK7" s="1145"/>
      <c r="BL7" s="2713">
        <v>22</v>
      </c>
      <c r="BM7" s="2714">
        <f t="shared" si="8"/>
        <v>0.15789473684210525</v>
      </c>
      <c r="BO7" s="1139">
        <v>5</v>
      </c>
      <c r="BP7" s="1139">
        <v>13</v>
      </c>
      <c r="BQ7" s="1145">
        <v>3</v>
      </c>
      <c r="BR7" s="1145"/>
      <c r="BS7" s="2713">
        <v>21</v>
      </c>
      <c r="BT7" s="2714">
        <f t="shared" si="9"/>
        <v>0.16666666666666666</v>
      </c>
      <c r="BV7" s="1139">
        <v>6</v>
      </c>
      <c r="BW7" s="1139">
        <v>13</v>
      </c>
      <c r="BX7" s="1145">
        <v>3</v>
      </c>
      <c r="BY7" s="1145"/>
      <c r="BZ7" s="2713">
        <v>22</v>
      </c>
      <c r="CA7" s="2714">
        <f t="shared" si="10"/>
        <v>0.15789473684210525</v>
      </c>
    </row>
    <row r="8" spans="1:79" ht="17.100000000000001" customHeight="1">
      <c r="A8" s="1162" t="s">
        <v>70</v>
      </c>
      <c r="B8" s="1144" t="s">
        <v>4</v>
      </c>
      <c r="C8" s="2680" t="s">
        <v>1100</v>
      </c>
      <c r="D8" s="1139">
        <v>5</v>
      </c>
      <c r="E8" s="1139">
        <v>6</v>
      </c>
      <c r="F8" s="1139">
        <v>4</v>
      </c>
      <c r="G8" s="1145"/>
      <c r="H8" s="2713">
        <f>SUM(D8:G8)</f>
        <v>15</v>
      </c>
      <c r="I8" s="2714">
        <f t="shared" si="0"/>
        <v>0.36363636363636365</v>
      </c>
      <c r="J8" s="2550"/>
      <c r="K8" s="1139">
        <v>4</v>
      </c>
      <c r="L8" s="1139">
        <v>6</v>
      </c>
      <c r="M8" s="1139">
        <v>4</v>
      </c>
      <c r="N8" s="1145"/>
      <c r="O8" s="2713">
        <f>SUM(K8:N8)</f>
        <v>14</v>
      </c>
      <c r="P8" s="2714">
        <f t="shared" si="1"/>
        <v>0.4</v>
      </c>
      <c r="Q8" s="2550"/>
      <c r="R8" s="1139">
        <v>4</v>
      </c>
      <c r="S8" s="1139">
        <v>5</v>
      </c>
      <c r="T8" s="1139">
        <v>4</v>
      </c>
      <c r="U8" s="1145"/>
      <c r="V8" s="2713">
        <f>SUM(R8:U8)</f>
        <v>13</v>
      </c>
      <c r="W8" s="2714">
        <f t="shared" si="2"/>
        <v>0.44444444444444442</v>
      </c>
      <c r="X8" s="2550"/>
      <c r="Y8" s="1139">
        <v>5</v>
      </c>
      <c r="Z8" s="1139">
        <v>6</v>
      </c>
      <c r="AA8" s="1139">
        <v>4</v>
      </c>
      <c r="AB8" s="1145"/>
      <c r="AC8" s="2713">
        <f>SUM(Y8:AB8)</f>
        <v>15</v>
      </c>
      <c r="AD8" s="2714">
        <f t="shared" si="3"/>
        <v>0.36363636363636365</v>
      </c>
      <c r="AE8" s="2550"/>
      <c r="AF8" s="1139">
        <v>4</v>
      </c>
      <c r="AG8" s="1139">
        <v>8</v>
      </c>
      <c r="AH8" s="1139">
        <v>3</v>
      </c>
      <c r="AI8" s="1145">
        <v>1</v>
      </c>
      <c r="AJ8" s="2713">
        <f t="shared" si="11"/>
        <v>16</v>
      </c>
      <c r="AK8" s="2714">
        <f t="shared" si="4"/>
        <v>0.33333333333333331</v>
      </c>
      <c r="AL8" s="2550"/>
      <c r="AM8" s="1139">
        <v>4</v>
      </c>
      <c r="AN8" s="1139">
        <v>8</v>
      </c>
      <c r="AO8" s="1139">
        <v>3</v>
      </c>
      <c r="AP8" s="1145">
        <v>1</v>
      </c>
      <c r="AQ8" s="2713">
        <f t="shared" si="12"/>
        <v>16</v>
      </c>
      <c r="AR8" s="2714">
        <f t="shared" si="5"/>
        <v>0.33333333333333331</v>
      </c>
      <c r="AS8" s="2550"/>
      <c r="AT8" s="1139">
        <v>5</v>
      </c>
      <c r="AU8" s="1139">
        <v>9</v>
      </c>
      <c r="AV8" s="1139">
        <v>3</v>
      </c>
      <c r="AW8" s="1145">
        <v>1</v>
      </c>
      <c r="AX8" s="2713">
        <f t="shared" si="13"/>
        <v>18</v>
      </c>
      <c r="AY8" s="2714">
        <f t="shared" si="6"/>
        <v>0.2857142857142857</v>
      </c>
      <c r="AZ8" s="2550"/>
      <c r="BA8" s="1139">
        <v>2</v>
      </c>
      <c r="BB8" s="1139">
        <v>13</v>
      </c>
      <c r="BC8" s="1139">
        <v>3</v>
      </c>
      <c r="BD8" s="1145">
        <v>1</v>
      </c>
      <c r="BE8" s="2713">
        <f>SUM(BA8:BD8)</f>
        <v>19</v>
      </c>
      <c r="BF8" s="2714">
        <f t="shared" si="7"/>
        <v>0.26666666666666666</v>
      </c>
      <c r="BG8" s="2550"/>
      <c r="BH8" s="1139">
        <v>3</v>
      </c>
      <c r="BI8" s="1139">
        <v>12</v>
      </c>
      <c r="BJ8" s="1139">
        <v>3</v>
      </c>
      <c r="BK8" s="1145">
        <v>1</v>
      </c>
      <c r="BL8" s="2713">
        <v>19</v>
      </c>
      <c r="BM8" s="2714">
        <f t="shared" si="8"/>
        <v>0.26666666666666666</v>
      </c>
      <c r="BO8" s="1139">
        <v>3</v>
      </c>
      <c r="BP8" s="1139">
        <v>15</v>
      </c>
      <c r="BQ8" s="1139">
        <v>2</v>
      </c>
      <c r="BR8" s="1145">
        <v>2</v>
      </c>
      <c r="BS8" s="2713">
        <v>22</v>
      </c>
      <c r="BT8" s="2714">
        <f t="shared" si="9"/>
        <v>0.22222222222222221</v>
      </c>
      <c r="BV8" s="1139">
        <v>2</v>
      </c>
      <c r="BW8" s="1139">
        <v>16</v>
      </c>
      <c r="BX8" s="1139">
        <v>2</v>
      </c>
      <c r="BY8" s="1145">
        <v>2</v>
      </c>
      <c r="BZ8" s="2713">
        <v>22</v>
      </c>
      <c r="CA8" s="2714">
        <f t="shared" si="10"/>
        <v>0.22222222222222221</v>
      </c>
    </row>
    <row r="9" spans="1:79" ht="17.100000000000001" customHeight="1" thickBot="1">
      <c r="A9" s="1163" t="s">
        <v>70</v>
      </c>
      <c r="B9" s="1146" t="s">
        <v>4</v>
      </c>
      <c r="C9" s="2681" t="s">
        <v>1101</v>
      </c>
      <c r="D9" s="1139">
        <v>3</v>
      </c>
      <c r="E9" s="1139">
        <v>5</v>
      </c>
      <c r="F9" s="1145">
        <v>1</v>
      </c>
      <c r="G9" s="1145"/>
      <c r="H9" s="2713">
        <f>SUM(D9:G9)</f>
        <v>9</v>
      </c>
      <c r="I9" s="2714">
        <f t="shared" si="0"/>
        <v>0.125</v>
      </c>
      <c r="J9" s="2550"/>
      <c r="K9" s="1139">
        <v>3</v>
      </c>
      <c r="L9" s="1139">
        <v>5</v>
      </c>
      <c r="M9" s="1145">
        <v>1</v>
      </c>
      <c r="N9" s="1145"/>
      <c r="O9" s="2713">
        <f>SUM(K9:N9)</f>
        <v>9</v>
      </c>
      <c r="P9" s="2714">
        <f t="shared" si="1"/>
        <v>0.125</v>
      </c>
      <c r="Q9" s="2550"/>
      <c r="R9" s="1139">
        <v>5</v>
      </c>
      <c r="S9" s="1139">
        <v>6</v>
      </c>
      <c r="T9" s="1145">
        <v>2</v>
      </c>
      <c r="U9" s="1145"/>
      <c r="V9" s="2713">
        <f>SUM(R9:U9)</f>
        <v>13</v>
      </c>
      <c r="W9" s="2714">
        <f t="shared" si="2"/>
        <v>0.18181818181818182</v>
      </c>
      <c r="X9" s="2550"/>
      <c r="Y9" s="1139">
        <v>3</v>
      </c>
      <c r="Z9" s="1139">
        <v>11</v>
      </c>
      <c r="AA9" s="1145">
        <v>2</v>
      </c>
      <c r="AB9" s="1145"/>
      <c r="AC9" s="2713">
        <f>SUM(Y9:AB9)</f>
        <v>16</v>
      </c>
      <c r="AD9" s="2714">
        <f t="shared" si="3"/>
        <v>0.14285714285714285</v>
      </c>
      <c r="AE9" s="2550"/>
      <c r="AF9" s="1139">
        <v>1</v>
      </c>
      <c r="AG9" s="1139">
        <v>12</v>
      </c>
      <c r="AH9" s="1145">
        <v>2</v>
      </c>
      <c r="AI9" s="1145"/>
      <c r="AJ9" s="2713">
        <f t="shared" si="11"/>
        <v>15</v>
      </c>
      <c r="AK9" s="2714">
        <f t="shared" si="4"/>
        <v>0.15384615384615385</v>
      </c>
      <c r="AL9" s="2550"/>
      <c r="AM9" s="1139">
        <v>1</v>
      </c>
      <c r="AN9" s="1139">
        <v>11</v>
      </c>
      <c r="AO9" s="1145">
        <v>1</v>
      </c>
      <c r="AP9" s="1145"/>
      <c r="AQ9" s="2713">
        <f t="shared" si="12"/>
        <v>13</v>
      </c>
      <c r="AR9" s="2714">
        <f t="shared" si="5"/>
        <v>8.3333333333333329E-2</v>
      </c>
      <c r="AS9" s="2550"/>
      <c r="AT9" s="1139">
        <v>4</v>
      </c>
      <c r="AU9" s="1139">
        <v>11</v>
      </c>
      <c r="AV9" s="1145">
        <v>1</v>
      </c>
      <c r="AW9" s="1145"/>
      <c r="AX9" s="2713">
        <f t="shared" si="13"/>
        <v>16</v>
      </c>
      <c r="AY9" s="2714">
        <f t="shared" si="6"/>
        <v>6.6666666666666666E-2</v>
      </c>
      <c r="AZ9" s="2550"/>
      <c r="BA9" s="1139">
        <v>3</v>
      </c>
      <c r="BB9" s="1139">
        <v>12</v>
      </c>
      <c r="BC9" s="1145">
        <v>1</v>
      </c>
      <c r="BD9" s="1145">
        <v>0</v>
      </c>
      <c r="BE9" s="2713">
        <f>SUM(BA9:BD9)</f>
        <v>16</v>
      </c>
      <c r="BF9" s="2714">
        <f t="shared" si="7"/>
        <v>6.6666666666666666E-2</v>
      </c>
      <c r="BG9" s="2550"/>
      <c r="BH9" s="1139">
        <v>3</v>
      </c>
      <c r="BI9" s="1139">
        <v>11</v>
      </c>
      <c r="BJ9" s="1145">
        <v>1</v>
      </c>
      <c r="BK9" s="1145"/>
      <c r="BL9" s="2713">
        <v>15</v>
      </c>
      <c r="BM9" s="2714">
        <f t="shared" si="8"/>
        <v>7.1428571428571425E-2</v>
      </c>
      <c r="BO9" s="1139">
        <v>3</v>
      </c>
      <c r="BP9" s="1139">
        <v>13</v>
      </c>
      <c r="BQ9" s="1145">
        <v>2</v>
      </c>
      <c r="BR9" s="1145"/>
      <c r="BS9" s="2713">
        <v>18</v>
      </c>
      <c r="BT9" s="2714">
        <f t="shared" si="9"/>
        <v>0.125</v>
      </c>
      <c r="BV9" s="1139">
        <v>4</v>
      </c>
      <c r="BW9" s="1139">
        <v>13</v>
      </c>
      <c r="BX9" s="1145">
        <v>2</v>
      </c>
      <c r="BY9" s="1145"/>
      <c r="BZ9" s="2713">
        <v>19</v>
      </c>
      <c r="CA9" s="2714">
        <f t="shared" si="10"/>
        <v>0.11764705882352941</v>
      </c>
    </row>
    <row r="10" spans="1:79" ht="17.100000000000001" customHeight="1" thickBot="1">
      <c r="A10" s="5993" t="s">
        <v>1593</v>
      </c>
      <c r="B10" s="5994"/>
      <c r="C10" s="5994"/>
      <c r="D10" s="1140">
        <f>SUM(D5:D9)</f>
        <v>14</v>
      </c>
      <c r="E10" s="1140">
        <f>SUM(E5:E9)</f>
        <v>55</v>
      </c>
      <c r="F10" s="1140">
        <f>SUM(F5:F9)</f>
        <v>18</v>
      </c>
      <c r="G10" s="1140">
        <f>SUM(G5:G9)</f>
        <v>1</v>
      </c>
      <c r="H10" s="2715">
        <f>SUM(H5:H9)</f>
        <v>88</v>
      </c>
      <c r="I10" s="2716">
        <f t="shared" si="0"/>
        <v>0.27536231884057971</v>
      </c>
      <c r="J10" s="2550"/>
      <c r="K10" s="1140">
        <f>SUM(K5:K9)</f>
        <v>20</v>
      </c>
      <c r="L10" s="1140">
        <f>SUM(L5:L9)</f>
        <v>55</v>
      </c>
      <c r="M10" s="1140">
        <f>SUM(M5:M9)</f>
        <v>18</v>
      </c>
      <c r="N10" s="1140">
        <f>SUM(N5:N9)</f>
        <v>1</v>
      </c>
      <c r="O10" s="2715">
        <f>SUM(O5:O9)</f>
        <v>94</v>
      </c>
      <c r="P10" s="2716">
        <f t="shared" si="1"/>
        <v>0.25333333333333335</v>
      </c>
      <c r="Q10" s="2550"/>
      <c r="R10" s="1140">
        <f>SUM(R5:R9)</f>
        <v>22</v>
      </c>
      <c r="S10" s="1140">
        <f>SUM(S5:S9)</f>
        <v>54</v>
      </c>
      <c r="T10" s="1140">
        <f>SUM(T5:T9)</f>
        <v>19</v>
      </c>
      <c r="U10" s="1140">
        <f>SUM(U5:U9)</f>
        <v>1</v>
      </c>
      <c r="V10" s="2715">
        <f>SUM(V5:V9)</f>
        <v>96</v>
      </c>
      <c r="W10" s="2716">
        <f t="shared" si="2"/>
        <v>0.26315789473684209</v>
      </c>
      <c r="X10" s="2550"/>
      <c r="Y10" s="1140">
        <f>SUM(Y5:Y9)</f>
        <v>27</v>
      </c>
      <c r="Z10" s="1140">
        <f>SUM(Z5:Z9)</f>
        <v>59</v>
      </c>
      <c r="AA10" s="1140">
        <f>SUM(AA5:AA9)</f>
        <v>23</v>
      </c>
      <c r="AB10" s="1140">
        <f>SUM(AB5:AB9)</f>
        <v>1</v>
      </c>
      <c r="AC10" s="2715">
        <f>SUM(AC5:AC9)</f>
        <v>110</v>
      </c>
      <c r="AD10" s="2716">
        <f t="shared" si="3"/>
        <v>0.27906976744186046</v>
      </c>
      <c r="AE10" s="2550"/>
      <c r="AF10" s="1140">
        <f>SUM(AF5:AF9)</f>
        <v>18</v>
      </c>
      <c r="AG10" s="1140">
        <f>SUM(AG5:AG9)</f>
        <v>65</v>
      </c>
      <c r="AH10" s="1140">
        <f>SUM(AH5:AH9)</f>
        <v>25</v>
      </c>
      <c r="AI10" s="1140">
        <f>SUM(AI5:AI9)</f>
        <v>3</v>
      </c>
      <c r="AJ10" s="2715">
        <f t="shared" si="11"/>
        <v>111</v>
      </c>
      <c r="AK10" s="2716">
        <f t="shared" si="4"/>
        <v>0.33734939759036142</v>
      </c>
      <c r="AL10" s="2550"/>
      <c r="AM10" s="1140">
        <v>19</v>
      </c>
      <c r="AN10" s="1140">
        <v>62</v>
      </c>
      <c r="AO10" s="1140">
        <v>26</v>
      </c>
      <c r="AP10" s="1140">
        <v>3</v>
      </c>
      <c r="AQ10" s="2715">
        <f t="shared" si="12"/>
        <v>110</v>
      </c>
      <c r="AR10" s="2716">
        <f t="shared" si="5"/>
        <v>0.35802469135802467</v>
      </c>
      <c r="AS10" s="2550"/>
      <c r="AT10" s="1140">
        <f>SUM(AT5:AT9)</f>
        <v>24</v>
      </c>
      <c r="AU10" s="1140">
        <f>SUM(AU5:AU9)</f>
        <v>72</v>
      </c>
      <c r="AV10" s="1140">
        <f>SUM(AV5:AV9)</f>
        <v>25</v>
      </c>
      <c r="AW10" s="1140">
        <f>SUM(AW5:AW9)</f>
        <v>3</v>
      </c>
      <c r="AX10" s="2715">
        <f>SUM(AX5:AX9)</f>
        <v>124</v>
      </c>
      <c r="AY10" s="2716">
        <f t="shared" si="6"/>
        <v>0.29166666666666669</v>
      </c>
      <c r="AZ10" s="2550"/>
      <c r="BA10" s="1140">
        <v>21</v>
      </c>
      <c r="BB10" s="1140">
        <v>71</v>
      </c>
      <c r="BC10" s="1140">
        <v>25</v>
      </c>
      <c r="BD10" s="1140">
        <v>3</v>
      </c>
      <c r="BE10" s="2715">
        <f>SUM(BE5:BE9)</f>
        <v>120</v>
      </c>
      <c r="BF10" s="2716">
        <f t="shared" si="7"/>
        <v>0.30434782608695654</v>
      </c>
      <c r="BG10" s="2550"/>
      <c r="BH10" s="1140">
        <v>16</v>
      </c>
      <c r="BI10" s="1140">
        <v>71</v>
      </c>
      <c r="BJ10" s="1140">
        <v>22</v>
      </c>
      <c r="BK10" s="1140">
        <v>4</v>
      </c>
      <c r="BL10" s="2715">
        <v>113</v>
      </c>
      <c r="BM10" s="2716">
        <f t="shared" si="8"/>
        <v>0.2988505747126437</v>
      </c>
      <c r="BO10" s="1140">
        <v>19</v>
      </c>
      <c r="BP10" s="1140">
        <v>71</v>
      </c>
      <c r="BQ10" s="1140">
        <v>20</v>
      </c>
      <c r="BR10" s="1140">
        <v>7</v>
      </c>
      <c r="BS10" s="2715">
        <v>117</v>
      </c>
      <c r="BT10" s="2716">
        <f t="shared" si="9"/>
        <v>0.3</v>
      </c>
      <c r="BV10" s="1140">
        <f>SUM(BV5:BV9)</f>
        <v>24</v>
      </c>
      <c r="BW10" s="1140">
        <f t="shared" ref="BW10:BZ10" si="14">SUM(BW5:BW9)</f>
        <v>71</v>
      </c>
      <c r="BX10" s="1140">
        <f t="shared" si="14"/>
        <v>20</v>
      </c>
      <c r="BY10" s="1140">
        <f t="shared" si="14"/>
        <v>7</v>
      </c>
      <c r="BZ10" s="1140">
        <f t="shared" si="14"/>
        <v>122</v>
      </c>
      <c r="CA10" s="2716">
        <f t="shared" si="10"/>
        <v>0.28421052631578947</v>
      </c>
    </row>
    <row r="11" spans="1:79" ht="17.100000000000001" customHeight="1">
      <c r="A11" s="1161" t="s">
        <v>70</v>
      </c>
      <c r="B11" s="1143" t="s">
        <v>16</v>
      </c>
      <c r="C11" s="2679" t="s">
        <v>1102</v>
      </c>
      <c r="D11" s="1145"/>
      <c r="E11" s="1139">
        <v>9</v>
      </c>
      <c r="F11" s="1145"/>
      <c r="G11" s="1145"/>
      <c r="H11" s="2713">
        <f>SUM(D11:G11)</f>
        <v>9</v>
      </c>
      <c r="I11" s="2714">
        <f t="shared" si="0"/>
        <v>0</v>
      </c>
      <c r="J11" s="2550"/>
      <c r="K11" s="1145"/>
      <c r="L11" s="1139">
        <v>10</v>
      </c>
      <c r="M11" s="1145"/>
      <c r="N11" s="1145"/>
      <c r="O11" s="2713">
        <f>SUM(K11:N11)</f>
        <v>10</v>
      </c>
      <c r="P11" s="2714">
        <f t="shared" si="1"/>
        <v>0</v>
      </c>
      <c r="Q11" s="2550"/>
      <c r="R11" s="1145">
        <v>1</v>
      </c>
      <c r="S11" s="1139">
        <v>8</v>
      </c>
      <c r="T11" s="1145"/>
      <c r="U11" s="1145"/>
      <c r="V11" s="2713">
        <f>SUM(R11:U11)</f>
        <v>9</v>
      </c>
      <c r="W11" s="2714">
        <f t="shared" si="2"/>
        <v>0</v>
      </c>
      <c r="X11" s="2550"/>
      <c r="Y11" s="1145">
        <v>1</v>
      </c>
      <c r="Z11" s="1139">
        <v>9</v>
      </c>
      <c r="AA11" s="1145"/>
      <c r="AB11" s="1145"/>
      <c r="AC11" s="2713">
        <f>SUM(Y11:AB11)</f>
        <v>10</v>
      </c>
      <c r="AD11" s="2714">
        <f t="shared" si="3"/>
        <v>0</v>
      </c>
      <c r="AE11" s="2550"/>
      <c r="AF11" s="1145">
        <v>1</v>
      </c>
      <c r="AG11" s="1139">
        <v>9</v>
      </c>
      <c r="AH11" s="1145"/>
      <c r="AI11" s="1145"/>
      <c r="AJ11" s="2713">
        <f t="shared" si="11"/>
        <v>10</v>
      </c>
      <c r="AK11" s="2714">
        <f t="shared" si="4"/>
        <v>0</v>
      </c>
      <c r="AL11" s="2550"/>
      <c r="AM11" s="1145">
        <v>1</v>
      </c>
      <c r="AN11" s="1139">
        <v>10</v>
      </c>
      <c r="AO11" s="1145"/>
      <c r="AP11" s="1145"/>
      <c r="AQ11" s="2713">
        <f t="shared" si="12"/>
        <v>11</v>
      </c>
      <c r="AR11" s="2714">
        <f t="shared" si="5"/>
        <v>0</v>
      </c>
      <c r="AS11" s="2550"/>
      <c r="AT11" s="1145">
        <v>1</v>
      </c>
      <c r="AU11" s="1139">
        <v>9</v>
      </c>
      <c r="AV11" s="1145"/>
      <c r="AW11" s="1145"/>
      <c r="AX11" s="2713">
        <f t="shared" si="13"/>
        <v>10</v>
      </c>
      <c r="AY11" s="2714">
        <f t="shared" si="6"/>
        <v>0</v>
      </c>
      <c r="AZ11" s="2550"/>
      <c r="BA11" s="1145">
        <v>3</v>
      </c>
      <c r="BB11" s="1139">
        <v>9</v>
      </c>
      <c r="BC11" s="1145"/>
      <c r="BD11" s="1145"/>
      <c r="BE11" s="2713">
        <f>SUM(BA11:BD11)</f>
        <v>12</v>
      </c>
      <c r="BF11" s="2714">
        <f t="shared" si="7"/>
        <v>0</v>
      </c>
      <c r="BG11" s="2550"/>
      <c r="BH11" s="1145">
        <v>5</v>
      </c>
      <c r="BI11" s="1139">
        <v>8</v>
      </c>
      <c r="BJ11" s="1145"/>
      <c r="BK11" s="1145"/>
      <c r="BL11" s="2713">
        <v>13</v>
      </c>
      <c r="BM11" s="2714">
        <f t="shared" si="8"/>
        <v>0</v>
      </c>
      <c r="BO11" s="1145">
        <v>5</v>
      </c>
      <c r="BP11" s="1139">
        <v>7</v>
      </c>
      <c r="BQ11" s="1145"/>
      <c r="BR11" s="1145"/>
      <c r="BS11" s="2713">
        <v>12</v>
      </c>
      <c r="BT11" s="2714">
        <f t="shared" si="9"/>
        <v>0</v>
      </c>
      <c r="BV11" s="1145">
        <v>5</v>
      </c>
      <c r="BW11" s="1139">
        <v>8</v>
      </c>
      <c r="BX11" s="1145"/>
      <c r="BY11" s="1145"/>
      <c r="BZ11" s="2713">
        <v>13</v>
      </c>
      <c r="CA11" s="2714">
        <f t="shared" si="10"/>
        <v>0</v>
      </c>
    </row>
    <row r="12" spans="1:79" ht="17.100000000000001" customHeight="1">
      <c r="A12" s="1162" t="s">
        <v>70</v>
      </c>
      <c r="B12" s="1144" t="s">
        <v>16</v>
      </c>
      <c r="C12" s="2680" t="s">
        <v>1103</v>
      </c>
      <c r="D12" s="1145"/>
      <c r="E12" s="1139">
        <v>4</v>
      </c>
      <c r="F12" s="1139">
        <v>3</v>
      </c>
      <c r="G12" s="1139">
        <v>2</v>
      </c>
      <c r="H12" s="2717">
        <f>SUM(D12:G12)</f>
        <v>9</v>
      </c>
      <c r="I12" s="2714">
        <f t="shared" si="0"/>
        <v>1.25</v>
      </c>
      <c r="J12" s="2550"/>
      <c r="K12" s="1145"/>
      <c r="L12" s="1139">
        <v>4</v>
      </c>
      <c r="M12" s="1139">
        <v>3</v>
      </c>
      <c r="N12" s="1139">
        <v>1</v>
      </c>
      <c r="O12" s="2717">
        <f>SUM(K12:N12)</f>
        <v>8</v>
      </c>
      <c r="P12" s="2714">
        <f t="shared" si="1"/>
        <v>1</v>
      </c>
      <c r="Q12" s="2550"/>
      <c r="R12" s="1145"/>
      <c r="S12" s="1139">
        <v>4</v>
      </c>
      <c r="T12" s="1139">
        <v>3</v>
      </c>
      <c r="U12" s="1139">
        <v>1</v>
      </c>
      <c r="V12" s="2717">
        <f>SUM(R12:U12)</f>
        <v>8</v>
      </c>
      <c r="W12" s="2714">
        <f t="shared" si="2"/>
        <v>1</v>
      </c>
      <c r="X12" s="2550"/>
      <c r="Y12" s="1145"/>
      <c r="Z12" s="1139">
        <v>7</v>
      </c>
      <c r="AA12" s="1139">
        <v>4</v>
      </c>
      <c r="AB12" s="1139">
        <v>2</v>
      </c>
      <c r="AC12" s="2717">
        <f>SUM(Y12:AB12)</f>
        <v>13</v>
      </c>
      <c r="AD12" s="2714">
        <f t="shared" si="3"/>
        <v>0.8571428571428571</v>
      </c>
      <c r="AE12" s="2550"/>
      <c r="AF12" s="1145"/>
      <c r="AG12" s="1139">
        <v>10</v>
      </c>
      <c r="AH12" s="1139">
        <v>3</v>
      </c>
      <c r="AI12" s="1139">
        <v>2</v>
      </c>
      <c r="AJ12" s="2717">
        <f t="shared" si="11"/>
        <v>15</v>
      </c>
      <c r="AK12" s="2714">
        <f t="shared" si="4"/>
        <v>0.5</v>
      </c>
      <c r="AL12" s="2550"/>
      <c r="AM12" s="1145"/>
      <c r="AN12" s="1139">
        <v>11</v>
      </c>
      <c r="AO12" s="1139">
        <v>3</v>
      </c>
      <c r="AP12" s="1139">
        <v>3</v>
      </c>
      <c r="AQ12" s="2717">
        <f t="shared" si="12"/>
        <v>17</v>
      </c>
      <c r="AR12" s="2714">
        <f t="shared" si="5"/>
        <v>0.54545454545454541</v>
      </c>
      <c r="AS12" s="2550"/>
      <c r="AT12" s="1145">
        <v>1</v>
      </c>
      <c r="AU12" s="1139">
        <v>11</v>
      </c>
      <c r="AV12" s="1139">
        <v>2</v>
      </c>
      <c r="AW12" s="1139">
        <v>4</v>
      </c>
      <c r="AX12" s="2717">
        <f t="shared" si="13"/>
        <v>18</v>
      </c>
      <c r="AY12" s="2714">
        <f t="shared" si="6"/>
        <v>0.5</v>
      </c>
      <c r="AZ12" s="2550"/>
      <c r="BA12" s="1145">
        <v>1</v>
      </c>
      <c r="BB12" s="1139">
        <v>12</v>
      </c>
      <c r="BC12" s="1139">
        <v>1</v>
      </c>
      <c r="BD12" s="1139">
        <v>4</v>
      </c>
      <c r="BE12" s="2717">
        <f>SUM(BA12:BD12)</f>
        <v>18</v>
      </c>
      <c r="BF12" s="2714">
        <f t="shared" si="7"/>
        <v>0.38461538461538464</v>
      </c>
      <c r="BG12" s="2550"/>
      <c r="BH12" s="1145">
        <v>1</v>
      </c>
      <c r="BI12" s="1139">
        <v>10</v>
      </c>
      <c r="BJ12" s="1139">
        <v>1</v>
      </c>
      <c r="BK12" s="1139">
        <v>4</v>
      </c>
      <c r="BL12" s="2717">
        <v>16</v>
      </c>
      <c r="BM12" s="2714">
        <f t="shared" si="8"/>
        <v>0.45454545454545453</v>
      </c>
      <c r="BO12" s="1145"/>
      <c r="BP12" s="1139">
        <v>11</v>
      </c>
      <c r="BQ12" s="1139">
        <v>1</v>
      </c>
      <c r="BR12" s="1139">
        <v>4</v>
      </c>
      <c r="BS12" s="2717">
        <v>16</v>
      </c>
      <c r="BT12" s="2714">
        <f t="shared" si="9"/>
        <v>0.45454545454545453</v>
      </c>
      <c r="BV12" s="1145">
        <v>3</v>
      </c>
      <c r="BW12" s="1139">
        <v>11</v>
      </c>
      <c r="BX12" s="1139">
        <v>1</v>
      </c>
      <c r="BY12" s="1139">
        <v>4</v>
      </c>
      <c r="BZ12" s="2717">
        <v>19</v>
      </c>
      <c r="CA12" s="2714">
        <f t="shared" si="10"/>
        <v>0.35714285714285715</v>
      </c>
    </row>
    <row r="13" spans="1:79" ht="17.100000000000001" customHeight="1">
      <c r="A13" s="1162" t="s">
        <v>70</v>
      </c>
      <c r="B13" s="1144" t="s">
        <v>16</v>
      </c>
      <c r="C13" s="2680" t="s">
        <v>1104</v>
      </c>
      <c r="D13" s="1139">
        <v>1</v>
      </c>
      <c r="E13" s="1139">
        <v>17</v>
      </c>
      <c r="F13" s="1139">
        <v>5</v>
      </c>
      <c r="G13" s="1139"/>
      <c r="H13" s="2717">
        <f>SUM(D13:G13)</f>
        <v>23</v>
      </c>
      <c r="I13" s="2714">
        <f t="shared" si="0"/>
        <v>0.27777777777777779</v>
      </c>
      <c r="J13" s="2550"/>
      <c r="K13" s="1139"/>
      <c r="L13" s="1139">
        <v>17</v>
      </c>
      <c r="M13" s="1139">
        <v>5</v>
      </c>
      <c r="N13" s="1139"/>
      <c r="O13" s="2717">
        <f>SUM(K13:N13)</f>
        <v>22</v>
      </c>
      <c r="P13" s="2714">
        <f t="shared" si="1"/>
        <v>0.29411764705882354</v>
      </c>
      <c r="Q13" s="2550"/>
      <c r="R13" s="1139">
        <v>1</v>
      </c>
      <c r="S13" s="1139">
        <v>18</v>
      </c>
      <c r="T13" s="1139">
        <v>3</v>
      </c>
      <c r="U13" s="1139"/>
      <c r="V13" s="2717">
        <f>SUM(R13:U13)</f>
        <v>22</v>
      </c>
      <c r="W13" s="2714">
        <f t="shared" si="2"/>
        <v>0.15789473684210525</v>
      </c>
      <c r="X13" s="2550"/>
      <c r="Y13" s="1139">
        <v>2</v>
      </c>
      <c r="Z13" s="1139">
        <v>20</v>
      </c>
      <c r="AA13" s="1139">
        <v>3</v>
      </c>
      <c r="AB13" s="1139"/>
      <c r="AC13" s="2717">
        <f>SUM(Y13:AB13)</f>
        <v>25</v>
      </c>
      <c r="AD13" s="2714">
        <f t="shared" si="3"/>
        <v>0.13636363636363635</v>
      </c>
      <c r="AE13" s="2550"/>
      <c r="AF13" s="1139">
        <v>3</v>
      </c>
      <c r="AG13" s="1139">
        <v>19</v>
      </c>
      <c r="AH13" s="1139">
        <v>3</v>
      </c>
      <c r="AI13" s="1139"/>
      <c r="AJ13" s="2717">
        <f t="shared" si="11"/>
        <v>25</v>
      </c>
      <c r="AK13" s="2714">
        <f t="shared" si="4"/>
        <v>0.13636363636363635</v>
      </c>
      <c r="AL13" s="2550"/>
      <c r="AM13" s="1139">
        <v>3</v>
      </c>
      <c r="AN13" s="1139">
        <v>15</v>
      </c>
      <c r="AO13" s="1139">
        <v>5</v>
      </c>
      <c r="AP13" s="1139">
        <v>1</v>
      </c>
      <c r="AQ13" s="2717">
        <f t="shared" si="12"/>
        <v>24</v>
      </c>
      <c r="AR13" s="2714">
        <f t="shared" si="5"/>
        <v>0.33333333333333331</v>
      </c>
      <c r="AS13" s="2550"/>
      <c r="AT13" s="1139">
        <v>3</v>
      </c>
      <c r="AU13" s="1139">
        <v>16</v>
      </c>
      <c r="AV13" s="1139">
        <v>4</v>
      </c>
      <c r="AW13" s="1139">
        <v>2</v>
      </c>
      <c r="AX13" s="2717">
        <f t="shared" si="13"/>
        <v>25</v>
      </c>
      <c r="AY13" s="2714">
        <f t="shared" si="6"/>
        <v>0.31578947368421051</v>
      </c>
      <c r="AZ13" s="2550"/>
      <c r="BA13" s="1139">
        <v>4</v>
      </c>
      <c r="BB13" s="1139">
        <v>17</v>
      </c>
      <c r="BC13" s="1139">
        <v>4</v>
      </c>
      <c r="BD13" s="1139">
        <v>2</v>
      </c>
      <c r="BE13" s="2717">
        <f>SUM(BA13:BD13)</f>
        <v>27</v>
      </c>
      <c r="BF13" s="2714">
        <f t="shared" si="7"/>
        <v>0.2857142857142857</v>
      </c>
      <c r="BG13" s="2550"/>
      <c r="BH13" s="1139">
        <v>3</v>
      </c>
      <c r="BI13" s="1139">
        <v>19</v>
      </c>
      <c r="BJ13" s="1139">
        <v>4</v>
      </c>
      <c r="BK13" s="1139">
        <v>2</v>
      </c>
      <c r="BL13" s="2717">
        <v>28</v>
      </c>
      <c r="BM13" s="2714">
        <f t="shared" si="8"/>
        <v>0.27272727272727271</v>
      </c>
      <c r="BO13" s="1139">
        <v>4</v>
      </c>
      <c r="BP13" s="1139">
        <v>17</v>
      </c>
      <c r="BQ13" s="1139">
        <v>4</v>
      </c>
      <c r="BR13" s="1139">
        <v>2</v>
      </c>
      <c r="BS13" s="2717">
        <v>27</v>
      </c>
      <c r="BT13" s="2714">
        <f t="shared" si="9"/>
        <v>0.2857142857142857</v>
      </c>
      <c r="BV13" s="1139">
        <v>3</v>
      </c>
      <c r="BW13" s="1139">
        <v>17</v>
      </c>
      <c r="BX13" s="1139">
        <v>4</v>
      </c>
      <c r="BY13" s="1139">
        <v>2</v>
      </c>
      <c r="BZ13" s="2717">
        <v>26</v>
      </c>
      <c r="CA13" s="2714">
        <f t="shared" si="10"/>
        <v>0.3</v>
      </c>
    </row>
    <row r="14" spans="1:79" ht="17.100000000000001" customHeight="1">
      <c r="A14" s="1162" t="s">
        <v>70</v>
      </c>
      <c r="B14" s="1144" t="s">
        <v>16</v>
      </c>
      <c r="C14" s="2680" t="s">
        <v>813</v>
      </c>
      <c r="D14" s="1145">
        <v>1</v>
      </c>
      <c r="E14" s="1139">
        <v>15</v>
      </c>
      <c r="F14" s="1139">
        <v>1</v>
      </c>
      <c r="G14" s="1145"/>
      <c r="H14" s="2713">
        <f>SUM(D14:G14)</f>
        <v>17</v>
      </c>
      <c r="I14" s="2714">
        <f t="shared" si="0"/>
        <v>6.25E-2</v>
      </c>
      <c r="J14" s="2550"/>
      <c r="K14" s="1145">
        <v>1</v>
      </c>
      <c r="L14" s="1139">
        <v>15</v>
      </c>
      <c r="M14" s="1139">
        <v>1</v>
      </c>
      <c r="N14" s="1145"/>
      <c r="O14" s="2713">
        <f>SUM(K14:N14)</f>
        <v>17</v>
      </c>
      <c r="P14" s="2714">
        <f t="shared" si="1"/>
        <v>6.25E-2</v>
      </c>
      <c r="Q14" s="2550"/>
      <c r="R14" s="1145">
        <v>2</v>
      </c>
      <c r="S14" s="1139">
        <v>16</v>
      </c>
      <c r="T14" s="1139"/>
      <c r="U14" s="1145"/>
      <c r="V14" s="2713">
        <f>SUM(R14:U14)</f>
        <v>18</v>
      </c>
      <c r="W14" s="2714">
        <f t="shared" si="2"/>
        <v>0</v>
      </c>
      <c r="X14" s="2550"/>
      <c r="Y14" s="1145">
        <v>2</v>
      </c>
      <c r="Z14" s="1139">
        <v>17</v>
      </c>
      <c r="AA14" s="1139"/>
      <c r="AB14" s="1145"/>
      <c r="AC14" s="2713">
        <f>SUM(Y14:AB14)</f>
        <v>19</v>
      </c>
      <c r="AD14" s="2714">
        <f t="shared" si="3"/>
        <v>0</v>
      </c>
      <c r="AE14" s="2550"/>
      <c r="AF14" s="1145">
        <v>1</v>
      </c>
      <c r="AG14" s="1139">
        <v>18</v>
      </c>
      <c r="AH14" s="1139"/>
      <c r="AI14" s="1145"/>
      <c r="AJ14" s="2713">
        <f t="shared" si="11"/>
        <v>19</v>
      </c>
      <c r="AK14" s="2714">
        <f t="shared" si="4"/>
        <v>0</v>
      </c>
      <c r="AL14" s="2550"/>
      <c r="AM14" s="1145">
        <v>2</v>
      </c>
      <c r="AN14" s="1139">
        <v>16</v>
      </c>
      <c r="AO14" s="1139"/>
      <c r="AP14" s="1145"/>
      <c r="AQ14" s="2713">
        <f t="shared" si="12"/>
        <v>18</v>
      </c>
      <c r="AR14" s="2714">
        <f t="shared" si="5"/>
        <v>0</v>
      </c>
      <c r="AS14" s="2550"/>
      <c r="AT14" s="1145">
        <v>2</v>
      </c>
      <c r="AU14" s="1139">
        <v>14</v>
      </c>
      <c r="AV14" s="1139"/>
      <c r="AW14" s="1145"/>
      <c r="AX14" s="2713">
        <f t="shared" si="13"/>
        <v>16</v>
      </c>
      <c r="AY14" s="2714">
        <f t="shared" si="6"/>
        <v>0</v>
      </c>
      <c r="AZ14" s="2550"/>
      <c r="BA14" s="1145">
        <v>2</v>
      </c>
      <c r="BB14" s="1139">
        <v>14</v>
      </c>
      <c r="BC14" s="1139"/>
      <c r="BD14" s="1145"/>
      <c r="BE14" s="2713">
        <f>SUM(BA14:BD14)</f>
        <v>16</v>
      </c>
      <c r="BF14" s="2714">
        <f t="shared" si="7"/>
        <v>0</v>
      </c>
      <c r="BG14" s="2550"/>
      <c r="BH14" s="1145">
        <v>3</v>
      </c>
      <c r="BI14" s="1139">
        <v>17</v>
      </c>
      <c r="BJ14" s="1139"/>
      <c r="BK14" s="1145"/>
      <c r="BL14" s="2713">
        <v>20</v>
      </c>
      <c r="BM14" s="2714">
        <f t="shared" si="8"/>
        <v>0</v>
      </c>
      <c r="BO14" s="1145">
        <v>2</v>
      </c>
      <c r="BP14" s="1139">
        <v>16</v>
      </c>
      <c r="BQ14" s="1139"/>
      <c r="BR14" s="1145"/>
      <c r="BS14" s="2713">
        <v>18</v>
      </c>
      <c r="BT14" s="2714">
        <f t="shared" si="9"/>
        <v>0</v>
      </c>
      <c r="BV14" s="1145">
        <v>2</v>
      </c>
      <c r="BW14" s="1139">
        <v>16</v>
      </c>
      <c r="BX14" s="1139"/>
      <c r="BY14" s="1145"/>
      <c r="BZ14" s="2713">
        <v>18</v>
      </c>
      <c r="CA14" s="2714">
        <f t="shared" si="10"/>
        <v>0</v>
      </c>
    </row>
    <row r="15" spans="1:79" ht="17.100000000000001" customHeight="1" thickBot="1">
      <c r="A15" s="1164" t="s">
        <v>70</v>
      </c>
      <c r="B15" s="1147" t="s">
        <v>16</v>
      </c>
      <c r="C15" s="2682" t="s">
        <v>1105</v>
      </c>
      <c r="D15" s="1139">
        <v>1</v>
      </c>
      <c r="E15" s="1139">
        <v>14</v>
      </c>
      <c r="F15" s="1139">
        <v>13</v>
      </c>
      <c r="G15" s="1139">
        <v>3</v>
      </c>
      <c r="H15" s="2717">
        <f>SUM(D15:G15)</f>
        <v>31</v>
      </c>
      <c r="I15" s="2714">
        <f t="shared" si="0"/>
        <v>1.0666666666666667</v>
      </c>
      <c r="J15" s="2550"/>
      <c r="K15" s="1139">
        <v>1</v>
      </c>
      <c r="L15" s="1139">
        <v>14</v>
      </c>
      <c r="M15" s="1139">
        <v>13</v>
      </c>
      <c r="N15" s="1139">
        <v>3</v>
      </c>
      <c r="O15" s="2717">
        <f>SUM(K15:N15)</f>
        <v>31</v>
      </c>
      <c r="P15" s="2714">
        <f t="shared" si="1"/>
        <v>1.0666666666666667</v>
      </c>
      <c r="Q15" s="2550"/>
      <c r="R15" s="1139">
        <v>1</v>
      </c>
      <c r="S15" s="1139">
        <v>18</v>
      </c>
      <c r="T15" s="1139">
        <v>9</v>
      </c>
      <c r="U15" s="1139">
        <v>3</v>
      </c>
      <c r="V15" s="2717">
        <f>SUM(R15:U15)</f>
        <v>31</v>
      </c>
      <c r="W15" s="2714">
        <f t="shared" si="2"/>
        <v>0.63157894736842102</v>
      </c>
      <c r="X15" s="2550"/>
      <c r="Y15" s="1139">
        <v>1</v>
      </c>
      <c r="Z15" s="1139">
        <v>24</v>
      </c>
      <c r="AA15" s="1139">
        <v>9</v>
      </c>
      <c r="AB15" s="1139">
        <v>3</v>
      </c>
      <c r="AC15" s="2717">
        <f>SUM(Y15:AB15)</f>
        <v>37</v>
      </c>
      <c r="AD15" s="2714">
        <f t="shared" si="3"/>
        <v>0.48</v>
      </c>
      <c r="AE15" s="2550"/>
      <c r="AF15" s="1139">
        <v>4</v>
      </c>
      <c r="AG15" s="1139">
        <v>23</v>
      </c>
      <c r="AH15" s="1139">
        <v>11</v>
      </c>
      <c r="AI15" s="1139">
        <v>2</v>
      </c>
      <c r="AJ15" s="2717">
        <f t="shared" si="11"/>
        <v>40</v>
      </c>
      <c r="AK15" s="2714">
        <f t="shared" si="4"/>
        <v>0.48148148148148145</v>
      </c>
      <c r="AL15" s="2550"/>
      <c r="AM15" s="1139">
        <v>4</v>
      </c>
      <c r="AN15" s="1139">
        <v>23</v>
      </c>
      <c r="AO15" s="1139">
        <v>12</v>
      </c>
      <c r="AP15" s="1139">
        <v>2</v>
      </c>
      <c r="AQ15" s="2717">
        <f t="shared" si="12"/>
        <v>41</v>
      </c>
      <c r="AR15" s="2714">
        <f t="shared" si="5"/>
        <v>0.51851851851851849</v>
      </c>
      <c r="AS15" s="2550"/>
      <c r="AT15" s="1139">
        <v>4</v>
      </c>
      <c r="AU15" s="1139">
        <v>23</v>
      </c>
      <c r="AV15" s="1139">
        <v>13</v>
      </c>
      <c r="AW15" s="1139">
        <v>3</v>
      </c>
      <c r="AX15" s="2717">
        <f t="shared" si="13"/>
        <v>43</v>
      </c>
      <c r="AY15" s="2714">
        <f t="shared" si="6"/>
        <v>0.59259259259259256</v>
      </c>
      <c r="AZ15" s="2550"/>
      <c r="BA15" s="1139">
        <v>4</v>
      </c>
      <c r="BB15" s="1139">
        <v>25</v>
      </c>
      <c r="BC15" s="1139">
        <v>13</v>
      </c>
      <c r="BD15" s="1139">
        <v>3</v>
      </c>
      <c r="BE15" s="2717">
        <f>SUM(BA15:BD15)</f>
        <v>45</v>
      </c>
      <c r="BF15" s="2714">
        <f t="shared" si="7"/>
        <v>0.55172413793103448</v>
      </c>
      <c r="BG15" s="2550"/>
      <c r="BH15" s="1139">
        <v>3</v>
      </c>
      <c r="BI15" s="1139">
        <v>21</v>
      </c>
      <c r="BJ15" s="1139">
        <v>13</v>
      </c>
      <c r="BK15" s="1139">
        <v>3</v>
      </c>
      <c r="BL15" s="2717">
        <v>40</v>
      </c>
      <c r="BM15" s="2714">
        <f t="shared" si="8"/>
        <v>0.66666666666666663</v>
      </c>
      <c r="BO15" s="1139">
        <v>4</v>
      </c>
      <c r="BP15" s="1139">
        <v>18</v>
      </c>
      <c r="BQ15" s="1139">
        <v>14</v>
      </c>
      <c r="BR15" s="1139">
        <v>3</v>
      </c>
      <c r="BS15" s="2717">
        <v>39</v>
      </c>
      <c r="BT15" s="2714">
        <f t="shared" si="9"/>
        <v>0.77272727272727271</v>
      </c>
      <c r="BV15" s="1139">
        <v>5</v>
      </c>
      <c r="BW15" s="1139">
        <v>17</v>
      </c>
      <c r="BX15" s="1139">
        <v>14</v>
      </c>
      <c r="BY15" s="1139">
        <v>3</v>
      </c>
      <c r="BZ15" s="2717">
        <v>39</v>
      </c>
      <c r="CA15" s="2714">
        <f t="shared" si="10"/>
        <v>0.77272727272727271</v>
      </c>
    </row>
    <row r="16" spans="1:79" ht="17.100000000000001" customHeight="1" thickBot="1">
      <c r="A16" s="5993" t="s">
        <v>1594</v>
      </c>
      <c r="B16" s="5994"/>
      <c r="C16" s="5994"/>
      <c r="D16" s="1140">
        <f>SUM(D11:D15)</f>
        <v>3</v>
      </c>
      <c r="E16" s="1140">
        <f>SUM(E11:E15)</f>
        <v>59</v>
      </c>
      <c r="F16" s="1140">
        <f>SUM(F11:F15)</f>
        <v>22</v>
      </c>
      <c r="G16" s="1140">
        <f>SUM(G11:G15)</f>
        <v>5</v>
      </c>
      <c r="H16" s="2715">
        <f>SUM(H11:H15)</f>
        <v>89</v>
      </c>
      <c r="I16" s="2716">
        <f t="shared" si="0"/>
        <v>0.43548387096774194</v>
      </c>
      <c r="J16" s="2550"/>
      <c r="K16" s="1140">
        <f>SUM(K11:K15)</f>
        <v>2</v>
      </c>
      <c r="L16" s="1140">
        <f>SUM(L11:L15)</f>
        <v>60</v>
      </c>
      <c r="M16" s="1140">
        <f>SUM(M11:M15)</f>
        <v>22</v>
      </c>
      <c r="N16" s="1140">
        <f>SUM(N11:N15)</f>
        <v>4</v>
      </c>
      <c r="O16" s="2715">
        <f>SUM(O11:O15)</f>
        <v>88</v>
      </c>
      <c r="P16" s="2716">
        <f t="shared" si="1"/>
        <v>0.41935483870967744</v>
      </c>
      <c r="Q16" s="2550"/>
      <c r="R16" s="1140">
        <f>SUM(R11:R15)</f>
        <v>5</v>
      </c>
      <c r="S16" s="1140">
        <f>SUM(S11:S15)</f>
        <v>64</v>
      </c>
      <c r="T16" s="1140">
        <f>SUM(T11:T15)</f>
        <v>15</v>
      </c>
      <c r="U16" s="1140">
        <f>SUM(U11:U15)</f>
        <v>4</v>
      </c>
      <c r="V16" s="2715">
        <f>SUM(V11:V15)</f>
        <v>88</v>
      </c>
      <c r="W16" s="2716">
        <f t="shared" si="2"/>
        <v>0.27536231884057971</v>
      </c>
      <c r="X16" s="2550"/>
      <c r="Y16" s="1140">
        <f>SUM(Y11:Y15)</f>
        <v>6</v>
      </c>
      <c r="Z16" s="1140">
        <f>SUM(Z11:Z15)</f>
        <v>77</v>
      </c>
      <c r="AA16" s="1140">
        <f>SUM(AA11:AA15)</f>
        <v>16</v>
      </c>
      <c r="AB16" s="1140">
        <f>SUM(AB11:AB15)</f>
        <v>5</v>
      </c>
      <c r="AC16" s="2715">
        <f>SUM(AC11:AC15)</f>
        <v>104</v>
      </c>
      <c r="AD16" s="2716">
        <f t="shared" si="3"/>
        <v>0.25301204819277107</v>
      </c>
      <c r="AE16" s="2550"/>
      <c r="AF16" s="1140">
        <f>SUM(AF11:AF15)</f>
        <v>9</v>
      </c>
      <c r="AG16" s="1140">
        <f>SUM(AG11:AG15)</f>
        <v>79</v>
      </c>
      <c r="AH16" s="1140">
        <f>SUM(AH11:AH15)</f>
        <v>17</v>
      </c>
      <c r="AI16" s="1140">
        <f>SUM(AI11:AI15)</f>
        <v>4</v>
      </c>
      <c r="AJ16" s="2715">
        <f t="shared" si="11"/>
        <v>109</v>
      </c>
      <c r="AK16" s="2716">
        <f t="shared" si="4"/>
        <v>0.23863636363636365</v>
      </c>
      <c r="AL16" s="2550"/>
      <c r="AM16" s="1140">
        <v>10</v>
      </c>
      <c r="AN16" s="1140">
        <v>75</v>
      </c>
      <c r="AO16" s="1140">
        <v>20</v>
      </c>
      <c r="AP16" s="1140">
        <v>6</v>
      </c>
      <c r="AQ16" s="2715">
        <f t="shared" si="12"/>
        <v>111</v>
      </c>
      <c r="AR16" s="2716">
        <f t="shared" si="5"/>
        <v>0.30588235294117649</v>
      </c>
      <c r="AS16" s="2550"/>
      <c r="AT16" s="1140">
        <f>SUM(AT11:AT15)</f>
        <v>11</v>
      </c>
      <c r="AU16" s="1140">
        <f>SUM(AU11:AU15)</f>
        <v>73</v>
      </c>
      <c r="AV16" s="1140">
        <f>SUM(AV11:AV15)</f>
        <v>19</v>
      </c>
      <c r="AW16" s="1140">
        <f>SUM(AW11:AW15)</f>
        <v>9</v>
      </c>
      <c r="AX16" s="2715">
        <f>SUM(AX11:AX15)</f>
        <v>112</v>
      </c>
      <c r="AY16" s="2716">
        <f t="shared" si="6"/>
        <v>0.33333333333333331</v>
      </c>
      <c r="AZ16" s="2550"/>
      <c r="BA16" s="1140">
        <v>14</v>
      </c>
      <c r="BB16" s="1140">
        <v>77</v>
      </c>
      <c r="BC16" s="1140">
        <v>18</v>
      </c>
      <c r="BD16" s="1140">
        <v>9</v>
      </c>
      <c r="BE16" s="2715">
        <f>SUM(BE11:BE15)</f>
        <v>118</v>
      </c>
      <c r="BF16" s="2716">
        <f t="shared" si="7"/>
        <v>0.2967032967032967</v>
      </c>
      <c r="BG16" s="2550"/>
      <c r="BH16" s="1140">
        <v>15</v>
      </c>
      <c r="BI16" s="1140">
        <v>75</v>
      </c>
      <c r="BJ16" s="1140">
        <v>18</v>
      </c>
      <c r="BK16" s="1140">
        <v>9</v>
      </c>
      <c r="BL16" s="2715">
        <v>117</v>
      </c>
      <c r="BM16" s="2716">
        <f t="shared" si="8"/>
        <v>0.3</v>
      </c>
      <c r="BO16" s="1140">
        <v>15</v>
      </c>
      <c r="BP16" s="1140">
        <v>69</v>
      </c>
      <c r="BQ16" s="1140">
        <v>19</v>
      </c>
      <c r="BR16" s="1140">
        <v>9</v>
      </c>
      <c r="BS16" s="2715">
        <v>112</v>
      </c>
      <c r="BT16" s="2716">
        <f t="shared" si="9"/>
        <v>0.33333333333333331</v>
      </c>
      <c r="BV16" s="1140">
        <f>SUM(BV11:BV15)</f>
        <v>18</v>
      </c>
      <c r="BW16" s="1140">
        <f t="shared" ref="BW16:BZ16" si="15">SUM(BW11:BW15)</f>
        <v>69</v>
      </c>
      <c r="BX16" s="1140">
        <f t="shared" si="15"/>
        <v>19</v>
      </c>
      <c r="BY16" s="1140">
        <f t="shared" si="15"/>
        <v>9</v>
      </c>
      <c r="BZ16" s="1140">
        <f t="shared" si="15"/>
        <v>115</v>
      </c>
      <c r="CA16" s="2716">
        <f t="shared" si="10"/>
        <v>0.32183908045977011</v>
      </c>
    </row>
    <row r="17" spans="1:79" ht="17.100000000000001" customHeight="1">
      <c r="A17" s="1161" t="s">
        <v>70</v>
      </c>
      <c r="B17" s="1143" t="s">
        <v>1106</v>
      </c>
      <c r="C17" s="2680" t="s">
        <v>1109</v>
      </c>
      <c r="D17" s="1139"/>
      <c r="E17" s="1139"/>
      <c r="F17" s="1139">
        <v>1</v>
      </c>
      <c r="G17" s="1145"/>
      <c r="H17" s="2713">
        <f>SUM(D17:G17)</f>
        <v>1</v>
      </c>
      <c r="I17" s="2714"/>
      <c r="J17" s="2550"/>
      <c r="K17" s="1139"/>
      <c r="L17" s="1139"/>
      <c r="M17" s="1139">
        <v>1</v>
      </c>
      <c r="N17" s="1145"/>
      <c r="O17" s="2713">
        <f>SUM(K17:N17)</f>
        <v>1</v>
      </c>
      <c r="P17" s="2714"/>
      <c r="Q17" s="2550"/>
      <c r="R17" s="1139">
        <v>1</v>
      </c>
      <c r="S17" s="1139"/>
      <c r="T17" s="1139">
        <v>1</v>
      </c>
      <c r="U17" s="1145"/>
      <c r="V17" s="2713">
        <f>SUM(R17:U17)</f>
        <v>2</v>
      </c>
      <c r="W17" s="2714">
        <f>(T17+U17)/(R17+S17)</f>
        <v>1</v>
      </c>
      <c r="X17" s="2550"/>
      <c r="Y17" s="1139">
        <v>2</v>
      </c>
      <c r="Z17" s="1139">
        <v>1</v>
      </c>
      <c r="AA17" s="1139"/>
      <c r="AB17" s="1145"/>
      <c r="AC17" s="2713">
        <f>SUM(Y17:AB17)</f>
        <v>3</v>
      </c>
      <c r="AD17" s="2714">
        <f>(AA17+AB17)/(Y17+Z17)</f>
        <v>0</v>
      </c>
      <c r="AE17" s="2550"/>
      <c r="AF17" s="1139">
        <v>1</v>
      </c>
      <c r="AG17" s="1139">
        <v>2</v>
      </c>
      <c r="AH17" s="1139"/>
      <c r="AI17" s="1145"/>
      <c r="AJ17" s="2713">
        <f>SUM(AF17:AI17)</f>
        <v>3</v>
      </c>
      <c r="AK17" s="2714">
        <f>(AH17+AI17)/(AF17+AG17)</f>
        <v>0</v>
      </c>
      <c r="AL17" s="2550"/>
      <c r="AM17" s="1139">
        <v>1</v>
      </c>
      <c r="AN17" s="1139">
        <v>2</v>
      </c>
      <c r="AO17" s="1139"/>
      <c r="AP17" s="1145"/>
      <c r="AQ17" s="2713">
        <f>SUM(AM17:AP17)</f>
        <v>3</v>
      </c>
      <c r="AR17" s="2714">
        <f>(AO17+AP17)/(AM17+AN17)</f>
        <v>0</v>
      </c>
      <c r="AS17" s="2550"/>
      <c r="AT17" s="1139">
        <v>2</v>
      </c>
      <c r="AU17" s="1139">
        <v>3</v>
      </c>
      <c r="AV17" s="1139"/>
      <c r="AW17" s="1145"/>
      <c r="AX17" s="2713">
        <f>SUM(AT17:AW17)</f>
        <v>5</v>
      </c>
      <c r="AY17" s="2714">
        <f>(AV17+AW17)/(AT17+AU17)</f>
        <v>0</v>
      </c>
      <c r="AZ17" s="2550"/>
      <c r="BA17" s="1139">
        <v>2</v>
      </c>
      <c r="BB17" s="1139">
        <v>3</v>
      </c>
      <c r="BC17" s="1139"/>
      <c r="BD17" s="1145"/>
      <c r="BE17" s="2713">
        <f>SUM(BA17:BD17)</f>
        <v>5</v>
      </c>
      <c r="BF17" s="2714">
        <f>(BC17+BD17)/(BA17+BB17)</f>
        <v>0</v>
      </c>
      <c r="BG17" s="2550"/>
      <c r="BH17" s="1139">
        <v>1</v>
      </c>
      <c r="BI17" s="1139">
        <v>3</v>
      </c>
      <c r="BJ17" s="1139"/>
      <c r="BK17" s="1145"/>
      <c r="BL17" s="2713">
        <v>4</v>
      </c>
      <c r="BM17" s="2714">
        <f>(BJ17+BK17)/(BH17+BI17)</f>
        <v>0</v>
      </c>
      <c r="BO17" s="1139"/>
      <c r="BP17" s="1139">
        <v>3</v>
      </c>
      <c r="BQ17" s="1139"/>
      <c r="BR17" s="1145"/>
      <c r="BS17" s="2713">
        <v>3</v>
      </c>
      <c r="BT17" s="2714">
        <f>(BQ17+BR17)/(BO17+BP17)</f>
        <v>0</v>
      </c>
      <c r="BV17" s="1139"/>
      <c r="BW17" s="1139">
        <v>3</v>
      </c>
      <c r="BX17" s="1139"/>
      <c r="BY17" s="1145"/>
      <c r="BZ17" s="2713">
        <v>3</v>
      </c>
      <c r="CA17" s="2714">
        <f>(BX17+BY17)/(BV17+BW17)</f>
        <v>0</v>
      </c>
    </row>
    <row r="18" spans="1:79" ht="17.100000000000001" customHeight="1">
      <c r="A18" s="1162" t="s">
        <v>70</v>
      </c>
      <c r="B18" s="1144" t="s">
        <v>1106</v>
      </c>
      <c r="C18" s="2683" t="s">
        <v>1595</v>
      </c>
      <c r="D18" s="1145"/>
      <c r="E18" s="1139">
        <v>2</v>
      </c>
      <c r="F18" s="1139">
        <v>1</v>
      </c>
      <c r="G18" s="1145"/>
      <c r="H18" s="2713">
        <f>SUM(D18:G18)</f>
        <v>3</v>
      </c>
      <c r="I18" s="2714">
        <f t="shared" si="0"/>
        <v>0.5</v>
      </c>
      <c r="J18" s="2550"/>
      <c r="K18" s="1145"/>
      <c r="L18" s="1139">
        <v>2</v>
      </c>
      <c r="M18" s="1139">
        <v>1</v>
      </c>
      <c r="N18" s="1145"/>
      <c r="O18" s="2713">
        <f>SUM(K18:N18)</f>
        <v>3</v>
      </c>
      <c r="P18" s="2714">
        <f t="shared" si="1"/>
        <v>0.5</v>
      </c>
      <c r="Q18" s="2550"/>
      <c r="R18" s="1145"/>
      <c r="S18" s="1139">
        <v>1</v>
      </c>
      <c r="T18" s="1139">
        <v>1</v>
      </c>
      <c r="U18" s="1145"/>
      <c r="V18" s="2713">
        <f>SUM(R18:U18)</f>
        <v>2</v>
      </c>
      <c r="W18" s="2714">
        <f t="shared" si="2"/>
        <v>1</v>
      </c>
      <c r="X18" s="2550"/>
      <c r="Y18" s="1145">
        <v>1</v>
      </c>
      <c r="Z18" s="1139">
        <v>1</v>
      </c>
      <c r="AA18" s="1139">
        <v>1</v>
      </c>
      <c r="AB18" s="1145"/>
      <c r="AC18" s="2713">
        <f>SUM(Y18:AB18)</f>
        <v>3</v>
      </c>
      <c r="AD18" s="2714">
        <f t="shared" si="3"/>
        <v>0.5</v>
      </c>
      <c r="AE18" s="2550"/>
      <c r="AF18" s="1145">
        <v>1</v>
      </c>
      <c r="AG18" s="1139">
        <v>1</v>
      </c>
      <c r="AH18" s="1139">
        <v>1</v>
      </c>
      <c r="AI18" s="1145"/>
      <c r="AJ18" s="2713">
        <f t="shared" si="11"/>
        <v>3</v>
      </c>
      <c r="AK18" s="2714">
        <f t="shared" si="4"/>
        <v>0.5</v>
      </c>
      <c r="AL18" s="2550"/>
      <c r="AM18" s="1145">
        <v>1</v>
      </c>
      <c r="AN18" s="1139">
        <v>2</v>
      </c>
      <c r="AO18" s="1139">
        <v>1</v>
      </c>
      <c r="AP18" s="1145"/>
      <c r="AQ18" s="2713">
        <f t="shared" si="12"/>
        <v>4</v>
      </c>
      <c r="AR18" s="2714">
        <f t="shared" si="5"/>
        <v>0.33333333333333331</v>
      </c>
      <c r="AS18" s="2550"/>
      <c r="AT18" s="1145"/>
      <c r="AU18" s="1139">
        <v>3</v>
      </c>
      <c r="AV18" s="1139">
        <v>1</v>
      </c>
      <c r="AW18" s="1145"/>
      <c r="AX18" s="2713">
        <f t="shared" si="13"/>
        <v>4</v>
      </c>
      <c r="AY18" s="2714">
        <f t="shared" si="6"/>
        <v>0.33333333333333331</v>
      </c>
      <c r="AZ18" s="2550"/>
      <c r="BA18" s="1145"/>
      <c r="BB18" s="1139">
        <v>4</v>
      </c>
      <c r="BC18" s="1139"/>
      <c r="BD18" s="1145"/>
      <c r="BE18" s="2713">
        <f>SUM(BA18:BD18)</f>
        <v>4</v>
      </c>
      <c r="BF18" s="2714">
        <f t="shared" si="7"/>
        <v>0</v>
      </c>
      <c r="BG18" s="2550"/>
      <c r="BH18" s="1145"/>
      <c r="BI18" s="1139">
        <v>4</v>
      </c>
      <c r="BJ18" s="1139"/>
      <c r="BK18" s="1145"/>
      <c r="BL18" s="2713">
        <v>4</v>
      </c>
      <c r="BM18" s="2714">
        <f t="shared" si="8"/>
        <v>0</v>
      </c>
      <c r="BO18" s="1145">
        <v>1</v>
      </c>
      <c r="BP18" s="1139">
        <v>4</v>
      </c>
      <c r="BQ18" s="1139"/>
      <c r="BR18" s="1145"/>
      <c r="BS18" s="2713">
        <v>5</v>
      </c>
      <c r="BT18" s="2714">
        <f t="shared" si="9"/>
        <v>0</v>
      </c>
      <c r="BV18" s="1145">
        <v>1</v>
      </c>
      <c r="BW18" s="1139">
        <v>5</v>
      </c>
      <c r="BX18" s="1139"/>
      <c r="BY18" s="1145"/>
      <c r="BZ18" s="2713">
        <v>6</v>
      </c>
      <c r="CA18" s="2714">
        <f t="shared" si="10"/>
        <v>0</v>
      </c>
    </row>
    <row r="19" spans="1:79" ht="17.100000000000001" customHeight="1">
      <c r="A19" s="1162" t="s">
        <v>70</v>
      </c>
      <c r="B19" s="1144" t="s">
        <v>1106</v>
      </c>
      <c r="C19" s="2683" t="s">
        <v>1596</v>
      </c>
      <c r="D19" s="1145">
        <v>1</v>
      </c>
      <c r="E19" s="1139"/>
      <c r="F19" s="1139"/>
      <c r="G19" s="1145"/>
      <c r="H19" s="2713">
        <f>SUM(D19:G19)</f>
        <v>1</v>
      </c>
      <c r="I19" s="2714">
        <f t="shared" si="0"/>
        <v>0</v>
      </c>
      <c r="J19" s="2550"/>
      <c r="K19" s="1145">
        <v>1</v>
      </c>
      <c r="L19" s="1139"/>
      <c r="M19" s="1139"/>
      <c r="N19" s="1145"/>
      <c r="O19" s="2713">
        <f>SUM(K19:N19)</f>
        <v>1</v>
      </c>
      <c r="P19" s="2714">
        <f t="shared" si="1"/>
        <v>0</v>
      </c>
      <c r="Q19" s="2550"/>
      <c r="R19" s="1145">
        <v>1</v>
      </c>
      <c r="S19" s="1139"/>
      <c r="T19" s="1139"/>
      <c r="U19" s="1145"/>
      <c r="V19" s="2713">
        <f>SUM(R19:U19)</f>
        <v>1</v>
      </c>
      <c r="W19" s="2714">
        <f t="shared" si="2"/>
        <v>0</v>
      </c>
      <c r="X19" s="2550"/>
      <c r="Y19" s="1145">
        <v>1</v>
      </c>
      <c r="Z19" s="1139"/>
      <c r="AA19" s="1139"/>
      <c r="AB19" s="1145"/>
      <c r="AC19" s="2713">
        <f>SUM(Y19:AB19)</f>
        <v>1</v>
      </c>
      <c r="AD19" s="2714">
        <f t="shared" si="3"/>
        <v>0</v>
      </c>
      <c r="AE19" s="2550"/>
      <c r="AF19" s="1145">
        <v>2</v>
      </c>
      <c r="AG19" s="1139"/>
      <c r="AH19" s="1139"/>
      <c r="AI19" s="1145"/>
      <c r="AJ19" s="2713">
        <f t="shared" si="11"/>
        <v>2</v>
      </c>
      <c r="AK19" s="2714">
        <f t="shared" si="4"/>
        <v>0</v>
      </c>
      <c r="AL19" s="2550"/>
      <c r="AM19" s="1145">
        <v>2</v>
      </c>
      <c r="AN19" s="1139">
        <v>1</v>
      </c>
      <c r="AO19" s="1139"/>
      <c r="AP19" s="1145"/>
      <c r="AQ19" s="2713">
        <f t="shared" si="12"/>
        <v>3</v>
      </c>
      <c r="AR19" s="2714">
        <f t="shared" si="5"/>
        <v>0</v>
      </c>
      <c r="AS19" s="2550"/>
      <c r="AT19" s="1145">
        <v>2</v>
      </c>
      <c r="AU19" s="1139">
        <v>1</v>
      </c>
      <c r="AV19" s="1139"/>
      <c r="AW19" s="1145"/>
      <c r="AX19" s="2713">
        <f t="shared" si="13"/>
        <v>3</v>
      </c>
      <c r="AY19" s="2714">
        <f t="shared" si="6"/>
        <v>0</v>
      </c>
      <c r="AZ19" s="2550"/>
      <c r="BA19" s="1145">
        <v>2</v>
      </c>
      <c r="BB19" s="1139">
        <v>1</v>
      </c>
      <c r="BC19" s="1139"/>
      <c r="BD19" s="1145"/>
      <c r="BE19" s="2713">
        <f>SUM(BA19:BD19)</f>
        <v>3</v>
      </c>
      <c r="BF19" s="2714">
        <f t="shared" si="7"/>
        <v>0</v>
      </c>
      <c r="BG19" s="2550"/>
      <c r="BH19" s="1145">
        <v>1</v>
      </c>
      <c r="BI19" s="1139">
        <v>1</v>
      </c>
      <c r="BJ19" s="1139"/>
      <c r="BK19" s="1145"/>
      <c r="BL19" s="2713">
        <v>2</v>
      </c>
      <c r="BM19" s="2714">
        <f t="shared" si="8"/>
        <v>0</v>
      </c>
      <c r="BO19" s="1145">
        <v>2</v>
      </c>
      <c r="BP19" s="1139">
        <v>1</v>
      </c>
      <c r="BQ19" s="1139"/>
      <c r="BR19" s="1145"/>
      <c r="BS19" s="2713">
        <v>3</v>
      </c>
      <c r="BT19" s="2714">
        <f t="shared" si="9"/>
        <v>0</v>
      </c>
      <c r="BV19" s="1145">
        <v>4</v>
      </c>
      <c r="BW19" s="1139">
        <v>1</v>
      </c>
      <c r="BX19" s="1139"/>
      <c r="BY19" s="1145"/>
      <c r="BZ19" s="2713">
        <v>5</v>
      </c>
      <c r="CA19" s="2714">
        <f t="shared" si="10"/>
        <v>0</v>
      </c>
    </row>
    <row r="20" spans="1:79" ht="17.100000000000001" customHeight="1" thickBot="1">
      <c r="A20" s="1164" t="s">
        <v>70</v>
      </c>
      <c r="B20" s="1147" t="s">
        <v>1106</v>
      </c>
      <c r="C20" s="2682" t="s">
        <v>1597</v>
      </c>
      <c r="D20" s="1145"/>
      <c r="E20" s="1139"/>
      <c r="F20" s="1145">
        <v>1</v>
      </c>
      <c r="G20" s="1145"/>
      <c r="H20" s="2713">
        <f>SUM(D20:G20)</f>
        <v>1</v>
      </c>
      <c r="I20" s="2714"/>
      <c r="J20" s="2550"/>
      <c r="K20" s="1145"/>
      <c r="L20" s="1139"/>
      <c r="M20" s="1145">
        <v>1</v>
      </c>
      <c r="N20" s="1145"/>
      <c r="O20" s="2713">
        <f>SUM(K20:N20)</f>
        <v>1</v>
      </c>
      <c r="P20" s="2714"/>
      <c r="Q20" s="2550"/>
      <c r="R20" s="1145"/>
      <c r="S20" s="1139"/>
      <c r="T20" s="1145">
        <v>1</v>
      </c>
      <c r="U20" s="1145"/>
      <c r="V20" s="2713">
        <f>SUM(R20:U20)</f>
        <v>1</v>
      </c>
      <c r="W20" s="2714"/>
      <c r="X20" s="2550"/>
      <c r="Y20" s="1145"/>
      <c r="Z20" s="1139"/>
      <c r="AA20" s="1145">
        <v>1</v>
      </c>
      <c r="AB20" s="1145"/>
      <c r="AC20" s="2713">
        <f>SUM(Y20:AB20)</f>
        <v>1</v>
      </c>
      <c r="AD20" s="2714"/>
      <c r="AE20" s="2550"/>
      <c r="AF20" s="1145"/>
      <c r="AG20" s="1139">
        <v>2</v>
      </c>
      <c r="AH20" s="1145">
        <v>1</v>
      </c>
      <c r="AI20" s="1145"/>
      <c r="AJ20" s="2713">
        <f t="shared" si="11"/>
        <v>3</v>
      </c>
      <c r="AK20" s="2714">
        <f t="shared" si="4"/>
        <v>0.5</v>
      </c>
      <c r="AL20" s="2550"/>
      <c r="AM20" s="1145"/>
      <c r="AN20" s="1139">
        <v>2</v>
      </c>
      <c r="AO20" s="1145">
        <v>1</v>
      </c>
      <c r="AP20" s="1145"/>
      <c r="AQ20" s="2713">
        <f t="shared" si="12"/>
        <v>3</v>
      </c>
      <c r="AR20" s="2714">
        <f t="shared" si="5"/>
        <v>0.5</v>
      </c>
      <c r="AS20" s="2550"/>
      <c r="AT20" s="1145"/>
      <c r="AU20" s="1139">
        <v>2</v>
      </c>
      <c r="AV20" s="1145">
        <v>1</v>
      </c>
      <c r="AW20" s="1145"/>
      <c r="AX20" s="2713">
        <f t="shared" si="13"/>
        <v>3</v>
      </c>
      <c r="AY20" s="2714">
        <f t="shared" si="6"/>
        <v>0.5</v>
      </c>
      <c r="AZ20" s="2550"/>
      <c r="BA20" s="1145"/>
      <c r="BB20" s="1139">
        <v>1</v>
      </c>
      <c r="BC20" s="1145">
        <v>2</v>
      </c>
      <c r="BD20" s="1145"/>
      <c r="BE20" s="2713">
        <f>SUM(BA20:BD20)</f>
        <v>3</v>
      </c>
      <c r="BF20" s="2714">
        <f t="shared" si="7"/>
        <v>2</v>
      </c>
      <c r="BG20" s="2550"/>
      <c r="BH20" s="1145">
        <v>1</v>
      </c>
      <c r="BI20" s="1139">
        <v>1</v>
      </c>
      <c r="BJ20" s="1145">
        <v>2</v>
      </c>
      <c r="BK20" s="1145"/>
      <c r="BL20" s="2713">
        <v>4</v>
      </c>
      <c r="BM20" s="2714">
        <f t="shared" si="8"/>
        <v>1</v>
      </c>
      <c r="BO20" s="1145">
        <v>2</v>
      </c>
      <c r="BP20" s="1139">
        <v>1</v>
      </c>
      <c r="BQ20" s="1145">
        <v>2</v>
      </c>
      <c r="BR20" s="1145"/>
      <c r="BS20" s="2713">
        <v>5</v>
      </c>
      <c r="BT20" s="2714">
        <f t="shared" si="9"/>
        <v>0.66666666666666663</v>
      </c>
      <c r="BV20" s="1145">
        <v>2</v>
      </c>
      <c r="BW20" s="1139">
        <v>1</v>
      </c>
      <c r="BX20" s="1145">
        <v>2</v>
      </c>
      <c r="BY20" s="1145"/>
      <c r="BZ20" s="2713">
        <v>5</v>
      </c>
      <c r="CA20" s="2714">
        <f t="shared" si="10"/>
        <v>0.66666666666666663</v>
      </c>
    </row>
    <row r="21" spans="1:79" ht="17.100000000000001" customHeight="1">
      <c r="A21" s="5983" t="s">
        <v>1598</v>
      </c>
      <c r="B21" s="5984"/>
      <c r="C21" s="5984"/>
      <c r="D21" s="1151">
        <f>SUM(D18:D20)</f>
        <v>1</v>
      </c>
      <c r="E21" s="1151">
        <f>SUM(E18:E20)</f>
        <v>2</v>
      </c>
      <c r="F21" s="1151">
        <f>SUM(F17:F20)</f>
        <v>3</v>
      </c>
      <c r="G21" s="1151">
        <f>SUM(G18:G20)</f>
        <v>0</v>
      </c>
      <c r="H21" s="2718">
        <f>SUM(H17:H20)</f>
        <v>6</v>
      </c>
      <c r="I21" s="2716">
        <f t="shared" si="0"/>
        <v>1</v>
      </c>
      <c r="J21" s="2550"/>
      <c r="K21" s="1151">
        <f>SUM(K18:K20)</f>
        <v>1</v>
      </c>
      <c r="L21" s="1151">
        <f>SUM(L18:L20)</f>
        <v>2</v>
      </c>
      <c r="M21" s="1151">
        <f>SUM(M17:M20)</f>
        <v>3</v>
      </c>
      <c r="N21" s="1151">
        <f>SUM(N18:N20)</f>
        <v>0</v>
      </c>
      <c r="O21" s="2718">
        <f>SUM(O17:O20)</f>
        <v>6</v>
      </c>
      <c r="P21" s="2716">
        <f t="shared" si="1"/>
        <v>1</v>
      </c>
      <c r="Q21" s="2550"/>
      <c r="R21" s="1151">
        <f>SUM(R18:R20)</f>
        <v>1</v>
      </c>
      <c r="S21" s="1151">
        <f>SUM(S18:S20)</f>
        <v>1</v>
      </c>
      <c r="T21" s="1151">
        <f>SUM(T17:T20)</f>
        <v>3</v>
      </c>
      <c r="U21" s="1151">
        <f>SUM(U18:U20)</f>
        <v>0</v>
      </c>
      <c r="V21" s="2718">
        <f>SUM(V17:V20)</f>
        <v>6</v>
      </c>
      <c r="W21" s="2716">
        <f t="shared" si="2"/>
        <v>1.5</v>
      </c>
      <c r="X21" s="2550"/>
      <c r="Y21" s="1151">
        <f>SUM(Y17:Y20)</f>
        <v>4</v>
      </c>
      <c r="Z21" s="1151">
        <f>SUM(Z17:Z20)</f>
        <v>2</v>
      </c>
      <c r="AA21" s="1151">
        <f>SUM(AA17:AA20)</f>
        <v>2</v>
      </c>
      <c r="AB21" s="1151">
        <f>SUM(AB18:AB20)</f>
        <v>0</v>
      </c>
      <c r="AC21" s="2718">
        <f>SUM(AC17:AC20)</f>
        <v>8</v>
      </c>
      <c r="AD21" s="2716">
        <f t="shared" si="3"/>
        <v>0.33333333333333331</v>
      </c>
      <c r="AE21" s="2550"/>
      <c r="AF21" s="1151">
        <f>SUM(AF17:AF20)</f>
        <v>4</v>
      </c>
      <c r="AG21" s="1151">
        <f t="shared" ref="AG21:AJ21" si="16">SUM(AG17:AG20)</f>
        <v>5</v>
      </c>
      <c r="AH21" s="1151">
        <f t="shared" si="16"/>
        <v>2</v>
      </c>
      <c r="AI21" s="1151">
        <f t="shared" si="16"/>
        <v>0</v>
      </c>
      <c r="AJ21" s="1151">
        <f t="shared" si="16"/>
        <v>11</v>
      </c>
      <c r="AK21" s="2716">
        <f t="shared" si="4"/>
        <v>0.22222222222222221</v>
      </c>
      <c r="AL21" s="2550"/>
      <c r="AM21" s="1151">
        <f>SUM(AM17:AM20)</f>
        <v>4</v>
      </c>
      <c r="AN21" s="1151">
        <f t="shared" ref="AN21:AQ21" si="17">SUM(AN17:AN20)</f>
        <v>7</v>
      </c>
      <c r="AO21" s="1151">
        <f t="shared" si="17"/>
        <v>2</v>
      </c>
      <c r="AP21" s="1151">
        <f t="shared" si="17"/>
        <v>0</v>
      </c>
      <c r="AQ21" s="1151">
        <f t="shared" si="17"/>
        <v>13</v>
      </c>
      <c r="AR21" s="2716">
        <f t="shared" si="5"/>
        <v>0.18181818181818182</v>
      </c>
      <c r="AS21" s="2550"/>
      <c r="AT21" s="1151">
        <f>SUM(AT17:AT20)</f>
        <v>4</v>
      </c>
      <c r="AU21" s="1151">
        <f t="shared" ref="AU21:AX21" si="18">SUM(AU17:AU20)</f>
        <v>9</v>
      </c>
      <c r="AV21" s="1151">
        <f t="shared" si="18"/>
        <v>2</v>
      </c>
      <c r="AW21" s="1151">
        <f t="shared" si="18"/>
        <v>0</v>
      </c>
      <c r="AX21" s="1151">
        <f t="shared" si="18"/>
        <v>15</v>
      </c>
      <c r="AY21" s="2716">
        <f t="shared" si="6"/>
        <v>0.15384615384615385</v>
      </c>
      <c r="AZ21" s="2550"/>
      <c r="BA21" s="1151">
        <v>4</v>
      </c>
      <c r="BB21" s="1151">
        <v>9</v>
      </c>
      <c r="BC21" s="1151">
        <v>2</v>
      </c>
      <c r="BD21" s="1151">
        <v>0</v>
      </c>
      <c r="BE21" s="2718">
        <f>SUM(BE17:BE20)</f>
        <v>15</v>
      </c>
      <c r="BF21" s="2716">
        <f t="shared" si="7"/>
        <v>0.15384615384615385</v>
      </c>
      <c r="BG21" s="2550"/>
      <c r="BH21" s="1151">
        <v>3</v>
      </c>
      <c r="BI21" s="1151">
        <v>9</v>
      </c>
      <c r="BJ21" s="1151">
        <v>2</v>
      </c>
      <c r="BK21" s="1151">
        <v>0</v>
      </c>
      <c r="BL21" s="2718">
        <v>14</v>
      </c>
      <c r="BM21" s="2716">
        <f t="shared" si="8"/>
        <v>0.16666666666666666</v>
      </c>
      <c r="BO21" s="1151">
        <v>5</v>
      </c>
      <c r="BP21" s="1151">
        <v>9</v>
      </c>
      <c r="BQ21" s="1151">
        <v>2</v>
      </c>
      <c r="BR21" s="1151">
        <v>0</v>
      </c>
      <c r="BS21" s="2718">
        <v>16</v>
      </c>
      <c r="BT21" s="2716">
        <f t="shared" si="9"/>
        <v>0.14285714285714285</v>
      </c>
      <c r="BV21" s="1151">
        <f>SUM(BV17:BV20)</f>
        <v>7</v>
      </c>
      <c r="BW21" s="1151">
        <f t="shared" ref="BW21:BZ21" si="19">SUM(BW17:BW20)</f>
        <v>10</v>
      </c>
      <c r="BX21" s="1151">
        <f t="shared" si="19"/>
        <v>2</v>
      </c>
      <c r="BY21" s="1151">
        <f t="shared" si="19"/>
        <v>0</v>
      </c>
      <c r="BZ21" s="1151">
        <f t="shared" si="19"/>
        <v>19</v>
      </c>
      <c r="CA21" s="2716">
        <f t="shared" si="10"/>
        <v>0.11764705882352941</v>
      </c>
    </row>
    <row r="22" spans="1:79" ht="17.100000000000001" customHeight="1">
      <c r="A22" s="5989" t="s">
        <v>1019</v>
      </c>
      <c r="B22" s="5990"/>
      <c r="C22" s="5990"/>
      <c r="D22" s="2593">
        <f>SUM(D21,D16,D10)</f>
        <v>18</v>
      </c>
      <c r="E22" s="2593">
        <f>SUM(E21,E16,E10)</f>
        <v>116</v>
      </c>
      <c r="F22" s="2593">
        <f>SUM(F21,F16,F10)</f>
        <v>43</v>
      </c>
      <c r="G22" s="2593">
        <f>SUM(G21,G16,G10)</f>
        <v>6</v>
      </c>
      <c r="H22" s="2719">
        <f>SUM(H10,H16,H21)</f>
        <v>183</v>
      </c>
      <c r="I22" s="2720">
        <f t="shared" si="0"/>
        <v>0.36567164179104478</v>
      </c>
      <c r="J22" s="2550"/>
      <c r="K22" s="2593">
        <f>SUM(K21,K16,K10)</f>
        <v>23</v>
      </c>
      <c r="L22" s="2593">
        <f>SUM(L21,L16,L10)</f>
        <v>117</v>
      </c>
      <c r="M22" s="2593">
        <f>SUM(M21,M16,M10)</f>
        <v>43</v>
      </c>
      <c r="N22" s="2593">
        <f>SUM(N21,N16,N10)</f>
        <v>5</v>
      </c>
      <c r="O22" s="2719">
        <f>SUM(O10,O16,O21)</f>
        <v>188</v>
      </c>
      <c r="P22" s="2720">
        <f t="shared" si="1"/>
        <v>0.34285714285714286</v>
      </c>
      <c r="Q22" s="2550"/>
      <c r="R22" s="2593">
        <f>SUM(R21,R16,R10)</f>
        <v>28</v>
      </c>
      <c r="S22" s="2593">
        <f>SUM(S21,S16,S10)</f>
        <v>119</v>
      </c>
      <c r="T22" s="2593">
        <f>SUM(T21,T16,T10)</f>
        <v>37</v>
      </c>
      <c r="U22" s="2593">
        <f>SUM(U21,U16,U10)</f>
        <v>5</v>
      </c>
      <c r="V22" s="2719">
        <f>SUM(V10,V16,V21)</f>
        <v>190</v>
      </c>
      <c r="W22" s="2720">
        <f t="shared" si="2"/>
        <v>0.2857142857142857</v>
      </c>
      <c r="X22" s="2550"/>
      <c r="Y22" s="2593">
        <f>SUM(Y21,Y16,Y10)</f>
        <v>37</v>
      </c>
      <c r="Z22" s="2593">
        <f>SUM(Z21,Z16,Z10)</f>
        <v>138</v>
      </c>
      <c r="AA22" s="2593">
        <f>SUM(AA21,AA16,AA10)</f>
        <v>41</v>
      </c>
      <c r="AB22" s="2593">
        <f>SUM(AB21,AB16,AB10)</f>
        <v>6</v>
      </c>
      <c r="AC22" s="2719">
        <f>SUM(AC10,AC16,AC21)</f>
        <v>222</v>
      </c>
      <c r="AD22" s="2720">
        <f t="shared" si="3"/>
        <v>0.26857142857142857</v>
      </c>
      <c r="AE22" s="2550"/>
      <c r="AF22" s="2593">
        <f>SUM(AF21,AF16,AF10)</f>
        <v>31</v>
      </c>
      <c r="AG22" s="2593">
        <f>SUM(AG21,AG16,AG10)</f>
        <v>149</v>
      </c>
      <c r="AH22" s="2593">
        <f>SUM(AH21,AH16,AH10)</f>
        <v>44</v>
      </c>
      <c r="AI22" s="2593">
        <f>SUM(AI21,AI16,AI10)</f>
        <v>7</v>
      </c>
      <c r="AJ22" s="2719">
        <f t="shared" si="11"/>
        <v>231</v>
      </c>
      <c r="AK22" s="2720">
        <f t="shared" si="4"/>
        <v>0.28333333333333333</v>
      </c>
      <c r="AL22" s="2550"/>
      <c r="AM22" s="2593">
        <v>33</v>
      </c>
      <c r="AN22" s="2593">
        <v>144</v>
      </c>
      <c r="AO22" s="2593">
        <v>48</v>
      </c>
      <c r="AP22" s="2593">
        <v>9</v>
      </c>
      <c r="AQ22" s="2719">
        <f t="shared" si="12"/>
        <v>234</v>
      </c>
      <c r="AR22" s="2720">
        <f t="shared" si="5"/>
        <v>0.32203389830508472</v>
      </c>
      <c r="AS22" s="2550"/>
      <c r="AT22" s="2593">
        <f>SUM(AT10,AT16,AT21)</f>
        <v>39</v>
      </c>
      <c r="AU22" s="2593">
        <f>SUM(AU10,AU16,AU21)</f>
        <v>154</v>
      </c>
      <c r="AV22" s="2593">
        <f>SUM(AV10,AV16,AV21)</f>
        <v>46</v>
      </c>
      <c r="AW22" s="2593">
        <f>SUM(AW10,AW16,AW21)</f>
        <v>12</v>
      </c>
      <c r="AX22" s="2719">
        <f>SUM(AX10,AX16,AX21)</f>
        <v>251</v>
      </c>
      <c r="AY22" s="2720">
        <f t="shared" si="6"/>
        <v>0.30051813471502592</v>
      </c>
      <c r="AZ22" s="2550"/>
      <c r="BA22" s="2593">
        <v>39</v>
      </c>
      <c r="BB22" s="2593">
        <v>157</v>
      </c>
      <c r="BC22" s="2593">
        <v>45</v>
      </c>
      <c r="BD22" s="2593">
        <v>12</v>
      </c>
      <c r="BE22" s="2719">
        <f>SUM(BE10,BE16,BE21)</f>
        <v>253</v>
      </c>
      <c r="BF22" s="2720">
        <f t="shared" si="7"/>
        <v>0.29081632653061223</v>
      </c>
      <c r="BG22" s="2550"/>
      <c r="BH22" s="2593">
        <v>34</v>
      </c>
      <c r="BI22" s="2593">
        <v>155</v>
      </c>
      <c r="BJ22" s="2593">
        <v>42</v>
      </c>
      <c r="BK22" s="2593">
        <v>13</v>
      </c>
      <c r="BL22" s="2719">
        <v>244</v>
      </c>
      <c r="BM22" s="2720">
        <f t="shared" si="8"/>
        <v>0.29100529100529099</v>
      </c>
      <c r="BO22" s="2593">
        <v>39</v>
      </c>
      <c r="BP22" s="2593">
        <v>149</v>
      </c>
      <c r="BQ22" s="2593">
        <v>41</v>
      </c>
      <c r="BR22" s="2593">
        <v>16</v>
      </c>
      <c r="BS22" s="2719">
        <v>245</v>
      </c>
      <c r="BT22" s="2720">
        <f t="shared" si="9"/>
        <v>0.30319148936170215</v>
      </c>
      <c r="BV22" s="2593">
        <f>SUM(BV10,BV16,BV21)</f>
        <v>49</v>
      </c>
      <c r="BW22" s="2593">
        <f t="shared" ref="BW22:BZ22" si="20">SUM(BW10,BW16,BW21)</f>
        <v>150</v>
      </c>
      <c r="BX22" s="2593">
        <f t="shared" si="20"/>
        <v>41</v>
      </c>
      <c r="BY22" s="2593">
        <f t="shared" si="20"/>
        <v>16</v>
      </c>
      <c r="BZ22" s="2593">
        <f t="shared" si="20"/>
        <v>256</v>
      </c>
      <c r="CA22" s="2720">
        <f t="shared" si="10"/>
        <v>0.28643216080402012</v>
      </c>
    </row>
    <row r="23" spans="1:79" ht="17.100000000000001" customHeight="1">
      <c r="A23" s="1161" t="s">
        <v>72</v>
      </c>
      <c r="B23" s="1143" t="s">
        <v>61</v>
      </c>
      <c r="C23" s="2679" t="s">
        <v>1112</v>
      </c>
      <c r="D23" s="1149">
        <v>4</v>
      </c>
      <c r="E23" s="1138">
        <v>4</v>
      </c>
      <c r="F23" s="1149">
        <v>1</v>
      </c>
      <c r="G23" s="1149"/>
      <c r="H23" s="2721">
        <f>SUM(D23:G23)</f>
        <v>9</v>
      </c>
      <c r="I23" s="2722">
        <f t="shared" si="0"/>
        <v>0.125</v>
      </c>
      <c r="J23" s="2550"/>
      <c r="K23" s="1149">
        <v>4</v>
      </c>
      <c r="L23" s="1138">
        <v>4</v>
      </c>
      <c r="M23" s="1149">
        <v>1</v>
      </c>
      <c r="N23" s="1149"/>
      <c r="O23" s="2721">
        <f>SUM(K23:N23)</f>
        <v>9</v>
      </c>
      <c r="P23" s="2722">
        <f t="shared" si="1"/>
        <v>0.125</v>
      </c>
      <c r="Q23" s="2550"/>
      <c r="R23" s="1149">
        <v>3</v>
      </c>
      <c r="S23" s="1138">
        <v>5</v>
      </c>
      <c r="T23" s="1149">
        <v>1</v>
      </c>
      <c r="U23" s="1149"/>
      <c r="V23" s="2721">
        <f>SUM(R23:U23)</f>
        <v>9</v>
      </c>
      <c r="W23" s="2722">
        <f t="shared" si="2"/>
        <v>0.125</v>
      </c>
      <c r="X23" s="2550"/>
      <c r="Y23" s="1149"/>
      <c r="Z23" s="1138">
        <v>5</v>
      </c>
      <c r="AA23" s="1149">
        <v>1</v>
      </c>
      <c r="AB23" s="1149"/>
      <c r="AC23" s="2721">
        <f>SUM(Y23:AB23)</f>
        <v>6</v>
      </c>
      <c r="AD23" s="2722">
        <f t="shared" si="3"/>
        <v>0.2</v>
      </c>
      <c r="AE23" s="2550"/>
      <c r="AF23" s="1149"/>
      <c r="AG23" s="1138">
        <v>6</v>
      </c>
      <c r="AH23" s="1149">
        <v>1</v>
      </c>
      <c r="AI23" s="1149"/>
      <c r="AJ23" s="2721">
        <f t="shared" si="11"/>
        <v>7</v>
      </c>
      <c r="AK23" s="2722">
        <f t="shared" si="4"/>
        <v>0.16666666666666666</v>
      </c>
      <c r="AL23" s="2550"/>
      <c r="AM23" s="1149"/>
      <c r="AN23" s="1138">
        <v>5</v>
      </c>
      <c r="AO23" s="1149">
        <v>1</v>
      </c>
      <c r="AP23" s="1149">
        <v>1</v>
      </c>
      <c r="AQ23" s="2721">
        <f t="shared" si="12"/>
        <v>7</v>
      </c>
      <c r="AR23" s="2722">
        <f t="shared" si="5"/>
        <v>0.4</v>
      </c>
      <c r="AS23" s="2550"/>
      <c r="AT23" s="1149"/>
      <c r="AU23" s="1138">
        <v>3</v>
      </c>
      <c r="AV23" s="1149">
        <v>2</v>
      </c>
      <c r="AW23" s="1149">
        <v>1</v>
      </c>
      <c r="AX23" s="2721">
        <f>SUM(AT23:AW23)</f>
        <v>6</v>
      </c>
      <c r="AY23" s="2722">
        <f t="shared" si="6"/>
        <v>1</v>
      </c>
      <c r="AZ23" s="2550"/>
      <c r="BA23" s="1149">
        <v>4</v>
      </c>
      <c r="BB23" s="1138">
        <v>2</v>
      </c>
      <c r="BC23" s="1149">
        <v>3</v>
      </c>
      <c r="BD23" s="1149">
        <v>1</v>
      </c>
      <c r="BE23" s="2721">
        <f>SUM(BA23:BD23)</f>
        <v>10</v>
      </c>
      <c r="BF23" s="2722">
        <f t="shared" si="7"/>
        <v>0.66666666666666663</v>
      </c>
      <c r="BG23" s="2550"/>
      <c r="BH23" s="1149">
        <v>3</v>
      </c>
      <c r="BI23" s="1138">
        <v>2</v>
      </c>
      <c r="BJ23" s="1149">
        <v>3</v>
      </c>
      <c r="BK23" s="1149">
        <v>1</v>
      </c>
      <c r="BL23" s="2721">
        <v>9</v>
      </c>
      <c r="BM23" s="2722">
        <f t="shared" si="8"/>
        <v>0.8</v>
      </c>
      <c r="BO23" s="1149">
        <v>3</v>
      </c>
      <c r="BP23" s="1138">
        <v>2</v>
      </c>
      <c r="BQ23" s="1149">
        <v>3</v>
      </c>
      <c r="BR23" s="1149">
        <v>1</v>
      </c>
      <c r="BS23" s="2721">
        <v>9</v>
      </c>
      <c r="BT23" s="2722">
        <f t="shared" si="9"/>
        <v>0.8</v>
      </c>
      <c r="BV23" s="1149">
        <v>2</v>
      </c>
      <c r="BW23" s="1138">
        <v>1</v>
      </c>
      <c r="BX23" s="1149">
        <v>3</v>
      </c>
      <c r="BY23" s="1149">
        <v>1</v>
      </c>
      <c r="BZ23" s="2721">
        <v>7</v>
      </c>
      <c r="CA23" s="2722">
        <f t="shared" si="10"/>
        <v>1.3333333333333333</v>
      </c>
    </row>
    <row r="24" spans="1:79" ht="17.100000000000001" customHeight="1">
      <c r="A24" s="1162" t="s">
        <v>72</v>
      </c>
      <c r="B24" s="1144" t="s">
        <v>61</v>
      </c>
      <c r="C24" s="2680" t="s">
        <v>1113</v>
      </c>
      <c r="D24" s="1145">
        <v>1</v>
      </c>
      <c r="E24" s="1139">
        <v>1</v>
      </c>
      <c r="F24" s="1145"/>
      <c r="G24" s="1145"/>
      <c r="H24" s="2713">
        <f>SUM(D24:G24)</f>
        <v>2</v>
      </c>
      <c r="I24" s="2714">
        <f t="shared" si="0"/>
        <v>0</v>
      </c>
      <c r="J24" s="2550"/>
      <c r="K24" s="1145">
        <v>1</v>
      </c>
      <c r="L24" s="1139">
        <v>1</v>
      </c>
      <c r="M24" s="1145"/>
      <c r="N24" s="1145"/>
      <c r="O24" s="2713">
        <f>SUM(K24:N24)</f>
        <v>2</v>
      </c>
      <c r="P24" s="2714">
        <f t="shared" si="1"/>
        <v>0</v>
      </c>
      <c r="Q24" s="2550"/>
      <c r="R24" s="1145">
        <v>2</v>
      </c>
      <c r="S24" s="1139">
        <v>2</v>
      </c>
      <c r="T24" s="1145"/>
      <c r="U24" s="1145"/>
      <c r="V24" s="2713">
        <f>SUM(R24:U24)</f>
        <v>4</v>
      </c>
      <c r="W24" s="2714">
        <f t="shared" si="2"/>
        <v>0</v>
      </c>
      <c r="X24" s="2550"/>
      <c r="Y24" s="1145">
        <v>3</v>
      </c>
      <c r="Z24" s="1139">
        <v>3</v>
      </c>
      <c r="AA24" s="1145"/>
      <c r="AB24" s="1145"/>
      <c r="AC24" s="2713">
        <f>SUM(Y24:AB24)</f>
        <v>6</v>
      </c>
      <c r="AD24" s="2714">
        <f t="shared" si="3"/>
        <v>0</v>
      </c>
      <c r="AE24" s="2550"/>
      <c r="AF24" s="1145">
        <v>2</v>
      </c>
      <c r="AG24" s="1139">
        <v>3</v>
      </c>
      <c r="AH24" s="1145"/>
      <c r="AI24" s="1145"/>
      <c r="AJ24" s="2713">
        <f t="shared" si="11"/>
        <v>5</v>
      </c>
      <c r="AK24" s="2714">
        <f t="shared" si="4"/>
        <v>0</v>
      </c>
      <c r="AL24" s="2550"/>
      <c r="AM24" s="1145">
        <v>3</v>
      </c>
      <c r="AN24" s="1139">
        <v>4</v>
      </c>
      <c r="AO24" s="1145"/>
      <c r="AP24" s="1145"/>
      <c r="AQ24" s="2713">
        <f t="shared" si="12"/>
        <v>7</v>
      </c>
      <c r="AR24" s="2714">
        <f t="shared" si="5"/>
        <v>0</v>
      </c>
      <c r="AS24" s="2550"/>
      <c r="AT24" s="1145">
        <v>1</v>
      </c>
      <c r="AU24" s="1139">
        <v>4</v>
      </c>
      <c r="AV24" s="1145"/>
      <c r="AW24" s="1145"/>
      <c r="AX24" s="2713">
        <f t="shared" ref="AX24:AX33" si="21">SUM(AT24:AW24)</f>
        <v>5</v>
      </c>
      <c r="AY24" s="2714">
        <f t="shared" si="6"/>
        <v>0</v>
      </c>
      <c r="AZ24" s="2550"/>
      <c r="BA24" s="1145">
        <v>2</v>
      </c>
      <c r="BB24" s="1139">
        <v>4</v>
      </c>
      <c r="BC24" s="1145"/>
      <c r="BD24" s="1145"/>
      <c r="BE24" s="2713">
        <f>SUM(BA24:BD24)</f>
        <v>6</v>
      </c>
      <c r="BF24" s="2714">
        <f t="shared" si="7"/>
        <v>0</v>
      </c>
      <c r="BG24" s="2550"/>
      <c r="BH24" s="1145">
        <v>2</v>
      </c>
      <c r="BI24" s="1139">
        <v>2</v>
      </c>
      <c r="BJ24" s="1145">
        <v>1</v>
      </c>
      <c r="BK24" s="1145"/>
      <c r="BL24" s="2713">
        <v>5</v>
      </c>
      <c r="BM24" s="2714">
        <f t="shared" si="8"/>
        <v>0.25</v>
      </c>
      <c r="BO24" s="1145">
        <v>1</v>
      </c>
      <c r="BP24" s="1139">
        <v>3</v>
      </c>
      <c r="BQ24" s="1145">
        <v>1</v>
      </c>
      <c r="BR24" s="1145"/>
      <c r="BS24" s="2713">
        <v>5</v>
      </c>
      <c r="BT24" s="2714">
        <f t="shared" si="9"/>
        <v>0.25</v>
      </c>
      <c r="BV24" s="1145">
        <v>1</v>
      </c>
      <c r="BW24" s="1139">
        <v>3</v>
      </c>
      <c r="BX24" s="1145">
        <v>1</v>
      </c>
      <c r="BY24" s="1145"/>
      <c r="BZ24" s="2713">
        <v>5</v>
      </c>
      <c r="CA24" s="2714">
        <f t="shared" si="10"/>
        <v>0.25</v>
      </c>
    </row>
    <row r="25" spans="1:79" ht="17.100000000000001" customHeight="1" thickBot="1">
      <c r="A25" s="1164" t="s">
        <v>72</v>
      </c>
      <c r="B25" s="1147" t="s">
        <v>61</v>
      </c>
      <c r="C25" s="2682" t="s">
        <v>1114</v>
      </c>
      <c r="D25" s="1145"/>
      <c r="E25" s="1139">
        <v>2</v>
      </c>
      <c r="F25" s="1145">
        <v>1</v>
      </c>
      <c r="G25" s="1145">
        <v>1</v>
      </c>
      <c r="H25" s="2713">
        <f>SUM(D25:G25)</f>
        <v>4</v>
      </c>
      <c r="I25" s="2714">
        <f t="shared" si="0"/>
        <v>1</v>
      </c>
      <c r="J25" s="2550"/>
      <c r="K25" s="1145"/>
      <c r="L25" s="1139">
        <v>2</v>
      </c>
      <c r="M25" s="1145">
        <v>1</v>
      </c>
      <c r="N25" s="1145">
        <v>1</v>
      </c>
      <c r="O25" s="2713">
        <f>SUM(K25:N25)</f>
        <v>4</v>
      </c>
      <c r="P25" s="2714">
        <f t="shared" si="1"/>
        <v>1</v>
      </c>
      <c r="Q25" s="2550"/>
      <c r="R25" s="1145">
        <v>1</v>
      </c>
      <c r="S25" s="1139">
        <v>2</v>
      </c>
      <c r="T25" s="1145">
        <v>1</v>
      </c>
      <c r="U25" s="1145">
        <v>1</v>
      </c>
      <c r="V25" s="2713">
        <f>SUM(R25:U25)</f>
        <v>5</v>
      </c>
      <c r="W25" s="2714">
        <f t="shared" si="2"/>
        <v>0.66666666666666663</v>
      </c>
      <c r="X25" s="2550"/>
      <c r="Y25" s="1145">
        <v>2</v>
      </c>
      <c r="Z25" s="1139">
        <v>2</v>
      </c>
      <c r="AA25" s="1145">
        <v>1</v>
      </c>
      <c r="AB25" s="1145">
        <v>1</v>
      </c>
      <c r="AC25" s="2713">
        <f>SUM(Y25:AB25)</f>
        <v>6</v>
      </c>
      <c r="AD25" s="2714">
        <f t="shared" si="3"/>
        <v>0.5</v>
      </c>
      <c r="AE25" s="2550"/>
      <c r="AF25" s="1145"/>
      <c r="AG25" s="1139">
        <v>6</v>
      </c>
      <c r="AH25" s="1145"/>
      <c r="AI25" s="1145">
        <v>1</v>
      </c>
      <c r="AJ25" s="2713">
        <f t="shared" si="11"/>
        <v>7</v>
      </c>
      <c r="AK25" s="2714">
        <f t="shared" si="4"/>
        <v>0.16666666666666666</v>
      </c>
      <c r="AL25" s="2550"/>
      <c r="AM25" s="1145"/>
      <c r="AN25" s="1139">
        <v>7</v>
      </c>
      <c r="AO25" s="1145"/>
      <c r="AP25" s="1145">
        <v>1</v>
      </c>
      <c r="AQ25" s="2713">
        <f t="shared" si="12"/>
        <v>8</v>
      </c>
      <c r="AR25" s="2714">
        <f t="shared" si="5"/>
        <v>0.14285714285714285</v>
      </c>
      <c r="AS25" s="2550"/>
      <c r="AT25" s="1145"/>
      <c r="AU25" s="1139">
        <v>7</v>
      </c>
      <c r="AV25" s="1145"/>
      <c r="AW25" s="1145">
        <v>1</v>
      </c>
      <c r="AX25" s="2713">
        <f t="shared" si="21"/>
        <v>8</v>
      </c>
      <c r="AY25" s="2714">
        <f t="shared" si="6"/>
        <v>0.14285714285714285</v>
      </c>
      <c r="AZ25" s="2550"/>
      <c r="BA25" s="1145"/>
      <c r="BB25" s="1139">
        <v>4</v>
      </c>
      <c r="BC25" s="1145"/>
      <c r="BD25" s="1145">
        <v>1</v>
      </c>
      <c r="BE25" s="2713">
        <f>SUM(BA25:BD25)</f>
        <v>5</v>
      </c>
      <c r="BF25" s="2714">
        <f t="shared" si="7"/>
        <v>0.25</v>
      </c>
      <c r="BG25" s="2550"/>
      <c r="BH25" s="1145"/>
      <c r="BI25" s="1139">
        <v>5</v>
      </c>
      <c r="BJ25" s="1145"/>
      <c r="BK25" s="1145">
        <v>1</v>
      </c>
      <c r="BL25" s="2713">
        <v>6</v>
      </c>
      <c r="BM25" s="2714">
        <f t="shared" si="8"/>
        <v>0.2</v>
      </c>
      <c r="BO25" s="1145"/>
      <c r="BP25" s="1139">
        <v>5</v>
      </c>
      <c r="BQ25" s="1145"/>
      <c r="BR25" s="1145">
        <v>1</v>
      </c>
      <c r="BS25" s="2713">
        <v>6</v>
      </c>
      <c r="BT25" s="2714">
        <f t="shared" si="9"/>
        <v>0.2</v>
      </c>
      <c r="BV25" s="1145"/>
      <c r="BW25" s="1139">
        <v>5</v>
      </c>
      <c r="BX25" s="1145"/>
      <c r="BY25" s="1145">
        <v>1</v>
      </c>
      <c r="BZ25" s="2713">
        <v>6</v>
      </c>
      <c r="CA25" s="2714">
        <f t="shared" si="10"/>
        <v>0.2</v>
      </c>
    </row>
    <row r="26" spans="1:79" ht="17.100000000000001" customHeight="1" thickBot="1">
      <c r="A26" s="5993" t="s">
        <v>1599</v>
      </c>
      <c r="B26" s="5994"/>
      <c r="C26" s="5994"/>
      <c r="D26" s="1150">
        <f>SUM(D23:D25)</f>
        <v>5</v>
      </c>
      <c r="E26" s="1150">
        <f>SUM(E23:E25)</f>
        <v>7</v>
      </c>
      <c r="F26" s="1150">
        <f>SUM(F23:F25)</f>
        <v>2</v>
      </c>
      <c r="G26" s="1150">
        <f>SUM(G23:G25)</f>
        <v>1</v>
      </c>
      <c r="H26" s="2723">
        <f>SUM(H23:H25)</f>
        <v>15</v>
      </c>
      <c r="I26" s="2716">
        <f t="shared" si="0"/>
        <v>0.25</v>
      </c>
      <c r="J26" s="2550"/>
      <c r="K26" s="1150">
        <f>SUM(K23:K25)</f>
        <v>5</v>
      </c>
      <c r="L26" s="1150">
        <f>SUM(L23:L25)</f>
        <v>7</v>
      </c>
      <c r="M26" s="1150">
        <f>SUM(M23:M25)</f>
        <v>2</v>
      </c>
      <c r="N26" s="1150">
        <f>SUM(N23:N25)</f>
        <v>1</v>
      </c>
      <c r="O26" s="2723">
        <f>SUM(O23:O25)</f>
        <v>15</v>
      </c>
      <c r="P26" s="2716">
        <f t="shared" si="1"/>
        <v>0.25</v>
      </c>
      <c r="Q26" s="2550"/>
      <c r="R26" s="1150">
        <f>SUM(R23:R25)</f>
        <v>6</v>
      </c>
      <c r="S26" s="1150">
        <f>SUM(S23:S25)</f>
        <v>9</v>
      </c>
      <c r="T26" s="1150">
        <f>SUM(T23:T25)</f>
        <v>2</v>
      </c>
      <c r="U26" s="1150">
        <f>SUM(U23:U25)</f>
        <v>1</v>
      </c>
      <c r="V26" s="2723">
        <f>SUM(V23:V25)</f>
        <v>18</v>
      </c>
      <c r="W26" s="2716">
        <f t="shared" si="2"/>
        <v>0.2</v>
      </c>
      <c r="X26" s="2550"/>
      <c r="Y26" s="1150">
        <f>SUM(Y23:Y25)</f>
        <v>5</v>
      </c>
      <c r="Z26" s="1150">
        <f>SUM(Z23:Z25)</f>
        <v>10</v>
      </c>
      <c r="AA26" s="1150">
        <f>SUM(AA23:AA25)</f>
        <v>2</v>
      </c>
      <c r="AB26" s="1150">
        <f>SUM(AB23:AB25)</f>
        <v>1</v>
      </c>
      <c r="AC26" s="2723">
        <f>SUM(AC23:AC25)</f>
        <v>18</v>
      </c>
      <c r="AD26" s="2716">
        <f t="shared" si="3"/>
        <v>0.2</v>
      </c>
      <c r="AE26" s="2550"/>
      <c r="AF26" s="1150">
        <f>SUM(AF23:AF25)</f>
        <v>2</v>
      </c>
      <c r="AG26" s="1150">
        <f>SUM(AG23:AG25)</f>
        <v>15</v>
      </c>
      <c r="AH26" s="1150">
        <f>SUM(AH23:AH25)</f>
        <v>1</v>
      </c>
      <c r="AI26" s="1150">
        <f>SUM(AI23:AI25)</f>
        <v>1</v>
      </c>
      <c r="AJ26" s="2723">
        <f t="shared" si="11"/>
        <v>19</v>
      </c>
      <c r="AK26" s="2716">
        <f t="shared" si="4"/>
        <v>0.11764705882352941</v>
      </c>
      <c r="AL26" s="2550"/>
      <c r="AM26" s="1150">
        <v>3</v>
      </c>
      <c r="AN26" s="1150">
        <v>16</v>
      </c>
      <c r="AO26" s="1150">
        <v>1</v>
      </c>
      <c r="AP26" s="1150">
        <v>2</v>
      </c>
      <c r="AQ26" s="2723">
        <f t="shared" si="12"/>
        <v>22</v>
      </c>
      <c r="AR26" s="2716">
        <f t="shared" si="5"/>
        <v>0.15789473684210525</v>
      </c>
      <c r="AS26" s="2550"/>
      <c r="AT26" s="1150">
        <f>SUM(AT23:AT25)</f>
        <v>1</v>
      </c>
      <c r="AU26" s="1150">
        <f>SUM(AU23:AU25)</f>
        <v>14</v>
      </c>
      <c r="AV26" s="1150">
        <f>SUM(AV23:AV25)</f>
        <v>2</v>
      </c>
      <c r="AW26" s="1150">
        <f>SUM(AW23:AW25)</f>
        <v>2</v>
      </c>
      <c r="AX26" s="2723">
        <f>SUM(AX23:AX25)</f>
        <v>19</v>
      </c>
      <c r="AY26" s="2716">
        <f t="shared" si="6"/>
        <v>0.26666666666666666</v>
      </c>
      <c r="AZ26" s="2550"/>
      <c r="BA26" s="1150">
        <v>6</v>
      </c>
      <c r="BB26" s="1150">
        <v>10</v>
      </c>
      <c r="BC26" s="1150">
        <v>3</v>
      </c>
      <c r="BD26" s="1150">
        <v>2</v>
      </c>
      <c r="BE26" s="2723">
        <f>SUM(BE23:BE25)</f>
        <v>21</v>
      </c>
      <c r="BF26" s="2716">
        <f t="shared" si="7"/>
        <v>0.3125</v>
      </c>
      <c r="BG26" s="2550"/>
      <c r="BH26" s="1150">
        <v>5</v>
      </c>
      <c r="BI26" s="1150">
        <v>9</v>
      </c>
      <c r="BJ26" s="1150">
        <v>4</v>
      </c>
      <c r="BK26" s="1150">
        <v>2</v>
      </c>
      <c r="BL26" s="2723">
        <v>20</v>
      </c>
      <c r="BM26" s="2716">
        <f t="shared" si="8"/>
        <v>0.42857142857142855</v>
      </c>
      <c r="BO26" s="1150">
        <v>4</v>
      </c>
      <c r="BP26" s="1150">
        <v>10</v>
      </c>
      <c r="BQ26" s="1150">
        <v>4</v>
      </c>
      <c r="BR26" s="1150">
        <v>2</v>
      </c>
      <c r="BS26" s="2723">
        <v>20</v>
      </c>
      <c r="BT26" s="2716">
        <f t="shared" si="9"/>
        <v>0.42857142857142855</v>
      </c>
      <c r="BV26" s="1150">
        <f>SUM(BV23:BV25)</f>
        <v>3</v>
      </c>
      <c r="BW26" s="1150">
        <f t="shared" ref="BW26:BZ26" si="22">SUM(BW23:BW25)</f>
        <v>9</v>
      </c>
      <c r="BX26" s="1150">
        <f t="shared" si="22"/>
        <v>4</v>
      </c>
      <c r="BY26" s="1150">
        <f t="shared" si="22"/>
        <v>2</v>
      </c>
      <c r="BZ26" s="1150">
        <f t="shared" si="22"/>
        <v>18</v>
      </c>
      <c r="CA26" s="2716">
        <f t="shared" si="10"/>
        <v>0.5</v>
      </c>
    </row>
    <row r="27" spans="1:79" ht="17.100000000000001" customHeight="1">
      <c r="A27" s="1165" t="s">
        <v>72</v>
      </c>
      <c r="B27" s="1148" t="s">
        <v>64</v>
      </c>
      <c r="C27" s="2684" t="s">
        <v>1115</v>
      </c>
      <c r="D27" s="1139">
        <v>6</v>
      </c>
      <c r="E27" s="1139">
        <v>6</v>
      </c>
      <c r="F27" s="1139">
        <v>1</v>
      </c>
      <c r="G27" s="1145">
        <v>1</v>
      </c>
      <c r="H27" s="2713">
        <f>SUM(D27:G27)</f>
        <v>14</v>
      </c>
      <c r="I27" s="2714">
        <f t="shared" si="0"/>
        <v>0.16666666666666666</v>
      </c>
      <c r="J27" s="2550"/>
      <c r="K27" s="1139">
        <v>4</v>
      </c>
      <c r="L27" s="1139">
        <v>7</v>
      </c>
      <c r="M27" s="1139">
        <v>1</v>
      </c>
      <c r="N27" s="1145">
        <v>1</v>
      </c>
      <c r="O27" s="2713">
        <f>SUM(K27:N27)</f>
        <v>13</v>
      </c>
      <c r="P27" s="2714">
        <f t="shared" si="1"/>
        <v>0.18181818181818182</v>
      </c>
      <c r="Q27" s="2550"/>
      <c r="R27" s="1139">
        <v>4</v>
      </c>
      <c r="S27" s="1139">
        <v>8</v>
      </c>
      <c r="T27" s="1139">
        <v>2</v>
      </c>
      <c r="U27" s="1145">
        <v>1</v>
      </c>
      <c r="V27" s="2713">
        <f>SUM(R27:U27)</f>
        <v>15</v>
      </c>
      <c r="W27" s="2714">
        <f t="shared" si="2"/>
        <v>0.25</v>
      </c>
      <c r="X27" s="2550"/>
      <c r="Y27" s="1139">
        <v>5</v>
      </c>
      <c r="Z27" s="1139">
        <v>8</v>
      </c>
      <c r="AA27" s="1139">
        <v>1</v>
      </c>
      <c r="AB27" s="1145">
        <v>1</v>
      </c>
      <c r="AC27" s="2713">
        <f>SUM(Y27:AB27)</f>
        <v>15</v>
      </c>
      <c r="AD27" s="2714">
        <f t="shared" si="3"/>
        <v>0.15384615384615385</v>
      </c>
      <c r="AE27" s="2550"/>
      <c r="AF27" s="1139">
        <v>4</v>
      </c>
      <c r="AG27" s="1139">
        <v>12</v>
      </c>
      <c r="AH27" s="1139">
        <v>1</v>
      </c>
      <c r="AI27" s="1145">
        <v>1</v>
      </c>
      <c r="AJ27" s="2713">
        <f t="shared" si="11"/>
        <v>18</v>
      </c>
      <c r="AK27" s="2714">
        <f t="shared" si="4"/>
        <v>0.125</v>
      </c>
      <c r="AL27" s="2550"/>
      <c r="AM27" s="1139">
        <v>1</v>
      </c>
      <c r="AN27" s="1139">
        <v>10</v>
      </c>
      <c r="AO27" s="1139">
        <v>1</v>
      </c>
      <c r="AP27" s="1145">
        <v>1</v>
      </c>
      <c r="AQ27" s="2713">
        <f t="shared" si="12"/>
        <v>13</v>
      </c>
      <c r="AR27" s="2714">
        <f t="shared" si="5"/>
        <v>0.18181818181818182</v>
      </c>
      <c r="AS27" s="2550"/>
      <c r="AT27" s="1139">
        <v>2</v>
      </c>
      <c r="AU27" s="1139">
        <v>10</v>
      </c>
      <c r="AV27" s="1139">
        <v>1</v>
      </c>
      <c r="AW27" s="1145">
        <v>1</v>
      </c>
      <c r="AX27" s="2713">
        <f t="shared" si="21"/>
        <v>14</v>
      </c>
      <c r="AY27" s="2714">
        <f t="shared" si="6"/>
        <v>0.16666666666666666</v>
      </c>
      <c r="AZ27" s="2550"/>
      <c r="BA27" s="1139"/>
      <c r="BB27" s="1139">
        <v>9</v>
      </c>
      <c r="BC27" s="1139">
        <v>1</v>
      </c>
      <c r="BD27" s="1145">
        <v>1</v>
      </c>
      <c r="BE27" s="2713">
        <f>SUM(BA27:BD27)</f>
        <v>11</v>
      </c>
      <c r="BF27" s="2714">
        <f t="shared" si="7"/>
        <v>0.22222222222222221</v>
      </c>
      <c r="BG27" s="2550"/>
      <c r="BH27" s="1139">
        <v>2</v>
      </c>
      <c r="BI27" s="1139">
        <v>9</v>
      </c>
      <c r="BJ27" s="1139"/>
      <c r="BK27" s="1145">
        <v>1</v>
      </c>
      <c r="BL27" s="2713">
        <v>12</v>
      </c>
      <c r="BM27" s="2714">
        <f t="shared" si="8"/>
        <v>9.0909090909090912E-2</v>
      </c>
      <c r="BO27" s="1139">
        <v>2</v>
      </c>
      <c r="BP27" s="1139">
        <v>10</v>
      </c>
      <c r="BQ27" s="1139"/>
      <c r="BR27" s="1145">
        <v>1</v>
      </c>
      <c r="BS27" s="2713">
        <v>13</v>
      </c>
      <c r="BT27" s="2714">
        <f t="shared" si="9"/>
        <v>8.3333333333333329E-2</v>
      </c>
      <c r="BV27" s="1139">
        <v>2</v>
      </c>
      <c r="BW27" s="1139">
        <v>9</v>
      </c>
      <c r="BX27" s="1139"/>
      <c r="BY27" s="1145">
        <v>1</v>
      </c>
      <c r="BZ27" s="2713">
        <v>12</v>
      </c>
      <c r="CA27" s="2714">
        <f t="shared" si="10"/>
        <v>9.0909090909090912E-2</v>
      </c>
    </row>
    <row r="28" spans="1:79" ht="17.100000000000001" customHeight="1">
      <c r="A28" s="1161" t="s">
        <v>72</v>
      </c>
      <c r="B28" s="1144" t="s">
        <v>64</v>
      </c>
      <c r="C28" s="2680" t="s">
        <v>1116</v>
      </c>
      <c r="D28" s="1139">
        <v>4</v>
      </c>
      <c r="E28" s="1139">
        <v>10</v>
      </c>
      <c r="F28" s="1145"/>
      <c r="G28" s="1145"/>
      <c r="H28" s="2713">
        <f>SUM(D28:G28)</f>
        <v>14</v>
      </c>
      <c r="I28" s="2714">
        <f t="shared" si="0"/>
        <v>0</v>
      </c>
      <c r="J28" s="2550"/>
      <c r="K28" s="1139">
        <v>4</v>
      </c>
      <c r="L28" s="1139">
        <v>9</v>
      </c>
      <c r="M28" s="1145"/>
      <c r="N28" s="1145"/>
      <c r="O28" s="2713">
        <f>SUM(K28:N28)</f>
        <v>13</v>
      </c>
      <c r="P28" s="2714">
        <f t="shared" si="1"/>
        <v>0</v>
      </c>
      <c r="Q28" s="2550"/>
      <c r="R28" s="1139">
        <v>5</v>
      </c>
      <c r="S28" s="1139">
        <v>13</v>
      </c>
      <c r="T28" s="1145"/>
      <c r="U28" s="1145"/>
      <c r="V28" s="2713">
        <f>SUM(R28:U28)</f>
        <v>18</v>
      </c>
      <c r="W28" s="2714">
        <f t="shared" si="2"/>
        <v>0</v>
      </c>
      <c r="X28" s="2550"/>
      <c r="Y28" s="1139">
        <v>5</v>
      </c>
      <c r="Z28" s="1139">
        <v>14</v>
      </c>
      <c r="AA28" s="1145"/>
      <c r="AB28" s="1145"/>
      <c r="AC28" s="2713">
        <f>SUM(Y28:AB28)</f>
        <v>19</v>
      </c>
      <c r="AD28" s="2714">
        <f t="shared" si="3"/>
        <v>0</v>
      </c>
      <c r="AE28" s="2550"/>
      <c r="AF28" s="1139">
        <v>4</v>
      </c>
      <c r="AG28" s="1139">
        <v>12</v>
      </c>
      <c r="AH28" s="1145">
        <v>1</v>
      </c>
      <c r="AI28" s="1145"/>
      <c r="AJ28" s="2713">
        <f t="shared" si="11"/>
        <v>17</v>
      </c>
      <c r="AK28" s="2714">
        <f t="shared" si="4"/>
        <v>6.25E-2</v>
      </c>
      <c r="AL28" s="2550"/>
      <c r="AM28" s="1139">
        <v>3</v>
      </c>
      <c r="AN28" s="1139">
        <v>12</v>
      </c>
      <c r="AO28" s="1145">
        <v>1</v>
      </c>
      <c r="AP28" s="1145"/>
      <c r="AQ28" s="2713">
        <f t="shared" si="12"/>
        <v>16</v>
      </c>
      <c r="AR28" s="2714">
        <f t="shared" si="5"/>
        <v>6.6666666666666666E-2</v>
      </c>
      <c r="AS28" s="2550"/>
      <c r="AT28" s="1139">
        <v>3</v>
      </c>
      <c r="AU28" s="1139">
        <v>13</v>
      </c>
      <c r="AV28" s="1145">
        <v>1</v>
      </c>
      <c r="AW28" s="1145"/>
      <c r="AX28" s="2713">
        <f t="shared" si="21"/>
        <v>17</v>
      </c>
      <c r="AY28" s="2714">
        <f t="shared" si="6"/>
        <v>6.25E-2</v>
      </c>
      <c r="AZ28" s="2550"/>
      <c r="BA28" s="1139">
        <v>2</v>
      </c>
      <c r="BB28" s="1139">
        <v>12</v>
      </c>
      <c r="BC28" s="1145">
        <v>2</v>
      </c>
      <c r="BD28" s="1145"/>
      <c r="BE28" s="2713">
        <f>SUM(BA28:BD28)</f>
        <v>16</v>
      </c>
      <c r="BF28" s="2714">
        <f t="shared" si="7"/>
        <v>0.14285714285714285</v>
      </c>
      <c r="BG28" s="2550"/>
      <c r="BH28" s="1139">
        <v>4</v>
      </c>
      <c r="BI28" s="1139">
        <v>10</v>
      </c>
      <c r="BJ28" s="1145">
        <v>2</v>
      </c>
      <c r="BK28" s="1145"/>
      <c r="BL28" s="2713">
        <v>16</v>
      </c>
      <c r="BM28" s="2714">
        <f t="shared" si="8"/>
        <v>0.14285714285714285</v>
      </c>
      <c r="BO28" s="1139">
        <v>5</v>
      </c>
      <c r="BP28" s="1139">
        <v>13</v>
      </c>
      <c r="BQ28" s="1145">
        <v>2</v>
      </c>
      <c r="BR28" s="1145"/>
      <c r="BS28" s="2713">
        <v>20</v>
      </c>
      <c r="BT28" s="2714">
        <f t="shared" si="9"/>
        <v>0.1111111111111111</v>
      </c>
      <c r="BV28" s="1139">
        <v>3</v>
      </c>
      <c r="BW28" s="1139">
        <v>12</v>
      </c>
      <c r="BX28" s="1145">
        <v>2</v>
      </c>
      <c r="BY28" s="1145"/>
      <c r="BZ28" s="2713">
        <v>17</v>
      </c>
      <c r="CA28" s="2714">
        <f t="shared" si="10"/>
        <v>0.13333333333333333</v>
      </c>
    </row>
    <row r="29" spans="1:79" ht="17.100000000000001" customHeight="1" thickBot="1">
      <c r="A29" s="1161" t="s">
        <v>72</v>
      </c>
      <c r="B29" s="1144" t="s">
        <v>64</v>
      </c>
      <c r="C29" s="2680" t="s">
        <v>1117</v>
      </c>
      <c r="D29" s="1139">
        <v>1</v>
      </c>
      <c r="E29" s="1139">
        <v>9</v>
      </c>
      <c r="F29" s="1145"/>
      <c r="G29" s="1139">
        <v>2</v>
      </c>
      <c r="H29" s="2717">
        <f>SUM(D29:G29)</f>
        <v>12</v>
      </c>
      <c r="I29" s="2714">
        <f t="shared" si="0"/>
        <v>0.2</v>
      </c>
      <c r="J29" s="2550"/>
      <c r="K29" s="1139">
        <v>2</v>
      </c>
      <c r="L29" s="1139">
        <v>9</v>
      </c>
      <c r="M29" s="1145"/>
      <c r="N29" s="1139">
        <v>2</v>
      </c>
      <c r="O29" s="2717">
        <f>SUM(K29:N29)</f>
        <v>13</v>
      </c>
      <c r="P29" s="2714">
        <f t="shared" si="1"/>
        <v>0.18181818181818182</v>
      </c>
      <c r="Q29" s="2550"/>
      <c r="R29" s="1139">
        <v>3</v>
      </c>
      <c r="S29" s="1139">
        <v>8</v>
      </c>
      <c r="T29" s="1145"/>
      <c r="U29" s="1139">
        <v>2</v>
      </c>
      <c r="V29" s="2717">
        <f>SUM(R29:U29)</f>
        <v>13</v>
      </c>
      <c r="W29" s="2714">
        <f t="shared" si="2"/>
        <v>0.18181818181818182</v>
      </c>
      <c r="X29" s="2550"/>
      <c r="Y29" s="1139">
        <v>3</v>
      </c>
      <c r="Z29" s="1139">
        <v>11</v>
      </c>
      <c r="AA29" s="1145">
        <v>1</v>
      </c>
      <c r="AB29" s="1139">
        <v>2</v>
      </c>
      <c r="AC29" s="2717">
        <f>SUM(Y29:AB29)</f>
        <v>17</v>
      </c>
      <c r="AD29" s="2714">
        <f t="shared" si="3"/>
        <v>0.21428571428571427</v>
      </c>
      <c r="AE29" s="2550"/>
      <c r="AF29" s="1139">
        <v>3</v>
      </c>
      <c r="AG29" s="1139">
        <v>9</v>
      </c>
      <c r="AH29" s="1145">
        <v>3</v>
      </c>
      <c r="AI29" s="1139">
        <v>2</v>
      </c>
      <c r="AJ29" s="2717">
        <f t="shared" si="11"/>
        <v>17</v>
      </c>
      <c r="AK29" s="2714">
        <f t="shared" si="4"/>
        <v>0.41666666666666669</v>
      </c>
      <c r="AL29" s="2550"/>
      <c r="AM29" s="1139">
        <v>3</v>
      </c>
      <c r="AN29" s="1139">
        <v>10</v>
      </c>
      <c r="AO29" s="1145">
        <v>3</v>
      </c>
      <c r="AP29" s="1139">
        <v>2</v>
      </c>
      <c r="AQ29" s="2717">
        <f t="shared" si="12"/>
        <v>18</v>
      </c>
      <c r="AR29" s="2714">
        <f t="shared" si="5"/>
        <v>0.38461538461538464</v>
      </c>
      <c r="AS29" s="2550"/>
      <c r="AT29" s="1139">
        <v>2</v>
      </c>
      <c r="AU29" s="1139">
        <v>10</v>
      </c>
      <c r="AV29" s="1145">
        <v>4</v>
      </c>
      <c r="AW29" s="1139">
        <v>2</v>
      </c>
      <c r="AX29" s="2717">
        <f t="shared" si="21"/>
        <v>18</v>
      </c>
      <c r="AY29" s="2714">
        <f t="shared" si="6"/>
        <v>0.5</v>
      </c>
      <c r="AZ29" s="2550"/>
      <c r="BA29" s="1139">
        <v>4</v>
      </c>
      <c r="BB29" s="1139">
        <v>8</v>
      </c>
      <c r="BC29" s="1145">
        <v>4</v>
      </c>
      <c r="BD29" s="1139">
        <v>2</v>
      </c>
      <c r="BE29" s="2717">
        <f>SUM(BA29:BD29)</f>
        <v>18</v>
      </c>
      <c r="BF29" s="2714">
        <f t="shared" si="7"/>
        <v>0.5</v>
      </c>
      <c r="BG29" s="2550"/>
      <c r="BH29" s="1139">
        <v>10</v>
      </c>
      <c r="BI29" s="1139">
        <v>10</v>
      </c>
      <c r="BJ29" s="1145">
        <v>3</v>
      </c>
      <c r="BK29" s="1139">
        <v>3</v>
      </c>
      <c r="BL29" s="2717">
        <v>26</v>
      </c>
      <c r="BM29" s="2714">
        <f t="shared" si="8"/>
        <v>0.3</v>
      </c>
      <c r="BO29" s="1139">
        <v>6</v>
      </c>
      <c r="BP29" s="1139">
        <v>12</v>
      </c>
      <c r="BQ29" s="1145">
        <v>4</v>
      </c>
      <c r="BR29" s="1139">
        <v>3</v>
      </c>
      <c r="BS29" s="2717">
        <v>25</v>
      </c>
      <c r="BT29" s="2714">
        <f t="shared" si="9"/>
        <v>0.3888888888888889</v>
      </c>
      <c r="BV29" s="1139">
        <v>5</v>
      </c>
      <c r="BW29" s="1139">
        <v>12</v>
      </c>
      <c r="BX29" s="1145">
        <v>4</v>
      </c>
      <c r="BY29" s="1139">
        <v>3</v>
      </c>
      <c r="BZ29" s="2717">
        <v>24</v>
      </c>
      <c r="CA29" s="2714">
        <f t="shared" si="10"/>
        <v>0.41176470588235292</v>
      </c>
    </row>
    <row r="30" spans="1:79" ht="17.100000000000001" customHeight="1" thickBot="1">
      <c r="A30" s="5993" t="s">
        <v>1600</v>
      </c>
      <c r="B30" s="5994"/>
      <c r="C30" s="5994"/>
      <c r="D30" s="1150">
        <f>SUM(D27:D29)</f>
        <v>11</v>
      </c>
      <c r="E30" s="1150">
        <f>SUM(E27:E29)</f>
        <v>25</v>
      </c>
      <c r="F30" s="1150">
        <f>SUM(F27:F29)</f>
        <v>1</v>
      </c>
      <c r="G30" s="1150">
        <f>SUM(G27:G29)</f>
        <v>3</v>
      </c>
      <c r="H30" s="2723">
        <f>SUM(H27:H29)</f>
        <v>40</v>
      </c>
      <c r="I30" s="2716">
        <f t="shared" si="0"/>
        <v>0.1111111111111111</v>
      </c>
      <c r="J30" s="2550"/>
      <c r="K30" s="1150">
        <f>SUM(K27:K29)</f>
        <v>10</v>
      </c>
      <c r="L30" s="1150">
        <f>SUM(L27:L29)</f>
        <v>25</v>
      </c>
      <c r="M30" s="1150">
        <f>SUM(M27:M29)</f>
        <v>1</v>
      </c>
      <c r="N30" s="1150">
        <f>SUM(N27:N29)</f>
        <v>3</v>
      </c>
      <c r="O30" s="2723">
        <f>SUM(O27:O29)</f>
        <v>39</v>
      </c>
      <c r="P30" s="2716">
        <f t="shared" si="1"/>
        <v>0.11428571428571428</v>
      </c>
      <c r="Q30" s="2550"/>
      <c r="R30" s="1150">
        <f>SUM(R27:R29)</f>
        <v>12</v>
      </c>
      <c r="S30" s="1150">
        <f>SUM(S27:S29)</f>
        <v>29</v>
      </c>
      <c r="T30" s="1150">
        <f>SUM(T27:T29)</f>
        <v>2</v>
      </c>
      <c r="U30" s="1150">
        <f>SUM(U27:U29)</f>
        <v>3</v>
      </c>
      <c r="V30" s="2723">
        <f>SUM(V27:V29)</f>
        <v>46</v>
      </c>
      <c r="W30" s="2716">
        <f t="shared" si="2"/>
        <v>0.12195121951219512</v>
      </c>
      <c r="X30" s="2550"/>
      <c r="Y30" s="1150">
        <f>SUM(Y27:Y29)</f>
        <v>13</v>
      </c>
      <c r="Z30" s="1150">
        <f>SUM(Z27:Z29)</f>
        <v>33</v>
      </c>
      <c r="AA30" s="1150">
        <f>SUM(AA27:AA29)</f>
        <v>2</v>
      </c>
      <c r="AB30" s="1150">
        <f>SUM(AB27:AB29)</f>
        <v>3</v>
      </c>
      <c r="AC30" s="2723">
        <f>SUM(AC27:AC29)</f>
        <v>51</v>
      </c>
      <c r="AD30" s="2716">
        <f t="shared" si="3"/>
        <v>0.10869565217391304</v>
      </c>
      <c r="AE30" s="2550"/>
      <c r="AF30" s="1150">
        <f>SUM(AF27:AF29)</f>
        <v>11</v>
      </c>
      <c r="AG30" s="1150">
        <f>SUM(AG27:AG29)</f>
        <v>33</v>
      </c>
      <c r="AH30" s="1150">
        <f>SUM(AH27:AH29)</f>
        <v>5</v>
      </c>
      <c r="AI30" s="1150">
        <f>SUM(AI27:AI29)</f>
        <v>3</v>
      </c>
      <c r="AJ30" s="2723">
        <f t="shared" si="11"/>
        <v>52</v>
      </c>
      <c r="AK30" s="2716">
        <f t="shared" si="4"/>
        <v>0.18181818181818182</v>
      </c>
      <c r="AL30" s="2550"/>
      <c r="AM30" s="1150">
        <v>7</v>
      </c>
      <c r="AN30" s="1150">
        <v>32</v>
      </c>
      <c r="AO30" s="1150">
        <v>5</v>
      </c>
      <c r="AP30" s="1150">
        <v>3</v>
      </c>
      <c r="AQ30" s="2723">
        <f t="shared" si="12"/>
        <v>47</v>
      </c>
      <c r="AR30" s="2716">
        <f t="shared" si="5"/>
        <v>0.20512820512820512</v>
      </c>
      <c r="AS30" s="2550"/>
      <c r="AT30" s="1150">
        <f>SUM(AT27:AT29)</f>
        <v>7</v>
      </c>
      <c r="AU30" s="1150">
        <f>SUM(AU27:AU29)</f>
        <v>33</v>
      </c>
      <c r="AV30" s="1150">
        <f>SUM(AV27:AV29)</f>
        <v>6</v>
      </c>
      <c r="AW30" s="1150">
        <f>SUM(AW27:AW29)</f>
        <v>3</v>
      </c>
      <c r="AX30" s="2723">
        <f>SUM(AX27:AX29)</f>
        <v>49</v>
      </c>
      <c r="AY30" s="2716">
        <f t="shared" si="6"/>
        <v>0.22500000000000001</v>
      </c>
      <c r="AZ30" s="2550"/>
      <c r="BA30" s="1150">
        <v>6</v>
      </c>
      <c r="BB30" s="1150">
        <v>29</v>
      </c>
      <c r="BC30" s="1150">
        <v>7</v>
      </c>
      <c r="BD30" s="1150">
        <v>3</v>
      </c>
      <c r="BE30" s="2723">
        <f>SUM(BE27:BE29)</f>
        <v>45</v>
      </c>
      <c r="BF30" s="2716">
        <f t="shared" si="7"/>
        <v>0.2857142857142857</v>
      </c>
      <c r="BG30" s="2550"/>
      <c r="BH30" s="1150">
        <v>16</v>
      </c>
      <c r="BI30" s="1150">
        <v>29</v>
      </c>
      <c r="BJ30" s="1150">
        <v>5</v>
      </c>
      <c r="BK30" s="1150">
        <v>4</v>
      </c>
      <c r="BL30" s="2723">
        <v>54</v>
      </c>
      <c r="BM30" s="2716">
        <f t="shared" si="8"/>
        <v>0.2</v>
      </c>
      <c r="BO30" s="1150">
        <v>13</v>
      </c>
      <c r="BP30" s="1150">
        <v>35</v>
      </c>
      <c r="BQ30" s="1150">
        <v>6</v>
      </c>
      <c r="BR30" s="1150">
        <v>4</v>
      </c>
      <c r="BS30" s="2723">
        <v>58</v>
      </c>
      <c r="BT30" s="2716">
        <f t="shared" si="9"/>
        <v>0.20833333333333334</v>
      </c>
      <c r="BV30" s="1150">
        <f>SUM(BV27:BV29)</f>
        <v>10</v>
      </c>
      <c r="BW30" s="1150">
        <f t="shared" ref="BW30:BZ30" si="23">SUM(BW27:BW29)</f>
        <v>33</v>
      </c>
      <c r="BX30" s="1150">
        <f t="shared" si="23"/>
        <v>6</v>
      </c>
      <c r="BY30" s="1150">
        <f t="shared" si="23"/>
        <v>4</v>
      </c>
      <c r="BZ30" s="1150">
        <f t="shared" si="23"/>
        <v>53</v>
      </c>
      <c r="CA30" s="2716">
        <f t="shared" si="10"/>
        <v>0.23255813953488372</v>
      </c>
    </row>
    <row r="31" spans="1:79" ht="17.100000000000001" customHeight="1">
      <c r="A31" s="1165" t="s">
        <v>72</v>
      </c>
      <c r="B31" s="1148" t="s">
        <v>16</v>
      </c>
      <c r="C31" s="2684" t="s">
        <v>1118</v>
      </c>
      <c r="D31" s="1139">
        <v>2</v>
      </c>
      <c r="E31" s="1139">
        <v>8</v>
      </c>
      <c r="F31" s="1145">
        <v>1</v>
      </c>
      <c r="G31" s="1145"/>
      <c r="H31" s="2713">
        <f>SUM(D31:G31)</f>
        <v>11</v>
      </c>
      <c r="I31" s="2714">
        <f t="shared" si="0"/>
        <v>0.1</v>
      </c>
      <c r="J31" s="2550"/>
      <c r="K31" s="1139">
        <v>4</v>
      </c>
      <c r="L31" s="1139">
        <v>8</v>
      </c>
      <c r="M31" s="1145">
        <v>2</v>
      </c>
      <c r="N31" s="1145"/>
      <c r="O31" s="2713">
        <f>SUM(K31:N31)</f>
        <v>14</v>
      </c>
      <c r="P31" s="2714">
        <f t="shared" si="1"/>
        <v>0.16666666666666666</v>
      </c>
      <c r="Q31" s="2550"/>
      <c r="R31" s="1139">
        <v>2</v>
      </c>
      <c r="S31" s="1139">
        <v>9</v>
      </c>
      <c r="T31" s="1145">
        <v>3</v>
      </c>
      <c r="U31" s="1145"/>
      <c r="V31" s="2713">
        <f>SUM(R31:U31)</f>
        <v>14</v>
      </c>
      <c r="W31" s="2714">
        <f t="shared" si="2"/>
        <v>0.27272727272727271</v>
      </c>
      <c r="X31" s="2550"/>
      <c r="Y31" s="1139">
        <v>1</v>
      </c>
      <c r="Z31" s="1139">
        <v>9</v>
      </c>
      <c r="AA31" s="1145">
        <v>3</v>
      </c>
      <c r="AB31" s="1145"/>
      <c r="AC31" s="2713">
        <f>SUM(Y31:AB31)</f>
        <v>13</v>
      </c>
      <c r="AD31" s="2714">
        <f t="shared" si="3"/>
        <v>0.3</v>
      </c>
      <c r="AE31" s="2550"/>
      <c r="AF31" s="1139">
        <v>2</v>
      </c>
      <c r="AG31" s="1139">
        <v>7</v>
      </c>
      <c r="AH31" s="1145">
        <v>3</v>
      </c>
      <c r="AI31" s="1145"/>
      <c r="AJ31" s="2713">
        <f t="shared" si="11"/>
        <v>12</v>
      </c>
      <c r="AK31" s="2714">
        <f t="shared" si="4"/>
        <v>0.33333333333333331</v>
      </c>
      <c r="AL31" s="2550"/>
      <c r="AM31" s="1139">
        <v>3</v>
      </c>
      <c r="AN31" s="1139">
        <v>10</v>
      </c>
      <c r="AO31" s="1145">
        <v>3</v>
      </c>
      <c r="AP31" s="1145"/>
      <c r="AQ31" s="2713">
        <f t="shared" si="12"/>
        <v>16</v>
      </c>
      <c r="AR31" s="2714">
        <f t="shared" si="5"/>
        <v>0.23076923076923078</v>
      </c>
      <c r="AS31" s="2550"/>
      <c r="AT31" s="1139">
        <v>3</v>
      </c>
      <c r="AU31" s="1139">
        <v>10</v>
      </c>
      <c r="AV31" s="1145">
        <v>4</v>
      </c>
      <c r="AW31" s="1145"/>
      <c r="AX31" s="2713">
        <f t="shared" si="21"/>
        <v>17</v>
      </c>
      <c r="AY31" s="2714">
        <f t="shared" si="6"/>
        <v>0.30769230769230771</v>
      </c>
      <c r="AZ31" s="2550"/>
      <c r="BA31" s="1139">
        <v>5</v>
      </c>
      <c r="BB31" s="1139">
        <v>11</v>
      </c>
      <c r="BC31" s="1145">
        <v>3</v>
      </c>
      <c r="BD31" s="1145"/>
      <c r="BE31" s="2713">
        <f>SUM(BA31:BD31)</f>
        <v>19</v>
      </c>
      <c r="BF31" s="2714">
        <f t="shared" si="7"/>
        <v>0.1875</v>
      </c>
      <c r="BG31" s="2550"/>
      <c r="BH31" s="1139">
        <v>2</v>
      </c>
      <c r="BI31" s="1139">
        <v>10</v>
      </c>
      <c r="BJ31" s="1145">
        <v>3</v>
      </c>
      <c r="BK31" s="1145"/>
      <c r="BL31" s="2713">
        <v>15</v>
      </c>
      <c r="BM31" s="2714">
        <f t="shared" si="8"/>
        <v>0.25</v>
      </c>
      <c r="BO31" s="1139">
        <v>3</v>
      </c>
      <c r="BP31" s="1139">
        <v>9</v>
      </c>
      <c r="BQ31" s="1145">
        <v>3</v>
      </c>
      <c r="BR31" s="1145"/>
      <c r="BS31" s="2713">
        <v>15</v>
      </c>
      <c r="BT31" s="2714">
        <f t="shared" si="9"/>
        <v>0.25</v>
      </c>
      <c r="BV31" s="1139">
        <v>3</v>
      </c>
      <c r="BW31" s="1139">
        <v>9</v>
      </c>
      <c r="BX31" s="1145">
        <v>3</v>
      </c>
      <c r="BY31" s="1145"/>
      <c r="BZ31" s="2713">
        <v>15</v>
      </c>
      <c r="CA31" s="2714">
        <f t="shared" si="10"/>
        <v>0.25</v>
      </c>
    </row>
    <row r="32" spans="1:79" ht="17.100000000000001" customHeight="1">
      <c r="A32" s="1161" t="s">
        <v>72</v>
      </c>
      <c r="B32" s="1144" t="s">
        <v>16</v>
      </c>
      <c r="C32" s="2680" t="s">
        <v>1119</v>
      </c>
      <c r="D32" s="1139">
        <v>7</v>
      </c>
      <c r="E32" s="1145">
        <v>5</v>
      </c>
      <c r="F32" s="1139">
        <v>1</v>
      </c>
      <c r="G32" s="1145">
        <v>1</v>
      </c>
      <c r="H32" s="2713">
        <f>SUM(D32:G32)</f>
        <v>14</v>
      </c>
      <c r="I32" s="2714">
        <f t="shared" si="0"/>
        <v>0.16666666666666666</v>
      </c>
      <c r="J32" s="2550"/>
      <c r="K32" s="1139">
        <v>7</v>
      </c>
      <c r="L32" s="1145">
        <v>5</v>
      </c>
      <c r="M32" s="1139">
        <v>1</v>
      </c>
      <c r="N32" s="1145">
        <v>1</v>
      </c>
      <c r="O32" s="2713">
        <f>SUM(K32:N32)</f>
        <v>14</v>
      </c>
      <c r="P32" s="2714">
        <f t="shared" si="1"/>
        <v>0.16666666666666666</v>
      </c>
      <c r="Q32" s="2550"/>
      <c r="R32" s="1139">
        <v>3</v>
      </c>
      <c r="S32" s="1145">
        <v>7</v>
      </c>
      <c r="T32" s="1139">
        <v>1</v>
      </c>
      <c r="U32" s="1145"/>
      <c r="V32" s="2713">
        <f>SUM(R32:U32)</f>
        <v>11</v>
      </c>
      <c r="W32" s="2714">
        <f t="shared" si="2"/>
        <v>0.1</v>
      </c>
      <c r="X32" s="2550"/>
      <c r="Y32" s="1139">
        <v>2</v>
      </c>
      <c r="Z32" s="1145">
        <v>8</v>
      </c>
      <c r="AA32" s="1139">
        <v>1</v>
      </c>
      <c r="AB32" s="1145"/>
      <c r="AC32" s="2713">
        <f>SUM(Y32:AB32)</f>
        <v>11</v>
      </c>
      <c r="AD32" s="2714">
        <f t="shared" si="3"/>
        <v>0.1</v>
      </c>
      <c r="AE32" s="2550"/>
      <c r="AF32" s="1139">
        <v>1</v>
      </c>
      <c r="AG32" s="1145">
        <v>8</v>
      </c>
      <c r="AH32" s="1139">
        <v>1</v>
      </c>
      <c r="AI32" s="1145"/>
      <c r="AJ32" s="2713">
        <f t="shared" si="11"/>
        <v>10</v>
      </c>
      <c r="AK32" s="2714">
        <f t="shared" si="4"/>
        <v>0.1111111111111111</v>
      </c>
      <c r="AL32" s="2550"/>
      <c r="AM32" s="1139">
        <v>1</v>
      </c>
      <c r="AN32" s="1145">
        <v>9</v>
      </c>
      <c r="AO32" s="1139">
        <v>2</v>
      </c>
      <c r="AP32" s="1145"/>
      <c r="AQ32" s="2713">
        <f t="shared" si="12"/>
        <v>12</v>
      </c>
      <c r="AR32" s="2714">
        <f t="shared" si="5"/>
        <v>0.2</v>
      </c>
      <c r="AS32" s="2550"/>
      <c r="AT32" s="1139">
        <v>2</v>
      </c>
      <c r="AU32" s="1145">
        <v>8</v>
      </c>
      <c r="AV32" s="1139">
        <v>3</v>
      </c>
      <c r="AW32" s="1145"/>
      <c r="AX32" s="2713">
        <f t="shared" si="21"/>
        <v>13</v>
      </c>
      <c r="AY32" s="2714">
        <f t="shared" si="6"/>
        <v>0.3</v>
      </c>
      <c r="AZ32" s="2550"/>
      <c r="BA32" s="1139">
        <v>1</v>
      </c>
      <c r="BB32" s="1145">
        <v>6</v>
      </c>
      <c r="BC32" s="1139">
        <v>3</v>
      </c>
      <c r="BD32" s="1145"/>
      <c r="BE32" s="2713">
        <f>SUM(BA32:BD32)</f>
        <v>10</v>
      </c>
      <c r="BF32" s="2714">
        <f t="shared" si="7"/>
        <v>0.42857142857142855</v>
      </c>
      <c r="BG32" s="2550"/>
      <c r="BH32" s="1139"/>
      <c r="BI32" s="1145">
        <v>5</v>
      </c>
      <c r="BJ32" s="1139">
        <v>2</v>
      </c>
      <c r="BK32" s="1145"/>
      <c r="BL32" s="2713">
        <v>7</v>
      </c>
      <c r="BM32" s="2714">
        <f t="shared" si="8"/>
        <v>0.4</v>
      </c>
      <c r="BO32" s="1139"/>
      <c r="BP32" s="1145">
        <v>6</v>
      </c>
      <c r="BQ32" s="1139">
        <v>2</v>
      </c>
      <c r="BR32" s="1145"/>
      <c r="BS32" s="2713">
        <v>8</v>
      </c>
      <c r="BT32" s="2714">
        <f t="shared" si="9"/>
        <v>0.33333333333333331</v>
      </c>
      <c r="BV32" s="1139"/>
      <c r="BW32" s="1145">
        <v>6</v>
      </c>
      <c r="BX32" s="1139">
        <v>2</v>
      </c>
      <c r="BY32" s="1145"/>
      <c r="BZ32" s="2713">
        <v>8</v>
      </c>
      <c r="CA32" s="2714">
        <f t="shared" si="10"/>
        <v>0.33333333333333331</v>
      </c>
    </row>
    <row r="33" spans="1:79" ht="17.100000000000001" customHeight="1" thickBot="1">
      <c r="A33" s="1166" t="s">
        <v>72</v>
      </c>
      <c r="B33" s="1147" t="s">
        <v>16</v>
      </c>
      <c r="C33" s="2682" t="s">
        <v>813</v>
      </c>
      <c r="D33" s="1139">
        <v>2</v>
      </c>
      <c r="E33" s="1139">
        <v>9</v>
      </c>
      <c r="F33" s="1139">
        <v>3</v>
      </c>
      <c r="G33" s="1145"/>
      <c r="H33" s="2713">
        <f>SUM(D33:G33)</f>
        <v>14</v>
      </c>
      <c r="I33" s="2714">
        <f t="shared" si="0"/>
        <v>0.27272727272727271</v>
      </c>
      <c r="J33" s="2550"/>
      <c r="K33" s="1139">
        <v>2</v>
      </c>
      <c r="L33" s="1139">
        <v>10</v>
      </c>
      <c r="M33" s="1139">
        <v>3</v>
      </c>
      <c r="N33" s="1145"/>
      <c r="O33" s="2713">
        <f>SUM(K33:N33)</f>
        <v>15</v>
      </c>
      <c r="P33" s="2714">
        <f t="shared" si="1"/>
        <v>0.25</v>
      </c>
      <c r="Q33" s="2550"/>
      <c r="R33" s="1139">
        <v>3</v>
      </c>
      <c r="S33" s="1139">
        <v>11</v>
      </c>
      <c r="T33" s="1139">
        <v>3</v>
      </c>
      <c r="U33" s="1145"/>
      <c r="V33" s="2713">
        <f>SUM(R33:U33)</f>
        <v>17</v>
      </c>
      <c r="W33" s="2714">
        <f t="shared" si="2"/>
        <v>0.21428571428571427</v>
      </c>
      <c r="X33" s="2550"/>
      <c r="Y33" s="1139">
        <v>3</v>
      </c>
      <c r="Z33" s="1139">
        <v>16</v>
      </c>
      <c r="AA33" s="1139">
        <v>3</v>
      </c>
      <c r="AB33" s="1145"/>
      <c r="AC33" s="2713">
        <f>SUM(Y33:AB33)</f>
        <v>22</v>
      </c>
      <c r="AD33" s="2714">
        <f t="shared" si="3"/>
        <v>0.15789473684210525</v>
      </c>
      <c r="AE33" s="2550"/>
      <c r="AF33" s="1139">
        <v>3</v>
      </c>
      <c r="AG33" s="1139">
        <v>15</v>
      </c>
      <c r="AH33" s="1139">
        <v>4</v>
      </c>
      <c r="AI33" s="1145"/>
      <c r="AJ33" s="2713">
        <f t="shared" si="11"/>
        <v>22</v>
      </c>
      <c r="AK33" s="2714">
        <f t="shared" si="4"/>
        <v>0.22222222222222221</v>
      </c>
      <c r="AL33" s="2550"/>
      <c r="AM33" s="1139">
        <v>2</v>
      </c>
      <c r="AN33" s="1139">
        <v>15</v>
      </c>
      <c r="AO33" s="1139">
        <v>4</v>
      </c>
      <c r="AP33" s="1145"/>
      <c r="AQ33" s="2713">
        <f t="shared" si="12"/>
        <v>21</v>
      </c>
      <c r="AR33" s="2714">
        <f t="shared" si="5"/>
        <v>0.23529411764705882</v>
      </c>
      <c r="AS33" s="2550"/>
      <c r="AT33" s="1139">
        <v>3</v>
      </c>
      <c r="AU33" s="1139">
        <v>18</v>
      </c>
      <c r="AV33" s="1139">
        <v>4</v>
      </c>
      <c r="AW33" s="1145"/>
      <c r="AX33" s="2713">
        <f t="shared" si="21"/>
        <v>25</v>
      </c>
      <c r="AY33" s="2714">
        <f t="shared" si="6"/>
        <v>0.19047619047619047</v>
      </c>
      <c r="AZ33" s="2550"/>
      <c r="BA33" s="1139">
        <v>4</v>
      </c>
      <c r="BB33" s="1139">
        <v>14</v>
      </c>
      <c r="BC33" s="1139">
        <v>4</v>
      </c>
      <c r="BD33" s="1145">
        <v>1</v>
      </c>
      <c r="BE33" s="2713">
        <f>SUM(BA33:BD33)</f>
        <v>23</v>
      </c>
      <c r="BF33" s="2714">
        <f t="shared" si="7"/>
        <v>0.27777777777777779</v>
      </c>
      <c r="BG33" s="2550"/>
      <c r="BH33" s="1139">
        <v>4</v>
      </c>
      <c r="BI33" s="1139">
        <v>13</v>
      </c>
      <c r="BJ33" s="1139">
        <v>4</v>
      </c>
      <c r="BK33" s="1145">
        <v>1</v>
      </c>
      <c r="BL33" s="2713">
        <v>22</v>
      </c>
      <c r="BM33" s="2714">
        <f t="shared" si="8"/>
        <v>0.29411764705882354</v>
      </c>
      <c r="BO33" s="1139">
        <v>2</v>
      </c>
      <c r="BP33" s="1139">
        <v>13</v>
      </c>
      <c r="BQ33" s="1139">
        <v>5</v>
      </c>
      <c r="BR33" s="1145">
        <v>1</v>
      </c>
      <c r="BS33" s="2713">
        <v>21</v>
      </c>
      <c r="BT33" s="2714">
        <f t="shared" si="9"/>
        <v>0.4</v>
      </c>
      <c r="BV33" s="1139">
        <v>1</v>
      </c>
      <c r="BW33" s="1139">
        <v>13</v>
      </c>
      <c r="BX33" s="1139">
        <v>5</v>
      </c>
      <c r="BY33" s="1145">
        <v>1</v>
      </c>
      <c r="BZ33" s="2713">
        <v>20</v>
      </c>
      <c r="CA33" s="2714">
        <f t="shared" si="10"/>
        <v>0.42857142857142855</v>
      </c>
    </row>
    <row r="34" spans="1:79" ht="17.100000000000001" customHeight="1">
      <c r="A34" s="5983" t="s">
        <v>1594</v>
      </c>
      <c r="B34" s="5984"/>
      <c r="C34" s="5984"/>
      <c r="D34" s="1141">
        <f>SUM(D31:D33)</f>
        <v>11</v>
      </c>
      <c r="E34" s="1141">
        <f>SUM(E31:E33)</f>
        <v>22</v>
      </c>
      <c r="F34" s="1141">
        <f>SUM(F31:F33)</f>
        <v>5</v>
      </c>
      <c r="G34" s="1141">
        <f>SUM(G31:G33)</f>
        <v>1</v>
      </c>
      <c r="H34" s="2724">
        <f>SUM(H31:H33)</f>
        <v>39</v>
      </c>
      <c r="I34" s="2716">
        <f t="shared" si="0"/>
        <v>0.18181818181818182</v>
      </c>
      <c r="J34" s="2550"/>
      <c r="K34" s="1141">
        <f>SUM(K31:K33)</f>
        <v>13</v>
      </c>
      <c r="L34" s="1141">
        <f>SUM(L31:L33)</f>
        <v>23</v>
      </c>
      <c r="M34" s="1141">
        <f>SUM(M31:M33)</f>
        <v>6</v>
      </c>
      <c r="N34" s="1141">
        <f>SUM(N31:N33)</f>
        <v>1</v>
      </c>
      <c r="O34" s="2724">
        <f>SUM(O31:O33)</f>
        <v>43</v>
      </c>
      <c r="P34" s="2716">
        <f t="shared" si="1"/>
        <v>0.19444444444444445</v>
      </c>
      <c r="Q34" s="2550"/>
      <c r="R34" s="1141">
        <f>SUM(R31:R33)</f>
        <v>8</v>
      </c>
      <c r="S34" s="1141">
        <f>SUM(S31:S33)</f>
        <v>27</v>
      </c>
      <c r="T34" s="1141">
        <f>SUM(T31:T33)</f>
        <v>7</v>
      </c>
      <c r="U34" s="1141">
        <f>SUM(U31:U33)</f>
        <v>0</v>
      </c>
      <c r="V34" s="2724">
        <f>SUM(V31:V33)</f>
        <v>42</v>
      </c>
      <c r="W34" s="2716">
        <f t="shared" si="2"/>
        <v>0.2</v>
      </c>
      <c r="X34" s="2550"/>
      <c r="Y34" s="1141">
        <f>SUM(Y31:Y33)</f>
        <v>6</v>
      </c>
      <c r="Z34" s="1141">
        <f>SUM(Z31:Z33)</f>
        <v>33</v>
      </c>
      <c r="AA34" s="1141">
        <f>SUM(AA31:AA33)</f>
        <v>7</v>
      </c>
      <c r="AB34" s="1141">
        <f>SUM(AB31:AB33)</f>
        <v>0</v>
      </c>
      <c r="AC34" s="2724">
        <f>SUM(AC31:AC33)</f>
        <v>46</v>
      </c>
      <c r="AD34" s="2716">
        <f t="shared" si="3"/>
        <v>0.17948717948717949</v>
      </c>
      <c r="AE34" s="2550"/>
      <c r="AF34" s="1141">
        <f>SUM(AF31:AF33)</f>
        <v>6</v>
      </c>
      <c r="AG34" s="1141">
        <f>SUM(AG31:AG33)</f>
        <v>30</v>
      </c>
      <c r="AH34" s="1141">
        <f>SUM(AH31:AH33)</f>
        <v>8</v>
      </c>
      <c r="AI34" s="1141">
        <f>SUM(AI31:AI33)</f>
        <v>0</v>
      </c>
      <c r="AJ34" s="2724">
        <f t="shared" si="11"/>
        <v>44</v>
      </c>
      <c r="AK34" s="2716">
        <f t="shared" si="4"/>
        <v>0.22222222222222221</v>
      </c>
      <c r="AL34" s="2550"/>
      <c r="AM34" s="1141">
        <v>6</v>
      </c>
      <c r="AN34" s="1141">
        <v>34</v>
      </c>
      <c r="AO34" s="1141">
        <v>9</v>
      </c>
      <c r="AP34" s="1141">
        <v>0</v>
      </c>
      <c r="AQ34" s="2724">
        <f t="shared" si="12"/>
        <v>49</v>
      </c>
      <c r="AR34" s="2716">
        <f t="shared" si="5"/>
        <v>0.22500000000000001</v>
      </c>
      <c r="AS34" s="2550"/>
      <c r="AT34" s="1141">
        <f>SUM(AT31:AT33)</f>
        <v>8</v>
      </c>
      <c r="AU34" s="1141">
        <f>SUM(AU31:AU33)</f>
        <v>36</v>
      </c>
      <c r="AV34" s="1141">
        <f>SUM(AV31:AV33)</f>
        <v>11</v>
      </c>
      <c r="AW34" s="1141">
        <f>SUM(AW31:AW33)</f>
        <v>0</v>
      </c>
      <c r="AX34" s="2724">
        <f>SUM(AX31:AX33)</f>
        <v>55</v>
      </c>
      <c r="AY34" s="2716">
        <f t="shared" si="6"/>
        <v>0.25</v>
      </c>
      <c r="AZ34" s="2550"/>
      <c r="BA34" s="1141">
        <v>10</v>
      </c>
      <c r="BB34" s="1141">
        <v>31</v>
      </c>
      <c r="BC34" s="1141">
        <v>10</v>
      </c>
      <c r="BD34" s="1141">
        <v>1</v>
      </c>
      <c r="BE34" s="2724">
        <f>SUM(BE31:BE33)</f>
        <v>52</v>
      </c>
      <c r="BF34" s="2716">
        <f t="shared" si="7"/>
        <v>0.26829268292682928</v>
      </c>
      <c r="BG34" s="2550"/>
      <c r="BH34" s="1141">
        <v>6</v>
      </c>
      <c r="BI34" s="1141">
        <v>28</v>
      </c>
      <c r="BJ34" s="1141">
        <v>9</v>
      </c>
      <c r="BK34" s="1141">
        <v>1</v>
      </c>
      <c r="BL34" s="2724">
        <v>44</v>
      </c>
      <c r="BM34" s="2716">
        <f t="shared" si="8"/>
        <v>0.29411764705882354</v>
      </c>
      <c r="BO34" s="1141">
        <v>5</v>
      </c>
      <c r="BP34" s="1141">
        <v>28</v>
      </c>
      <c r="BQ34" s="1141">
        <v>10</v>
      </c>
      <c r="BR34" s="1141">
        <v>1</v>
      </c>
      <c r="BS34" s="2724">
        <v>44</v>
      </c>
      <c r="BT34" s="2716">
        <f t="shared" si="9"/>
        <v>0.33333333333333331</v>
      </c>
      <c r="BV34" s="1141">
        <f>SUM(BV31:BV33)</f>
        <v>4</v>
      </c>
      <c r="BW34" s="1141">
        <f t="shared" ref="BW34:BZ34" si="24">SUM(BW31:BW33)</f>
        <v>28</v>
      </c>
      <c r="BX34" s="1141">
        <f t="shared" si="24"/>
        <v>10</v>
      </c>
      <c r="BY34" s="1141">
        <f t="shared" si="24"/>
        <v>1</v>
      </c>
      <c r="BZ34" s="1141">
        <f t="shared" si="24"/>
        <v>43</v>
      </c>
      <c r="CA34" s="2716">
        <f t="shared" si="10"/>
        <v>0.34375</v>
      </c>
    </row>
    <row r="35" spans="1:79" ht="17.100000000000001" customHeight="1">
      <c r="A35" s="5991" t="s">
        <v>1021</v>
      </c>
      <c r="B35" s="5992"/>
      <c r="C35" s="5992"/>
      <c r="D35" s="2594">
        <f>SUM(D34,D30,D26)</f>
        <v>27</v>
      </c>
      <c r="E35" s="2594">
        <f>SUM(E34,E30,E26)</f>
        <v>54</v>
      </c>
      <c r="F35" s="2594">
        <f>SUM(F34,F30,F26)</f>
        <v>8</v>
      </c>
      <c r="G35" s="2594">
        <f>SUM(G34,G30,G26)</f>
        <v>5</v>
      </c>
      <c r="H35" s="2725">
        <f>SUM(H26,H30,H34)</f>
        <v>94</v>
      </c>
      <c r="I35" s="2726">
        <f t="shared" si="0"/>
        <v>0.16049382716049382</v>
      </c>
      <c r="J35" s="2550"/>
      <c r="K35" s="2594">
        <f>SUM(K34,K30,K26)</f>
        <v>28</v>
      </c>
      <c r="L35" s="2594">
        <f>SUM(L34,L30,L26)</f>
        <v>55</v>
      </c>
      <c r="M35" s="2594">
        <f>SUM(M34,M30,M26)</f>
        <v>9</v>
      </c>
      <c r="N35" s="2594">
        <f>SUM(N34,N30,N26)</f>
        <v>5</v>
      </c>
      <c r="O35" s="2725">
        <f>SUM(O26,O30,O34)</f>
        <v>97</v>
      </c>
      <c r="P35" s="2726">
        <f t="shared" si="1"/>
        <v>0.16867469879518071</v>
      </c>
      <c r="Q35" s="2550"/>
      <c r="R35" s="2594">
        <f>SUM(R34,R30,R26)</f>
        <v>26</v>
      </c>
      <c r="S35" s="2594">
        <f>SUM(S34,S30,S26)</f>
        <v>65</v>
      </c>
      <c r="T35" s="2594">
        <f>SUM(T34,T30,T26)</f>
        <v>11</v>
      </c>
      <c r="U35" s="2594">
        <f>SUM(U34,U30,U26)</f>
        <v>4</v>
      </c>
      <c r="V35" s="2725">
        <f>SUM(V26,V30,V34)</f>
        <v>106</v>
      </c>
      <c r="W35" s="2726">
        <f t="shared" si="2"/>
        <v>0.16483516483516483</v>
      </c>
      <c r="X35" s="2550"/>
      <c r="Y35" s="2594">
        <f>SUM(Y34,Y30,Y26)</f>
        <v>24</v>
      </c>
      <c r="Z35" s="2594">
        <f>SUM(Z34,Z30,Z26)</f>
        <v>76</v>
      </c>
      <c r="AA35" s="2594">
        <f>SUM(AA34,AA30,AA26)</f>
        <v>11</v>
      </c>
      <c r="AB35" s="2594">
        <f>SUM(AB34,AB30,AB26)</f>
        <v>4</v>
      </c>
      <c r="AC35" s="2725">
        <f>SUM(AC26,AC30,AC34)</f>
        <v>115</v>
      </c>
      <c r="AD35" s="2726">
        <f t="shared" si="3"/>
        <v>0.15</v>
      </c>
      <c r="AE35" s="2550"/>
      <c r="AF35" s="2594">
        <f>SUM(AF34,AF30,AF26)</f>
        <v>19</v>
      </c>
      <c r="AG35" s="2594">
        <f>SUM(AG34,AG30,AG26)</f>
        <v>78</v>
      </c>
      <c r="AH35" s="2594">
        <f>SUM(AH34,AH30,AH26)</f>
        <v>14</v>
      </c>
      <c r="AI35" s="2594">
        <f>SUM(AI34,AI30,AI26)</f>
        <v>4</v>
      </c>
      <c r="AJ35" s="2725">
        <f t="shared" si="11"/>
        <v>115</v>
      </c>
      <c r="AK35" s="2726">
        <f t="shared" si="4"/>
        <v>0.18556701030927836</v>
      </c>
      <c r="AL35" s="2550"/>
      <c r="AM35" s="2594">
        <v>16</v>
      </c>
      <c r="AN35" s="2594">
        <v>82</v>
      </c>
      <c r="AO35" s="2594">
        <v>15</v>
      </c>
      <c r="AP35" s="2594">
        <v>5</v>
      </c>
      <c r="AQ35" s="2725">
        <f t="shared" si="12"/>
        <v>118</v>
      </c>
      <c r="AR35" s="2726">
        <f t="shared" si="5"/>
        <v>0.20408163265306123</v>
      </c>
      <c r="AS35" s="2550"/>
      <c r="AT35" s="2594">
        <f>SUM(AT26,AT30,AT34)</f>
        <v>16</v>
      </c>
      <c r="AU35" s="2594">
        <f>SUM(AU26,AU30,AU34)</f>
        <v>83</v>
      </c>
      <c r="AV35" s="2594">
        <f>SUM(AV26,AV30,AV34)</f>
        <v>19</v>
      </c>
      <c r="AW35" s="2594">
        <f>SUM(AW26,AW30,AW34)</f>
        <v>5</v>
      </c>
      <c r="AX35" s="2725">
        <f>SUM(AX26,AX30,AX34)</f>
        <v>123</v>
      </c>
      <c r="AY35" s="2726">
        <f t="shared" si="6"/>
        <v>0.24242424242424243</v>
      </c>
      <c r="AZ35" s="2550"/>
      <c r="BA35" s="2594">
        <v>22</v>
      </c>
      <c r="BB35" s="2594">
        <v>70</v>
      </c>
      <c r="BC35" s="2594">
        <v>20</v>
      </c>
      <c r="BD35" s="2594">
        <v>6</v>
      </c>
      <c r="BE35" s="2725">
        <f>SUM(BE26,BE30,BE34)</f>
        <v>118</v>
      </c>
      <c r="BF35" s="2726">
        <f t="shared" si="7"/>
        <v>0.28260869565217389</v>
      </c>
      <c r="BG35" s="2550"/>
      <c r="BH35" s="2594">
        <v>27</v>
      </c>
      <c r="BI35" s="2594">
        <v>66</v>
      </c>
      <c r="BJ35" s="2594">
        <v>18</v>
      </c>
      <c r="BK35" s="2594">
        <v>7</v>
      </c>
      <c r="BL35" s="2725">
        <v>118</v>
      </c>
      <c r="BM35" s="2726">
        <f t="shared" si="8"/>
        <v>0.26881720430107525</v>
      </c>
      <c r="BO35" s="2594">
        <v>22</v>
      </c>
      <c r="BP35" s="2594">
        <v>73</v>
      </c>
      <c r="BQ35" s="2594">
        <v>20</v>
      </c>
      <c r="BR35" s="2594">
        <v>7</v>
      </c>
      <c r="BS35" s="2725">
        <v>122</v>
      </c>
      <c r="BT35" s="2726">
        <f t="shared" si="9"/>
        <v>0.28421052631578947</v>
      </c>
      <c r="BV35" s="2594">
        <f>SUM(BV26,BV30,BV34)</f>
        <v>17</v>
      </c>
      <c r="BW35" s="2594">
        <f t="shared" ref="BW35:BZ35" si="25">SUM(BW26,BW30,BW34)</f>
        <v>70</v>
      </c>
      <c r="BX35" s="2594">
        <f t="shared" si="25"/>
        <v>20</v>
      </c>
      <c r="BY35" s="2594">
        <f t="shared" si="25"/>
        <v>7</v>
      </c>
      <c r="BZ35" s="2594">
        <f t="shared" si="25"/>
        <v>114</v>
      </c>
      <c r="CA35" s="2726">
        <f t="shared" si="10"/>
        <v>0.31034482758620691</v>
      </c>
    </row>
    <row r="36" spans="1:79" ht="17.100000000000001" customHeight="1">
      <c r="A36" s="1161" t="s">
        <v>73</v>
      </c>
      <c r="B36" s="1143" t="s">
        <v>4</v>
      </c>
      <c r="C36" s="2679" t="s">
        <v>1120</v>
      </c>
      <c r="D36" s="1138"/>
      <c r="E36" s="1138">
        <v>16</v>
      </c>
      <c r="F36" s="1138">
        <v>16</v>
      </c>
      <c r="G36" s="1138">
        <v>11</v>
      </c>
      <c r="H36" s="2727">
        <f>SUM(D36:G36)</f>
        <v>43</v>
      </c>
      <c r="I36" s="2714">
        <f t="shared" si="0"/>
        <v>1.6875</v>
      </c>
      <c r="J36" s="2550"/>
      <c r="K36" s="1138">
        <v>1</v>
      </c>
      <c r="L36" s="1138">
        <v>16</v>
      </c>
      <c r="M36" s="1138">
        <v>16</v>
      </c>
      <c r="N36" s="1138">
        <v>11</v>
      </c>
      <c r="O36" s="2727">
        <f>SUM(K36:N36)</f>
        <v>44</v>
      </c>
      <c r="P36" s="2714">
        <f t="shared" si="1"/>
        <v>1.588235294117647</v>
      </c>
      <c r="Q36" s="2550"/>
      <c r="R36" s="1138">
        <v>2</v>
      </c>
      <c r="S36" s="1138">
        <v>16</v>
      </c>
      <c r="T36" s="1138">
        <v>15</v>
      </c>
      <c r="U36" s="1138">
        <v>11</v>
      </c>
      <c r="V36" s="2727">
        <f>SUM(R36:U36)</f>
        <v>44</v>
      </c>
      <c r="W36" s="2714">
        <f t="shared" si="2"/>
        <v>1.4444444444444444</v>
      </c>
      <c r="X36" s="2550"/>
      <c r="Y36" s="1138">
        <v>3</v>
      </c>
      <c r="Z36" s="1138">
        <v>16</v>
      </c>
      <c r="AA36" s="1138">
        <v>17</v>
      </c>
      <c r="AB36" s="1138">
        <v>12</v>
      </c>
      <c r="AC36" s="2727">
        <f>SUM(Y36:AB36)</f>
        <v>48</v>
      </c>
      <c r="AD36" s="2714">
        <f t="shared" si="3"/>
        <v>1.5263157894736843</v>
      </c>
      <c r="AE36" s="2550"/>
      <c r="AF36" s="1138">
        <v>6</v>
      </c>
      <c r="AG36" s="1138">
        <v>16</v>
      </c>
      <c r="AH36" s="1138">
        <v>18</v>
      </c>
      <c r="AI36" s="1138">
        <v>13</v>
      </c>
      <c r="AJ36" s="2727">
        <f t="shared" si="11"/>
        <v>53</v>
      </c>
      <c r="AK36" s="2714">
        <v>1</v>
      </c>
      <c r="AL36" s="2550"/>
      <c r="AM36" s="1138">
        <v>8</v>
      </c>
      <c r="AN36" s="1138">
        <v>17</v>
      </c>
      <c r="AO36" s="1138">
        <v>16</v>
      </c>
      <c r="AP36" s="1138">
        <v>13</v>
      </c>
      <c r="AQ36" s="2727">
        <f t="shared" si="12"/>
        <v>54</v>
      </c>
      <c r="AR36" s="2714">
        <v>1</v>
      </c>
      <c r="AS36" s="2550"/>
      <c r="AT36" s="1138">
        <v>8</v>
      </c>
      <c r="AU36" s="1138">
        <v>21</v>
      </c>
      <c r="AV36" s="1138">
        <v>17</v>
      </c>
      <c r="AW36" s="1138">
        <v>13</v>
      </c>
      <c r="AX36" s="2727">
        <f>SUM(AT36:AW36)</f>
        <v>59</v>
      </c>
      <c r="AY36" s="2714">
        <v>1</v>
      </c>
      <c r="AZ36" s="2550"/>
      <c r="BA36" s="1138">
        <v>7</v>
      </c>
      <c r="BB36" s="1138">
        <v>15</v>
      </c>
      <c r="BC36" s="1138">
        <v>17</v>
      </c>
      <c r="BD36" s="1138">
        <v>13</v>
      </c>
      <c r="BE36" s="2727">
        <f>SUM(BA36:BD36)</f>
        <v>52</v>
      </c>
      <c r="BF36" s="2714">
        <v>1</v>
      </c>
      <c r="BG36" s="2550"/>
      <c r="BH36" s="1138">
        <v>2</v>
      </c>
      <c r="BI36" s="1138">
        <v>15</v>
      </c>
      <c r="BJ36" s="1138">
        <v>18</v>
      </c>
      <c r="BK36" s="1138">
        <v>13</v>
      </c>
      <c r="BL36" s="2727">
        <v>48</v>
      </c>
      <c r="BM36" s="2714">
        <v>1</v>
      </c>
      <c r="BO36" s="1138">
        <v>6</v>
      </c>
      <c r="BP36" s="1138">
        <v>17</v>
      </c>
      <c r="BQ36" s="1138">
        <v>16</v>
      </c>
      <c r="BR36" s="1138">
        <v>14</v>
      </c>
      <c r="BS36" s="2727">
        <v>53</v>
      </c>
      <c r="BT36" s="2714">
        <v>1</v>
      </c>
      <c r="BV36" s="1138">
        <v>6</v>
      </c>
      <c r="BW36" s="1138">
        <v>17</v>
      </c>
      <c r="BX36" s="1138">
        <v>16</v>
      </c>
      <c r="BY36" s="1138">
        <v>14</v>
      </c>
      <c r="BZ36" s="2727">
        <v>53</v>
      </c>
      <c r="CA36" s="2714">
        <v>1</v>
      </c>
    </row>
    <row r="37" spans="1:79" ht="17.100000000000001" customHeight="1">
      <c r="A37" s="1161" t="s">
        <v>73</v>
      </c>
      <c r="B37" s="1144" t="s">
        <v>4</v>
      </c>
      <c r="C37" s="2680" t="s">
        <v>1121</v>
      </c>
      <c r="D37" s="1139">
        <v>1</v>
      </c>
      <c r="E37" s="1139">
        <v>10</v>
      </c>
      <c r="F37" s="1139">
        <v>5</v>
      </c>
      <c r="G37" s="1139">
        <v>5</v>
      </c>
      <c r="H37" s="2717">
        <f>SUM(D37:G37)</f>
        <v>21</v>
      </c>
      <c r="I37" s="2714">
        <f t="shared" si="0"/>
        <v>0.90909090909090906</v>
      </c>
      <c r="J37" s="2550"/>
      <c r="K37" s="1139">
        <v>1</v>
      </c>
      <c r="L37" s="1139">
        <v>10</v>
      </c>
      <c r="M37" s="1139">
        <v>5</v>
      </c>
      <c r="N37" s="1139">
        <v>5</v>
      </c>
      <c r="O37" s="2717">
        <f>SUM(K37:N37)</f>
        <v>21</v>
      </c>
      <c r="P37" s="2714">
        <f t="shared" si="1"/>
        <v>0.90909090909090906</v>
      </c>
      <c r="Q37" s="2550"/>
      <c r="R37" s="1139">
        <v>3</v>
      </c>
      <c r="S37" s="1139">
        <v>13</v>
      </c>
      <c r="T37" s="1139">
        <v>5</v>
      </c>
      <c r="U37" s="1139">
        <v>5</v>
      </c>
      <c r="V37" s="2717">
        <f>SUM(R37:U37)</f>
        <v>26</v>
      </c>
      <c r="W37" s="2714">
        <f t="shared" si="2"/>
        <v>0.625</v>
      </c>
      <c r="X37" s="2550"/>
      <c r="Y37" s="1139">
        <v>1</v>
      </c>
      <c r="Z37" s="1139">
        <v>16</v>
      </c>
      <c r="AA37" s="1139">
        <v>5</v>
      </c>
      <c r="AB37" s="1139">
        <v>6</v>
      </c>
      <c r="AC37" s="2717">
        <f>SUM(Y37:AB37)</f>
        <v>28</v>
      </c>
      <c r="AD37" s="2714">
        <f t="shared" si="3"/>
        <v>0.6470588235294118</v>
      </c>
      <c r="AE37" s="2550"/>
      <c r="AF37" s="1139"/>
      <c r="AG37" s="1139">
        <v>16</v>
      </c>
      <c r="AH37" s="1139">
        <v>4</v>
      </c>
      <c r="AI37" s="1139">
        <v>7</v>
      </c>
      <c r="AJ37" s="2717">
        <f t="shared" si="11"/>
        <v>27</v>
      </c>
      <c r="AK37" s="2714">
        <f t="shared" si="4"/>
        <v>0.6875</v>
      </c>
      <c r="AL37" s="2550"/>
      <c r="AM37" s="1139">
        <v>1</v>
      </c>
      <c r="AN37" s="1139">
        <v>16</v>
      </c>
      <c r="AO37" s="1139">
        <v>4</v>
      </c>
      <c r="AP37" s="1139">
        <v>7</v>
      </c>
      <c r="AQ37" s="2717">
        <f t="shared" si="12"/>
        <v>28</v>
      </c>
      <c r="AR37" s="2714">
        <f t="shared" si="5"/>
        <v>0.6470588235294118</v>
      </c>
      <c r="AS37" s="2550"/>
      <c r="AT37" s="1139">
        <v>3</v>
      </c>
      <c r="AU37" s="1139">
        <v>16</v>
      </c>
      <c r="AV37" s="1139">
        <v>4</v>
      </c>
      <c r="AW37" s="1139">
        <v>7</v>
      </c>
      <c r="AX37" s="2717">
        <f t="shared" ref="AX37:AX51" si="26">SUM(AT37:AW37)</f>
        <v>30</v>
      </c>
      <c r="AY37" s="2714">
        <f t="shared" ref="AY37:AY47" si="27">(AV37+AW37)/(AT37+AU37)</f>
        <v>0.57894736842105265</v>
      </c>
      <c r="AZ37" s="2550"/>
      <c r="BA37" s="1139">
        <v>3</v>
      </c>
      <c r="BB37" s="1139">
        <v>18</v>
      </c>
      <c r="BC37" s="1139">
        <v>4</v>
      </c>
      <c r="BD37" s="1139">
        <v>7</v>
      </c>
      <c r="BE37" s="2717">
        <f>SUM(BA37:BD37)</f>
        <v>32</v>
      </c>
      <c r="BF37" s="2714">
        <f t="shared" ref="BF37:BF47" si="28">(BC37+BD37)/(BA37+BB37)</f>
        <v>0.52380952380952384</v>
      </c>
      <c r="BG37" s="2550"/>
      <c r="BH37" s="1139">
        <v>3</v>
      </c>
      <c r="BI37" s="1139">
        <v>16</v>
      </c>
      <c r="BJ37" s="1139">
        <v>4</v>
      </c>
      <c r="BK37" s="1139">
        <v>7</v>
      </c>
      <c r="BL37" s="2717">
        <v>30</v>
      </c>
      <c r="BM37" s="2714">
        <f t="shared" ref="BM37:BM47" si="29">(BJ37+BK37)/(BH37+BI37)</f>
        <v>0.57894736842105265</v>
      </c>
      <c r="BO37" s="1139">
        <v>2</v>
      </c>
      <c r="BP37" s="1139">
        <v>13</v>
      </c>
      <c r="BQ37" s="1139">
        <v>6</v>
      </c>
      <c r="BR37" s="1139">
        <v>7</v>
      </c>
      <c r="BS37" s="2717">
        <v>28</v>
      </c>
      <c r="BT37" s="2714">
        <f t="shared" ref="BT37:BT47" si="30">(BQ37+BR37)/(BO37+BP37)</f>
        <v>0.8666666666666667</v>
      </c>
      <c r="BV37" s="1139">
        <v>4</v>
      </c>
      <c r="BW37" s="1139">
        <v>15</v>
      </c>
      <c r="BX37" s="1139">
        <v>6</v>
      </c>
      <c r="BY37" s="1139">
        <v>7</v>
      </c>
      <c r="BZ37" s="2717">
        <v>32</v>
      </c>
      <c r="CA37" s="2714">
        <f t="shared" ref="CA37:CA47" si="31">(BX37+BY37)/(BV37+BW37)</f>
        <v>0.68421052631578949</v>
      </c>
    </row>
    <row r="38" spans="1:79" ht="17.100000000000001" customHeight="1">
      <c r="A38" s="1161" t="s">
        <v>73</v>
      </c>
      <c r="B38" s="1144" t="s">
        <v>4</v>
      </c>
      <c r="C38" s="2680" t="s">
        <v>1122</v>
      </c>
      <c r="D38" s="1139">
        <v>3</v>
      </c>
      <c r="E38" s="1139">
        <v>7</v>
      </c>
      <c r="F38" s="1139">
        <v>4</v>
      </c>
      <c r="G38" s="1139"/>
      <c r="H38" s="2717">
        <f>SUM(D38:G38)</f>
        <v>14</v>
      </c>
      <c r="I38" s="2714">
        <f t="shared" si="0"/>
        <v>0.4</v>
      </c>
      <c r="J38" s="2550"/>
      <c r="K38" s="1139">
        <v>2</v>
      </c>
      <c r="L38" s="1139">
        <v>7</v>
      </c>
      <c r="M38" s="1139">
        <v>4</v>
      </c>
      <c r="N38" s="1139"/>
      <c r="O38" s="2717">
        <f>SUM(K38:N38)</f>
        <v>13</v>
      </c>
      <c r="P38" s="2714">
        <f t="shared" si="1"/>
        <v>0.44444444444444442</v>
      </c>
      <c r="Q38" s="2550"/>
      <c r="R38" s="1139">
        <v>3</v>
      </c>
      <c r="S38" s="1139">
        <v>6</v>
      </c>
      <c r="T38" s="1139">
        <v>3</v>
      </c>
      <c r="U38" s="1139">
        <v>1</v>
      </c>
      <c r="V38" s="2717">
        <f>SUM(R38:U38)</f>
        <v>13</v>
      </c>
      <c r="W38" s="2714">
        <f t="shared" si="2"/>
        <v>0.44444444444444442</v>
      </c>
      <c r="X38" s="2550"/>
      <c r="Y38" s="1139">
        <v>2</v>
      </c>
      <c r="Z38" s="1139">
        <v>12</v>
      </c>
      <c r="AA38" s="1139">
        <v>3</v>
      </c>
      <c r="AB38" s="1139">
        <v>1</v>
      </c>
      <c r="AC38" s="2717">
        <f>SUM(Y38:AB38)</f>
        <v>18</v>
      </c>
      <c r="AD38" s="2714">
        <f t="shared" si="3"/>
        <v>0.2857142857142857</v>
      </c>
      <c r="AE38" s="2550"/>
      <c r="AF38" s="1139">
        <v>2</v>
      </c>
      <c r="AG38" s="1139">
        <v>11</v>
      </c>
      <c r="AH38" s="1139">
        <v>3</v>
      </c>
      <c r="AI38" s="1139">
        <v>1</v>
      </c>
      <c r="AJ38" s="2717">
        <f t="shared" si="11"/>
        <v>17</v>
      </c>
      <c r="AK38" s="2714">
        <f t="shared" si="4"/>
        <v>0.30769230769230771</v>
      </c>
      <c r="AL38" s="2550"/>
      <c r="AM38" s="1139">
        <v>2</v>
      </c>
      <c r="AN38" s="1139">
        <v>18</v>
      </c>
      <c r="AO38" s="1139">
        <v>3</v>
      </c>
      <c r="AP38" s="1139">
        <v>1</v>
      </c>
      <c r="AQ38" s="2717">
        <f t="shared" si="12"/>
        <v>24</v>
      </c>
      <c r="AR38" s="2714">
        <f t="shared" si="5"/>
        <v>0.2</v>
      </c>
      <c r="AS38" s="2550"/>
      <c r="AT38" s="1139">
        <v>1</v>
      </c>
      <c r="AU38" s="1139">
        <v>18</v>
      </c>
      <c r="AV38" s="1139">
        <v>3</v>
      </c>
      <c r="AW38" s="1139">
        <v>1</v>
      </c>
      <c r="AX38" s="2717">
        <f t="shared" si="26"/>
        <v>23</v>
      </c>
      <c r="AY38" s="2714">
        <f t="shared" si="27"/>
        <v>0.21052631578947367</v>
      </c>
      <c r="AZ38" s="2550"/>
      <c r="BA38" s="1139"/>
      <c r="BB38" s="1139">
        <v>17</v>
      </c>
      <c r="BC38" s="1139">
        <v>2</v>
      </c>
      <c r="BD38" s="1139">
        <v>2</v>
      </c>
      <c r="BE38" s="2717">
        <f>SUM(BA38:BD38)</f>
        <v>21</v>
      </c>
      <c r="BF38" s="2714">
        <f t="shared" si="28"/>
        <v>0.23529411764705882</v>
      </c>
      <c r="BG38" s="2550"/>
      <c r="BH38" s="1139">
        <v>1</v>
      </c>
      <c r="BI38" s="1139">
        <v>20</v>
      </c>
      <c r="BJ38" s="1139">
        <v>2</v>
      </c>
      <c r="BK38" s="1139">
        <v>2</v>
      </c>
      <c r="BL38" s="2717">
        <v>25</v>
      </c>
      <c r="BM38" s="2714">
        <f t="shared" si="29"/>
        <v>0.19047619047619047</v>
      </c>
      <c r="BO38" s="1139">
        <v>3</v>
      </c>
      <c r="BP38" s="1139">
        <v>20</v>
      </c>
      <c r="BQ38" s="1139">
        <v>2</v>
      </c>
      <c r="BR38" s="1139">
        <v>2</v>
      </c>
      <c r="BS38" s="2717">
        <v>27</v>
      </c>
      <c r="BT38" s="2714">
        <f t="shared" si="30"/>
        <v>0.17391304347826086</v>
      </c>
      <c r="BV38" s="1139">
        <v>3</v>
      </c>
      <c r="BW38" s="1139">
        <v>22</v>
      </c>
      <c r="BX38" s="1139">
        <v>2</v>
      </c>
      <c r="BY38" s="1139">
        <v>2</v>
      </c>
      <c r="BZ38" s="2717">
        <v>29</v>
      </c>
      <c r="CA38" s="2714">
        <f t="shared" si="31"/>
        <v>0.16</v>
      </c>
    </row>
    <row r="39" spans="1:79" ht="17.100000000000001" customHeight="1">
      <c r="A39" s="1161" t="s">
        <v>73</v>
      </c>
      <c r="B39" s="1144" t="s">
        <v>4</v>
      </c>
      <c r="C39" s="2680" t="s">
        <v>1123</v>
      </c>
      <c r="D39" s="1139">
        <v>1</v>
      </c>
      <c r="E39" s="1139">
        <v>20</v>
      </c>
      <c r="F39" s="1139">
        <v>6</v>
      </c>
      <c r="G39" s="1139">
        <v>11</v>
      </c>
      <c r="H39" s="2717">
        <f>SUM(D39:G39)</f>
        <v>38</v>
      </c>
      <c r="I39" s="2714">
        <f t="shared" si="0"/>
        <v>0.80952380952380953</v>
      </c>
      <c r="J39" s="2550"/>
      <c r="K39" s="1139">
        <v>1</v>
      </c>
      <c r="L39" s="1139">
        <v>20</v>
      </c>
      <c r="M39" s="1139">
        <v>6</v>
      </c>
      <c r="N39" s="1139">
        <v>10</v>
      </c>
      <c r="O39" s="2717">
        <f>SUM(K39:N39)</f>
        <v>37</v>
      </c>
      <c r="P39" s="2714">
        <f t="shared" si="1"/>
        <v>0.76190476190476186</v>
      </c>
      <c r="Q39" s="2550"/>
      <c r="R39" s="1139">
        <v>2</v>
      </c>
      <c r="S39" s="1139">
        <v>20</v>
      </c>
      <c r="T39" s="1139">
        <v>6</v>
      </c>
      <c r="U39" s="1139">
        <v>9</v>
      </c>
      <c r="V39" s="2717">
        <f>SUM(R39:U39)</f>
        <v>37</v>
      </c>
      <c r="W39" s="2714">
        <f t="shared" si="2"/>
        <v>0.68181818181818177</v>
      </c>
      <c r="X39" s="2550"/>
      <c r="Y39" s="1139">
        <v>6</v>
      </c>
      <c r="Z39" s="1139">
        <v>16</v>
      </c>
      <c r="AA39" s="1139">
        <v>8</v>
      </c>
      <c r="AB39" s="1139">
        <v>13</v>
      </c>
      <c r="AC39" s="2717">
        <f>SUM(Y39:AB39)</f>
        <v>43</v>
      </c>
      <c r="AD39" s="2714">
        <f t="shared" si="3"/>
        <v>0.95454545454545459</v>
      </c>
      <c r="AE39" s="2550"/>
      <c r="AF39" s="1139">
        <v>8</v>
      </c>
      <c r="AG39" s="1139">
        <v>19</v>
      </c>
      <c r="AH39" s="1139">
        <v>6</v>
      </c>
      <c r="AI39" s="1139">
        <v>12</v>
      </c>
      <c r="AJ39" s="2717">
        <f t="shared" si="11"/>
        <v>45</v>
      </c>
      <c r="AK39" s="2714">
        <f t="shared" si="4"/>
        <v>0.66666666666666663</v>
      </c>
      <c r="AL39" s="2550"/>
      <c r="AM39" s="1139">
        <v>6</v>
      </c>
      <c r="AN39" s="1139">
        <v>19</v>
      </c>
      <c r="AO39" s="1139">
        <v>6</v>
      </c>
      <c r="AP39" s="1139">
        <v>11</v>
      </c>
      <c r="AQ39" s="2717">
        <f t="shared" si="12"/>
        <v>42</v>
      </c>
      <c r="AR39" s="2714">
        <f t="shared" si="5"/>
        <v>0.68</v>
      </c>
      <c r="AS39" s="2550"/>
      <c r="AT39" s="1139">
        <v>4</v>
      </c>
      <c r="AU39" s="1139">
        <v>25</v>
      </c>
      <c r="AV39" s="1139">
        <v>6</v>
      </c>
      <c r="AW39" s="1139">
        <v>11</v>
      </c>
      <c r="AX39" s="2717">
        <f t="shared" si="26"/>
        <v>46</v>
      </c>
      <c r="AY39" s="2714">
        <f t="shared" si="27"/>
        <v>0.58620689655172409</v>
      </c>
      <c r="AZ39" s="2550"/>
      <c r="BA39" s="1139">
        <v>6</v>
      </c>
      <c r="BB39" s="1139">
        <v>23</v>
      </c>
      <c r="BC39" s="1139">
        <v>6</v>
      </c>
      <c r="BD39" s="1139">
        <v>11</v>
      </c>
      <c r="BE39" s="2717">
        <f>SUM(BA39:BD39)</f>
        <v>46</v>
      </c>
      <c r="BF39" s="2714">
        <f t="shared" si="28"/>
        <v>0.58620689655172409</v>
      </c>
      <c r="BG39" s="2550"/>
      <c r="BH39" s="1139">
        <v>7</v>
      </c>
      <c r="BI39" s="1139">
        <v>19</v>
      </c>
      <c r="BJ39" s="1139">
        <v>7</v>
      </c>
      <c r="BK39" s="1139">
        <v>11</v>
      </c>
      <c r="BL39" s="2717">
        <v>44</v>
      </c>
      <c r="BM39" s="2714">
        <f t="shared" si="29"/>
        <v>0.69230769230769229</v>
      </c>
      <c r="BO39" s="1139">
        <v>7</v>
      </c>
      <c r="BP39" s="1139">
        <v>20</v>
      </c>
      <c r="BQ39" s="1139">
        <v>7</v>
      </c>
      <c r="BR39" s="1139">
        <v>10</v>
      </c>
      <c r="BS39" s="2717">
        <v>44</v>
      </c>
      <c r="BT39" s="2714">
        <f t="shared" si="30"/>
        <v>0.62962962962962965</v>
      </c>
      <c r="BV39" s="1139">
        <v>8</v>
      </c>
      <c r="BW39" s="1139">
        <v>19</v>
      </c>
      <c r="BX39" s="1139">
        <v>7</v>
      </c>
      <c r="BY39" s="1139">
        <v>10</v>
      </c>
      <c r="BZ39" s="2717">
        <v>44</v>
      </c>
      <c r="CA39" s="2714">
        <f t="shared" si="31"/>
        <v>0.62962962962962965</v>
      </c>
    </row>
    <row r="40" spans="1:79" ht="17.100000000000001" customHeight="1" thickBot="1">
      <c r="A40" s="1166" t="s">
        <v>73</v>
      </c>
      <c r="B40" s="1147" t="s">
        <v>4</v>
      </c>
      <c r="C40" s="2682" t="s">
        <v>1124</v>
      </c>
      <c r="D40" s="1139">
        <v>3</v>
      </c>
      <c r="E40" s="1139">
        <v>19</v>
      </c>
      <c r="F40" s="1139">
        <v>10</v>
      </c>
      <c r="G40" s="1139">
        <v>15</v>
      </c>
      <c r="H40" s="2717">
        <f>SUM(D40:G40)</f>
        <v>47</v>
      </c>
      <c r="I40" s="2714">
        <f t="shared" si="0"/>
        <v>1.1363636363636365</v>
      </c>
      <c r="J40" s="2550"/>
      <c r="K40" s="1139">
        <v>4</v>
      </c>
      <c r="L40" s="1139">
        <v>18</v>
      </c>
      <c r="M40" s="1139">
        <v>10</v>
      </c>
      <c r="N40" s="1139">
        <v>14</v>
      </c>
      <c r="O40" s="2717">
        <f>SUM(K40:N40)</f>
        <v>46</v>
      </c>
      <c r="P40" s="2714">
        <f t="shared" si="1"/>
        <v>1.0909090909090908</v>
      </c>
      <c r="Q40" s="2550"/>
      <c r="R40" s="1139">
        <v>3</v>
      </c>
      <c r="S40" s="1139">
        <v>19</v>
      </c>
      <c r="T40" s="1139">
        <v>8</v>
      </c>
      <c r="U40" s="1139">
        <v>16</v>
      </c>
      <c r="V40" s="2717">
        <f>SUM(R40:U40)</f>
        <v>46</v>
      </c>
      <c r="W40" s="2714">
        <f t="shared" si="2"/>
        <v>1.0909090909090908</v>
      </c>
      <c r="X40" s="2550"/>
      <c r="Y40" s="1139">
        <v>10</v>
      </c>
      <c r="Z40" s="1139">
        <v>21</v>
      </c>
      <c r="AA40" s="1139">
        <v>7</v>
      </c>
      <c r="AB40" s="1139">
        <v>18</v>
      </c>
      <c r="AC40" s="2717">
        <f>SUM(Y40:AB40)</f>
        <v>56</v>
      </c>
      <c r="AD40" s="2714">
        <f t="shared" si="3"/>
        <v>0.80645161290322576</v>
      </c>
      <c r="AE40" s="2550"/>
      <c r="AF40" s="1139">
        <v>9</v>
      </c>
      <c r="AG40" s="1139">
        <v>23</v>
      </c>
      <c r="AH40" s="1139">
        <v>9</v>
      </c>
      <c r="AI40" s="1139">
        <v>18</v>
      </c>
      <c r="AJ40" s="2717">
        <f t="shared" si="11"/>
        <v>59</v>
      </c>
      <c r="AK40" s="2714">
        <f t="shared" si="4"/>
        <v>0.84375</v>
      </c>
      <c r="AL40" s="2550"/>
      <c r="AM40" s="1139">
        <v>8</v>
      </c>
      <c r="AN40" s="1139">
        <v>24</v>
      </c>
      <c r="AO40" s="1139">
        <v>10</v>
      </c>
      <c r="AP40" s="1139">
        <v>18</v>
      </c>
      <c r="AQ40" s="2717">
        <f t="shared" si="12"/>
        <v>60</v>
      </c>
      <c r="AR40" s="2714">
        <f t="shared" si="5"/>
        <v>0.875</v>
      </c>
      <c r="AS40" s="2550"/>
      <c r="AT40" s="1139">
        <v>11</v>
      </c>
      <c r="AU40" s="1139">
        <v>28</v>
      </c>
      <c r="AV40" s="1139">
        <v>9</v>
      </c>
      <c r="AW40" s="1139">
        <v>19</v>
      </c>
      <c r="AX40" s="2717">
        <f t="shared" si="26"/>
        <v>67</v>
      </c>
      <c r="AY40" s="2714">
        <f t="shared" si="27"/>
        <v>0.71794871794871795</v>
      </c>
      <c r="AZ40" s="2550"/>
      <c r="BA40" s="1139">
        <v>9</v>
      </c>
      <c r="BB40" s="1139">
        <v>28</v>
      </c>
      <c r="BC40" s="1139">
        <v>7</v>
      </c>
      <c r="BD40" s="1139">
        <v>20</v>
      </c>
      <c r="BE40" s="2717">
        <f>SUM(BA40:BD40)</f>
        <v>64</v>
      </c>
      <c r="BF40" s="2714">
        <f t="shared" si="28"/>
        <v>0.72972972972972971</v>
      </c>
      <c r="BG40" s="2550"/>
      <c r="BH40" s="1139">
        <v>7</v>
      </c>
      <c r="BI40" s="1139">
        <v>34</v>
      </c>
      <c r="BJ40" s="1139">
        <v>4</v>
      </c>
      <c r="BK40" s="1139">
        <v>20</v>
      </c>
      <c r="BL40" s="2717">
        <v>65</v>
      </c>
      <c r="BM40" s="2714">
        <f t="shared" si="29"/>
        <v>0.58536585365853655</v>
      </c>
      <c r="BO40" s="1139">
        <v>4</v>
      </c>
      <c r="BP40" s="1139">
        <v>32</v>
      </c>
      <c r="BQ40" s="1139">
        <v>8</v>
      </c>
      <c r="BR40" s="1139">
        <v>20</v>
      </c>
      <c r="BS40" s="2717">
        <v>64</v>
      </c>
      <c r="BT40" s="2714">
        <f t="shared" si="30"/>
        <v>0.77777777777777779</v>
      </c>
      <c r="BV40" s="1139">
        <v>5</v>
      </c>
      <c r="BW40" s="1139">
        <v>31</v>
      </c>
      <c r="BX40" s="1139">
        <v>8</v>
      </c>
      <c r="BY40" s="1139">
        <v>20</v>
      </c>
      <c r="BZ40" s="2717">
        <v>64</v>
      </c>
      <c r="CA40" s="2714">
        <f t="shared" si="31"/>
        <v>0.77777777777777779</v>
      </c>
    </row>
    <row r="41" spans="1:79" ht="17.100000000000001" customHeight="1" thickBot="1">
      <c r="A41" s="5993" t="s">
        <v>1593</v>
      </c>
      <c r="B41" s="5994"/>
      <c r="C41" s="5994"/>
      <c r="D41" s="1140">
        <f>SUM(D36:D40)</f>
        <v>8</v>
      </c>
      <c r="E41" s="1140">
        <f>SUM(E36:E40)</f>
        <v>72</v>
      </c>
      <c r="F41" s="1140">
        <f>SUM(F36:F40)</f>
        <v>41</v>
      </c>
      <c r="G41" s="1140">
        <f>SUM(G36:G40)</f>
        <v>42</v>
      </c>
      <c r="H41" s="2715">
        <f>SUM(H36:H40)</f>
        <v>163</v>
      </c>
      <c r="I41" s="2716">
        <f t="shared" si="0"/>
        <v>1.0375000000000001</v>
      </c>
      <c r="J41" s="2550"/>
      <c r="K41" s="1140">
        <f>SUM(K36:K40)</f>
        <v>9</v>
      </c>
      <c r="L41" s="1140">
        <f>SUM(L36:L40)</f>
        <v>71</v>
      </c>
      <c r="M41" s="1140">
        <f>SUM(M36:M40)</f>
        <v>41</v>
      </c>
      <c r="N41" s="1140">
        <f>SUM(N36:N40)</f>
        <v>40</v>
      </c>
      <c r="O41" s="2715">
        <f>SUM(O36:O40)</f>
        <v>161</v>
      </c>
      <c r="P41" s="2716">
        <f t="shared" si="1"/>
        <v>1.0125</v>
      </c>
      <c r="Q41" s="2550"/>
      <c r="R41" s="1140">
        <f>SUM(R36:R40)</f>
        <v>13</v>
      </c>
      <c r="S41" s="1140">
        <f>SUM(S36:S40)</f>
        <v>74</v>
      </c>
      <c r="T41" s="1140">
        <f>SUM(T36:T40)</f>
        <v>37</v>
      </c>
      <c r="U41" s="1140">
        <f>SUM(U36:U40)</f>
        <v>42</v>
      </c>
      <c r="V41" s="2715">
        <f>SUM(V36:V40)</f>
        <v>166</v>
      </c>
      <c r="W41" s="2716">
        <f t="shared" si="2"/>
        <v>0.90804597701149425</v>
      </c>
      <c r="X41" s="2550"/>
      <c r="Y41" s="1140">
        <f>SUM(Y36:Y40)</f>
        <v>22</v>
      </c>
      <c r="Z41" s="1140">
        <f>SUM(Z36:Z40)</f>
        <v>81</v>
      </c>
      <c r="AA41" s="1140">
        <f>SUM(AA36:AA40)</f>
        <v>40</v>
      </c>
      <c r="AB41" s="1140">
        <f>SUM(AB36:AB40)</f>
        <v>50</v>
      </c>
      <c r="AC41" s="2715">
        <f>SUM(AC36:AC40)</f>
        <v>193</v>
      </c>
      <c r="AD41" s="2716">
        <f t="shared" si="3"/>
        <v>0.87378640776699024</v>
      </c>
      <c r="AE41" s="2550"/>
      <c r="AF41" s="1140">
        <f>SUM(AF36:AF40)</f>
        <v>25</v>
      </c>
      <c r="AG41" s="1140">
        <f>SUM(AG36:AG40)</f>
        <v>85</v>
      </c>
      <c r="AH41" s="1140">
        <f>SUM(AH36:AH40)</f>
        <v>40</v>
      </c>
      <c r="AI41" s="1140">
        <f>SUM(AI36:AI40)</f>
        <v>51</v>
      </c>
      <c r="AJ41" s="2715">
        <f t="shared" si="11"/>
        <v>201</v>
      </c>
      <c r="AK41" s="2716">
        <f t="shared" si="4"/>
        <v>0.82727272727272727</v>
      </c>
      <c r="AL41" s="2550"/>
      <c r="AM41" s="1140">
        <v>25</v>
      </c>
      <c r="AN41" s="1140">
        <v>94</v>
      </c>
      <c r="AO41" s="1140">
        <v>39</v>
      </c>
      <c r="AP41" s="1140">
        <v>50</v>
      </c>
      <c r="AQ41" s="2715">
        <f t="shared" si="12"/>
        <v>208</v>
      </c>
      <c r="AR41" s="2716">
        <f t="shared" si="5"/>
        <v>0.74789915966386555</v>
      </c>
      <c r="AS41" s="2550"/>
      <c r="AT41" s="1140">
        <f>SUM(AT36:AT40)</f>
        <v>27</v>
      </c>
      <c r="AU41" s="1140">
        <f>SUM(AU36:AU40)</f>
        <v>108</v>
      </c>
      <c r="AV41" s="1140">
        <f>SUM(AV36:AV40)</f>
        <v>39</v>
      </c>
      <c r="AW41" s="1140">
        <f>SUM(AW36:AW40)</f>
        <v>51</v>
      </c>
      <c r="AX41" s="2715">
        <f>SUM(AX36:AX40)</f>
        <v>225</v>
      </c>
      <c r="AY41" s="2716">
        <f t="shared" si="27"/>
        <v>0.66666666666666663</v>
      </c>
      <c r="AZ41" s="2550"/>
      <c r="BA41" s="1140">
        <v>25</v>
      </c>
      <c r="BB41" s="1140">
        <v>101</v>
      </c>
      <c r="BC41" s="1140">
        <v>36</v>
      </c>
      <c r="BD41" s="1140">
        <v>53</v>
      </c>
      <c r="BE41" s="2715">
        <f>SUM(BE36:BE40)</f>
        <v>215</v>
      </c>
      <c r="BF41" s="2716">
        <f t="shared" si="28"/>
        <v>0.70634920634920639</v>
      </c>
      <c r="BG41" s="2550"/>
      <c r="BH41" s="1140">
        <v>20</v>
      </c>
      <c r="BI41" s="1140">
        <v>104</v>
      </c>
      <c r="BJ41" s="1140">
        <v>35</v>
      </c>
      <c r="BK41" s="1140">
        <v>53</v>
      </c>
      <c r="BL41" s="2715">
        <v>212</v>
      </c>
      <c r="BM41" s="2716">
        <f t="shared" si="29"/>
        <v>0.70967741935483875</v>
      </c>
      <c r="BO41" s="1140">
        <v>22</v>
      </c>
      <c r="BP41" s="1140">
        <v>102</v>
      </c>
      <c r="BQ41" s="1140">
        <v>39</v>
      </c>
      <c r="BR41" s="1140">
        <v>53</v>
      </c>
      <c r="BS41" s="2715">
        <v>216</v>
      </c>
      <c r="BT41" s="2716">
        <f t="shared" si="30"/>
        <v>0.74193548387096775</v>
      </c>
      <c r="BV41" s="1140">
        <f>SUM(BV36:BV40)</f>
        <v>26</v>
      </c>
      <c r="BW41" s="1140">
        <f t="shared" ref="BW41:BZ41" si="32">SUM(BW36:BW40)</f>
        <v>104</v>
      </c>
      <c r="BX41" s="1140">
        <f t="shared" si="32"/>
        <v>39</v>
      </c>
      <c r="BY41" s="1140">
        <f t="shared" si="32"/>
        <v>53</v>
      </c>
      <c r="BZ41" s="1140">
        <f t="shared" si="32"/>
        <v>222</v>
      </c>
      <c r="CA41" s="2716">
        <f t="shared" si="31"/>
        <v>0.70769230769230773</v>
      </c>
    </row>
    <row r="42" spans="1:79" ht="17.100000000000001" customHeight="1">
      <c r="A42" s="1165" t="s">
        <v>73</v>
      </c>
      <c r="B42" s="1148" t="s">
        <v>41</v>
      </c>
      <c r="C42" s="2684" t="s">
        <v>1125</v>
      </c>
      <c r="D42" s="1139">
        <v>3</v>
      </c>
      <c r="E42" s="1139">
        <v>12</v>
      </c>
      <c r="F42" s="1139">
        <v>1</v>
      </c>
      <c r="G42" s="1145"/>
      <c r="H42" s="2713">
        <f>SUM(D42:G42)</f>
        <v>16</v>
      </c>
      <c r="I42" s="2714">
        <f t="shared" si="0"/>
        <v>6.6666666666666666E-2</v>
      </c>
      <c r="J42" s="2550"/>
      <c r="K42" s="1139">
        <v>4</v>
      </c>
      <c r="L42" s="1139">
        <v>14</v>
      </c>
      <c r="M42" s="1139">
        <v>1</v>
      </c>
      <c r="N42" s="1145"/>
      <c r="O42" s="2713">
        <f>SUM(K42:N42)</f>
        <v>19</v>
      </c>
      <c r="P42" s="2714">
        <f t="shared" si="1"/>
        <v>5.5555555555555552E-2</v>
      </c>
      <c r="Q42" s="2550"/>
      <c r="R42" s="1139">
        <v>4</v>
      </c>
      <c r="S42" s="1139">
        <v>13</v>
      </c>
      <c r="T42" s="1139">
        <v>2</v>
      </c>
      <c r="U42" s="1145"/>
      <c r="V42" s="2713">
        <f>SUM(R42:U42)</f>
        <v>19</v>
      </c>
      <c r="W42" s="2714">
        <f t="shared" si="2"/>
        <v>0.11764705882352941</v>
      </c>
      <c r="X42" s="2550"/>
      <c r="Y42" s="1139">
        <v>2</v>
      </c>
      <c r="Z42" s="1139">
        <v>12</v>
      </c>
      <c r="AA42" s="1139">
        <v>3</v>
      </c>
      <c r="AB42" s="1145"/>
      <c r="AC42" s="2713">
        <f>SUM(Y42:AB42)</f>
        <v>17</v>
      </c>
      <c r="AD42" s="2714">
        <f t="shared" si="3"/>
        <v>0.21428571428571427</v>
      </c>
      <c r="AE42" s="2550"/>
      <c r="AF42" s="1139">
        <v>2</v>
      </c>
      <c r="AG42" s="1139">
        <v>10</v>
      </c>
      <c r="AH42" s="1139">
        <v>3</v>
      </c>
      <c r="AI42" s="1145"/>
      <c r="AJ42" s="2713">
        <f t="shared" si="11"/>
        <v>15</v>
      </c>
      <c r="AK42" s="2714">
        <f t="shared" si="4"/>
        <v>0.25</v>
      </c>
      <c r="AL42" s="2550"/>
      <c r="AM42" s="1139"/>
      <c r="AN42" s="1139">
        <v>11</v>
      </c>
      <c r="AO42" s="1139">
        <v>2</v>
      </c>
      <c r="AP42" s="1145"/>
      <c r="AQ42" s="2713">
        <f t="shared" si="12"/>
        <v>13</v>
      </c>
      <c r="AR42" s="2714">
        <f t="shared" si="5"/>
        <v>0.18181818181818182</v>
      </c>
      <c r="AS42" s="2550"/>
      <c r="AT42" s="1139">
        <v>2</v>
      </c>
      <c r="AU42" s="1139">
        <v>10</v>
      </c>
      <c r="AV42" s="1139">
        <v>2</v>
      </c>
      <c r="AW42" s="1145"/>
      <c r="AX42" s="2713">
        <f t="shared" si="26"/>
        <v>14</v>
      </c>
      <c r="AY42" s="2714">
        <f t="shared" si="27"/>
        <v>0.16666666666666666</v>
      </c>
      <c r="AZ42" s="2550"/>
      <c r="BA42" s="1139">
        <v>1</v>
      </c>
      <c r="BB42" s="1139">
        <v>12</v>
      </c>
      <c r="BC42" s="1139">
        <v>2</v>
      </c>
      <c r="BD42" s="1145"/>
      <c r="BE42" s="2713">
        <f>SUM(BA42:BD42)</f>
        <v>15</v>
      </c>
      <c r="BF42" s="2714">
        <f t="shared" si="28"/>
        <v>0.15384615384615385</v>
      </c>
      <c r="BG42" s="2550"/>
      <c r="BH42" s="1139">
        <v>3</v>
      </c>
      <c r="BI42" s="1139">
        <v>13</v>
      </c>
      <c r="BJ42" s="1139">
        <v>2</v>
      </c>
      <c r="BK42" s="1145"/>
      <c r="BL42" s="2713">
        <v>18</v>
      </c>
      <c r="BM42" s="2714">
        <f t="shared" si="29"/>
        <v>0.125</v>
      </c>
      <c r="BO42" s="1139">
        <v>3</v>
      </c>
      <c r="BP42" s="1139">
        <v>14</v>
      </c>
      <c r="BQ42" s="1139">
        <v>2</v>
      </c>
      <c r="BR42" s="1145"/>
      <c r="BS42" s="2713">
        <v>19</v>
      </c>
      <c r="BT42" s="2714">
        <f t="shared" si="30"/>
        <v>0.11764705882352941</v>
      </c>
      <c r="BV42" s="1139">
        <v>3</v>
      </c>
      <c r="BW42" s="1139">
        <v>14</v>
      </c>
      <c r="BX42" s="1139">
        <v>2</v>
      </c>
      <c r="BY42" s="1145"/>
      <c r="BZ42" s="2713">
        <v>19</v>
      </c>
      <c r="CA42" s="2714">
        <f t="shared" si="31"/>
        <v>0.11764705882352941</v>
      </c>
    </row>
    <row r="43" spans="1:79" ht="17.100000000000001" customHeight="1">
      <c r="A43" s="1161" t="s">
        <v>73</v>
      </c>
      <c r="B43" s="1144" t="s">
        <v>41</v>
      </c>
      <c r="C43" s="2680" t="s">
        <v>1157</v>
      </c>
      <c r="D43" s="1145">
        <v>1</v>
      </c>
      <c r="E43" s="1139">
        <v>13</v>
      </c>
      <c r="F43" s="1145"/>
      <c r="G43" s="1139">
        <v>3</v>
      </c>
      <c r="H43" s="2717">
        <f>SUM(D43:G43)</f>
        <v>17</v>
      </c>
      <c r="I43" s="2714">
        <f t="shared" si="0"/>
        <v>0.21428571428571427</v>
      </c>
      <c r="J43" s="2550"/>
      <c r="K43" s="1145">
        <v>1</v>
      </c>
      <c r="L43" s="1139">
        <v>13</v>
      </c>
      <c r="M43" s="1145"/>
      <c r="N43" s="1139">
        <v>3</v>
      </c>
      <c r="O43" s="2717">
        <f>SUM(K43:N43)</f>
        <v>17</v>
      </c>
      <c r="P43" s="2714">
        <f t="shared" si="1"/>
        <v>0.21428571428571427</v>
      </c>
      <c r="Q43" s="2550"/>
      <c r="R43" s="1145">
        <v>2</v>
      </c>
      <c r="S43" s="1139">
        <v>14</v>
      </c>
      <c r="T43" s="1145"/>
      <c r="U43" s="1139">
        <v>3</v>
      </c>
      <c r="V43" s="2717">
        <f>SUM(R43:U43)</f>
        <v>19</v>
      </c>
      <c r="W43" s="2714">
        <f t="shared" si="2"/>
        <v>0.1875</v>
      </c>
      <c r="X43" s="2550"/>
      <c r="Y43" s="1145">
        <v>3</v>
      </c>
      <c r="Z43" s="1139">
        <v>12</v>
      </c>
      <c r="AA43" s="1145">
        <v>2</v>
      </c>
      <c r="AB43" s="1139">
        <v>3</v>
      </c>
      <c r="AC43" s="2717">
        <f>SUM(Y43:AB43)</f>
        <v>20</v>
      </c>
      <c r="AD43" s="2714">
        <f t="shared" si="3"/>
        <v>0.33333333333333331</v>
      </c>
      <c r="AE43" s="2550"/>
      <c r="AF43" s="1145">
        <v>3</v>
      </c>
      <c r="AG43" s="1139">
        <v>11</v>
      </c>
      <c r="AH43" s="1145">
        <v>2</v>
      </c>
      <c r="AI43" s="1139">
        <v>3</v>
      </c>
      <c r="AJ43" s="2717">
        <f t="shared" si="11"/>
        <v>19</v>
      </c>
      <c r="AK43" s="2714">
        <f t="shared" si="4"/>
        <v>0.35714285714285715</v>
      </c>
      <c r="AL43" s="2550"/>
      <c r="AM43" s="1145">
        <v>3</v>
      </c>
      <c r="AN43" s="1139">
        <v>11</v>
      </c>
      <c r="AO43" s="1145">
        <v>2</v>
      </c>
      <c r="AP43" s="1139">
        <v>3</v>
      </c>
      <c r="AQ43" s="2717">
        <f t="shared" si="12"/>
        <v>19</v>
      </c>
      <c r="AR43" s="2714">
        <f t="shared" si="5"/>
        <v>0.35714285714285715</v>
      </c>
      <c r="AS43" s="2550"/>
      <c r="AT43" s="1145">
        <v>7</v>
      </c>
      <c r="AU43" s="1139">
        <v>10</v>
      </c>
      <c r="AV43" s="1145">
        <v>2</v>
      </c>
      <c r="AW43" s="1139">
        <v>1</v>
      </c>
      <c r="AX43" s="2717">
        <f t="shared" si="26"/>
        <v>20</v>
      </c>
      <c r="AY43" s="2714">
        <f t="shared" si="27"/>
        <v>0.17647058823529413</v>
      </c>
      <c r="AZ43" s="2550"/>
      <c r="BA43" s="1145">
        <v>5</v>
      </c>
      <c r="BB43" s="1139">
        <v>11</v>
      </c>
      <c r="BC43" s="1145">
        <v>2</v>
      </c>
      <c r="BD43" s="1139">
        <v>2</v>
      </c>
      <c r="BE43" s="2717">
        <f>SUM(BA43:BD43)</f>
        <v>20</v>
      </c>
      <c r="BF43" s="2714">
        <f t="shared" si="28"/>
        <v>0.25</v>
      </c>
      <c r="BG43" s="2550"/>
      <c r="BH43" s="1145">
        <v>3</v>
      </c>
      <c r="BI43" s="1139">
        <v>10</v>
      </c>
      <c r="BJ43" s="1145">
        <v>3</v>
      </c>
      <c r="BK43" s="1139">
        <v>1</v>
      </c>
      <c r="BL43" s="2717">
        <v>17</v>
      </c>
      <c r="BM43" s="2714">
        <f t="shared" si="29"/>
        <v>0.30769230769230771</v>
      </c>
      <c r="BO43" s="1145">
        <v>3</v>
      </c>
      <c r="BP43" s="1139">
        <v>9</v>
      </c>
      <c r="BQ43" s="1145">
        <v>3</v>
      </c>
      <c r="BR43" s="1139">
        <v>1</v>
      </c>
      <c r="BS43" s="2717">
        <v>16</v>
      </c>
      <c r="BT43" s="2714">
        <f t="shared" si="30"/>
        <v>0.33333333333333331</v>
      </c>
      <c r="BV43" s="1145">
        <v>3</v>
      </c>
      <c r="BW43" s="1139">
        <v>11</v>
      </c>
      <c r="BX43" s="1145">
        <v>3</v>
      </c>
      <c r="BY43" s="1139">
        <v>1</v>
      </c>
      <c r="BZ43" s="2717">
        <v>18</v>
      </c>
      <c r="CA43" s="2714">
        <f t="shared" si="31"/>
        <v>0.2857142857142857</v>
      </c>
    </row>
    <row r="44" spans="1:79" ht="17.100000000000001" customHeight="1">
      <c r="A44" s="1161" t="s">
        <v>73</v>
      </c>
      <c r="B44" s="1144" t="s">
        <v>41</v>
      </c>
      <c r="C44" s="2680" t="s">
        <v>1127</v>
      </c>
      <c r="D44" s="1139">
        <v>8</v>
      </c>
      <c r="E44" s="1139">
        <v>16</v>
      </c>
      <c r="F44" s="1139">
        <v>7</v>
      </c>
      <c r="G44" s="1139">
        <v>8</v>
      </c>
      <c r="H44" s="2717">
        <f>SUM(D44:G44)</f>
        <v>39</v>
      </c>
      <c r="I44" s="2714">
        <f t="shared" si="0"/>
        <v>0.625</v>
      </c>
      <c r="J44" s="2550"/>
      <c r="K44" s="1139">
        <v>4</v>
      </c>
      <c r="L44" s="1139">
        <v>15</v>
      </c>
      <c r="M44" s="1139">
        <v>7</v>
      </c>
      <c r="N44" s="1139">
        <v>8</v>
      </c>
      <c r="O44" s="2717">
        <f>SUM(K44:N44)</f>
        <v>34</v>
      </c>
      <c r="P44" s="2714">
        <f t="shared" si="1"/>
        <v>0.78947368421052633</v>
      </c>
      <c r="Q44" s="2550"/>
      <c r="R44" s="1139">
        <v>3</v>
      </c>
      <c r="S44" s="1139">
        <v>13</v>
      </c>
      <c r="T44" s="1139">
        <v>10</v>
      </c>
      <c r="U44" s="1139">
        <v>8</v>
      </c>
      <c r="V44" s="2717">
        <f>SUM(R44:U44)</f>
        <v>34</v>
      </c>
      <c r="W44" s="2714">
        <f t="shared" si="2"/>
        <v>1.125</v>
      </c>
      <c r="X44" s="2550"/>
      <c r="Y44" s="1139">
        <v>9</v>
      </c>
      <c r="Z44" s="1139">
        <v>13</v>
      </c>
      <c r="AA44" s="1139">
        <v>11</v>
      </c>
      <c r="AB44" s="1139">
        <v>8</v>
      </c>
      <c r="AC44" s="2717">
        <f>SUM(Y44:AB44)</f>
        <v>41</v>
      </c>
      <c r="AD44" s="2714">
        <f t="shared" si="3"/>
        <v>0.86363636363636365</v>
      </c>
      <c r="AE44" s="2550"/>
      <c r="AF44" s="1139">
        <v>6</v>
      </c>
      <c r="AG44" s="1139">
        <v>14</v>
      </c>
      <c r="AH44" s="1139">
        <v>12</v>
      </c>
      <c r="AI44" s="1139">
        <v>8</v>
      </c>
      <c r="AJ44" s="2717">
        <f t="shared" si="11"/>
        <v>40</v>
      </c>
      <c r="AK44" s="2714">
        <f t="shared" si="4"/>
        <v>1</v>
      </c>
      <c r="AL44" s="2550"/>
      <c r="AM44" s="1139">
        <v>7</v>
      </c>
      <c r="AN44" s="1139">
        <v>15</v>
      </c>
      <c r="AO44" s="1139">
        <v>11</v>
      </c>
      <c r="AP44" s="1139">
        <v>9</v>
      </c>
      <c r="AQ44" s="2717">
        <f t="shared" si="12"/>
        <v>42</v>
      </c>
      <c r="AR44" s="2714">
        <f t="shared" si="5"/>
        <v>0.90909090909090906</v>
      </c>
      <c r="AS44" s="2550"/>
      <c r="AT44" s="1139">
        <v>9</v>
      </c>
      <c r="AU44" s="1139">
        <v>16</v>
      </c>
      <c r="AV44" s="1139">
        <v>11</v>
      </c>
      <c r="AW44" s="1139">
        <v>9</v>
      </c>
      <c r="AX44" s="2717">
        <f t="shared" si="26"/>
        <v>45</v>
      </c>
      <c r="AY44" s="2714">
        <f t="shared" si="27"/>
        <v>0.8</v>
      </c>
      <c r="AZ44" s="2550"/>
      <c r="BA44" s="1139">
        <v>10</v>
      </c>
      <c r="BB44" s="1139">
        <v>14</v>
      </c>
      <c r="BC44" s="1139">
        <v>14</v>
      </c>
      <c r="BD44" s="1139">
        <v>9</v>
      </c>
      <c r="BE44" s="2717">
        <f>SUM(BA44:BD44)</f>
        <v>47</v>
      </c>
      <c r="BF44" s="2714">
        <f t="shared" si="28"/>
        <v>0.95833333333333337</v>
      </c>
      <c r="BG44" s="2550"/>
      <c r="BH44" s="1139">
        <v>5</v>
      </c>
      <c r="BI44" s="1139">
        <v>13</v>
      </c>
      <c r="BJ44" s="1139">
        <v>12</v>
      </c>
      <c r="BK44" s="1139">
        <v>8</v>
      </c>
      <c r="BL44" s="2717">
        <v>38</v>
      </c>
      <c r="BM44" s="2714">
        <f t="shared" si="29"/>
        <v>1.1111111111111112</v>
      </c>
      <c r="BO44" s="1139">
        <v>5</v>
      </c>
      <c r="BP44" s="1139">
        <v>15</v>
      </c>
      <c r="BQ44" s="1139">
        <v>13</v>
      </c>
      <c r="BR44" s="1139">
        <v>8</v>
      </c>
      <c r="BS44" s="2717">
        <v>41</v>
      </c>
      <c r="BT44" s="2714">
        <f t="shared" si="30"/>
        <v>1.05</v>
      </c>
      <c r="BV44" s="1139">
        <v>7</v>
      </c>
      <c r="BW44" s="1139">
        <v>14</v>
      </c>
      <c r="BX44" s="1139">
        <v>13</v>
      </c>
      <c r="BY44" s="1139">
        <v>8</v>
      </c>
      <c r="BZ44" s="2717">
        <v>42</v>
      </c>
      <c r="CA44" s="2714">
        <f t="shared" si="31"/>
        <v>1</v>
      </c>
    </row>
    <row r="45" spans="1:79" ht="17.100000000000001" customHeight="1">
      <c r="A45" s="1161" t="s">
        <v>73</v>
      </c>
      <c r="B45" s="1144" t="s">
        <v>41</v>
      </c>
      <c r="C45" s="2680" t="s">
        <v>1128</v>
      </c>
      <c r="D45" s="1139">
        <v>3</v>
      </c>
      <c r="E45" s="1139">
        <v>21</v>
      </c>
      <c r="F45" s="1139">
        <v>3</v>
      </c>
      <c r="G45" s="1145">
        <v>2</v>
      </c>
      <c r="H45" s="2713">
        <f>SUM(D45:G45)</f>
        <v>29</v>
      </c>
      <c r="I45" s="2714">
        <f t="shared" si="0"/>
        <v>0.20833333333333334</v>
      </c>
      <c r="J45" s="2550"/>
      <c r="K45" s="1139">
        <v>3</v>
      </c>
      <c r="L45" s="1139">
        <v>20</v>
      </c>
      <c r="M45" s="1139">
        <v>3</v>
      </c>
      <c r="N45" s="1145">
        <v>2</v>
      </c>
      <c r="O45" s="2713">
        <f>SUM(K45:N45)</f>
        <v>28</v>
      </c>
      <c r="P45" s="2714">
        <f t="shared" si="1"/>
        <v>0.21739130434782608</v>
      </c>
      <c r="Q45" s="2550"/>
      <c r="R45" s="1139">
        <v>1</v>
      </c>
      <c r="S45" s="1139">
        <v>18</v>
      </c>
      <c r="T45" s="1139">
        <v>3</v>
      </c>
      <c r="U45" s="1145">
        <v>2</v>
      </c>
      <c r="V45" s="2713">
        <f>SUM(R45:U45)</f>
        <v>24</v>
      </c>
      <c r="W45" s="2714">
        <f t="shared" si="2"/>
        <v>0.26315789473684209</v>
      </c>
      <c r="X45" s="2550"/>
      <c r="Y45" s="1139">
        <v>2</v>
      </c>
      <c r="Z45" s="1139">
        <v>18</v>
      </c>
      <c r="AA45" s="1139">
        <v>6</v>
      </c>
      <c r="AB45" s="1145">
        <v>2</v>
      </c>
      <c r="AC45" s="2713">
        <f>SUM(Y45:AB45)</f>
        <v>28</v>
      </c>
      <c r="AD45" s="2714">
        <f t="shared" si="3"/>
        <v>0.4</v>
      </c>
      <c r="AE45" s="2550"/>
      <c r="AF45" s="1139">
        <v>6</v>
      </c>
      <c r="AG45" s="1139">
        <v>19</v>
      </c>
      <c r="AH45" s="1139">
        <v>6</v>
      </c>
      <c r="AI45" s="1145">
        <v>2</v>
      </c>
      <c r="AJ45" s="2713">
        <f t="shared" si="11"/>
        <v>33</v>
      </c>
      <c r="AK45" s="2714">
        <f t="shared" si="4"/>
        <v>0.32</v>
      </c>
      <c r="AL45" s="2550"/>
      <c r="AM45" s="1139">
        <v>8</v>
      </c>
      <c r="AN45" s="1139">
        <v>21</v>
      </c>
      <c r="AO45" s="1139">
        <v>6</v>
      </c>
      <c r="AP45" s="1145">
        <v>2</v>
      </c>
      <c r="AQ45" s="2713">
        <f t="shared" si="12"/>
        <v>37</v>
      </c>
      <c r="AR45" s="2714">
        <f t="shared" si="5"/>
        <v>0.27586206896551724</v>
      </c>
      <c r="AS45" s="2550"/>
      <c r="AT45" s="1139">
        <v>8</v>
      </c>
      <c r="AU45" s="1139">
        <v>20</v>
      </c>
      <c r="AV45" s="1139">
        <v>6</v>
      </c>
      <c r="AW45" s="1145">
        <v>4</v>
      </c>
      <c r="AX45" s="2713">
        <f t="shared" si="26"/>
        <v>38</v>
      </c>
      <c r="AY45" s="2714">
        <f t="shared" si="27"/>
        <v>0.35714285714285715</v>
      </c>
      <c r="AZ45" s="2550"/>
      <c r="BA45" s="1139">
        <v>8</v>
      </c>
      <c r="BB45" s="1139">
        <v>20</v>
      </c>
      <c r="BC45" s="1139">
        <v>4</v>
      </c>
      <c r="BD45" s="1145">
        <v>6</v>
      </c>
      <c r="BE45" s="2713">
        <f>SUM(BA45:BD45)</f>
        <v>38</v>
      </c>
      <c r="BF45" s="2714">
        <f t="shared" si="28"/>
        <v>0.35714285714285715</v>
      </c>
      <c r="BG45" s="2550"/>
      <c r="BH45" s="1139">
        <v>3</v>
      </c>
      <c r="BI45" s="1139">
        <v>21</v>
      </c>
      <c r="BJ45" s="1139">
        <v>4</v>
      </c>
      <c r="BK45" s="1145">
        <v>6</v>
      </c>
      <c r="BL45" s="2713">
        <v>34</v>
      </c>
      <c r="BM45" s="2714">
        <f t="shared" si="29"/>
        <v>0.41666666666666669</v>
      </c>
      <c r="BO45" s="1139">
        <v>5</v>
      </c>
      <c r="BP45" s="1139">
        <v>20</v>
      </c>
      <c r="BQ45" s="1139">
        <v>5</v>
      </c>
      <c r="BR45" s="1145">
        <v>6</v>
      </c>
      <c r="BS45" s="2713">
        <v>36</v>
      </c>
      <c r="BT45" s="2714">
        <f t="shared" si="30"/>
        <v>0.44</v>
      </c>
      <c r="BV45" s="1139">
        <v>5</v>
      </c>
      <c r="BW45" s="1139">
        <v>17</v>
      </c>
      <c r="BX45" s="1139">
        <v>5</v>
      </c>
      <c r="BY45" s="1145">
        <v>6</v>
      </c>
      <c r="BZ45" s="2713">
        <v>33</v>
      </c>
      <c r="CA45" s="2714">
        <f t="shared" si="31"/>
        <v>0.5</v>
      </c>
    </row>
    <row r="46" spans="1:79" ht="17.100000000000001" customHeight="1" thickBot="1">
      <c r="A46" s="1166" t="s">
        <v>73</v>
      </c>
      <c r="B46" s="1147" t="s">
        <v>41</v>
      </c>
      <c r="C46" s="2682" t="s">
        <v>1129</v>
      </c>
      <c r="D46" s="1145">
        <v>6</v>
      </c>
      <c r="E46" s="1139">
        <v>6</v>
      </c>
      <c r="F46" s="1139">
        <v>1</v>
      </c>
      <c r="G46" s="1145"/>
      <c r="H46" s="2713">
        <f>SUM(D46:G46)</f>
        <v>13</v>
      </c>
      <c r="I46" s="2714">
        <f t="shared" si="0"/>
        <v>8.3333333333333329E-2</v>
      </c>
      <c r="J46" s="2550"/>
      <c r="K46" s="1145">
        <v>5</v>
      </c>
      <c r="L46" s="1139">
        <v>6</v>
      </c>
      <c r="M46" s="1139">
        <v>1</v>
      </c>
      <c r="N46" s="1145"/>
      <c r="O46" s="2713">
        <f>SUM(K46:N46)</f>
        <v>12</v>
      </c>
      <c r="P46" s="2714">
        <f t="shared" si="1"/>
        <v>9.0909090909090912E-2</v>
      </c>
      <c r="Q46" s="2550"/>
      <c r="R46" s="1145">
        <v>6</v>
      </c>
      <c r="S46" s="1139">
        <v>6</v>
      </c>
      <c r="T46" s="1139">
        <v>2</v>
      </c>
      <c r="U46" s="1145"/>
      <c r="V46" s="2713">
        <f>SUM(R46:U46)</f>
        <v>14</v>
      </c>
      <c r="W46" s="2714">
        <f t="shared" si="2"/>
        <v>0.16666666666666666</v>
      </c>
      <c r="X46" s="2550"/>
      <c r="Y46" s="1145">
        <v>3</v>
      </c>
      <c r="Z46" s="1139">
        <v>7</v>
      </c>
      <c r="AA46" s="1139">
        <v>4</v>
      </c>
      <c r="AB46" s="1145"/>
      <c r="AC46" s="2713">
        <f>SUM(Y46:AB46)</f>
        <v>14</v>
      </c>
      <c r="AD46" s="2714">
        <f t="shared" si="3"/>
        <v>0.4</v>
      </c>
      <c r="AE46" s="2550"/>
      <c r="AF46" s="1145">
        <v>3</v>
      </c>
      <c r="AG46" s="1139">
        <v>7</v>
      </c>
      <c r="AH46" s="1139">
        <v>4</v>
      </c>
      <c r="AI46" s="1145"/>
      <c r="AJ46" s="2713">
        <f t="shared" si="11"/>
        <v>14</v>
      </c>
      <c r="AK46" s="2714">
        <f t="shared" si="4"/>
        <v>0.4</v>
      </c>
      <c r="AL46" s="2550"/>
      <c r="AM46" s="1145">
        <v>2</v>
      </c>
      <c r="AN46" s="1139">
        <v>7</v>
      </c>
      <c r="AO46" s="1139">
        <v>4</v>
      </c>
      <c r="AP46" s="1145"/>
      <c r="AQ46" s="2713">
        <f t="shared" si="12"/>
        <v>13</v>
      </c>
      <c r="AR46" s="2714">
        <f t="shared" si="5"/>
        <v>0.44444444444444442</v>
      </c>
      <c r="AS46" s="2550"/>
      <c r="AT46" s="1145">
        <v>1</v>
      </c>
      <c r="AU46" s="1139">
        <v>5</v>
      </c>
      <c r="AV46" s="1139">
        <v>4</v>
      </c>
      <c r="AW46" s="1145"/>
      <c r="AX46" s="2713">
        <f t="shared" si="26"/>
        <v>10</v>
      </c>
      <c r="AY46" s="2714">
        <f t="shared" si="27"/>
        <v>0.66666666666666663</v>
      </c>
      <c r="AZ46" s="2550"/>
      <c r="BA46" s="1145"/>
      <c r="BB46" s="1139">
        <v>5</v>
      </c>
      <c r="BC46" s="1139">
        <v>4</v>
      </c>
      <c r="BD46" s="1145"/>
      <c r="BE46" s="2713">
        <f>SUM(BA46:BD46)</f>
        <v>9</v>
      </c>
      <c r="BF46" s="2714">
        <f t="shared" si="28"/>
        <v>0.8</v>
      </c>
      <c r="BG46" s="2550"/>
      <c r="BH46" s="1145"/>
      <c r="BI46" s="1139">
        <v>7</v>
      </c>
      <c r="BJ46" s="1139">
        <v>4</v>
      </c>
      <c r="BK46" s="1145"/>
      <c r="BL46" s="2713">
        <v>11</v>
      </c>
      <c r="BM46" s="2714">
        <f t="shared" si="29"/>
        <v>0.5714285714285714</v>
      </c>
      <c r="BO46" s="1145">
        <v>2</v>
      </c>
      <c r="BP46" s="1139">
        <v>6</v>
      </c>
      <c r="BQ46" s="1139">
        <v>4</v>
      </c>
      <c r="BR46" s="1145"/>
      <c r="BS46" s="2713">
        <v>12</v>
      </c>
      <c r="BT46" s="2714">
        <f t="shared" si="30"/>
        <v>0.5</v>
      </c>
      <c r="BV46" s="1145">
        <v>2</v>
      </c>
      <c r="BW46" s="1139">
        <v>8</v>
      </c>
      <c r="BX46" s="1139">
        <v>4</v>
      </c>
      <c r="BY46" s="1145"/>
      <c r="BZ46" s="2713">
        <v>14</v>
      </c>
      <c r="CA46" s="2714">
        <f t="shared" si="31"/>
        <v>0.4</v>
      </c>
    </row>
    <row r="47" spans="1:79" ht="17.100000000000001" customHeight="1" thickBot="1">
      <c r="A47" s="5993" t="s">
        <v>1601</v>
      </c>
      <c r="B47" s="5994"/>
      <c r="C47" s="5994"/>
      <c r="D47" s="1150">
        <f>SUM(D42:D46)</f>
        <v>21</v>
      </c>
      <c r="E47" s="1150">
        <f>SUM(E42:E46)</f>
        <v>68</v>
      </c>
      <c r="F47" s="1150">
        <f>SUM(F42:F46)</f>
        <v>12</v>
      </c>
      <c r="G47" s="1150">
        <f>SUM(G42:G46)</f>
        <v>13</v>
      </c>
      <c r="H47" s="2723">
        <f>SUM(H42:H46)</f>
        <v>114</v>
      </c>
      <c r="I47" s="2716">
        <f t="shared" si="0"/>
        <v>0.2808988764044944</v>
      </c>
      <c r="J47" s="2550"/>
      <c r="K47" s="1150">
        <f>SUM(K42:K46)</f>
        <v>17</v>
      </c>
      <c r="L47" s="1150">
        <f>SUM(L42:L46)</f>
        <v>68</v>
      </c>
      <c r="M47" s="1150">
        <f>SUM(M42:M46)</f>
        <v>12</v>
      </c>
      <c r="N47" s="1150">
        <f>SUM(N42:N46)</f>
        <v>13</v>
      </c>
      <c r="O47" s="2723">
        <f>SUM(O42:O46)</f>
        <v>110</v>
      </c>
      <c r="P47" s="2716">
        <f t="shared" si="1"/>
        <v>0.29411764705882354</v>
      </c>
      <c r="Q47" s="2550"/>
      <c r="R47" s="1150">
        <f>SUM(R42:R46)</f>
        <v>16</v>
      </c>
      <c r="S47" s="1150">
        <f>SUM(S42:S46)</f>
        <v>64</v>
      </c>
      <c r="T47" s="1150">
        <f>SUM(T42:T46)</f>
        <v>17</v>
      </c>
      <c r="U47" s="1150">
        <f>SUM(U42:U46)</f>
        <v>13</v>
      </c>
      <c r="V47" s="2723">
        <f>SUM(V42:V46)</f>
        <v>110</v>
      </c>
      <c r="W47" s="2716">
        <f t="shared" si="2"/>
        <v>0.375</v>
      </c>
      <c r="X47" s="2550"/>
      <c r="Y47" s="1150">
        <f>SUM(Y42:Y46)</f>
        <v>19</v>
      </c>
      <c r="Z47" s="1150">
        <f>SUM(Z42:Z46)</f>
        <v>62</v>
      </c>
      <c r="AA47" s="1150">
        <f>SUM(AA42:AA46)</f>
        <v>26</v>
      </c>
      <c r="AB47" s="1150">
        <f>SUM(AB42:AB46)</f>
        <v>13</v>
      </c>
      <c r="AC47" s="2723">
        <f>SUM(AC42:AC46)</f>
        <v>120</v>
      </c>
      <c r="AD47" s="2716">
        <f t="shared" si="3"/>
        <v>0.48148148148148145</v>
      </c>
      <c r="AE47" s="2550"/>
      <c r="AF47" s="1150">
        <f>SUM(AF42:AF46)</f>
        <v>20</v>
      </c>
      <c r="AG47" s="1150">
        <f>SUM(AG42:AG46)</f>
        <v>61</v>
      </c>
      <c r="AH47" s="1150">
        <f>SUM(AH42:AH46)</f>
        <v>27</v>
      </c>
      <c r="AI47" s="1150">
        <f>SUM(AI42:AI46)</f>
        <v>13</v>
      </c>
      <c r="AJ47" s="2723">
        <f t="shared" si="11"/>
        <v>121</v>
      </c>
      <c r="AK47" s="2716">
        <f t="shared" si="4"/>
        <v>0.49382716049382713</v>
      </c>
      <c r="AL47" s="2550"/>
      <c r="AM47" s="1150">
        <v>20</v>
      </c>
      <c r="AN47" s="1150">
        <v>65</v>
      </c>
      <c r="AO47" s="1150">
        <v>25</v>
      </c>
      <c r="AP47" s="1150">
        <v>14</v>
      </c>
      <c r="AQ47" s="2723">
        <f t="shared" si="12"/>
        <v>124</v>
      </c>
      <c r="AR47" s="2716">
        <f t="shared" si="5"/>
        <v>0.45882352941176469</v>
      </c>
      <c r="AS47" s="2550"/>
      <c r="AT47" s="1150">
        <f>SUM(AT42:AT46)</f>
        <v>27</v>
      </c>
      <c r="AU47" s="1150">
        <f>SUM(AU42:AU46)</f>
        <v>61</v>
      </c>
      <c r="AV47" s="1150">
        <f>SUM(AV42:AV46)</f>
        <v>25</v>
      </c>
      <c r="AW47" s="1150">
        <f>SUM(AW42:AW46)</f>
        <v>14</v>
      </c>
      <c r="AX47" s="2723">
        <f>SUM(AX42:AX46)</f>
        <v>127</v>
      </c>
      <c r="AY47" s="2716">
        <f t="shared" si="27"/>
        <v>0.44318181818181818</v>
      </c>
      <c r="AZ47" s="2550"/>
      <c r="BA47" s="1150">
        <v>24</v>
      </c>
      <c r="BB47" s="1150">
        <v>62</v>
      </c>
      <c r="BC47" s="1150">
        <v>26</v>
      </c>
      <c r="BD47" s="1150">
        <v>17</v>
      </c>
      <c r="BE47" s="2723">
        <f>SUM(BE42:BE46)</f>
        <v>129</v>
      </c>
      <c r="BF47" s="2716">
        <f t="shared" si="28"/>
        <v>0.5</v>
      </c>
      <c r="BG47" s="2550"/>
      <c r="BH47" s="1150">
        <v>14</v>
      </c>
      <c r="BI47" s="1150">
        <v>64</v>
      </c>
      <c r="BJ47" s="1150">
        <v>25</v>
      </c>
      <c r="BK47" s="1150">
        <v>15</v>
      </c>
      <c r="BL47" s="2723">
        <v>118</v>
      </c>
      <c r="BM47" s="2716">
        <f t="shared" si="29"/>
        <v>0.51282051282051277</v>
      </c>
      <c r="BO47" s="1150">
        <v>18</v>
      </c>
      <c r="BP47" s="1150">
        <v>64</v>
      </c>
      <c r="BQ47" s="1150">
        <v>27</v>
      </c>
      <c r="BR47" s="1150">
        <v>15</v>
      </c>
      <c r="BS47" s="2723">
        <v>124</v>
      </c>
      <c r="BT47" s="2716">
        <f t="shared" si="30"/>
        <v>0.51219512195121952</v>
      </c>
      <c r="BV47" s="1150">
        <f>SUM(BV42:BV46)</f>
        <v>20</v>
      </c>
      <c r="BW47" s="1150">
        <f t="shared" ref="BW47:BZ47" si="33">SUM(BW42:BW46)</f>
        <v>64</v>
      </c>
      <c r="BX47" s="1150">
        <f t="shared" si="33"/>
        <v>27</v>
      </c>
      <c r="BY47" s="1150">
        <f t="shared" si="33"/>
        <v>15</v>
      </c>
      <c r="BZ47" s="1150">
        <f t="shared" si="33"/>
        <v>126</v>
      </c>
      <c r="CA47" s="2716">
        <f t="shared" si="31"/>
        <v>0.5</v>
      </c>
    </row>
    <row r="48" spans="1:79" ht="17.100000000000001" customHeight="1">
      <c r="A48" s="1165" t="s">
        <v>73</v>
      </c>
      <c r="B48" s="1148" t="s">
        <v>16</v>
      </c>
      <c r="C48" s="2684" t="s">
        <v>1130</v>
      </c>
      <c r="D48" s="1145">
        <v>1</v>
      </c>
      <c r="E48" s="1139">
        <v>7</v>
      </c>
      <c r="F48" s="1139">
        <v>10</v>
      </c>
      <c r="G48" s="1139">
        <v>3</v>
      </c>
      <c r="H48" s="2717">
        <f>SUM(D48:G48)</f>
        <v>21</v>
      </c>
      <c r="I48" s="2714">
        <f t="shared" si="0"/>
        <v>1.625</v>
      </c>
      <c r="J48" s="2550"/>
      <c r="K48" s="1145"/>
      <c r="L48" s="1139">
        <v>7</v>
      </c>
      <c r="M48" s="1139">
        <v>10</v>
      </c>
      <c r="N48" s="1139">
        <v>3</v>
      </c>
      <c r="O48" s="2717">
        <f>SUM(K48:N48)</f>
        <v>20</v>
      </c>
      <c r="P48" s="2714">
        <f t="shared" si="1"/>
        <v>1.8571428571428572</v>
      </c>
      <c r="Q48" s="2550"/>
      <c r="R48" s="1145"/>
      <c r="S48" s="1139">
        <v>6</v>
      </c>
      <c r="T48" s="1139">
        <v>11</v>
      </c>
      <c r="U48" s="1139">
        <v>3</v>
      </c>
      <c r="V48" s="2717">
        <f>SUM(R48:U48)</f>
        <v>20</v>
      </c>
      <c r="W48" s="2714">
        <f t="shared" si="2"/>
        <v>2.3333333333333335</v>
      </c>
      <c r="X48" s="2550"/>
      <c r="Y48" s="1145"/>
      <c r="Z48" s="1139">
        <v>5</v>
      </c>
      <c r="AA48" s="1139">
        <v>13</v>
      </c>
      <c r="AB48" s="1139">
        <v>2</v>
      </c>
      <c r="AC48" s="2717">
        <f>SUM(Y48:AB48)</f>
        <v>20</v>
      </c>
      <c r="AD48" s="2714">
        <f t="shared" si="3"/>
        <v>3</v>
      </c>
      <c r="AE48" s="2550"/>
      <c r="AF48" s="1145"/>
      <c r="AG48" s="1139">
        <v>5</v>
      </c>
      <c r="AH48" s="1139">
        <v>10</v>
      </c>
      <c r="AI48" s="1139">
        <v>3</v>
      </c>
      <c r="AJ48" s="2717">
        <f t="shared" si="11"/>
        <v>18</v>
      </c>
      <c r="AK48" s="2714">
        <v>1</v>
      </c>
      <c r="AL48" s="2550"/>
      <c r="AM48" s="1145">
        <v>2</v>
      </c>
      <c r="AN48" s="1139">
        <v>6</v>
      </c>
      <c r="AO48" s="1139">
        <v>11</v>
      </c>
      <c r="AP48" s="1139">
        <v>3</v>
      </c>
      <c r="AQ48" s="2717">
        <f t="shared" si="12"/>
        <v>22</v>
      </c>
      <c r="AR48" s="2714">
        <v>1</v>
      </c>
      <c r="AS48" s="2550"/>
      <c r="AT48" s="1145">
        <v>2</v>
      </c>
      <c r="AU48" s="1139">
        <v>6</v>
      </c>
      <c r="AV48" s="1139">
        <v>12</v>
      </c>
      <c r="AW48" s="1139">
        <v>4</v>
      </c>
      <c r="AX48" s="2717">
        <f t="shared" si="26"/>
        <v>24</v>
      </c>
      <c r="AY48" s="2714">
        <v>1</v>
      </c>
      <c r="AZ48" s="2550"/>
      <c r="BA48" s="1145">
        <v>2</v>
      </c>
      <c r="BB48" s="1139">
        <v>6</v>
      </c>
      <c r="BC48" s="1139">
        <v>10</v>
      </c>
      <c r="BD48" s="1139">
        <v>6</v>
      </c>
      <c r="BE48" s="2717">
        <f>SUM(BA48:BD48)</f>
        <v>24</v>
      </c>
      <c r="BF48" s="2714">
        <v>1</v>
      </c>
      <c r="BG48" s="2550"/>
      <c r="BH48" s="1145">
        <v>1</v>
      </c>
      <c r="BI48" s="1139">
        <v>7</v>
      </c>
      <c r="BJ48" s="1139">
        <v>10</v>
      </c>
      <c r="BK48" s="1139">
        <v>5</v>
      </c>
      <c r="BL48" s="2717">
        <v>23</v>
      </c>
      <c r="BM48" s="2714">
        <v>1</v>
      </c>
      <c r="BO48" s="1145">
        <v>2</v>
      </c>
      <c r="BP48" s="1139">
        <v>7</v>
      </c>
      <c r="BQ48" s="1139">
        <v>8</v>
      </c>
      <c r="BR48" s="1139">
        <v>6</v>
      </c>
      <c r="BS48" s="2717">
        <v>23</v>
      </c>
      <c r="BT48" s="2714">
        <v>1</v>
      </c>
      <c r="BV48" s="1145">
        <v>1</v>
      </c>
      <c r="BW48" s="1139">
        <v>5</v>
      </c>
      <c r="BX48" s="1139">
        <v>8</v>
      </c>
      <c r="BY48" s="1139">
        <v>6</v>
      </c>
      <c r="BZ48" s="2717">
        <v>20</v>
      </c>
      <c r="CA48" s="2714">
        <v>1</v>
      </c>
    </row>
    <row r="49" spans="1:79" ht="17.100000000000001" customHeight="1">
      <c r="A49" s="1161" t="s">
        <v>73</v>
      </c>
      <c r="B49" s="1144" t="s">
        <v>16</v>
      </c>
      <c r="C49" s="2680" t="s">
        <v>1104</v>
      </c>
      <c r="D49" s="1145">
        <v>2</v>
      </c>
      <c r="E49" s="1139">
        <v>23</v>
      </c>
      <c r="F49" s="1139">
        <v>4</v>
      </c>
      <c r="G49" s="1139">
        <v>2</v>
      </c>
      <c r="H49" s="2717">
        <f>SUM(D49:G49)</f>
        <v>31</v>
      </c>
      <c r="I49" s="2714">
        <f t="shared" si="0"/>
        <v>0.24</v>
      </c>
      <c r="J49" s="2550"/>
      <c r="K49" s="1145">
        <v>1</v>
      </c>
      <c r="L49" s="1139">
        <v>23</v>
      </c>
      <c r="M49" s="1139">
        <v>4</v>
      </c>
      <c r="N49" s="1139">
        <v>2</v>
      </c>
      <c r="O49" s="2717">
        <f>SUM(K49:N49)</f>
        <v>30</v>
      </c>
      <c r="P49" s="2714">
        <f t="shared" si="1"/>
        <v>0.25</v>
      </c>
      <c r="Q49" s="2550"/>
      <c r="R49" s="1145">
        <v>2</v>
      </c>
      <c r="S49" s="1139">
        <v>24</v>
      </c>
      <c r="T49" s="1139">
        <v>2</v>
      </c>
      <c r="U49" s="1139">
        <v>2</v>
      </c>
      <c r="V49" s="2717">
        <f>SUM(R49:U49)</f>
        <v>30</v>
      </c>
      <c r="W49" s="2714">
        <f t="shared" si="2"/>
        <v>0.15384615384615385</v>
      </c>
      <c r="X49" s="2550"/>
      <c r="Y49" s="1145">
        <v>1</v>
      </c>
      <c r="Z49" s="1139">
        <v>26</v>
      </c>
      <c r="AA49" s="1139">
        <v>1</v>
      </c>
      <c r="AB49" s="1139">
        <v>3</v>
      </c>
      <c r="AC49" s="2717">
        <f>SUM(Y49:AB49)</f>
        <v>31</v>
      </c>
      <c r="AD49" s="2714">
        <f t="shared" si="3"/>
        <v>0.14814814814814814</v>
      </c>
      <c r="AE49" s="2550"/>
      <c r="AF49" s="1145">
        <v>1</v>
      </c>
      <c r="AG49" s="1139">
        <v>24</v>
      </c>
      <c r="AH49" s="1139">
        <v>3</v>
      </c>
      <c r="AI49" s="1139">
        <v>3</v>
      </c>
      <c r="AJ49" s="2717">
        <f t="shared" si="11"/>
        <v>31</v>
      </c>
      <c r="AK49" s="2714">
        <f t="shared" si="4"/>
        <v>0.24</v>
      </c>
      <c r="AL49" s="2550"/>
      <c r="AM49" s="1145">
        <v>3</v>
      </c>
      <c r="AN49" s="1139">
        <v>20</v>
      </c>
      <c r="AO49" s="1139">
        <v>4</v>
      </c>
      <c r="AP49" s="1139">
        <v>3</v>
      </c>
      <c r="AQ49" s="2717">
        <f t="shared" si="12"/>
        <v>30</v>
      </c>
      <c r="AR49" s="2714">
        <f t="shared" si="5"/>
        <v>0.30434782608695654</v>
      </c>
      <c r="AS49" s="2550"/>
      <c r="AT49" s="1145">
        <v>3</v>
      </c>
      <c r="AU49" s="1139">
        <v>17</v>
      </c>
      <c r="AV49" s="1139">
        <v>6</v>
      </c>
      <c r="AW49" s="1139">
        <v>3</v>
      </c>
      <c r="AX49" s="2717">
        <f t="shared" si="26"/>
        <v>29</v>
      </c>
      <c r="AY49" s="2714">
        <f>(AV49+AW49)/(AT49+AU49)</f>
        <v>0.45</v>
      </c>
      <c r="AZ49" s="2550"/>
      <c r="BA49" s="1145">
        <v>1</v>
      </c>
      <c r="BB49" s="1139">
        <v>18</v>
      </c>
      <c r="BC49" s="1139">
        <v>6</v>
      </c>
      <c r="BD49" s="1139">
        <v>4</v>
      </c>
      <c r="BE49" s="2717">
        <f>SUM(BA49:BD49)</f>
        <v>29</v>
      </c>
      <c r="BF49" s="2714">
        <f>(BC49+BD49)/(BA49+BB49)</f>
        <v>0.52631578947368418</v>
      </c>
      <c r="BG49" s="2550"/>
      <c r="BH49" s="1145">
        <v>4</v>
      </c>
      <c r="BI49" s="1139">
        <v>17</v>
      </c>
      <c r="BJ49" s="1139">
        <v>5</v>
      </c>
      <c r="BK49" s="1139">
        <v>4</v>
      </c>
      <c r="BL49" s="2717">
        <v>30</v>
      </c>
      <c r="BM49" s="2714">
        <f>(BJ49+BK49)/(BH49+BI49)</f>
        <v>0.42857142857142855</v>
      </c>
      <c r="BO49" s="1145">
        <v>3</v>
      </c>
      <c r="BP49" s="1139">
        <v>18</v>
      </c>
      <c r="BQ49" s="1139">
        <v>5</v>
      </c>
      <c r="BR49" s="1139">
        <v>4</v>
      </c>
      <c r="BS49" s="2717">
        <v>30</v>
      </c>
      <c r="BT49" s="2714">
        <f>(BQ49+BR49)/(BO49+BP49)</f>
        <v>0.42857142857142855</v>
      </c>
      <c r="BV49" s="1145">
        <v>2</v>
      </c>
      <c r="BW49" s="1139">
        <v>18</v>
      </c>
      <c r="BX49" s="1139">
        <v>5</v>
      </c>
      <c r="BY49" s="1139">
        <v>4</v>
      </c>
      <c r="BZ49" s="2717">
        <v>29</v>
      </c>
      <c r="CA49" s="2714">
        <f>(BX49+BY49)/(BV49+BW49)</f>
        <v>0.45</v>
      </c>
    </row>
    <row r="50" spans="1:79" ht="17.100000000000001" customHeight="1">
      <c r="A50" s="1161" t="s">
        <v>73</v>
      </c>
      <c r="B50" s="1144" t="s">
        <v>16</v>
      </c>
      <c r="C50" s="2680" t="s">
        <v>1131</v>
      </c>
      <c r="D50" s="1145">
        <v>1</v>
      </c>
      <c r="E50" s="1139">
        <v>21</v>
      </c>
      <c r="F50" s="1139">
        <v>21</v>
      </c>
      <c r="G50" s="1139">
        <v>7</v>
      </c>
      <c r="H50" s="2717">
        <f>SUM(D50:G50)</f>
        <v>50</v>
      </c>
      <c r="I50" s="2714">
        <f t="shared" si="0"/>
        <v>1.2727272727272727</v>
      </c>
      <c r="J50" s="2550"/>
      <c r="K50" s="1145">
        <v>1</v>
      </c>
      <c r="L50" s="1139">
        <v>22</v>
      </c>
      <c r="M50" s="1139">
        <v>21</v>
      </c>
      <c r="N50" s="1139">
        <v>7</v>
      </c>
      <c r="O50" s="2717">
        <f>SUM(K50:N50)</f>
        <v>51</v>
      </c>
      <c r="P50" s="2714">
        <f t="shared" si="1"/>
        <v>1.2173913043478262</v>
      </c>
      <c r="Q50" s="2550"/>
      <c r="R50" s="1145">
        <v>1</v>
      </c>
      <c r="S50" s="1139">
        <v>19</v>
      </c>
      <c r="T50" s="1139">
        <v>21</v>
      </c>
      <c r="U50" s="1139">
        <v>7</v>
      </c>
      <c r="V50" s="2717">
        <f>SUM(R50:U50)</f>
        <v>48</v>
      </c>
      <c r="W50" s="2714">
        <f t="shared" si="2"/>
        <v>1.4</v>
      </c>
      <c r="X50" s="2550"/>
      <c r="Y50" s="1145">
        <v>1</v>
      </c>
      <c r="Z50" s="1139">
        <v>20</v>
      </c>
      <c r="AA50" s="1139">
        <v>21</v>
      </c>
      <c r="AB50" s="1139">
        <v>7</v>
      </c>
      <c r="AC50" s="2717">
        <f>SUM(Y50:AB50)</f>
        <v>49</v>
      </c>
      <c r="AD50" s="2714">
        <f t="shared" si="3"/>
        <v>1.3333333333333333</v>
      </c>
      <c r="AE50" s="2550"/>
      <c r="AF50" s="1145">
        <v>4</v>
      </c>
      <c r="AG50" s="1139">
        <v>20</v>
      </c>
      <c r="AH50" s="1139">
        <v>21</v>
      </c>
      <c r="AI50" s="1139">
        <v>6</v>
      </c>
      <c r="AJ50" s="2717">
        <f t="shared" si="11"/>
        <v>51</v>
      </c>
      <c r="AK50" s="2714">
        <v>1</v>
      </c>
      <c r="AL50" s="2550"/>
      <c r="AM50" s="1145">
        <v>4</v>
      </c>
      <c r="AN50" s="1139">
        <v>22</v>
      </c>
      <c r="AO50" s="1139">
        <v>22</v>
      </c>
      <c r="AP50" s="1139">
        <v>7</v>
      </c>
      <c r="AQ50" s="2717">
        <f t="shared" si="12"/>
        <v>55</v>
      </c>
      <c r="AR50" s="2714">
        <v>1</v>
      </c>
      <c r="AS50" s="2550"/>
      <c r="AT50" s="1145">
        <v>3</v>
      </c>
      <c r="AU50" s="1139">
        <v>21</v>
      </c>
      <c r="AV50" s="1139">
        <v>22</v>
      </c>
      <c r="AW50" s="1139">
        <v>7</v>
      </c>
      <c r="AX50" s="2717">
        <f t="shared" si="26"/>
        <v>53</v>
      </c>
      <c r="AY50" s="2714">
        <v>1</v>
      </c>
      <c r="AZ50" s="2550"/>
      <c r="BA50" s="1145">
        <v>3</v>
      </c>
      <c r="BB50" s="1139">
        <v>22</v>
      </c>
      <c r="BC50" s="1139">
        <v>22</v>
      </c>
      <c r="BD50" s="1139">
        <v>6</v>
      </c>
      <c r="BE50" s="2717">
        <f>SUM(BA50:BD50)</f>
        <v>53</v>
      </c>
      <c r="BF50" s="2714">
        <v>1</v>
      </c>
      <c r="BG50" s="2550"/>
      <c r="BH50" s="1145">
        <v>3</v>
      </c>
      <c r="BI50" s="1139">
        <v>21</v>
      </c>
      <c r="BJ50" s="1139">
        <v>19</v>
      </c>
      <c r="BK50" s="1139">
        <v>8</v>
      </c>
      <c r="BL50" s="2717">
        <v>51</v>
      </c>
      <c r="BM50" s="2714">
        <v>1</v>
      </c>
      <c r="BO50" s="1145">
        <v>7</v>
      </c>
      <c r="BP50" s="1139">
        <v>20</v>
      </c>
      <c r="BQ50" s="1139">
        <v>17</v>
      </c>
      <c r="BR50" s="1139">
        <v>9</v>
      </c>
      <c r="BS50" s="2717">
        <v>53</v>
      </c>
      <c r="BT50" s="2714">
        <v>1</v>
      </c>
      <c r="BV50" s="1145">
        <v>6</v>
      </c>
      <c r="BW50" s="1139">
        <v>20</v>
      </c>
      <c r="BX50" s="1139">
        <v>17</v>
      </c>
      <c r="BY50" s="1139">
        <v>9</v>
      </c>
      <c r="BZ50" s="2717">
        <v>52</v>
      </c>
      <c r="CA50" s="2714">
        <v>1</v>
      </c>
    </row>
    <row r="51" spans="1:79" ht="17.100000000000001" customHeight="1" thickBot="1">
      <c r="A51" s="1166" t="s">
        <v>73</v>
      </c>
      <c r="B51" s="1147" t="s">
        <v>16</v>
      </c>
      <c r="C51" s="2682" t="s">
        <v>1105</v>
      </c>
      <c r="D51" s="1139">
        <v>2</v>
      </c>
      <c r="E51" s="1139">
        <v>15</v>
      </c>
      <c r="F51" s="1139">
        <v>13</v>
      </c>
      <c r="G51" s="1139">
        <v>5</v>
      </c>
      <c r="H51" s="2717">
        <f>SUM(D51:G51)</f>
        <v>35</v>
      </c>
      <c r="I51" s="2714">
        <f t="shared" si="0"/>
        <v>1.0588235294117647</v>
      </c>
      <c r="J51" s="2550"/>
      <c r="K51" s="1139">
        <v>2</v>
      </c>
      <c r="L51" s="1139">
        <v>15</v>
      </c>
      <c r="M51" s="1139">
        <v>12</v>
      </c>
      <c r="N51" s="1139">
        <v>4</v>
      </c>
      <c r="O51" s="2717">
        <f>SUM(K51:N51)</f>
        <v>33</v>
      </c>
      <c r="P51" s="2714">
        <f t="shared" si="1"/>
        <v>0.94117647058823528</v>
      </c>
      <c r="Q51" s="2550"/>
      <c r="R51" s="1139">
        <v>3</v>
      </c>
      <c r="S51" s="1139">
        <v>15</v>
      </c>
      <c r="T51" s="1139">
        <v>11</v>
      </c>
      <c r="U51" s="1139">
        <v>4</v>
      </c>
      <c r="V51" s="2717">
        <f>SUM(R51:U51)</f>
        <v>33</v>
      </c>
      <c r="W51" s="2714">
        <f t="shared" si="2"/>
        <v>0.83333333333333337</v>
      </c>
      <c r="X51" s="2550"/>
      <c r="Y51" s="1139">
        <v>3</v>
      </c>
      <c r="Z51" s="1139">
        <v>22</v>
      </c>
      <c r="AA51" s="1139">
        <v>8</v>
      </c>
      <c r="AB51" s="1139">
        <v>4</v>
      </c>
      <c r="AC51" s="2717">
        <f>SUM(Y51:AB51)</f>
        <v>37</v>
      </c>
      <c r="AD51" s="2714">
        <f t="shared" si="3"/>
        <v>0.48</v>
      </c>
      <c r="AE51" s="2550"/>
      <c r="AF51" s="1139">
        <v>4</v>
      </c>
      <c r="AG51" s="1139">
        <v>23</v>
      </c>
      <c r="AH51" s="1139">
        <v>6</v>
      </c>
      <c r="AI51" s="1139">
        <v>6</v>
      </c>
      <c r="AJ51" s="2717">
        <f t="shared" si="11"/>
        <v>39</v>
      </c>
      <c r="AK51" s="2714">
        <f t="shared" si="4"/>
        <v>0.44444444444444442</v>
      </c>
      <c r="AL51" s="2550"/>
      <c r="AM51" s="1139">
        <v>2</v>
      </c>
      <c r="AN51" s="1139">
        <v>23</v>
      </c>
      <c r="AO51" s="1139">
        <v>7</v>
      </c>
      <c r="AP51" s="1139">
        <v>6</v>
      </c>
      <c r="AQ51" s="2717">
        <f t="shared" si="12"/>
        <v>38</v>
      </c>
      <c r="AR51" s="2714">
        <f t="shared" si="5"/>
        <v>0.52</v>
      </c>
      <c r="AS51" s="2550"/>
      <c r="AT51" s="1139">
        <v>5</v>
      </c>
      <c r="AU51" s="1139">
        <v>24</v>
      </c>
      <c r="AV51" s="1139">
        <v>8</v>
      </c>
      <c r="AW51" s="1139">
        <v>6</v>
      </c>
      <c r="AX51" s="2717">
        <f t="shared" si="26"/>
        <v>43</v>
      </c>
      <c r="AY51" s="2714">
        <f>(AV51+AW51)/(AT51+AU51)</f>
        <v>0.48275862068965519</v>
      </c>
      <c r="AZ51" s="2550"/>
      <c r="BA51" s="1139">
        <v>2</v>
      </c>
      <c r="BB51" s="1139">
        <v>23</v>
      </c>
      <c r="BC51" s="1139">
        <v>11</v>
      </c>
      <c r="BD51" s="1139">
        <v>6</v>
      </c>
      <c r="BE51" s="2717">
        <f>SUM(BA51:BD51)</f>
        <v>42</v>
      </c>
      <c r="BF51" s="2714">
        <f>(BC51+BD51)/(BA51+BB51)</f>
        <v>0.68</v>
      </c>
      <c r="BG51" s="2550"/>
      <c r="BH51" s="1139">
        <v>2</v>
      </c>
      <c r="BI51" s="1139">
        <v>22</v>
      </c>
      <c r="BJ51" s="1139">
        <v>11</v>
      </c>
      <c r="BK51" s="1139">
        <v>6</v>
      </c>
      <c r="BL51" s="2717">
        <v>41</v>
      </c>
      <c r="BM51" s="2714">
        <f>(BJ51+BK51)/(BH51+BI51)</f>
        <v>0.70833333333333337</v>
      </c>
      <c r="BO51" s="1139">
        <v>4</v>
      </c>
      <c r="BP51" s="1139">
        <v>22</v>
      </c>
      <c r="BQ51" s="1139">
        <v>11</v>
      </c>
      <c r="BR51" s="1139">
        <v>6</v>
      </c>
      <c r="BS51" s="2717">
        <v>43</v>
      </c>
      <c r="BT51" s="2714">
        <f>(BQ51+BR51)/(BO51+BP51)</f>
        <v>0.65384615384615385</v>
      </c>
      <c r="BV51" s="1139">
        <v>4</v>
      </c>
      <c r="BW51" s="1139">
        <v>22</v>
      </c>
      <c r="BX51" s="1139">
        <v>11</v>
      </c>
      <c r="BY51" s="1139">
        <v>6</v>
      </c>
      <c r="BZ51" s="2717">
        <v>43</v>
      </c>
      <c r="CA51" s="2714">
        <f>(BX51+BY51)/(BV51+BW51)</f>
        <v>0.65384615384615385</v>
      </c>
    </row>
    <row r="52" spans="1:79" ht="17.100000000000001" customHeight="1">
      <c r="A52" s="5983" t="s">
        <v>1594</v>
      </c>
      <c r="B52" s="5984"/>
      <c r="C52" s="5984"/>
      <c r="D52" s="1141">
        <f>SUM(D48:D51)</f>
        <v>6</v>
      </c>
      <c r="E52" s="1141">
        <f>SUM(E48:E51)</f>
        <v>66</v>
      </c>
      <c r="F52" s="1141">
        <f>SUM(F48:F51)</f>
        <v>48</v>
      </c>
      <c r="G52" s="1141">
        <f>SUM(G48:G51)</f>
        <v>17</v>
      </c>
      <c r="H52" s="2724">
        <f>SUM(H48:H51)</f>
        <v>137</v>
      </c>
      <c r="I52" s="2716">
        <f t="shared" si="0"/>
        <v>0.90277777777777779</v>
      </c>
      <c r="J52" s="2550"/>
      <c r="K52" s="1141">
        <f>SUM(K48:K51)</f>
        <v>4</v>
      </c>
      <c r="L52" s="1141">
        <f>SUM(L48:L51)</f>
        <v>67</v>
      </c>
      <c r="M52" s="1141">
        <f>SUM(M48:M51)</f>
        <v>47</v>
      </c>
      <c r="N52" s="1141">
        <f>SUM(N48:N51)</f>
        <v>16</v>
      </c>
      <c r="O52" s="2724">
        <f>SUM(O48:O51)</f>
        <v>134</v>
      </c>
      <c r="P52" s="2716">
        <f t="shared" si="1"/>
        <v>0.88732394366197187</v>
      </c>
      <c r="Q52" s="2550"/>
      <c r="R52" s="1141">
        <f>SUM(R48:R51)</f>
        <v>6</v>
      </c>
      <c r="S52" s="1141">
        <f>SUM(S48:S51)</f>
        <v>64</v>
      </c>
      <c r="T52" s="1141">
        <f>SUM(T48:T51)</f>
        <v>45</v>
      </c>
      <c r="U52" s="1141">
        <f>SUM(U48:U51)</f>
        <v>16</v>
      </c>
      <c r="V52" s="2724">
        <f>SUM(V48:V51)</f>
        <v>131</v>
      </c>
      <c r="W52" s="2716">
        <f t="shared" si="2"/>
        <v>0.87142857142857144</v>
      </c>
      <c r="X52" s="2550"/>
      <c r="Y52" s="1141">
        <f>SUM(Y48:Y51)</f>
        <v>5</v>
      </c>
      <c r="Z52" s="1141">
        <f>SUM(Z48:Z51)</f>
        <v>73</v>
      </c>
      <c r="AA52" s="1141">
        <f>SUM(AA48:AA51)</f>
        <v>43</v>
      </c>
      <c r="AB52" s="1141">
        <f>SUM(AB48:AB51)</f>
        <v>16</v>
      </c>
      <c r="AC52" s="2724">
        <f>SUM(AC48:AC51)</f>
        <v>137</v>
      </c>
      <c r="AD52" s="2716">
        <f t="shared" si="3"/>
        <v>0.75641025641025639</v>
      </c>
      <c r="AE52" s="2550"/>
      <c r="AF52" s="1141">
        <f>SUM(AF48:AF51)</f>
        <v>9</v>
      </c>
      <c r="AG52" s="1141">
        <f>SUM(AG48:AG51)</f>
        <v>72</v>
      </c>
      <c r="AH52" s="1141">
        <f>SUM(AH48:AH51)</f>
        <v>40</v>
      </c>
      <c r="AI52" s="1141">
        <f>SUM(AI48:AI51)</f>
        <v>18</v>
      </c>
      <c r="AJ52" s="2724">
        <f t="shared" si="11"/>
        <v>139</v>
      </c>
      <c r="AK52" s="2716">
        <f t="shared" si="4"/>
        <v>0.71604938271604934</v>
      </c>
      <c r="AL52" s="2550"/>
      <c r="AM52" s="1141">
        <v>11</v>
      </c>
      <c r="AN52" s="1141">
        <v>71</v>
      </c>
      <c r="AO52" s="1141">
        <v>44</v>
      </c>
      <c r="AP52" s="1141">
        <v>19</v>
      </c>
      <c r="AQ52" s="2724">
        <f t="shared" si="12"/>
        <v>145</v>
      </c>
      <c r="AR52" s="2716">
        <f t="shared" si="5"/>
        <v>0.76829268292682928</v>
      </c>
      <c r="AS52" s="2550"/>
      <c r="AT52" s="1141">
        <f>SUM(AT48:AT51)</f>
        <v>13</v>
      </c>
      <c r="AU52" s="1141">
        <f>SUM(AU48:AU51)</f>
        <v>68</v>
      </c>
      <c r="AV52" s="1141">
        <f>SUM(AV48:AV51)</f>
        <v>48</v>
      </c>
      <c r="AW52" s="1141">
        <f>SUM(AW48:AW51)</f>
        <v>20</v>
      </c>
      <c r="AX52" s="2724">
        <f>SUM(AX48:AX51)</f>
        <v>149</v>
      </c>
      <c r="AY52" s="2716">
        <f>(AV52+AW52)/(AT52+AU52)</f>
        <v>0.83950617283950613</v>
      </c>
      <c r="AZ52" s="2550"/>
      <c r="BA52" s="1141">
        <v>8</v>
      </c>
      <c r="BB52" s="1141">
        <v>69</v>
      </c>
      <c r="BC52" s="1141">
        <v>49</v>
      </c>
      <c r="BD52" s="1141">
        <v>22</v>
      </c>
      <c r="BE52" s="2724">
        <f>SUM(BE48:BE51)</f>
        <v>148</v>
      </c>
      <c r="BF52" s="2716">
        <f>(BC52+BD52)/(BA52+BB52)</f>
        <v>0.92207792207792205</v>
      </c>
      <c r="BG52" s="2550"/>
      <c r="BH52" s="1141">
        <v>10</v>
      </c>
      <c r="BI52" s="1141">
        <v>67</v>
      </c>
      <c r="BJ52" s="1141">
        <v>45</v>
      </c>
      <c r="BK52" s="1141">
        <v>23</v>
      </c>
      <c r="BL52" s="2724">
        <v>145</v>
      </c>
      <c r="BM52" s="2716">
        <f>(BJ52+BK52)/(BH52+BI52)</f>
        <v>0.88311688311688308</v>
      </c>
      <c r="BO52" s="1141">
        <v>16</v>
      </c>
      <c r="BP52" s="1141">
        <v>67</v>
      </c>
      <c r="BQ52" s="1141">
        <v>41</v>
      </c>
      <c r="BR52" s="1141">
        <v>25</v>
      </c>
      <c r="BS52" s="2724">
        <v>149</v>
      </c>
      <c r="BT52" s="2716">
        <f>(BQ52+BR52)/(BO52+BP52)</f>
        <v>0.79518072289156627</v>
      </c>
      <c r="BV52" s="1141">
        <f>SUM(BV48:BV51)</f>
        <v>13</v>
      </c>
      <c r="BW52" s="1141">
        <f t="shared" ref="BW52:BZ52" si="34">SUM(BW48:BW51)</f>
        <v>65</v>
      </c>
      <c r="BX52" s="1141">
        <f t="shared" si="34"/>
        <v>41</v>
      </c>
      <c r="BY52" s="1141">
        <f t="shared" si="34"/>
        <v>25</v>
      </c>
      <c r="BZ52" s="1141">
        <f t="shared" si="34"/>
        <v>144</v>
      </c>
      <c r="CA52" s="2716">
        <f>(BX52+BY52)/(BV52+BW52)</f>
        <v>0.84615384615384615</v>
      </c>
    </row>
    <row r="53" spans="1:79" ht="17.100000000000001" customHeight="1">
      <c r="A53" s="5985" t="s">
        <v>1024</v>
      </c>
      <c r="B53" s="5986"/>
      <c r="C53" s="5986"/>
      <c r="D53" s="2595">
        <f>SUM(D52,D47,D41)</f>
        <v>35</v>
      </c>
      <c r="E53" s="2595">
        <f>SUM(E52,E47,E41)</f>
        <v>206</v>
      </c>
      <c r="F53" s="2595">
        <f>SUM(F52,F47,F41)</f>
        <v>101</v>
      </c>
      <c r="G53" s="2595">
        <f>SUM(G52,G47,G41)</f>
        <v>72</v>
      </c>
      <c r="H53" s="2728">
        <f>SUM(H41,H47,H52)</f>
        <v>414</v>
      </c>
      <c r="I53" s="2729">
        <f t="shared" si="0"/>
        <v>0.71784232365145229</v>
      </c>
      <c r="J53" s="2550"/>
      <c r="K53" s="2595">
        <f>SUM(K52,K47,K41)</f>
        <v>30</v>
      </c>
      <c r="L53" s="2595">
        <f>SUM(L52,L47,L41)</f>
        <v>206</v>
      </c>
      <c r="M53" s="2595">
        <f>SUM(M52,M47,M41)</f>
        <v>100</v>
      </c>
      <c r="N53" s="2595">
        <f>SUM(N52,N47,N41)</f>
        <v>69</v>
      </c>
      <c r="O53" s="2728">
        <f>SUM(O41,O47,O52)</f>
        <v>405</v>
      </c>
      <c r="P53" s="2729">
        <f t="shared" si="1"/>
        <v>0.71610169491525422</v>
      </c>
      <c r="Q53" s="2550"/>
      <c r="R53" s="2595">
        <f>SUM(R52,R47,R41)</f>
        <v>35</v>
      </c>
      <c r="S53" s="2595">
        <f>SUM(S52,S47,S41)</f>
        <v>202</v>
      </c>
      <c r="T53" s="2595">
        <f>SUM(T52,T47,T41)</f>
        <v>99</v>
      </c>
      <c r="U53" s="2595">
        <f>SUM(U52,U47,U41)</f>
        <v>71</v>
      </c>
      <c r="V53" s="2728">
        <f>SUM(V41,V47,V52)</f>
        <v>407</v>
      </c>
      <c r="W53" s="2729">
        <f t="shared" si="2"/>
        <v>0.71729957805907174</v>
      </c>
      <c r="X53" s="2550"/>
      <c r="Y53" s="2595">
        <f>SUM(Y52,Y47,Y41)</f>
        <v>46</v>
      </c>
      <c r="Z53" s="2595">
        <f>SUM(Z52,Z47,Z41)</f>
        <v>216</v>
      </c>
      <c r="AA53" s="2595">
        <f>SUM(AA52,AA47,AA41)</f>
        <v>109</v>
      </c>
      <c r="AB53" s="2595">
        <f>SUM(AB52,AB47,AB41)</f>
        <v>79</v>
      </c>
      <c r="AC53" s="2728">
        <f>SUM(AC41,AC47,AC52)</f>
        <v>450</v>
      </c>
      <c r="AD53" s="2729">
        <f t="shared" si="3"/>
        <v>0.71755725190839692</v>
      </c>
      <c r="AE53" s="2550"/>
      <c r="AF53" s="2595">
        <f>SUM(AF52,AF47,AF41)</f>
        <v>54</v>
      </c>
      <c r="AG53" s="2595">
        <f>SUM(AG52,AG47,AG41)</f>
        <v>218</v>
      </c>
      <c r="AH53" s="2595">
        <f>SUM(AH52,AH47,AH41)</f>
        <v>107</v>
      </c>
      <c r="AI53" s="2595">
        <f>SUM(AI52,AI47,AI41)</f>
        <v>82</v>
      </c>
      <c r="AJ53" s="2728">
        <f t="shared" si="11"/>
        <v>461</v>
      </c>
      <c r="AK53" s="2729">
        <f t="shared" si="4"/>
        <v>0.69485294117647056</v>
      </c>
      <c r="AL53" s="2550"/>
      <c r="AM53" s="2595">
        <v>56</v>
      </c>
      <c r="AN53" s="2595">
        <v>230</v>
      </c>
      <c r="AO53" s="2595">
        <v>108</v>
      </c>
      <c r="AP53" s="2595">
        <v>83</v>
      </c>
      <c r="AQ53" s="2728">
        <f t="shared" si="12"/>
        <v>477</v>
      </c>
      <c r="AR53" s="2729">
        <f t="shared" si="5"/>
        <v>0.66783216783216781</v>
      </c>
      <c r="AS53" s="2550"/>
      <c r="AT53" s="2595">
        <f>SUM(AT41,AT47,AT52)</f>
        <v>67</v>
      </c>
      <c r="AU53" s="2595">
        <f>SUM(AU41,AU47,AU52)</f>
        <v>237</v>
      </c>
      <c r="AV53" s="2595">
        <f>SUM(AV41,AV47,AV52)</f>
        <v>112</v>
      </c>
      <c r="AW53" s="2595">
        <f>SUM(AW41,AW47,AW52)</f>
        <v>85</v>
      </c>
      <c r="AX53" s="2728">
        <f>SUM(AX41,AX47,AX52)</f>
        <v>501</v>
      </c>
      <c r="AY53" s="2729">
        <f>(AV53+AW53)/(AT53+AU53)</f>
        <v>0.64802631578947367</v>
      </c>
      <c r="AZ53" s="2550"/>
      <c r="BA53" s="2595">
        <v>57</v>
      </c>
      <c r="BB53" s="2595">
        <v>232</v>
      </c>
      <c r="BC53" s="2595">
        <v>111</v>
      </c>
      <c r="BD53" s="2595">
        <v>92</v>
      </c>
      <c r="BE53" s="2728">
        <f>SUM(BE41,BE47,BE52)</f>
        <v>492</v>
      </c>
      <c r="BF53" s="2729">
        <f>(BC53+BD53)/(BA53+BB53)</f>
        <v>0.70242214532871972</v>
      </c>
      <c r="BG53" s="2550"/>
      <c r="BH53" s="2595">
        <v>44</v>
      </c>
      <c r="BI53" s="2595">
        <v>235</v>
      </c>
      <c r="BJ53" s="2595">
        <v>105</v>
      </c>
      <c r="BK53" s="2595">
        <v>91</v>
      </c>
      <c r="BL53" s="2728">
        <v>475</v>
      </c>
      <c r="BM53" s="2729">
        <f>(BJ53+BK53)/(BH53+BI53)</f>
        <v>0.70250896057347667</v>
      </c>
      <c r="BO53" s="2595">
        <v>56</v>
      </c>
      <c r="BP53" s="2595">
        <v>233</v>
      </c>
      <c r="BQ53" s="2595">
        <v>107</v>
      </c>
      <c r="BR53" s="2595">
        <v>93</v>
      </c>
      <c r="BS53" s="2728">
        <v>489</v>
      </c>
      <c r="BT53" s="2729">
        <f>(BQ53+BR53)/(BO53+BP53)</f>
        <v>0.69204152249134943</v>
      </c>
      <c r="BV53" s="2595">
        <f>SUM(BV41,BV47,BV52)</f>
        <v>59</v>
      </c>
      <c r="BW53" s="2595">
        <f t="shared" ref="BW53:BZ53" si="35">SUM(BW41,BW47,BW52)</f>
        <v>233</v>
      </c>
      <c r="BX53" s="2595">
        <f t="shared" si="35"/>
        <v>107</v>
      </c>
      <c r="BY53" s="2595">
        <f t="shared" si="35"/>
        <v>93</v>
      </c>
      <c r="BZ53" s="2595">
        <f t="shared" si="35"/>
        <v>492</v>
      </c>
      <c r="CA53" s="2729">
        <f>(BX53+BY53)/(BV53+BW53)</f>
        <v>0.68493150684931503</v>
      </c>
    </row>
    <row r="54" spans="1:79" ht="17.100000000000001" customHeight="1">
      <c r="A54" s="1161" t="s">
        <v>82</v>
      </c>
      <c r="B54" s="1143" t="s">
        <v>4</v>
      </c>
      <c r="C54" s="2685" t="s">
        <v>1133</v>
      </c>
      <c r="D54" s="1142"/>
      <c r="E54" s="1142"/>
      <c r="F54" s="1142"/>
      <c r="G54" s="1142"/>
      <c r="H54" s="2730"/>
      <c r="I54" s="2722"/>
      <c r="J54" s="2550"/>
      <c r="K54" s="1142"/>
      <c r="L54" s="1142"/>
      <c r="M54" s="1142"/>
      <c r="N54" s="1142"/>
      <c r="O54" s="2730"/>
      <c r="P54" s="2722"/>
      <c r="Q54" s="2550"/>
      <c r="R54" s="1142"/>
      <c r="S54" s="1142"/>
      <c r="T54" s="1142"/>
      <c r="U54" s="1142"/>
      <c r="V54" s="2730">
        <f>SUM(R54:U54)</f>
        <v>0</v>
      </c>
      <c r="W54" s="2722"/>
      <c r="X54" s="2550"/>
      <c r="Y54" s="1142">
        <v>1</v>
      </c>
      <c r="Z54" s="1142"/>
      <c r="AA54" s="1142"/>
      <c r="AB54" s="1142"/>
      <c r="AC54" s="2730">
        <f>SUM(Y54:AB54)</f>
        <v>1</v>
      </c>
      <c r="AD54" s="2722">
        <f t="shared" si="3"/>
        <v>0</v>
      </c>
      <c r="AE54" s="2550"/>
      <c r="AF54" s="1142">
        <v>1</v>
      </c>
      <c r="AG54" s="1142"/>
      <c r="AH54" s="1142"/>
      <c r="AI54" s="1142"/>
      <c r="AJ54" s="2730">
        <f t="shared" si="11"/>
        <v>1</v>
      </c>
      <c r="AK54" s="2722">
        <f t="shared" si="4"/>
        <v>0</v>
      </c>
      <c r="AL54" s="2550"/>
      <c r="AM54" s="1142">
        <v>1</v>
      </c>
      <c r="AN54" s="1142"/>
      <c r="AO54" s="1142"/>
      <c r="AP54" s="1142"/>
      <c r="AQ54" s="2730">
        <f t="shared" si="12"/>
        <v>1</v>
      </c>
      <c r="AR54" s="2722">
        <f t="shared" si="5"/>
        <v>0</v>
      </c>
      <c r="AS54" s="2550"/>
      <c r="AT54" s="1142"/>
      <c r="AU54" s="1142"/>
      <c r="AV54" s="1142"/>
      <c r="AW54" s="1142"/>
      <c r="AX54" s="2730">
        <f>SUM(AT54:AW54)</f>
        <v>0</v>
      </c>
      <c r="AY54" s="2722"/>
      <c r="AZ54" s="2550"/>
      <c r="BA54" s="1142">
        <v>0</v>
      </c>
      <c r="BB54" s="1142">
        <v>1</v>
      </c>
      <c r="BC54" s="1142"/>
      <c r="BD54" s="1142"/>
      <c r="BE54" s="2730">
        <f>SUM(BA54:BD54)</f>
        <v>1</v>
      </c>
      <c r="BF54" s="2722"/>
      <c r="BG54" s="2550"/>
      <c r="BH54" s="1142">
        <v>1</v>
      </c>
      <c r="BI54" s="1142">
        <v>1</v>
      </c>
      <c r="BJ54" s="1142"/>
      <c r="BK54" s="1142"/>
      <c r="BL54" s="2730">
        <v>2</v>
      </c>
      <c r="BM54" s="2722"/>
      <c r="BO54" s="1142">
        <v>2</v>
      </c>
      <c r="BP54" s="1142">
        <v>1</v>
      </c>
      <c r="BQ54" s="1142"/>
      <c r="BR54" s="1142"/>
      <c r="BS54" s="2730">
        <v>3</v>
      </c>
      <c r="BT54" s="2722"/>
      <c r="BV54" s="1142">
        <v>1</v>
      </c>
      <c r="BW54" s="1142">
        <v>2</v>
      </c>
      <c r="BX54" s="1142"/>
      <c r="BY54" s="1142"/>
      <c r="BZ54" s="2730">
        <v>3</v>
      </c>
      <c r="CA54" s="2722"/>
    </row>
    <row r="55" spans="1:79" ht="17.100000000000001" customHeight="1">
      <c r="A55" s="1161" t="s">
        <v>82</v>
      </c>
      <c r="B55" s="1144" t="s">
        <v>4</v>
      </c>
      <c r="C55" s="2686" t="s">
        <v>1134</v>
      </c>
      <c r="D55" s="1139"/>
      <c r="E55" s="1139">
        <v>2</v>
      </c>
      <c r="F55" s="1139"/>
      <c r="G55" s="1139"/>
      <c r="H55" s="2717">
        <f>SUM(D55:G55)</f>
        <v>2</v>
      </c>
      <c r="I55" s="2714">
        <f t="shared" si="0"/>
        <v>0</v>
      </c>
      <c r="J55" s="2550"/>
      <c r="K55" s="1139">
        <v>1</v>
      </c>
      <c r="L55" s="1139">
        <v>3</v>
      </c>
      <c r="M55" s="1139"/>
      <c r="N55" s="1139"/>
      <c r="O55" s="2717">
        <f>SUM(K55:N55)</f>
        <v>4</v>
      </c>
      <c r="P55" s="2714">
        <f t="shared" si="1"/>
        <v>0</v>
      </c>
      <c r="Q55" s="2550"/>
      <c r="R55" s="1139"/>
      <c r="S55" s="1139">
        <v>3</v>
      </c>
      <c r="T55" s="1139"/>
      <c r="U55" s="1139"/>
      <c r="V55" s="2717">
        <f>SUM(R55:U55)</f>
        <v>3</v>
      </c>
      <c r="W55" s="2714">
        <f t="shared" si="2"/>
        <v>0</v>
      </c>
      <c r="X55" s="2550"/>
      <c r="Y55" s="1139"/>
      <c r="Z55" s="1139">
        <v>7</v>
      </c>
      <c r="AA55" s="1139"/>
      <c r="AB55" s="1139"/>
      <c r="AC55" s="2717">
        <f>SUM(Y55:AB55)</f>
        <v>7</v>
      </c>
      <c r="AD55" s="2714">
        <f t="shared" si="3"/>
        <v>0</v>
      </c>
      <c r="AE55" s="2550"/>
      <c r="AF55" s="1139"/>
      <c r="AG55" s="1139">
        <v>4</v>
      </c>
      <c r="AH55" s="1139"/>
      <c r="AI55" s="1139"/>
      <c r="AJ55" s="2717">
        <f t="shared" si="11"/>
        <v>4</v>
      </c>
      <c r="AK55" s="2714">
        <f t="shared" si="4"/>
        <v>0</v>
      </c>
      <c r="AL55" s="2550"/>
      <c r="AM55" s="1139">
        <v>2</v>
      </c>
      <c r="AN55" s="1139">
        <v>4</v>
      </c>
      <c r="AO55" s="1139">
        <v>1</v>
      </c>
      <c r="AP55" s="1139"/>
      <c r="AQ55" s="2717">
        <f t="shared" si="12"/>
        <v>7</v>
      </c>
      <c r="AR55" s="2714">
        <f t="shared" si="5"/>
        <v>0.16666666666666666</v>
      </c>
      <c r="AS55" s="2550"/>
      <c r="AT55" s="1139">
        <v>3</v>
      </c>
      <c r="AU55" s="1139">
        <v>5</v>
      </c>
      <c r="AV55" s="1139">
        <v>1</v>
      </c>
      <c r="AW55" s="1139"/>
      <c r="AX55" s="2717">
        <f t="shared" ref="AX55:AX64" si="36">SUM(AT55:AW55)</f>
        <v>9</v>
      </c>
      <c r="AY55" s="2714">
        <f>(AV55+AW55)/(AT55+AU55)</f>
        <v>0.125</v>
      </c>
      <c r="AZ55" s="2550"/>
      <c r="BA55" s="1139">
        <v>3</v>
      </c>
      <c r="BB55" s="1139">
        <v>6</v>
      </c>
      <c r="BC55" s="1139">
        <v>1</v>
      </c>
      <c r="BD55" s="1139"/>
      <c r="BE55" s="2717">
        <f>SUM(BA55:BD55)</f>
        <v>10</v>
      </c>
      <c r="BF55" s="2714">
        <f>(BC55+BD55)/(BA55+BB55)</f>
        <v>0.1111111111111111</v>
      </c>
      <c r="BG55" s="2550"/>
      <c r="BH55" s="1139"/>
      <c r="BI55" s="1139">
        <v>7</v>
      </c>
      <c r="BJ55" s="1139">
        <v>1</v>
      </c>
      <c r="BK55" s="1139"/>
      <c r="BL55" s="2717">
        <v>8</v>
      </c>
      <c r="BM55" s="2714">
        <f>(BJ55+BK55)/(BH55+BI55)</f>
        <v>0.14285714285714285</v>
      </c>
      <c r="BO55" s="1139">
        <v>1</v>
      </c>
      <c r="BP55" s="1139">
        <v>6</v>
      </c>
      <c r="BQ55" s="1139">
        <v>1</v>
      </c>
      <c r="BR55" s="1139"/>
      <c r="BS55" s="2717">
        <v>8</v>
      </c>
      <c r="BT55" s="2714">
        <f>(BQ55+BR55)/(BO55+BP55)</f>
        <v>0.14285714285714285</v>
      </c>
      <c r="BV55" s="1139">
        <v>2</v>
      </c>
      <c r="BW55" s="1139">
        <v>6</v>
      </c>
      <c r="BX55" s="1139">
        <v>1</v>
      </c>
      <c r="BY55" s="1139"/>
      <c r="BZ55" s="2717">
        <v>9</v>
      </c>
      <c r="CA55" s="2714">
        <f>(BX55+BY55)/(BV55+BW55)</f>
        <v>0.125</v>
      </c>
    </row>
    <row r="56" spans="1:79" ht="17.100000000000001" customHeight="1" thickBot="1">
      <c r="A56" s="1161" t="s">
        <v>82</v>
      </c>
      <c r="B56" s="1144" t="s">
        <v>4</v>
      </c>
      <c r="C56" s="2687" t="s">
        <v>1135</v>
      </c>
      <c r="D56" s="1139"/>
      <c r="E56" s="1139"/>
      <c r="F56" s="1139"/>
      <c r="G56" s="1139"/>
      <c r="H56" s="2717"/>
      <c r="I56" s="2714"/>
      <c r="J56" s="2550"/>
      <c r="K56" s="1139"/>
      <c r="L56" s="1139"/>
      <c r="M56" s="1139"/>
      <c r="N56" s="1139"/>
      <c r="O56" s="2717"/>
      <c r="P56" s="2714"/>
      <c r="Q56" s="2550"/>
      <c r="R56" s="1139">
        <v>1</v>
      </c>
      <c r="S56" s="1139"/>
      <c r="T56" s="1139"/>
      <c r="U56" s="1139"/>
      <c r="V56" s="2717">
        <f>SUM(R56:U56)</f>
        <v>1</v>
      </c>
      <c r="W56" s="2714">
        <f t="shared" si="2"/>
        <v>0</v>
      </c>
      <c r="X56" s="2550"/>
      <c r="Y56" s="1139"/>
      <c r="Z56" s="1139">
        <v>1</v>
      </c>
      <c r="AA56" s="1139"/>
      <c r="AB56" s="1139"/>
      <c r="AC56" s="2717">
        <f>SUM(Y56:AB56)</f>
        <v>1</v>
      </c>
      <c r="AD56" s="2714">
        <f t="shared" si="3"/>
        <v>0</v>
      </c>
      <c r="AE56" s="2550"/>
      <c r="AF56" s="1139"/>
      <c r="AG56" s="1139">
        <v>1</v>
      </c>
      <c r="AH56" s="1139"/>
      <c r="AI56" s="1139"/>
      <c r="AJ56" s="2717">
        <f t="shared" si="11"/>
        <v>1</v>
      </c>
      <c r="AK56" s="2714">
        <f t="shared" si="4"/>
        <v>0</v>
      </c>
      <c r="AL56" s="2550"/>
      <c r="AM56" s="1139"/>
      <c r="AN56" s="1139"/>
      <c r="AO56" s="1139"/>
      <c r="AP56" s="1139"/>
      <c r="AQ56" s="2717">
        <f t="shared" si="12"/>
        <v>0</v>
      </c>
      <c r="AR56" s="2714"/>
      <c r="AS56" s="2550"/>
      <c r="AT56" s="1139"/>
      <c r="AU56" s="1139"/>
      <c r="AV56" s="1139"/>
      <c r="AW56" s="1139"/>
      <c r="AX56" s="2717">
        <f t="shared" si="36"/>
        <v>0</v>
      </c>
      <c r="AY56" s="2714"/>
      <c r="AZ56" s="2550"/>
      <c r="BA56" s="1139">
        <v>2</v>
      </c>
      <c r="BB56" s="1139"/>
      <c r="BC56" s="1139"/>
      <c r="BD56" s="1139"/>
      <c r="BE56" s="2717">
        <f>SUM(BA56:BD56)</f>
        <v>2</v>
      </c>
      <c r="BF56" s="2714"/>
      <c r="BG56" s="2550"/>
      <c r="BH56" s="1139">
        <v>4</v>
      </c>
      <c r="BI56" s="1139"/>
      <c r="BJ56" s="1139"/>
      <c r="BK56" s="1139"/>
      <c r="BL56" s="2717">
        <v>4</v>
      </c>
      <c r="BM56" s="2714"/>
      <c r="BO56" s="1139">
        <v>4</v>
      </c>
      <c r="BP56" s="1139">
        <v>1</v>
      </c>
      <c r="BQ56" s="1139"/>
      <c r="BR56" s="1139"/>
      <c r="BS56" s="2717">
        <v>5</v>
      </c>
      <c r="BT56" s="2714"/>
      <c r="BV56" s="1139">
        <v>4</v>
      </c>
      <c r="BW56" s="1139"/>
      <c r="BX56" s="1139"/>
      <c r="BY56" s="1139"/>
      <c r="BZ56" s="2717">
        <v>4</v>
      </c>
      <c r="CA56" s="2714"/>
    </row>
    <row r="57" spans="1:79" ht="17.100000000000001" customHeight="1" thickBot="1">
      <c r="A57" s="5993" t="s">
        <v>1593</v>
      </c>
      <c r="B57" s="5994"/>
      <c r="C57" s="5994"/>
      <c r="D57" s="1150">
        <f>SUM(D55)</f>
        <v>0</v>
      </c>
      <c r="E57" s="1150">
        <f>SUM(E55)</f>
        <v>2</v>
      </c>
      <c r="F57" s="1150">
        <f>SUM(F55)</f>
        <v>0</v>
      </c>
      <c r="G57" s="1150">
        <f>SUM(G55)</f>
        <v>0</v>
      </c>
      <c r="H57" s="2723">
        <f>SUM(H55)</f>
        <v>2</v>
      </c>
      <c r="I57" s="2716">
        <f t="shared" si="0"/>
        <v>0</v>
      </c>
      <c r="J57" s="2550"/>
      <c r="K57" s="1150">
        <f>SUM(K55)</f>
        <v>1</v>
      </c>
      <c r="L57" s="1150">
        <f>SUM(L55)</f>
        <v>3</v>
      </c>
      <c r="M57" s="1150">
        <f>SUM(M55)</f>
        <v>0</v>
      </c>
      <c r="N57" s="1150">
        <f>SUM(N55)</f>
        <v>0</v>
      </c>
      <c r="O57" s="2723">
        <f>SUM(O55)</f>
        <v>4</v>
      </c>
      <c r="P57" s="2716">
        <f t="shared" si="1"/>
        <v>0</v>
      </c>
      <c r="Q57" s="2550"/>
      <c r="R57" s="1150">
        <f>SUM(R54:R56)</f>
        <v>1</v>
      </c>
      <c r="S57" s="1150">
        <f>SUM(S54:S56)</f>
        <v>3</v>
      </c>
      <c r="T57" s="1150">
        <f>SUM(T54:T56)</f>
        <v>0</v>
      </c>
      <c r="U57" s="1150">
        <f>SUM(U54:U56)</f>
        <v>0</v>
      </c>
      <c r="V57" s="2723">
        <f>SUM(V54:V56)</f>
        <v>4</v>
      </c>
      <c r="W57" s="2716">
        <f t="shared" si="2"/>
        <v>0</v>
      </c>
      <c r="X57" s="2550"/>
      <c r="Y57" s="1150">
        <f>SUM(Y54:Y56)</f>
        <v>1</v>
      </c>
      <c r="Z57" s="1150">
        <f>SUM(Z54:Z56)</f>
        <v>8</v>
      </c>
      <c r="AA57" s="1150">
        <f>SUM(AA54:AA56)</f>
        <v>0</v>
      </c>
      <c r="AB57" s="1150">
        <f>SUM(AB54:AB56)</f>
        <v>0</v>
      </c>
      <c r="AC57" s="2723">
        <f>SUM(AC54:AC56)</f>
        <v>9</v>
      </c>
      <c r="AD57" s="2716">
        <f t="shared" si="3"/>
        <v>0</v>
      </c>
      <c r="AE57" s="2550"/>
      <c r="AF57" s="1150">
        <f>SUM(AF54:AF56)</f>
        <v>1</v>
      </c>
      <c r="AG57" s="1150">
        <f>SUM(AG54:AG56)</f>
        <v>5</v>
      </c>
      <c r="AH57" s="1150">
        <f>SUM(AH54:AH56)</f>
        <v>0</v>
      </c>
      <c r="AI57" s="1150">
        <f>SUM(AI54:AI56)</f>
        <v>0</v>
      </c>
      <c r="AJ57" s="2723">
        <f t="shared" si="11"/>
        <v>6</v>
      </c>
      <c r="AK57" s="2716">
        <f t="shared" si="4"/>
        <v>0</v>
      </c>
      <c r="AL57" s="2550"/>
      <c r="AM57" s="1150">
        <v>3</v>
      </c>
      <c r="AN57" s="1150">
        <v>4</v>
      </c>
      <c r="AO57" s="1150">
        <v>1</v>
      </c>
      <c r="AP57" s="1150">
        <v>0</v>
      </c>
      <c r="AQ57" s="2723">
        <f t="shared" si="12"/>
        <v>8</v>
      </c>
      <c r="AR57" s="2716">
        <f t="shared" si="5"/>
        <v>0.14285714285714285</v>
      </c>
      <c r="AS57" s="2550"/>
      <c r="AT57" s="1150">
        <f>SUM(AT54:AT56)</f>
        <v>3</v>
      </c>
      <c r="AU57" s="1150">
        <f>SUM(AU54:AU56)</f>
        <v>5</v>
      </c>
      <c r="AV57" s="1150">
        <f>SUM(AV54:AV56)</f>
        <v>1</v>
      </c>
      <c r="AW57" s="1150">
        <f>SUM(AW54:AW56)</f>
        <v>0</v>
      </c>
      <c r="AX57" s="2723">
        <f>SUM(AX54:AX56)</f>
        <v>9</v>
      </c>
      <c r="AY57" s="2716">
        <f t="shared" ref="AY57:AY63" si="37">(AV57+AW57)/(AT57+AU57)</f>
        <v>0.125</v>
      </c>
      <c r="AZ57" s="2550"/>
      <c r="BA57" s="1150">
        <v>5</v>
      </c>
      <c r="BB57" s="1150">
        <v>7</v>
      </c>
      <c r="BC57" s="1150">
        <v>1</v>
      </c>
      <c r="BD57" s="1150">
        <v>0</v>
      </c>
      <c r="BE57" s="2723">
        <f>SUM(BE54:BE56)</f>
        <v>13</v>
      </c>
      <c r="BF57" s="2716">
        <f t="shared" ref="BF57:BF77" si="38">(BC57+BD57)/(BA57+BB57)</f>
        <v>8.3333333333333329E-2</v>
      </c>
      <c r="BG57" s="2550"/>
      <c r="BH57" s="1150">
        <v>5</v>
      </c>
      <c r="BI57" s="1150">
        <v>8</v>
      </c>
      <c r="BJ57" s="1150">
        <v>1</v>
      </c>
      <c r="BK57" s="1150">
        <v>0</v>
      </c>
      <c r="BL57" s="2723">
        <v>14</v>
      </c>
      <c r="BM57" s="2716">
        <f t="shared" ref="BM57:BM77" si="39">(BJ57+BK57)/(BH57+BI57)</f>
        <v>7.6923076923076927E-2</v>
      </c>
      <c r="BO57" s="1150">
        <v>7</v>
      </c>
      <c r="BP57" s="1150">
        <v>8</v>
      </c>
      <c r="BQ57" s="1150">
        <v>1</v>
      </c>
      <c r="BR57" s="1150">
        <v>0</v>
      </c>
      <c r="BS57" s="2723">
        <v>16</v>
      </c>
      <c r="BT57" s="2716">
        <f t="shared" ref="BT57:BT77" si="40">(BQ57+BR57)/(BO57+BP57)</f>
        <v>6.6666666666666666E-2</v>
      </c>
      <c r="BV57" s="1150">
        <f>SUM(BV54:BV56)</f>
        <v>7</v>
      </c>
      <c r="BW57" s="1150">
        <f t="shared" ref="BW57:BZ57" si="41">SUM(BW54:BW56)</f>
        <v>8</v>
      </c>
      <c r="BX57" s="1150">
        <f t="shared" si="41"/>
        <v>1</v>
      </c>
      <c r="BY57" s="1150">
        <f t="shared" si="41"/>
        <v>0</v>
      </c>
      <c r="BZ57" s="1150">
        <f t="shared" si="41"/>
        <v>16</v>
      </c>
      <c r="CA57" s="2716">
        <f t="shared" ref="CA57:CA77" si="42">(BX57+BY57)/(BV57+BW57)</f>
        <v>6.6666666666666666E-2</v>
      </c>
    </row>
    <row r="58" spans="1:79" ht="17.100000000000001" customHeight="1">
      <c r="A58" s="1161" t="s">
        <v>82</v>
      </c>
      <c r="B58" s="1144" t="s">
        <v>41</v>
      </c>
      <c r="C58" s="2680" t="s">
        <v>1136</v>
      </c>
      <c r="D58" s="1139"/>
      <c r="E58" s="1139">
        <v>1</v>
      </c>
      <c r="F58" s="1139"/>
      <c r="G58" s="1139"/>
      <c r="H58" s="2717">
        <f>SUM(D58:G58)</f>
        <v>1</v>
      </c>
      <c r="I58" s="2714">
        <f t="shared" si="0"/>
        <v>0</v>
      </c>
      <c r="J58" s="2550"/>
      <c r="K58" s="1139">
        <v>1</v>
      </c>
      <c r="L58" s="1139">
        <v>3</v>
      </c>
      <c r="M58" s="1139"/>
      <c r="N58" s="1139"/>
      <c r="O58" s="2717">
        <f>SUM(K58:N58)</f>
        <v>4</v>
      </c>
      <c r="P58" s="2714">
        <f t="shared" si="1"/>
        <v>0</v>
      </c>
      <c r="Q58" s="2550"/>
      <c r="R58" s="1139">
        <v>1</v>
      </c>
      <c r="S58" s="1139">
        <v>2</v>
      </c>
      <c r="T58" s="1139">
        <v>1</v>
      </c>
      <c r="U58" s="1139"/>
      <c r="V58" s="2717">
        <f>SUM(R58:U58)</f>
        <v>4</v>
      </c>
      <c r="W58" s="2714">
        <f t="shared" si="2"/>
        <v>0.33333333333333331</v>
      </c>
      <c r="X58" s="2550"/>
      <c r="Y58" s="1139">
        <v>3</v>
      </c>
      <c r="Z58" s="1139">
        <v>3</v>
      </c>
      <c r="AA58" s="1139">
        <v>1</v>
      </c>
      <c r="AB58" s="1139"/>
      <c r="AC58" s="2717">
        <f>SUM(Y58:AB58)</f>
        <v>7</v>
      </c>
      <c r="AD58" s="2714">
        <f t="shared" si="3"/>
        <v>0.16666666666666666</v>
      </c>
      <c r="AE58" s="2550"/>
      <c r="AF58" s="1139">
        <v>3</v>
      </c>
      <c r="AG58" s="1139">
        <v>4</v>
      </c>
      <c r="AH58" s="1139">
        <v>1</v>
      </c>
      <c r="AI58" s="1139"/>
      <c r="AJ58" s="2717">
        <f t="shared" si="11"/>
        <v>8</v>
      </c>
      <c r="AK58" s="2714">
        <f t="shared" si="4"/>
        <v>0.14285714285714285</v>
      </c>
      <c r="AL58" s="2550"/>
      <c r="AM58" s="1139">
        <v>2</v>
      </c>
      <c r="AN58" s="1139">
        <v>3</v>
      </c>
      <c r="AO58" s="1139"/>
      <c r="AP58" s="1139"/>
      <c r="AQ58" s="2717">
        <f t="shared" si="12"/>
        <v>5</v>
      </c>
      <c r="AR58" s="2714">
        <f t="shared" si="5"/>
        <v>0</v>
      </c>
      <c r="AS58" s="2550"/>
      <c r="AT58" s="1139">
        <v>2</v>
      </c>
      <c r="AU58" s="1139">
        <v>4</v>
      </c>
      <c r="AV58" s="1139"/>
      <c r="AW58" s="1139"/>
      <c r="AX58" s="2717">
        <f t="shared" si="36"/>
        <v>6</v>
      </c>
      <c r="AY58" s="2714">
        <f t="shared" si="37"/>
        <v>0</v>
      </c>
      <c r="AZ58" s="2550"/>
      <c r="BA58" s="1139"/>
      <c r="BB58" s="1139">
        <v>5</v>
      </c>
      <c r="BC58" s="1139"/>
      <c r="BD58" s="1139"/>
      <c r="BE58" s="2717">
        <f>SUM(BA58:BD58)</f>
        <v>5</v>
      </c>
      <c r="BF58" s="2714">
        <f t="shared" si="38"/>
        <v>0</v>
      </c>
      <c r="BG58" s="2550"/>
      <c r="BH58" s="1139">
        <v>0</v>
      </c>
      <c r="BI58" s="1139">
        <v>8</v>
      </c>
      <c r="BJ58" s="1139"/>
      <c r="BK58" s="1139"/>
      <c r="BL58" s="2717">
        <v>8</v>
      </c>
      <c r="BM58" s="2714">
        <f t="shared" si="39"/>
        <v>0</v>
      </c>
      <c r="BO58" s="1139"/>
      <c r="BP58" s="1139">
        <v>9</v>
      </c>
      <c r="BQ58" s="1139"/>
      <c r="BR58" s="1139"/>
      <c r="BS58" s="2717">
        <v>9</v>
      </c>
      <c r="BT58" s="2714">
        <f t="shared" si="40"/>
        <v>0</v>
      </c>
      <c r="BV58" s="1139">
        <v>1</v>
      </c>
      <c r="BW58" s="1139">
        <v>8</v>
      </c>
      <c r="BX58" s="1139"/>
      <c r="BY58" s="1139"/>
      <c r="BZ58" s="2717">
        <v>9</v>
      </c>
      <c r="CA58" s="2714">
        <f t="shared" si="42"/>
        <v>0</v>
      </c>
    </row>
    <row r="59" spans="1:79" ht="17.100000000000001" customHeight="1">
      <c r="A59" s="1161" t="s">
        <v>82</v>
      </c>
      <c r="B59" s="1144" t="s">
        <v>41</v>
      </c>
      <c r="C59" s="2680" t="s">
        <v>1137</v>
      </c>
      <c r="D59" s="1139"/>
      <c r="E59" s="1139"/>
      <c r="F59" s="1139">
        <v>1</v>
      </c>
      <c r="G59" s="1139"/>
      <c r="H59" s="2717">
        <f>SUM(D59:G59)</f>
        <v>1</v>
      </c>
      <c r="I59" s="2714"/>
      <c r="J59" s="2550"/>
      <c r="K59" s="1139"/>
      <c r="L59" s="1139">
        <v>1</v>
      </c>
      <c r="M59" s="1139">
        <v>1</v>
      </c>
      <c r="N59" s="1139"/>
      <c r="O59" s="2717">
        <f>SUM(K59:N59)</f>
        <v>2</v>
      </c>
      <c r="P59" s="2714">
        <f t="shared" si="1"/>
        <v>1</v>
      </c>
      <c r="Q59" s="2550"/>
      <c r="R59" s="1139"/>
      <c r="S59" s="1139">
        <v>2</v>
      </c>
      <c r="T59" s="1139">
        <v>1</v>
      </c>
      <c r="U59" s="1139"/>
      <c r="V59" s="2717">
        <f>SUM(R59:U59)</f>
        <v>3</v>
      </c>
      <c r="W59" s="2714">
        <f t="shared" si="2"/>
        <v>0.5</v>
      </c>
      <c r="X59" s="2550"/>
      <c r="Y59" s="1139"/>
      <c r="Z59" s="1139">
        <v>3</v>
      </c>
      <c r="AA59" s="1139">
        <v>1</v>
      </c>
      <c r="AB59" s="1139"/>
      <c r="AC59" s="2717">
        <f>SUM(Y59:AB59)</f>
        <v>4</v>
      </c>
      <c r="AD59" s="2714">
        <f t="shared" si="3"/>
        <v>0.33333333333333331</v>
      </c>
      <c r="AE59" s="2550"/>
      <c r="AF59" s="1139">
        <v>2</v>
      </c>
      <c r="AG59" s="1139">
        <v>3</v>
      </c>
      <c r="AH59" s="1139"/>
      <c r="AI59" s="1139"/>
      <c r="AJ59" s="2717">
        <f t="shared" si="11"/>
        <v>5</v>
      </c>
      <c r="AK59" s="2714">
        <f t="shared" si="4"/>
        <v>0</v>
      </c>
      <c r="AL59" s="2550"/>
      <c r="AM59" s="1139">
        <v>3</v>
      </c>
      <c r="AN59" s="1139">
        <v>1</v>
      </c>
      <c r="AO59" s="1139">
        <v>1</v>
      </c>
      <c r="AP59" s="1139"/>
      <c r="AQ59" s="2717">
        <f t="shared" si="12"/>
        <v>5</v>
      </c>
      <c r="AR59" s="2714">
        <f t="shared" si="5"/>
        <v>0.25</v>
      </c>
      <c r="AS59" s="2550"/>
      <c r="AT59" s="1139">
        <v>1</v>
      </c>
      <c r="AU59" s="1139">
        <v>2</v>
      </c>
      <c r="AV59" s="1139">
        <v>1</v>
      </c>
      <c r="AW59" s="1139"/>
      <c r="AX59" s="2717">
        <f t="shared" si="36"/>
        <v>4</v>
      </c>
      <c r="AY59" s="2714">
        <f t="shared" si="37"/>
        <v>0.33333333333333331</v>
      </c>
      <c r="AZ59" s="2550"/>
      <c r="BA59" s="1139">
        <v>1</v>
      </c>
      <c r="BB59" s="1139">
        <v>3</v>
      </c>
      <c r="BC59" s="1139">
        <v>1</v>
      </c>
      <c r="BD59" s="1139"/>
      <c r="BE59" s="2717">
        <f>SUM(BA59:BD59)</f>
        <v>5</v>
      </c>
      <c r="BF59" s="2714">
        <f t="shared" si="38"/>
        <v>0.25</v>
      </c>
      <c r="BG59" s="2550"/>
      <c r="BH59" s="1139"/>
      <c r="BI59" s="1139">
        <v>3</v>
      </c>
      <c r="BJ59" s="1139">
        <v>2</v>
      </c>
      <c r="BK59" s="1139"/>
      <c r="BL59" s="2717">
        <v>5</v>
      </c>
      <c r="BM59" s="2714">
        <f t="shared" si="39"/>
        <v>0.66666666666666663</v>
      </c>
      <c r="BO59" s="1139"/>
      <c r="BP59" s="1139">
        <v>4</v>
      </c>
      <c r="BQ59" s="1139">
        <v>1</v>
      </c>
      <c r="BR59" s="1139"/>
      <c r="BS59" s="2717">
        <v>5</v>
      </c>
      <c r="BT59" s="2714">
        <f t="shared" si="40"/>
        <v>0.25</v>
      </c>
      <c r="BV59" s="1139">
        <v>1</v>
      </c>
      <c r="BW59" s="1139">
        <v>4</v>
      </c>
      <c r="BX59" s="1139">
        <v>1</v>
      </c>
      <c r="BY59" s="1139"/>
      <c r="BZ59" s="2717">
        <v>6</v>
      </c>
      <c r="CA59" s="2714">
        <f t="shared" si="42"/>
        <v>0.2</v>
      </c>
    </row>
    <row r="60" spans="1:79" ht="17.100000000000001" customHeight="1" thickBot="1">
      <c r="A60" s="1161" t="s">
        <v>82</v>
      </c>
      <c r="B60" s="1144" t="s">
        <v>41</v>
      </c>
      <c r="C60" s="2680" t="s">
        <v>1128</v>
      </c>
      <c r="D60" s="1139"/>
      <c r="E60" s="1139"/>
      <c r="F60" s="1139"/>
      <c r="G60" s="1139"/>
      <c r="H60" s="2717"/>
      <c r="I60" s="2714"/>
      <c r="J60" s="2550"/>
      <c r="K60" s="1139"/>
      <c r="L60" s="1139">
        <v>1</v>
      </c>
      <c r="M60" s="1139"/>
      <c r="N60" s="1139"/>
      <c r="O60" s="2717">
        <f>SUM(K60:N60)</f>
        <v>1</v>
      </c>
      <c r="P60" s="2714">
        <f t="shared" si="1"/>
        <v>0</v>
      </c>
      <c r="Q60" s="2550"/>
      <c r="R60" s="1139"/>
      <c r="S60" s="1139">
        <v>1</v>
      </c>
      <c r="T60" s="1139"/>
      <c r="U60" s="1139"/>
      <c r="V60" s="2717">
        <f>SUM(R60:U60)</f>
        <v>1</v>
      </c>
      <c r="W60" s="2714">
        <f t="shared" si="2"/>
        <v>0</v>
      </c>
      <c r="X60" s="2550"/>
      <c r="Y60" s="1139">
        <v>2</v>
      </c>
      <c r="Z60" s="1139">
        <v>2</v>
      </c>
      <c r="AA60" s="1139">
        <v>2</v>
      </c>
      <c r="AB60" s="1139"/>
      <c r="AC60" s="2717">
        <f>SUM(Y60:AB60)</f>
        <v>6</v>
      </c>
      <c r="AD60" s="2714">
        <f t="shared" si="3"/>
        <v>0.5</v>
      </c>
      <c r="AE60" s="2550"/>
      <c r="AF60" s="1139"/>
      <c r="AG60" s="1139"/>
      <c r="AH60" s="1139">
        <v>2</v>
      </c>
      <c r="AI60" s="1139"/>
      <c r="AJ60" s="2717">
        <f t="shared" si="11"/>
        <v>2</v>
      </c>
      <c r="AK60" s="2714"/>
      <c r="AL60" s="2550"/>
      <c r="AM60" s="1139">
        <v>1</v>
      </c>
      <c r="AN60" s="1139">
        <v>2</v>
      </c>
      <c r="AO60" s="1139">
        <v>2</v>
      </c>
      <c r="AP60" s="1139"/>
      <c r="AQ60" s="2717">
        <f t="shared" si="12"/>
        <v>5</v>
      </c>
      <c r="AR60" s="2714"/>
      <c r="AS60" s="2550"/>
      <c r="AT60" s="1139">
        <v>1</v>
      </c>
      <c r="AU60" s="1139">
        <v>1</v>
      </c>
      <c r="AV60" s="1139">
        <v>2</v>
      </c>
      <c r="AW60" s="1139"/>
      <c r="AX60" s="2717">
        <f t="shared" si="36"/>
        <v>4</v>
      </c>
      <c r="AY60" s="2714">
        <f t="shared" si="37"/>
        <v>1</v>
      </c>
      <c r="AZ60" s="2550"/>
      <c r="BA60" s="1139">
        <v>2</v>
      </c>
      <c r="BB60" s="1139">
        <v>3</v>
      </c>
      <c r="BC60" s="1139">
        <v>2</v>
      </c>
      <c r="BD60" s="1139"/>
      <c r="BE60" s="2717">
        <f>SUM(BA60:BD60)</f>
        <v>7</v>
      </c>
      <c r="BF60" s="2714">
        <f t="shared" si="38"/>
        <v>0.4</v>
      </c>
      <c r="BG60" s="2550"/>
      <c r="BH60" s="1139">
        <v>3</v>
      </c>
      <c r="BI60" s="1139">
        <v>1</v>
      </c>
      <c r="BJ60" s="1139">
        <v>2</v>
      </c>
      <c r="BK60" s="1139"/>
      <c r="BL60" s="2717">
        <v>6</v>
      </c>
      <c r="BM60" s="2714">
        <f t="shared" si="39"/>
        <v>0.5</v>
      </c>
      <c r="BO60" s="1139">
        <v>2</v>
      </c>
      <c r="BP60" s="1139">
        <v>3</v>
      </c>
      <c r="BQ60" s="1139">
        <v>2</v>
      </c>
      <c r="BR60" s="1139"/>
      <c r="BS60" s="2717">
        <v>7</v>
      </c>
      <c r="BT60" s="2714">
        <f t="shared" si="40"/>
        <v>0.4</v>
      </c>
      <c r="BV60" s="1139">
        <v>4</v>
      </c>
      <c r="BW60" s="1139">
        <v>2</v>
      </c>
      <c r="BX60" s="1139">
        <v>2</v>
      </c>
      <c r="BY60" s="1139"/>
      <c r="BZ60" s="2717">
        <v>8</v>
      </c>
      <c r="CA60" s="2714">
        <f t="shared" si="42"/>
        <v>0.33333333333333331</v>
      </c>
    </row>
    <row r="61" spans="1:79" ht="17.100000000000001" customHeight="1" thickBot="1">
      <c r="A61" s="5993" t="s">
        <v>1601</v>
      </c>
      <c r="B61" s="5994"/>
      <c r="C61" s="5994"/>
      <c r="D61" s="1150">
        <f>SUM(D58:D59)</f>
        <v>0</v>
      </c>
      <c r="E61" s="1150">
        <f>SUM(E58:E59)</f>
        <v>1</v>
      </c>
      <c r="F61" s="1150">
        <f>SUM(F58:F59)</f>
        <v>1</v>
      </c>
      <c r="G61" s="1150">
        <f>SUM(G58:G59)</f>
        <v>0</v>
      </c>
      <c r="H61" s="2723">
        <f>SUM(H58:H59)</f>
        <v>2</v>
      </c>
      <c r="I61" s="2716">
        <f t="shared" si="0"/>
        <v>1</v>
      </c>
      <c r="J61" s="2550"/>
      <c r="K61" s="1150">
        <f>SUM(K58:K60)</f>
        <v>1</v>
      </c>
      <c r="L61" s="1150">
        <f>SUM(L58:L60)</f>
        <v>5</v>
      </c>
      <c r="M61" s="1150">
        <f>SUM(M58:M60)</f>
        <v>1</v>
      </c>
      <c r="N61" s="1150">
        <f>SUM(N58:N60)</f>
        <v>0</v>
      </c>
      <c r="O61" s="2723">
        <f>SUM(O58:O60)</f>
        <v>7</v>
      </c>
      <c r="P61" s="2716">
        <f t="shared" si="1"/>
        <v>0.16666666666666666</v>
      </c>
      <c r="Q61" s="2550"/>
      <c r="R61" s="1150">
        <f>SUM(R58:R60)</f>
        <v>1</v>
      </c>
      <c r="S61" s="1150">
        <f>SUM(S58:S60)</f>
        <v>5</v>
      </c>
      <c r="T61" s="1150">
        <f>SUM(T58:T60)</f>
        <v>2</v>
      </c>
      <c r="U61" s="1150">
        <f>SUM(U58:U60)</f>
        <v>0</v>
      </c>
      <c r="V61" s="2723">
        <f>SUM(V58:V60)</f>
        <v>8</v>
      </c>
      <c r="W61" s="2716">
        <f t="shared" si="2"/>
        <v>0.33333333333333331</v>
      </c>
      <c r="X61" s="2550"/>
      <c r="Y61" s="1150">
        <f>SUM(Y58:Y60)</f>
        <v>5</v>
      </c>
      <c r="Z61" s="1150">
        <f>SUM(Z58:Z60)</f>
        <v>8</v>
      </c>
      <c r="AA61" s="1150">
        <f>SUM(AA58:AA60)</f>
        <v>4</v>
      </c>
      <c r="AB61" s="1150">
        <f>SUM(AB58:AB60)</f>
        <v>0</v>
      </c>
      <c r="AC61" s="2723">
        <f>SUM(AC58:AC60)</f>
        <v>17</v>
      </c>
      <c r="AD61" s="2716">
        <f t="shared" si="3"/>
        <v>0.30769230769230771</v>
      </c>
      <c r="AE61" s="2550"/>
      <c r="AF61" s="1150">
        <f>SUM(AF58:AF60)</f>
        <v>5</v>
      </c>
      <c r="AG61" s="1150">
        <f>SUM(AG58:AG60)</f>
        <v>7</v>
      </c>
      <c r="AH61" s="1150">
        <f>SUM(AH58:AH60)</f>
        <v>3</v>
      </c>
      <c r="AI61" s="1150">
        <f>SUM(AI58:AI60)</f>
        <v>0</v>
      </c>
      <c r="AJ61" s="2723">
        <f t="shared" si="11"/>
        <v>15</v>
      </c>
      <c r="AK61" s="2716">
        <f t="shared" si="4"/>
        <v>0.25</v>
      </c>
      <c r="AL61" s="2550"/>
      <c r="AM61" s="1150">
        <v>6</v>
      </c>
      <c r="AN61" s="1150">
        <v>6</v>
      </c>
      <c r="AO61" s="1150">
        <v>3</v>
      </c>
      <c r="AP61" s="1150">
        <v>0</v>
      </c>
      <c r="AQ61" s="2723">
        <f t="shared" si="12"/>
        <v>15</v>
      </c>
      <c r="AR61" s="2716">
        <f t="shared" si="5"/>
        <v>0.25</v>
      </c>
      <c r="AS61" s="2550"/>
      <c r="AT61" s="1150">
        <f>SUM(AT58:AT60)</f>
        <v>4</v>
      </c>
      <c r="AU61" s="1150">
        <f>SUM(AU58:AU60)</f>
        <v>7</v>
      </c>
      <c r="AV61" s="1150">
        <f>SUM(AV58:AV60)</f>
        <v>3</v>
      </c>
      <c r="AW61" s="1150">
        <f>SUM(AW58:AW60)</f>
        <v>0</v>
      </c>
      <c r="AX61" s="2723">
        <f>SUM(AX58:AX60)</f>
        <v>14</v>
      </c>
      <c r="AY61" s="2716">
        <f t="shared" si="37"/>
        <v>0.27272727272727271</v>
      </c>
      <c r="AZ61" s="2550"/>
      <c r="BA61" s="1150">
        <v>3</v>
      </c>
      <c r="BB61" s="1150">
        <v>11</v>
      </c>
      <c r="BC61" s="1150">
        <v>3</v>
      </c>
      <c r="BD61" s="1150">
        <v>0</v>
      </c>
      <c r="BE61" s="2723">
        <f>SUM(BE58:BE60)</f>
        <v>17</v>
      </c>
      <c r="BF61" s="2716">
        <f t="shared" si="38"/>
        <v>0.21428571428571427</v>
      </c>
      <c r="BG61" s="2550"/>
      <c r="BH61" s="1150">
        <v>3</v>
      </c>
      <c r="BI61" s="1150">
        <v>12</v>
      </c>
      <c r="BJ61" s="1150">
        <v>4</v>
      </c>
      <c r="BK61" s="1150">
        <v>0</v>
      </c>
      <c r="BL61" s="2723">
        <v>19</v>
      </c>
      <c r="BM61" s="2716">
        <f t="shared" si="39"/>
        <v>0.26666666666666666</v>
      </c>
      <c r="BO61" s="1150">
        <v>2</v>
      </c>
      <c r="BP61" s="1150">
        <v>16</v>
      </c>
      <c r="BQ61" s="1150">
        <v>3</v>
      </c>
      <c r="BR61" s="1150">
        <v>0</v>
      </c>
      <c r="BS61" s="2723">
        <v>21</v>
      </c>
      <c r="BT61" s="2716">
        <f t="shared" si="40"/>
        <v>0.16666666666666666</v>
      </c>
      <c r="BV61" s="1150">
        <f>SUM(BV58:BV60)</f>
        <v>6</v>
      </c>
      <c r="BW61" s="1150">
        <f t="shared" ref="BW61:BZ61" si="43">SUM(BW58:BW60)</f>
        <v>14</v>
      </c>
      <c r="BX61" s="1150">
        <f t="shared" si="43"/>
        <v>3</v>
      </c>
      <c r="BY61" s="1150">
        <f t="shared" si="43"/>
        <v>0</v>
      </c>
      <c r="BZ61" s="1150">
        <f t="shared" si="43"/>
        <v>23</v>
      </c>
      <c r="CA61" s="2716">
        <f t="shared" si="42"/>
        <v>0.15</v>
      </c>
    </row>
    <row r="62" spans="1:79" ht="17.100000000000001" customHeight="1">
      <c r="A62" s="1161" t="s">
        <v>82</v>
      </c>
      <c r="B62" s="1144" t="s">
        <v>16</v>
      </c>
      <c r="C62" s="2686" t="s">
        <v>1138</v>
      </c>
      <c r="D62" s="1139"/>
      <c r="E62" s="1139"/>
      <c r="F62" s="1139"/>
      <c r="G62" s="1139"/>
      <c r="H62" s="2717">
        <f>SUM(D62:G62)</f>
        <v>0</v>
      </c>
      <c r="I62" s="2714"/>
      <c r="J62" s="2550"/>
      <c r="K62" s="1139"/>
      <c r="L62" s="1139"/>
      <c r="M62" s="1139"/>
      <c r="N62" s="1139"/>
      <c r="O62" s="2717">
        <f>SUM(K62:N62)</f>
        <v>0</v>
      </c>
      <c r="P62" s="2714"/>
      <c r="Q62" s="2550"/>
      <c r="R62" s="1139"/>
      <c r="S62" s="1139"/>
      <c r="T62" s="1139"/>
      <c r="U62" s="1139"/>
      <c r="V62" s="2717">
        <f>SUM(R62:U62)</f>
        <v>0</v>
      </c>
      <c r="W62" s="2714"/>
      <c r="X62" s="2550"/>
      <c r="Y62" s="1139">
        <v>1</v>
      </c>
      <c r="Z62" s="1139"/>
      <c r="AA62" s="1139"/>
      <c r="AB62" s="1139"/>
      <c r="AC62" s="2717">
        <f>SUM(Y62:AB62)</f>
        <v>1</v>
      </c>
      <c r="AD62" s="2714">
        <f t="shared" si="3"/>
        <v>0</v>
      </c>
      <c r="AE62" s="2550"/>
      <c r="AF62" s="1139">
        <v>1</v>
      </c>
      <c r="AG62" s="1139"/>
      <c r="AH62" s="1139"/>
      <c r="AI62" s="1139"/>
      <c r="AJ62" s="2717">
        <f t="shared" si="11"/>
        <v>1</v>
      </c>
      <c r="AK62" s="2714">
        <f t="shared" si="4"/>
        <v>0</v>
      </c>
      <c r="AL62" s="2550"/>
      <c r="AM62" s="1139">
        <v>1</v>
      </c>
      <c r="AN62" s="1139">
        <v>1</v>
      </c>
      <c r="AO62" s="1139"/>
      <c r="AP62" s="1139"/>
      <c r="AQ62" s="2717">
        <f t="shared" si="12"/>
        <v>2</v>
      </c>
      <c r="AR62" s="2714">
        <f t="shared" si="5"/>
        <v>0</v>
      </c>
      <c r="AS62" s="2550"/>
      <c r="AT62" s="1139">
        <v>1</v>
      </c>
      <c r="AU62" s="1139">
        <v>1</v>
      </c>
      <c r="AV62" s="1139"/>
      <c r="AW62" s="1139"/>
      <c r="AX62" s="2717">
        <f t="shared" si="36"/>
        <v>2</v>
      </c>
      <c r="AY62" s="2714">
        <f t="shared" si="37"/>
        <v>0</v>
      </c>
      <c r="AZ62" s="2550"/>
      <c r="BA62" s="1139">
        <v>3</v>
      </c>
      <c r="BB62" s="1139">
        <v>1</v>
      </c>
      <c r="BC62" s="1139"/>
      <c r="BD62" s="1139"/>
      <c r="BE62" s="2717">
        <f>SUM(BA62:BD62)</f>
        <v>4</v>
      </c>
      <c r="BF62" s="2714">
        <f t="shared" si="38"/>
        <v>0</v>
      </c>
      <c r="BG62" s="2550"/>
      <c r="BH62" s="1139">
        <v>1</v>
      </c>
      <c r="BI62" s="1139">
        <v>2</v>
      </c>
      <c r="BJ62" s="1139"/>
      <c r="BK62" s="1139"/>
      <c r="BL62" s="2717">
        <v>3</v>
      </c>
      <c r="BM62" s="2714">
        <f t="shared" si="39"/>
        <v>0</v>
      </c>
      <c r="BO62" s="1139">
        <v>1</v>
      </c>
      <c r="BP62" s="1139">
        <v>3</v>
      </c>
      <c r="BQ62" s="1139"/>
      <c r="BR62" s="1139"/>
      <c r="BS62" s="2717">
        <v>4</v>
      </c>
      <c r="BT62" s="2714">
        <f t="shared" si="40"/>
        <v>0</v>
      </c>
      <c r="BV62" s="1139">
        <v>2</v>
      </c>
      <c r="BW62" s="1139">
        <v>2</v>
      </c>
      <c r="BX62" s="1139"/>
      <c r="BY62" s="1139"/>
      <c r="BZ62" s="2717">
        <v>4</v>
      </c>
      <c r="CA62" s="2714">
        <f t="shared" si="42"/>
        <v>0</v>
      </c>
    </row>
    <row r="63" spans="1:79" ht="17.100000000000001" customHeight="1">
      <c r="A63" s="1161" t="s">
        <v>82</v>
      </c>
      <c r="B63" s="1144" t="s">
        <v>16</v>
      </c>
      <c r="C63" s="2686" t="s">
        <v>1139</v>
      </c>
      <c r="D63" s="1139"/>
      <c r="E63" s="1139"/>
      <c r="F63" s="1139"/>
      <c r="G63" s="1139"/>
      <c r="H63" s="2717"/>
      <c r="I63" s="2714"/>
      <c r="J63" s="2550"/>
      <c r="K63" s="1139"/>
      <c r="L63" s="1139"/>
      <c r="M63" s="1139"/>
      <c r="N63" s="1139"/>
      <c r="O63" s="2717"/>
      <c r="P63" s="2714"/>
      <c r="Q63" s="2550"/>
      <c r="R63" s="1139"/>
      <c r="S63" s="1139"/>
      <c r="T63" s="1139"/>
      <c r="U63" s="1139"/>
      <c r="V63" s="2717">
        <f>SUM(R63:U63)</f>
        <v>0</v>
      </c>
      <c r="W63" s="2714"/>
      <c r="X63" s="2550"/>
      <c r="Y63" s="1139"/>
      <c r="Z63" s="1139"/>
      <c r="AA63" s="1139"/>
      <c r="AB63" s="1139"/>
      <c r="AC63" s="2717">
        <f>SUM(Y63:AB63)</f>
        <v>0</v>
      </c>
      <c r="AD63" s="2714"/>
      <c r="AE63" s="2550"/>
      <c r="AF63" s="1139"/>
      <c r="AG63" s="1139"/>
      <c r="AH63" s="1139">
        <v>1</v>
      </c>
      <c r="AI63" s="1139"/>
      <c r="AJ63" s="2717">
        <f t="shared" si="11"/>
        <v>1</v>
      </c>
      <c r="AK63" s="2714"/>
      <c r="AL63" s="2550"/>
      <c r="AM63" s="1139">
        <v>1</v>
      </c>
      <c r="AN63" s="1139"/>
      <c r="AO63" s="1139">
        <v>1</v>
      </c>
      <c r="AP63" s="1139"/>
      <c r="AQ63" s="2717">
        <f t="shared" si="12"/>
        <v>2</v>
      </c>
      <c r="AR63" s="2714"/>
      <c r="AS63" s="2550"/>
      <c r="AT63" s="1139">
        <v>2</v>
      </c>
      <c r="AU63" s="1139"/>
      <c r="AV63" s="1139">
        <v>1</v>
      </c>
      <c r="AW63" s="1139"/>
      <c r="AX63" s="2717">
        <f t="shared" si="36"/>
        <v>3</v>
      </c>
      <c r="AY63" s="2714">
        <f t="shared" si="37"/>
        <v>0.5</v>
      </c>
      <c r="AZ63" s="2550"/>
      <c r="BA63" s="1139">
        <v>3</v>
      </c>
      <c r="BB63" s="1139"/>
      <c r="BC63" s="1139">
        <v>1</v>
      </c>
      <c r="BD63" s="1139"/>
      <c r="BE63" s="2717">
        <f>SUM(BA63:BD63)</f>
        <v>4</v>
      </c>
      <c r="BF63" s="2714">
        <f t="shared" si="38"/>
        <v>0.33333333333333331</v>
      </c>
      <c r="BG63" s="2550"/>
      <c r="BH63" s="1139">
        <v>2</v>
      </c>
      <c r="BI63" s="1139">
        <v>1</v>
      </c>
      <c r="BJ63" s="1139">
        <v>1</v>
      </c>
      <c r="BK63" s="1139">
        <v>1</v>
      </c>
      <c r="BL63" s="2717">
        <v>5</v>
      </c>
      <c r="BM63" s="2714">
        <f t="shared" si="39"/>
        <v>0.66666666666666663</v>
      </c>
      <c r="BO63" s="1139">
        <v>2</v>
      </c>
      <c r="BP63" s="1139">
        <v>2</v>
      </c>
      <c r="BQ63" s="1139"/>
      <c r="BR63" s="1139">
        <v>1</v>
      </c>
      <c r="BS63" s="2717">
        <v>5</v>
      </c>
      <c r="BT63" s="2714">
        <f t="shared" si="40"/>
        <v>0.25</v>
      </c>
      <c r="BV63" s="1139">
        <v>2</v>
      </c>
      <c r="BW63" s="1139">
        <v>2</v>
      </c>
      <c r="BX63" s="1139"/>
      <c r="BY63" s="1139">
        <v>1</v>
      </c>
      <c r="BZ63" s="2717">
        <v>5</v>
      </c>
      <c r="CA63" s="2714">
        <f t="shared" si="42"/>
        <v>0.25</v>
      </c>
    </row>
    <row r="64" spans="1:79" ht="17.100000000000001" customHeight="1" thickBot="1">
      <c r="A64" s="1161" t="s">
        <v>82</v>
      </c>
      <c r="B64" s="1144" t="s">
        <v>16</v>
      </c>
      <c r="C64" s="2687" t="s">
        <v>1140</v>
      </c>
      <c r="D64" s="1139"/>
      <c r="E64" s="1139"/>
      <c r="F64" s="1139"/>
      <c r="G64" s="1139"/>
      <c r="H64" s="2717"/>
      <c r="I64" s="2714"/>
      <c r="J64" s="2550"/>
      <c r="K64" s="1139"/>
      <c r="L64" s="1139"/>
      <c r="M64" s="1139"/>
      <c r="N64" s="1139"/>
      <c r="O64" s="2717"/>
      <c r="P64" s="2714"/>
      <c r="Q64" s="2550"/>
      <c r="R64" s="1139"/>
      <c r="S64" s="1139">
        <v>1</v>
      </c>
      <c r="T64" s="1139"/>
      <c r="U64" s="1139"/>
      <c r="V64" s="2717">
        <f>SUM(R64:U64)</f>
        <v>1</v>
      </c>
      <c r="W64" s="2714">
        <f t="shared" si="2"/>
        <v>0</v>
      </c>
      <c r="X64" s="2550"/>
      <c r="Y64" s="1139">
        <v>3</v>
      </c>
      <c r="Z64" s="1139">
        <v>1</v>
      </c>
      <c r="AA64" s="1139"/>
      <c r="AB64" s="1139"/>
      <c r="AC64" s="2717">
        <f>SUM(Y64:AB64)</f>
        <v>4</v>
      </c>
      <c r="AD64" s="2714">
        <f t="shared" si="3"/>
        <v>0</v>
      </c>
      <c r="AE64" s="2550"/>
      <c r="AF64" s="1139">
        <v>4</v>
      </c>
      <c r="AG64" s="1139">
        <v>1</v>
      </c>
      <c r="AH64" s="1139"/>
      <c r="AI64" s="1139"/>
      <c r="AJ64" s="2717">
        <f t="shared" si="11"/>
        <v>5</v>
      </c>
      <c r="AK64" s="2714">
        <f t="shared" si="4"/>
        <v>0</v>
      </c>
      <c r="AL64" s="2550"/>
      <c r="AM64" s="1139">
        <v>4</v>
      </c>
      <c r="AN64" s="1139">
        <v>2</v>
      </c>
      <c r="AO64" s="1139">
        <v>1</v>
      </c>
      <c r="AP64" s="1139"/>
      <c r="AQ64" s="2717">
        <f t="shared" si="12"/>
        <v>7</v>
      </c>
      <c r="AR64" s="2714">
        <f t="shared" si="5"/>
        <v>0.16666666666666666</v>
      </c>
      <c r="AS64" s="2550"/>
      <c r="AT64" s="1139">
        <v>2</v>
      </c>
      <c r="AU64" s="1139">
        <v>6</v>
      </c>
      <c r="AV64" s="1139">
        <v>1</v>
      </c>
      <c r="AW64" s="1139"/>
      <c r="AX64" s="2717">
        <f t="shared" si="36"/>
        <v>9</v>
      </c>
      <c r="AY64" s="2714">
        <f t="shared" ref="AY64:AY77" si="44">(AV64+AW64)/(AT64+AU64)</f>
        <v>0.125</v>
      </c>
      <c r="AZ64" s="2550"/>
      <c r="BA64" s="1139">
        <v>4</v>
      </c>
      <c r="BB64" s="1139">
        <v>8</v>
      </c>
      <c r="BC64" s="1139">
        <v>1</v>
      </c>
      <c r="BD64" s="1139"/>
      <c r="BE64" s="2717">
        <f>SUM(BA64:BD64)</f>
        <v>13</v>
      </c>
      <c r="BF64" s="2714">
        <f t="shared" si="38"/>
        <v>8.3333333333333329E-2</v>
      </c>
      <c r="BG64" s="2550"/>
      <c r="BH64" s="1139">
        <v>2</v>
      </c>
      <c r="BI64" s="1139">
        <v>7</v>
      </c>
      <c r="BJ64" s="1139">
        <v>1</v>
      </c>
      <c r="BK64" s="1139"/>
      <c r="BL64" s="2717">
        <v>10</v>
      </c>
      <c r="BM64" s="2714">
        <f t="shared" si="39"/>
        <v>0.1111111111111111</v>
      </c>
      <c r="BO64" s="1139">
        <v>4</v>
      </c>
      <c r="BP64" s="1139">
        <v>8</v>
      </c>
      <c r="BQ64" s="1139">
        <v>1</v>
      </c>
      <c r="BR64" s="1139"/>
      <c r="BS64" s="2717">
        <v>13</v>
      </c>
      <c r="BT64" s="2714">
        <f t="shared" si="40"/>
        <v>8.3333333333333329E-2</v>
      </c>
      <c r="BV64" s="1139">
        <v>4</v>
      </c>
      <c r="BW64" s="1139">
        <v>8</v>
      </c>
      <c r="BX64" s="1139">
        <v>1</v>
      </c>
      <c r="BY64" s="1139"/>
      <c r="BZ64" s="2717">
        <v>13</v>
      </c>
      <c r="CA64" s="2714">
        <f t="shared" si="42"/>
        <v>8.3333333333333329E-2</v>
      </c>
    </row>
    <row r="65" spans="1:79" ht="17.100000000000001" customHeight="1">
      <c r="A65" s="5983" t="s">
        <v>1594</v>
      </c>
      <c r="B65" s="5984"/>
      <c r="C65" s="5984"/>
      <c r="D65" s="1151">
        <f>SUM(D62)</f>
        <v>0</v>
      </c>
      <c r="E65" s="1151">
        <f>SUM(E62)</f>
        <v>0</v>
      </c>
      <c r="F65" s="1151">
        <f>SUM(F62)</f>
        <v>0</v>
      </c>
      <c r="G65" s="1151">
        <f>SUM(G62)</f>
        <v>0</v>
      </c>
      <c r="H65" s="2718">
        <f>SUM(H62)</f>
        <v>0</v>
      </c>
      <c r="I65" s="2716"/>
      <c r="J65" s="2550"/>
      <c r="K65" s="1151">
        <f>SUM(K62)</f>
        <v>0</v>
      </c>
      <c r="L65" s="1151">
        <f>SUM(L62)</f>
        <v>0</v>
      </c>
      <c r="M65" s="1151">
        <f>SUM(M62)</f>
        <v>0</v>
      </c>
      <c r="N65" s="1151">
        <f>SUM(N62)</f>
        <v>0</v>
      </c>
      <c r="O65" s="2718">
        <f>SUM(O62)</f>
        <v>0</v>
      </c>
      <c r="P65" s="2716"/>
      <c r="Q65" s="2550"/>
      <c r="R65" s="1151">
        <f>SUM(R62:R64)</f>
        <v>0</v>
      </c>
      <c r="S65" s="1151">
        <f>SUM(S62:S64)</f>
        <v>1</v>
      </c>
      <c r="T65" s="1151">
        <f>SUM(T62:T64)</f>
        <v>0</v>
      </c>
      <c r="U65" s="1151">
        <f>SUM(U62:U64)</f>
        <v>0</v>
      </c>
      <c r="V65" s="2718">
        <f>SUM(V62:V64)</f>
        <v>1</v>
      </c>
      <c r="W65" s="2716">
        <f t="shared" si="2"/>
        <v>0</v>
      </c>
      <c r="X65" s="2550"/>
      <c r="Y65" s="1151">
        <f>SUM(Y62:Y64)</f>
        <v>4</v>
      </c>
      <c r="Z65" s="1151">
        <f>SUM(Z62:Z64)</f>
        <v>1</v>
      </c>
      <c r="AA65" s="1151">
        <f>SUM(AA62:AA64)</f>
        <v>0</v>
      </c>
      <c r="AB65" s="1151">
        <f>SUM(AB62:AB64)</f>
        <v>0</v>
      </c>
      <c r="AC65" s="2718">
        <f>SUM(AC62:AC64)</f>
        <v>5</v>
      </c>
      <c r="AD65" s="2716">
        <f t="shared" si="3"/>
        <v>0</v>
      </c>
      <c r="AE65" s="2550"/>
      <c r="AF65" s="1151">
        <f>SUM(AF62:AF64)</f>
        <v>5</v>
      </c>
      <c r="AG65" s="1151">
        <f>SUM(AG62:AG64)</f>
        <v>1</v>
      </c>
      <c r="AH65" s="1151">
        <f>SUM(AH62:AH64)</f>
        <v>1</v>
      </c>
      <c r="AI65" s="1151">
        <f>SUM(AI62:AI64)</f>
        <v>0</v>
      </c>
      <c r="AJ65" s="2718">
        <f t="shared" si="11"/>
        <v>7</v>
      </c>
      <c r="AK65" s="2716">
        <f t="shared" si="4"/>
        <v>0.16666666666666666</v>
      </c>
      <c r="AL65" s="2550"/>
      <c r="AM65" s="1151">
        <v>6</v>
      </c>
      <c r="AN65" s="1151">
        <v>3</v>
      </c>
      <c r="AO65" s="1151">
        <v>2</v>
      </c>
      <c r="AP65" s="1151">
        <v>0</v>
      </c>
      <c r="AQ65" s="2718">
        <f t="shared" si="12"/>
        <v>11</v>
      </c>
      <c r="AR65" s="2716">
        <f t="shared" si="5"/>
        <v>0.22222222222222221</v>
      </c>
      <c r="AS65" s="2550"/>
      <c r="AT65" s="1151">
        <f>SUM(AT62:AT64)</f>
        <v>5</v>
      </c>
      <c r="AU65" s="1151">
        <f>SUM(AU62:AU64)</f>
        <v>7</v>
      </c>
      <c r="AV65" s="1151">
        <f>SUM(AV62:AV64)</f>
        <v>2</v>
      </c>
      <c r="AW65" s="1151">
        <f>SUM(AW62:AW64)</f>
        <v>0</v>
      </c>
      <c r="AX65" s="2718">
        <f>SUM(AX62:AX64)</f>
        <v>14</v>
      </c>
      <c r="AY65" s="2716">
        <f t="shared" si="44"/>
        <v>0.16666666666666666</v>
      </c>
      <c r="AZ65" s="2550"/>
      <c r="BA65" s="1151">
        <v>10</v>
      </c>
      <c r="BB65" s="1151">
        <v>9</v>
      </c>
      <c r="BC65" s="1151">
        <v>2</v>
      </c>
      <c r="BD65" s="1151">
        <v>0</v>
      </c>
      <c r="BE65" s="2718">
        <f>SUM(BE62:BE64)</f>
        <v>21</v>
      </c>
      <c r="BF65" s="2716">
        <f t="shared" si="38"/>
        <v>0.10526315789473684</v>
      </c>
      <c r="BG65" s="2550"/>
      <c r="BH65" s="1151">
        <v>5</v>
      </c>
      <c r="BI65" s="1151">
        <v>10</v>
      </c>
      <c r="BJ65" s="1151">
        <v>2</v>
      </c>
      <c r="BK65" s="1151">
        <v>1</v>
      </c>
      <c r="BL65" s="2718">
        <v>18</v>
      </c>
      <c r="BM65" s="2716">
        <f t="shared" si="39"/>
        <v>0.2</v>
      </c>
      <c r="BO65" s="1151">
        <v>7</v>
      </c>
      <c r="BP65" s="1151">
        <v>13</v>
      </c>
      <c r="BQ65" s="1151">
        <v>1</v>
      </c>
      <c r="BR65" s="1151">
        <v>1</v>
      </c>
      <c r="BS65" s="2718">
        <v>22</v>
      </c>
      <c r="BT65" s="2716">
        <f t="shared" si="40"/>
        <v>0.1</v>
      </c>
      <c r="BV65" s="1151">
        <f>SUM(BV62:BV64)</f>
        <v>8</v>
      </c>
      <c r="BW65" s="1151">
        <f t="shared" ref="BW65:BZ65" si="45">SUM(BW62:BW64)</f>
        <v>12</v>
      </c>
      <c r="BX65" s="1151">
        <f t="shared" si="45"/>
        <v>1</v>
      </c>
      <c r="BY65" s="1151">
        <f t="shared" si="45"/>
        <v>1</v>
      </c>
      <c r="BZ65" s="1151">
        <f t="shared" si="45"/>
        <v>22</v>
      </c>
      <c r="CA65" s="2716">
        <f t="shared" si="42"/>
        <v>0.1</v>
      </c>
    </row>
    <row r="66" spans="1:79" ht="17.100000000000001" customHeight="1">
      <c r="A66" s="5987" t="s">
        <v>1026</v>
      </c>
      <c r="B66" s="5988"/>
      <c r="C66" s="5988"/>
      <c r="D66" s="2596">
        <f>SUM(D65,D61,D57)</f>
        <v>0</v>
      </c>
      <c r="E66" s="2596">
        <f>SUM(E65,E61,E57)</f>
        <v>3</v>
      </c>
      <c r="F66" s="2596">
        <f>SUM(F65,F61,F57)</f>
        <v>1</v>
      </c>
      <c r="G66" s="2596">
        <f>SUM(G65,G61,G57)</f>
        <v>0</v>
      </c>
      <c r="H66" s="2731">
        <f>SUM(H57,H61,H65)</f>
        <v>4</v>
      </c>
      <c r="I66" s="2732">
        <f t="shared" si="0"/>
        <v>0.33333333333333331</v>
      </c>
      <c r="J66" s="2550"/>
      <c r="K66" s="2596">
        <f>SUM(K65,K61,K57)</f>
        <v>2</v>
      </c>
      <c r="L66" s="2596">
        <f>SUM(L65,L61,L57)</f>
        <v>8</v>
      </c>
      <c r="M66" s="2596">
        <f>SUM(M65,M61,M57)</f>
        <v>1</v>
      </c>
      <c r="N66" s="2596">
        <f>SUM(N65,N61,N57)</f>
        <v>0</v>
      </c>
      <c r="O66" s="2731">
        <f>SUM(O65,O61,O57)</f>
        <v>11</v>
      </c>
      <c r="P66" s="2732">
        <f t="shared" si="1"/>
        <v>0.1</v>
      </c>
      <c r="Q66" s="2550"/>
      <c r="R66" s="2596">
        <f>SUM(R65,R61,R57)</f>
        <v>2</v>
      </c>
      <c r="S66" s="2596">
        <f>SUM(S65,S61,S57)</f>
        <v>9</v>
      </c>
      <c r="T66" s="2596">
        <f>SUM(T65,T61,T57)</f>
        <v>2</v>
      </c>
      <c r="U66" s="2596">
        <f>SUM(U65,U61,U57)</f>
        <v>0</v>
      </c>
      <c r="V66" s="2731">
        <f>SUM(V57,V61,V65)</f>
        <v>13</v>
      </c>
      <c r="W66" s="2732">
        <f t="shared" si="2"/>
        <v>0.18181818181818182</v>
      </c>
      <c r="X66" s="2550"/>
      <c r="Y66" s="2596">
        <f>SUM(Y65,Y61,Y57)</f>
        <v>10</v>
      </c>
      <c r="Z66" s="2596">
        <f>SUM(Z65,Z61,Z57)</f>
        <v>17</v>
      </c>
      <c r="AA66" s="2596">
        <f>SUM(AA65,AA61,AA57)</f>
        <v>4</v>
      </c>
      <c r="AB66" s="2596">
        <f>SUM(AB65,AB61,AB57)</f>
        <v>0</v>
      </c>
      <c r="AC66" s="2731">
        <f>SUM(AC57,AC61,AC65)</f>
        <v>31</v>
      </c>
      <c r="AD66" s="2732">
        <f t="shared" si="3"/>
        <v>0.14814814814814814</v>
      </c>
      <c r="AE66" s="2550"/>
      <c r="AF66" s="2596">
        <f>SUM(AF65,AF61,AF57)</f>
        <v>11</v>
      </c>
      <c r="AG66" s="2596">
        <f>SUM(AG65,AG61,AG57)</f>
        <v>13</v>
      </c>
      <c r="AH66" s="2596">
        <f>SUM(AH65,AH61,AH57)</f>
        <v>4</v>
      </c>
      <c r="AI66" s="2596">
        <f>SUM(AI65,AI61,AI57)</f>
        <v>0</v>
      </c>
      <c r="AJ66" s="2731">
        <f t="shared" si="11"/>
        <v>28</v>
      </c>
      <c r="AK66" s="2732">
        <f t="shared" si="4"/>
        <v>0.16666666666666666</v>
      </c>
      <c r="AL66" s="2550"/>
      <c r="AM66" s="2596">
        <v>15</v>
      </c>
      <c r="AN66" s="2596">
        <v>13</v>
      </c>
      <c r="AO66" s="2596">
        <v>6</v>
      </c>
      <c r="AP66" s="2596">
        <v>0</v>
      </c>
      <c r="AQ66" s="2731">
        <f t="shared" si="12"/>
        <v>34</v>
      </c>
      <c r="AR66" s="2732">
        <f t="shared" si="5"/>
        <v>0.21428571428571427</v>
      </c>
      <c r="AS66" s="2550"/>
      <c r="AT66" s="2596">
        <f>SUM(AT57,AT61,AT65)</f>
        <v>12</v>
      </c>
      <c r="AU66" s="2596">
        <f>SUM(AU57,AU61,AU65)</f>
        <v>19</v>
      </c>
      <c r="AV66" s="2596">
        <f>SUM(AV57,AV61,AV65)</f>
        <v>6</v>
      </c>
      <c r="AW66" s="2596">
        <f>SUM(AW57,AW61,AW65)</f>
        <v>0</v>
      </c>
      <c r="AX66" s="2731">
        <f>SUM(AX57,AX61,AX65)</f>
        <v>37</v>
      </c>
      <c r="AY66" s="2732">
        <f t="shared" si="44"/>
        <v>0.19354838709677419</v>
      </c>
      <c r="AZ66" s="2550"/>
      <c r="BA66" s="2596">
        <v>18</v>
      </c>
      <c r="BB66" s="2596">
        <v>27</v>
      </c>
      <c r="BC66" s="2596">
        <v>6</v>
      </c>
      <c r="BD66" s="2596">
        <v>0</v>
      </c>
      <c r="BE66" s="2731">
        <f>SUM(BE57,BE61,BE65)</f>
        <v>51</v>
      </c>
      <c r="BF66" s="2732">
        <f t="shared" si="38"/>
        <v>0.13333333333333333</v>
      </c>
      <c r="BG66" s="2550"/>
      <c r="BH66" s="2596">
        <v>13</v>
      </c>
      <c r="BI66" s="2596">
        <v>30</v>
      </c>
      <c r="BJ66" s="2596">
        <v>7</v>
      </c>
      <c r="BK66" s="2596">
        <v>1</v>
      </c>
      <c r="BL66" s="2731">
        <v>51</v>
      </c>
      <c r="BM66" s="2732">
        <f t="shared" si="39"/>
        <v>0.18604651162790697</v>
      </c>
      <c r="BO66" s="2596">
        <v>16</v>
      </c>
      <c r="BP66" s="2596">
        <v>37</v>
      </c>
      <c r="BQ66" s="2596">
        <v>5</v>
      </c>
      <c r="BR66" s="2596">
        <v>1</v>
      </c>
      <c r="BS66" s="2731">
        <v>59</v>
      </c>
      <c r="BT66" s="2732">
        <f t="shared" si="40"/>
        <v>0.11320754716981132</v>
      </c>
      <c r="BV66" s="2596">
        <f>SUM(BV57,BV61,BV65)</f>
        <v>21</v>
      </c>
      <c r="BW66" s="2596">
        <f t="shared" ref="BW66:BZ66" si="46">SUM(BW57,BW61,BW65)</f>
        <v>34</v>
      </c>
      <c r="BX66" s="2596">
        <f t="shared" si="46"/>
        <v>5</v>
      </c>
      <c r="BY66" s="2596">
        <f t="shared" si="46"/>
        <v>1</v>
      </c>
      <c r="BZ66" s="2596">
        <f t="shared" si="46"/>
        <v>61</v>
      </c>
      <c r="CA66" s="2732">
        <f t="shared" si="42"/>
        <v>0.10909090909090909</v>
      </c>
    </row>
    <row r="67" spans="1:79" ht="17.100000000000001" customHeight="1">
      <c r="A67" s="1161" t="s">
        <v>74</v>
      </c>
      <c r="B67" s="1143" t="s">
        <v>41</v>
      </c>
      <c r="C67" s="2679" t="s">
        <v>1141</v>
      </c>
      <c r="D67" s="1142"/>
      <c r="E67" s="1142">
        <v>18</v>
      </c>
      <c r="F67" s="1142">
        <v>4</v>
      </c>
      <c r="G67" s="1142"/>
      <c r="H67" s="2730">
        <f>SUM(D67:G67)</f>
        <v>22</v>
      </c>
      <c r="I67" s="2722">
        <f t="shared" si="0"/>
        <v>0.22222222222222221</v>
      </c>
      <c r="J67" s="2550"/>
      <c r="K67" s="1142"/>
      <c r="L67" s="1142">
        <v>18</v>
      </c>
      <c r="M67" s="1142">
        <v>4</v>
      </c>
      <c r="N67" s="1142">
        <v>1</v>
      </c>
      <c r="O67" s="2730">
        <f>SUM(K67:N67)</f>
        <v>23</v>
      </c>
      <c r="P67" s="2722">
        <f t="shared" si="1"/>
        <v>0.27777777777777779</v>
      </c>
      <c r="Q67" s="2550"/>
      <c r="R67" s="1142">
        <v>1</v>
      </c>
      <c r="S67" s="1142">
        <v>18</v>
      </c>
      <c r="T67" s="1142">
        <v>3</v>
      </c>
      <c r="U67" s="1142">
        <v>1</v>
      </c>
      <c r="V67" s="2730">
        <f>SUM(R67:U67)</f>
        <v>23</v>
      </c>
      <c r="W67" s="2722">
        <f t="shared" si="2"/>
        <v>0.21052631578947367</v>
      </c>
      <c r="X67" s="2550"/>
      <c r="Y67" s="1142">
        <v>1</v>
      </c>
      <c r="Z67" s="1142">
        <v>17</v>
      </c>
      <c r="AA67" s="1142">
        <v>4</v>
      </c>
      <c r="AB67" s="1142">
        <v>1</v>
      </c>
      <c r="AC67" s="2730">
        <f>SUM(Y67:AB67)</f>
        <v>23</v>
      </c>
      <c r="AD67" s="2722">
        <f t="shared" si="3"/>
        <v>0.27777777777777779</v>
      </c>
      <c r="AE67" s="2550"/>
      <c r="AF67" s="1142">
        <v>6</v>
      </c>
      <c r="AG67" s="1142">
        <v>17</v>
      </c>
      <c r="AH67" s="1142">
        <v>5</v>
      </c>
      <c r="AI67" s="1142">
        <v>1</v>
      </c>
      <c r="AJ67" s="2730">
        <f t="shared" si="11"/>
        <v>29</v>
      </c>
      <c r="AK67" s="2722">
        <f t="shared" si="4"/>
        <v>0.2608695652173913</v>
      </c>
      <c r="AL67" s="2550"/>
      <c r="AM67" s="1142">
        <v>4</v>
      </c>
      <c r="AN67" s="1142">
        <v>19</v>
      </c>
      <c r="AO67" s="1142">
        <v>8</v>
      </c>
      <c r="AP67" s="1142">
        <v>1</v>
      </c>
      <c r="AQ67" s="2730">
        <f t="shared" si="12"/>
        <v>32</v>
      </c>
      <c r="AR67" s="2722">
        <f t="shared" si="5"/>
        <v>0.39130434782608697</v>
      </c>
      <c r="AS67" s="2550"/>
      <c r="AT67" s="1142">
        <v>5</v>
      </c>
      <c r="AU67" s="1142">
        <v>24</v>
      </c>
      <c r="AV67" s="1142">
        <v>8</v>
      </c>
      <c r="AW67" s="1142">
        <v>2</v>
      </c>
      <c r="AX67" s="2730">
        <f>SUM(AT67:AW67)</f>
        <v>39</v>
      </c>
      <c r="AY67" s="2722">
        <f t="shared" si="44"/>
        <v>0.34482758620689657</v>
      </c>
      <c r="AZ67" s="2550"/>
      <c r="BA67" s="1142">
        <v>5</v>
      </c>
      <c r="BB67" s="1142">
        <v>21</v>
      </c>
      <c r="BC67" s="1142">
        <v>10</v>
      </c>
      <c r="BD67" s="1142">
        <v>2</v>
      </c>
      <c r="BE67" s="2730">
        <f>SUM(BA67:BD67)</f>
        <v>38</v>
      </c>
      <c r="BF67" s="2722">
        <f t="shared" si="38"/>
        <v>0.46153846153846156</v>
      </c>
      <c r="BG67" s="2550"/>
      <c r="BH67" s="1142">
        <v>3</v>
      </c>
      <c r="BI67" s="1142">
        <v>20</v>
      </c>
      <c r="BJ67" s="1142">
        <v>13</v>
      </c>
      <c r="BK67" s="1142">
        <v>2</v>
      </c>
      <c r="BL67" s="2730">
        <v>38</v>
      </c>
      <c r="BM67" s="2722">
        <f t="shared" si="39"/>
        <v>0.65217391304347827</v>
      </c>
      <c r="BO67" s="1142">
        <v>3</v>
      </c>
      <c r="BP67" s="1142">
        <v>14</v>
      </c>
      <c r="BQ67" s="1142">
        <v>13</v>
      </c>
      <c r="BR67" s="1142">
        <v>3</v>
      </c>
      <c r="BS67" s="2730">
        <v>33</v>
      </c>
      <c r="BT67" s="2722">
        <f t="shared" si="40"/>
        <v>0.94117647058823528</v>
      </c>
      <c r="BV67" s="1142">
        <v>2</v>
      </c>
      <c r="BW67" s="1142">
        <v>12</v>
      </c>
      <c r="BX67" s="1142">
        <v>13</v>
      </c>
      <c r="BY67" s="1142">
        <v>3</v>
      </c>
      <c r="BZ67" s="2730">
        <v>30</v>
      </c>
      <c r="CA67" s="2722">
        <f t="shared" si="42"/>
        <v>1.1428571428571428</v>
      </c>
    </row>
    <row r="68" spans="1:79" ht="17.100000000000001" customHeight="1">
      <c r="A68" s="1162" t="s">
        <v>74</v>
      </c>
      <c r="B68" s="1144" t="s">
        <v>41</v>
      </c>
      <c r="C68" s="2680" t="s">
        <v>1142</v>
      </c>
      <c r="D68" s="1139">
        <v>2</v>
      </c>
      <c r="E68" s="1139">
        <v>10</v>
      </c>
      <c r="F68" s="1145"/>
      <c r="G68" s="1145"/>
      <c r="H68" s="2713">
        <f>SUM(D68:G68)</f>
        <v>12</v>
      </c>
      <c r="I68" s="2714">
        <f t="shared" si="0"/>
        <v>0</v>
      </c>
      <c r="J68" s="2550"/>
      <c r="K68" s="1139">
        <v>2</v>
      </c>
      <c r="L68" s="1139">
        <v>10</v>
      </c>
      <c r="M68" s="1145"/>
      <c r="N68" s="1145"/>
      <c r="O68" s="2713">
        <f>SUM(K68:N68)</f>
        <v>12</v>
      </c>
      <c r="P68" s="2714">
        <f t="shared" si="1"/>
        <v>0</v>
      </c>
      <c r="Q68" s="2550"/>
      <c r="R68" s="1139">
        <v>2</v>
      </c>
      <c r="S68" s="1139">
        <v>9</v>
      </c>
      <c r="T68" s="1145"/>
      <c r="U68" s="1145"/>
      <c r="V68" s="2713">
        <f>SUM(R68:U68)</f>
        <v>11</v>
      </c>
      <c r="W68" s="2714">
        <f t="shared" si="2"/>
        <v>0</v>
      </c>
      <c r="X68" s="2550"/>
      <c r="Y68" s="1139">
        <v>2</v>
      </c>
      <c r="Z68" s="1139">
        <v>7</v>
      </c>
      <c r="AA68" s="1145">
        <v>1</v>
      </c>
      <c r="AB68" s="1145"/>
      <c r="AC68" s="2713">
        <f>SUM(Y68:AB68)</f>
        <v>10</v>
      </c>
      <c r="AD68" s="2714">
        <f t="shared" si="3"/>
        <v>0.1111111111111111</v>
      </c>
      <c r="AE68" s="2550"/>
      <c r="AF68" s="1139">
        <v>2</v>
      </c>
      <c r="AG68" s="1139">
        <v>5</v>
      </c>
      <c r="AH68" s="1145"/>
      <c r="AI68" s="1145"/>
      <c r="AJ68" s="2713">
        <f t="shared" si="11"/>
        <v>7</v>
      </c>
      <c r="AK68" s="2714">
        <f t="shared" si="4"/>
        <v>0</v>
      </c>
      <c r="AL68" s="2550"/>
      <c r="AM68" s="1139">
        <v>4</v>
      </c>
      <c r="AN68" s="1139">
        <v>6</v>
      </c>
      <c r="AO68" s="1145"/>
      <c r="AP68" s="1145"/>
      <c r="AQ68" s="2713">
        <f t="shared" si="12"/>
        <v>10</v>
      </c>
      <c r="AR68" s="2714">
        <f t="shared" si="5"/>
        <v>0</v>
      </c>
      <c r="AS68" s="2550"/>
      <c r="AT68" s="1139">
        <v>5</v>
      </c>
      <c r="AU68" s="1139">
        <v>10</v>
      </c>
      <c r="AV68" s="1145"/>
      <c r="AW68" s="1145"/>
      <c r="AX68" s="2713">
        <f t="shared" ref="AX68:AX81" si="47">SUM(AT68:AW68)</f>
        <v>15</v>
      </c>
      <c r="AY68" s="2714">
        <f t="shared" si="44"/>
        <v>0</v>
      </c>
      <c r="AZ68" s="2550"/>
      <c r="BA68" s="1139">
        <v>3</v>
      </c>
      <c r="BB68" s="1139">
        <v>10</v>
      </c>
      <c r="BC68" s="1145">
        <v>1</v>
      </c>
      <c r="BD68" s="1145"/>
      <c r="BE68" s="2713">
        <f t="shared" ref="BE68:BE81" si="48">SUM(BA68:BD68)</f>
        <v>14</v>
      </c>
      <c r="BF68" s="2714">
        <f t="shared" si="38"/>
        <v>7.6923076923076927E-2</v>
      </c>
      <c r="BG68" s="2550"/>
      <c r="BH68" s="1139">
        <v>1</v>
      </c>
      <c r="BI68" s="1139">
        <v>10</v>
      </c>
      <c r="BJ68" s="1145">
        <v>1</v>
      </c>
      <c r="BK68" s="1145"/>
      <c r="BL68" s="2713">
        <v>12</v>
      </c>
      <c r="BM68" s="2714">
        <f t="shared" si="39"/>
        <v>9.0909090909090912E-2</v>
      </c>
      <c r="BO68" s="1139"/>
      <c r="BP68" s="1139">
        <v>9</v>
      </c>
      <c r="BQ68" s="1145">
        <v>1</v>
      </c>
      <c r="BR68" s="1145"/>
      <c r="BS68" s="2713">
        <v>10</v>
      </c>
      <c r="BT68" s="2714">
        <f t="shared" si="40"/>
        <v>0.1111111111111111</v>
      </c>
      <c r="BV68" s="1139">
        <v>1</v>
      </c>
      <c r="BW68" s="1139">
        <v>10</v>
      </c>
      <c r="BX68" s="1145">
        <v>1</v>
      </c>
      <c r="BY68" s="1145"/>
      <c r="BZ68" s="2713">
        <v>12</v>
      </c>
      <c r="CA68" s="2714">
        <f t="shared" si="42"/>
        <v>9.0909090909090912E-2</v>
      </c>
    </row>
    <row r="69" spans="1:79" ht="17.100000000000001" customHeight="1">
      <c r="A69" s="1162" t="s">
        <v>74</v>
      </c>
      <c r="B69" s="1144" t="s">
        <v>41</v>
      </c>
      <c r="C69" s="2680" t="s">
        <v>1143</v>
      </c>
      <c r="D69" s="1139">
        <v>4</v>
      </c>
      <c r="E69" s="1139">
        <v>11</v>
      </c>
      <c r="F69" s="1139">
        <v>5</v>
      </c>
      <c r="G69" s="1139">
        <v>1</v>
      </c>
      <c r="H69" s="2717">
        <f>SUM(D69:G69)</f>
        <v>21</v>
      </c>
      <c r="I69" s="2714">
        <f t="shared" ref="I69:I84" si="49">(F69+G69)/(D69+E69)</f>
        <v>0.4</v>
      </c>
      <c r="J69" s="2550"/>
      <c r="K69" s="1139">
        <v>4</v>
      </c>
      <c r="L69" s="1139">
        <v>11</v>
      </c>
      <c r="M69" s="1139">
        <v>5</v>
      </c>
      <c r="N69" s="1139">
        <v>1</v>
      </c>
      <c r="O69" s="2717">
        <f>SUM(K69:N69)</f>
        <v>21</v>
      </c>
      <c r="P69" s="2714">
        <f t="shared" ref="P69:P84" si="50">(M69+N69)/(K69+L69)</f>
        <v>0.4</v>
      </c>
      <c r="Q69" s="2550"/>
      <c r="R69" s="1139">
        <v>4</v>
      </c>
      <c r="S69" s="1139">
        <v>10</v>
      </c>
      <c r="T69" s="1139">
        <v>6</v>
      </c>
      <c r="U69" s="1139">
        <v>1</v>
      </c>
      <c r="V69" s="2717">
        <f>SUM(R69:U69)</f>
        <v>21</v>
      </c>
      <c r="W69" s="2714">
        <f t="shared" ref="W69:W84" si="51">(T69+U69)/(R69+S69)</f>
        <v>0.5</v>
      </c>
      <c r="X69" s="2550"/>
      <c r="Y69" s="1139">
        <v>3</v>
      </c>
      <c r="Z69" s="1139">
        <v>16</v>
      </c>
      <c r="AA69" s="1139">
        <v>5</v>
      </c>
      <c r="AB69" s="1139">
        <v>1</v>
      </c>
      <c r="AC69" s="2717">
        <f>SUM(Y69:AB69)</f>
        <v>25</v>
      </c>
      <c r="AD69" s="2714">
        <f t="shared" ref="AD69:AD84" si="52">(AA69+AB69)/(Y69+Z69)</f>
        <v>0.31578947368421051</v>
      </c>
      <c r="AE69" s="2550"/>
      <c r="AF69" s="1139">
        <v>4</v>
      </c>
      <c r="AG69" s="1139">
        <v>16</v>
      </c>
      <c r="AH69" s="1139">
        <v>5</v>
      </c>
      <c r="AI69" s="1139">
        <v>1</v>
      </c>
      <c r="AJ69" s="2717">
        <f t="shared" si="11"/>
        <v>26</v>
      </c>
      <c r="AK69" s="2714">
        <f t="shared" ref="AK69:AK84" si="53">(AH69+AI69)/(AF69+AG69)</f>
        <v>0.3</v>
      </c>
      <c r="AL69" s="2550"/>
      <c r="AM69" s="1139">
        <v>3</v>
      </c>
      <c r="AN69" s="1139">
        <v>16</v>
      </c>
      <c r="AO69" s="1139">
        <v>7</v>
      </c>
      <c r="AP69" s="1139">
        <v>1</v>
      </c>
      <c r="AQ69" s="2717">
        <f t="shared" si="12"/>
        <v>27</v>
      </c>
      <c r="AR69" s="2714">
        <f t="shared" ref="AR69:AR84" si="54">(AO69+AP69)/(AM69+AN69)</f>
        <v>0.42105263157894735</v>
      </c>
      <c r="AS69" s="2550"/>
      <c r="AT69" s="1139">
        <v>4</v>
      </c>
      <c r="AU69" s="1139">
        <v>13</v>
      </c>
      <c r="AV69" s="1139">
        <v>7</v>
      </c>
      <c r="AW69" s="1139">
        <v>1</v>
      </c>
      <c r="AX69" s="2717">
        <f t="shared" si="47"/>
        <v>25</v>
      </c>
      <c r="AY69" s="2714">
        <f t="shared" si="44"/>
        <v>0.47058823529411764</v>
      </c>
      <c r="AZ69" s="2550"/>
      <c r="BA69" s="1139">
        <v>5</v>
      </c>
      <c r="BB69" s="1139">
        <v>11</v>
      </c>
      <c r="BC69" s="1139">
        <v>7</v>
      </c>
      <c r="BD69" s="1139">
        <v>1</v>
      </c>
      <c r="BE69" s="2717">
        <f t="shared" si="48"/>
        <v>24</v>
      </c>
      <c r="BF69" s="2714">
        <f t="shared" si="38"/>
        <v>0.5</v>
      </c>
      <c r="BG69" s="2550"/>
      <c r="BH69" s="1139">
        <v>6</v>
      </c>
      <c r="BI69" s="1139">
        <v>12</v>
      </c>
      <c r="BJ69" s="1139">
        <v>5</v>
      </c>
      <c r="BK69" s="1139">
        <v>1</v>
      </c>
      <c r="BL69" s="2717">
        <v>24</v>
      </c>
      <c r="BM69" s="2714">
        <f t="shared" si="39"/>
        <v>0.33333333333333331</v>
      </c>
      <c r="BO69" s="1139">
        <v>5</v>
      </c>
      <c r="BP69" s="1139">
        <v>12</v>
      </c>
      <c r="BQ69" s="1139">
        <v>3</v>
      </c>
      <c r="BR69" s="1139">
        <v>2</v>
      </c>
      <c r="BS69" s="2717">
        <v>22</v>
      </c>
      <c r="BT69" s="2714">
        <f t="shared" si="40"/>
        <v>0.29411764705882354</v>
      </c>
      <c r="BV69" s="1139">
        <v>7</v>
      </c>
      <c r="BW69" s="1139">
        <v>11</v>
      </c>
      <c r="BX69" s="1139">
        <v>3</v>
      </c>
      <c r="BY69" s="1139">
        <v>2</v>
      </c>
      <c r="BZ69" s="2717">
        <v>23</v>
      </c>
      <c r="CA69" s="2714">
        <f t="shared" si="42"/>
        <v>0.27777777777777779</v>
      </c>
    </row>
    <row r="70" spans="1:79" ht="17.100000000000001" customHeight="1" thickBot="1">
      <c r="A70" s="1164" t="s">
        <v>74</v>
      </c>
      <c r="B70" s="1147" t="s">
        <v>41</v>
      </c>
      <c r="C70" s="2682" t="s">
        <v>1144</v>
      </c>
      <c r="D70" s="1145">
        <v>2</v>
      </c>
      <c r="E70" s="1139">
        <v>14</v>
      </c>
      <c r="F70" s="1139">
        <v>5</v>
      </c>
      <c r="G70" s="1145"/>
      <c r="H70" s="2713">
        <f>SUM(D70:G70)</f>
        <v>21</v>
      </c>
      <c r="I70" s="2714">
        <f t="shared" si="49"/>
        <v>0.3125</v>
      </c>
      <c r="J70" s="2550"/>
      <c r="K70" s="1145">
        <v>2</v>
      </c>
      <c r="L70" s="1139">
        <v>16</v>
      </c>
      <c r="M70" s="1139">
        <v>5</v>
      </c>
      <c r="N70" s="1145"/>
      <c r="O70" s="2713">
        <f>SUM(K70:N70)</f>
        <v>23</v>
      </c>
      <c r="P70" s="2714">
        <f t="shared" si="50"/>
        <v>0.27777777777777779</v>
      </c>
      <c r="Q70" s="2550"/>
      <c r="R70" s="1145">
        <v>2</v>
      </c>
      <c r="S70" s="1139">
        <v>24</v>
      </c>
      <c r="T70" s="1139">
        <v>5</v>
      </c>
      <c r="U70" s="1145"/>
      <c r="V70" s="2713">
        <f>SUM(R70:U70)</f>
        <v>31</v>
      </c>
      <c r="W70" s="2714">
        <f t="shared" si="51"/>
        <v>0.19230769230769232</v>
      </c>
      <c r="X70" s="2550"/>
      <c r="Y70" s="1145">
        <v>8</v>
      </c>
      <c r="Z70" s="1139">
        <v>26</v>
      </c>
      <c r="AA70" s="1139">
        <v>5</v>
      </c>
      <c r="AB70" s="1145">
        <v>1</v>
      </c>
      <c r="AC70" s="2713">
        <f>SUM(Y70:AB70)</f>
        <v>40</v>
      </c>
      <c r="AD70" s="2714">
        <f t="shared" si="52"/>
        <v>0.17647058823529413</v>
      </c>
      <c r="AE70" s="2550"/>
      <c r="AF70" s="1145">
        <v>11</v>
      </c>
      <c r="AG70" s="1139">
        <v>23</v>
      </c>
      <c r="AH70" s="1139">
        <v>5</v>
      </c>
      <c r="AI70" s="1145">
        <v>1</v>
      </c>
      <c r="AJ70" s="2713">
        <f t="shared" ref="AJ70:AJ82" si="55">SUM(AF70:AI70)</f>
        <v>40</v>
      </c>
      <c r="AK70" s="2714">
        <f t="shared" si="53"/>
        <v>0.17647058823529413</v>
      </c>
      <c r="AL70" s="2550"/>
      <c r="AM70" s="1145">
        <v>6</v>
      </c>
      <c r="AN70" s="1139">
        <v>26</v>
      </c>
      <c r="AO70" s="1139">
        <v>5</v>
      </c>
      <c r="AP70" s="1145">
        <v>2</v>
      </c>
      <c r="AQ70" s="2713">
        <f t="shared" ref="AQ70:AQ82" si="56">SUM(AM70:AP70)</f>
        <v>39</v>
      </c>
      <c r="AR70" s="2714">
        <f t="shared" si="54"/>
        <v>0.21875</v>
      </c>
      <c r="AS70" s="2550"/>
      <c r="AT70" s="1145">
        <v>9</v>
      </c>
      <c r="AU70" s="1139">
        <v>25</v>
      </c>
      <c r="AV70" s="1139">
        <v>4</v>
      </c>
      <c r="AW70" s="1145">
        <v>3</v>
      </c>
      <c r="AX70" s="2713">
        <f t="shared" si="47"/>
        <v>41</v>
      </c>
      <c r="AY70" s="2714">
        <f t="shared" si="44"/>
        <v>0.20588235294117646</v>
      </c>
      <c r="AZ70" s="2550"/>
      <c r="BA70" s="1145">
        <v>7</v>
      </c>
      <c r="BB70" s="1139">
        <v>26</v>
      </c>
      <c r="BC70" s="1139">
        <v>4</v>
      </c>
      <c r="BD70" s="1145">
        <v>3</v>
      </c>
      <c r="BE70" s="2713">
        <f t="shared" si="48"/>
        <v>40</v>
      </c>
      <c r="BF70" s="2714">
        <f t="shared" si="38"/>
        <v>0.21212121212121213</v>
      </c>
      <c r="BG70" s="2550"/>
      <c r="BH70" s="1145">
        <v>7</v>
      </c>
      <c r="BI70" s="1139">
        <v>22</v>
      </c>
      <c r="BJ70" s="1139">
        <v>4</v>
      </c>
      <c r="BK70" s="1145">
        <v>3</v>
      </c>
      <c r="BL70" s="2713">
        <v>36</v>
      </c>
      <c r="BM70" s="2714">
        <f t="shared" si="39"/>
        <v>0.2413793103448276</v>
      </c>
      <c r="BO70" s="1145">
        <v>9</v>
      </c>
      <c r="BP70" s="1139">
        <v>23</v>
      </c>
      <c r="BQ70" s="1139">
        <v>5</v>
      </c>
      <c r="BR70" s="1145">
        <v>3</v>
      </c>
      <c r="BS70" s="2713">
        <v>40</v>
      </c>
      <c r="BT70" s="2714">
        <f t="shared" si="40"/>
        <v>0.25</v>
      </c>
      <c r="BV70" s="1145">
        <v>9</v>
      </c>
      <c r="BW70" s="1139">
        <v>24</v>
      </c>
      <c r="BX70" s="1139">
        <v>5</v>
      </c>
      <c r="BY70" s="1145">
        <v>3</v>
      </c>
      <c r="BZ70" s="2713">
        <v>41</v>
      </c>
      <c r="CA70" s="2714">
        <f t="shared" si="42"/>
        <v>0.24242424242424243</v>
      </c>
    </row>
    <row r="71" spans="1:79" ht="17.100000000000001" customHeight="1" thickBot="1">
      <c r="A71" s="5993" t="s">
        <v>1601</v>
      </c>
      <c r="B71" s="5994"/>
      <c r="C71" s="5994"/>
      <c r="D71" s="1150">
        <f>SUM(D67:D70)</f>
        <v>8</v>
      </c>
      <c r="E71" s="1150">
        <f>SUM(E67:E70)</f>
        <v>53</v>
      </c>
      <c r="F71" s="1150">
        <f>SUM(F67:F70)</f>
        <v>14</v>
      </c>
      <c r="G71" s="1150">
        <f>SUM(G67:G70)</f>
        <v>1</v>
      </c>
      <c r="H71" s="2723">
        <f>SUM(H67:H70)</f>
        <v>76</v>
      </c>
      <c r="I71" s="2716">
        <f t="shared" si="49"/>
        <v>0.24590163934426229</v>
      </c>
      <c r="J71" s="2550"/>
      <c r="K71" s="1150">
        <f>SUM(K67:K70)</f>
        <v>8</v>
      </c>
      <c r="L71" s="1150">
        <f>SUM(L67:L70)</f>
        <v>55</v>
      </c>
      <c r="M71" s="1150">
        <f>SUM(M67:M70)</f>
        <v>14</v>
      </c>
      <c r="N71" s="1150">
        <f>SUM(N67:N70)</f>
        <v>2</v>
      </c>
      <c r="O71" s="2723">
        <f>SUM(O67:O70)</f>
        <v>79</v>
      </c>
      <c r="P71" s="2716">
        <f t="shared" si="50"/>
        <v>0.25396825396825395</v>
      </c>
      <c r="Q71" s="2550"/>
      <c r="R71" s="1150">
        <f>SUM(R67:R70)</f>
        <v>9</v>
      </c>
      <c r="S71" s="1150">
        <f>SUM(S67:S70)</f>
        <v>61</v>
      </c>
      <c r="T71" s="1150">
        <f>SUM(T67:T70)</f>
        <v>14</v>
      </c>
      <c r="U71" s="1150">
        <f>SUM(U67:U70)</f>
        <v>2</v>
      </c>
      <c r="V71" s="2723">
        <f>SUM(V67:V70)</f>
        <v>86</v>
      </c>
      <c r="W71" s="2716">
        <f t="shared" si="51"/>
        <v>0.22857142857142856</v>
      </c>
      <c r="X71" s="2550"/>
      <c r="Y71" s="1150">
        <f>SUM(Y67:Y70)</f>
        <v>14</v>
      </c>
      <c r="Z71" s="1150">
        <f>SUM(Z67:Z70)</f>
        <v>66</v>
      </c>
      <c r="AA71" s="1150">
        <f>SUM(AA67:AA70)</f>
        <v>15</v>
      </c>
      <c r="AB71" s="1150">
        <f>SUM(AB67:AB70)</f>
        <v>3</v>
      </c>
      <c r="AC71" s="2723">
        <f>SUM(AC67:AC70)</f>
        <v>98</v>
      </c>
      <c r="AD71" s="2716">
        <f t="shared" si="52"/>
        <v>0.22500000000000001</v>
      </c>
      <c r="AE71" s="2550"/>
      <c r="AF71" s="1150">
        <f>SUM(AF67:AF70)</f>
        <v>23</v>
      </c>
      <c r="AG71" s="1150">
        <f>SUM(AG67:AG70)</f>
        <v>61</v>
      </c>
      <c r="AH71" s="1150">
        <f>SUM(AH67:AH70)</f>
        <v>15</v>
      </c>
      <c r="AI71" s="1150">
        <f>SUM(AI67:AI70)</f>
        <v>3</v>
      </c>
      <c r="AJ71" s="2723">
        <f t="shared" si="55"/>
        <v>102</v>
      </c>
      <c r="AK71" s="2716">
        <f t="shared" si="53"/>
        <v>0.21428571428571427</v>
      </c>
      <c r="AL71" s="2550"/>
      <c r="AM71" s="1150">
        <v>17</v>
      </c>
      <c r="AN71" s="1150">
        <v>67</v>
      </c>
      <c r="AO71" s="1150">
        <v>20</v>
      </c>
      <c r="AP71" s="1150">
        <v>4</v>
      </c>
      <c r="AQ71" s="2723">
        <f t="shared" si="56"/>
        <v>108</v>
      </c>
      <c r="AR71" s="2716">
        <f t="shared" si="54"/>
        <v>0.2857142857142857</v>
      </c>
      <c r="AS71" s="2550"/>
      <c r="AT71" s="1150">
        <f>SUM(AT67:AT70)</f>
        <v>23</v>
      </c>
      <c r="AU71" s="1150">
        <f>SUM(AU67:AU70)</f>
        <v>72</v>
      </c>
      <c r="AV71" s="1150">
        <f>SUM(AV67:AV70)</f>
        <v>19</v>
      </c>
      <c r="AW71" s="1150">
        <f>SUM(AW67:AW70)</f>
        <v>6</v>
      </c>
      <c r="AX71" s="2723">
        <f t="shared" si="47"/>
        <v>120</v>
      </c>
      <c r="AY71" s="2716">
        <f t="shared" si="44"/>
        <v>0.26315789473684209</v>
      </c>
      <c r="AZ71" s="2550"/>
      <c r="BA71" s="1150">
        <v>20</v>
      </c>
      <c r="BB71" s="1150">
        <v>68</v>
      </c>
      <c r="BC71" s="1150">
        <v>22</v>
      </c>
      <c r="BD71" s="1150">
        <v>6</v>
      </c>
      <c r="BE71" s="2723">
        <f t="shared" si="48"/>
        <v>116</v>
      </c>
      <c r="BF71" s="2716">
        <f t="shared" si="38"/>
        <v>0.31818181818181818</v>
      </c>
      <c r="BG71" s="2550"/>
      <c r="BH71" s="1150">
        <v>17</v>
      </c>
      <c r="BI71" s="1150">
        <v>64</v>
      </c>
      <c r="BJ71" s="1150">
        <v>23</v>
      </c>
      <c r="BK71" s="1150">
        <v>6</v>
      </c>
      <c r="BL71" s="2723">
        <v>110</v>
      </c>
      <c r="BM71" s="2716">
        <f t="shared" si="39"/>
        <v>0.35802469135802467</v>
      </c>
      <c r="BO71" s="1150">
        <v>17</v>
      </c>
      <c r="BP71" s="1150">
        <v>58</v>
      </c>
      <c r="BQ71" s="1150">
        <v>22</v>
      </c>
      <c r="BR71" s="1150">
        <v>8</v>
      </c>
      <c r="BS71" s="2723">
        <v>105</v>
      </c>
      <c r="BT71" s="2716">
        <f t="shared" si="40"/>
        <v>0.4</v>
      </c>
      <c r="BV71" s="1150">
        <f>SUM(BV67:BV70)</f>
        <v>19</v>
      </c>
      <c r="BW71" s="1150">
        <f t="shared" ref="BW71:BZ71" si="57">SUM(BW67:BW70)</f>
        <v>57</v>
      </c>
      <c r="BX71" s="1150">
        <f t="shared" si="57"/>
        <v>22</v>
      </c>
      <c r="BY71" s="1150">
        <f t="shared" si="57"/>
        <v>8</v>
      </c>
      <c r="BZ71" s="1150">
        <f t="shared" si="57"/>
        <v>106</v>
      </c>
      <c r="CA71" s="2716">
        <f t="shared" si="42"/>
        <v>0.39473684210526316</v>
      </c>
    </row>
    <row r="72" spans="1:79" ht="17.100000000000001" customHeight="1">
      <c r="A72" s="1165" t="s">
        <v>74</v>
      </c>
      <c r="B72" s="1148" t="s">
        <v>16</v>
      </c>
      <c r="C72" s="2684" t="s">
        <v>1145</v>
      </c>
      <c r="D72" s="1145"/>
      <c r="E72" s="1139">
        <f>14+3</f>
        <v>17</v>
      </c>
      <c r="F72" s="1139">
        <f>8+2</f>
        <v>10</v>
      </c>
      <c r="G72" s="1145">
        <v>1</v>
      </c>
      <c r="H72" s="2713">
        <f>SUM(D72:G72)</f>
        <v>28</v>
      </c>
      <c r="I72" s="2714">
        <f t="shared" si="49"/>
        <v>0.6470588235294118</v>
      </c>
      <c r="J72" s="2550"/>
      <c r="K72" s="1145"/>
      <c r="L72" s="1139">
        <f>14+3</f>
        <v>17</v>
      </c>
      <c r="M72" s="1139">
        <f>8+2</f>
        <v>10</v>
      </c>
      <c r="N72" s="1145">
        <v>1</v>
      </c>
      <c r="O72" s="2713">
        <f>SUM(K72:N72)</f>
        <v>28</v>
      </c>
      <c r="P72" s="2714">
        <f t="shared" si="50"/>
        <v>0.6470588235294118</v>
      </c>
      <c r="Q72" s="2550"/>
      <c r="R72" s="1145">
        <v>1</v>
      </c>
      <c r="S72" s="1139">
        <v>16</v>
      </c>
      <c r="T72" s="1139">
        <v>11</v>
      </c>
      <c r="U72" s="1145">
        <v>1</v>
      </c>
      <c r="V72" s="2713">
        <f>SUM(R72:U72)</f>
        <v>29</v>
      </c>
      <c r="W72" s="2714">
        <f t="shared" si="51"/>
        <v>0.70588235294117652</v>
      </c>
      <c r="X72" s="2550"/>
      <c r="Y72" s="1145">
        <v>3</v>
      </c>
      <c r="Z72" s="1139">
        <v>13</v>
      </c>
      <c r="AA72" s="1139">
        <v>12</v>
      </c>
      <c r="AB72" s="1145">
        <v>2</v>
      </c>
      <c r="AC72" s="2713">
        <f>SUM(Y72:AB72)</f>
        <v>30</v>
      </c>
      <c r="AD72" s="2714">
        <f t="shared" si="52"/>
        <v>0.875</v>
      </c>
      <c r="AE72" s="2550"/>
      <c r="AF72" s="1145">
        <v>2</v>
      </c>
      <c r="AG72" s="1139">
        <v>14</v>
      </c>
      <c r="AH72" s="1139">
        <v>12</v>
      </c>
      <c r="AI72" s="1145">
        <v>3</v>
      </c>
      <c r="AJ72" s="2713">
        <f t="shared" si="55"/>
        <v>31</v>
      </c>
      <c r="AK72" s="2714">
        <f t="shared" si="53"/>
        <v>0.9375</v>
      </c>
      <c r="AL72" s="2550"/>
      <c r="AM72" s="1145">
        <v>1</v>
      </c>
      <c r="AN72" s="1139">
        <v>13</v>
      </c>
      <c r="AO72" s="1139">
        <v>13</v>
      </c>
      <c r="AP72" s="1145">
        <v>3</v>
      </c>
      <c r="AQ72" s="2713">
        <f t="shared" si="56"/>
        <v>30</v>
      </c>
      <c r="AR72" s="2714">
        <f t="shared" si="54"/>
        <v>1.1428571428571428</v>
      </c>
      <c r="AS72" s="2550"/>
      <c r="AT72" s="1145"/>
      <c r="AU72" s="1139">
        <v>14</v>
      </c>
      <c r="AV72" s="1139">
        <v>12</v>
      </c>
      <c r="AW72" s="1145">
        <v>3</v>
      </c>
      <c r="AX72" s="2713">
        <f t="shared" si="47"/>
        <v>29</v>
      </c>
      <c r="AY72" s="2714">
        <f t="shared" si="44"/>
        <v>1.0714285714285714</v>
      </c>
      <c r="AZ72" s="2550"/>
      <c r="BA72" s="1145">
        <v>1</v>
      </c>
      <c r="BB72" s="1139">
        <v>11</v>
      </c>
      <c r="BC72" s="1139">
        <v>12</v>
      </c>
      <c r="BD72" s="1145">
        <v>3</v>
      </c>
      <c r="BE72" s="2713">
        <f t="shared" si="48"/>
        <v>27</v>
      </c>
      <c r="BF72" s="2714">
        <f t="shared" si="38"/>
        <v>1.25</v>
      </c>
      <c r="BG72" s="2550"/>
      <c r="BH72" s="1145">
        <v>1</v>
      </c>
      <c r="BI72" s="1139">
        <v>13</v>
      </c>
      <c r="BJ72" s="1139">
        <v>12</v>
      </c>
      <c r="BK72" s="1145">
        <v>3</v>
      </c>
      <c r="BL72" s="2713">
        <v>29</v>
      </c>
      <c r="BM72" s="2714">
        <f t="shared" si="39"/>
        <v>1.0714285714285714</v>
      </c>
      <c r="BO72" s="1145">
        <v>1</v>
      </c>
      <c r="BP72" s="1139">
        <v>12</v>
      </c>
      <c r="BQ72" s="1139">
        <v>10</v>
      </c>
      <c r="BR72" s="1145">
        <v>3</v>
      </c>
      <c r="BS72" s="2713">
        <v>26</v>
      </c>
      <c r="BT72" s="2714">
        <f t="shared" si="40"/>
        <v>1</v>
      </c>
      <c r="BV72" s="1145">
        <v>1</v>
      </c>
      <c r="BW72" s="1139">
        <v>11</v>
      </c>
      <c r="BX72" s="1139">
        <v>10</v>
      </c>
      <c r="BY72" s="1145">
        <v>3</v>
      </c>
      <c r="BZ72" s="2713">
        <v>25</v>
      </c>
      <c r="CA72" s="2714">
        <f t="shared" si="42"/>
        <v>1.0833333333333333</v>
      </c>
    </row>
    <row r="73" spans="1:79" ht="17.100000000000001" customHeight="1">
      <c r="A73" s="1162" t="s">
        <v>74</v>
      </c>
      <c r="B73" s="1144" t="s">
        <v>16</v>
      </c>
      <c r="C73" s="2680" t="s">
        <v>1146</v>
      </c>
      <c r="D73" s="1145">
        <v>1</v>
      </c>
      <c r="E73" s="1139">
        <v>21</v>
      </c>
      <c r="F73" s="1139">
        <v>11</v>
      </c>
      <c r="G73" s="1139">
        <v>1</v>
      </c>
      <c r="H73" s="2717">
        <f>SUM(D73:G73)</f>
        <v>34</v>
      </c>
      <c r="I73" s="2714">
        <f t="shared" si="49"/>
        <v>0.54545454545454541</v>
      </c>
      <c r="J73" s="2550"/>
      <c r="K73" s="1145">
        <v>1</v>
      </c>
      <c r="L73" s="1139">
        <v>21</v>
      </c>
      <c r="M73" s="1139">
        <v>11</v>
      </c>
      <c r="N73" s="1139">
        <v>1</v>
      </c>
      <c r="O73" s="2717">
        <f>SUM(K73:N73)</f>
        <v>34</v>
      </c>
      <c r="P73" s="2714">
        <f t="shared" si="50"/>
        <v>0.54545454545454541</v>
      </c>
      <c r="Q73" s="2550"/>
      <c r="R73" s="1145">
        <v>1</v>
      </c>
      <c r="S73" s="1139">
        <v>20</v>
      </c>
      <c r="T73" s="1139">
        <v>12</v>
      </c>
      <c r="U73" s="1139"/>
      <c r="V73" s="2717">
        <f>SUM(R73:U73)</f>
        <v>33</v>
      </c>
      <c r="W73" s="2714">
        <f t="shared" si="51"/>
        <v>0.5714285714285714</v>
      </c>
      <c r="X73" s="2550"/>
      <c r="Y73" s="1145">
        <v>4</v>
      </c>
      <c r="Z73" s="1139">
        <v>24</v>
      </c>
      <c r="AA73" s="1139">
        <v>9</v>
      </c>
      <c r="AB73" s="1139">
        <v>1</v>
      </c>
      <c r="AC73" s="2717">
        <f>SUM(Y73:AB73)</f>
        <v>38</v>
      </c>
      <c r="AD73" s="2714">
        <f t="shared" si="52"/>
        <v>0.35714285714285715</v>
      </c>
      <c r="AE73" s="2550"/>
      <c r="AF73" s="1145">
        <v>6</v>
      </c>
      <c r="AG73" s="1139">
        <v>26</v>
      </c>
      <c r="AH73" s="1139">
        <v>5</v>
      </c>
      <c r="AI73" s="1139">
        <v>3</v>
      </c>
      <c r="AJ73" s="2717">
        <f t="shared" si="55"/>
        <v>40</v>
      </c>
      <c r="AK73" s="2714">
        <f t="shared" si="53"/>
        <v>0.25</v>
      </c>
      <c r="AL73" s="2550"/>
      <c r="AM73" s="1145">
        <v>6</v>
      </c>
      <c r="AN73" s="1139">
        <v>24</v>
      </c>
      <c r="AO73" s="1139">
        <v>5</v>
      </c>
      <c r="AP73" s="1139">
        <v>4</v>
      </c>
      <c r="AQ73" s="2717">
        <f t="shared" si="56"/>
        <v>39</v>
      </c>
      <c r="AR73" s="2714">
        <f t="shared" si="54"/>
        <v>0.3</v>
      </c>
      <c r="AS73" s="2550"/>
      <c r="AT73" s="1145">
        <v>3</v>
      </c>
      <c r="AU73" s="1139">
        <v>25</v>
      </c>
      <c r="AV73" s="1139">
        <v>7</v>
      </c>
      <c r="AW73" s="1139">
        <v>4</v>
      </c>
      <c r="AX73" s="2717">
        <f t="shared" si="47"/>
        <v>39</v>
      </c>
      <c r="AY73" s="2714">
        <f t="shared" si="44"/>
        <v>0.39285714285714285</v>
      </c>
      <c r="AZ73" s="2550"/>
      <c r="BA73" s="1145">
        <v>1</v>
      </c>
      <c r="BB73" s="1139">
        <v>22</v>
      </c>
      <c r="BC73" s="1139">
        <v>9</v>
      </c>
      <c r="BD73" s="1139">
        <v>4</v>
      </c>
      <c r="BE73" s="2717">
        <f t="shared" si="48"/>
        <v>36</v>
      </c>
      <c r="BF73" s="2714">
        <f t="shared" si="38"/>
        <v>0.56521739130434778</v>
      </c>
      <c r="BG73" s="2550"/>
      <c r="BH73" s="1145">
        <v>2</v>
      </c>
      <c r="BI73" s="1139">
        <v>20</v>
      </c>
      <c r="BJ73" s="1139">
        <v>9</v>
      </c>
      <c r="BK73" s="1139">
        <v>4</v>
      </c>
      <c r="BL73" s="2717">
        <v>35</v>
      </c>
      <c r="BM73" s="2714">
        <f t="shared" si="39"/>
        <v>0.59090909090909094</v>
      </c>
      <c r="BO73" s="1145">
        <v>4</v>
      </c>
      <c r="BP73" s="1139">
        <v>19</v>
      </c>
      <c r="BQ73" s="1139">
        <v>9</v>
      </c>
      <c r="BR73" s="1139">
        <v>5</v>
      </c>
      <c r="BS73" s="2717">
        <v>37</v>
      </c>
      <c r="BT73" s="2714">
        <f t="shared" si="40"/>
        <v>0.60869565217391308</v>
      </c>
      <c r="BV73" s="1145">
        <v>3</v>
      </c>
      <c r="BW73" s="1139">
        <v>19</v>
      </c>
      <c r="BX73" s="1139">
        <v>9</v>
      </c>
      <c r="BY73" s="1139">
        <v>5</v>
      </c>
      <c r="BZ73" s="2717">
        <v>36</v>
      </c>
      <c r="CA73" s="2714">
        <f t="shared" si="42"/>
        <v>0.63636363636363635</v>
      </c>
    </row>
    <row r="74" spans="1:79" ht="17.100000000000001" customHeight="1">
      <c r="A74" s="1162" t="s">
        <v>74</v>
      </c>
      <c r="B74" s="1144" t="s">
        <v>16</v>
      </c>
      <c r="C74" s="2680" t="s">
        <v>1147</v>
      </c>
      <c r="D74" s="1139">
        <v>2</v>
      </c>
      <c r="E74" s="1139">
        <v>14</v>
      </c>
      <c r="F74" s="1139">
        <v>7</v>
      </c>
      <c r="G74" s="1139">
        <v>7</v>
      </c>
      <c r="H74" s="2717">
        <f>SUM(D74:G74)</f>
        <v>30</v>
      </c>
      <c r="I74" s="2714">
        <f t="shared" si="49"/>
        <v>0.875</v>
      </c>
      <c r="J74" s="2550"/>
      <c r="K74" s="1139">
        <v>2</v>
      </c>
      <c r="L74" s="1139">
        <v>13</v>
      </c>
      <c r="M74" s="1139">
        <v>7</v>
      </c>
      <c r="N74" s="1139">
        <v>7</v>
      </c>
      <c r="O74" s="2717">
        <f>SUM(K74:N74)</f>
        <v>29</v>
      </c>
      <c r="P74" s="2714">
        <f t="shared" si="50"/>
        <v>0.93333333333333335</v>
      </c>
      <c r="Q74" s="2550"/>
      <c r="R74" s="1139">
        <v>5</v>
      </c>
      <c r="S74" s="1139">
        <v>14</v>
      </c>
      <c r="T74" s="1139">
        <v>7</v>
      </c>
      <c r="U74" s="1139">
        <v>9</v>
      </c>
      <c r="V74" s="2717">
        <f>SUM(R74:U74)</f>
        <v>35</v>
      </c>
      <c r="W74" s="2714">
        <f t="shared" si="51"/>
        <v>0.84210526315789469</v>
      </c>
      <c r="X74" s="2550"/>
      <c r="Y74" s="1139">
        <v>6</v>
      </c>
      <c r="Z74" s="1139">
        <v>14</v>
      </c>
      <c r="AA74" s="1139">
        <v>6</v>
      </c>
      <c r="AB74" s="1139">
        <v>8</v>
      </c>
      <c r="AC74" s="2717">
        <f>SUM(Y74:AB74)</f>
        <v>34</v>
      </c>
      <c r="AD74" s="2714">
        <f t="shared" si="52"/>
        <v>0.7</v>
      </c>
      <c r="AE74" s="2550"/>
      <c r="AF74" s="1139">
        <v>6</v>
      </c>
      <c r="AG74" s="1139">
        <v>14</v>
      </c>
      <c r="AH74" s="1139">
        <v>6</v>
      </c>
      <c r="AI74" s="1139">
        <v>8</v>
      </c>
      <c r="AJ74" s="2717">
        <f t="shared" si="55"/>
        <v>34</v>
      </c>
      <c r="AK74" s="2714">
        <f t="shared" si="53"/>
        <v>0.7</v>
      </c>
      <c r="AL74" s="2550"/>
      <c r="AM74" s="1139">
        <v>5</v>
      </c>
      <c r="AN74" s="1139">
        <v>13</v>
      </c>
      <c r="AO74" s="1139">
        <v>8</v>
      </c>
      <c r="AP74" s="1139">
        <v>8</v>
      </c>
      <c r="AQ74" s="2717">
        <f t="shared" si="56"/>
        <v>34</v>
      </c>
      <c r="AR74" s="2714">
        <f t="shared" si="54"/>
        <v>0.88888888888888884</v>
      </c>
      <c r="AS74" s="2550"/>
      <c r="AT74" s="1139">
        <v>5</v>
      </c>
      <c r="AU74" s="1139">
        <v>13</v>
      </c>
      <c r="AV74" s="1139">
        <v>7</v>
      </c>
      <c r="AW74" s="1139">
        <v>9</v>
      </c>
      <c r="AX74" s="2717">
        <f t="shared" si="47"/>
        <v>34</v>
      </c>
      <c r="AY74" s="2714">
        <f t="shared" si="44"/>
        <v>0.88888888888888884</v>
      </c>
      <c r="AZ74" s="2550"/>
      <c r="BA74" s="1139">
        <v>4</v>
      </c>
      <c r="BB74" s="1139">
        <v>15</v>
      </c>
      <c r="BC74" s="1139">
        <v>6</v>
      </c>
      <c r="BD74" s="1139">
        <v>9</v>
      </c>
      <c r="BE74" s="2717">
        <f t="shared" si="48"/>
        <v>34</v>
      </c>
      <c r="BF74" s="2714">
        <f t="shared" si="38"/>
        <v>0.78947368421052633</v>
      </c>
      <c r="BG74" s="2550"/>
      <c r="BH74" s="1139">
        <v>4</v>
      </c>
      <c r="BI74" s="1139">
        <v>14</v>
      </c>
      <c r="BJ74" s="1139">
        <v>5</v>
      </c>
      <c r="BK74" s="1139">
        <v>10</v>
      </c>
      <c r="BL74" s="2717">
        <v>33</v>
      </c>
      <c r="BM74" s="2714">
        <f t="shared" si="39"/>
        <v>0.83333333333333337</v>
      </c>
      <c r="BO74" s="1139">
        <v>3</v>
      </c>
      <c r="BP74" s="1139">
        <v>15</v>
      </c>
      <c r="BQ74" s="1139">
        <v>5</v>
      </c>
      <c r="BR74" s="1139">
        <v>10</v>
      </c>
      <c r="BS74" s="2717">
        <v>33</v>
      </c>
      <c r="BT74" s="2714">
        <f t="shared" si="40"/>
        <v>0.83333333333333337</v>
      </c>
      <c r="BV74" s="1139">
        <v>4</v>
      </c>
      <c r="BW74" s="1139">
        <v>16</v>
      </c>
      <c r="BX74" s="1139">
        <v>5</v>
      </c>
      <c r="BY74" s="1139">
        <v>10</v>
      </c>
      <c r="BZ74" s="2717">
        <v>35</v>
      </c>
      <c r="CA74" s="2714">
        <f t="shared" si="42"/>
        <v>0.75</v>
      </c>
    </row>
    <row r="75" spans="1:79" ht="17.100000000000001" customHeight="1" thickBot="1">
      <c r="A75" s="1162" t="s">
        <v>74</v>
      </c>
      <c r="B75" s="1144" t="s">
        <v>16</v>
      </c>
      <c r="C75" s="2680" t="s">
        <v>1148</v>
      </c>
      <c r="D75" s="1145"/>
      <c r="E75" s="1139">
        <v>16</v>
      </c>
      <c r="F75" s="1139">
        <v>6</v>
      </c>
      <c r="G75" s="1139">
        <v>2</v>
      </c>
      <c r="H75" s="2717">
        <f>SUM(D75:G75)</f>
        <v>24</v>
      </c>
      <c r="I75" s="2714">
        <f t="shared" si="49"/>
        <v>0.5</v>
      </c>
      <c r="J75" s="2550"/>
      <c r="K75" s="1145"/>
      <c r="L75" s="1139">
        <v>16</v>
      </c>
      <c r="M75" s="1139">
        <v>6</v>
      </c>
      <c r="N75" s="1139">
        <v>2</v>
      </c>
      <c r="O75" s="2717">
        <f>SUM(K75:N75)</f>
        <v>24</v>
      </c>
      <c r="P75" s="2714">
        <f t="shared" si="50"/>
        <v>0.5</v>
      </c>
      <c r="Q75" s="2550"/>
      <c r="R75" s="1145">
        <v>1</v>
      </c>
      <c r="S75" s="1139">
        <v>15</v>
      </c>
      <c r="T75" s="1139">
        <v>5</v>
      </c>
      <c r="U75" s="1139">
        <v>2</v>
      </c>
      <c r="V75" s="2717">
        <f>SUM(R75:U75)</f>
        <v>23</v>
      </c>
      <c r="W75" s="2714">
        <f t="shared" si="51"/>
        <v>0.4375</v>
      </c>
      <c r="X75" s="2550"/>
      <c r="Y75" s="1145">
        <v>2</v>
      </c>
      <c r="Z75" s="1139">
        <v>12</v>
      </c>
      <c r="AA75" s="1139">
        <v>7</v>
      </c>
      <c r="AB75" s="1139">
        <v>2</v>
      </c>
      <c r="AC75" s="2717">
        <f>SUM(Y75:AB75)</f>
        <v>23</v>
      </c>
      <c r="AD75" s="2714">
        <f t="shared" si="52"/>
        <v>0.6428571428571429</v>
      </c>
      <c r="AE75" s="2550"/>
      <c r="AF75" s="1145">
        <v>3</v>
      </c>
      <c r="AG75" s="1139">
        <v>12</v>
      </c>
      <c r="AH75" s="1139">
        <v>6</v>
      </c>
      <c r="AI75" s="1139">
        <v>2</v>
      </c>
      <c r="AJ75" s="2717">
        <f t="shared" si="55"/>
        <v>23</v>
      </c>
      <c r="AK75" s="2714">
        <f t="shared" si="53"/>
        <v>0.53333333333333333</v>
      </c>
      <c r="AL75" s="2550"/>
      <c r="AM75" s="1145">
        <v>2</v>
      </c>
      <c r="AN75" s="1139">
        <v>10</v>
      </c>
      <c r="AO75" s="1139">
        <v>6</v>
      </c>
      <c r="AP75" s="1139">
        <v>2</v>
      </c>
      <c r="AQ75" s="2717">
        <f t="shared" si="56"/>
        <v>20</v>
      </c>
      <c r="AR75" s="2714">
        <f t="shared" si="54"/>
        <v>0.66666666666666663</v>
      </c>
      <c r="AS75" s="2550"/>
      <c r="AT75" s="1145">
        <v>2</v>
      </c>
      <c r="AU75" s="1139">
        <v>11</v>
      </c>
      <c r="AV75" s="1139">
        <v>4</v>
      </c>
      <c r="AW75" s="1139">
        <v>4</v>
      </c>
      <c r="AX75" s="2717">
        <f t="shared" si="47"/>
        <v>21</v>
      </c>
      <c r="AY75" s="2714">
        <f t="shared" si="44"/>
        <v>0.61538461538461542</v>
      </c>
      <c r="AZ75" s="2550"/>
      <c r="BA75" s="1145"/>
      <c r="BB75" s="1139">
        <v>10</v>
      </c>
      <c r="BC75" s="1139">
        <v>6</v>
      </c>
      <c r="BD75" s="1139">
        <v>4</v>
      </c>
      <c r="BE75" s="2717">
        <f t="shared" si="48"/>
        <v>20</v>
      </c>
      <c r="BF75" s="2714">
        <f t="shared" si="38"/>
        <v>1</v>
      </c>
      <c r="BG75" s="2550"/>
      <c r="BH75" s="1145">
        <v>1</v>
      </c>
      <c r="BI75" s="1139">
        <v>7</v>
      </c>
      <c r="BJ75" s="1139">
        <v>8</v>
      </c>
      <c r="BK75" s="1139">
        <v>4</v>
      </c>
      <c r="BL75" s="2717">
        <v>20</v>
      </c>
      <c r="BM75" s="2714">
        <f t="shared" si="39"/>
        <v>1.5</v>
      </c>
      <c r="BO75" s="1145">
        <v>1</v>
      </c>
      <c r="BP75" s="1139">
        <v>8</v>
      </c>
      <c r="BQ75" s="1139">
        <v>8</v>
      </c>
      <c r="BR75" s="1139">
        <v>4</v>
      </c>
      <c r="BS75" s="2717">
        <v>21</v>
      </c>
      <c r="BT75" s="2714">
        <f t="shared" si="40"/>
        <v>1.3333333333333333</v>
      </c>
      <c r="BV75" s="1145">
        <v>2</v>
      </c>
      <c r="BW75" s="1139">
        <v>8</v>
      </c>
      <c r="BX75" s="1139">
        <v>8</v>
      </c>
      <c r="BY75" s="1139">
        <v>4</v>
      </c>
      <c r="BZ75" s="2717">
        <v>22</v>
      </c>
      <c r="CA75" s="2714">
        <f t="shared" si="42"/>
        <v>1.2</v>
      </c>
    </row>
    <row r="76" spans="1:79" ht="17.100000000000001" customHeight="1" thickBot="1">
      <c r="A76" s="5993" t="s">
        <v>1594</v>
      </c>
      <c r="B76" s="5994"/>
      <c r="C76" s="5994"/>
      <c r="D76" s="1150">
        <f>SUM(D72:D75)</f>
        <v>3</v>
      </c>
      <c r="E76" s="1150">
        <f>SUM(E72:E75)</f>
        <v>68</v>
      </c>
      <c r="F76" s="1150">
        <f>SUM(F72:F75)</f>
        <v>34</v>
      </c>
      <c r="G76" s="1150">
        <f>SUM(G72:G75)</f>
        <v>11</v>
      </c>
      <c r="H76" s="2723">
        <f>SUM(H72:H75)</f>
        <v>116</v>
      </c>
      <c r="I76" s="2716">
        <f t="shared" si="49"/>
        <v>0.63380281690140849</v>
      </c>
      <c r="J76" s="2550"/>
      <c r="K76" s="1150">
        <f>SUM(K72:K75)</f>
        <v>3</v>
      </c>
      <c r="L76" s="1150">
        <f>SUM(L72:L75)</f>
        <v>67</v>
      </c>
      <c r="M76" s="1150">
        <f>SUM(M72:M75)</f>
        <v>34</v>
      </c>
      <c r="N76" s="1150">
        <f>SUM(N72:N75)</f>
        <v>11</v>
      </c>
      <c r="O76" s="2723">
        <f>SUM(O72:O75)</f>
        <v>115</v>
      </c>
      <c r="P76" s="2716">
        <f t="shared" si="50"/>
        <v>0.6428571428571429</v>
      </c>
      <c r="Q76" s="2550"/>
      <c r="R76" s="1150">
        <f>SUM(R72:R75)</f>
        <v>8</v>
      </c>
      <c r="S76" s="1150">
        <f>SUM(S72:S75)</f>
        <v>65</v>
      </c>
      <c r="T76" s="1150">
        <f>SUM(T72:T75)</f>
        <v>35</v>
      </c>
      <c r="U76" s="1150">
        <f>SUM(U72:U75)</f>
        <v>12</v>
      </c>
      <c r="V76" s="2723">
        <f>SUM(V72:V75)</f>
        <v>120</v>
      </c>
      <c r="W76" s="2716">
        <f t="shared" si="51"/>
        <v>0.64383561643835618</v>
      </c>
      <c r="X76" s="2550"/>
      <c r="Y76" s="1150">
        <f>SUM(Y72:Y75)</f>
        <v>15</v>
      </c>
      <c r="Z76" s="1150">
        <f>SUM(Z72:Z75)</f>
        <v>63</v>
      </c>
      <c r="AA76" s="1150">
        <f>SUM(AA72:AA75)</f>
        <v>34</v>
      </c>
      <c r="AB76" s="1150">
        <f>SUM(AB72:AB75)</f>
        <v>13</v>
      </c>
      <c r="AC76" s="2723">
        <f>SUM(AC72:AC75)</f>
        <v>125</v>
      </c>
      <c r="AD76" s="2716">
        <f t="shared" si="52"/>
        <v>0.60256410256410253</v>
      </c>
      <c r="AE76" s="2550"/>
      <c r="AF76" s="1150">
        <f>SUM(AF72:AF75)</f>
        <v>17</v>
      </c>
      <c r="AG76" s="1150">
        <f>SUM(AG72:AG75)</f>
        <v>66</v>
      </c>
      <c r="AH76" s="1150">
        <f>SUM(AH72:AH75)</f>
        <v>29</v>
      </c>
      <c r="AI76" s="1150">
        <f>SUM(AI72:AI75)</f>
        <v>16</v>
      </c>
      <c r="AJ76" s="2723">
        <f t="shared" si="55"/>
        <v>128</v>
      </c>
      <c r="AK76" s="2716">
        <f t="shared" si="53"/>
        <v>0.54216867469879515</v>
      </c>
      <c r="AL76" s="2550"/>
      <c r="AM76" s="1150">
        <v>14</v>
      </c>
      <c r="AN76" s="1150">
        <v>60</v>
      </c>
      <c r="AO76" s="1150">
        <v>32</v>
      </c>
      <c r="AP76" s="1150">
        <v>17</v>
      </c>
      <c r="AQ76" s="2723">
        <f t="shared" si="56"/>
        <v>123</v>
      </c>
      <c r="AR76" s="2716">
        <f t="shared" si="54"/>
        <v>0.66216216216216217</v>
      </c>
      <c r="AS76" s="2550"/>
      <c r="AT76" s="1150">
        <f>SUM(AT72:AT75)</f>
        <v>10</v>
      </c>
      <c r="AU76" s="1150">
        <f>SUM(AU72:AU75)</f>
        <v>63</v>
      </c>
      <c r="AV76" s="1150">
        <f>SUM(AV72:AV75)</f>
        <v>30</v>
      </c>
      <c r="AW76" s="1150">
        <f>SUM(AW72:AW75)</f>
        <v>20</v>
      </c>
      <c r="AX76" s="2723">
        <f t="shared" si="47"/>
        <v>123</v>
      </c>
      <c r="AY76" s="2716">
        <f t="shared" si="44"/>
        <v>0.68493150684931503</v>
      </c>
      <c r="AZ76" s="2550"/>
      <c r="BA76" s="1150">
        <v>6</v>
      </c>
      <c r="BB76" s="1150">
        <v>58</v>
      </c>
      <c r="BC76" s="1150">
        <v>33</v>
      </c>
      <c r="BD76" s="1150">
        <v>20</v>
      </c>
      <c r="BE76" s="2723">
        <f t="shared" si="48"/>
        <v>117</v>
      </c>
      <c r="BF76" s="2716">
        <f t="shared" si="38"/>
        <v>0.828125</v>
      </c>
      <c r="BG76" s="2550"/>
      <c r="BH76" s="1150">
        <v>8</v>
      </c>
      <c r="BI76" s="1150">
        <v>54</v>
      </c>
      <c r="BJ76" s="1150">
        <v>34</v>
      </c>
      <c r="BK76" s="1150">
        <v>21</v>
      </c>
      <c r="BL76" s="2723">
        <v>117</v>
      </c>
      <c r="BM76" s="2716">
        <f t="shared" si="39"/>
        <v>0.88709677419354838</v>
      </c>
      <c r="BO76" s="1150">
        <v>9</v>
      </c>
      <c r="BP76" s="1150">
        <v>54</v>
      </c>
      <c r="BQ76" s="1150">
        <v>32</v>
      </c>
      <c r="BR76" s="1150">
        <v>22</v>
      </c>
      <c r="BS76" s="2723">
        <v>117</v>
      </c>
      <c r="BT76" s="2716">
        <f t="shared" si="40"/>
        <v>0.8571428571428571</v>
      </c>
      <c r="BV76" s="1150">
        <f>SUM(BV72:BV75)</f>
        <v>10</v>
      </c>
      <c r="BW76" s="1150">
        <f t="shared" ref="BW76:BZ76" si="58">SUM(BW72:BW75)</f>
        <v>54</v>
      </c>
      <c r="BX76" s="1150">
        <f t="shared" si="58"/>
        <v>32</v>
      </c>
      <c r="BY76" s="1150">
        <f t="shared" si="58"/>
        <v>22</v>
      </c>
      <c r="BZ76" s="1150">
        <f t="shared" si="58"/>
        <v>118</v>
      </c>
      <c r="CA76" s="2716">
        <f t="shared" si="42"/>
        <v>0.84375</v>
      </c>
    </row>
    <row r="77" spans="1:79" ht="17.100000000000001" customHeight="1">
      <c r="A77" s="1165" t="s">
        <v>74</v>
      </c>
      <c r="B77" s="1148" t="s">
        <v>1106</v>
      </c>
      <c r="C77" s="2684" t="s">
        <v>1149</v>
      </c>
      <c r="D77" s="1145"/>
      <c r="E77" s="1139">
        <v>4</v>
      </c>
      <c r="F77" s="1139">
        <v>2</v>
      </c>
      <c r="G77" s="1145"/>
      <c r="H77" s="2713">
        <f>SUM(D77:G77)</f>
        <v>6</v>
      </c>
      <c r="I77" s="2714">
        <f t="shared" si="49"/>
        <v>0.5</v>
      </c>
      <c r="J77" s="2550"/>
      <c r="K77" s="1145"/>
      <c r="L77" s="1139">
        <v>4</v>
      </c>
      <c r="M77" s="1139">
        <v>2</v>
      </c>
      <c r="N77" s="1145"/>
      <c r="O77" s="2713">
        <f>SUM(K77:N77)</f>
        <v>6</v>
      </c>
      <c r="P77" s="2714">
        <f t="shared" si="50"/>
        <v>0.5</v>
      </c>
      <c r="Q77" s="2550"/>
      <c r="R77" s="1145"/>
      <c r="S77" s="1139">
        <v>5</v>
      </c>
      <c r="T77" s="1139">
        <v>2</v>
      </c>
      <c r="U77" s="1145"/>
      <c r="V77" s="2713">
        <f>SUM(R77:U77)</f>
        <v>7</v>
      </c>
      <c r="W77" s="2714">
        <f t="shared" si="51"/>
        <v>0.4</v>
      </c>
      <c r="X77" s="2550"/>
      <c r="Y77" s="1145">
        <v>1</v>
      </c>
      <c r="Z77" s="1139">
        <v>6</v>
      </c>
      <c r="AA77" s="1139"/>
      <c r="AB77" s="1145">
        <v>1</v>
      </c>
      <c r="AC77" s="2713">
        <f>SUM(Y77:AB77)</f>
        <v>8</v>
      </c>
      <c r="AD77" s="2714">
        <f t="shared" si="52"/>
        <v>0.14285714285714285</v>
      </c>
      <c r="AE77" s="2550"/>
      <c r="AF77" s="1145"/>
      <c r="AG77" s="1139">
        <v>6</v>
      </c>
      <c r="AH77" s="1139"/>
      <c r="AI77" s="1145">
        <v>1</v>
      </c>
      <c r="AJ77" s="2713">
        <f t="shared" si="55"/>
        <v>7</v>
      </c>
      <c r="AK77" s="2714">
        <f t="shared" si="53"/>
        <v>0.16666666666666666</v>
      </c>
      <c r="AL77" s="2550"/>
      <c r="AM77" s="1145"/>
      <c r="AN77" s="1139">
        <v>4</v>
      </c>
      <c r="AO77" s="1139">
        <v>1</v>
      </c>
      <c r="AP77" s="1145">
        <v>1</v>
      </c>
      <c r="AQ77" s="2713">
        <f t="shared" si="56"/>
        <v>6</v>
      </c>
      <c r="AR77" s="2714">
        <f t="shared" si="54"/>
        <v>0.5</v>
      </c>
      <c r="AS77" s="2550"/>
      <c r="AT77" s="1145"/>
      <c r="AU77" s="1139">
        <v>5</v>
      </c>
      <c r="AV77" s="1139">
        <v>1</v>
      </c>
      <c r="AW77" s="1145">
        <v>1</v>
      </c>
      <c r="AX77" s="2713">
        <f t="shared" si="47"/>
        <v>7</v>
      </c>
      <c r="AY77" s="2714">
        <f t="shared" si="44"/>
        <v>0.4</v>
      </c>
      <c r="AZ77" s="2550"/>
      <c r="BA77" s="1145"/>
      <c r="BB77" s="1139">
        <v>4</v>
      </c>
      <c r="BC77" s="1139">
        <v>1</v>
      </c>
      <c r="BD77" s="1145">
        <v>1</v>
      </c>
      <c r="BE77" s="2713">
        <f t="shared" si="48"/>
        <v>6</v>
      </c>
      <c r="BF77" s="2714">
        <f t="shared" si="38"/>
        <v>0.5</v>
      </c>
      <c r="BG77" s="2550"/>
      <c r="BH77" s="1145"/>
      <c r="BI77" s="1139">
        <v>5</v>
      </c>
      <c r="BJ77" s="1139">
        <v>1</v>
      </c>
      <c r="BK77" s="1145">
        <v>1</v>
      </c>
      <c r="BL77" s="2713">
        <v>7</v>
      </c>
      <c r="BM77" s="2714">
        <f t="shared" si="39"/>
        <v>0.4</v>
      </c>
      <c r="BO77" s="1145"/>
      <c r="BP77" s="1139">
        <v>3</v>
      </c>
      <c r="BQ77" s="1139">
        <v>1</v>
      </c>
      <c r="BR77" s="1145">
        <v>1</v>
      </c>
      <c r="BS77" s="2713">
        <v>5</v>
      </c>
      <c r="BT77" s="2714">
        <f t="shared" si="40"/>
        <v>0.66666666666666663</v>
      </c>
      <c r="BV77" s="1145"/>
      <c r="BW77" s="1139">
        <v>3</v>
      </c>
      <c r="BX77" s="1139"/>
      <c r="BY77" s="1145">
        <v>1</v>
      </c>
      <c r="BZ77" s="2713">
        <v>4</v>
      </c>
      <c r="CA77" s="2714">
        <f t="shared" si="42"/>
        <v>0.33333333333333331</v>
      </c>
    </row>
    <row r="78" spans="1:79" ht="17.100000000000001" customHeight="1">
      <c r="A78" s="1162" t="s">
        <v>74</v>
      </c>
      <c r="B78" s="1144" t="s">
        <v>1106</v>
      </c>
      <c r="C78" s="2680" t="s">
        <v>1150</v>
      </c>
      <c r="D78" s="1145"/>
      <c r="E78" s="1139"/>
      <c r="F78" s="1139">
        <v>3</v>
      </c>
      <c r="G78" s="1145"/>
      <c r="H78" s="2713">
        <f>SUM(D78:G78)</f>
        <v>3</v>
      </c>
      <c r="I78" s="2714"/>
      <c r="J78" s="2550"/>
      <c r="K78" s="1145"/>
      <c r="L78" s="1139"/>
      <c r="M78" s="1139">
        <v>3</v>
      </c>
      <c r="N78" s="1145"/>
      <c r="O78" s="2713">
        <f>SUM(K78:N78)</f>
        <v>3</v>
      </c>
      <c r="P78" s="2714"/>
      <c r="Q78" s="2550"/>
      <c r="R78" s="1145"/>
      <c r="S78" s="1139"/>
      <c r="T78" s="1139">
        <v>3</v>
      </c>
      <c r="U78" s="1145"/>
      <c r="V78" s="2713">
        <f>SUM(R78:U78)</f>
        <v>3</v>
      </c>
      <c r="W78" s="2714"/>
      <c r="X78" s="2550"/>
      <c r="Y78" s="1145"/>
      <c r="Z78" s="1139">
        <v>1</v>
      </c>
      <c r="AA78" s="1139">
        <v>3</v>
      </c>
      <c r="AB78" s="1145"/>
      <c r="AC78" s="2713">
        <f>SUM(Y78:AB78)</f>
        <v>4</v>
      </c>
      <c r="AD78" s="2714">
        <f t="shared" si="52"/>
        <v>3</v>
      </c>
      <c r="AE78" s="2550"/>
      <c r="AF78" s="1145"/>
      <c r="AG78" s="1139">
        <v>1</v>
      </c>
      <c r="AH78" s="1139">
        <v>3</v>
      </c>
      <c r="AI78" s="1145"/>
      <c r="AJ78" s="2713">
        <f t="shared" si="55"/>
        <v>4</v>
      </c>
      <c r="AK78" s="2714">
        <v>1</v>
      </c>
      <c r="AL78" s="2550"/>
      <c r="AM78" s="1145"/>
      <c r="AN78" s="1139">
        <v>1</v>
      </c>
      <c r="AO78" s="1139">
        <v>2</v>
      </c>
      <c r="AP78" s="1145"/>
      <c r="AQ78" s="2713">
        <f t="shared" si="56"/>
        <v>3</v>
      </c>
      <c r="AR78" s="2714">
        <v>1</v>
      </c>
      <c r="AS78" s="2550"/>
      <c r="AT78" s="1145"/>
      <c r="AU78" s="1139"/>
      <c r="AV78" s="1139">
        <v>2</v>
      </c>
      <c r="AW78" s="1145"/>
      <c r="AX78" s="2713">
        <f t="shared" si="47"/>
        <v>2</v>
      </c>
      <c r="AY78" s="2714">
        <v>1</v>
      </c>
      <c r="AZ78" s="2550"/>
      <c r="BA78" s="1145"/>
      <c r="BB78" s="1139"/>
      <c r="BC78" s="1139">
        <v>2</v>
      </c>
      <c r="BD78" s="1145"/>
      <c r="BE78" s="2713">
        <f t="shared" si="48"/>
        <v>2</v>
      </c>
      <c r="BF78" s="2714">
        <v>1</v>
      </c>
      <c r="BG78" s="2550"/>
      <c r="BH78" s="1145"/>
      <c r="BI78" s="1139">
        <v>1</v>
      </c>
      <c r="BJ78" s="1139">
        <v>2</v>
      </c>
      <c r="BK78" s="1145"/>
      <c r="BL78" s="2713">
        <v>3</v>
      </c>
      <c r="BM78" s="2714">
        <v>1</v>
      </c>
      <c r="BO78" s="1145"/>
      <c r="BP78" s="1139">
        <v>1</v>
      </c>
      <c r="BQ78" s="1139">
        <v>2</v>
      </c>
      <c r="BR78" s="1145"/>
      <c r="BS78" s="2713">
        <v>3</v>
      </c>
      <c r="BT78" s="2714">
        <v>1</v>
      </c>
      <c r="BV78" s="1145"/>
      <c r="BW78" s="1139">
        <v>2</v>
      </c>
      <c r="BX78" s="1139">
        <v>2</v>
      </c>
      <c r="BY78" s="1145"/>
      <c r="BZ78" s="2713">
        <v>4</v>
      </c>
      <c r="CA78" s="2714">
        <v>1</v>
      </c>
    </row>
    <row r="79" spans="1:79" ht="17.100000000000001" customHeight="1">
      <c r="A79" s="1162" t="s">
        <v>74</v>
      </c>
      <c r="B79" s="1144" t="s">
        <v>1106</v>
      </c>
      <c r="C79" s="2680" t="s">
        <v>1151</v>
      </c>
      <c r="D79" s="1145"/>
      <c r="E79" s="1139">
        <v>2</v>
      </c>
      <c r="F79" s="1145">
        <v>1</v>
      </c>
      <c r="G79" s="1145"/>
      <c r="H79" s="2713">
        <f>SUM(D79:G79)</f>
        <v>3</v>
      </c>
      <c r="I79" s="2714">
        <f t="shared" si="49"/>
        <v>0.5</v>
      </c>
      <c r="J79" s="2550"/>
      <c r="K79" s="1145"/>
      <c r="L79" s="1139">
        <v>2</v>
      </c>
      <c r="M79" s="1145">
        <v>1</v>
      </c>
      <c r="N79" s="1145"/>
      <c r="O79" s="2713">
        <f>SUM(K79:N79)</f>
        <v>3</v>
      </c>
      <c r="P79" s="2714">
        <f t="shared" si="50"/>
        <v>0.5</v>
      </c>
      <c r="Q79" s="2550"/>
      <c r="R79" s="1145"/>
      <c r="S79" s="1139">
        <v>3</v>
      </c>
      <c r="T79" s="1145"/>
      <c r="U79" s="1145"/>
      <c r="V79" s="2713">
        <f>SUM(R79:U79)</f>
        <v>3</v>
      </c>
      <c r="W79" s="2714">
        <f t="shared" si="51"/>
        <v>0</v>
      </c>
      <c r="X79" s="2550"/>
      <c r="Y79" s="1145"/>
      <c r="Z79" s="1139">
        <v>2</v>
      </c>
      <c r="AA79" s="1145"/>
      <c r="AB79" s="1145"/>
      <c r="AC79" s="2713">
        <f>SUM(Y79:AB79)</f>
        <v>2</v>
      </c>
      <c r="AD79" s="2714">
        <f t="shared" si="52"/>
        <v>0</v>
      </c>
      <c r="AE79" s="2550"/>
      <c r="AF79" s="1145"/>
      <c r="AG79" s="1139">
        <v>2</v>
      </c>
      <c r="AH79" s="1145"/>
      <c r="AI79" s="1145"/>
      <c r="AJ79" s="2713">
        <f t="shared" si="55"/>
        <v>2</v>
      </c>
      <c r="AK79" s="2714">
        <f t="shared" si="53"/>
        <v>0</v>
      </c>
      <c r="AL79" s="2550"/>
      <c r="AM79" s="1145"/>
      <c r="AN79" s="1139">
        <v>2</v>
      </c>
      <c r="AO79" s="1145"/>
      <c r="AP79" s="1145"/>
      <c r="AQ79" s="2713">
        <f t="shared" si="56"/>
        <v>2</v>
      </c>
      <c r="AR79" s="2714">
        <f t="shared" si="54"/>
        <v>0</v>
      </c>
      <c r="AS79" s="2550"/>
      <c r="AT79" s="1145"/>
      <c r="AU79" s="1139">
        <v>1</v>
      </c>
      <c r="AV79" s="1145"/>
      <c r="AW79" s="1145"/>
      <c r="AX79" s="2713">
        <f t="shared" si="47"/>
        <v>1</v>
      </c>
      <c r="AY79" s="2714">
        <f>(AV79+AW79)/(AT79+AU79)</f>
        <v>0</v>
      </c>
      <c r="AZ79" s="2550"/>
      <c r="BA79" s="1145"/>
      <c r="BB79" s="1139">
        <v>1</v>
      </c>
      <c r="BC79" s="1145"/>
      <c r="BD79" s="1145"/>
      <c r="BE79" s="2713">
        <f t="shared" si="48"/>
        <v>1</v>
      </c>
      <c r="BF79" s="2714">
        <f>(BC79+BD79)/(BA79+BB79)</f>
        <v>0</v>
      </c>
      <c r="BG79" s="2550"/>
      <c r="BH79" s="1145">
        <v>1</v>
      </c>
      <c r="BI79" s="1139">
        <v>1</v>
      </c>
      <c r="BJ79" s="1145"/>
      <c r="BK79" s="1145"/>
      <c r="BL79" s="2713">
        <v>2</v>
      </c>
      <c r="BM79" s="2714">
        <f>(BJ79+BK79)/(BH79+BI79)</f>
        <v>0</v>
      </c>
      <c r="BO79" s="1145"/>
      <c r="BP79" s="1139">
        <v>2</v>
      </c>
      <c r="BQ79" s="1145"/>
      <c r="BR79" s="1145"/>
      <c r="BS79" s="2713">
        <v>2</v>
      </c>
      <c r="BT79" s="2714">
        <f>(BQ79+BR79)/(BO79+BP79)</f>
        <v>0</v>
      </c>
      <c r="BV79" s="1145"/>
      <c r="BW79" s="1139">
        <v>2</v>
      </c>
      <c r="BX79" s="1145"/>
      <c r="BY79" s="1145"/>
      <c r="BZ79" s="2713">
        <v>2</v>
      </c>
      <c r="CA79" s="2714">
        <f>(BX79+BY79)/(BV79+BW79)</f>
        <v>0</v>
      </c>
    </row>
    <row r="80" spans="1:79" ht="17.100000000000001" customHeight="1" thickBot="1">
      <c r="A80" s="1164" t="s">
        <v>74</v>
      </c>
      <c r="B80" s="1147" t="s">
        <v>1106</v>
      </c>
      <c r="C80" s="2682" t="s">
        <v>1152</v>
      </c>
      <c r="D80" s="1145">
        <v>1</v>
      </c>
      <c r="E80" s="1139">
        <f>2</f>
        <v>2</v>
      </c>
      <c r="F80" s="1139">
        <v>3</v>
      </c>
      <c r="G80" s="1145">
        <v>1</v>
      </c>
      <c r="H80" s="2713">
        <f>SUM(D80:G80)</f>
        <v>7</v>
      </c>
      <c r="I80" s="2714">
        <f t="shared" si="49"/>
        <v>1.3333333333333333</v>
      </c>
      <c r="J80" s="2550"/>
      <c r="K80" s="1145">
        <v>1</v>
      </c>
      <c r="L80" s="1139">
        <f>2</f>
        <v>2</v>
      </c>
      <c r="M80" s="1139">
        <v>3</v>
      </c>
      <c r="N80" s="1145">
        <v>1</v>
      </c>
      <c r="O80" s="2713">
        <f>SUM(K80:N80)</f>
        <v>7</v>
      </c>
      <c r="P80" s="2714">
        <f t="shared" si="50"/>
        <v>1.3333333333333333</v>
      </c>
      <c r="Q80" s="2550"/>
      <c r="R80" s="1145">
        <v>1</v>
      </c>
      <c r="S80" s="1139">
        <v>1</v>
      </c>
      <c r="T80" s="1139">
        <v>3</v>
      </c>
      <c r="U80" s="1145">
        <v>1</v>
      </c>
      <c r="V80" s="2713">
        <f>SUM(R80:U80)</f>
        <v>6</v>
      </c>
      <c r="W80" s="2714">
        <f t="shared" si="51"/>
        <v>2</v>
      </c>
      <c r="X80" s="2550"/>
      <c r="Y80" s="1145">
        <v>1</v>
      </c>
      <c r="Z80" s="1139">
        <v>2</v>
      </c>
      <c r="AA80" s="1139">
        <v>2</v>
      </c>
      <c r="AB80" s="1145">
        <v>1</v>
      </c>
      <c r="AC80" s="2713">
        <f>SUM(Y80:AB80)</f>
        <v>6</v>
      </c>
      <c r="AD80" s="2714">
        <f t="shared" si="52"/>
        <v>1</v>
      </c>
      <c r="AE80" s="2550"/>
      <c r="AF80" s="1145">
        <v>1</v>
      </c>
      <c r="AG80" s="1139">
        <v>1</v>
      </c>
      <c r="AH80" s="1139">
        <v>3</v>
      </c>
      <c r="AI80" s="1145">
        <v>1</v>
      </c>
      <c r="AJ80" s="2713">
        <f t="shared" si="55"/>
        <v>6</v>
      </c>
      <c r="AK80" s="2714">
        <v>1</v>
      </c>
      <c r="AL80" s="2550"/>
      <c r="AM80" s="1145"/>
      <c r="AN80" s="1139">
        <v>2</v>
      </c>
      <c r="AO80" s="1139">
        <v>2</v>
      </c>
      <c r="AP80" s="1145">
        <v>1</v>
      </c>
      <c r="AQ80" s="2713">
        <f t="shared" si="56"/>
        <v>5</v>
      </c>
      <c r="AR80" s="2714">
        <v>1</v>
      </c>
      <c r="AS80" s="2550"/>
      <c r="AT80" s="1145"/>
      <c r="AU80" s="1139">
        <v>2</v>
      </c>
      <c r="AV80" s="1139">
        <v>2</v>
      </c>
      <c r="AW80" s="1145">
        <v>1</v>
      </c>
      <c r="AX80" s="2713">
        <f t="shared" si="47"/>
        <v>5</v>
      </c>
      <c r="AY80" s="2714">
        <v>1</v>
      </c>
      <c r="AZ80" s="2550"/>
      <c r="BA80" s="1145">
        <v>2</v>
      </c>
      <c r="BB80" s="1139">
        <v>2</v>
      </c>
      <c r="BC80" s="1139">
        <v>2</v>
      </c>
      <c r="BD80" s="1145">
        <v>1</v>
      </c>
      <c r="BE80" s="2713">
        <f t="shared" si="48"/>
        <v>7</v>
      </c>
      <c r="BF80" s="2714">
        <v>1</v>
      </c>
      <c r="BG80" s="2550"/>
      <c r="BH80" s="1145">
        <v>1</v>
      </c>
      <c r="BI80" s="1139">
        <v>4</v>
      </c>
      <c r="BJ80" s="1139">
        <v>2</v>
      </c>
      <c r="BK80" s="1145">
        <v>1</v>
      </c>
      <c r="BL80" s="2713">
        <v>8</v>
      </c>
      <c r="BM80" s="2714">
        <v>1</v>
      </c>
      <c r="BO80" s="1145">
        <v>2</v>
      </c>
      <c r="BP80" s="1139">
        <v>4</v>
      </c>
      <c r="BQ80" s="1139">
        <v>2</v>
      </c>
      <c r="BR80" s="1145">
        <v>1</v>
      </c>
      <c r="BS80" s="2713">
        <v>9</v>
      </c>
      <c r="BT80" s="2714">
        <v>1</v>
      </c>
      <c r="BV80" s="1145">
        <v>2</v>
      </c>
      <c r="BW80" s="1139">
        <v>2</v>
      </c>
      <c r="BX80" s="1139">
        <v>2</v>
      </c>
      <c r="BY80" s="1145">
        <v>1</v>
      </c>
      <c r="BZ80" s="2713">
        <v>7</v>
      </c>
      <c r="CA80" s="2714">
        <v>1</v>
      </c>
    </row>
    <row r="81" spans="1:79" ht="17.100000000000001" customHeight="1">
      <c r="A81" s="5983" t="s">
        <v>1598</v>
      </c>
      <c r="B81" s="5984"/>
      <c r="C81" s="5984"/>
      <c r="D81" s="1151">
        <f>SUM(D77:D80)</f>
        <v>1</v>
      </c>
      <c r="E81" s="1151">
        <f>SUM(E77:E80)</f>
        <v>8</v>
      </c>
      <c r="F81" s="1151">
        <f>SUM(F77:F80)</f>
        <v>9</v>
      </c>
      <c r="G81" s="1151">
        <f>SUM(G77:G80)</f>
        <v>1</v>
      </c>
      <c r="H81" s="2718">
        <f>SUM(H77:H80)</f>
        <v>19</v>
      </c>
      <c r="I81" s="2716">
        <f t="shared" si="49"/>
        <v>1.1111111111111112</v>
      </c>
      <c r="J81" s="2550"/>
      <c r="K81" s="1151">
        <f>SUM(K77:K80)</f>
        <v>1</v>
      </c>
      <c r="L81" s="1151">
        <f>SUM(L77:L80)</f>
        <v>8</v>
      </c>
      <c r="M81" s="1151">
        <f>SUM(M77:M80)</f>
        <v>9</v>
      </c>
      <c r="N81" s="1151">
        <f>SUM(N77:N80)</f>
        <v>1</v>
      </c>
      <c r="O81" s="2718">
        <f>SUM(O77:O80)</f>
        <v>19</v>
      </c>
      <c r="P81" s="2716">
        <f t="shared" si="50"/>
        <v>1.1111111111111112</v>
      </c>
      <c r="Q81" s="2550"/>
      <c r="R81" s="1151">
        <f>SUM(R77:R80)</f>
        <v>1</v>
      </c>
      <c r="S81" s="1151">
        <f>SUM(S77:S80)</f>
        <v>9</v>
      </c>
      <c r="T81" s="1151">
        <f>SUM(T77:T80)</f>
        <v>8</v>
      </c>
      <c r="U81" s="1151">
        <f>SUM(U77:U80)</f>
        <v>1</v>
      </c>
      <c r="V81" s="2718">
        <f>SUM(V77:V80)</f>
        <v>19</v>
      </c>
      <c r="W81" s="2716">
        <f t="shared" si="51"/>
        <v>0.9</v>
      </c>
      <c r="X81" s="2550"/>
      <c r="Y81" s="1151">
        <f>SUM(Y77:Y80)</f>
        <v>2</v>
      </c>
      <c r="Z81" s="1151">
        <f>SUM(Z77:Z80)</f>
        <v>11</v>
      </c>
      <c r="AA81" s="1151">
        <f>SUM(AA77:AA80)</f>
        <v>5</v>
      </c>
      <c r="AB81" s="1151">
        <f>SUM(AB77:AB80)</f>
        <v>2</v>
      </c>
      <c r="AC81" s="2718">
        <f>SUM(AC77:AC80)</f>
        <v>20</v>
      </c>
      <c r="AD81" s="2716">
        <f t="shared" si="52"/>
        <v>0.53846153846153844</v>
      </c>
      <c r="AE81" s="2550"/>
      <c r="AF81" s="1151">
        <f>SUM(AF77:AF80)</f>
        <v>1</v>
      </c>
      <c r="AG81" s="1151">
        <f>SUM(AG77:AG80)</f>
        <v>10</v>
      </c>
      <c r="AH81" s="1151">
        <f>SUM(AH77:AH80)</f>
        <v>6</v>
      </c>
      <c r="AI81" s="1151">
        <f>SUM(AI77:AI80)</f>
        <v>2</v>
      </c>
      <c r="AJ81" s="2718">
        <f t="shared" si="55"/>
        <v>19</v>
      </c>
      <c r="AK81" s="2716">
        <f t="shared" si="53"/>
        <v>0.72727272727272729</v>
      </c>
      <c r="AL81" s="2550"/>
      <c r="AM81" s="1151">
        <v>0</v>
      </c>
      <c r="AN81" s="1151">
        <v>9</v>
      </c>
      <c r="AO81" s="1151">
        <v>5</v>
      </c>
      <c r="AP81" s="1151">
        <v>2</v>
      </c>
      <c r="AQ81" s="2718">
        <f t="shared" si="56"/>
        <v>16</v>
      </c>
      <c r="AR81" s="2716">
        <f t="shared" si="54"/>
        <v>0.77777777777777779</v>
      </c>
      <c r="AS81" s="2550"/>
      <c r="AT81" s="1151">
        <f>SUM(AT77:AT80)</f>
        <v>0</v>
      </c>
      <c r="AU81" s="1151">
        <f>SUM(AU77:AU80)</f>
        <v>8</v>
      </c>
      <c r="AV81" s="1151">
        <f>SUM(AV77:AV80)</f>
        <v>5</v>
      </c>
      <c r="AW81" s="1151">
        <f>SUM(AW77:AW80)</f>
        <v>2</v>
      </c>
      <c r="AX81" s="2718">
        <f t="shared" si="47"/>
        <v>15</v>
      </c>
      <c r="AY81" s="2716">
        <f>(AV81+AW81)/(AT81+AU81)</f>
        <v>0.875</v>
      </c>
      <c r="AZ81" s="2550"/>
      <c r="BA81" s="1151">
        <v>2</v>
      </c>
      <c r="BB81" s="1151">
        <v>7</v>
      </c>
      <c r="BC81" s="1151">
        <v>5</v>
      </c>
      <c r="BD81" s="1151">
        <v>2</v>
      </c>
      <c r="BE81" s="2718">
        <f t="shared" si="48"/>
        <v>16</v>
      </c>
      <c r="BF81" s="2716">
        <f>(BC81+BD81)/(BA81+BB81)</f>
        <v>0.77777777777777779</v>
      </c>
      <c r="BG81" s="2550"/>
      <c r="BH81" s="1151">
        <v>2</v>
      </c>
      <c r="BI81" s="1151">
        <v>11</v>
      </c>
      <c r="BJ81" s="1151">
        <v>5</v>
      </c>
      <c r="BK81" s="1151">
        <v>2</v>
      </c>
      <c r="BL81" s="2718">
        <v>20</v>
      </c>
      <c r="BM81" s="2716">
        <f>(BJ81+BK81)/(BH81+BI81)</f>
        <v>0.53846153846153844</v>
      </c>
      <c r="BO81" s="1151">
        <v>2</v>
      </c>
      <c r="BP81" s="1151">
        <v>10</v>
      </c>
      <c r="BQ81" s="1151">
        <v>5</v>
      </c>
      <c r="BR81" s="1151">
        <v>2</v>
      </c>
      <c r="BS81" s="2718">
        <v>19</v>
      </c>
      <c r="BT81" s="2716">
        <f>(BQ81+BR81)/(BO81+BP81)</f>
        <v>0.58333333333333337</v>
      </c>
      <c r="BV81" s="1151">
        <f>SUM(BV77:BV80)</f>
        <v>2</v>
      </c>
      <c r="BW81" s="1151">
        <f t="shared" ref="BW81:BZ81" si="59">SUM(BW77:BW80)</f>
        <v>9</v>
      </c>
      <c r="BX81" s="1151">
        <f t="shared" si="59"/>
        <v>4</v>
      </c>
      <c r="BY81" s="1151">
        <f t="shared" si="59"/>
        <v>2</v>
      </c>
      <c r="BZ81" s="1151">
        <f t="shared" si="59"/>
        <v>17</v>
      </c>
      <c r="CA81" s="2716">
        <f>(BX81+BY81)/(BV81+BW81)</f>
        <v>0.54545454545454541</v>
      </c>
    </row>
    <row r="82" spans="1:79" ht="17.100000000000001" customHeight="1">
      <c r="A82" s="5996" t="s">
        <v>1029</v>
      </c>
      <c r="B82" s="5996"/>
      <c r="C82" s="5997"/>
      <c r="D82" s="2597">
        <f>SUM(D81,D76,D71)</f>
        <v>12</v>
      </c>
      <c r="E82" s="2597">
        <f>SUM(E81,E76,E71)</f>
        <v>129</v>
      </c>
      <c r="F82" s="2597">
        <f>SUM(F81,F76,F71)</f>
        <v>57</v>
      </c>
      <c r="G82" s="2597">
        <f>SUM(G81,G76,G71)</f>
        <v>13</v>
      </c>
      <c r="H82" s="2733">
        <f>SUM(H71,H76,H81)</f>
        <v>211</v>
      </c>
      <c r="I82" s="2734">
        <f t="shared" si="49"/>
        <v>0.49645390070921985</v>
      </c>
      <c r="J82" s="2550"/>
      <c r="K82" s="2597">
        <f>SUM(K81,K76,K71)</f>
        <v>12</v>
      </c>
      <c r="L82" s="2597">
        <f>SUM(L81,L76,L71)</f>
        <v>130</v>
      </c>
      <c r="M82" s="2597">
        <f>SUM(M81,M76,M71)</f>
        <v>57</v>
      </c>
      <c r="N82" s="2597">
        <f>SUM(N81,N76,N71)</f>
        <v>14</v>
      </c>
      <c r="O82" s="2733">
        <f>SUM(O71,O76,O81)</f>
        <v>213</v>
      </c>
      <c r="P82" s="2734">
        <f t="shared" si="50"/>
        <v>0.5</v>
      </c>
      <c r="Q82" s="2550"/>
      <c r="R82" s="2597">
        <f>SUM(R81,R76,R71)</f>
        <v>18</v>
      </c>
      <c r="S82" s="2597">
        <f>SUM(S81,S76,S71)</f>
        <v>135</v>
      </c>
      <c r="T82" s="2597">
        <f>SUM(T81,T76,T71)</f>
        <v>57</v>
      </c>
      <c r="U82" s="2597">
        <f>SUM(U81,U76,U71)</f>
        <v>15</v>
      </c>
      <c r="V82" s="2733">
        <f>SUM(V71,V76,V81)</f>
        <v>225</v>
      </c>
      <c r="W82" s="2734">
        <f t="shared" si="51"/>
        <v>0.47058823529411764</v>
      </c>
      <c r="X82" s="2550"/>
      <c r="Y82" s="2597">
        <f>SUM(Y81,Y76,Y71)</f>
        <v>31</v>
      </c>
      <c r="Z82" s="2597">
        <f>SUM(Z81,Z76,Z71)</f>
        <v>140</v>
      </c>
      <c r="AA82" s="2597">
        <f>SUM(AA81,AA76,AA71)</f>
        <v>54</v>
      </c>
      <c r="AB82" s="2597">
        <f>SUM(AB81,AB76,AB71)</f>
        <v>18</v>
      </c>
      <c r="AC82" s="2733">
        <f>SUM(AC71,AC76,AC81)</f>
        <v>243</v>
      </c>
      <c r="AD82" s="2734">
        <f t="shared" si="52"/>
        <v>0.42105263157894735</v>
      </c>
      <c r="AE82" s="2550"/>
      <c r="AF82" s="2597">
        <f>SUM(AF81,AF76,AF71)</f>
        <v>41</v>
      </c>
      <c r="AG82" s="2597">
        <f>SUM(AG81,AG76,AG71)</f>
        <v>137</v>
      </c>
      <c r="AH82" s="2597">
        <f>SUM(AH81,AH76,AH71)</f>
        <v>50</v>
      </c>
      <c r="AI82" s="2597">
        <f>SUM(AI81,AI76,AI71)</f>
        <v>21</v>
      </c>
      <c r="AJ82" s="2733">
        <f t="shared" si="55"/>
        <v>249</v>
      </c>
      <c r="AK82" s="2734">
        <f t="shared" si="53"/>
        <v>0.398876404494382</v>
      </c>
      <c r="AL82" s="2550"/>
      <c r="AM82" s="2597">
        <v>31</v>
      </c>
      <c r="AN82" s="2597">
        <v>136</v>
      </c>
      <c r="AO82" s="2597">
        <v>57</v>
      </c>
      <c r="AP82" s="2597">
        <v>23</v>
      </c>
      <c r="AQ82" s="2733">
        <f t="shared" si="56"/>
        <v>247</v>
      </c>
      <c r="AR82" s="2734">
        <f t="shared" si="54"/>
        <v>0.47904191616766467</v>
      </c>
      <c r="AS82" s="2550"/>
      <c r="AT82" s="2597">
        <f>SUM(AT71,AT76,AT81)</f>
        <v>33</v>
      </c>
      <c r="AU82" s="2597">
        <f>SUM(AU71,AU76,AU81)</f>
        <v>143</v>
      </c>
      <c r="AV82" s="2597">
        <f>SUM(AV71,AV76,AV81)</f>
        <v>54</v>
      </c>
      <c r="AW82" s="2597">
        <f>SUM(AW71,AW76,AW81)</f>
        <v>28</v>
      </c>
      <c r="AX82" s="2733">
        <f>SUM(AX71,AX76,AX81)</f>
        <v>258</v>
      </c>
      <c r="AY82" s="2734">
        <f>(AV82+AW82)/(AT82+AU82)</f>
        <v>0.46590909090909088</v>
      </c>
      <c r="AZ82" s="2550"/>
      <c r="BA82" s="2597">
        <f>SUM(BA71,BA76,BA81)</f>
        <v>28</v>
      </c>
      <c r="BB82" s="2597">
        <f>SUM(BB71,BB76,BB81)</f>
        <v>133</v>
      </c>
      <c r="BC82" s="2597">
        <f>SUM(BC71,BC76,BC81)</f>
        <v>60</v>
      </c>
      <c r="BD82" s="2597">
        <f>SUM(BD71,BD76,BD81)</f>
        <v>28</v>
      </c>
      <c r="BE82" s="2733">
        <f>SUM(BE71,BE76,BE81)</f>
        <v>249</v>
      </c>
      <c r="BF82" s="2734">
        <f>(BC82+BD82)/(BA82+BB82)</f>
        <v>0.54658385093167705</v>
      </c>
      <c r="BG82" s="2550"/>
      <c r="BH82" s="2597">
        <v>27</v>
      </c>
      <c r="BI82" s="2597">
        <v>129</v>
      </c>
      <c r="BJ82" s="2597">
        <v>62</v>
      </c>
      <c r="BK82" s="2597">
        <v>29</v>
      </c>
      <c r="BL82" s="2733">
        <v>247</v>
      </c>
      <c r="BM82" s="2734">
        <f>(BJ82+BK82)/(BH82+BI82)</f>
        <v>0.58333333333333337</v>
      </c>
      <c r="BO82" s="2597">
        <v>28</v>
      </c>
      <c r="BP82" s="2597">
        <v>122</v>
      </c>
      <c r="BQ82" s="2597">
        <v>59</v>
      </c>
      <c r="BR82" s="2597">
        <v>32</v>
      </c>
      <c r="BS82" s="2733">
        <v>241</v>
      </c>
      <c r="BT82" s="2734">
        <f>(BQ82+BR82)/(BO82+BP82)</f>
        <v>0.60666666666666669</v>
      </c>
      <c r="BV82" s="2597">
        <f>SUM(BV71,BV76,BV81)</f>
        <v>31</v>
      </c>
      <c r="BW82" s="2597">
        <f t="shared" ref="BW82:BZ82" si="60">SUM(BW71,BW76,BW81)</f>
        <v>120</v>
      </c>
      <c r="BX82" s="2597">
        <f t="shared" si="60"/>
        <v>58</v>
      </c>
      <c r="BY82" s="2597">
        <f t="shared" si="60"/>
        <v>32</v>
      </c>
      <c r="BZ82" s="2597">
        <f t="shared" si="60"/>
        <v>241</v>
      </c>
      <c r="CA82" s="2734">
        <f>(BX82+BY82)/(BV82+BW82)</f>
        <v>0.59602649006622521</v>
      </c>
    </row>
    <row r="83" spans="1:79" ht="17.100000000000001" customHeight="1">
      <c r="A83" s="49"/>
      <c r="B83" s="49"/>
      <c r="D83" s="2677"/>
      <c r="E83" s="2677"/>
      <c r="F83" s="2677"/>
      <c r="G83" s="2677"/>
      <c r="H83" s="2735"/>
      <c r="I83" s="2736"/>
      <c r="J83" s="2550"/>
      <c r="K83" s="2677"/>
      <c r="L83" s="2677"/>
      <c r="M83" s="2677"/>
      <c r="N83" s="2677"/>
      <c r="O83" s="2735"/>
      <c r="P83" s="2736"/>
      <c r="Q83" s="2550"/>
      <c r="R83" s="2677"/>
      <c r="S83" s="2677"/>
      <c r="T83" s="2677"/>
      <c r="U83" s="2677"/>
      <c r="V83" s="2735"/>
      <c r="W83" s="2736"/>
      <c r="X83" s="2550"/>
      <c r="Y83" s="2677"/>
      <c r="Z83" s="2677"/>
      <c r="AA83" s="2677"/>
      <c r="AB83" s="2677"/>
      <c r="AC83" s="2735"/>
      <c r="AD83" s="2736"/>
      <c r="AE83" s="2550"/>
      <c r="AF83" s="2677"/>
      <c r="AG83" s="2677"/>
      <c r="AH83" s="2677"/>
      <c r="AI83" s="2677"/>
      <c r="AJ83" s="2735"/>
      <c r="AK83" s="2736"/>
      <c r="AL83" s="2550"/>
      <c r="AM83" s="2677"/>
      <c r="AN83" s="2677"/>
      <c r="AO83" s="2677"/>
      <c r="AP83" s="2677"/>
      <c r="AQ83" s="2735"/>
      <c r="AR83" s="2736"/>
      <c r="AS83" s="2550"/>
      <c r="AT83" s="2677"/>
      <c r="AU83" s="2677"/>
      <c r="AV83" s="2677"/>
      <c r="AW83" s="2677"/>
      <c r="AX83" s="2735"/>
      <c r="AY83" s="2736"/>
      <c r="AZ83" s="2550"/>
      <c r="BA83" s="2677"/>
      <c r="BB83" s="2677"/>
      <c r="BC83" s="2677"/>
      <c r="BD83" s="2677"/>
      <c r="BE83" s="2735"/>
      <c r="BF83" s="2736"/>
      <c r="BG83" s="2550"/>
      <c r="BH83" s="2677"/>
      <c r="BI83" s="2677"/>
      <c r="BJ83" s="2677"/>
      <c r="BK83" s="2677"/>
      <c r="BL83" s="2735"/>
      <c r="BM83" s="2736"/>
      <c r="BO83" s="2677"/>
      <c r="BP83" s="2677"/>
      <c r="BQ83" s="2677"/>
      <c r="BR83" s="2677"/>
      <c r="BS83" s="2735"/>
      <c r="BT83" s="2736"/>
      <c r="BV83" s="2677"/>
      <c r="BW83" s="2677"/>
      <c r="BX83" s="2677"/>
      <c r="BY83" s="2677"/>
      <c r="BZ83" s="2735"/>
      <c r="CA83" s="2736"/>
    </row>
    <row r="84" spans="1:79" ht="24.75" customHeight="1">
      <c r="A84" s="5998" t="s">
        <v>67</v>
      </c>
      <c r="B84" s="5998"/>
      <c r="C84" s="5999"/>
      <c r="D84" s="2604">
        <f>SUM(D22,D35,D53,D66,D82)</f>
        <v>92</v>
      </c>
      <c r="E84" s="2604">
        <f>SUM(E22,E35,E53,E66,E82)</f>
        <v>508</v>
      </c>
      <c r="F84" s="2604">
        <f>SUM(F22,F35,F53,F66,F82)</f>
        <v>210</v>
      </c>
      <c r="G84" s="2604">
        <f>SUM(G22,G35,G53,G66,G82)</f>
        <v>96</v>
      </c>
      <c r="H84" s="2737">
        <f>SUM(H22,H35,H53,H66,H82)</f>
        <v>906</v>
      </c>
      <c r="I84" s="2738">
        <f t="shared" si="49"/>
        <v>0.51</v>
      </c>
      <c r="J84" s="2550"/>
      <c r="K84" s="2604">
        <f>SUM(K22,K35,K53,K66,K82)</f>
        <v>95</v>
      </c>
      <c r="L84" s="2604">
        <f>SUM(L22,L35,L53,L66,L82)</f>
        <v>516</v>
      </c>
      <c r="M84" s="2604">
        <f>SUM(M22,M35,M53,M66,M82)</f>
        <v>210</v>
      </c>
      <c r="N84" s="2604">
        <f>SUM(N22,N35,N53,N66,N82)</f>
        <v>93</v>
      </c>
      <c r="O84" s="2737">
        <f>SUM(O22,O35,O53,O66,O82)</f>
        <v>914</v>
      </c>
      <c r="P84" s="2738">
        <f t="shared" si="50"/>
        <v>0.49590834697217678</v>
      </c>
      <c r="Q84" s="2550"/>
      <c r="R84" s="2604">
        <f>SUM(R22,R35,R53,R66,R82)</f>
        <v>109</v>
      </c>
      <c r="S84" s="2604">
        <f>SUM(S22,S35,S53,S66,S82)</f>
        <v>530</v>
      </c>
      <c r="T84" s="2604">
        <f>SUM(T22,T35,T53,T66,T82)</f>
        <v>206</v>
      </c>
      <c r="U84" s="2604">
        <f>SUM(U22,U35,U53,U66,U82)</f>
        <v>95</v>
      </c>
      <c r="V84" s="2737">
        <f>SUM(V22,V35,V53,V66,V82)</f>
        <v>941</v>
      </c>
      <c r="W84" s="2738">
        <f t="shared" si="51"/>
        <v>0.47104851330203446</v>
      </c>
      <c r="X84" s="2550"/>
      <c r="Y84" s="2604">
        <f>SUM(Y22,Y35,Y53,Y66,Y82)</f>
        <v>148</v>
      </c>
      <c r="Z84" s="2604">
        <f>SUM(Z22,Z35,Z53,Z66,Z82)</f>
        <v>587</v>
      </c>
      <c r="AA84" s="2604">
        <f>SUM(AA22,AA35,AA53,AA66,AA82)</f>
        <v>219</v>
      </c>
      <c r="AB84" s="2604">
        <f>SUM(AB22,AB35,AB53,AB66,AB82)</f>
        <v>107</v>
      </c>
      <c r="AC84" s="2737">
        <f>SUM(AC22,AC35,AC53,AC66,AC82)</f>
        <v>1061</v>
      </c>
      <c r="AD84" s="2738">
        <f t="shared" si="52"/>
        <v>0.44353741496598642</v>
      </c>
      <c r="AE84" s="2550"/>
      <c r="AF84" s="2604">
        <f>SUM(AF22,AF35,AF53,AF66,AF82)</f>
        <v>156</v>
      </c>
      <c r="AG84" s="2604">
        <f>SUM(AG22,AG35,AG53,AG66,AG82)</f>
        <v>595</v>
      </c>
      <c r="AH84" s="2604">
        <f>SUM(AH22,AH35,AH53,AH66,AH82)</f>
        <v>219</v>
      </c>
      <c r="AI84" s="2604">
        <f>SUM(AI22,AI35,AI53,AI66,AI82)</f>
        <v>114</v>
      </c>
      <c r="AJ84" s="2737">
        <f>SUM(AJ22,AJ35,AJ53,AJ66,AJ82)</f>
        <v>1084</v>
      </c>
      <c r="AK84" s="2738">
        <f t="shared" si="53"/>
        <v>0.4434087882822903</v>
      </c>
      <c r="AL84" s="2550"/>
      <c r="AM84" s="2604">
        <f>SUM(AM22,AM35,AM53,AM66,AM82)</f>
        <v>151</v>
      </c>
      <c r="AN84" s="2604">
        <f>SUM(AN22,AN35,AN53,AN66,AN82)</f>
        <v>605</v>
      </c>
      <c r="AO84" s="2604">
        <f>SUM(AO22,AO35,AO53,AO66,AO82)</f>
        <v>234</v>
      </c>
      <c r="AP84" s="2604">
        <f>SUM(AP22,AP35,AP53,AP66,AP82)</f>
        <v>120</v>
      </c>
      <c r="AQ84" s="2737">
        <f>SUM(AQ22,AQ35,AQ53,AQ66,AQ82)</f>
        <v>1110</v>
      </c>
      <c r="AR84" s="2738">
        <f t="shared" si="54"/>
        <v>0.46825396825396826</v>
      </c>
      <c r="AS84" s="2550"/>
      <c r="AT84" s="2604">
        <f>SUM(AT22,AT35,AT53,AT66,AT82)</f>
        <v>167</v>
      </c>
      <c r="AU84" s="2604">
        <f>SUM(AU22,AU35,AU53,AU66,AU82)</f>
        <v>636</v>
      </c>
      <c r="AV84" s="2604">
        <f>SUM(AV22,AV35,AV53,AV66,AV82)</f>
        <v>237</v>
      </c>
      <c r="AW84" s="2604">
        <f>SUM(AW22,AW35,AW53,AW66,AW82)</f>
        <v>130</v>
      </c>
      <c r="AX84" s="2737">
        <f>SUM(AX22,AX35,AX53,AX66,AX82)</f>
        <v>1170</v>
      </c>
      <c r="AY84" s="2738">
        <f>(AV84+AW84)/(AT84+AU84)</f>
        <v>0.45703611457036114</v>
      </c>
      <c r="AZ84" s="2550"/>
      <c r="BA84" s="2604">
        <f>SUM(BA22,BA35,BA53,BA66,BA82)</f>
        <v>164</v>
      </c>
      <c r="BB84" s="2604">
        <f>SUM(BB22,BB35,BB53,BB66,BB82)</f>
        <v>619</v>
      </c>
      <c r="BC84" s="2604">
        <f>SUM(BC22,BC35,BC53,BC66,BC82)</f>
        <v>242</v>
      </c>
      <c r="BD84" s="2604">
        <f>SUM(BD22,BD35,BD53,BD66,BD82)</f>
        <v>138</v>
      </c>
      <c r="BE84" s="2737">
        <f>SUM(BE22,BE35,BE53,BE66,BE82)</f>
        <v>1163</v>
      </c>
      <c r="BF84" s="2738">
        <f>(BC84+BD84)/(BA84+BB84)</f>
        <v>0.48531289910600256</v>
      </c>
      <c r="BG84" s="2550"/>
      <c r="BH84" s="2604">
        <v>145</v>
      </c>
      <c r="BI84" s="2604">
        <v>615</v>
      </c>
      <c r="BJ84" s="2604">
        <v>234</v>
      </c>
      <c r="BK84" s="2604">
        <v>141</v>
      </c>
      <c r="BL84" s="2737">
        <v>1135</v>
      </c>
      <c r="BM84" s="2738">
        <f>(BJ84+BK84)/(BH84+BI84)</f>
        <v>0.49342105263157893</v>
      </c>
      <c r="BO84" s="2604">
        <v>161</v>
      </c>
      <c r="BP84" s="2604">
        <v>614</v>
      </c>
      <c r="BQ84" s="2604">
        <v>232</v>
      </c>
      <c r="BR84" s="2604">
        <v>149</v>
      </c>
      <c r="BS84" s="2737">
        <v>1156</v>
      </c>
      <c r="BT84" s="2738">
        <f>(BQ84+BR84)/(BO84+BP84)</f>
        <v>0.49161290322580647</v>
      </c>
      <c r="BV84" s="2604">
        <v>177</v>
      </c>
      <c r="BW84" s="2604">
        <v>607</v>
      </c>
      <c r="BX84" s="2604">
        <v>231</v>
      </c>
      <c r="BY84" s="2604">
        <v>149</v>
      </c>
      <c r="BZ84" s="2737">
        <v>1164</v>
      </c>
      <c r="CA84" s="2738">
        <f>(BX84+BY84)/(BV84+BW84)</f>
        <v>0.48469387755102039</v>
      </c>
    </row>
    <row r="85" spans="1:79" ht="14.4">
      <c r="J85" s="2550"/>
    </row>
    <row r="86" spans="1:79" ht="14.4">
      <c r="J86" s="2550"/>
    </row>
    <row r="87" spans="1:79" ht="14.4">
      <c r="J87" s="2550"/>
    </row>
    <row r="88" spans="1:79" ht="14.4">
      <c r="J88" s="2550"/>
    </row>
    <row r="89" spans="1:79" ht="14.4">
      <c r="J89" s="2550"/>
    </row>
    <row r="90" spans="1:79" ht="14.4">
      <c r="J90" s="2550"/>
    </row>
    <row r="91" spans="1:79" ht="14.4">
      <c r="J91" s="2550"/>
    </row>
  </sheetData>
  <sheetProtection algorithmName="SHA-512" hashValue="CaWjj9mOnLnlQ7VZ3s1uusWF/zWEwB1ZeM4BlwsxPUJQHPlMuUMynTupk56XHhpesp7pqqpQqTPHa4klmuAUFQ==" saltValue="OFvorfC9YG0ipzWfu1Y0Vw==" spinCount="100000" sheet="1" objects="1" scenarios="1"/>
  <mergeCells count="33">
    <mergeCell ref="BV3:BZ3"/>
    <mergeCell ref="BO3:BS3"/>
    <mergeCell ref="A1:C1"/>
    <mergeCell ref="A82:C82"/>
    <mergeCell ref="A84:C84"/>
    <mergeCell ref="Y3:AC3"/>
    <mergeCell ref="D3:H3"/>
    <mergeCell ref="K3:O3"/>
    <mergeCell ref="R3:V3"/>
    <mergeCell ref="A41:C41"/>
    <mergeCell ref="A47:C47"/>
    <mergeCell ref="A57:C57"/>
    <mergeCell ref="A61:C61"/>
    <mergeCell ref="A71:C71"/>
    <mergeCell ref="A76:C76"/>
    <mergeCell ref="A81:C81"/>
    <mergeCell ref="A66:C66"/>
    <mergeCell ref="AM3:AQ3"/>
    <mergeCell ref="A52:C52"/>
    <mergeCell ref="A34:C34"/>
    <mergeCell ref="A21:C21"/>
    <mergeCell ref="A22:C22"/>
    <mergeCell ref="A35:C35"/>
    <mergeCell ref="A10:C10"/>
    <mergeCell ref="A16:C16"/>
    <mergeCell ref="A26:C26"/>
    <mergeCell ref="A30:C30"/>
    <mergeCell ref="AF3:AJ3"/>
    <mergeCell ref="AT3:AX3"/>
    <mergeCell ref="A65:C65"/>
    <mergeCell ref="A53:C53"/>
    <mergeCell ref="BH3:BL3"/>
    <mergeCell ref="BA3:BE3"/>
  </mergeCells>
  <printOptions horizontalCentered="1" verticalCentered="1"/>
  <pageMargins left="0.74803149606299213" right="0.74803149606299213" top="0.98425196850393704" bottom="0.98425196850393704" header="0" footer="0"/>
  <pageSetup scale="32" orientation="landscape" r:id="rId1"/>
  <headerFooter alignWithMargins="0">
    <oddHeader>&amp;L</oddHeader>
  </headerFooter>
  <ignoredErrors>
    <ignoredError sqref="E84:G84 AQ48:AQ50 AQ78:AQ80 AU10:AW10 AX78:AX80 AT36:AX36 BE5:BE9 E18:G19 AQ36:AR36 E10:G16 E20:G20 E22:G82 E21 G21 AM21:AP21 BW10:BY10" formulaRange="1"/>
    <ignoredError sqref="K56:O56 H56 R62:V63 R54:V54 H54 Y63:AC63 AF61:AK62 H62:H65 AF64:AK77 AF63:AJ63 Y20:AC20 H20 AF18:AK19 R20:V20 K20:O20 K54:O54 H59:H60 AF60:AJ60 K62:O65 AF79:AK79 H78 K78:O78 R78:V78 AF78:AJ78 AF84:AK84 AF80:AJ80 AF51:AK59 AF50:AJ50 AF49:AK49 AF48:AJ48 AF37:AK47 AF36:AJ36 AX10 AX48:AX50 BE18:BE19 AF81:AK82 H84:I84 H79:I82 H22:I53 H18:I19 H66:I77 H61:I61 H55:I55 H57:I58 K84:P84 K79:P82 K22:P53 K18:P19 K66:P77 K57:P61 K55:P55 R84:W84 R79:W82 R18:W19 R22:W53 R64:W77 R55:W61 Y84:AD84 Y18:AD19 Y64:AD82 Y22:AD62 Y10:AD16 R10:W16 K10:P16 H10:I16 BE10:BE16 AF10:AK16 AF20:AK20 BE20 I21 K21:L21 N21 P21 R21:S21 U21 W21 AB21 AD21 AF22:AK35 AK21 AQ21 BE22:BE80" formula="1" formulaRange="1"/>
    <ignoredError sqref="P54 P62:P65 AK63 AK60 I56 W54 W62:W63 P56 AX16 AX26:AX30 AX41:AX47 AX57:AX61 AR84 BE84 AY84 AY82 BE81:BE82 T21 AJ21"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499984740745262"/>
    <pageSetUpPr fitToPage="1"/>
  </sheetPr>
  <dimension ref="A1:V150"/>
  <sheetViews>
    <sheetView showGridLines="0" zoomScale="120" zoomScaleNormal="120" workbookViewId="0">
      <selection activeCell="J10" sqref="J10"/>
    </sheetView>
  </sheetViews>
  <sheetFormatPr baseColWidth="10" defaultColWidth="11.44140625" defaultRowHeight="13.2"/>
  <cols>
    <col min="1" max="1" width="66.77734375" style="56" bestFit="1" customWidth="1"/>
    <col min="2" max="5" width="11.44140625" style="56"/>
    <col min="6" max="6" width="10.77734375" style="57" customWidth="1"/>
    <col min="7" max="12" width="10.77734375" style="56" customWidth="1"/>
    <col min="13" max="14" width="12" style="56" customWidth="1"/>
    <col min="15" max="15" width="12.21875" style="56" customWidth="1"/>
    <col min="16" max="16" width="12" style="56" customWidth="1"/>
    <col min="17" max="18" width="10.77734375" style="56" customWidth="1"/>
    <col min="19" max="24" width="11.44140625" style="56"/>
    <col min="25" max="25" width="9.77734375" style="56" customWidth="1"/>
    <col min="26" max="16384" width="11.44140625" style="56"/>
  </cols>
  <sheetData>
    <row r="1" spans="1:22" ht="19.5" customHeight="1">
      <c r="A1" s="3606" t="s">
        <v>2226</v>
      </c>
      <c r="B1" s="2510"/>
      <c r="C1" s="2510"/>
      <c r="D1" s="2510"/>
      <c r="E1"/>
      <c r="F1" s="1828"/>
      <c r="G1" s="1828"/>
      <c r="H1" s="1828"/>
      <c r="I1" s="1828"/>
      <c r="J1" s="1828"/>
      <c r="K1" s="1828"/>
      <c r="L1" s="1828"/>
      <c r="M1" s="1828"/>
      <c r="N1" s="1828"/>
      <c r="O1" s="1828"/>
      <c r="P1" s="1828"/>
      <c r="Q1" s="1828"/>
      <c r="R1" s="1828"/>
      <c r="V1" s="196"/>
    </row>
    <row r="2" spans="1:22" ht="18">
      <c r="A2" s="2345"/>
      <c r="B2" s="2345"/>
      <c r="C2" s="2345"/>
      <c r="D2" s="2345"/>
      <c r="E2"/>
      <c r="F2" s="1828"/>
      <c r="G2" s="1828"/>
      <c r="H2" s="1828"/>
      <c r="I2" s="1828"/>
      <c r="J2" s="1828"/>
      <c r="K2" s="1828"/>
      <c r="L2" s="1828"/>
      <c r="M2" s="1828"/>
      <c r="N2" s="1828"/>
      <c r="O2" s="1828"/>
      <c r="P2" s="1828"/>
      <c r="Q2" s="1828"/>
      <c r="R2" s="1828"/>
      <c r="V2" s="196"/>
    </row>
    <row r="3" spans="1:22" ht="18">
      <c r="A3" s="2345"/>
      <c r="B3" s="2345"/>
      <c r="C3" s="2345"/>
      <c r="D3" s="2345"/>
      <c r="E3" s="5439"/>
      <c r="F3" s="1828"/>
      <c r="G3" s="1828"/>
      <c r="H3" s="1828"/>
      <c r="I3" s="1828"/>
      <c r="J3" s="1828"/>
      <c r="K3" s="1828"/>
      <c r="L3" s="1828"/>
      <c r="M3" s="1828"/>
      <c r="N3" s="1828"/>
      <c r="O3" s="1828"/>
      <c r="P3" s="1828"/>
      <c r="Q3" s="1828"/>
      <c r="R3" s="1828"/>
      <c r="V3" s="196"/>
    </row>
    <row r="4" spans="1:22" ht="16.2" thickBot="1">
      <c r="A4" s="2291" t="s">
        <v>95</v>
      </c>
      <c r="B4" s="2387">
        <v>2016</v>
      </c>
      <c r="C4" s="2387">
        <v>2017</v>
      </c>
      <c r="D4" s="2387">
        <v>2018</v>
      </c>
      <c r="E4" s="2387">
        <v>2019</v>
      </c>
      <c r="F4" s="2387">
        <v>2020</v>
      </c>
      <c r="G4" s="2387" t="s">
        <v>3856</v>
      </c>
      <c r="H4" s="2387" t="s">
        <v>151</v>
      </c>
      <c r="I4" s="1828"/>
      <c r="J4" s="1828"/>
      <c r="K4" s="1828"/>
      <c r="L4" s="1828"/>
      <c r="M4" s="1828"/>
      <c r="N4" s="1828"/>
      <c r="O4" s="1828"/>
      <c r="P4" s="1828"/>
      <c r="Q4" s="1828"/>
      <c r="R4" s="1828"/>
      <c r="V4" s="196"/>
    </row>
    <row r="5" spans="1:22" ht="15.6">
      <c r="A5" s="3373" t="s">
        <v>2668</v>
      </c>
      <c r="B5" s="3393">
        <v>1123</v>
      </c>
      <c r="C5" s="3393">
        <v>1186</v>
      </c>
      <c r="D5" s="3393">
        <v>1208</v>
      </c>
      <c r="E5" s="3393">
        <v>1200</v>
      </c>
      <c r="F5" s="3393">
        <v>1126</v>
      </c>
      <c r="G5" s="3393">
        <f>SUM(B5:F5)</f>
        <v>5843</v>
      </c>
      <c r="H5" s="6000">
        <f>G6/G5</f>
        <v>6.6157795652918026</v>
      </c>
      <c r="I5" s="1828"/>
      <c r="J5" s="1828"/>
      <c r="K5" s="1828"/>
      <c r="L5" s="1828"/>
      <c r="M5" s="1828"/>
      <c r="N5" s="1828"/>
      <c r="O5" s="1828"/>
      <c r="P5" s="1828"/>
      <c r="Q5" s="1828"/>
      <c r="R5" s="1828"/>
      <c r="V5" s="196"/>
    </row>
    <row r="6" spans="1:22" ht="15.6">
      <c r="A6" s="3375" t="s">
        <v>2667</v>
      </c>
      <c r="B6" s="3394">
        <v>14939</v>
      </c>
      <c r="C6" s="3394">
        <v>11429</v>
      </c>
      <c r="D6" s="3394">
        <v>8706</v>
      </c>
      <c r="E6" s="3394">
        <v>2858</v>
      </c>
      <c r="F6" s="3394">
        <v>724</v>
      </c>
      <c r="G6" s="3394">
        <f>SUM(B6:F6)</f>
        <v>38656</v>
      </c>
      <c r="H6" s="6001"/>
      <c r="I6" s="1828"/>
      <c r="J6" s="1828"/>
      <c r="K6" s="1828"/>
      <c r="L6" s="1828"/>
      <c r="M6" s="1828"/>
      <c r="N6" s="1828"/>
      <c r="O6" s="1828"/>
      <c r="P6" s="1828"/>
      <c r="Q6" s="1828"/>
      <c r="R6" s="1828"/>
      <c r="V6" s="196"/>
    </row>
    <row r="7" spans="1:22" ht="18">
      <c r="A7" s="5443" t="s">
        <v>3857</v>
      </c>
      <c r="B7" s="2345"/>
      <c r="C7" s="2345"/>
      <c r="D7" s="2345"/>
      <c r="E7" s="5439"/>
      <c r="F7" s="1828"/>
      <c r="G7" s="1828"/>
      <c r="H7" s="2388" t="s">
        <v>2670</v>
      </c>
      <c r="I7" s="1828"/>
      <c r="J7" s="1828"/>
      <c r="K7" s="1828"/>
      <c r="L7" s="1828"/>
      <c r="M7" s="1828"/>
      <c r="N7" s="1828"/>
      <c r="O7" s="1828"/>
      <c r="P7" s="1828"/>
      <c r="Q7" s="1828"/>
      <c r="R7" s="1828"/>
      <c r="V7" s="196"/>
    </row>
    <row r="8" spans="1:22" ht="18">
      <c r="A8" s="2345"/>
      <c r="B8" s="2345"/>
      <c r="C8" s="2345"/>
      <c r="D8" s="2345"/>
      <c r="E8" s="5439"/>
      <c r="F8" s="1828"/>
      <c r="G8" s="1828"/>
      <c r="H8" s="1828"/>
      <c r="I8" s="1828"/>
      <c r="J8" s="1828"/>
      <c r="K8" s="1828"/>
      <c r="L8" s="1828"/>
      <c r="M8" s="1828"/>
      <c r="N8" s="1828"/>
      <c r="O8" s="1828"/>
      <c r="P8" s="1828"/>
      <c r="Q8" s="1828"/>
      <c r="R8" s="1828"/>
      <c r="V8" s="196"/>
    </row>
    <row r="9" spans="1:22" ht="15" customHeight="1">
      <c r="A9" s="2345"/>
      <c r="B9" s="2345"/>
      <c r="C9" s="2345"/>
      <c r="D9" s="2345"/>
      <c r="E9" s="4141"/>
      <c r="F9" s="1828"/>
      <c r="G9" s="1828"/>
      <c r="H9" s="1828"/>
      <c r="I9" s="1828"/>
      <c r="J9" s="1828"/>
      <c r="K9" s="1828"/>
      <c r="L9" s="1828"/>
      <c r="M9" s="1828"/>
      <c r="N9" s="1828"/>
      <c r="O9" s="1828"/>
      <c r="P9" s="1828"/>
      <c r="Q9" s="1828"/>
      <c r="R9" s="1828"/>
      <c r="V9" s="196"/>
    </row>
    <row r="10" spans="1:22" ht="20.100000000000001" customHeight="1" thickBot="1">
      <c r="A10" s="2291" t="s">
        <v>95</v>
      </c>
      <c r="B10" s="2387">
        <v>2015</v>
      </c>
      <c r="C10" s="2387">
        <v>2016</v>
      </c>
      <c r="D10" s="2387">
        <v>2017</v>
      </c>
      <c r="E10" s="2387">
        <v>2018</v>
      </c>
      <c r="F10" s="2387">
        <v>2019</v>
      </c>
      <c r="G10" s="2387" t="s">
        <v>2811</v>
      </c>
      <c r="H10" s="2387" t="s">
        <v>151</v>
      </c>
      <c r="I10" s="1828"/>
      <c r="J10" s="1828"/>
      <c r="K10" s="1828"/>
      <c r="L10" s="1828"/>
      <c r="M10" s="1828"/>
      <c r="N10" s="1828"/>
      <c r="O10" s="1828"/>
      <c r="P10" s="1828"/>
      <c r="Q10" s="1828"/>
      <c r="R10" s="1828"/>
      <c r="V10" s="196"/>
    </row>
    <row r="11" spans="1:22" ht="20.100000000000001" customHeight="1">
      <c r="A11" s="3373" t="s">
        <v>2812</v>
      </c>
      <c r="B11" s="3393">
        <v>1066</v>
      </c>
      <c r="C11" s="3393">
        <v>1120</v>
      </c>
      <c r="D11" s="3393">
        <v>1184</v>
      </c>
      <c r="E11" s="3393">
        <v>1174</v>
      </c>
      <c r="F11" s="3393">
        <v>1016</v>
      </c>
      <c r="G11" s="3393">
        <f>SUM(B11:F11)</f>
        <v>5560</v>
      </c>
      <c r="H11" s="6000">
        <f>G12/G11</f>
        <v>6.5836330935251794</v>
      </c>
      <c r="I11" s="1828"/>
      <c r="J11" s="1828"/>
      <c r="K11" s="1828"/>
      <c r="L11" s="1828"/>
      <c r="M11" s="1828"/>
      <c r="N11" s="1828"/>
      <c r="O11" s="1828"/>
      <c r="P11" s="1828"/>
      <c r="Q11" s="1828"/>
      <c r="R11" s="1828"/>
      <c r="V11" s="196"/>
    </row>
    <row r="12" spans="1:22" ht="20.100000000000001" customHeight="1">
      <c r="A12" s="3375" t="s">
        <v>2667</v>
      </c>
      <c r="B12" s="3394">
        <v>15370</v>
      </c>
      <c r="C12" s="3394">
        <v>10985</v>
      </c>
      <c r="D12" s="3394">
        <v>6942</v>
      </c>
      <c r="E12" s="3394">
        <v>2788</v>
      </c>
      <c r="F12" s="3394">
        <v>520</v>
      </c>
      <c r="G12" s="3394">
        <f>SUM(B12:F12)</f>
        <v>36605</v>
      </c>
      <c r="H12" s="6001"/>
      <c r="I12" s="1828"/>
      <c r="J12" s="1828"/>
      <c r="K12" s="1828"/>
      <c r="L12" s="1828"/>
      <c r="M12" s="1828"/>
      <c r="N12" s="1828"/>
      <c r="O12" s="1828"/>
      <c r="P12" s="1828"/>
      <c r="Q12" s="1828"/>
      <c r="R12" s="1828"/>
      <c r="V12" s="196"/>
    </row>
    <row r="13" spans="1:22" ht="15" customHeight="1">
      <c r="A13" s="2032" t="s">
        <v>2561</v>
      </c>
      <c r="F13" s="56"/>
      <c r="H13" s="2388" t="s">
        <v>2670</v>
      </c>
      <c r="I13" s="1828"/>
      <c r="J13" s="1828"/>
      <c r="K13" s="1828"/>
      <c r="L13" s="1828"/>
      <c r="M13" s="1828"/>
      <c r="N13" s="1828"/>
      <c r="O13" s="1828"/>
      <c r="P13" s="1828"/>
      <c r="Q13" s="1828"/>
      <c r="R13" s="1828"/>
      <c r="V13" s="196"/>
    </row>
    <row r="14" spans="1:22" ht="15" customHeight="1">
      <c r="A14" s="2345"/>
      <c r="B14" s="2345"/>
      <c r="C14" s="2345"/>
      <c r="D14" s="2345"/>
      <c r="E14" s="4141"/>
      <c r="F14" s="1828"/>
      <c r="G14" s="1828"/>
      <c r="H14" s="1828"/>
      <c r="I14" s="1828"/>
      <c r="J14" s="1828"/>
      <c r="K14" s="1828"/>
      <c r="L14" s="1828"/>
      <c r="M14" s="1828"/>
      <c r="N14" s="1828"/>
      <c r="O14" s="1828"/>
      <c r="P14" s="1828"/>
      <c r="Q14" s="1828"/>
      <c r="R14" s="1828"/>
      <c r="V14" s="196"/>
    </row>
    <row r="15" spans="1:22" ht="15" customHeight="1">
      <c r="A15" s="2345"/>
      <c r="B15" s="2345"/>
      <c r="C15" s="2345"/>
      <c r="D15" s="2345"/>
      <c r="E15" s="4141"/>
      <c r="F15" s="1828"/>
      <c r="G15" s="1828"/>
      <c r="H15" s="1828"/>
      <c r="I15" s="1828"/>
      <c r="J15" s="1828"/>
      <c r="K15" s="1828"/>
      <c r="L15" s="1828"/>
      <c r="M15" s="1828"/>
      <c r="N15" s="1828"/>
      <c r="O15" s="1828"/>
      <c r="P15" s="1828"/>
      <c r="Q15" s="1828"/>
      <c r="R15" s="1828"/>
      <c r="V15" s="196"/>
    </row>
    <row r="16" spans="1:22" ht="29.4" thickBot="1">
      <c r="A16" s="2291" t="s">
        <v>95</v>
      </c>
      <c r="B16" s="2387">
        <v>2014</v>
      </c>
      <c r="C16" s="2387">
        <v>2015</v>
      </c>
      <c r="D16" s="2387">
        <v>2016</v>
      </c>
      <c r="E16" s="2387">
        <v>2017</v>
      </c>
      <c r="F16" s="2387">
        <v>2018</v>
      </c>
      <c r="G16" s="2387" t="s">
        <v>2669</v>
      </c>
      <c r="H16" s="2387" t="s">
        <v>151</v>
      </c>
      <c r="M16" s="1828"/>
      <c r="N16" s="1828"/>
      <c r="O16" s="1828"/>
      <c r="P16" s="1828"/>
      <c r="Q16" s="1828"/>
      <c r="R16" s="1828"/>
      <c r="V16" s="196"/>
    </row>
    <row r="17" spans="1:22" ht="20.100000000000001" customHeight="1">
      <c r="A17" s="3373" t="s">
        <v>2668</v>
      </c>
      <c r="B17" s="3393">
        <v>947</v>
      </c>
      <c r="C17" s="3393">
        <v>1058</v>
      </c>
      <c r="D17" s="3393">
        <v>1115</v>
      </c>
      <c r="E17" s="3393">
        <v>1169</v>
      </c>
      <c r="F17" s="3393">
        <v>1029</v>
      </c>
      <c r="G17" s="3393">
        <v>5315</v>
      </c>
      <c r="H17" s="6000">
        <f>G18/G17</f>
        <v>5.4109125117591725</v>
      </c>
      <c r="N17" s="1828"/>
      <c r="O17" s="1828"/>
      <c r="P17" s="1828"/>
      <c r="Q17" s="1828"/>
      <c r="R17" s="1828"/>
      <c r="V17" s="196"/>
    </row>
    <row r="18" spans="1:22" ht="20.100000000000001" customHeight="1">
      <c r="A18" s="3375" t="s">
        <v>2667</v>
      </c>
      <c r="B18" s="3394">
        <v>6694</v>
      </c>
      <c r="C18" s="3394">
        <v>11514</v>
      </c>
      <c r="D18" s="3394">
        <v>6843</v>
      </c>
      <c r="E18" s="3394">
        <v>3227</v>
      </c>
      <c r="F18" s="3394">
        <v>481</v>
      </c>
      <c r="G18" s="3394">
        <v>28759</v>
      </c>
      <c r="H18" s="6001"/>
      <c r="N18" s="1828"/>
      <c r="O18" s="1828"/>
      <c r="P18" s="1828"/>
      <c r="Q18" s="1828"/>
      <c r="R18" s="1828"/>
      <c r="V18" s="196"/>
    </row>
    <row r="19" spans="1:22" ht="15.6">
      <c r="F19" s="56"/>
      <c r="H19" s="2388" t="s">
        <v>2670</v>
      </c>
      <c r="N19" s="1828"/>
      <c r="O19" s="1828"/>
      <c r="P19" s="1828"/>
      <c r="Q19" s="1828"/>
      <c r="R19" s="1828"/>
      <c r="V19" s="196"/>
    </row>
    <row r="20" spans="1:22" ht="15.6">
      <c r="A20" s="229"/>
      <c r="B20" s="229"/>
      <c r="C20" s="229"/>
      <c r="D20" s="229"/>
      <c r="E20"/>
      <c r="F20" s="230"/>
      <c r="G20" s="230"/>
      <c r="H20" s="230"/>
      <c r="I20" s="230"/>
      <c r="J20" s="230"/>
      <c r="K20" s="230"/>
      <c r="L20" s="230"/>
      <c r="M20" s="230"/>
      <c r="N20" s="230"/>
      <c r="O20" s="230"/>
      <c r="P20" s="230"/>
      <c r="Q20" s="230"/>
      <c r="R20" s="230"/>
    </row>
    <row r="21" spans="1:22" ht="17.399999999999999">
      <c r="A21" s="2029" t="s">
        <v>2558</v>
      </c>
      <c r="B21" s="229"/>
      <c r="C21" s="229"/>
      <c r="D21" s="229"/>
      <c r="E21"/>
      <c r="F21" s="230"/>
      <c r="G21" s="230"/>
      <c r="H21" s="230"/>
      <c r="I21" s="230"/>
      <c r="J21" s="230"/>
      <c r="K21" s="230"/>
      <c r="L21" s="230"/>
      <c r="M21" s="230"/>
      <c r="N21" s="230"/>
      <c r="O21" s="230"/>
      <c r="P21" s="230"/>
      <c r="Q21" s="230"/>
      <c r="R21" s="230"/>
    </row>
    <row r="22" spans="1:22" ht="15.6">
      <c r="A22" s="3362" t="s">
        <v>95</v>
      </c>
      <c r="B22" s="3364">
        <v>2008</v>
      </c>
      <c r="C22" s="3364">
        <v>2009</v>
      </c>
      <c r="D22" s="3364">
        <v>2010</v>
      </c>
      <c r="E22" s="3364">
        <v>2011</v>
      </c>
      <c r="F22" s="3364">
        <v>2012</v>
      </c>
      <c r="G22" s="3364">
        <v>2013</v>
      </c>
      <c r="H22" s="3364">
        <v>2014</v>
      </c>
      <c r="I22" s="3364">
        <v>2015</v>
      </c>
      <c r="J22" s="3364">
        <v>2016</v>
      </c>
      <c r="K22" s="3364">
        <v>2017</v>
      </c>
      <c r="L22" s="3365" t="s">
        <v>2559</v>
      </c>
      <c r="M22" s="3363" t="s">
        <v>151</v>
      </c>
      <c r="N22" s="230"/>
      <c r="O22" s="230"/>
      <c r="P22" s="230"/>
      <c r="Q22" s="230"/>
      <c r="R22" s="230"/>
    </row>
    <row r="23" spans="1:22" ht="16.2">
      <c r="A23" s="3361" t="s">
        <v>2560</v>
      </c>
      <c r="B23" s="3374">
        <v>765</v>
      </c>
      <c r="C23" s="3366">
        <v>761</v>
      </c>
      <c r="D23" s="3366">
        <v>754</v>
      </c>
      <c r="E23" s="3366">
        <v>807</v>
      </c>
      <c r="F23" s="3366">
        <v>851</v>
      </c>
      <c r="G23" s="3366">
        <v>948</v>
      </c>
      <c r="H23" s="3366">
        <v>947</v>
      </c>
      <c r="I23" s="3366">
        <v>1027</v>
      </c>
      <c r="J23" s="3366">
        <v>1098</v>
      </c>
      <c r="K23" s="3366">
        <v>956</v>
      </c>
      <c r="L23" s="3367">
        <f>SUM(G23:K23)</f>
        <v>4976</v>
      </c>
      <c r="M23" s="6011">
        <f>+L24/L23</f>
        <v>3.9443327974276525</v>
      </c>
      <c r="N23" s="230"/>
      <c r="O23" s="230"/>
      <c r="P23" s="230"/>
      <c r="Q23" s="230"/>
      <c r="R23" s="230"/>
    </row>
    <row r="24" spans="1:22" ht="15.6">
      <c r="A24" s="2262" t="s">
        <v>2225</v>
      </c>
      <c r="B24" s="3376">
        <v>10052</v>
      </c>
      <c r="C24" s="3368">
        <v>7721</v>
      </c>
      <c r="D24" s="3368">
        <v>6693</v>
      </c>
      <c r="E24" s="3368">
        <v>6904</v>
      </c>
      <c r="F24" s="3368">
        <v>5966</v>
      </c>
      <c r="G24" s="3368">
        <v>4922</v>
      </c>
      <c r="H24" s="3368">
        <v>4899</v>
      </c>
      <c r="I24" s="3368">
        <v>7028</v>
      </c>
      <c r="J24" s="3368">
        <v>2407</v>
      </c>
      <c r="K24" s="3368">
        <v>371</v>
      </c>
      <c r="L24" s="3369">
        <f>SUM(G24:K24)</f>
        <v>19627</v>
      </c>
      <c r="M24" s="6012"/>
      <c r="N24" s="230"/>
      <c r="O24" s="230"/>
      <c r="P24" s="230"/>
      <c r="Q24" s="230"/>
      <c r="R24" s="230"/>
    </row>
    <row r="25" spans="1:22" ht="15.6">
      <c r="A25" s="2032" t="s">
        <v>2561</v>
      </c>
      <c r="B25" s="229"/>
      <c r="C25" s="229"/>
      <c r="D25" s="229"/>
      <c r="E25"/>
      <c r="F25" s="230"/>
      <c r="G25" s="230"/>
      <c r="H25" s="230"/>
      <c r="I25" s="230"/>
      <c r="J25" s="230"/>
      <c r="K25" s="230"/>
      <c r="L25" s="230"/>
      <c r="M25" s="230"/>
      <c r="N25" s="230"/>
      <c r="O25" s="230"/>
      <c r="P25" s="230"/>
      <c r="Q25" s="230"/>
      <c r="R25" s="230"/>
    </row>
    <row r="26" spans="1:22" ht="21" customHeight="1">
      <c r="A26" s="2032" t="s">
        <v>2562</v>
      </c>
      <c r="B26" s="229"/>
      <c r="C26" s="229"/>
      <c r="D26" s="229"/>
      <c r="E26"/>
      <c r="F26" s="230"/>
      <c r="G26" s="230"/>
      <c r="H26" s="230"/>
      <c r="I26" s="230"/>
      <c r="J26" s="230"/>
      <c r="K26" s="230"/>
      <c r="L26" s="230"/>
      <c r="M26" s="230"/>
      <c r="N26" s="230"/>
      <c r="O26" s="230"/>
      <c r="P26" s="230"/>
      <c r="Q26" s="230"/>
      <c r="R26" s="230"/>
    </row>
    <row r="27" spans="1:22" ht="15.6" hidden="1">
      <c r="A27" s="2033"/>
      <c r="B27" s="229"/>
      <c r="C27" s="229"/>
      <c r="D27" s="229"/>
      <c r="E27"/>
      <c r="F27" s="230"/>
      <c r="G27" s="230"/>
      <c r="H27" s="230"/>
      <c r="I27" s="230"/>
      <c r="J27" s="230"/>
      <c r="K27" s="230"/>
      <c r="L27" s="230"/>
      <c r="M27" s="230"/>
      <c r="N27" s="230"/>
      <c r="O27" s="230"/>
      <c r="P27" s="230"/>
      <c r="Q27" s="230"/>
      <c r="R27" s="230"/>
    </row>
    <row r="28" spans="1:22" ht="15.6" hidden="1">
      <c r="A28" s="2030" t="s">
        <v>95</v>
      </c>
      <c r="B28" s="2034">
        <v>2008</v>
      </c>
      <c r="C28" s="2034">
        <v>2009</v>
      </c>
      <c r="D28" s="2034">
        <v>2010</v>
      </c>
      <c r="E28" s="2034">
        <v>2011</v>
      </c>
      <c r="F28" s="2034">
        <v>2012</v>
      </c>
      <c r="G28" s="2034">
        <v>2013</v>
      </c>
      <c r="H28" s="2034">
        <v>2014</v>
      </c>
      <c r="I28" s="2034">
        <v>2015</v>
      </c>
      <c r="J28" s="2034">
        <v>2016</v>
      </c>
      <c r="K28" s="2034">
        <v>2017</v>
      </c>
      <c r="L28" s="2044" t="s">
        <v>2559</v>
      </c>
      <c r="M28" s="2031" t="s">
        <v>151</v>
      </c>
      <c r="N28" s="230"/>
      <c r="O28" s="230"/>
      <c r="P28" s="230"/>
      <c r="Q28" s="230"/>
      <c r="R28" s="230"/>
    </row>
    <row r="29" spans="1:22" ht="28.8" hidden="1">
      <c r="A29" s="45" t="s">
        <v>2563</v>
      </c>
      <c r="B29" s="2035">
        <v>9468</v>
      </c>
      <c r="C29" s="2035">
        <v>7209</v>
      </c>
      <c r="D29" s="2035">
        <v>6148</v>
      </c>
      <c r="E29" s="2035">
        <v>6227</v>
      </c>
      <c r="F29" s="2035">
        <v>5445</v>
      </c>
      <c r="G29" s="2035">
        <v>4635</v>
      </c>
      <c r="H29" s="2035">
        <v>4510</v>
      </c>
      <c r="I29" s="2035">
        <v>6437</v>
      </c>
      <c r="J29" s="2035">
        <v>2099</v>
      </c>
      <c r="K29" s="2035">
        <v>320</v>
      </c>
      <c r="L29" s="2036">
        <f>SUM(G29:K29)</f>
        <v>18001</v>
      </c>
      <c r="M29" s="6013">
        <f>+L30/L29</f>
        <v>1.0676629076162436</v>
      </c>
      <c r="N29" s="230"/>
      <c r="O29" s="230"/>
      <c r="P29" s="230"/>
      <c r="Q29" s="230"/>
      <c r="R29" s="230"/>
    </row>
    <row r="30" spans="1:22" ht="30.6" hidden="1">
      <c r="A30" s="2037" t="s">
        <v>2564</v>
      </c>
      <c r="B30" s="2038">
        <v>10019</v>
      </c>
      <c r="C30" s="2038">
        <v>7687</v>
      </c>
      <c r="D30" s="2038">
        <v>6618</v>
      </c>
      <c r="E30" s="2038">
        <v>6782</v>
      </c>
      <c r="F30" s="2038">
        <v>5902</v>
      </c>
      <c r="G30" s="2038">
        <v>4850</v>
      </c>
      <c r="H30" s="2038">
        <v>4821</v>
      </c>
      <c r="I30" s="2038">
        <v>6941</v>
      </c>
      <c r="J30" s="2038">
        <v>2327</v>
      </c>
      <c r="K30" s="2038">
        <v>280</v>
      </c>
      <c r="L30" s="2036">
        <f>SUM(G30:K30)</f>
        <v>19219</v>
      </c>
      <c r="M30" s="6014"/>
      <c r="N30" s="230"/>
      <c r="O30" s="230"/>
      <c r="P30" s="230"/>
      <c r="Q30" s="230"/>
      <c r="R30" s="230"/>
    </row>
    <row r="31" spans="1:22" ht="15.6" hidden="1">
      <c r="A31" s="2039" t="s">
        <v>2565</v>
      </c>
      <c r="B31" s="229"/>
      <c r="C31" s="229"/>
      <c r="D31" s="229"/>
      <c r="E31"/>
      <c r="F31" s="230"/>
      <c r="G31" s="230"/>
      <c r="H31" s="230"/>
      <c r="I31" s="230"/>
      <c r="J31" s="230"/>
      <c r="K31" s="230"/>
      <c r="L31" s="230"/>
      <c r="M31" s="230"/>
      <c r="N31" s="230"/>
      <c r="O31" s="230"/>
      <c r="P31" s="230"/>
      <c r="Q31" s="230"/>
      <c r="R31" s="230"/>
    </row>
    <row r="32" spans="1:22" ht="15.6">
      <c r="B32" s="229"/>
      <c r="C32" s="229"/>
      <c r="D32" s="229"/>
      <c r="E32"/>
      <c r="F32" s="230"/>
      <c r="G32" s="230"/>
      <c r="H32" s="230"/>
      <c r="I32" s="230"/>
      <c r="J32" s="230"/>
      <c r="K32" s="230"/>
      <c r="L32" s="230"/>
      <c r="M32" s="230"/>
      <c r="N32" s="230"/>
      <c r="O32" s="230"/>
      <c r="P32" s="230"/>
      <c r="Q32" s="230"/>
      <c r="R32" s="230"/>
    </row>
    <row r="33" spans="1:18" ht="15.6">
      <c r="A33" s="2040" t="s">
        <v>2566</v>
      </c>
      <c r="B33" s="2041"/>
      <c r="C33" s="2041"/>
      <c r="D33" s="2041"/>
      <c r="E33" s="2042"/>
      <c r="F33" s="2043"/>
      <c r="G33" s="2043"/>
      <c r="H33" s="2043"/>
      <c r="I33" s="2043"/>
      <c r="J33" s="2043"/>
      <c r="K33" s="2043"/>
      <c r="L33" s="2043"/>
      <c r="M33" s="2043"/>
      <c r="N33" s="230"/>
      <c r="O33" s="230"/>
      <c r="P33" s="230"/>
      <c r="Q33" s="230"/>
      <c r="R33" s="230"/>
    </row>
    <row r="34" spans="1:18" ht="15.6">
      <c r="A34" s="229"/>
      <c r="B34" s="229"/>
      <c r="C34" s="229"/>
      <c r="D34" s="229"/>
      <c r="E34"/>
      <c r="F34" s="230"/>
      <c r="G34" s="230"/>
      <c r="H34" s="230"/>
      <c r="I34" s="230"/>
      <c r="J34" s="230"/>
      <c r="K34" s="230"/>
      <c r="L34" s="230"/>
      <c r="M34" s="230"/>
      <c r="N34" s="230"/>
      <c r="O34" s="230"/>
      <c r="P34" s="230"/>
      <c r="Q34" s="230"/>
      <c r="R34" s="230"/>
    </row>
    <row r="35" spans="1:18" ht="15.6">
      <c r="C35"/>
      <c r="D35"/>
      <c r="E35"/>
      <c r="F35"/>
      <c r="G35"/>
      <c r="H35"/>
      <c r="I35"/>
      <c r="J35"/>
      <c r="K35"/>
      <c r="L35" s="230"/>
      <c r="M35" s="230"/>
      <c r="N35" s="230"/>
      <c r="O35" s="230"/>
      <c r="P35" s="230"/>
      <c r="Q35" s="230"/>
      <c r="R35" s="230"/>
    </row>
    <row r="36" spans="1:18" ht="15.6">
      <c r="A36" s="3370" t="s">
        <v>95</v>
      </c>
      <c r="B36" s="3364">
        <v>2007</v>
      </c>
      <c r="C36" s="3364">
        <v>2008</v>
      </c>
      <c r="D36" s="3364">
        <v>2009</v>
      </c>
      <c r="E36" s="3364">
        <v>2010</v>
      </c>
      <c r="F36" s="3364">
        <v>2011</v>
      </c>
      <c r="G36" s="3364">
        <v>2012</v>
      </c>
      <c r="H36" s="3364">
        <v>2013</v>
      </c>
      <c r="I36" s="3364">
        <v>2014</v>
      </c>
      <c r="J36" s="3364">
        <v>2015</v>
      </c>
      <c r="K36" s="3364">
        <v>2016</v>
      </c>
      <c r="L36" s="3371" t="s">
        <v>2224</v>
      </c>
      <c r="M36" s="3372" t="s">
        <v>151</v>
      </c>
      <c r="N36" s="230"/>
      <c r="O36" s="230"/>
      <c r="P36" s="230"/>
      <c r="Q36" s="230"/>
      <c r="R36" s="230"/>
    </row>
    <row r="37" spans="1:18" ht="16.2">
      <c r="A37" s="3373" t="s">
        <v>2222</v>
      </c>
      <c r="B37" s="3374">
        <v>674</v>
      </c>
      <c r="C37" s="3374">
        <v>756</v>
      </c>
      <c r="D37" s="3374">
        <v>754</v>
      </c>
      <c r="E37" s="3374">
        <v>744</v>
      </c>
      <c r="F37" s="3374">
        <v>791</v>
      </c>
      <c r="G37" s="3374">
        <v>840</v>
      </c>
      <c r="H37" s="3374">
        <v>941</v>
      </c>
      <c r="I37" s="3374">
        <v>938</v>
      </c>
      <c r="J37" s="3374">
        <v>981</v>
      </c>
      <c r="K37" s="3374">
        <v>1003</v>
      </c>
      <c r="L37" s="3366">
        <f>SUM(G37:K37)</f>
        <v>4703</v>
      </c>
      <c r="M37" s="6015">
        <f>+L38/L37</f>
        <v>3.541143950669785</v>
      </c>
      <c r="N37" s="230"/>
      <c r="O37" s="230"/>
      <c r="P37" s="230"/>
      <c r="Q37" s="230"/>
      <c r="R37" s="230"/>
    </row>
    <row r="38" spans="1:18" ht="15.6">
      <c r="A38" s="3375" t="s">
        <v>2225</v>
      </c>
      <c r="B38" s="3376">
        <v>7348</v>
      </c>
      <c r="C38" s="3376">
        <v>8791</v>
      </c>
      <c r="D38" s="3376">
        <v>6823</v>
      </c>
      <c r="E38" s="3376">
        <v>5816</v>
      </c>
      <c r="F38" s="3376">
        <v>5908</v>
      </c>
      <c r="G38" s="3376">
        <v>4829</v>
      </c>
      <c r="H38" s="3376">
        <v>3855</v>
      </c>
      <c r="I38" s="3376">
        <v>3459</v>
      </c>
      <c r="J38" s="3376">
        <v>3934</v>
      </c>
      <c r="K38" s="3376">
        <v>577</v>
      </c>
      <c r="L38" s="3368">
        <f>SUM(G38:K38)</f>
        <v>16654</v>
      </c>
      <c r="M38" s="6016"/>
      <c r="N38" s="230"/>
      <c r="O38" s="230"/>
      <c r="P38" s="230"/>
      <c r="Q38" s="230"/>
      <c r="R38" s="230"/>
    </row>
    <row r="39" spans="1:18" ht="15.6">
      <c r="A39" s="37" t="s">
        <v>2223</v>
      </c>
      <c r="C39"/>
      <c r="D39"/>
      <c r="E39"/>
      <c r="F39"/>
      <c r="G39"/>
      <c r="H39"/>
      <c r="I39"/>
      <c r="J39"/>
      <c r="K39"/>
      <c r="L39" s="230"/>
      <c r="M39" s="230"/>
      <c r="N39" s="230"/>
      <c r="O39" s="230"/>
      <c r="P39" s="230"/>
      <c r="Q39" s="230"/>
      <c r="R39" s="230"/>
    </row>
    <row r="40" spans="1:18" ht="15.6">
      <c r="A40" s="1793" t="s">
        <v>2227</v>
      </c>
      <c r="C40"/>
      <c r="D40"/>
      <c r="E40"/>
      <c r="F40" s="1830"/>
      <c r="G40" s="1830"/>
      <c r="H40" s="1830"/>
      <c r="I40" s="1830"/>
      <c r="J40" s="1830"/>
      <c r="K40" s="1830"/>
      <c r="M40" s="230"/>
      <c r="N40" s="230"/>
      <c r="O40" s="230"/>
      <c r="P40" s="230"/>
      <c r="Q40" s="230"/>
      <c r="R40" s="230"/>
    </row>
    <row r="41" spans="1:18" ht="15.6">
      <c r="A41" s="229"/>
      <c r="B41" s="229"/>
      <c r="C41" s="229"/>
      <c r="D41" s="229"/>
      <c r="E41"/>
      <c r="F41" s="230"/>
      <c r="G41" s="230"/>
      <c r="H41" s="230"/>
      <c r="I41" s="230"/>
      <c r="J41" s="230"/>
      <c r="K41" s="230"/>
      <c r="L41" s="230"/>
      <c r="M41" s="230"/>
      <c r="N41" s="230"/>
      <c r="O41" s="230"/>
      <c r="P41" s="230"/>
      <c r="Q41" s="230"/>
      <c r="R41" s="230"/>
    </row>
    <row r="42" spans="1:18" ht="23.4">
      <c r="A42" s="310" t="s">
        <v>1089</v>
      </c>
      <c r="B42" s="311"/>
      <c r="C42" s="311"/>
      <c r="D42" s="311"/>
      <c r="E42" s="311"/>
      <c r="F42" s="230"/>
      <c r="G42" s="230"/>
      <c r="H42" s="230"/>
      <c r="I42" s="230"/>
      <c r="J42" s="230"/>
      <c r="K42" s="230"/>
      <c r="L42" s="230"/>
      <c r="M42" s="230"/>
      <c r="N42" s="230"/>
      <c r="O42" s="230"/>
      <c r="P42" s="230"/>
      <c r="Q42" s="230"/>
      <c r="R42" s="230"/>
    </row>
    <row r="43" spans="1:18" ht="14.4">
      <c r="A43" s="3370" t="s">
        <v>95</v>
      </c>
      <c r="B43" s="3377">
        <v>2007</v>
      </c>
      <c r="C43" s="3377">
        <v>2008</v>
      </c>
      <c r="D43" s="3377">
        <v>2009</v>
      </c>
      <c r="E43" s="3377">
        <v>2010</v>
      </c>
      <c r="F43" s="3377">
        <v>2011</v>
      </c>
      <c r="G43" s="3377">
        <v>2012</v>
      </c>
      <c r="H43" s="3377">
        <v>2013</v>
      </c>
      <c r="I43" s="3377">
        <v>2014</v>
      </c>
      <c r="J43" s="3378">
        <v>2015</v>
      </c>
      <c r="K43" s="3371" t="s">
        <v>1732</v>
      </c>
      <c r="L43" s="3372" t="s">
        <v>151</v>
      </c>
      <c r="M43" s="339"/>
      <c r="N43" s="339"/>
      <c r="O43" s="339"/>
      <c r="P43" s="339"/>
      <c r="Q43" s="339"/>
      <c r="R43" s="339"/>
    </row>
    <row r="44" spans="1:18" ht="14.4">
      <c r="A44" s="3379" t="s">
        <v>1733</v>
      </c>
      <c r="B44" s="3380">
        <v>624</v>
      </c>
      <c r="C44" s="3380">
        <v>695</v>
      </c>
      <c r="D44" s="3380">
        <v>697</v>
      </c>
      <c r="E44" s="3380">
        <v>673</v>
      </c>
      <c r="F44" s="3381">
        <v>701</v>
      </c>
      <c r="G44" s="3381">
        <v>749</v>
      </c>
      <c r="H44" s="3381">
        <v>851</v>
      </c>
      <c r="I44" s="3381">
        <v>810</v>
      </c>
      <c r="J44" s="3381">
        <v>554</v>
      </c>
      <c r="K44" s="3382">
        <f>SUM(F44:J44)</f>
        <v>3665</v>
      </c>
      <c r="L44" s="6007">
        <f>+K45/K44</f>
        <v>2.688949522510232</v>
      </c>
      <c r="M44" s="339"/>
      <c r="N44" s="339"/>
      <c r="O44" s="339"/>
      <c r="P44" s="339"/>
      <c r="Q44" s="339"/>
      <c r="R44" s="339"/>
    </row>
    <row r="45" spans="1:18" ht="14.4">
      <c r="A45" s="3383" t="s">
        <v>1734</v>
      </c>
      <c r="B45" s="3384">
        <v>5750</v>
      </c>
      <c r="C45" s="3384">
        <v>6526</v>
      </c>
      <c r="D45" s="3384">
        <v>5133</v>
      </c>
      <c r="E45" s="3384">
        <v>4134</v>
      </c>
      <c r="F45" s="3385">
        <v>4014</v>
      </c>
      <c r="G45" s="3385">
        <v>2811</v>
      </c>
      <c r="H45" s="3385">
        <v>1848</v>
      </c>
      <c r="I45" s="3385">
        <v>997</v>
      </c>
      <c r="J45" s="3385">
        <v>185</v>
      </c>
      <c r="K45" s="3386">
        <f>SUM(F45:J45)</f>
        <v>9855</v>
      </c>
      <c r="L45" s="6008"/>
      <c r="M45" s="339"/>
      <c r="N45" s="339"/>
      <c r="O45" s="339"/>
      <c r="P45" s="339"/>
      <c r="Q45" s="339"/>
      <c r="R45" s="339"/>
    </row>
    <row r="46" spans="1:18" ht="15.6">
      <c r="A46" s="312" t="s">
        <v>1092</v>
      </c>
      <c r="F46" s="230"/>
      <c r="G46" s="230"/>
      <c r="H46" s="230"/>
      <c r="I46" s="230"/>
      <c r="J46" s="230"/>
      <c r="K46" s="230"/>
      <c r="L46" s="230"/>
      <c r="M46" s="230"/>
      <c r="N46" s="230"/>
      <c r="O46" s="230"/>
      <c r="P46" s="230"/>
      <c r="Q46" s="230"/>
      <c r="R46" s="230"/>
    </row>
    <row r="47" spans="1:18" ht="15.6">
      <c r="A47" s="229"/>
      <c r="B47" s="229"/>
      <c r="C47" s="229"/>
      <c r="D47" s="229"/>
      <c r="E47"/>
      <c r="F47" s="230"/>
      <c r="G47" s="230"/>
      <c r="H47" s="230"/>
      <c r="I47" s="230"/>
      <c r="J47" s="230"/>
      <c r="K47" s="230"/>
      <c r="L47" s="230"/>
      <c r="M47" s="230"/>
      <c r="N47" s="230"/>
      <c r="O47" s="230"/>
      <c r="P47" s="230"/>
      <c r="Q47" s="230"/>
      <c r="R47" s="230"/>
    </row>
    <row r="48" spans="1:18" ht="15.6">
      <c r="B48" s="311"/>
      <c r="C48" s="311"/>
      <c r="D48" s="311"/>
      <c r="E48" s="311"/>
      <c r="F48" s="311"/>
      <c r="G48" s="311"/>
      <c r="H48" s="311"/>
      <c r="I48" s="311"/>
      <c r="J48" s="311"/>
      <c r="K48" s="230"/>
      <c r="L48" s="230"/>
      <c r="M48" s="230"/>
      <c r="N48" s="230"/>
      <c r="O48" s="230"/>
      <c r="P48" s="230"/>
      <c r="Q48" s="230"/>
      <c r="R48" s="230"/>
    </row>
    <row r="49" spans="1:18" ht="15.6">
      <c r="A49" s="3370" t="s">
        <v>95</v>
      </c>
      <c r="B49" s="3377">
        <v>2007</v>
      </c>
      <c r="C49" s="3377">
        <v>2008</v>
      </c>
      <c r="D49" s="3377">
        <v>2009</v>
      </c>
      <c r="E49" s="3377">
        <v>2010</v>
      </c>
      <c r="F49" s="3377">
        <v>2011</v>
      </c>
      <c r="G49" s="3377">
        <v>2012</v>
      </c>
      <c r="H49" s="3377">
        <v>2013</v>
      </c>
      <c r="I49" s="3377">
        <v>2014</v>
      </c>
      <c r="J49" s="3371" t="s">
        <v>1090</v>
      </c>
      <c r="K49" s="3372" t="s">
        <v>151</v>
      </c>
      <c r="M49" s="230"/>
      <c r="N49" s="230"/>
      <c r="O49" s="230"/>
      <c r="P49" s="230"/>
      <c r="Q49" s="230"/>
      <c r="R49" s="230"/>
    </row>
    <row r="50" spans="1:18" ht="15.6">
      <c r="A50" s="3387" t="s">
        <v>1091</v>
      </c>
      <c r="B50" s="3388">
        <v>637</v>
      </c>
      <c r="C50" s="3388">
        <v>712</v>
      </c>
      <c r="D50" s="3388">
        <v>700</v>
      </c>
      <c r="E50" s="3388">
        <v>671</v>
      </c>
      <c r="F50" s="3389">
        <v>710</v>
      </c>
      <c r="G50" s="3389">
        <v>760</v>
      </c>
      <c r="H50" s="3389">
        <v>817</v>
      </c>
      <c r="I50" s="3389">
        <v>602</v>
      </c>
      <c r="J50" s="3388">
        <f>SUM(F50:I50)</f>
        <v>2889</v>
      </c>
      <c r="K50" s="6009">
        <f>+J51/J50</f>
        <v>1.691588785046729</v>
      </c>
      <c r="M50" s="230"/>
      <c r="N50" s="230"/>
      <c r="O50" s="230"/>
      <c r="P50" s="230"/>
      <c r="Q50" s="230"/>
      <c r="R50" s="230"/>
    </row>
    <row r="51" spans="1:18" ht="15.6">
      <c r="A51" s="3390" t="s">
        <v>150</v>
      </c>
      <c r="B51" s="3391">
        <v>4784</v>
      </c>
      <c r="C51" s="3391">
        <v>5191</v>
      </c>
      <c r="D51" s="3391">
        <v>3759</v>
      </c>
      <c r="E51" s="3391">
        <v>2844</v>
      </c>
      <c r="F51" s="3392">
        <v>2504</v>
      </c>
      <c r="G51" s="3392">
        <v>1504</v>
      </c>
      <c r="H51" s="3392">
        <v>606</v>
      </c>
      <c r="I51" s="3392">
        <v>273</v>
      </c>
      <c r="J51" s="3391">
        <f>SUM(F51:I51)</f>
        <v>4887</v>
      </c>
      <c r="K51" s="6010"/>
      <c r="M51" s="230"/>
      <c r="N51" s="230"/>
      <c r="O51" s="230"/>
      <c r="P51" s="230"/>
      <c r="Q51" s="230"/>
      <c r="R51" s="230"/>
    </row>
    <row r="52" spans="1:18" ht="15.6">
      <c r="A52" s="312" t="s">
        <v>1092</v>
      </c>
      <c r="B52" s="313"/>
      <c r="C52" s="313"/>
      <c r="D52" s="313"/>
      <c r="E52" s="313"/>
      <c r="F52" s="313"/>
      <c r="G52" s="313"/>
      <c r="H52" s="313"/>
      <c r="I52" s="313"/>
      <c r="J52" s="313"/>
      <c r="K52" s="230"/>
      <c r="L52" s="230"/>
      <c r="M52" s="230"/>
      <c r="N52" s="230"/>
      <c r="O52" s="230"/>
      <c r="P52" s="230"/>
      <c r="Q52" s="230"/>
      <c r="R52" s="230"/>
    </row>
    <row r="53" spans="1:18" ht="15.6">
      <c r="A53" s="229"/>
      <c r="B53" s="229"/>
      <c r="C53" s="229"/>
      <c r="D53" s="229"/>
      <c r="F53" s="230"/>
      <c r="G53" s="230"/>
      <c r="H53" s="230"/>
      <c r="I53" s="230"/>
      <c r="J53" s="230"/>
      <c r="K53" s="230"/>
      <c r="L53" s="230"/>
      <c r="M53" s="230"/>
      <c r="N53" s="230"/>
      <c r="O53" s="230"/>
      <c r="P53" s="230"/>
      <c r="Q53" s="230"/>
      <c r="R53" s="230"/>
    </row>
    <row r="54" spans="1:18" ht="15.6">
      <c r="A54" s="148">
        <v>2013</v>
      </c>
      <c r="B54" s="229"/>
      <c r="C54" s="229"/>
      <c r="D54" s="229"/>
      <c r="F54" s="230"/>
      <c r="G54" s="230"/>
      <c r="H54" s="230"/>
      <c r="I54" s="230"/>
      <c r="J54" s="230"/>
      <c r="K54" s="230"/>
      <c r="L54" s="230"/>
      <c r="M54" s="230"/>
      <c r="N54" s="230"/>
      <c r="O54" s="230"/>
      <c r="P54" s="230"/>
      <c r="Q54" s="230"/>
      <c r="R54" s="230"/>
    </row>
    <row r="55" spans="1:18" ht="15.6">
      <c r="A55" s="1765" t="s">
        <v>686</v>
      </c>
      <c r="B55" s="229"/>
      <c r="C55" s="229"/>
      <c r="D55" s="229"/>
      <c r="F55" s="230"/>
      <c r="G55" s="230"/>
      <c r="H55" s="230"/>
      <c r="I55" s="230"/>
      <c r="J55" s="230"/>
      <c r="K55" s="230"/>
      <c r="L55" s="230"/>
      <c r="M55" s="230"/>
      <c r="N55" s="230"/>
      <c r="O55" s="230"/>
      <c r="P55" s="230"/>
      <c r="Q55" s="230"/>
      <c r="R55" s="230"/>
    </row>
    <row r="56" spans="1:18" ht="15.6">
      <c r="A56" s="314" t="s">
        <v>147</v>
      </c>
      <c r="B56" s="314" t="s">
        <v>149</v>
      </c>
      <c r="C56" s="314" t="s">
        <v>150</v>
      </c>
      <c r="D56" s="314" t="s">
        <v>151</v>
      </c>
      <c r="F56" s="230"/>
      <c r="G56" s="230"/>
      <c r="H56" s="230"/>
      <c r="I56" s="230"/>
      <c r="J56" s="230"/>
      <c r="K56" s="230"/>
      <c r="L56" s="230"/>
      <c r="M56" s="230"/>
      <c r="N56" s="230"/>
      <c r="O56" s="230"/>
      <c r="P56" s="230"/>
      <c r="Q56" s="230"/>
      <c r="R56" s="230"/>
    </row>
    <row r="57" spans="1:18" ht="15.6">
      <c r="A57" s="1" t="s">
        <v>152</v>
      </c>
      <c r="B57" s="151">
        <v>31782</v>
      </c>
      <c r="C57" s="151">
        <v>119755</v>
      </c>
      <c r="D57" s="97">
        <v>3.8</v>
      </c>
      <c r="F57" s="230"/>
      <c r="G57" s="230"/>
      <c r="H57" s="230"/>
      <c r="I57" s="230"/>
      <c r="J57" s="230"/>
      <c r="K57" s="230"/>
      <c r="L57" s="230"/>
      <c r="M57" s="230"/>
      <c r="N57" s="230"/>
      <c r="O57" s="230"/>
      <c r="P57" s="230"/>
      <c r="Q57" s="230"/>
      <c r="R57" s="230"/>
    </row>
    <row r="58" spans="1:18" ht="15.6">
      <c r="A58" s="1" t="s">
        <v>687</v>
      </c>
      <c r="B58" s="151">
        <v>8985</v>
      </c>
      <c r="C58" s="151">
        <v>32182</v>
      </c>
      <c r="D58" s="97">
        <v>3.6</v>
      </c>
      <c r="E58" s="315"/>
      <c r="F58" s="230"/>
      <c r="G58" s="230"/>
      <c r="H58" s="230"/>
      <c r="I58" s="230"/>
      <c r="J58" s="230"/>
      <c r="K58" s="230"/>
      <c r="L58" s="230"/>
      <c r="M58" s="230"/>
      <c r="N58" s="230"/>
      <c r="O58" s="230"/>
      <c r="P58" s="230"/>
      <c r="Q58" s="230"/>
      <c r="R58" s="230"/>
    </row>
    <row r="59" spans="1:18" ht="15.6">
      <c r="A59" s="1" t="s">
        <v>429</v>
      </c>
      <c r="B59" s="151">
        <v>6893</v>
      </c>
      <c r="C59" s="151">
        <v>13523</v>
      </c>
      <c r="D59" s="97">
        <v>2</v>
      </c>
      <c r="E59" s="315"/>
      <c r="F59" s="230"/>
      <c r="G59" s="230"/>
      <c r="H59" s="230"/>
      <c r="I59" s="230"/>
      <c r="J59" s="230"/>
      <c r="K59" s="230"/>
      <c r="L59" s="230"/>
      <c r="M59" s="230"/>
      <c r="N59" s="230"/>
      <c r="O59" s="230"/>
      <c r="P59" s="230"/>
      <c r="Q59" s="230"/>
      <c r="R59" s="230"/>
    </row>
    <row r="60" spans="1:18" ht="15.6">
      <c r="A60" s="152" t="s">
        <v>95</v>
      </c>
      <c r="B60" s="153">
        <v>5600</v>
      </c>
      <c r="C60" s="153">
        <v>12001</v>
      </c>
      <c r="D60" s="154">
        <v>2.1</v>
      </c>
      <c r="E60" s="315"/>
      <c r="F60" s="230"/>
      <c r="G60" s="230"/>
      <c r="H60" s="230"/>
      <c r="I60" s="230"/>
      <c r="J60" s="230"/>
      <c r="K60" s="230"/>
      <c r="L60" s="230"/>
      <c r="M60" s="230"/>
      <c r="N60" s="230"/>
      <c r="O60" s="230"/>
      <c r="P60" s="230"/>
      <c r="Q60" s="230"/>
      <c r="R60" s="230"/>
    </row>
    <row r="61" spans="1:18" ht="15.6">
      <c r="A61" s="1" t="s">
        <v>155</v>
      </c>
      <c r="B61" s="151">
        <v>4803</v>
      </c>
      <c r="C61" s="151">
        <v>15225</v>
      </c>
      <c r="D61" s="97">
        <v>3.2</v>
      </c>
      <c r="E61" s="315"/>
      <c r="F61" s="230"/>
      <c r="G61" s="230"/>
      <c r="H61" s="230"/>
      <c r="I61" s="230"/>
      <c r="J61" s="230"/>
      <c r="K61" s="230"/>
      <c r="L61" s="230"/>
      <c r="M61" s="230"/>
      <c r="N61" s="230"/>
      <c r="O61" s="230"/>
      <c r="P61" s="230"/>
      <c r="Q61" s="230"/>
      <c r="R61" s="230"/>
    </row>
    <row r="62" spans="1:18" ht="15.6">
      <c r="A62" s="1" t="s">
        <v>688</v>
      </c>
      <c r="B62" s="151">
        <v>2152</v>
      </c>
      <c r="C62" s="151">
        <v>9557</v>
      </c>
      <c r="D62" s="97">
        <v>4.4000000000000004</v>
      </c>
      <c r="E62" s="315"/>
      <c r="F62" s="230"/>
      <c r="G62" s="230"/>
      <c r="H62" s="230"/>
      <c r="I62" s="230"/>
      <c r="J62" s="230"/>
      <c r="K62" s="230"/>
      <c r="L62" s="230"/>
      <c r="M62" s="230"/>
      <c r="N62" s="230"/>
      <c r="O62" s="230"/>
      <c r="P62" s="230"/>
      <c r="Q62" s="230"/>
      <c r="R62" s="230"/>
    </row>
    <row r="63" spans="1:18" ht="15.6">
      <c r="A63" s="1" t="s">
        <v>690</v>
      </c>
      <c r="B63" s="151">
        <v>1717</v>
      </c>
      <c r="C63" s="151">
        <v>7633</v>
      </c>
      <c r="D63" s="97">
        <v>4.4000000000000004</v>
      </c>
      <c r="E63" s="315"/>
      <c r="F63" s="230"/>
      <c r="G63" s="230"/>
      <c r="H63" s="230"/>
      <c r="I63" s="230"/>
      <c r="J63" s="230"/>
      <c r="K63" s="230"/>
      <c r="L63" s="230"/>
      <c r="M63" s="230"/>
      <c r="N63" s="230"/>
      <c r="O63" s="230"/>
      <c r="P63" s="230"/>
      <c r="Q63" s="230"/>
      <c r="R63" s="230"/>
    </row>
    <row r="64" spans="1:18" ht="15.6">
      <c r="A64" s="1" t="s">
        <v>689</v>
      </c>
      <c r="B64" s="151">
        <v>3105</v>
      </c>
      <c r="C64" s="151">
        <v>4905</v>
      </c>
      <c r="D64" s="97">
        <v>1.6</v>
      </c>
      <c r="E64" s="315"/>
      <c r="F64" s="230"/>
      <c r="G64" s="230"/>
      <c r="H64" s="230"/>
      <c r="I64" s="230"/>
      <c r="J64" s="230"/>
      <c r="K64" s="230"/>
      <c r="L64" s="230"/>
      <c r="M64" s="230"/>
      <c r="N64" s="230"/>
      <c r="O64" s="230"/>
      <c r="P64" s="230"/>
      <c r="Q64" s="230"/>
      <c r="R64" s="230"/>
    </row>
    <row r="65" spans="1:18" ht="15.6">
      <c r="A65" s="1" t="s">
        <v>328</v>
      </c>
      <c r="B65" s="151">
        <v>2512</v>
      </c>
      <c r="C65" s="151">
        <v>4652</v>
      </c>
      <c r="D65" s="97">
        <v>1.9</v>
      </c>
      <c r="E65" s="315"/>
      <c r="F65" s="230"/>
      <c r="G65" s="230"/>
      <c r="H65" s="230"/>
      <c r="I65" s="230"/>
      <c r="J65" s="230"/>
      <c r="K65" s="230"/>
      <c r="L65" s="230"/>
      <c r="M65" s="230"/>
      <c r="N65" s="230"/>
      <c r="O65" s="230"/>
      <c r="P65" s="230"/>
      <c r="Q65" s="230"/>
      <c r="R65" s="230"/>
    </row>
    <row r="66" spans="1:18" ht="15.6">
      <c r="A66" s="155" t="s">
        <v>338</v>
      </c>
      <c r="B66" s="156">
        <v>1962</v>
      </c>
      <c r="C66" s="156">
        <v>5576</v>
      </c>
      <c r="D66" s="157">
        <v>2.8</v>
      </c>
      <c r="E66" s="315"/>
      <c r="F66" s="230"/>
      <c r="G66" s="230"/>
      <c r="H66" s="230"/>
      <c r="I66" s="230"/>
      <c r="J66" s="230"/>
      <c r="K66" s="230"/>
      <c r="L66" s="230"/>
      <c r="M66" s="230"/>
      <c r="N66" s="230"/>
      <c r="O66" s="230"/>
      <c r="P66" s="230"/>
      <c r="Q66" s="230"/>
      <c r="R66" s="230"/>
    </row>
    <row r="67" spans="1:18" ht="15.6">
      <c r="A67" s="44" t="s">
        <v>684</v>
      </c>
      <c r="B67" s="46"/>
      <c r="C67" s="46"/>
      <c r="D67" s="46"/>
      <c r="E67" s="315"/>
      <c r="F67" s="230"/>
      <c r="G67" s="230"/>
      <c r="H67" s="230"/>
      <c r="I67" s="230"/>
      <c r="J67" s="230"/>
      <c r="K67" s="230"/>
      <c r="L67" s="230"/>
      <c r="M67" s="230"/>
      <c r="N67" s="230"/>
      <c r="O67" s="230"/>
      <c r="P67" s="230"/>
      <c r="Q67" s="230"/>
      <c r="R67" s="230"/>
    </row>
    <row r="68" spans="1:18" ht="15.6">
      <c r="A68" s="44" t="s">
        <v>685</v>
      </c>
      <c r="B68" s="46"/>
      <c r="C68" s="46"/>
      <c r="D68" s="46"/>
      <c r="F68" s="230"/>
      <c r="G68" s="230"/>
      <c r="H68" s="230"/>
      <c r="I68" s="230"/>
      <c r="J68" s="230"/>
      <c r="K68" s="230"/>
      <c r="L68" s="230"/>
      <c r="M68" s="230"/>
      <c r="N68" s="230"/>
      <c r="O68" s="230"/>
      <c r="P68" s="230"/>
      <c r="Q68" s="230"/>
      <c r="R68" s="230"/>
    </row>
    <row r="69" spans="1:18" ht="15.6">
      <c r="A69" s="229"/>
      <c r="B69" s="229"/>
      <c r="C69" s="229"/>
      <c r="D69" s="229"/>
      <c r="F69" s="230"/>
      <c r="G69" s="230"/>
      <c r="H69" s="230"/>
      <c r="I69" s="230"/>
      <c r="J69" s="230"/>
      <c r="K69" s="230"/>
      <c r="L69" s="230"/>
      <c r="M69" s="230"/>
      <c r="N69" s="230"/>
      <c r="O69" s="230"/>
      <c r="P69" s="230"/>
      <c r="Q69" s="230"/>
      <c r="R69" s="230"/>
    </row>
    <row r="70" spans="1:18" ht="15.6">
      <c r="A70" s="148">
        <v>2012</v>
      </c>
      <c r="B70" s="229"/>
      <c r="C70" s="229"/>
      <c r="D70" s="229"/>
      <c r="F70" s="230"/>
      <c r="G70" s="230"/>
      <c r="H70" s="230"/>
      <c r="I70" s="230"/>
      <c r="J70" s="230"/>
      <c r="K70" s="230"/>
      <c r="L70" s="230"/>
      <c r="M70" s="230"/>
      <c r="N70" s="230"/>
      <c r="O70" s="230"/>
      <c r="P70" s="230"/>
      <c r="Q70" s="230"/>
      <c r="R70" s="230"/>
    </row>
    <row r="71" spans="1:18" ht="27.6">
      <c r="A71" s="1766" t="s">
        <v>608</v>
      </c>
      <c r="B71" s="1767"/>
      <c r="C71" s="1767"/>
      <c r="D71" s="1767"/>
      <c r="F71" s="230"/>
      <c r="G71" s="230"/>
      <c r="H71" s="230"/>
      <c r="I71" s="230"/>
      <c r="J71" s="230"/>
      <c r="K71" s="230"/>
      <c r="L71" s="230"/>
      <c r="M71" s="230"/>
      <c r="N71" s="230"/>
      <c r="O71" s="230"/>
      <c r="P71" s="230"/>
      <c r="Q71" s="230"/>
      <c r="R71" s="230"/>
    </row>
    <row r="72" spans="1:18" ht="15.75" customHeight="1">
      <c r="A72" s="116" t="s">
        <v>147</v>
      </c>
      <c r="B72" s="116" t="s">
        <v>149</v>
      </c>
      <c r="C72" s="116" t="s">
        <v>150</v>
      </c>
      <c r="D72" s="116" t="s">
        <v>151</v>
      </c>
      <c r="F72" s="230"/>
      <c r="G72" s="230"/>
      <c r="H72" s="230"/>
      <c r="I72" s="230"/>
      <c r="J72" s="230"/>
      <c r="K72" s="230"/>
      <c r="L72" s="230"/>
      <c r="M72" s="230"/>
      <c r="N72" s="230"/>
      <c r="O72" s="230"/>
      <c r="P72" s="230"/>
      <c r="Q72" s="230"/>
      <c r="R72" s="230"/>
    </row>
    <row r="73" spans="1:18" ht="15.6">
      <c r="A73" s="49" t="s">
        <v>152</v>
      </c>
      <c r="B73" s="117">
        <v>53628.9</v>
      </c>
      <c r="C73" s="117">
        <v>370852.7</v>
      </c>
      <c r="D73" s="118">
        <v>6.9151651441666715</v>
      </c>
      <c r="F73" s="230"/>
      <c r="G73" s="230"/>
      <c r="H73" s="230"/>
      <c r="I73" s="230"/>
      <c r="J73" s="230"/>
      <c r="K73" s="230"/>
      <c r="L73" s="230"/>
      <c r="M73" s="230"/>
      <c r="N73" s="230"/>
      <c r="O73" s="230"/>
      <c r="P73" s="230"/>
      <c r="Q73" s="230"/>
      <c r="R73" s="230"/>
    </row>
    <row r="74" spans="1:18" ht="15.6">
      <c r="A74" s="49" t="s">
        <v>428</v>
      </c>
      <c r="B74" s="117">
        <v>15894.599999999999</v>
      </c>
      <c r="C74" s="117">
        <v>102121.9</v>
      </c>
      <c r="D74" s="118">
        <v>6.4249430624237167</v>
      </c>
      <c r="F74" s="230"/>
      <c r="G74" s="230"/>
      <c r="H74" s="230"/>
      <c r="I74" s="230"/>
      <c r="J74" s="230"/>
      <c r="K74" s="230"/>
      <c r="L74" s="230"/>
      <c r="M74" s="230"/>
      <c r="N74" s="230"/>
      <c r="O74" s="230"/>
      <c r="P74" s="230"/>
      <c r="Q74" s="230"/>
      <c r="R74" s="230"/>
    </row>
    <row r="75" spans="1:18" ht="15.6">
      <c r="A75" s="49" t="s">
        <v>429</v>
      </c>
      <c r="B75" s="117">
        <v>11669.3</v>
      </c>
      <c r="C75" s="117">
        <v>42800.149999999994</v>
      </c>
      <c r="D75" s="118">
        <v>3.6677564206936144</v>
      </c>
      <c r="F75" s="230"/>
      <c r="G75" s="230"/>
      <c r="H75" s="230"/>
      <c r="I75" s="230"/>
      <c r="J75" s="230"/>
      <c r="K75" s="230"/>
      <c r="L75" s="230"/>
      <c r="M75" s="230"/>
      <c r="N75" s="230"/>
      <c r="O75" s="230"/>
      <c r="P75" s="230"/>
      <c r="Q75" s="230"/>
      <c r="R75" s="230"/>
    </row>
    <row r="76" spans="1:18" ht="15.6">
      <c r="A76" s="146" t="s">
        <v>95</v>
      </c>
      <c r="B76" s="119">
        <v>9126.2999999999993</v>
      </c>
      <c r="C76" s="119">
        <v>39857.1</v>
      </c>
      <c r="D76" s="120">
        <v>4.3672791821439141</v>
      </c>
      <c r="F76" s="230"/>
      <c r="G76" s="230"/>
      <c r="H76" s="230"/>
      <c r="I76" s="230"/>
      <c r="J76" s="230"/>
      <c r="K76" s="230"/>
      <c r="L76" s="230"/>
      <c r="M76" s="230"/>
      <c r="N76" s="230"/>
      <c r="O76" s="230"/>
      <c r="P76" s="230"/>
      <c r="Q76" s="230"/>
      <c r="R76" s="230"/>
    </row>
    <row r="77" spans="1:18" ht="15.6">
      <c r="A77" s="49" t="s">
        <v>430</v>
      </c>
      <c r="B77" s="117">
        <v>8468.2999999999993</v>
      </c>
      <c r="C77" s="117">
        <v>46751.399999999994</v>
      </c>
      <c r="D77" s="118">
        <v>5.5207538703163559</v>
      </c>
      <c r="F77" s="230"/>
      <c r="G77" s="230"/>
      <c r="H77" s="230"/>
      <c r="I77" s="230"/>
      <c r="J77" s="230"/>
      <c r="K77" s="230"/>
      <c r="L77" s="230"/>
      <c r="M77" s="230"/>
      <c r="N77" s="230"/>
      <c r="O77" s="230"/>
      <c r="P77" s="230"/>
      <c r="Q77" s="230"/>
      <c r="R77" s="230"/>
    </row>
    <row r="78" spans="1:18" ht="15.6">
      <c r="A78" s="26" t="s">
        <v>431</v>
      </c>
      <c r="B78" s="117">
        <v>4163</v>
      </c>
      <c r="C78" s="117">
        <v>32192.392857142855</v>
      </c>
      <c r="D78" s="118">
        <v>7.7329793075048894</v>
      </c>
      <c r="F78" s="230"/>
      <c r="G78" s="230"/>
      <c r="H78" s="230"/>
      <c r="I78" s="230"/>
      <c r="J78" s="230"/>
      <c r="K78" s="230"/>
      <c r="L78" s="230"/>
      <c r="M78" s="230"/>
      <c r="N78" s="230"/>
      <c r="O78" s="230"/>
      <c r="P78" s="230"/>
      <c r="Q78" s="230"/>
      <c r="R78" s="230"/>
    </row>
    <row r="79" spans="1:18" ht="15.6">
      <c r="A79" s="49" t="s">
        <v>96</v>
      </c>
      <c r="B79" s="117">
        <v>4737.5</v>
      </c>
      <c r="C79" s="117">
        <v>16243.8</v>
      </c>
      <c r="D79" s="118">
        <v>3.4287704485488124</v>
      </c>
      <c r="F79" s="230"/>
      <c r="G79" s="230"/>
      <c r="H79" s="230"/>
      <c r="I79" s="230"/>
      <c r="J79" s="230"/>
      <c r="K79" s="230"/>
      <c r="L79" s="230"/>
      <c r="M79" s="230"/>
      <c r="N79" s="230"/>
      <c r="O79" s="230"/>
      <c r="P79" s="230"/>
      <c r="Q79" s="230"/>
      <c r="R79" s="230"/>
    </row>
    <row r="80" spans="1:18" ht="15.6">
      <c r="A80" s="49" t="s">
        <v>432</v>
      </c>
      <c r="B80" s="117">
        <v>4118.6000000000004</v>
      </c>
      <c r="C80" s="117">
        <v>22119.75</v>
      </c>
      <c r="D80" s="118">
        <v>5.3706963531297038</v>
      </c>
      <c r="F80" s="230"/>
      <c r="G80" s="230"/>
      <c r="H80" s="230"/>
      <c r="I80" s="230"/>
      <c r="J80" s="230"/>
      <c r="K80" s="230"/>
      <c r="L80" s="230"/>
      <c r="M80" s="230"/>
      <c r="N80" s="230"/>
      <c r="O80" s="230"/>
      <c r="P80" s="230"/>
      <c r="Q80" s="230"/>
      <c r="R80" s="230"/>
    </row>
    <row r="81" spans="1:18" ht="15.6">
      <c r="A81" s="49" t="s">
        <v>433</v>
      </c>
      <c r="B81" s="117">
        <v>6599</v>
      </c>
      <c r="C81" s="117">
        <v>16513</v>
      </c>
      <c r="D81" s="118">
        <v>2.5023488407334447</v>
      </c>
      <c r="F81" s="230"/>
      <c r="G81" s="230"/>
      <c r="H81" s="230"/>
      <c r="I81" s="230"/>
      <c r="J81" s="230"/>
      <c r="K81" s="230"/>
      <c r="L81" s="230"/>
      <c r="M81" s="230"/>
      <c r="N81" s="230"/>
      <c r="O81" s="230"/>
      <c r="P81" s="230"/>
      <c r="Q81" s="230"/>
      <c r="R81" s="230"/>
    </row>
    <row r="82" spans="1:18" ht="15.6">
      <c r="A82" s="49" t="s">
        <v>434</v>
      </c>
      <c r="B82" s="117">
        <v>3943.1000000000004</v>
      </c>
      <c r="C82" s="117">
        <v>17636.7</v>
      </c>
      <c r="D82" s="118">
        <v>4.472800588369557</v>
      </c>
      <c r="F82" s="230"/>
      <c r="G82" s="230"/>
      <c r="H82" s="230"/>
      <c r="I82" s="230"/>
      <c r="J82" s="230"/>
      <c r="K82" s="230"/>
      <c r="L82" s="230"/>
      <c r="M82" s="230"/>
      <c r="N82" s="230"/>
      <c r="O82" s="230"/>
      <c r="P82" s="230"/>
      <c r="Q82" s="230"/>
      <c r="R82" s="230"/>
    </row>
    <row r="83" spans="1:18" ht="15.6">
      <c r="A83" s="49" t="s">
        <v>157</v>
      </c>
      <c r="B83" s="117">
        <v>3872.6000000000004</v>
      </c>
      <c r="C83" s="117">
        <v>13230.45</v>
      </c>
      <c r="D83" s="118">
        <v>3.4164256571812217</v>
      </c>
      <c r="F83" s="230"/>
      <c r="G83" s="230"/>
      <c r="H83" s="230"/>
      <c r="I83" s="230"/>
      <c r="J83" s="230"/>
      <c r="K83" s="230"/>
      <c r="L83" s="230"/>
      <c r="M83" s="230"/>
      <c r="N83" s="230"/>
      <c r="O83" s="230"/>
      <c r="P83" s="230"/>
      <c r="Q83" s="230"/>
      <c r="R83" s="230"/>
    </row>
    <row r="84" spans="1:18" ht="15.6">
      <c r="A84" s="49" t="s">
        <v>156</v>
      </c>
      <c r="B84" s="117">
        <v>3553.3999999999996</v>
      </c>
      <c r="C84" s="117">
        <v>26513.949999999997</v>
      </c>
      <c r="D84" s="118">
        <v>7.4615720155344176</v>
      </c>
      <c r="F84" s="230"/>
      <c r="G84" s="230"/>
      <c r="H84" s="230"/>
      <c r="I84" s="230"/>
      <c r="J84" s="230"/>
      <c r="K84" s="230"/>
      <c r="L84" s="230"/>
      <c r="M84" s="230"/>
      <c r="N84" s="230"/>
      <c r="O84" s="230"/>
      <c r="P84" s="230"/>
      <c r="Q84" s="230"/>
      <c r="R84" s="230"/>
    </row>
    <row r="85" spans="1:18" ht="15.6">
      <c r="A85" s="49" t="s">
        <v>593</v>
      </c>
      <c r="B85" s="117">
        <v>5596.4</v>
      </c>
      <c r="C85" s="117">
        <v>43761.65</v>
      </c>
      <c r="D85" s="118">
        <v>7.8196072475162612</v>
      </c>
      <c r="F85" s="230"/>
      <c r="G85" s="230"/>
      <c r="H85" s="230"/>
      <c r="I85" s="230"/>
      <c r="J85" s="230"/>
      <c r="K85" s="230"/>
      <c r="L85" s="230"/>
      <c r="M85" s="230"/>
      <c r="N85" s="230"/>
      <c r="O85" s="230"/>
      <c r="P85" s="230"/>
      <c r="Q85" s="230"/>
      <c r="R85" s="230"/>
    </row>
    <row r="86" spans="1:18" ht="15.6">
      <c r="A86" s="49" t="s">
        <v>338</v>
      </c>
      <c r="B86" s="117">
        <v>3054.6000000000004</v>
      </c>
      <c r="C86" s="117">
        <v>14570.7</v>
      </c>
      <c r="D86" s="118">
        <v>4.7700844627774499</v>
      </c>
      <c r="F86" s="230"/>
      <c r="G86" s="230"/>
      <c r="H86" s="230"/>
      <c r="I86" s="230"/>
      <c r="J86" s="230"/>
      <c r="K86" s="230"/>
      <c r="L86" s="230"/>
      <c r="M86" s="230"/>
      <c r="N86" s="230"/>
      <c r="O86" s="230"/>
      <c r="P86" s="230"/>
      <c r="Q86" s="230"/>
      <c r="R86" s="230"/>
    </row>
    <row r="87" spans="1:18" ht="15.6">
      <c r="A87" s="49" t="s">
        <v>337</v>
      </c>
      <c r="B87" s="117">
        <v>2778</v>
      </c>
      <c r="C87" s="117">
        <v>13136.099999999999</v>
      </c>
      <c r="D87" s="118">
        <v>4.7286177105831531</v>
      </c>
      <c r="F87" s="230"/>
      <c r="G87" s="230"/>
      <c r="H87" s="230"/>
      <c r="I87" s="230"/>
      <c r="J87" s="230"/>
      <c r="K87" s="230"/>
      <c r="L87" s="230"/>
      <c r="M87" s="230"/>
      <c r="N87" s="230"/>
      <c r="O87" s="230"/>
      <c r="P87" s="230"/>
      <c r="Q87" s="230"/>
      <c r="R87" s="230"/>
    </row>
    <row r="88" spans="1:18" ht="15.6">
      <c r="A88" s="49" t="s">
        <v>594</v>
      </c>
      <c r="B88" s="117">
        <v>2628.3</v>
      </c>
      <c r="C88" s="117">
        <v>11625.400000000001</v>
      </c>
      <c r="D88" s="118">
        <v>4.4231632614237339</v>
      </c>
      <c r="F88" s="230"/>
      <c r="G88" s="230"/>
      <c r="H88" s="230"/>
      <c r="I88" s="230"/>
      <c r="J88" s="230"/>
      <c r="K88" s="230"/>
      <c r="L88" s="230"/>
      <c r="M88" s="230"/>
      <c r="N88" s="230"/>
      <c r="O88" s="230"/>
      <c r="P88" s="230"/>
      <c r="Q88" s="230"/>
      <c r="R88" s="230"/>
    </row>
    <row r="89" spans="1:18" ht="15.6">
      <c r="A89" s="49" t="s">
        <v>335</v>
      </c>
      <c r="B89" s="117">
        <v>2721.2</v>
      </c>
      <c r="C89" s="117">
        <v>7758.7000000000007</v>
      </c>
      <c r="D89" s="118">
        <v>2.8512053505806265</v>
      </c>
      <c r="F89" s="230"/>
      <c r="G89" s="230"/>
      <c r="H89" s="230"/>
      <c r="I89" s="230"/>
      <c r="J89" s="230"/>
      <c r="K89" s="230"/>
      <c r="L89" s="230"/>
      <c r="M89" s="230"/>
      <c r="N89" s="230"/>
      <c r="O89" s="230"/>
      <c r="P89" s="230"/>
      <c r="Q89" s="230"/>
      <c r="R89" s="230"/>
    </row>
    <row r="90" spans="1:18" ht="15.6">
      <c r="A90" s="49" t="s">
        <v>595</v>
      </c>
      <c r="B90" s="117">
        <v>2544.5714285714284</v>
      </c>
      <c r="C90" s="117">
        <v>20434.035714285714</v>
      </c>
      <c r="D90" s="118">
        <v>8.0304429598023805</v>
      </c>
      <c r="F90" s="230"/>
      <c r="G90" s="230"/>
      <c r="H90" s="230"/>
      <c r="I90" s="230"/>
      <c r="J90" s="230"/>
      <c r="K90" s="230"/>
      <c r="L90" s="230"/>
      <c r="M90" s="230"/>
      <c r="N90" s="230"/>
      <c r="O90" s="230"/>
      <c r="P90" s="230"/>
      <c r="Q90" s="230"/>
      <c r="R90" s="230"/>
    </row>
    <row r="91" spans="1:18" ht="15.6">
      <c r="A91" s="49" t="s">
        <v>596</v>
      </c>
      <c r="B91" s="117">
        <v>2562.6</v>
      </c>
      <c r="C91" s="117">
        <v>11322.95</v>
      </c>
      <c r="D91" s="118">
        <v>4.4185397643018813</v>
      </c>
      <c r="F91" s="230"/>
      <c r="G91" s="230"/>
      <c r="H91" s="230"/>
      <c r="I91" s="230"/>
      <c r="J91" s="230"/>
      <c r="K91" s="230"/>
      <c r="L91" s="230"/>
      <c r="M91" s="230"/>
      <c r="N91" s="230"/>
      <c r="O91" s="230"/>
      <c r="P91" s="230"/>
      <c r="Q91" s="230"/>
      <c r="R91" s="230"/>
    </row>
    <row r="92" spans="1:18" ht="15.6">
      <c r="A92" s="49" t="s">
        <v>336</v>
      </c>
      <c r="B92" s="117">
        <v>2580.3000000000002</v>
      </c>
      <c r="C92" s="117">
        <v>12988.099999999999</v>
      </c>
      <c r="D92" s="118">
        <v>5.0335619889160164</v>
      </c>
      <c r="F92" s="230"/>
      <c r="G92" s="230"/>
      <c r="H92" s="230"/>
      <c r="I92" s="230"/>
      <c r="J92" s="230"/>
      <c r="K92" s="230"/>
      <c r="L92" s="230"/>
      <c r="M92" s="230"/>
      <c r="N92" s="230"/>
      <c r="O92" s="230"/>
      <c r="P92" s="230"/>
      <c r="Q92" s="230"/>
      <c r="R92" s="230"/>
    </row>
    <row r="93" spans="1:18" ht="15.6">
      <c r="A93" s="49" t="s">
        <v>597</v>
      </c>
      <c r="B93" s="117">
        <v>1774.8</v>
      </c>
      <c r="C93" s="117">
        <v>11321.5</v>
      </c>
      <c r="D93" s="118">
        <v>6.3790286229434301</v>
      </c>
      <c r="F93" s="230"/>
      <c r="G93" s="230"/>
      <c r="H93" s="230"/>
      <c r="I93" s="230"/>
      <c r="J93" s="230"/>
      <c r="K93" s="230"/>
      <c r="L93" s="230"/>
      <c r="M93" s="230"/>
      <c r="N93" s="230"/>
      <c r="O93" s="230"/>
      <c r="P93" s="230"/>
      <c r="Q93" s="230"/>
      <c r="R93" s="230"/>
    </row>
    <row r="94" spans="1:18" ht="15.6">
      <c r="A94" s="49" t="s">
        <v>598</v>
      </c>
      <c r="B94" s="117">
        <v>2088.8000000000002</v>
      </c>
      <c r="C94" s="117">
        <v>10138.700000000001</v>
      </c>
      <c r="D94" s="118">
        <v>4.8538395250861734</v>
      </c>
      <c r="F94" s="230"/>
      <c r="G94" s="230"/>
      <c r="H94" s="230"/>
      <c r="I94" s="230"/>
      <c r="J94" s="230"/>
      <c r="K94" s="230"/>
      <c r="L94" s="230"/>
      <c r="M94" s="230"/>
      <c r="N94" s="230"/>
      <c r="O94" s="230"/>
      <c r="P94" s="230"/>
      <c r="Q94" s="230"/>
      <c r="R94" s="230"/>
    </row>
    <row r="95" spans="1:18" ht="15.6">
      <c r="A95" s="49" t="s">
        <v>599</v>
      </c>
      <c r="B95" s="117">
        <v>1972.4</v>
      </c>
      <c r="C95" s="117">
        <v>9162.7999999999993</v>
      </c>
      <c r="D95" s="118">
        <v>4.6455080105455275</v>
      </c>
      <c r="F95" s="230"/>
      <c r="G95" s="230"/>
      <c r="H95" s="230"/>
      <c r="I95" s="230"/>
      <c r="J95" s="230"/>
      <c r="K95" s="230"/>
      <c r="L95" s="230"/>
      <c r="M95" s="230"/>
      <c r="N95" s="230"/>
      <c r="O95" s="230"/>
      <c r="P95" s="230"/>
      <c r="Q95" s="230"/>
      <c r="R95" s="230"/>
    </row>
    <row r="96" spans="1:18" ht="15.6">
      <c r="A96" s="49" t="s">
        <v>600</v>
      </c>
      <c r="B96" s="117">
        <v>1969.5</v>
      </c>
      <c r="C96" s="117">
        <v>5843.85</v>
      </c>
      <c r="D96" s="118">
        <v>2.9671744097486674</v>
      </c>
      <c r="F96" s="230"/>
      <c r="G96" s="230"/>
      <c r="H96" s="230"/>
      <c r="I96" s="230"/>
      <c r="J96" s="230"/>
      <c r="K96" s="230"/>
      <c r="L96" s="230"/>
      <c r="M96" s="230"/>
      <c r="N96" s="230"/>
      <c r="O96" s="230"/>
      <c r="P96" s="230"/>
      <c r="Q96" s="230"/>
      <c r="R96" s="230"/>
    </row>
    <row r="97" spans="1:18" ht="15.6">
      <c r="A97" s="49" t="s">
        <v>601</v>
      </c>
      <c r="B97" s="117">
        <v>1846.3000000000002</v>
      </c>
      <c r="C97" s="117">
        <v>6494.6</v>
      </c>
      <c r="D97" s="118">
        <v>3.517629854303201</v>
      </c>
      <c r="F97" s="230"/>
      <c r="G97" s="230"/>
      <c r="H97" s="230"/>
      <c r="I97" s="230"/>
      <c r="J97" s="230"/>
      <c r="K97" s="230"/>
      <c r="L97" s="230"/>
      <c r="M97" s="230"/>
      <c r="N97" s="230"/>
      <c r="O97" s="230"/>
      <c r="P97" s="230"/>
      <c r="Q97" s="230"/>
      <c r="R97" s="230"/>
    </row>
    <row r="98" spans="1:18" ht="15.6">
      <c r="A98" s="49" t="s">
        <v>602</v>
      </c>
      <c r="B98" s="117">
        <v>1460.6</v>
      </c>
      <c r="C98" s="117">
        <v>5612.1</v>
      </c>
      <c r="D98" s="118">
        <v>3.8423250718882658</v>
      </c>
      <c r="F98" s="230"/>
      <c r="G98" s="230"/>
      <c r="H98" s="230"/>
      <c r="I98" s="230"/>
      <c r="J98" s="230"/>
      <c r="K98" s="230"/>
      <c r="L98" s="230"/>
      <c r="M98" s="230"/>
      <c r="N98" s="230"/>
      <c r="O98" s="230"/>
      <c r="P98" s="230"/>
      <c r="Q98" s="230"/>
      <c r="R98" s="230"/>
    </row>
    <row r="99" spans="1:18" ht="15.6">
      <c r="A99" s="49" t="s">
        <v>603</v>
      </c>
      <c r="B99" s="117">
        <v>1682.2857142857144</v>
      </c>
      <c r="C99" s="117">
        <v>16997.392857142855</v>
      </c>
      <c r="D99" s="118">
        <v>10.103749150815215</v>
      </c>
      <c r="F99" s="230"/>
      <c r="G99" s="230"/>
      <c r="H99" s="230"/>
      <c r="I99" s="230"/>
      <c r="J99" s="230"/>
      <c r="K99" s="230"/>
      <c r="L99" s="230"/>
      <c r="M99" s="230"/>
      <c r="N99" s="230"/>
      <c r="O99" s="230"/>
      <c r="P99" s="230"/>
      <c r="Q99" s="230"/>
      <c r="R99" s="230"/>
    </row>
    <row r="100" spans="1:18" ht="15.6">
      <c r="A100" s="26" t="s">
        <v>340</v>
      </c>
      <c r="B100" s="117">
        <v>2251.4285714285716</v>
      </c>
      <c r="C100" s="117">
        <v>4466</v>
      </c>
      <c r="D100" s="118">
        <v>1.9836294416243654</v>
      </c>
      <c r="F100" s="230"/>
      <c r="G100" s="230"/>
      <c r="H100" s="230"/>
      <c r="I100" s="230"/>
      <c r="J100" s="230"/>
      <c r="K100" s="230"/>
      <c r="L100" s="230"/>
      <c r="M100" s="230"/>
      <c r="N100" s="230"/>
      <c r="O100" s="230"/>
      <c r="P100" s="230"/>
      <c r="Q100" s="230"/>
      <c r="R100" s="230"/>
    </row>
    <row r="101" spans="1:18" ht="15.6">
      <c r="A101" s="121" t="s">
        <v>604</v>
      </c>
      <c r="B101" s="122">
        <v>1579.9</v>
      </c>
      <c r="C101" s="122">
        <v>8295.75</v>
      </c>
      <c r="D101" s="123">
        <v>5.2508070131020945</v>
      </c>
      <c r="F101" s="230"/>
      <c r="G101" s="230"/>
      <c r="H101" s="230"/>
      <c r="I101" s="230"/>
      <c r="J101" s="230"/>
      <c r="K101" s="230"/>
      <c r="L101" s="230"/>
      <c r="M101" s="230"/>
      <c r="N101" s="230"/>
      <c r="O101" s="230"/>
      <c r="P101" s="230"/>
      <c r="Q101" s="230"/>
      <c r="R101" s="230"/>
    </row>
    <row r="102" spans="1:18" ht="15.6">
      <c r="A102" s="113" t="s">
        <v>605</v>
      </c>
      <c r="B102" s="108"/>
      <c r="C102" s="109"/>
      <c r="D102" s="110"/>
      <c r="F102" s="230"/>
      <c r="G102" s="230"/>
      <c r="H102" s="230"/>
      <c r="I102" s="230"/>
      <c r="J102" s="230"/>
      <c r="K102" s="230"/>
      <c r="L102" s="230"/>
      <c r="M102" s="230"/>
      <c r="N102" s="230"/>
      <c r="O102" s="230"/>
      <c r="P102" s="230"/>
      <c r="Q102" s="230"/>
      <c r="R102" s="230"/>
    </row>
    <row r="103" spans="1:18" ht="15.6">
      <c r="A103" s="114" t="s">
        <v>606</v>
      </c>
      <c r="B103" s="108"/>
      <c r="C103" s="111"/>
      <c r="D103" s="110"/>
      <c r="F103" s="230"/>
      <c r="G103" s="230"/>
      <c r="H103" s="230"/>
      <c r="I103" s="230"/>
      <c r="J103" s="230"/>
      <c r="K103" s="230"/>
      <c r="L103" s="230"/>
      <c r="M103" s="230"/>
      <c r="N103" s="230"/>
      <c r="O103" s="230"/>
      <c r="P103" s="230"/>
      <c r="Q103" s="230"/>
      <c r="R103" s="230"/>
    </row>
    <row r="104" spans="1:18" ht="15.6">
      <c r="A104" s="115" t="s">
        <v>607</v>
      </c>
      <c r="B104" s="108"/>
      <c r="C104" s="112"/>
      <c r="D104" s="110"/>
      <c r="F104" s="230"/>
      <c r="G104" s="230"/>
      <c r="H104" s="230"/>
      <c r="I104" s="230"/>
      <c r="J104" s="230"/>
      <c r="K104" s="230"/>
      <c r="L104" s="230"/>
      <c r="M104" s="230"/>
      <c r="N104" s="230"/>
      <c r="O104" s="230"/>
      <c r="P104" s="230"/>
      <c r="Q104" s="230"/>
      <c r="R104" s="230"/>
    </row>
    <row r="105" spans="1:18" ht="15.6">
      <c r="F105" s="230"/>
      <c r="G105" s="230"/>
      <c r="H105" s="230"/>
      <c r="I105" s="230"/>
      <c r="J105" s="230"/>
      <c r="K105" s="230"/>
      <c r="L105" s="230"/>
      <c r="M105" s="230"/>
      <c r="N105" s="230"/>
      <c r="O105" s="230"/>
      <c r="P105" s="230"/>
      <c r="Q105" s="230"/>
      <c r="R105" s="230"/>
    </row>
    <row r="106" spans="1:18" ht="15.6">
      <c r="A106" s="147">
        <v>2011</v>
      </c>
      <c r="F106" s="230"/>
      <c r="G106" s="230"/>
      <c r="H106" s="230"/>
      <c r="I106" s="230"/>
      <c r="J106" s="230"/>
      <c r="K106" s="230"/>
      <c r="L106" s="230"/>
      <c r="M106" s="230"/>
      <c r="N106" s="230"/>
      <c r="O106" s="230"/>
      <c r="P106" s="230"/>
      <c r="Q106" s="230"/>
      <c r="R106" s="230"/>
    </row>
    <row r="107" spans="1:18" ht="15" customHeight="1">
      <c r="A107" s="6002" t="s">
        <v>147</v>
      </c>
      <c r="B107" s="6004" t="s">
        <v>435</v>
      </c>
      <c r="C107" s="6005"/>
      <c r="D107" s="6006"/>
      <c r="F107" s="230"/>
      <c r="G107" s="230"/>
      <c r="H107" s="230"/>
      <c r="I107" s="230"/>
      <c r="J107" s="230"/>
      <c r="K107" s="230"/>
      <c r="L107" s="230"/>
      <c r="M107" s="230"/>
      <c r="N107" s="230"/>
      <c r="O107" s="230"/>
      <c r="P107" s="230"/>
      <c r="Q107" s="230"/>
      <c r="R107" s="230"/>
    </row>
    <row r="108" spans="1:18" ht="15" customHeight="1">
      <c r="A108" s="6003"/>
      <c r="B108" s="317" t="s">
        <v>149</v>
      </c>
      <c r="C108" s="317" t="s">
        <v>150</v>
      </c>
      <c r="D108" s="317" t="s">
        <v>151</v>
      </c>
      <c r="F108" s="230"/>
      <c r="G108" s="230"/>
      <c r="H108" s="230"/>
      <c r="I108" s="230"/>
      <c r="J108" s="230"/>
      <c r="K108" s="230"/>
      <c r="L108" s="230"/>
      <c r="M108" s="230"/>
      <c r="N108" s="230"/>
      <c r="O108" s="230"/>
      <c r="P108" s="230"/>
      <c r="Q108" s="230"/>
      <c r="R108" s="230"/>
    </row>
    <row r="109" spans="1:18" ht="15" customHeight="1">
      <c r="A109" s="318" t="s">
        <v>152</v>
      </c>
      <c r="B109" s="319">
        <v>47886</v>
      </c>
      <c r="C109" s="319">
        <v>286247</v>
      </c>
      <c r="D109" s="320">
        <f t="shared" ref="D109:D114" si="0">C109/B109</f>
        <v>5.9776761475170197</v>
      </c>
      <c r="F109" s="230"/>
      <c r="G109" s="230"/>
      <c r="H109" s="230"/>
      <c r="I109" s="230"/>
      <c r="J109" s="230"/>
      <c r="K109" s="230"/>
      <c r="L109" s="230"/>
      <c r="M109" s="230"/>
      <c r="N109" s="230"/>
      <c r="O109" s="230"/>
      <c r="P109" s="230"/>
      <c r="Q109" s="230"/>
      <c r="R109" s="230"/>
    </row>
    <row r="110" spans="1:18" ht="15" customHeight="1">
      <c r="A110" s="16" t="s">
        <v>428</v>
      </c>
      <c r="B110" s="13">
        <v>13795</v>
      </c>
      <c r="C110" s="13">
        <v>77531</v>
      </c>
      <c r="D110" s="14">
        <f t="shared" si="0"/>
        <v>5.6202247191011239</v>
      </c>
      <c r="F110" s="230"/>
      <c r="G110" s="230"/>
      <c r="H110" s="230"/>
      <c r="I110" s="230"/>
      <c r="J110" s="230"/>
      <c r="K110" s="230"/>
      <c r="L110" s="230"/>
      <c r="M110" s="230"/>
      <c r="N110" s="230"/>
      <c r="O110" s="230"/>
      <c r="P110" s="230"/>
      <c r="Q110" s="230"/>
      <c r="R110" s="230"/>
    </row>
    <row r="111" spans="1:18" ht="15" customHeight="1">
      <c r="A111" s="17" t="s">
        <v>429</v>
      </c>
      <c r="B111" s="13">
        <v>9553</v>
      </c>
      <c r="C111" s="13">
        <v>30749</v>
      </c>
      <c r="D111" s="14">
        <f t="shared" si="0"/>
        <v>3.2187794410132944</v>
      </c>
      <c r="F111" s="230"/>
      <c r="G111" s="230"/>
      <c r="H111" s="230"/>
      <c r="I111" s="230"/>
      <c r="J111" s="230"/>
      <c r="K111" s="230"/>
      <c r="L111" s="230"/>
      <c r="M111" s="230"/>
      <c r="N111" s="230"/>
      <c r="O111" s="230"/>
      <c r="P111" s="230"/>
      <c r="Q111" s="230"/>
      <c r="R111" s="230"/>
    </row>
    <row r="112" spans="1:18" ht="15" customHeight="1">
      <c r="A112" s="59" t="s">
        <v>95</v>
      </c>
      <c r="B112" s="60">
        <v>7925</v>
      </c>
      <c r="C112" s="60">
        <v>30814</v>
      </c>
      <c r="D112" s="61">
        <f>C112/B112</f>
        <v>3.8882018927444797</v>
      </c>
      <c r="F112" s="230"/>
      <c r="G112" s="230"/>
      <c r="H112" s="230"/>
      <c r="I112" s="230"/>
      <c r="J112" s="230"/>
      <c r="K112" s="230"/>
      <c r="L112" s="230"/>
      <c r="M112" s="230"/>
      <c r="N112" s="230"/>
      <c r="O112" s="230"/>
      <c r="P112" s="230"/>
      <c r="Q112" s="230"/>
      <c r="R112" s="230"/>
    </row>
    <row r="113" spans="1:18" ht="15" customHeight="1">
      <c r="A113" s="16" t="s">
        <v>430</v>
      </c>
      <c r="B113" s="13">
        <v>7359</v>
      </c>
      <c r="C113" s="13">
        <v>35704</v>
      </c>
      <c r="D113" s="14">
        <f t="shared" si="0"/>
        <v>4.8517461611632013</v>
      </c>
      <c r="F113" s="230"/>
      <c r="G113" s="230"/>
      <c r="H113" s="230"/>
      <c r="I113" s="230"/>
      <c r="J113" s="230"/>
      <c r="K113" s="230"/>
      <c r="L113" s="230"/>
      <c r="M113" s="230"/>
      <c r="N113" s="230"/>
      <c r="O113" s="230"/>
      <c r="P113" s="230"/>
      <c r="Q113" s="230"/>
      <c r="R113" s="230"/>
    </row>
    <row r="114" spans="1:18" ht="15" customHeight="1">
      <c r="A114" s="16" t="s">
        <v>431</v>
      </c>
      <c r="B114" s="13">
        <v>3822</v>
      </c>
      <c r="C114" s="13">
        <v>24889</v>
      </c>
      <c r="D114" s="14">
        <f t="shared" si="0"/>
        <v>6.5120355834641552</v>
      </c>
      <c r="F114" s="230"/>
      <c r="G114" s="230"/>
      <c r="H114" s="230"/>
      <c r="I114" s="230"/>
      <c r="J114" s="230"/>
      <c r="K114" s="230"/>
      <c r="L114" s="230"/>
      <c r="M114" s="230"/>
      <c r="N114" s="230"/>
      <c r="O114" s="230"/>
      <c r="P114" s="230"/>
      <c r="Q114" s="230"/>
      <c r="R114" s="230"/>
    </row>
    <row r="115" spans="1:18" ht="15" customHeight="1">
      <c r="A115" s="16" t="s">
        <v>96</v>
      </c>
      <c r="B115" s="13">
        <v>3790</v>
      </c>
      <c r="C115" s="13">
        <v>11963</v>
      </c>
      <c r="D115" s="14">
        <f>C115/B115</f>
        <v>3.1564643799472294</v>
      </c>
      <c r="F115" s="230"/>
      <c r="G115" s="230"/>
      <c r="H115" s="230"/>
      <c r="I115" s="230"/>
      <c r="J115" s="230"/>
      <c r="K115" s="230"/>
      <c r="L115" s="230"/>
      <c r="M115" s="230"/>
      <c r="N115" s="230"/>
      <c r="O115" s="230"/>
      <c r="P115" s="230"/>
      <c r="Q115" s="230"/>
      <c r="R115" s="230"/>
    </row>
    <row r="116" spans="1:18" ht="15" customHeight="1">
      <c r="A116" s="16" t="s">
        <v>432</v>
      </c>
      <c r="B116" s="13">
        <v>3651</v>
      </c>
      <c r="C116" s="13">
        <v>16398</v>
      </c>
      <c r="D116" s="14">
        <f>C116/B116</f>
        <v>4.4913722267871812</v>
      </c>
      <c r="F116" s="230"/>
      <c r="G116" s="230"/>
      <c r="H116" s="230"/>
      <c r="I116" s="230"/>
      <c r="J116" s="230"/>
      <c r="K116" s="230"/>
      <c r="L116" s="230"/>
      <c r="M116" s="230"/>
      <c r="N116" s="230"/>
      <c r="O116" s="230"/>
      <c r="P116" s="230"/>
      <c r="Q116" s="230"/>
      <c r="R116" s="230"/>
    </row>
    <row r="117" spans="1:18" ht="15" customHeight="1">
      <c r="A117" s="16" t="s">
        <v>433</v>
      </c>
      <c r="B117" s="13">
        <v>3641</v>
      </c>
      <c r="C117" s="13">
        <v>9591</v>
      </c>
      <c r="D117" s="14">
        <f>C117/B117</f>
        <v>2.6341664377918153</v>
      </c>
      <c r="F117" s="230"/>
      <c r="G117" s="230"/>
      <c r="H117" s="230"/>
      <c r="I117" s="230"/>
      <c r="J117" s="230"/>
      <c r="K117" s="230"/>
      <c r="L117" s="230"/>
      <c r="M117" s="230"/>
      <c r="N117" s="230"/>
      <c r="O117" s="230"/>
      <c r="P117" s="230"/>
      <c r="Q117" s="230"/>
      <c r="R117" s="230"/>
    </row>
    <row r="118" spans="1:18" ht="15" customHeight="1">
      <c r="A118" s="321" t="s">
        <v>434</v>
      </c>
      <c r="B118" s="12">
        <v>3356</v>
      </c>
      <c r="C118" s="12">
        <v>13567</v>
      </c>
      <c r="D118" s="15">
        <f>C118/B118</f>
        <v>4.0426102502979742</v>
      </c>
      <c r="F118" s="230"/>
      <c r="G118" s="230"/>
      <c r="H118" s="230"/>
      <c r="I118" s="230"/>
      <c r="J118" s="230"/>
      <c r="K118" s="230"/>
      <c r="L118" s="230"/>
      <c r="M118" s="230"/>
      <c r="N118" s="230"/>
      <c r="O118" s="230"/>
      <c r="P118" s="230"/>
      <c r="Q118" s="230"/>
      <c r="R118" s="230"/>
    </row>
    <row r="119" spans="1:18" ht="15" customHeight="1">
      <c r="A119" s="6" t="s">
        <v>436</v>
      </c>
      <c r="F119" s="230"/>
      <c r="G119" s="230"/>
      <c r="H119" s="230"/>
      <c r="I119" s="230"/>
      <c r="J119" s="230"/>
      <c r="K119" s="230"/>
      <c r="L119" s="230"/>
      <c r="M119" s="230"/>
      <c r="N119" s="230"/>
      <c r="O119" s="230"/>
      <c r="P119" s="230"/>
      <c r="Q119" s="230"/>
      <c r="R119" s="230"/>
    </row>
    <row r="120" spans="1:18" ht="12.75" customHeight="1">
      <c r="B120" s="229"/>
      <c r="C120" s="229"/>
      <c r="D120" s="229"/>
      <c r="F120" s="230"/>
      <c r="G120" s="230"/>
      <c r="H120" s="230"/>
      <c r="I120" s="230"/>
      <c r="J120" s="230"/>
      <c r="K120" s="230"/>
      <c r="L120" s="230"/>
      <c r="M120" s="230"/>
      <c r="N120" s="230"/>
      <c r="O120" s="230"/>
      <c r="P120" s="230"/>
      <c r="Q120" s="230"/>
      <c r="R120" s="230"/>
    </row>
    <row r="121" spans="1:18" ht="12.75" customHeight="1">
      <c r="A121" s="229"/>
      <c r="B121" s="229"/>
      <c r="C121" s="229"/>
      <c r="D121" s="229"/>
      <c r="F121" s="230"/>
      <c r="G121" s="230"/>
      <c r="H121" s="230"/>
      <c r="I121" s="230"/>
      <c r="J121" s="230"/>
      <c r="K121" s="230"/>
      <c r="L121" s="230"/>
      <c r="M121" s="230"/>
      <c r="N121" s="230"/>
      <c r="O121" s="230"/>
      <c r="P121" s="230"/>
      <c r="Q121" s="230"/>
      <c r="R121" s="230"/>
    </row>
    <row r="122" spans="1:18" ht="15.6">
      <c r="A122" s="147">
        <v>2010</v>
      </c>
      <c r="B122" s="7"/>
      <c r="C122" s="7"/>
      <c r="D122" s="7"/>
      <c r="F122" s="230"/>
      <c r="G122" s="230"/>
      <c r="H122" s="230"/>
      <c r="I122" s="230"/>
      <c r="J122" s="230"/>
      <c r="K122" s="230"/>
      <c r="L122" s="230"/>
      <c r="M122" s="230"/>
      <c r="N122" s="230"/>
      <c r="O122" s="230"/>
      <c r="P122" s="230"/>
      <c r="Q122" s="230"/>
      <c r="R122" s="230"/>
    </row>
    <row r="123" spans="1:18" ht="15" customHeight="1">
      <c r="A123" s="6002" t="s">
        <v>147</v>
      </c>
      <c r="B123" s="6004" t="s">
        <v>148</v>
      </c>
      <c r="C123" s="6005"/>
      <c r="D123" s="6006"/>
      <c r="F123" s="230"/>
      <c r="G123" s="230"/>
      <c r="H123" s="230"/>
      <c r="I123" s="230"/>
      <c r="J123" s="230"/>
      <c r="K123" s="230"/>
      <c r="L123" s="230"/>
      <c r="M123" s="230"/>
      <c r="N123" s="230"/>
      <c r="O123" s="230"/>
      <c r="P123" s="230"/>
      <c r="Q123" s="230"/>
      <c r="R123" s="230"/>
    </row>
    <row r="124" spans="1:18" ht="15" customHeight="1">
      <c r="A124" s="6003"/>
      <c r="B124" s="317" t="s">
        <v>149</v>
      </c>
      <c r="C124" s="317" t="s">
        <v>150</v>
      </c>
      <c r="D124" s="317" t="s">
        <v>151</v>
      </c>
      <c r="F124" s="230"/>
      <c r="G124" s="230"/>
      <c r="H124" s="230"/>
      <c r="I124" s="230"/>
      <c r="J124" s="230"/>
      <c r="K124" s="230"/>
      <c r="L124" s="230"/>
      <c r="M124" s="230"/>
      <c r="N124" s="230"/>
      <c r="O124" s="230"/>
      <c r="P124" s="230"/>
      <c r="Q124" s="230"/>
      <c r="R124" s="230"/>
    </row>
    <row r="125" spans="1:18" ht="15" customHeight="1">
      <c r="A125" s="318" t="s">
        <v>152</v>
      </c>
      <c r="B125" s="319">
        <v>23655</v>
      </c>
      <c r="C125" s="319">
        <v>73240</v>
      </c>
      <c r="D125" s="320">
        <f>+C125/B125</f>
        <v>3.0961741703656731</v>
      </c>
      <c r="F125" s="230"/>
      <c r="G125" s="230"/>
      <c r="H125" s="230"/>
      <c r="I125" s="230"/>
      <c r="J125" s="230"/>
      <c r="K125" s="230"/>
      <c r="L125" s="230"/>
      <c r="M125" s="230"/>
      <c r="N125" s="230"/>
      <c r="O125" s="230"/>
      <c r="P125" s="230"/>
      <c r="Q125" s="230"/>
      <c r="R125" s="230"/>
    </row>
    <row r="126" spans="1:18" ht="15" customHeight="1">
      <c r="A126" s="16" t="s">
        <v>153</v>
      </c>
      <c r="B126" s="13">
        <v>9225</v>
      </c>
      <c r="C126" s="13">
        <v>29313</v>
      </c>
      <c r="D126" s="14">
        <f>+C126/B126</f>
        <v>3.1775609756097563</v>
      </c>
      <c r="F126" s="230"/>
      <c r="G126" s="230"/>
      <c r="H126" s="230"/>
      <c r="I126" s="230"/>
      <c r="J126" s="230"/>
      <c r="K126" s="230"/>
      <c r="L126" s="230"/>
      <c r="M126" s="230"/>
      <c r="N126" s="230"/>
      <c r="O126" s="230"/>
      <c r="P126" s="230"/>
      <c r="Q126" s="230"/>
      <c r="R126" s="230"/>
    </row>
    <row r="127" spans="1:18" ht="15" customHeight="1">
      <c r="A127" s="17" t="s">
        <v>93</v>
      </c>
      <c r="B127" s="13">
        <v>6026</v>
      </c>
      <c r="C127" s="13">
        <v>19502</v>
      </c>
      <c r="D127" s="14">
        <f t="shared" ref="D127:D135" si="1">+C127/B127</f>
        <v>3.2363093262529041</v>
      </c>
      <c r="F127" s="230"/>
      <c r="G127" s="230"/>
      <c r="H127" s="230"/>
      <c r="I127" s="230"/>
      <c r="J127" s="230"/>
      <c r="K127" s="230"/>
      <c r="L127" s="230"/>
      <c r="M127" s="230"/>
      <c r="N127" s="230"/>
      <c r="O127" s="230"/>
      <c r="P127" s="230"/>
      <c r="Q127" s="230"/>
      <c r="R127" s="230"/>
    </row>
    <row r="128" spans="1:18" ht="15" customHeight="1">
      <c r="A128" s="16" t="s">
        <v>154</v>
      </c>
      <c r="B128" s="13">
        <v>4328</v>
      </c>
      <c r="C128" s="13">
        <v>7670</v>
      </c>
      <c r="D128" s="14">
        <f t="shared" si="1"/>
        <v>1.7721811460258781</v>
      </c>
      <c r="F128" s="230"/>
      <c r="G128" s="230"/>
      <c r="H128" s="230"/>
      <c r="I128" s="230"/>
      <c r="J128" s="230"/>
      <c r="K128" s="230"/>
      <c r="L128" s="230"/>
      <c r="M128" s="230"/>
      <c r="N128" s="230"/>
      <c r="O128" s="230"/>
      <c r="P128" s="230"/>
      <c r="Q128" s="230"/>
      <c r="R128" s="230"/>
    </row>
    <row r="129" spans="1:18" ht="15" customHeight="1">
      <c r="A129" s="59" t="s">
        <v>95</v>
      </c>
      <c r="B129" s="60">
        <v>3898</v>
      </c>
      <c r="C129" s="60">
        <v>7410</v>
      </c>
      <c r="D129" s="61">
        <f t="shared" si="1"/>
        <v>1.900974858902001</v>
      </c>
      <c r="F129" s="230"/>
      <c r="G129" s="230"/>
      <c r="H129" s="230"/>
      <c r="I129" s="230"/>
      <c r="J129" s="230"/>
      <c r="K129" s="230"/>
      <c r="L129" s="230"/>
      <c r="M129" s="230"/>
      <c r="N129" s="230"/>
      <c r="O129" s="230"/>
      <c r="P129" s="230"/>
      <c r="Q129" s="230"/>
      <c r="R129" s="230"/>
    </row>
    <row r="130" spans="1:18" ht="15" customHeight="1">
      <c r="A130" s="16" t="s">
        <v>155</v>
      </c>
      <c r="B130" s="13">
        <v>3784</v>
      </c>
      <c r="C130" s="13">
        <v>9424</v>
      </c>
      <c r="D130" s="14">
        <f t="shared" si="1"/>
        <v>2.4904862579281182</v>
      </c>
      <c r="F130" s="230"/>
      <c r="G130" s="230"/>
      <c r="H130" s="230"/>
      <c r="I130" s="230"/>
      <c r="J130" s="230"/>
      <c r="K130" s="230"/>
      <c r="L130" s="230"/>
      <c r="M130" s="230"/>
      <c r="N130" s="230"/>
      <c r="O130" s="230"/>
      <c r="P130" s="230"/>
      <c r="Q130" s="230"/>
      <c r="R130" s="230"/>
    </row>
    <row r="131" spans="1:18" ht="15" customHeight="1">
      <c r="A131" s="16" t="s">
        <v>96</v>
      </c>
      <c r="B131" s="13">
        <v>1746</v>
      </c>
      <c r="C131" s="13">
        <v>2626</v>
      </c>
      <c r="D131" s="14">
        <f t="shared" si="1"/>
        <v>1.5040091638029782</v>
      </c>
      <c r="F131" s="230"/>
      <c r="G131" s="230"/>
      <c r="H131" s="230"/>
      <c r="I131" s="230"/>
      <c r="J131" s="230"/>
      <c r="K131" s="230"/>
      <c r="L131" s="230"/>
      <c r="M131" s="230"/>
      <c r="N131" s="230"/>
      <c r="O131" s="230"/>
      <c r="P131" s="230"/>
      <c r="Q131" s="230"/>
      <c r="R131" s="230"/>
    </row>
    <row r="132" spans="1:18" ht="15" customHeight="1">
      <c r="A132" s="16" t="s">
        <v>156</v>
      </c>
      <c r="B132" s="13">
        <v>1717</v>
      </c>
      <c r="C132" s="13">
        <v>5689</v>
      </c>
      <c r="D132" s="14">
        <f t="shared" si="1"/>
        <v>3.3133372160745487</v>
      </c>
      <c r="F132" s="230"/>
      <c r="G132" s="230"/>
      <c r="H132" s="230"/>
      <c r="I132" s="230"/>
      <c r="J132" s="230"/>
      <c r="K132" s="230"/>
      <c r="L132" s="230"/>
      <c r="M132" s="230"/>
      <c r="N132" s="230"/>
      <c r="O132" s="230"/>
      <c r="P132" s="230"/>
      <c r="Q132" s="230"/>
      <c r="R132" s="230"/>
    </row>
    <row r="133" spans="1:18" ht="15" customHeight="1">
      <c r="A133" s="16" t="s">
        <v>157</v>
      </c>
      <c r="B133" s="13">
        <v>1603</v>
      </c>
      <c r="C133" s="13">
        <v>2660</v>
      </c>
      <c r="D133" s="14">
        <f t="shared" si="1"/>
        <v>1.6593886462882097</v>
      </c>
      <c r="F133" s="230"/>
      <c r="G133" s="230"/>
      <c r="H133" s="230"/>
      <c r="I133" s="230"/>
      <c r="J133" s="230"/>
      <c r="K133" s="230"/>
      <c r="L133" s="230"/>
      <c r="M133" s="230"/>
      <c r="N133" s="230"/>
      <c r="O133" s="230"/>
      <c r="P133" s="230"/>
      <c r="Q133" s="230"/>
      <c r="R133" s="230"/>
    </row>
    <row r="134" spans="1:18" ht="15" customHeight="1">
      <c r="A134" s="16" t="s">
        <v>158</v>
      </c>
      <c r="B134" s="13">
        <v>1564</v>
      </c>
      <c r="C134" s="13">
        <v>4012</v>
      </c>
      <c r="D134" s="14">
        <f t="shared" si="1"/>
        <v>2.5652173913043477</v>
      </c>
      <c r="F134" s="230"/>
      <c r="G134" s="230"/>
      <c r="H134" s="230"/>
      <c r="I134" s="230"/>
      <c r="J134" s="230"/>
      <c r="K134" s="230"/>
      <c r="L134" s="230"/>
      <c r="M134" s="230"/>
      <c r="N134" s="230"/>
      <c r="O134" s="230"/>
      <c r="P134" s="230"/>
      <c r="Q134" s="230"/>
      <c r="R134" s="230"/>
    </row>
    <row r="135" spans="1:18" ht="15" customHeight="1">
      <c r="A135" s="321" t="s">
        <v>159</v>
      </c>
      <c r="B135" s="12">
        <v>1449</v>
      </c>
      <c r="C135" s="12">
        <v>2651</v>
      </c>
      <c r="D135" s="15">
        <f t="shared" si="1"/>
        <v>1.8295376121463078</v>
      </c>
      <c r="F135" s="230"/>
      <c r="G135" s="230"/>
      <c r="H135" s="230"/>
      <c r="I135" s="230"/>
      <c r="J135" s="230"/>
      <c r="K135" s="230"/>
      <c r="L135" s="230"/>
      <c r="M135" s="230"/>
      <c r="N135" s="230"/>
      <c r="O135" s="230"/>
      <c r="P135" s="230"/>
      <c r="Q135" s="230"/>
      <c r="R135" s="230"/>
    </row>
    <row r="136" spans="1:18" ht="15" customHeight="1">
      <c r="A136" s="6" t="s">
        <v>160</v>
      </c>
      <c r="B136" s="7"/>
      <c r="C136" s="7"/>
      <c r="D136" s="7"/>
      <c r="F136" s="230"/>
      <c r="G136" s="230"/>
      <c r="H136" s="230"/>
      <c r="I136" s="230"/>
      <c r="J136" s="230"/>
      <c r="K136" s="230"/>
      <c r="L136" s="230"/>
      <c r="M136" s="230"/>
      <c r="N136" s="230"/>
      <c r="O136" s="230"/>
      <c r="P136" s="230"/>
      <c r="Q136" s="230"/>
      <c r="R136" s="230"/>
    </row>
    <row r="137" spans="1:18" ht="15.6">
      <c r="F137" s="230"/>
      <c r="G137" s="230"/>
      <c r="H137" s="230"/>
      <c r="I137" s="230"/>
      <c r="J137" s="230"/>
      <c r="K137" s="230"/>
      <c r="L137" s="230"/>
      <c r="M137" s="230"/>
      <c r="N137" s="230"/>
      <c r="O137" s="230"/>
      <c r="P137" s="230"/>
      <c r="Q137" s="230"/>
      <c r="R137" s="230"/>
    </row>
    <row r="138" spans="1:18" ht="15.6">
      <c r="F138" s="230"/>
      <c r="G138" s="230"/>
      <c r="H138" s="230"/>
      <c r="I138" s="230"/>
      <c r="J138" s="230"/>
      <c r="K138" s="230"/>
      <c r="L138" s="230"/>
      <c r="M138" s="230"/>
      <c r="N138" s="230"/>
      <c r="O138" s="230"/>
      <c r="P138" s="230"/>
      <c r="Q138" s="230"/>
      <c r="R138" s="230"/>
    </row>
    <row r="139" spans="1:18" ht="15.6">
      <c r="F139" s="230"/>
      <c r="G139" s="230"/>
      <c r="H139" s="230"/>
      <c r="I139" s="230"/>
      <c r="J139" s="230"/>
      <c r="K139" s="230"/>
      <c r="L139" s="230"/>
      <c r="M139" s="230"/>
      <c r="N139" s="230"/>
      <c r="O139" s="230"/>
      <c r="P139" s="230"/>
      <c r="Q139" s="230"/>
      <c r="R139" s="230"/>
    </row>
    <row r="140" spans="1:18" ht="15.6">
      <c r="F140" s="230"/>
      <c r="G140" s="230"/>
      <c r="H140" s="230"/>
      <c r="I140" s="230"/>
      <c r="J140" s="230"/>
      <c r="K140" s="230"/>
      <c r="L140" s="230"/>
      <c r="M140" s="230"/>
      <c r="N140" s="230"/>
      <c r="O140" s="230"/>
      <c r="P140" s="230"/>
      <c r="Q140" s="230"/>
      <c r="R140" s="230"/>
    </row>
    <row r="141" spans="1:18" ht="15.6">
      <c r="F141" s="230"/>
      <c r="G141" s="230"/>
      <c r="H141" s="230"/>
      <c r="I141" s="230"/>
      <c r="J141" s="230"/>
      <c r="K141" s="230"/>
      <c r="L141" s="230"/>
      <c r="M141" s="230"/>
      <c r="N141" s="230"/>
      <c r="O141" s="230"/>
      <c r="P141" s="230"/>
      <c r="Q141" s="230"/>
      <c r="R141" s="230"/>
    </row>
    <row r="142" spans="1:18" ht="15.6">
      <c r="F142" s="230"/>
      <c r="G142" s="230"/>
      <c r="H142" s="230"/>
      <c r="I142" s="230"/>
      <c r="J142" s="230"/>
      <c r="K142" s="230"/>
      <c r="L142" s="230"/>
      <c r="M142" s="230"/>
      <c r="N142" s="230"/>
      <c r="O142" s="230"/>
      <c r="P142" s="230"/>
      <c r="Q142" s="230"/>
      <c r="R142" s="230"/>
    </row>
    <row r="143" spans="1:18" ht="15.6">
      <c r="F143" s="230"/>
      <c r="G143" s="230"/>
      <c r="H143" s="230"/>
      <c r="I143" s="230"/>
      <c r="J143" s="230"/>
      <c r="K143" s="230"/>
      <c r="L143" s="230"/>
      <c r="M143" s="230"/>
      <c r="N143" s="230"/>
      <c r="O143" s="230"/>
      <c r="P143" s="230"/>
      <c r="Q143" s="230"/>
      <c r="R143" s="230"/>
    </row>
    <row r="144" spans="1:18" ht="15.6">
      <c r="F144" s="230"/>
      <c r="G144" s="230"/>
      <c r="H144" s="230"/>
      <c r="I144" s="230"/>
      <c r="J144" s="230"/>
      <c r="K144" s="230"/>
      <c r="L144" s="230"/>
      <c r="M144" s="230"/>
      <c r="N144" s="230"/>
      <c r="O144" s="230"/>
      <c r="P144" s="230"/>
      <c r="Q144" s="230"/>
      <c r="R144" s="230"/>
    </row>
    <row r="145" spans="6:18" ht="15.6">
      <c r="F145" s="230"/>
      <c r="G145" s="230"/>
      <c r="H145" s="230"/>
      <c r="I145" s="230"/>
      <c r="J145" s="230"/>
      <c r="K145" s="230"/>
      <c r="L145" s="230"/>
      <c r="M145" s="230"/>
      <c r="N145" s="230"/>
      <c r="O145" s="230"/>
      <c r="P145" s="230"/>
      <c r="Q145" s="230"/>
      <c r="R145" s="230"/>
    </row>
    <row r="146" spans="6:18" ht="15.6">
      <c r="F146" s="230"/>
      <c r="G146" s="230"/>
      <c r="H146" s="230"/>
      <c r="I146" s="230"/>
      <c r="J146" s="230"/>
      <c r="K146" s="230"/>
      <c r="L146" s="230"/>
      <c r="M146" s="230"/>
      <c r="N146" s="230"/>
      <c r="O146" s="230"/>
      <c r="P146" s="230"/>
      <c r="Q146" s="230"/>
      <c r="R146" s="230"/>
    </row>
    <row r="147" spans="6:18" ht="15.6">
      <c r="F147" s="230"/>
      <c r="G147" s="230"/>
      <c r="H147" s="230"/>
      <c r="I147" s="230"/>
      <c r="J147" s="230"/>
      <c r="K147" s="230"/>
      <c r="L147" s="230"/>
      <c r="M147" s="230"/>
      <c r="N147" s="230"/>
      <c r="O147" s="230"/>
      <c r="P147" s="230"/>
      <c r="Q147" s="230"/>
      <c r="R147" s="230"/>
    </row>
    <row r="148" spans="6:18" ht="15.6">
      <c r="F148" s="230"/>
      <c r="G148" s="230"/>
      <c r="H148" s="230"/>
      <c r="I148" s="230"/>
      <c r="J148" s="230"/>
      <c r="K148" s="230"/>
      <c r="L148" s="230"/>
      <c r="M148" s="230"/>
      <c r="N148" s="230"/>
      <c r="O148" s="230"/>
      <c r="P148" s="230"/>
      <c r="Q148" s="230"/>
      <c r="R148" s="230"/>
    </row>
    <row r="149" spans="6:18" ht="15.6">
      <c r="F149" s="230"/>
      <c r="G149" s="230"/>
      <c r="H149" s="230"/>
      <c r="I149" s="230"/>
      <c r="J149" s="230"/>
      <c r="K149" s="230"/>
      <c r="L149" s="230"/>
      <c r="M149" s="230"/>
      <c r="N149" s="230"/>
      <c r="O149" s="230"/>
      <c r="P149" s="230"/>
      <c r="Q149" s="230"/>
      <c r="R149" s="230"/>
    </row>
    <row r="150" spans="6:18" ht="15.6">
      <c r="F150" s="230"/>
      <c r="G150" s="230"/>
      <c r="H150" s="230"/>
      <c r="I150" s="230"/>
      <c r="J150" s="230"/>
      <c r="K150" s="230"/>
      <c r="L150" s="230"/>
      <c r="M150" s="230"/>
      <c r="N150" s="230"/>
      <c r="O150" s="230"/>
      <c r="P150" s="230"/>
      <c r="Q150" s="230"/>
      <c r="R150" s="230"/>
    </row>
  </sheetData>
  <sheetProtection algorithmName="SHA-512" hashValue="GeLB8l1m5ADEifd4TEYBsAdgTyGlvpI3HV342lTd+MkVctK1/5WpV7hm3tKaunL3wvJhMC6/BtieST8KEdPYQQ==" saltValue="Jn9O92LCRvRGH/Vx+d/sEw==" spinCount="100000" sheet="1" objects="1" scenarios="1"/>
  <mergeCells count="12">
    <mergeCell ref="M23:M24"/>
    <mergeCell ref="M29:M30"/>
    <mergeCell ref="H11:H12"/>
    <mergeCell ref="H17:H18"/>
    <mergeCell ref="M37:M38"/>
    <mergeCell ref="H5:H6"/>
    <mergeCell ref="A123:A124"/>
    <mergeCell ref="B123:D123"/>
    <mergeCell ref="L44:L45"/>
    <mergeCell ref="K50:K51"/>
    <mergeCell ref="A107:A108"/>
    <mergeCell ref="B107:D107"/>
  </mergeCells>
  <hyperlinks>
    <hyperlink ref="A21" location="_ftn1" display="_ftn1" xr:uid="{00000000-0004-0000-2000-000000000000}"/>
    <hyperlink ref="A25" location="_ftnref1" display="_ftnref1" xr:uid="{00000000-0004-0000-2000-000001000000}"/>
    <hyperlink ref="A23" location="_ftn1" display="_ftn1" xr:uid="{00000000-0004-0000-2000-000002000000}"/>
    <hyperlink ref="A26" location="_ftnref1" display="_ftnref1" xr:uid="{00000000-0004-0000-2000-000003000000}"/>
    <hyperlink ref="A30" location="_ftn1" display="_ftn1" xr:uid="{00000000-0004-0000-2000-000004000000}"/>
    <hyperlink ref="A31" location="_ftnref1" display="_ftnref1" xr:uid="{00000000-0004-0000-2000-000005000000}"/>
    <hyperlink ref="A13" location="_ftnref1" display="_ftnref1" xr:uid="{00000000-0004-0000-2000-000006000000}"/>
  </hyperlinks>
  <pageMargins left="0.70866141732283472" right="0.70866141732283472" top="0.74803149606299213" bottom="0.74803149606299213" header="0.31496062992125984" footer="0.31496062992125984"/>
  <pageSetup scale="86" orientation="portrait" r:id="rId1"/>
  <ignoredErrors>
    <ignoredError sqref="J50:J51 K44:K45 L37:L38 L29:L30 L23:L24" formulaRange="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499984740745262"/>
  </sheetPr>
  <dimension ref="A1:AZ61"/>
  <sheetViews>
    <sheetView showGridLines="0" zoomScale="120" zoomScaleNormal="120" workbookViewId="0">
      <selection activeCell="M2" sqref="M2"/>
    </sheetView>
  </sheetViews>
  <sheetFormatPr baseColWidth="10" defaultColWidth="11.5546875" defaultRowHeight="14.4"/>
  <cols>
    <col min="1" max="1" width="1.77734375" customWidth="1"/>
    <col min="2" max="2" width="16.44140625" bestFit="1" customWidth="1"/>
    <col min="3" max="3" width="2.77734375" customWidth="1"/>
    <col min="4" max="6" width="15.77734375" style="5437" customWidth="1"/>
    <col min="7" max="7" width="2.77734375" style="5437" customWidth="1"/>
    <col min="8" max="10" width="15.77734375" style="3595" customWidth="1"/>
    <col min="11" max="11" width="2.77734375" style="3595" customWidth="1"/>
    <col min="12" max="14" width="15.77734375" customWidth="1"/>
    <col min="15" max="15" width="2.77734375" customWidth="1"/>
    <col min="16" max="16" width="17.77734375" customWidth="1"/>
    <col min="17" max="17" width="14.5546875" customWidth="1"/>
    <col min="18" max="18" width="11.5546875" customWidth="1"/>
    <col min="19" max="19" width="2.77734375" customWidth="1"/>
    <col min="20" max="20" width="16.5546875" customWidth="1"/>
    <col min="21" max="21" width="16.44140625" customWidth="1"/>
    <col min="22" max="22" width="12.77734375" customWidth="1"/>
    <col min="23" max="23" width="2.77734375" customWidth="1"/>
    <col min="24" max="24" width="17" customWidth="1"/>
    <col min="25" max="25" width="14.44140625" customWidth="1"/>
    <col min="26" max="26" width="11.5546875" customWidth="1"/>
    <col min="27" max="27" width="2.77734375" customWidth="1"/>
    <col min="28" max="28" width="16.21875" customWidth="1"/>
    <col min="29" max="30" width="14.44140625" customWidth="1"/>
    <col min="31" max="31" width="2.77734375" customWidth="1"/>
    <col min="32" max="32" width="17" customWidth="1"/>
    <col min="33" max="33" width="15.5546875" customWidth="1"/>
    <col min="34" max="34" width="11.5546875" customWidth="1"/>
    <col min="35" max="35" width="2.77734375" customWidth="1"/>
    <col min="36" max="36" width="15.77734375" customWidth="1"/>
    <col min="37" max="37" width="15.21875" customWidth="1"/>
    <col min="38" max="38" width="8.77734375" customWidth="1"/>
    <col min="39" max="39" width="2.77734375" customWidth="1"/>
    <col min="40" max="40" width="17.21875" customWidth="1"/>
    <col min="41" max="41" width="18.77734375" customWidth="1"/>
    <col min="42" max="42" width="8.77734375" customWidth="1"/>
    <col min="43" max="43" width="2.77734375" customWidth="1"/>
    <col min="44" max="44" width="16.77734375" customWidth="1"/>
    <col min="45" max="45" width="18.77734375" customWidth="1"/>
    <col min="48" max="48" width="18.77734375" customWidth="1"/>
    <col min="49" max="49" width="13.44140625" customWidth="1"/>
    <col min="50" max="50" width="19" bestFit="1" customWidth="1"/>
    <col min="51" max="51" width="19" customWidth="1"/>
    <col min="52" max="52" width="12.21875" customWidth="1"/>
    <col min="53" max="53" width="18.44140625" bestFit="1" customWidth="1"/>
    <col min="54" max="54" width="14.21875" customWidth="1"/>
    <col min="55" max="55" width="19.44140625" bestFit="1" customWidth="1"/>
  </cols>
  <sheetData>
    <row r="1" spans="2:52" ht="19.5" customHeight="1">
      <c r="B1" s="234" t="s">
        <v>2235</v>
      </c>
      <c r="C1" s="2127"/>
      <c r="D1" s="2127"/>
      <c r="E1" s="2127"/>
      <c r="F1" s="2127"/>
      <c r="G1" s="2127"/>
      <c r="H1" s="2127"/>
      <c r="I1" s="2127"/>
      <c r="J1" s="2127"/>
      <c r="K1" s="2127"/>
      <c r="M1" s="2127"/>
      <c r="N1" s="2127"/>
      <c r="O1" s="2127"/>
      <c r="P1" s="2127"/>
      <c r="Q1" s="2127"/>
      <c r="R1" s="2127"/>
      <c r="S1" s="2127"/>
      <c r="X1" s="6018"/>
      <c r="Y1" s="6018"/>
      <c r="Z1" s="6018"/>
      <c r="AB1" s="6018"/>
      <c r="AC1" s="6018"/>
      <c r="AD1" s="6018"/>
      <c r="AF1" s="6018"/>
      <c r="AG1" s="6018"/>
      <c r="AH1" s="6018"/>
      <c r="AJ1" s="6018"/>
      <c r="AK1" s="6018"/>
      <c r="AL1" s="6018"/>
      <c r="AN1" s="6017"/>
      <c r="AO1" s="6017"/>
      <c r="AP1" s="6017"/>
      <c r="AQ1" s="42"/>
      <c r="AR1" s="6017"/>
      <c r="AS1" s="6017"/>
      <c r="AT1" s="6017"/>
      <c r="AV1" s="63"/>
      <c r="AW1" s="63"/>
      <c r="AX1" s="63"/>
      <c r="AY1" s="63"/>
      <c r="AZ1" s="63"/>
    </row>
    <row r="2" spans="2:52" s="4248" customFormat="1" ht="15.6">
      <c r="B2" s="234"/>
      <c r="C2" s="2127"/>
      <c r="D2" s="2127"/>
      <c r="E2" s="2127"/>
      <c r="F2" s="2127"/>
      <c r="G2" s="2127"/>
      <c r="H2" s="2127"/>
      <c r="I2" s="2127"/>
      <c r="J2" s="2127"/>
      <c r="K2" s="2127"/>
      <c r="M2" s="2127"/>
      <c r="N2" s="2127"/>
      <c r="O2" s="2127"/>
      <c r="P2" s="2127"/>
      <c r="Q2" s="2127"/>
      <c r="R2" s="2127"/>
      <c r="S2" s="2127"/>
      <c r="X2" s="4250"/>
      <c r="Y2" s="4250"/>
      <c r="Z2" s="4250"/>
      <c r="AB2" s="4250"/>
      <c r="AC2" s="4250"/>
      <c r="AD2" s="4250"/>
      <c r="AF2" s="4250"/>
      <c r="AG2" s="4250"/>
      <c r="AH2" s="4250"/>
      <c r="AJ2" s="4250"/>
      <c r="AK2" s="4250"/>
      <c r="AL2" s="4250"/>
      <c r="AN2" s="4249"/>
      <c r="AO2" s="4249"/>
      <c r="AP2" s="4249"/>
      <c r="AQ2" s="42"/>
      <c r="AR2" s="4249"/>
      <c r="AS2" s="4249"/>
      <c r="AT2" s="4249"/>
      <c r="AV2" s="63"/>
      <c r="AW2" s="63"/>
      <c r="AX2" s="63"/>
      <c r="AY2" s="63"/>
      <c r="AZ2" s="63"/>
    </row>
    <row r="3" spans="2:52">
      <c r="B3" s="6020" t="s">
        <v>2587</v>
      </c>
      <c r="D3" s="6019" t="s">
        <v>2903</v>
      </c>
      <c r="E3" s="6019"/>
      <c r="H3" s="6019" t="s">
        <v>2903</v>
      </c>
      <c r="I3" s="6019"/>
      <c r="L3" s="6019" t="s">
        <v>2946</v>
      </c>
      <c r="M3" s="6019"/>
      <c r="P3" s="6019" t="s">
        <v>2946</v>
      </c>
      <c r="Q3" s="6019"/>
      <c r="T3" s="6019" t="s">
        <v>2946</v>
      </c>
      <c r="U3" s="6019"/>
      <c r="X3" s="6019" t="s">
        <v>2946</v>
      </c>
      <c r="Y3" s="6019"/>
      <c r="AB3" s="6019" t="s">
        <v>2946</v>
      </c>
      <c r="AC3" s="6019"/>
      <c r="AF3" s="6019" t="s">
        <v>2946</v>
      </c>
      <c r="AG3" s="6019"/>
      <c r="AJ3" s="6019" t="s">
        <v>2946</v>
      </c>
      <c r="AK3" s="6019"/>
      <c r="AN3" s="6019" t="s">
        <v>2946</v>
      </c>
      <c r="AO3" s="6019"/>
      <c r="AP3" s="68"/>
      <c r="AR3" s="6019" t="s">
        <v>2946</v>
      </c>
      <c r="AS3" s="6019"/>
    </row>
    <row r="4" spans="2:52" ht="43.8" thickBot="1">
      <c r="B4" s="6021"/>
      <c r="D4" s="5438" t="s">
        <v>84</v>
      </c>
      <c r="E4" s="5438" t="s">
        <v>3855</v>
      </c>
      <c r="F4" s="5438" t="s">
        <v>76</v>
      </c>
      <c r="H4" s="3597" t="s">
        <v>84</v>
      </c>
      <c r="I4" s="3597" t="s">
        <v>2770</v>
      </c>
      <c r="J4" s="3597" t="s">
        <v>76</v>
      </c>
      <c r="L4" s="2111" t="s">
        <v>84</v>
      </c>
      <c r="M4" s="2111" t="s">
        <v>2591</v>
      </c>
      <c r="N4" s="2111" t="s">
        <v>76</v>
      </c>
      <c r="P4" s="2551" t="s">
        <v>84</v>
      </c>
      <c r="Q4" s="2551" t="s">
        <v>2527</v>
      </c>
      <c r="R4" s="2551" t="s">
        <v>76</v>
      </c>
      <c r="T4" s="2551" t="s">
        <v>84</v>
      </c>
      <c r="U4" s="2551" t="s">
        <v>2234</v>
      </c>
      <c r="V4" s="2551" t="s">
        <v>76</v>
      </c>
      <c r="X4" s="2551" t="s">
        <v>84</v>
      </c>
      <c r="Y4" s="2551" t="s">
        <v>2228</v>
      </c>
      <c r="Z4" s="2551" t="s">
        <v>76</v>
      </c>
      <c r="AB4" s="2551" t="s">
        <v>84</v>
      </c>
      <c r="AC4" s="2551" t="s">
        <v>2229</v>
      </c>
      <c r="AD4" s="2551" t="s">
        <v>76</v>
      </c>
      <c r="AF4" s="2551" t="s">
        <v>84</v>
      </c>
      <c r="AG4" s="2551" t="s">
        <v>2230</v>
      </c>
      <c r="AH4" s="2551" t="s">
        <v>76</v>
      </c>
      <c r="AJ4" s="2551" t="s">
        <v>84</v>
      </c>
      <c r="AK4" s="2551" t="s">
        <v>2231</v>
      </c>
      <c r="AL4" s="2551" t="s">
        <v>76</v>
      </c>
      <c r="AN4" s="2551" t="s">
        <v>84</v>
      </c>
      <c r="AO4" s="2551" t="s">
        <v>2232</v>
      </c>
      <c r="AP4" s="2551" t="s">
        <v>76</v>
      </c>
      <c r="AR4" s="2551" t="s">
        <v>84</v>
      </c>
      <c r="AS4" s="2551" t="s">
        <v>2233</v>
      </c>
      <c r="AT4" s="2551" t="s">
        <v>76</v>
      </c>
    </row>
    <row r="5" spans="2:52">
      <c r="B5" s="129"/>
      <c r="P5" s="2549"/>
      <c r="Q5" s="2549"/>
      <c r="R5" s="2549"/>
      <c r="T5" s="2549"/>
      <c r="U5" s="2549"/>
      <c r="V5" s="2549"/>
      <c r="X5" s="2549"/>
      <c r="Y5" s="2549"/>
      <c r="Z5" s="2549"/>
      <c r="AB5" s="2549"/>
      <c r="AC5" s="2549"/>
      <c r="AD5" s="2549"/>
      <c r="AF5" s="2549"/>
      <c r="AG5" s="2549"/>
      <c r="AH5" s="2549"/>
      <c r="AJ5" s="2549"/>
      <c r="AK5" s="2549"/>
      <c r="AL5" s="2549"/>
      <c r="AN5" s="2549"/>
      <c r="AO5" s="2549"/>
      <c r="AP5" s="2549"/>
      <c r="AR5" s="2549"/>
      <c r="AS5" s="2549"/>
      <c r="AT5" s="2549"/>
    </row>
    <row r="6" spans="2:52">
      <c r="B6" s="2329" t="s">
        <v>4</v>
      </c>
      <c r="D6" s="2376">
        <v>4840.4511300000004</v>
      </c>
      <c r="E6" s="2380">
        <v>638684</v>
      </c>
      <c r="F6" s="2384">
        <f t="shared" ref="F6:F11" si="0">D6/E6</f>
        <v>7.5787887750436841E-3</v>
      </c>
      <c r="H6" s="2376">
        <f>12445918.57/1000</f>
        <v>12445.91857</v>
      </c>
      <c r="I6" s="2380">
        <v>607366</v>
      </c>
      <c r="J6" s="2384">
        <f t="shared" ref="J6:J11" si="1">H6/I6</f>
        <v>2.0491628721396982E-2</v>
      </c>
      <c r="L6" s="2376">
        <v>600000</v>
      </c>
      <c r="M6" s="2380">
        <v>574653015</v>
      </c>
      <c r="N6" s="2384">
        <f>L6/M6</f>
        <v>1.0441083303112922E-3</v>
      </c>
      <c r="P6" s="2376">
        <v>5949604</v>
      </c>
      <c r="Q6" s="2380">
        <v>566285509</v>
      </c>
      <c r="R6" s="2384">
        <f t="shared" ref="R6:R11" si="2">P6/Q6</f>
        <v>1.0506368087197513E-2</v>
      </c>
      <c r="T6" s="2376">
        <v>21975831.800000001</v>
      </c>
      <c r="U6" s="2380">
        <v>568508638</v>
      </c>
      <c r="V6" s="2384">
        <f>+T6/U6</f>
        <v>3.8655229368740045E-2</v>
      </c>
      <c r="X6" s="2376">
        <v>16604914.84</v>
      </c>
      <c r="Y6" s="2380">
        <v>544808000</v>
      </c>
      <c r="Z6" s="2384">
        <f t="shared" ref="Z6:Z11" si="3">+X6/Y6</f>
        <v>3.0478471020983538E-2</v>
      </c>
      <c r="AB6" s="2376">
        <v>11146044.289999999</v>
      </c>
      <c r="AC6" s="2380">
        <v>525495000</v>
      </c>
      <c r="AD6" s="2384">
        <f t="shared" ref="AD6:AD11" si="4">+AB6/AC6</f>
        <v>2.1210562022474046E-2</v>
      </c>
      <c r="AF6" s="2376">
        <v>3179140</v>
      </c>
      <c r="AG6" s="2380">
        <v>454564850.86000001</v>
      </c>
      <c r="AH6" s="2384">
        <f t="shared" ref="AH6:AH11" si="5">+AF6/AG6</f>
        <v>6.9938095609137479E-3</v>
      </c>
      <c r="AJ6" s="2376">
        <v>18820683.18</v>
      </c>
      <c r="AK6" s="2380">
        <v>442210806</v>
      </c>
      <c r="AL6" s="2384">
        <f t="shared" ref="AL6:AL11" si="6">+AJ6/AK6</f>
        <v>4.2560432546282008E-2</v>
      </c>
      <c r="AN6" s="2376">
        <v>13213414.189999999</v>
      </c>
      <c r="AO6" s="2380">
        <f>344828563+31946140</f>
        <v>376774703</v>
      </c>
      <c r="AP6" s="2384">
        <f t="shared" ref="AP6:AP11" si="7">+AN6/AO6</f>
        <v>3.5069801886354349E-2</v>
      </c>
      <c r="AR6" s="2376">
        <v>13661993.449999999</v>
      </c>
      <c r="AS6" s="2380">
        <v>338547000</v>
      </c>
      <c r="AT6" s="2384">
        <f t="shared" ref="AT6:AT11" si="8">+AR6/AS6</f>
        <v>4.0354791062983869E-2</v>
      </c>
    </row>
    <row r="7" spans="2:52">
      <c r="B7" s="2254" t="s">
        <v>16</v>
      </c>
      <c r="D7" s="2377">
        <v>1401.74</v>
      </c>
      <c r="E7" s="2381">
        <v>547496</v>
      </c>
      <c r="F7" s="2384">
        <f t="shared" si="0"/>
        <v>2.5602744129637478E-3</v>
      </c>
      <c r="H7" s="2377">
        <v>1141</v>
      </c>
      <c r="I7" s="2381">
        <v>524494</v>
      </c>
      <c r="J7" s="2384">
        <f t="shared" si="1"/>
        <v>2.1754300335180194E-3</v>
      </c>
      <c r="L7" s="2377">
        <v>3789212</v>
      </c>
      <c r="M7" s="2381">
        <v>490616572</v>
      </c>
      <c r="N7" s="2384">
        <f t="shared" ref="N7:N43" si="9">L7/M7</f>
        <v>7.7233673223741006E-3</v>
      </c>
      <c r="P7" s="2377">
        <v>4788740.55</v>
      </c>
      <c r="Q7" s="2381">
        <v>504153104</v>
      </c>
      <c r="R7" s="2384">
        <f t="shared" si="2"/>
        <v>9.4985838865330081E-3</v>
      </c>
      <c r="T7" s="2377">
        <v>7980682.2999999998</v>
      </c>
      <c r="U7" s="2381">
        <v>489931347</v>
      </c>
      <c r="V7" s="2384">
        <f t="shared" ref="V7:V43" si="10">+T7/U7</f>
        <v>1.6289389011068932E-2</v>
      </c>
      <c r="X7" s="2377">
        <v>4862181</v>
      </c>
      <c r="Y7" s="2381">
        <v>475890000</v>
      </c>
      <c r="Z7" s="2384">
        <f t="shared" si="3"/>
        <v>1.0217027044064806E-2</v>
      </c>
      <c r="AB7" s="2377">
        <v>6974673.8899999997</v>
      </c>
      <c r="AC7" s="2381">
        <v>433633000</v>
      </c>
      <c r="AD7" s="2384">
        <f t="shared" si="4"/>
        <v>1.6084278387484347E-2</v>
      </c>
      <c r="AF7" s="2377">
        <v>2829094.34</v>
      </c>
      <c r="AG7" s="2381">
        <v>405730526.4199999</v>
      </c>
      <c r="AH7" s="2384">
        <f t="shared" si="5"/>
        <v>6.9728407299366165E-3</v>
      </c>
      <c r="AJ7" s="2377">
        <v>8880950</v>
      </c>
      <c r="AK7" s="2381">
        <v>381887931</v>
      </c>
      <c r="AL7" s="2384">
        <f t="shared" si="6"/>
        <v>2.3255382742116561E-2</v>
      </c>
      <c r="AN7" s="2377">
        <v>10599861.25</v>
      </c>
      <c r="AO7" s="2381">
        <f>320078258+4706567</f>
        <v>324784825</v>
      </c>
      <c r="AP7" s="2384">
        <f t="shared" si="7"/>
        <v>3.2636565609246063E-2</v>
      </c>
      <c r="AR7" s="2377">
        <v>12662239.540000001</v>
      </c>
      <c r="AS7" s="2381">
        <v>304965000</v>
      </c>
      <c r="AT7" s="2384">
        <f t="shared" si="8"/>
        <v>4.1520304100470549E-2</v>
      </c>
    </row>
    <row r="8" spans="2:52">
      <c r="B8" s="2254" t="s">
        <v>21</v>
      </c>
      <c r="D8" s="2377"/>
      <c r="E8" s="2381">
        <v>375081</v>
      </c>
      <c r="F8" s="2384">
        <f t="shared" si="0"/>
        <v>0</v>
      </c>
      <c r="H8" s="2377">
        <v>300</v>
      </c>
      <c r="I8" s="2381">
        <v>357658</v>
      </c>
      <c r="J8" s="2384">
        <f t="shared" si="1"/>
        <v>8.3879012911776049E-4</v>
      </c>
      <c r="L8" s="2377">
        <v>3252202.06</v>
      </c>
      <c r="M8" s="2381">
        <v>341742961</v>
      </c>
      <c r="N8" s="2384">
        <f t="shared" si="9"/>
        <v>9.5165151331383247E-3</v>
      </c>
      <c r="P8" s="2377">
        <v>1088053.19</v>
      </c>
      <c r="Q8" s="2381">
        <v>321893929</v>
      </c>
      <c r="R8" s="2384">
        <f t="shared" si="2"/>
        <v>3.3801606429178723E-3</v>
      </c>
      <c r="T8" s="2377">
        <v>535343.76</v>
      </c>
      <c r="U8" s="2381">
        <v>335652640</v>
      </c>
      <c r="V8" s="2384">
        <f t="shared" si="10"/>
        <v>1.5949338578120525E-3</v>
      </c>
      <c r="X8" s="2377">
        <v>1635000</v>
      </c>
      <c r="Y8" s="2381">
        <v>315889000</v>
      </c>
      <c r="Z8" s="2384">
        <f t="shared" si="3"/>
        <v>5.1758687387025186E-3</v>
      </c>
      <c r="AB8" s="2377">
        <v>1228659</v>
      </c>
      <c r="AC8" s="2381">
        <v>289974000</v>
      </c>
      <c r="AD8" s="2384">
        <f t="shared" si="4"/>
        <v>4.2371350534875542E-3</v>
      </c>
      <c r="AF8" s="2377">
        <v>396500</v>
      </c>
      <c r="AG8" s="2381">
        <v>259481344</v>
      </c>
      <c r="AH8" s="2384">
        <f t="shared" si="5"/>
        <v>1.5280481975613631E-3</v>
      </c>
      <c r="AJ8" s="2377">
        <v>435000</v>
      </c>
      <c r="AK8" s="2381">
        <v>245219428</v>
      </c>
      <c r="AL8" s="2384">
        <f t="shared" si="6"/>
        <v>1.7739214366000397E-3</v>
      </c>
      <c r="AN8" s="2377">
        <v>4652186.21</v>
      </c>
      <c r="AO8" s="2381">
        <v>214006854</v>
      </c>
      <c r="AP8" s="2384">
        <f t="shared" si="7"/>
        <v>2.1738491655972851E-2</v>
      </c>
      <c r="AR8" s="2377">
        <v>192337.66</v>
      </c>
      <c r="AS8" s="2381">
        <v>192343000</v>
      </c>
      <c r="AT8" s="2384">
        <f t="shared" si="8"/>
        <v>9.9997223709726892E-4</v>
      </c>
    </row>
    <row r="9" spans="2:52">
      <c r="B9" s="2254" t="s">
        <v>85</v>
      </c>
      <c r="D9" s="2377"/>
      <c r="E9" s="2381">
        <v>406873</v>
      </c>
      <c r="F9" s="2384">
        <f t="shared" si="0"/>
        <v>0</v>
      </c>
      <c r="H9" s="2377"/>
      <c r="I9" s="2381">
        <v>368089</v>
      </c>
      <c r="J9" s="2384">
        <f t="shared" si="1"/>
        <v>0</v>
      </c>
      <c r="L9" s="2377"/>
      <c r="M9" s="2381">
        <v>371582505</v>
      </c>
      <c r="N9" s="2384">
        <f t="shared" si="9"/>
        <v>0</v>
      </c>
      <c r="P9" s="2377"/>
      <c r="Q9" s="2381">
        <v>298703562</v>
      </c>
      <c r="R9" s="2384">
        <f t="shared" si="2"/>
        <v>0</v>
      </c>
      <c r="T9" s="2377"/>
      <c r="U9" s="2381">
        <v>315377711</v>
      </c>
      <c r="V9" s="2384">
        <f t="shared" si="10"/>
        <v>0</v>
      </c>
      <c r="X9" s="2377"/>
      <c r="Y9" s="2381">
        <v>54812000</v>
      </c>
      <c r="Z9" s="2384">
        <f t="shared" si="3"/>
        <v>0</v>
      </c>
      <c r="AB9" s="2377"/>
      <c r="AC9" s="2381">
        <v>54269000</v>
      </c>
      <c r="AD9" s="2384">
        <f t="shared" si="4"/>
        <v>0</v>
      </c>
      <c r="AF9" s="2377"/>
      <c r="AG9" s="2381">
        <v>272415349</v>
      </c>
      <c r="AH9" s="2384">
        <f t="shared" si="5"/>
        <v>0</v>
      </c>
      <c r="AJ9" s="2377">
        <v>0</v>
      </c>
      <c r="AK9" s="2381">
        <v>43754693</v>
      </c>
      <c r="AL9" s="2384">
        <f t="shared" si="6"/>
        <v>0</v>
      </c>
      <c r="AN9" s="2377">
        <v>0</v>
      </c>
      <c r="AO9" s="2381">
        <f>52156389+270036</f>
        <v>52426425</v>
      </c>
      <c r="AP9" s="2384">
        <f t="shared" si="7"/>
        <v>0</v>
      </c>
      <c r="AR9" s="2377">
        <v>0</v>
      </c>
      <c r="AS9" s="2381">
        <f>271694000-AS10</f>
        <v>38085000</v>
      </c>
      <c r="AT9" s="2384">
        <f t="shared" si="8"/>
        <v>0</v>
      </c>
    </row>
    <row r="10" spans="2:52">
      <c r="B10" s="2254" t="s">
        <v>86</v>
      </c>
      <c r="D10" s="2377"/>
      <c r="E10" s="2381">
        <v>68064</v>
      </c>
      <c r="F10" s="2384">
        <f t="shared" si="0"/>
        <v>0</v>
      </c>
      <c r="H10" s="2377"/>
      <c r="I10" s="2381">
        <v>68558</v>
      </c>
      <c r="J10" s="2384">
        <f t="shared" si="1"/>
        <v>0</v>
      </c>
      <c r="L10" s="2377"/>
      <c r="M10" s="2381">
        <v>59582297</v>
      </c>
      <c r="N10" s="2384">
        <f t="shared" si="9"/>
        <v>0</v>
      </c>
      <c r="P10" s="2377"/>
      <c r="Q10" s="2381">
        <v>59565878</v>
      </c>
      <c r="R10" s="2384">
        <f t="shared" si="2"/>
        <v>0</v>
      </c>
      <c r="T10" s="2377"/>
      <c r="U10" s="2381">
        <v>57728607</v>
      </c>
      <c r="V10" s="2384">
        <f t="shared" si="10"/>
        <v>0</v>
      </c>
      <c r="X10" s="2377"/>
      <c r="Y10" s="2381">
        <v>283364000</v>
      </c>
      <c r="Z10" s="2384">
        <f t="shared" si="3"/>
        <v>0</v>
      </c>
      <c r="AB10" s="2377"/>
      <c r="AC10" s="2381">
        <v>289443000</v>
      </c>
      <c r="AD10" s="2384">
        <f t="shared" si="4"/>
        <v>0</v>
      </c>
      <c r="AF10" s="2377"/>
      <c r="AG10" s="2381">
        <v>50668652</v>
      </c>
      <c r="AH10" s="2384">
        <f t="shared" si="5"/>
        <v>0</v>
      </c>
      <c r="AJ10" s="2377">
        <v>0</v>
      </c>
      <c r="AK10" s="2381">
        <v>249204575</v>
      </c>
      <c r="AL10" s="2384">
        <f t="shared" si="6"/>
        <v>0</v>
      </c>
      <c r="AN10" s="2377">
        <v>0</v>
      </c>
      <c r="AO10" s="2381">
        <v>335973051</v>
      </c>
      <c r="AP10" s="2384">
        <f t="shared" si="7"/>
        <v>0</v>
      </c>
      <c r="AR10" s="2377">
        <v>0</v>
      </c>
      <c r="AS10" s="2381">
        <v>233609000</v>
      </c>
      <c r="AT10" s="2384">
        <f t="shared" si="8"/>
        <v>0</v>
      </c>
    </row>
    <row r="11" spans="2:52">
      <c r="B11" s="2330" t="s">
        <v>3</v>
      </c>
      <c r="D11" s="2378">
        <f>SUM(D6:D10)</f>
        <v>6242.1911300000002</v>
      </c>
      <c r="E11" s="2382">
        <f>SUM(E6:E10)</f>
        <v>2036198</v>
      </c>
      <c r="F11" s="2385">
        <f t="shared" si="0"/>
        <v>3.0656110702397313E-3</v>
      </c>
      <c r="H11" s="2378">
        <f>SUM(H6:H10)</f>
        <v>13886.91857</v>
      </c>
      <c r="I11" s="2382">
        <v>1926165</v>
      </c>
      <c r="J11" s="2385">
        <f t="shared" si="1"/>
        <v>7.2096204478847865E-3</v>
      </c>
      <c r="L11" s="2378">
        <v>7641414.0600000005</v>
      </c>
      <c r="M11" s="2382">
        <v>1838177350</v>
      </c>
      <c r="N11" s="2385">
        <f t="shared" si="9"/>
        <v>4.1570602858315058E-3</v>
      </c>
      <c r="P11" s="2378">
        <f>SUM(P6:P10)</f>
        <v>11826397.74</v>
      </c>
      <c r="Q11" s="2382">
        <f>SUM(Q6:Q10)</f>
        <v>1750601982</v>
      </c>
      <c r="R11" s="2385">
        <f t="shared" si="2"/>
        <v>6.755617702710907E-3</v>
      </c>
      <c r="T11" s="2378">
        <f>SUM(T6:T10)</f>
        <v>30491857.860000003</v>
      </c>
      <c r="U11" s="2382">
        <f>SUM(U6:U10)</f>
        <v>1767198943</v>
      </c>
      <c r="V11" s="2385">
        <f t="shared" si="10"/>
        <v>1.725434364975172E-2</v>
      </c>
      <c r="X11" s="2378">
        <f>SUM(X6:X10)</f>
        <v>23102095.84</v>
      </c>
      <c r="Y11" s="2382">
        <f>SUM(Y6:Y10)</f>
        <v>1674763000</v>
      </c>
      <c r="Z11" s="2385">
        <f t="shared" si="3"/>
        <v>1.379424780700314E-2</v>
      </c>
      <c r="AB11" s="2378">
        <f>SUM(AB6:AB10)</f>
        <v>19349377.18</v>
      </c>
      <c r="AC11" s="2382">
        <f>SUM(AC6:AC10)</f>
        <v>1592814000</v>
      </c>
      <c r="AD11" s="2385">
        <f t="shared" si="4"/>
        <v>1.2147920083575358E-2</v>
      </c>
      <c r="AF11" s="2378">
        <v>6404734.3399999999</v>
      </c>
      <c r="AG11" s="2382">
        <v>1442860722.28</v>
      </c>
      <c r="AH11" s="2385">
        <f t="shared" si="5"/>
        <v>4.4389137780944492E-3</v>
      </c>
      <c r="AJ11" s="2378">
        <f>+AJ6+AJ7+AJ8+AJ9+AJ10</f>
        <v>28136633.18</v>
      </c>
      <c r="AK11" s="2382">
        <f>+AK6+AK7+AK8+AK9+AK10</f>
        <v>1362277433</v>
      </c>
      <c r="AL11" s="2385">
        <f t="shared" si="6"/>
        <v>2.0654113837911606E-2</v>
      </c>
      <c r="AN11" s="2378">
        <f>+AN6+AN7+AN8+AN9+AN10</f>
        <v>28465461.649999999</v>
      </c>
      <c r="AO11" s="2382">
        <f>+AO6+AO7+AO8+AO9+AO10</f>
        <v>1303965858</v>
      </c>
      <c r="AP11" s="2385">
        <f t="shared" si="7"/>
        <v>2.1829913318175236E-2</v>
      </c>
      <c r="AR11" s="2378">
        <f>+AR6+AR7+AR8+AR9+AR10</f>
        <v>26516570.650000002</v>
      </c>
      <c r="AS11" s="2382">
        <f>+AS6+AS7+AS8+AS9+AS10</f>
        <v>1107549000</v>
      </c>
      <c r="AT11" s="2385">
        <f t="shared" si="8"/>
        <v>2.3941668179015108E-2</v>
      </c>
    </row>
    <row r="12" spans="2:52">
      <c r="B12" s="2580"/>
      <c r="D12" s="2"/>
      <c r="E12" s="2"/>
      <c r="F12" s="2386"/>
      <c r="H12" s="2"/>
      <c r="I12" s="2"/>
      <c r="J12" s="2386"/>
      <c r="L12" s="2"/>
      <c r="M12" s="2"/>
      <c r="N12" s="2386"/>
      <c r="P12" s="2"/>
      <c r="Q12" s="2"/>
      <c r="R12" s="2386"/>
      <c r="T12" s="2"/>
      <c r="U12" s="2"/>
      <c r="V12" s="2386"/>
      <c r="X12" s="2"/>
      <c r="Y12" s="2"/>
      <c r="Z12" s="2386"/>
      <c r="AB12" s="2"/>
      <c r="AC12" s="2"/>
      <c r="AD12" s="2386"/>
      <c r="AF12" s="2"/>
      <c r="AG12" s="2"/>
      <c r="AH12" s="2386"/>
      <c r="AJ12" s="2"/>
      <c r="AK12" s="2"/>
      <c r="AL12" s="2386"/>
      <c r="AN12" s="2"/>
      <c r="AO12" s="2"/>
      <c r="AP12" s="2386"/>
      <c r="AR12" s="2"/>
      <c r="AS12" s="2"/>
      <c r="AT12" s="2386"/>
    </row>
    <row r="13" spans="2:52">
      <c r="B13" s="2329" t="s">
        <v>16</v>
      </c>
      <c r="D13" s="2376">
        <v>3502.489</v>
      </c>
      <c r="E13" s="2380">
        <v>105998</v>
      </c>
      <c r="F13" s="2384">
        <f t="shared" ref="F13:F18" si="11">D13/E13</f>
        <v>3.3042972508915261E-2</v>
      </c>
      <c r="H13" s="2376">
        <v>6460.357</v>
      </c>
      <c r="I13" s="2380">
        <v>94740</v>
      </c>
      <c r="J13" s="2384">
        <f t="shared" ref="J13:J18" si="12">H13/I13</f>
        <v>6.8190384209415242E-2</v>
      </c>
      <c r="L13" s="2376">
        <v>284700</v>
      </c>
      <c r="M13" s="2380">
        <v>86189884</v>
      </c>
      <c r="N13" s="2384">
        <f t="shared" si="9"/>
        <v>3.3031718664338844E-3</v>
      </c>
      <c r="P13" s="2376">
        <v>2077359</v>
      </c>
      <c r="Q13" s="2380">
        <v>74782669</v>
      </c>
      <c r="R13" s="2384">
        <f t="shared" ref="R13:R18" si="13">P13/Q13</f>
        <v>2.7778615390151428E-2</v>
      </c>
      <c r="T13" s="2376">
        <v>3886595</v>
      </c>
      <c r="U13" s="2380">
        <v>80568840</v>
      </c>
      <c r="V13" s="2384">
        <f t="shared" si="10"/>
        <v>4.8239431025691816E-2</v>
      </c>
      <c r="X13" s="2376">
        <v>697587</v>
      </c>
      <c r="Y13" s="2380">
        <v>73397000</v>
      </c>
      <c r="Z13" s="2384">
        <f t="shared" ref="Z13:Z18" si="14">+X13/Y13</f>
        <v>9.5042985408122956E-3</v>
      </c>
      <c r="AB13" s="2376"/>
      <c r="AC13" s="2380">
        <v>66212000</v>
      </c>
      <c r="AD13" s="2384">
        <f t="shared" ref="AD13:AD18" si="15">+AB13/AC13</f>
        <v>0</v>
      </c>
      <c r="AF13" s="2376"/>
      <c r="AG13" s="2380">
        <v>64095764.459999993</v>
      </c>
      <c r="AH13" s="2384">
        <f t="shared" ref="AH13:AH18" si="16">+AF13/AG13</f>
        <v>0</v>
      </c>
      <c r="AJ13" s="2376">
        <v>904563.19999999995</v>
      </c>
      <c r="AK13" s="2380">
        <v>58650469</v>
      </c>
      <c r="AL13" s="2384">
        <f t="shared" ref="AL13:AL18" si="17">+AJ13/AK13</f>
        <v>1.542294913276823E-2</v>
      </c>
      <c r="AN13" s="2376">
        <v>765300</v>
      </c>
      <c r="AO13" s="2380">
        <v>43217897</v>
      </c>
      <c r="AP13" s="2384">
        <f t="shared" ref="AP13:AP18" si="18">+AN13/AO13</f>
        <v>1.7707941689064602E-2</v>
      </c>
      <c r="AR13" s="2376">
        <v>0</v>
      </c>
      <c r="AS13" s="2380">
        <v>41691000</v>
      </c>
      <c r="AT13" s="2384">
        <f t="shared" ref="AT13:AT18" si="19">+AR13/AS13</f>
        <v>0</v>
      </c>
    </row>
    <row r="14" spans="2:52">
      <c r="B14" s="2254" t="s">
        <v>61</v>
      </c>
      <c r="D14" s="2377">
        <v>358.60399999999998</v>
      </c>
      <c r="E14" s="2381">
        <v>95594</v>
      </c>
      <c r="F14" s="2384">
        <f t="shared" si="11"/>
        <v>3.7513233048099251E-3</v>
      </c>
      <c r="H14" s="2377"/>
      <c r="I14" s="2381">
        <v>84984.7</v>
      </c>
      <c r="J14" s="2384">
        <f t="shared" si="12"/>
        <v>0</v>
      </c>
      <c r="L14" s="2377">
        <v>1365300</v>
      </c>
      <c r="M14" s="2381">
        <v>77843578</v>
      </c>
      <c r="N14" s="2384">
        <f t="shared" si="9"/>
        <v>1.7539019082601779E-2</v>
      </c>
      <c r="P14" s="2377">
        <v>1865600</v>
      </c>
      <c r="Q14" s="2381">
        <v>69191240</v>
      </c>
      <c r="R14" s="2384">
        <f t="shared" si="13"/>
        <v>2.6962950801286405E-2</v>
      </c>
      <c r="T14" s="2377">
        <v>1416660</v>
      </c>
      <c r="U14" s="2381">
        <v>76678775</v>
      </c>
      <c r="V14" s="2384">
        <f t="shared" si="10"/>
        <v>1.8475256027499134E-2</v>
      </c>
      <c r="X14" s="2377">
        <v>11523378.780000001</v>
      </c>
      <c r="Y14" s="2381">
        <v>71469000</v>
      </c>
      <c r="Z14" s="2384">
        <f t="shared" si="14"/>
        <v>0.16123604331948119</v>
      </c>
      <c r="AB14" s="2377">
        <v>1328028.1299999999</v>
      </c>
      <c r="AC14" s="2381">
        <v>60921000</v>
      </c>
      <c r="AD14" s="2384">
        <f t="shared" si="15"/>
        <v>2.1799184681801018E-2</v>
      </c>
      <c r="AF14" s="2377">
        <v>435100</v>
      </c>
      <c r="AG14" s="2381">
        <v>60447136</v>
      </c>
      <c r="AH14" s="2384">
        <f t="shared" si="16"/>
        <v>7.1980250644133083E-3</v>
      </c>
      <c r="AJ14" s="2377">
        <v>10619229.43</v>
      </c>
      <c r="AK14" s="2381">
        <v>50133242</v>
      </c>
      <c r="AL14" s="2384">
        <f t="shared" si="17"/>
        <v>0.21182012186644542</v>
      </c>
      <c r="AN14" s="2377">
        <v>4264115.09</v>
      </c>
      <c r="AO14" s="2381">
        <v>34999417</v>
      </c>
      <c r="AP14" s="2384">
        <f t="shared" si="18"/>
        <v>0.1218338891187816</v>
      </c>
      <c r="AR14" s="2377">
        <v>4798600</v>
      </c>
      <c r="AS14" s="2381">
        <v>34602000</v>
      </c>
      <c r="AT14" s="2384">
        <f t="shared" si="19"/>
        <v>0.1386798450956592</v>
      </c>
    </row>
    <row r="15" spans="2:52">
      <c r="B15" s="2254" t="s">
        <v>64</v>
      </c>
      <c r="D15" s="2377">
        <v>5237.74</v>
      </c>
      <c r="E15" s="2381">
        <v>100278</v>
      </c>
      <c r="F15" s="2384">
        <f t="shared" si="11"/>
        <v>5.2232194499291965E-2</v>
      </c>
      <c r="H15" s="2377">
        <v>6276.2830000000004</v>
      </c>
      <c r="I15" s="2381">
        <v>83753</v>
      </c>
      <c r="J15" s="2384">
        <f t="shared" si="12"/>
        <v>7.4938008190751373E-2</v>
      </c>
      <c r="L15" s="2377">
        <v>5712251</v>
      </c>
      <c r="M15" s="2381">
        <v>85833819</v>
      </c>
      <c r="N15" s="2384">
        <f t="shared" si="9"/>
        <v>6.655012052999762E-2</v>
      </c>
      <c r="P15" s="2377">
        <v>11813236</v>
      </c>
      <c r="Q15" s="2381">
        <v>82921290</v>
      </c>
      <c r="R15" s="2384">
        <f t="shared" si="13"/>
        <v>0.14246324436100788</v>
      </c>
      <c r="T15" s="2377">
        <v>6627913.1000000006</v>
      </c>
      <c r="U15" s="2381">
        <v>76305734</v>
      </c>
      <c r="V15" s="2384">
        <f t="shared" si="10"/>
        <v>8.6859961271062547E-2</v>
      </c>
      <c r="X15" s="2377">
        <v>3788235</v>
      </c>
      <c r="Y15" s="2381">
        <v>71019000</v>
      </c>
      <c r="Z15" s="2384">
        <f t="shared" si="14"/>
        <v>5.3341148143454566E-2</v>
      </c>
      <c r="AB15" s="2377">
        <v>1345296</v>
      </c>
      <c r="AC15" s="2381">
        <v>63824000</v>
      </c>
      <c r="AD15" s="2384">
        <f t="shared" si="15"/>
        <v>2.107821509150163E-2</v>
      </c>
      <c r="AF15" s="2377">
        <v>38000</v>
      </c>
      <c r="AG15" s="2381">
        <v>51917423</v>
      </c>
      <c r="AH15" s="2384">
        <f t="shared" si="16"/>
        <v>7.3193155214965121E-4</v>
      </c>
      <c r="AJ15" s="2377">
        <v>3217134</v>
      </c>
      <c r="AK15" s="2381">
        <v>56237259</v>
      </c>
      <c r="AL15" s="2384">
        <f t="shared" si="17"/>
        <v>5.7206450975855708E-2</v>
      </c>
      <c r="AN15" s="2377">
        <v>3743270</v>
      </c>
      <c r="AO15" s="2381">
        <v>42953608</v>
      </c>
      <c r="AP15" s="2384">
        <f t="shared" si="18"/>
        <v>8.7146811974444613E-2</v>
      </c>
      <c r="AR15" s="2377">
        <v>4078009.1500000004</v>
      </c>
      <c r="AS15" s="2381">
        <v>42621000</v>
      </c>
      <c r="AT15" s="2384">
        <f t="shared" si="19"/>
        <v>9.5680747753454878E-2</v>
      </c>
    </row>
    <row r="16" spans="2:52">
      <c r="B16" s="2254" t="s">
        <v>85</v>
      </c>
      <c r="D16" s="2377"/>
      <c r="E16" s="2381">
        <v>165689</v>
      </c>
      <c r="F16" s="2384">
        <f t="shared" si="11"/>
        <v>0</v>
      </c>
      <c r="H16" s="2377"/>
      <c r="I16" s="2381">
        <v>147823</v>
      </c>
      <c r="J16" s="2384">
        <f t="shared" si="12"/>
        <v>0</v>
      </c>
      <c r="L16" s="2377"/>
      <c r="M16" s="2381">
        <v>140720163</v>
      </c>
      <c r="N16" s="2384">
        <f t="shared" si="9"/>
        <v>0</v>
      </c>
      <c r="P16" s="2377"/>
      <c r="Q16" s="2381">
        <v>118915766</v>
      </c>
      <c r="R16" s="2384">
        <f t="shared" si="13"/>
        <v>0</v>
      </c>
      <c r="T16" s="2377"/>
      <c r="U16" s="2381">
        <v>123197673</v>
      </c>
      <c r="V16" s="2384">
        <f t="shared" si="10"/>
        <v>0</v>
      </c>
      <c r="X16" s="2377"/>
      <c r="Y16" s="2381">
        <v>28464000</v>
      </c>
      <c r="Z16" s="2384">
        <f t="shared" si="14"/>
        <v>0</v>
      </c>
      <c r="AB16" s="2377">
        <v>2737000</v>
      </c>
      <c r="AC16" s="2381">
        <v>30220000</v>
      </c>
      <c r="AD16" s="2384">
        <f t="shared" si="15"/>
        <v>9.0569159497021837E-2</v>
      </c>
      <c r="AF16" s="2377">
        <v>552000</v>
      </c>
      <c r="AG16" s="2381">
        <v>101924572</v>
      </c>
      <c r="AH16" s="2384">
        <f t="shared" si="16"/>
        <v>5.4157696144164335E-3</v>
      </c>
      <c r="AJ16" s="2377">
        <v>800000</v>
      </c>
      <c r="AK16" s="2381">
        <v>25543779</v>
      </c>
      <c r="AL16" s="2384">
        <f t="shared" si="17"/>
        <v>3.1318780200846552E-2</v>
      </c>
      <c r="AN16" s="2377">
        <v>0</v>
      </c>
      <c r="AO16" s="2381">
        <v>31013067</v>
      </c>
      <c r="AP16" s="2384">
        <f t="shared" si="18"/>
        <v>0</v>
      </c>
      <c r="AR16" s="2377">
        <v>0</v>
      </c>
      <c r="AS16" s="2381">
        <f>82946000-AS17</f>
        <v>15003000</v>
      </c>
      <c r="AT16" s="2384">
        <f t="shared" si="19"/>
        <v>0</v>
      </c>
    </row>
    <row r="17" spans="2:46">
      <c r="B17" s="2254" t="s">
        <v>86</v>
      </c>
      <c r="D17" s="2377"/>
      <c r="E17" s="2381">
        <v>36183</v>
      </c>
      <c r="F17" s="2384">
        <f t="shared" si="11"/>
        <v>0</v>
      </c>
      <c r="H17" s="2377"/>
      <c r="I17" s="2381">
        <v>36591</v>
      </c>
      <c r="J17" s="2384">
        <f t="shared" si="12"/>
        <v>0</v>
      </c>
      <c r="L17" s="2377"/>
      <c r="M17" s="2381">
        <v>31460970</v>
      </c>
      <c r="N17" s="2384">
        <f t="shared" si="9"/>
        <v>0</v>
      </c>
      <c r="P17" s="2377"/>
      <c r="Q17" s="2381">
        <v>31040293</v>
      </c>
      <c r="R17" s="2384">
        <f t="shared" si="13"/>
        <v>0</v>
      </c>
      <c r="T17" s="2377"/>
      <c r="U17" s="2381">
        <v>31106413</v>
      </c>
      <c r="V17" s="2384">
        <f t="shared" si="10"/>
        <v>0</v>
      </c>
      <c r="X17" s="2377"/>
      <c r="Y17" s="2381">
        <v>109573000</v>
      </c>
      <c r="Z17" s="2384">
        <f t="shared" si="14"/>
        <v>0</v>
      </c>
      <c r="AB17" s="2377"/>
      <c r="AC17" s="2381">
        <v>108608000</v>
      </c>
      <c r="AD17" s="2384">
        <f t="shared" si="15"/>
        <v>0</v>
      </c>
      <c r="AF17" s="2377"/>
      <c r="AG17" s="2381">
        <v>27936270.730000004</v>
      </c>
      <c r="AH17" s="2384">
        <f t="shared" si="16"/>
        <v>0</v>
      </c>
      <c r="AJ17" s="2377">
        <v>0</v>
      </c>
      <c r="AK17" s="2381">
        <v>181636324</v>
      </c>
      <c r="AL17" s="2384">
        <f t="shared" si="17"/>
        <v>0</v>
      </c>
      <c r="AN17" s="2377">
        <v>0</v>
      </c>
      <c r="AO17" s="2381">
        <v>119895345</v>
      </c>
      <c r="AP17" s="2384">
        <f t="shared" si="18"/>
        <v>0</v>
      </c>
      <c r="AR17" s="2377">
        <v>0</v>
      </c>
      <c r="AS17" s="2381">
        <v>67943000</v>
      </c>
      <c r="AT17" s="2384">
        <f t="shared" si="19"/>
        <v>0</v>
      </c>
    </row>
    <row r="18" spans="2:46">
      <c r="B18" s="2330" t="s">
        <v>59</v>
      </c>
      <c r="D18" s="2378">
        <f>SUM(D13:D17)</f>
        <v>9098.8329999999987</v>
      </c>
      <c r="E18" s="2382">
        <f>SUM(E13:E17)</f>
        <v>503742</v>
      </c>
      <c r="F18" s="2385">
        <f t="shared" si="11"/>
        <v>1.8062486352140576E-2</v>
      </c>
      <c r="H18" s="2378">
        <f>SUM(H13:H17)</f>
        <v>12736.64</v>
      </c>
      <c r="I18" s="2382">
        <v>447891.7</v>
      </c>
      <c r="J18" s="2385">
        <f t="shared" si="12"/>
        <v>2.843687436047598E-2</v>
      </c>
      <c r="L18" s="2378">
        <v>7362251</v>
      </c>
      <c r="M18" s="2382">
        <v>422048414</v>
      </c>
      <c r="N18" s="2385">
        <f t="shared" si="9"/>
        <v>1.744409114163855E-2</v>
      </c>
      <c r="P18" s="2378">
        <f>SUM(P13:P17)</f>
        <v>15756195</v>
      </c>
      <c r="Q18" s="2382">
        <f>SUM(Q13:Q17)</f>
        <v>376851258</v>
      </c>
      <c r="R18" s="2385">
        <f t="shared" si="13"/>
        <v>4.1810116499597837E-2</v>
      </c>
      <c r="T18" s="2378">
        <f>SUM(T13:T17)</f>
        <v>11931168.100000001</v>
      </c>
      <c r="U18" s="2382">
        <f>SUM(U13:U17)</f>
        <v>387857435</v>
      </c>
      <c r="V18" s="2385">
        <f t="shared" si="10"/>
        <v>3.0761736203406803E-2</v>
      </c>
      <c r="X18" s="2378">
        <f>SUM(X13:X17)</f>
        <v>16009200.780000001</v>
      </c>
      <c r="Y18" s="2382">
        <f>SUM(Y13:Y17)</f>
        <v>353922000</v>
      </c>
      <c r="Z18" s="2385">
        <f t="shared" si="14"/>
        <v>4.5233697763914088E-2</v>
      </c>
      <c r="AB18" s="2378">
        <f>SUM(AB13:AB17)</f>
        <v>5410324.1299999999</v>
      </c>
      <c r="AC18" s="2382">
        <f>SUM(AC13:AC17)</f>
        <v>329785000</v>
      </c>
      <c r="AD18" s="2385">
        <f t="shared" si="15"/>
        <v>1.6405610109616872E-2</v>
      </c>
      <c r="AF18" s="2378">
        <v>1025100</v>
      </c>
      <c r="AG18" s="2382">
        <v>306321166.19</v>
      </c>
      <c r="AH18" s="2385">
        <f t="shared" si="16"/>
        <v>3.3464876513435815E-3</v>
      </c>
      <c r="AJ18" s="2378">
        <f>+AJ13+AJ14+AJ15+AJ16+AJ17</f>
        <v>15540926.629999999</v>
      </c>
      <c r="AK18" s="2382">
        <f>+AK13+AK14+AK15+AK16+AK17</f>
        <v>372201073</v>
      </c>
      <c r="AL18" s="2385">
        <f t="shared" si="17"/>
        <v>4.1754115604067589E-2</v>
      </c>
      <c r="AN18" s="2378">
        <f>+AN13+AN14+AN15+AN16+AN17</f>
        <v>8772685.0899999999</v>
      </c>
      <c r="AO18" s="2382">
        <f>+AO13+AO14+AO15+AO16+AO17</f>
        <v>272079334</v>
      </c>
      <c r="AP18" s="2385">
        <f t="shared" si="18"/>
        <v>3.2243114392510236E-2</v>
      </c>
      <c r="AR18" s="2378">
        <f>+AR13+AR14+AR15+AR16+AR17</f>
        <v>8876609.1500000004</v>
      </c>
      <c r="AS18" s="2382">
        <f>+AS13+AS14+AS15+AS16+AS17</f>
        <v>201860000</v>
      </c>
      <c r="AT18" s="2385">
        <f t="shared" si="19"/>
        <v>4.3974086743287427E-2</v>
      </c>
    </row>
    <row r="19" spans="2:46">
      <c r="B19" s="2580"/>
      <c r="D19" s="2"/>
      <c r="E19" s="2"/>
      <c r="F19" s="2386"/>
      <c r="H19" s="2"/>
      <c r="I19" s="2"/>
      <c r="J19" s="2386"/>
      <c r="L19" s="2"/>
      <c r="M19" s="2"/>
      <c r="N19" s="2386"/>
      <c r="P19" s="2"/>
      <c r="Q19" s="2"/>
      <c r="R19" s="2386"/>
      <c r="T19" s="2"/>
      <c r="U19" s="2"/>
      <c r="V19" s="2386"/>
      <c r="X19" s="2"/>
      <c r="Y19" s="2"/>
      <c r="Z19" s="2386"/>
      <c r="AB19" s="2"/>
      <c r="AC19" s="2"/>
      <c r="AD19" s="2386"/>
      <c r="AF19" s="2"/>
      <c r="AG19" s="2"/>
      <c r="AH19" s="2386"/>
      <c r="AJ19" s="2"/>
      <c r="AK19" s="2"/>
      <c r="AL19" s="2386"/>
      <c r="AN19" s="2"/>
      <c r="AO19" s="2"/>
      <c r="AP19" s="2386"/>
      <c r="AR19" s="2"/>
      <c r="AS19" s="2"/>
      <c r="AT19" s="2386"/>
    </row>
    <row r="20" spans="2:46">
      <c r="B20" s="2329" t="s">
        <v>4</v>
      </c>
      <c r="D20" s="2376">
        <v>16221.47378</v>
      </c>
      <c r="E20" s="2380">
        <v>525654</v>
      </c>
      <c r="F20" s="2384">
        <f t="shared" ref="F20:F25" si="20">D20/E20</f>
        <v>3.0859603046871135E-2</v>
      </c>
      <c r="H20" s="2376">
        <v>41373.065369999997</v>
      </c>
      <c r="I20" s="2380">
        <v>644817</v>
      </c>
      <c r="J20" s="2384">
        <f t="shared" ref="J20:J25" si="21">H20/I20</f>
        <v>6.4162491637162172E-2</v>
      </c>
      <c r="L20" s="2376">
        <v>32172924.489999998</v>
      </c>
      <c r="M20" s="2380">
        <v>488254472</v>
      </c>
      <c r="N20" s="2384">
        <f t="shared" si="9"/>
        <v>6.5893763058047311E-2</v>
      </c>
      <c r="P20" s="2376">
        <v>25504189</v>
      </c>
      <c r="Q20" s="2380">
        <v>487238266</v>
      </c>
      <c r="R20" s="2384">
        <f t="shared" ref="R20:R25" si="22">P20/Q20</f>
        <v>5.2344388320272037E-2</v>
      </c>
      <c r="T20" s="2376">
        <v>70917004.390000001</v>
      </c>
      <c r="U20" s="2380">
        <v>488170128</v>
      </c>
      <c r="V20" s="2384">
        <f t="shared" si="10"/>
        <v>0.14527108547289072</v>
      </c>
      <c r="X20" s="2376">
        <v>104001670.19</v>
      </c>
      <c r="Y20" s="2380">
        <v>454478000</v>
      </c>
      <c r="Z20" s="2384">
        <f t="shared" ref="Z20:Z25" si="23">+X20/Y20</f>
        <v>0.22883763392287415</v>
      </c>
      <c r="AB20" s="2376">
        <v>96085863.349999994</v>
      </c>
      <c r="AC20" s="2380">
        <v>433968000</v>
      </c>
      <c r="AD20" s="2384">
        <f t="shared" ref="AD20:AD25" si="24">+AB20/AC20</f>
        <v>0.22141232383493711</v>
      </c>
      <c r="AF20" s="2376">
        <v>23588382.640000001</v>
      </c>
      <c r="AG20" s="2380">
        <v>400409853</v>
      </c>
      <c r="AH20" s="2384">
        <f t="shared" ref="AH20:AH25" si="25">+AF20/AG20</f>
        <v>5.8910594889881492E-2</v>
      </c>
      <c r="AJ20" s="2376">
        <v>61920998.530000001</v>
      </c>
      <c r="AK20" s="2380">
        <v>359219796</v>
      </c>
      <c r="AL20" s="2384">
        <f t="shared" ref="AL20:AL25" si="26">+AJ20/AK20</f>
        <v>0.17237635347357083</v>
      </c>
      <c r="AN20" s="2376">
        <v>17873249.740000002</v>
      </c>
      <c r="AO20" s="2380">
        <v>327764627</v>
      </c>
      <c r="AP20" s="2384">
        <f t="shared" ref="AP20:AP25" si="27">+AN20/AO20</f>
        <v>5.4530746357812437E-2</v>
      </c>
      <c r="AR20" s="2376">
        <v>38568912.340000004</v>
      </c>
      <c r="AS20" s="2380">
        <v>300523000</v>
      </c>
      <c r="AT20" s="2384">
        <f t="shared" ref="AT20:AT25" si="28">+AR20/AS20</f>
        <v>0.12833930294852641</v>
      </c>
    </row>
    <row r="21" spans="2:46">
      <c r="B21" s="2254" t="s">
        <v>16</v>
      </c>
      <c r="D21" s="2377">
        <v>3790.00801</v>
      </c>
      <c r="E21" s="2381">
        <v>527329</v>
      </c>
      <c r="F21" s="2384">
        <f t="shared" si="20"/>
        <v>7.1871791803598895E-3</v>
      </c>
      <c r="H21" s="2377">
        <v>4216.1671100000003</v>
      </c>
      <c r="I21" s="2381">
        <v>404485</v>
      </c>
      <c r="J21" s="2384">
        <f t="shared" si="21"/>
        <v>1.0423543790251802E-2</v>
      </c>
      <c r="L21" s="2377">
        <v>2810271</v>
      </c>
      <c r="M21" s="2381">
        <v>505444704</v>
      </c>
      <c r="N21" s="2384">
        <f t="shared" si="9"/>
        <v>5.5599969250048767E-3</v>
      </c>
      <c r="P21" s="2377">
        <v>4244095.5199999996</v>
      </c>
      <c r="Q21" s="2381">
        <v>499055937</v>
      </c>
      <c r="R21" s="2384">
        <f t="shared" si="22"/>
        <v>8.5042481320084951E-3</v>
      </c>
      <c r="T21" s="2377">
        <v>5256160</v>
      </c>
      <c r="U21" s="2381">
        <v>488120147</v>
      </c>
      <c r="V21" s="2384">
        <f t="shared" si="10"/>
        <v>1.0768168518149693E-2</v>
      </c>
      <c r="X21" s="2377">
        <v>44348581.829999998</v>
      </c>
      <c r="Y21" s="2381">
        <v>348901000</v>
      </c>
      <c r="Z21" s="2384">
        <f t="shared" si="23"/>
        <v>0.12710935718155006</v>
      </c>
      <c r="AB21" s="2377">
        <v>26310312.199999999</v>
      </c>
      <c r="AC21" s="2381">
        <v>330420000</v>
      </c>
      <c r="AD21" s="2384">
        <f t="shared" si="24"/>
        <v>7.962687549179831E-2</v>
      </c>
      <c r="AF21" s="2377">
        <v>18644364.449999999</v>
      </c>
      <c r="AG21" s="2381">
        <v>427434927.91000003</v>
      </c>
      <c r="AH21" s="2384">
        <f t="shared" si="25"/>
        <v>4.3619187933854872E-2</v>
      </c>
      <c r="AJ21" s="2377">
        <v>27296002.790000003</v>
      </c>
      <c r="AK21" s="2381">
        <v>272530571</v>
      </c>
      <c r="AL21" s="2384">
        <f t="shared" si="26"/>
        <v>0.10015758118380048</v>
      </c>
      <c r="AN21" s="2377">
        <v>14880758.470000001</v>
      </c>
      <c r="AO21" s="2381">
        <v>262369686</v>
      </c>
      <c r="AP21" s="2384">
        <f t="shared" si="27"/>
        <v>5.6716759839396995E-2</v>
      </c>
      <c r="AR21" s="2377">
        <v>26113336.719999995</v>
      </c>
      <c r="AS21" s="2381">
        <v>243176000</v>
      </c>
      <c r="AT21" s="2384">
        <f t="shared" si="28"/>
        <v>0.10738451459025559</v>
      </c>
    </row>
    <row r="22" spans="2:46">
      <c r="B22" s="2254" t="s">
        <v>41</v>
      </c>
      <c r="D22" s="2377">
        <v>6444.44</v>
      </c>
      <c r="E22" s="2381">
        <v>425351</v>
      </c>
      <c r="F22" s="2384">
        <f t="shared" si="20"/>
        <v>1.5150875394674045E-2</v>
      </c>
      <c r="H22" s="2377">
        <v>8061.4</v>
      </c>
      <c r="I22" s="2381">
        <v>413539</v>
      </c>
      <c r="J22" s="2384">
        <f t="shared" si="21"/>
        <v>1.9493687415213557E-2</v>
      </c>
      <c r="L22" s="2377">
        <v>13254456.029999999</v>
      </c>
      <c r="M22" s="2381">
        <v>397273665</v>
      </c>
      <c r="N22" s="2384">
        <f t="shared" si="9"/>
        <v>3.3363540545784727E-2</v>
      </c>
      <c r="P22" s="2377">
        <v>13336462.08</v>
      </c>
      <c r="Q22" s="2381">
        <v>383638717</v>
      </c>
      <c r="R22" s="2384">
        <f t="shared" si="22"/>
        <v>3.4763076532757772E-2</v>
      </c>
      <c r="T22" s="2377">
        <v>34691110.57</v>
      </c>
      <c r="U22" s="2381">
        <v>393687277</v>
      </c>
      <c r="V22" s="2384">
        <f t="shared" si="10"/>
        <v>8.811844475736004E-2</v>
      </c>
      <c r="X22" s="2377">
        <v>11276969.07</v>
      </c>
      <c r="Y22" s="2381">
        <v>453432000</v>
      </c>
      <c r="Z22" s="2384">
        <f t="shared" si="23"/>
        <v>2.4870254128513205E-2</v>
      </c>
      <c r="AB22" s="2377">
        <v>12840054.91</v>
      </c>
      <c r="AC22" s="2381">
        <v>442942000</v>
      </c>
      <c r="AD22" s="2384">
        <f t="shared" si="24"/>
        <v>2.8988117879993319E-2</v>
      </c>
      <c r="AF22" s="2377">
        <v>10979709.6</v>
      </c>
      <c r="AG22" s="2381">
        <v>322132645</v>
      </c>
      <c r="AH22" s="2384">
        <f t="shared" si="25"/>
        <v>3.4084436242095235E-2</v>
      </c>
      <c r="AJ22" s="2377">
        <v>11069227.67</v>
      </c>
      <c r="AK22" s="2381">
        <v>379629094</v>
      </c>
      <c r="AL22" s="2384">
        <f t="shared" si="26"/>
        <v>2.9158006709570052E-2</v>
      </c>
      <c r="AN22" s="2377">
        <v>42424335.490000002</v>
      </c>
      <c r="AO22" s="2381">
        <v>345723524</v>
      </c>
      <c r="AP22" s="2384">
        <f t="shared" si="27"/>
        <v>0.12271174087071958</v>
      </c>
      <c r="AR22" s="2377">
        <v>45887150.830000006</v>
      </c>
      <c r="AS22" s="2381">
        <v>308858000</v>
      </c>
      <c r="AT22" s="2384">
        <f t="shared" si="28"/>
        <v>0.14857038130791497</v>
      </c>
    </row>
    <row r="23" spans="2:46">
      <c r="B23" s="2254" t="s">
        <v>85</v>
      </c>
      <c r="D23" s="2377"/>
      <c r="E23" s="2381">
        <v>447813</v>
      </c>
      <c r="F23" s="2384">
        <f t="shared" si="20"/>
        <v>0</v>
      </c>
      <c r="H23" s="2377"/>
      <c r="I23" s="2381">
        <v>404206.7</v>
      </c>
      <c r="J23" s="2384">
        <f t="shared" si="21"/>
        <v>0</v>
      </c>
      <c r="L23" s="2377"/>
      <c r="M23" s="2381">
        <v>409716132</v>
      </c>
      <c r="N23" s="2384">
        <f t="shared" si="9"/>
        <v>0</v>
      </c>
      <c r="P23" s="2377"/>
      <c r="Q23" s="2381">
        <v>339123114</v>
      </c>
      <c r="R23" s="2384">
        <f t="shared" si="22"/>
        <v>0</v>
      </c>
      <c r="T23" s="2377"/>
      <c r="U23" s="2381">
        <v>350048683</v>
      </c>
      <c r="V23" s="2384">
        <f t="shared" si="10"/>
        <v>0</v>
      </c>
      <c r="X23" s="2377"/>
      <c r="Y23" s="2381">
        <v>32359000</v>
      </c>
      <c r="Z23" s="2384">
        <f t="shared" si="23"/>
        <v>0</v>
      </c>
      <c r="AB23" s="2377">
        <v>440000</v>
      </c>
      <c r="AC23" s="2381">
        <v>34512000</v>
      </c>
      <c r="AD23" s="2384">
        <f t="shared" si="24"/>
        <v>1.2749188687992583E-2</v>
      </c>
      <c r="AF23" s="2377">
        <v>377500</v>
      </c>
      <c r="AG23" s="2381">
        <v>289900171.15999997</v>
      </c>
      <c r="AH23" s="2384">
        <f t="shared" si="25"/>
        <v>1.3021723943434738E-3</v>
      </c>
      <c r="AJ23" s="2377">
        <v>509110</v>
      </c>
      <c r="AK23" s="2381">
        <v>31630232</v>
      </c>
      <c r="AL23" s="2384">
        <f t="shared" si="26"/>
        <v>1.6095677072491911E-2</v>
      </c>
      <c r="AN23" s="2377">
        <v>67045.45</v>
      </c>
      <c r="AO23" s="2381">
        <v>57594185</v>
      </c>
      <c r="AP23" s="2384">
        <f t="shared" si="27"/>
        <v>1.1641010286021062E-3</v>
      </c>
      <c r="AR23" s="2377">
        <v>300000</v>
      </c>
      <c r="AS23" s="2381">
        <f>272057000-AS24</f>
        <v>25563000</v>
      </c>
      <c r="AT23" s="2384">
        <f t="shared" si="28"/>
        <v>1.1735711770918906E-2</v>
      </c>
    </row>
    <row r="24" spans="2:46">
      <c r="B24" s="2254" t="s">
        <v>86</v>
      </c>
      <c r="D24" s="2377"/>
      <c r="E24" s="2381">
        <v>39593</v>
      </c>
      <c r="F24" s="2384">
        <f t="shared" si="20"/>
        <v>0</v>
      </c>
      <c r="H24" s="2377"/>
      <c r="I24" s="2381">
        <v>45544.7</v>
      </c>
      <c r="J24" s="2384">
        <f t="shared" si="21"/>
        <v>0</v>
      </c>
      <c r="L24" s="2377"/>
      <c r="M24" s="2381">
        <v>34225698</v>
      </c>
      <c r="N24" s="2384">
        <f t="shared" si="9"/>
        <v>0</v>
      </c>
      <c r="P24" s="2377"/>
      <c r="Q24" s="2381">
        <v>33750486</v>
      </c>
      <c r="R24" s="2384">
        <f t="shared" si="22"/>
        <v>0</v>
      </c>
      <c r="T24" s="2377"/>
      <c r="U24" s="2381">
        <v>35592622</v>
      </c>
      <c r="V24" s="2384">
        <f t="shared" si="10"/>
        <v>0</v>
      </c>
      <c r="X24" s="2377"/>
      <c r="Y24" s="2381">
        <v>328671000</v>
      </c>
      <c r="Z24" s="2384">
        <f t="shared" si="23"/>
        <v>0</v>
      </c>
      <c r="AB24" s="2377"/>
      <c r="AC24" s="2381">
        <v>321547000</v>
      </c>
      <c r="AD24" s="2384">
        <f t="shared" si="24"/>
        <v>0</v>
      </c>
      <c r="AF24" s="2377"/>
      <c r="AG24" s="2381">
        <v>31564662</v>
      </c>
      <c r="AH24" s="2384">
        <f t="shared" si="25"/>
        <v>0</v>
      </c>
      <c r="AJ24" s="2377">
        <v>0</v>
      </c>
      <c r="AK24" s="2381">
        <v>263933131</v>
      </c>
      <c r="AL24" s="2384">
        <f t="shared" si="26"/>
        <v>0</v>
      </c>
      <c r="AN24" s="2377">
        <v>0</v>
      </c>
      <c r="AO24" s="2381">
        <v>338406525</v>
      </c>
      <c r="AP24" s="2384">
        <f t="shared" si="27"/>
        <v>0</v>
      </c>
      <c r="AR24" s="2377">
        <v>0</v>
      </c>
      <c r="AS24" s="2381">
        <v>246494000</v>
      </c>
      <c r="AT24" s="2384">
        <f t="shared" si="28"/>
        <v>0</v>
      </c>
    </row>
    <row r="25" spans="2:46">
      <c r="B25" s="2330" t="s">
        <v>25</v>
      </c>
      <c r="D25" s="2378">
        <f>SUM(D20:D24)</f>
        <v>26455.92179</v>
      </c>
      <c r="E25" s="2382">
        <f>SUM(E20:E24)</f>
        <v>1965740</v>
      </c>
      <c r="F25" s="2385">
        <f t="shared" si="20"/>
        <v>1.3458505087142756E-2</v>
      </c>
      <c r="H25" s="2378">
        <f>SUM(H20:H24)</f>
        <v>53650.63248</v>
      </c>
      <c r="I25" s="2382">
        <v>1912592.4</v>
      </c>
      <c r="J25" s="2385">
        <f t="shared" si="21"/>
        <v>2.8051263029174434E-2</v>
      </c>
      <c r="L25" s="2378">
        <v>48237651.519999996</v>
      </c>
      <c r="M25" s="2382">
        <v>1834914671</v>
      </c>
      <c r="N25" s="2385">
        <f t="shared" si="9"/>
        <v>2.628877096160075E-2</v>
      </c>
      <c r="P25" s="2378">
        <f>SUM(P20:P24)</f>
        <v>43084746.600000001</v>
      </c>
      <c r="Q25" s="2382">
        <f>SUM(Q20:Q24)</f>
        <v>1742806520</v>
      </c>
      <c r="R25" s="2385">
        <f t="shared" si="22"/>
        <v>2.4721474303412636E-2</v>
      </c>
      <c r="T25" s="2378">
        <f>SUM(T20:T24)</f>
        <v>110864274.96000001</v>
      </c>
      <c r="U25" s="2382">
        <f>SUM(U20:U24)</f>
        <v>1755618857</v>
      </c>
      <c r="V25" s="2385">
        <f t="shared" si="10"/>
        <v>6.3148259383272287E-2</v>
      </c>
      <c r="X25" s="2378">
        <f>SUM(X20:X24)</f>
        <v>159627221.08999997</v>
      </c>
      <c r="Y25" s="2382">
        <f>SUM(Y20:Y24)</f>
        <v>1617841000</v>
      </c>
      <c r="Z25" s="2385">
        <f t="shared" si="23"/>
        <v>9.8666816510398714E-2</v>
      </c>
      <c r="AB25" s="2378">
        <f>SUM(AB20:AB24)</f>
        <v>135676230.46000001</v>
      </c>
      <c r="AC25" s="2382">
        <f>SUM(AC20:AC24)</f>
        <v>1563389000</v>
      </c>
      <c r="AD25" s="2385">
        <f t="shared" si="24"/>
        <v>8.6783411204760949E-2</v>
      </c>
      <c r="AF25" s="2378">
        <v>53589956.690000005</v>
      </c>
      <c r="AG25" s="2382">
        <v>1471442259.0700002</v>
      </c>
      <c r="AH25" s="2385">
        <f t="shared" si="25"/>
        <v>3.6420020126287943E-2</v>
      </c>
      <c r="AJ25" s="2378">
        <f>+AJ20+AJ21+AJ22+AJ23+AJ24</f>
        <v>100795338.99000001</v>
      </c>
      <c r="AK25" s="2382">
        <f>+AK20+AK21+AK22+AK23+AK24</f>
        <v>1306942824</v>
      </c>
      <c r="AL25" s="2385">
        <f t="shared" si="26"/>
        <v>7.712299049281135E-2</v>
      </c>
      <c r="AN25" s="2378">
        <f>+AN20+AN21+AN22+AN23+AN24</f>
        <v>75245389.150000006</v>
      </c>
      <c r="AO25" s="2382">
        <f>+AO20+AO21+AO22+AO23+AO24</f>
        <v>1331858547</v>
      </c>
      <c r="AP25" s="2385">
        <f t="shared" si="27"/>
        <v>5.6496532097563668E-2</v>
      </c>
      <c r="AR25" s="2378">
        <f>+AR20+AR21+AR22+AR23+AR24</f>
        <v>110869399.89000002</v>
      </c>
      <c r="AS25" s="2382">
        <f>+AS20+AS21+AS22+AS23+AS24</f>
        <v>1124614000</v>
      </c>
      <c r="AT25" s="2385">
        <f t="shared" si="28"/>
        <v>9.8584403084080424E-2</v>
      </c>
    </row>
    <row r="26" spans="2:46">
      <c r="B26" s="2580"/>
      <c r="D26" s="2"/>
      <c r="E26" s="2"/>
      <c r="F26" s="2386"/>
      <c r="H26" s="2"/>
      <c r="I26" s="2"/>
      <c r="J26" s="2386"/>
      <c r="L26" s="2"/>
      <c r="M26" s="2"/>
      <c r="N26" s="2386"/>
      <c r="P26" s="2"/>
      <c r="Q26" s="2"/>
      <c r="R26" s="2386"/>
      <c r="T26" s="2"/>
      <c r="U26" s="2"/>
      <c r="V26" s="2386"/>
      <c r="X26" s="2"/>
      <c r="Y26" s="2"/>
      <c r="Z26" s="2386"/>
      <c r="AB26" s="2"/>
      <c r="AC26" s="2"/>
      <c r="AD26" s="2386"/>
      <c r="AF26" s="2"/>
      <c r="AG26" s="2"/>
      <c r="AH26" s="2386"/>
      <c r="AJ26" s="2"/>
      <c r="AK26" s="2"/>
      <c r="AL26" s="2386"/>
      <c r="AN26" s="2"/>
      <c r="AO26" s="2"/>
      <c r="AP26" s="2386"/>
      <c r="AR26" s="2"/>
      <c r="AS26" s="2"/>
      <c r="AT26" s="2386"/>
    </row>
    <row r="27" spans="2:46">
      <c r="B27" s="2329" t="s">
        <v>4</v>
      </c>
      <c r="D27" s="2376">
        <v>3135.3726799999999</v>
      </c>
      <c r="E27" s="2380">
        <v>595133</v>
      </c>
      <c r="F27" s="2384">
        <f t="shared" ref="F27:F32" si="29">D27/E27</f>
        <v>5.2683562833853942E-3</v>
      </c>
      <c r="H27" s="2376">
        <v>3040.6612799999998</v>
      </c>
      <c r="I27" s="2380">
        <v>599405</v>
      </c>
      <c r="J27" s="2384">
        <f t="shared" ref="J27:J32" si="30">H27/I27</f>
        <v>5.0727993259982816E-3</v>
      </c>
      <c r="L27" s="2376">
        <v>4106406</v>
      </c>
      <c r="M27" s="2380">
        <v>562637890</v>
      </c>
      <c r="N27" s="2384">
        <f t="shared" si="9"/>
        <v>7.2984881981553E-3</v>
      </c>
      <c r="P27" s="2376">
        <v>6010706</v>
      </c>
      <c r="Q27" s="2380">
        <v>558729938</v>
      </c>
      <c r="R27" s="2384">
        <f t="shared" ref="R27:R32" si="31">P27/Q27</f>
        <v>1.0757801920397542E-2</v>
      </c>
      <c r="T27" s="2376">
        <v>19851139.899999999</v>
      </c>
      <c r="U27" s="2380">
        <v>553816926</v>
      </c>
      <c r="V27" s="2384">
        <f t="shared" si="10"/>
        <v>3.5844227520052355E-2</v>
      </c>
      <c r="X27" s="2376">
        <v>14119652.09</v>
      </c>
      <c r="Y27" s="2380">
        <v>546832000</v>
      </c>
      <c r="Z27" s="2384">
        <f t="shared" ref="Z27:Z32" si="32">+X27/Y27</f>
        <v>2.5820822647540743E-2</v>
      </c>
      <c r="AB27" s="2376">
        <v>12830360.58</v>
      </c>
      <c r="AC27" s="2380">
        <v>520453000</v>
      </c>
      <c r="AD27" s="2384">
        <f t="shared" ref="AD27:AD32" si="33">+AB27/AC27</f>
        <v>2.4652294405066357E-2</v>
      </c>
      <c r="AF27" s="2376">
        <v>4504231.3099999996</v>
      </c>
      <c r="AG27" s="2380">
        <v>460991329</v>
      </c>
      <c r="AH27" s="2384">
        <f t="shared" ref="AH27:AH32" si="34">+AF27/AG27</f>
        <v>9.7707506121009913E-3</v>
      </c>
      <c r="AJ27" s="2376">
        <v>10135065.76</v>
      </c>
      <c r="AK27" s="2380">
        <v>442654842</v>
      </c>
      <c r="AL27" s="2384">
        <f t="shared" ref="AL27:AL32" si="35">+AJ27/AK27</f>
        <v>2.2896091487913738E-2</v>
      </c>
      <c r="AN27" s="2376">
        <v>20588483.23</v>
      </c>
      <c r="AO27" s="2380">
        <v>389864073</v>
      </c>
      <c r="AP27" s="2384">
        <f t="shared" ref="AP27:AP32" si="36">+AN27/AO27</f>
        <v>5.2809388337765613E-2</v>
      </c>
      <c r="AR27" s="2376">
        <v>10245946.619999999</v>
      </c>
      <c r="AS27" s="2380">
        <v>375372000</v>
      </c>
      <c r="AT27" s="2384">
        <f t="shared" ref="AT27:AT32" si="37">+AR27/AS27</f>
        <v>2.7295447236341547E-2</v>
      </c>
    </row>
    <row r="28" spans="2:46">
      <c r="B28" s="2254" t="s">
        <v>16</v>
      </c>
      <c r="D28" s="2377">
        <v>13288.38335</v>
      </c>
      <c r="E28" s="2381">
        <v>674350</v>
      </c>
      <c r="F28" s="2384">
        <f t="shared" si="29"/>
        <v>1.9705469489137688E-2</v>
      </c>
      <c r="H28" s="2377">
        <v>15767.90919</v>
      </c>
      <c r="I28" s="2381">
        <v>658800</v>
      </c>
      <c r="J28" s="2384">
        <f t="shared" si="30"/>
        <v>2.3934288387978144E-2</v>
      </c>
      <c r="L28" s="2377">
        <v>11395372.800000001</v>
      </c>
      <c r="M28" s="2381">
        <v>618587494</v>
      </c>
      <c r="N28" s="2384">
        <f t="shared" si="9"/>
        <v>1.8421602296408535E-2</v>
      </c>
      <c r="P28" s="2377">
        <v>13474191.359999999</v>
      </c>
      <c r="Q28" s="2381">
        <v>608714446</v>
      </c>
      <c r="R28" s="2384">
        <f t="shared" si="31"/>
        <v>2.213548807415686E-2</v>
      </c>
      <c r="T28" s="2377">
        <v>17106534.939999998</v>
      </c>
      <c r="U28" s="2381">
        <v>606955787</v>
      </c>
      <c r="V28" s="2384">
        <f t="shared" si="10"/>
        <v>2.8184153288252606E-2</v>
      </c>
      <c r="X28" s="2377">
        <v>8966223.6300000008</v>
      </c>
      <c r="Y28" s="2381">
        <v>514174000</v>
      </c>
      <c r="Z28" s="2384">
        <f t="shared" si="32"/>
        <v>1.7438111670368399E-2</v>
      </c>
      <c r="AB28" s="2377">
        <v>10266345.57</v>
      </c>
      <c r="AC28" s="2381">
        <v>477736000</v>
      </c>
      <c r="AD28" s="2384">
        <f t="shared" si="33"/>
        <v>2.1489579119011337E-2</v>
      </c>
      <c r="AF28" s="2377">
        <v>8021240.6500000004</v>
      </c>
      <c r="AG28" s="2381">
        <v>497658110.60000008</v>
      </c>
      <c r="AH28" s="2384">
        <f t="shared" si="34"/>
        <v>1.6117974326449167E-2</v>
      </c>
      <c r="AJ28" s="2377">
        <v>10780507.57</v>
      </c>
      <c r="AK28" s="2381">
        <v>412509987</v>
      </c>
      <c r="AL28" s="2384">
        <f t="shared" si="35"/>
        <v>2.6133931079831044E-2</v>
      </c>
      <c r="AN28" s="2377">
        <v>16493722.030000001</v>
      </c>
      <c r="AO28" s="2381">
        <v>351094246</v>
      </c>
      <c r="AP28" s="2384">
        <f t="shared" si="36"/>
        <v>4.6978047113879505E-2</v>
      </c>
      <c r="AR28" s="2377">
        <v>12491729.550000001</v>
      </c>
      <c r="AS28" s="2381">
        <v>325848000</v>
      </c>
      <c r="AT28" s="2384">
        <f t="shared" si="37"/>
        <v>3.8336063287176848E-2</v>
      </c>
    </row>
    <row r="29" spans="2:46">
      <c r="B29" s="2254" t="s">
        <v>41</v>
      </c>
      <c r="D29" s="2377"/>
      <c r="E29" s="2381">
        <v>262490</v>
      </c>
      <c r="F29" s="2384">
        <f t="shared" si="29"/>
        <v>0</v>
      </c>
      <c r="H29" s="2377"/>
      <c r="I29" s="2381">
        <v>250636</v>
      </c>
      <c r="J29" s="2384">
        <f t="shared" si="30"/>
        <v>0</v>
      </c>
      <c r="L29" s="2377">
        <v>607806</v>
      </c>
      <c r="M29" s="2381">
        <v>246271656</v>
      </c>
      <c r="N29" s="2384">
        <f t="shared" si="9"/>
        <v>2.4680306693515715E-3</v>
      </c>
      <c r="P29" s="2377">
        <v>302000</v>
      </c>
      <c r="Q29" s="2381">
        <v>243080407</v>
      </c>
      <c r="R29" s="2384">
        <f t="shared" si="31"/>
        <v>1.2423872566578351E-3</v>
      </c>
      <c r="T29" s="2377">
        <v>4608676</v>
      </c>
      <c r="U29" s="2381">
        <v>245782456</v>
      </c>
      <c r="V29" s="2384">
        <f t="shared" si="10"/>
        <v>1.8751037299423845E-2</v>
      </c>
      <c r="X29" s="2377">
        <v>217000</v>
      </c>
      <c r="Y29" s="2381">
        <v>240290000</v>
      </c>
      <c r="Z29" s="2384">
        <f t="shared" si="32"/>
        <v>9.030754504973157E-4</v>
      </c>
      <c r="AB29" s="2377">
        <v>652561</v>
      </c>
      <c r="AC29" s="2381">
        <v>224645000</v>
      </c>
      <c r="AD29" s="2384">
        <f t="shared" si="33"/>
        <v>2.9048543257139043E-3</v>
      </c>
      <c r="AF29" s="2377">
        <v>550000</v>
      </c>
      <c r="AG29" s="2381">
        <v>207508158</v>
      </c>
      <c r="AH29" s="2384">
        <f t="shared" si="34"/>
        <v>2.6504982035453276E-3</v>
      </c>
      <c r="AJ29" s="2377">
        <v>5926316.5099999998</v>
      </c>
      <c r="AK29" s="2381">
        <v>188983547</v>
      </c>
      <c r="AL29" s="2384">
        <f t="shared" si="35"/>
        <v>3.1358901894247969E-2</v>
      </c>
      <c r="AN29" s="2377">
        <v>16841569.739999998</v>
      </c>
      <c r="AO29" s="2381">
        <v>167096360</v>
      </c>
      <c r="AP29" s="2384">
        <f t="shared" si="36"/>
        <v>0.10078956681043201</v>
      </c>
      <c r="AR29" s="2377">
        <v>15194169.84</v>
      </c>
      <c r="AS29" s="2381">
        <v>160595000</v>
      </c>
      <c r="AT29" s="2384">
        <f t="shared" si="37"/>
        <v>9.4611724150814161E-2</v>
      </c>
    </row>
    <row r="30" spans="2:46">
      <c r="B30" s="2254" t="s">
        <v>85</v>
      </c>
      <c r="D30" s="2377"/>
      <c r="E30" s="2381">
        <v>436936</v>
      </c>
      <c r="F30" s="2384">
        <f t="shared" si="29"/>
        <v>0</v>
      </c>
      <c r="H30" s="2377"/>
      <c r="I30" s="2381">
        <v>394548</v>
      </c>
      <c r="J30" s="2384">
        <f t="shared" si="30"/>
        <v>0</v>
      </c>
      <c r="L30" s="2377"/>
      <c r="M30" s="2381">
        <v>396281531</v>
      </c>
      <c r="N30" s="2384">
        <f t="shared" si="9"/>
        <v>0</v>
      </c>
      <c r="P30" s="2377"/>
      <c r="Q30" s="2381">
        <v>324284875</v>
      </c>
      <c r="R30" s="2384">
        <f t="shared" si="31"/>
        <v>0</v>
      </c>
      <c r="T30" s="2377"/>
      <c r="U30" s="2381">
        <v>346827534</v>
      </c>
      <c r="V30" s="2384">
        <f t="shared" si="10"/>
        <v>0</v>
      </c>
      <c r="X30" s="2377"/>
      <c r="Y30" s="2381">
        <v>73909000</v>
      </c>
      <c r="Z30" s="2384">
        <f t="shared" si="32"/>
        <v>0</v>
      </c>
      <c r="AB30" s="2377">
        <v>1114000</v>
      </c>
      <c r="AC30" s="2381">
        <v>84163000</v>
      </c>
      <c r="AD30" s="2384">
        <f t="shared" si="33"/>
        <v>1.3236220191770731E-2</v>
      </c>
      <c r="AF30" s="2377"/>
      <c r="AG30" s="2381">
        <v>282451476</v>
      </c>
      <c r="AH30" s="2384">
        <f t="shared" si="34"/>
        <v>0</v>
      </c>
      <c r="AJ30" s="2377">
        <v>0</v>
      </c>
      <c r="AK30" s="2381">
        <v>31659012</v>
      </c>
      <c r="AL30" s="2384">
        <f t="shared" si="35"/>
        <v>0</v>
      </c>
      <c r="AN30" s="2377">
        <v>0</v>
      </c>
      <c r="AO30" s="2381">
        <v>86647214</v>
      </c>
      <c r="AP30" s="2384">
        <f t="shared" si="36"/>
        <v>0</v>
      </c>
      <c r="AR30" s="2377">
        <v>0</v>
      </c>
      <c r="AS30" s="2381">
        <f>295971000-AS31</f>
        <v>24317000</v>
      </c>
      <c r="AT30" s="2384">
        <f t="shared" si="37"/>
        <v>0</v>
      </c>
    </row>
    <row r="31" spans="2:46">
      <c r="B31" s="2254" t="s">
        <v>86</v>
      </c>
      <c r="D31" s="2377"/>
      <c r="E31" s="2381">
        <v>92279</v>
      </c>
      <c r="F31" s="2384">
        <f t="shared" si="29"/>
        <v>0</v>
      </c>
      <c r="H31" s="2377">
        <v>57</v>
      </c>
      <c r="I31" s="2381">
        <v>96939</v>
      </c>
      <c r="J31" s="2384">
        <f t="shared" si="30"/>
        <v>5.8799863831894279E-4</v>
      </c>
      <c r="L31" s="2377">
        <v>100000</v>
      </c>
      <c r="M31" s="2381">
        <v>86070748</v>
      </c>
      <c r="N31" s="2384">
        <f t="shared" si="9"/>
        <v>1.1618349128324063E-3</v>
      </c>
      <c r="P31" s="2377"/>
      <c r="Q31" s="2381">
        <v>84036687</v>
      </c>
      <c r="R31" s="2384">
        <f t="shared" si="31"/>
        <v>0</v>
      </c>
      <c r="T31" s="2377"/>
      <c r="U31" s="2381">
        <v>83744514</v>
      </c>
      <c r="V31" s="2384">
        <f t="shared" si="10"/>
        <v>0</v>
      </c>
      <c r="X31" s="2377"/>
      <c r="Y31" s="2381">
        <v>314849000</v>
      </c>
      <c r="Z31" s="2384">
        <f t="shared" si="32"/>
        <v>0</v>
      </c>
      <c r="AB31" s="2377"/>
      <c r="AC31" s="2381">
        <v>309613000</v>
      </c>
      <c r="AD31" s="2384">
        <f t="shared" si="33"/>
        <v>0</v>
      </c>
      <c r="AF31" s="2377"/>
      <c r="AG31" s="2381">
        <v>83052794.589999974</v>
      </c>
      <c r="AH31" s="2384">
        <f t="shared" si="34"/>
        <v>0</v>
      </c>
      <c r="AJ31" s="2377">
        <v>0</v>
      </c>
      <c r="AK31" s="2381">
        <v>306372516</v>
      </c>
      <c r="AL31" s="2384">
        <f t="shared" si="35"/>
        <v>0</v>
      </c>
      <c r="AN31" s="2377">
        <v>0</v>
      </c>
      <c r="AO31" s="2381">
        <v>358761827</v>
      </c>
      <c r="AP31" s="2384">
        <f t="shared" si="36"/>
        <v>0</v>
      </c>
      <c r="AR31" s="2377">
        <v>0</v>
      </c>
      <c r="AS31" s="2381">
        <v>271654000</v>
      </c>
      <c r="AT31" s="2384">
        <f t="shared" si="37"/>
        <v>0</v>
      </c>
    </row>
    <row r="32" spans="2:46">
      <c r="B32" s="2330" t="s">
        <v>244</v>
      </c>
      <c r="D32" s="2378">
        <f>SUM(D27:D31)</f>
        <v>16423.75603</v>
      </c>
      <c r="E32" s="2382">
        <f>SUM(E27:E31)</f>
        <v>2061188</v>
      </c>
      <c r="F32" s="2385">
        <f t="shared" si="29"/>
        <v>7.9681019053089771E-3</v>
      </c>
      <c r="H32" s="2378">
        <f>SUM(H27:H31)</f>
        <v>18865.570469999999</v>
      </c>
      <c r="I32" s="2382">
        <v>2000328</v>
      </c>
      <c r="J32" s="2385">
        <f t="shared" si="30"/>
        <v>9.4312385118840505E-3</v>
      </c>
      <c r="L32" s="2378">
        <v>16209584.800000001</v>
      </c>
      <c r="M32" s="2382">
        <v>1909849319</v>
      </c>
      <c r="N32" s="2385">
        <f t="shared" si="9"/>
        <v>8.4873631855351631E-3</v>
      </c>
      <c r="P32" s="2378">
        <f>SUM(P27:P31)</f>
        <v>19786897.359999999</v>
      </c>
      <c r="Q32" s="2382">
        <f>SUM(Q27:Q31)</f>
        <v>1818846353</v>
      </c>
      <c r="R32" s="2385">
        <f t="shared" si="31"/>
        <v>1.0878817403879963E-2</v>
      </c>
      <c r="T32" s="2378">
        <f>SUM(T27:T31)</f>
        <v>41566350.839999996</v>
      </c>
      <c r="U32" s="2382">
        <f>SUM(U27:U31)</f>
        <v>1837127217</v>
      </c>
      <c r="V32" s="2385">
        <f t="shared" si="10"/>
        <v>2.2625733512280765E-2</v>
      </c>
      <c r="X32" s="2378">
        <f>SUM(X27:X31)</f>
        <v>23302875.719999999</v>
      </c>
      <c r="Y32" s="2382">
        <f>SUM(Y27:Y31)</f>
        <v>1690054000</v>
      </c>
      <c r="Z32" s="2385">
        <f t="shared" si="32"/>
        <v>1.3788243286900891E-2</v>
      </c>
      <c r="AB32" s="2378">
        <f>SUM(AB27:AB31)</f>
        <v>24863267.149999999</v>
      </c>
      <c r="AC32" s="2382">
        <f>SUM(AC27:AC31)</f>
        <v>1616610000</v>
      </c>
      <c r="AD32" s="2385">
        <f t="shared" si="33"/>
        <v>1.5379879593717716E-2</v>
      </c>
      <c r="AF32" s="2378">
        <v>13075471.960000001</v>
      </c>
      <c r="AG32" s="2382">
        <v>1531661868.1900001</v>
      </c>
      <c r="AH32" s="2385">
        <f t="shared" si="34"/>
        <v>8.5367875453161123E-3</v>
      </c>
      <c r="AJ32" s="2378">
        <f>+AJ29+AJ28+AJ27+AJ30+AJ31</f>
        <v>26841889.84</v>
      </c>
      <c r="AK32" s="2382">
        <f>+AK29+AK28+AK27+AK30+AK31</f>
        <v>1382179904</v>
      </c>
      <c r="AL32" s="2385">
        <f t="shared" si="35"/>
        <v>1.9419968241702928E-2</v>
      </c>
      <c r="AN32" s="2378">
        <f>+AN29+AN28+AN27+AN30+AN31</f>
        <v>53923775</v>
      </c>
      <c r="AO32" s="2382">
        <f>+AO29+AO28+AO27+AO30+AO31</f>
        <v>1353463720</v>
      </c>
      <c r="AP32" s="2385">
        <f t="shared" si="36"/>
        <v>3.9841315436220187E-2</v>
      </c>
      <c r="AR32" s="2378">
        <f>+AR29+AR28+AR27+AR30+AR31</f>
        <v>37931846.009999998</v>
      </c>
      <c r="AS32" s="2382">
        <f>+AS29+AS28+AS27+AS30+AS31</f>
        <v>1157786000</v>
      </c>
      <c r="AT32" s="2385">
        <f t="shared" si="37"/>
        <v>3.2762398241125736E-2</v>
      </c>
    </row>
    <row r="33" spans="1:46">
      <c r="B33" s="2580"/>
      <c r="D33" s="2"/>
      <c r="E33" s="2"/>
      <c r="F33" s="2386"/>
      <c r="H33" s="2"/>
      <c r="I33" s="2"/>
      <c r="J33" s="2386"/>
      <c r="L33" s="2"/>
      <c r="M33" s="2"/>
      <c r="N33" s="2386"/>
      <c r="P33" s="2"/>
      <c r="Q33" s="2"/>
      <c r="R33" s="2386"/>
      <c r="T33" s="2"/>
      <c r="U33" s="2"/>
      <c r="V33" s="2386"/>
      <c r="X33" s="2"/>
      <c r="Y33" s="2"/>
      <c r="Z33" s="2386"/>
      <c r="AB33" s="2"/>
      <c r="AC33" s="2"/>
      <c r="AD33" s="2386"/>
      <c r="AF33" s="2"/>
      <c r="AG33" s="2"/>
      <c r="AH33" s="2386"/>
      <c r="AJ33" s="2"/>
      <c r="AK33" s="2"/>
      <c r="AL33" s="2386"/>
      <c r="AN33" s="2"/>
      <c r="AO33" s="2"/>
      <c r="AP33" s="2386"/>
      <c r="AR33" s="2"/>
      <c r="AS33" s="2"/>
      <c r="AT33" s="2386"/>
    </row>
    <row r="34" spans="1:46">
      <c r="B34" s="2329" t="s">
        <v>16</v>
      </c>
      <c r="D34" s="2376">
        <v>100</v>
      </c>
      <c r="E34" s="2380">
        <v>38563</v>
      </c>
      <c r="F34" s="2384">
        <f t="shared" ref="F34:F39" si="38">D34/E34</f>
        <v>2.5931592459092915E-3</v>
      </c>
      <c r="H34" s="2376">
        <v>732.822</v>
      </c>
      <c r="I34" s="2380">
        <v>30480</v>
      </c>
      <c r="J34" s="2384">
        <f t="shared" ref="J34:J39" si="39">H34/I34</f>
        <v>2.4042716535433072E-2</v>
      </c>
      <c r="L34" s="2376">
        <v>1004806</v>
      </c>
      <c r="M34" s="2380">
        <v>26905566</v>
      </c>
      <c r="N34" s="2384">
        <f t="shared" si="9"/>
        <v>3.7345655542054011E-2</v>
      </c>
      <c r="P34" s="2376">
        <v>1029998</v>
      </c>
      <c r="Q34" s="2380">
        <v>20585962</v>
      </c>
      <c r="R34" s="2384">
        <f t="shared" ref="R34:R39" si="40">P34/Q34</f>
        <v>5.0033998896918203E-2</v>
      </c>
      <c r="T34" s="2376"/>
      <c r="U34" s="2380">
        <v>20036016</v>
      </c>
      <c r="V34" s="2384">
        <f t="shared" si="10"/>
        <v>0</v>
      </c>
      <c r="X34" s="2376">
        <v>1117756.98</v>
      </c>
      <c r="Y34" s="2380">
        <v>27818000</v>
      </c>
      <c r="Z34" s="2384">
        <f t="shared" ref="Z34:Z39" si="41">+X34/Y34</f>
        <v>4.0181069091954846E-2</v>
      </c>
      <c r="AB34" s="2376">
        <v>1714698</v>
      </c>
      <c r="AC34" s="2380">
        <v>24110000</v>
      </c>
      <c r="AD34" s="2384">
        <f t="shared" ref="AD34:AD39" si="42">+AB34/AC34</f>
        <v>7.1119784321858157E-2</v>
      </c>
      <c r="AF34" s="2376">
        <v>923719.05</v>
      </c>
      <c r="AG34" s="2380">
        <v>16168745</v>
      </c>
      <c r="AH34" s="2384">
        <f t="shared" ref="AH34:AH39" si="43">+AF34/AG34</f>
        <v>5.712991639116085E-2</v>
      </c>
      <c r="AJ34" s="2376"/>
      <c r="AK34" s="2380"/>
      <c r="AL34" s="2384"/>
      <c r="AN34" s="2376"/>
      <c r="AO34" s="2380"/>
      <c r="AP34" s="2384"/>
      <c r="AR34" s="2376"/>
      <c r="AS34" s="2380"/>
      <c r="AT34" s="2384"/>
    </row>
    <row r="35" spans="1:46">
      <c r="B35" s="2254" t="s">
        <v>41</v>
      </c>
      <c r="D35" s="2377"/>
      <c r="E35" s="2381">
        <v>47004</v>
      </c>
      <c r="F35" s="2384">
        <f t="shared" si="38"/>
        <v>0</v>
      </c>
      <c r="H35" s="2377">
        <v>1082.922</v>
      </c>
      <c r="I35" s="2381">
        <v>38663</v>
      </c>
      <c r="J35" s="2384">
        <f t="shared" si="39"/>
        <v>2.8009259498745571E-2</v>
      </c>
      <c r="L35" s="2377">
        <v>1547999.6</v>
      </c>
      <c r="M35" s="2381">
        <v>28169932</v>
      </c>
      <c r="N35" s="2384">
        <f t="shared" si="9"/>
        <v>5.4952195127769568E-2</v>
      </c>
      <c r="P35" s="2377"/>
      <c r="Q35" s="2381">
        <v>22855592</v>
      </c>
      <c r="R35" s="2384">
        <f t="shared" si="40"/>
        <v>0</v>
      </c>
      <c r="T35" s="2377">
        <v>1691640</v>
      </c>
      <c r="U35" s="2381">
        <v>23359448</v>
      </c>
      <c r="V35" s="2384">
        <f t="shared" si="10"/>
        <v>7.2417807133113757E-2</v>
      </c>
      <c r="X35" s="2377"/>
      <c r="Y35" s="2381">
        <v>20929000</v>
      </c>
      <c r="Z35" s="2384">
        <f t="shared" si="41"/>
        <v>0</v>
      </c>
      <c r="AB35" s="2377"/>
      <c r="AC35" s="2381">
        <v>19011000</v>
      </c>
      <c r="AD35" s="2384">
        <f t="shared" si="42"/>
        <v>0</v>
      </c>
      <c r="AF35" s="2377"/>
      <c r="AG35" s="2381">
        <v>20886419.609999999</v>
      </c>
      <c r="AH35" s="2384">
        <f t="shared" si="43"/>
        <v>0</v>
      </c>
      <c r="AJ35" s="2377"/>
      <c r="AK35" s="2381"/>
      <c r="AL35" s="2384"/>
      <c r="AN35" s="2377"/>
      <c r="AO35" s="2381"/>
      <c r="AP35" s="2384"/>
      <c r="AR35" s="2377"/>
      <c r="AS35" s="2381"/>
      <c r="AT35" s="2384"/>
    </row>
    <row r="36" spans="1:46">
      <c r="B36" s="2254" t="s">
        <v>21</v>
      </c>
      <c r="D36" s="2377">
        <v>1054</v>
      </c>
      <c r="E36" s="2381">
        <v>42320</v>
      </c>
      <c r="F36" s="2384">
        <f t="shared" si="38"/>
        <v>2.4905482041587903E-2</v>
      </c>
      <c r="H36" s="2377"/>
      <c r="I36" s="2381">
        <v>34924</v>
      </c>
      <c r="J36" s="2384">
        <f t="shared" si="39"/>
        <v>0</v>
      </c>
      <c r="L36" s="2377">
        <v>1278056</v>
      </c>
      <c r="M36" s="2381">
        <v>31921138</v>
      </c>
      <c r="N36" s="2384">
        <f t="shared" si="9"/>
        <v>4.0037920953820631E-2</v>
      </c>
      <c r="P36" s="2377">
        <v>190000</v>
      </c>
      <c r="Q36" s="2381">
        <v>28912991</v>
      </c>
      <c r="R36" s="2384">
        <f t="shared" si="40"/>
        <v>6.5714404988401233E-3</v>
      </c>
      <c r="T36" s="2377">
        <v>4997570</v>
      </c>
      <c r="U36" s="2381">
        <v>31269766</v>
      </c>
      <c r="V36" s="2384">
        <f t="shared" si="10"/>
        <v>0.15982115120400964</v>
      </c>
      <c r="X36" s="2377">
        <v>343995.8</v>
      </c>
      <c r="Y36" s="2381">
        <v>22205000</v>
      </c>
      <c r="Z36" s="2384">
        <f t="shared" si="41"/>
        <v>1.549181715829768E-2</v>
      </c>
      <c r="AB36" s="2377">
        <v>914561</v>
      </c>
      <c r="AC36" s="2381">
        <v>18365000</v>
      </c>
      <c r="AD36" s="2384">
        <f t="shared" si="42"/>
        <v>4.9799128777566024E-2</v>
      </c>
      <c r="AF36" s="2377"/>
      <c r="AG36" s="2381">
        <v>19112287.580000002</v>
      </c>
      <c r="AH36" s="2384">
        <f t="shared" si="43"/>
        <v>0</v>
      </c>
      <c r="AJ36" s="2377"/>
      <c r="AK36" s="2381"/>
      <c r="AL36" s="2384"/>
      <c r="AN36" s="2377"/>
      <c r="AO36" s="2381"/>
      <c r="AP36" s="2384"/>
      <c r="AR36" s="2377"/>
      <c r="AS36" s="2381"/>
      <c r="AT36" s="2384"/>
    </row>
    <row r="37" spans="1:46">
      <c r="A37" s="2559"/>
      <c r="B37" s="2254" t="s">
        <v>85</v>
      </c>
      <c r="D37" s="2377"/>
      <c r="E37" s="2381">
        <v>74234</v>
      </c>
      <c r="F37" s="2384">
        <f t="shared" si="38"/>
        <v>0</v>
      </c>
      <c r="H37" s="2377"/>
      <c r="I37" s="2381">
        <v>63173.3</v>
      </c>
      <c r="J37" s="2384">
        <f t="shared" si="39"/>
        <v>0</v>
      </c>
      <c r="L37" s="2377"/>
      <c r="M37" s="2381">
        <v>58365761</v>
      </c>
      <c r="N37" s="2384">
        <f t="shared" si="9"/>
        <v>0</v>
      </c>
      <c r="P37" s="2377"/>
      <c r="Q37" s="2381">
        <v>46668520</v>
      </c>
      <c r="R37" s="2384">
        <f t="shared" si="40"/>
        <v>0</v>
      </c>
      <c r="T37" s="2377"/>
      <c r="U37" s="2381">
        <v>46464129</v>
      </c>
      <c r="V37" s="2384">
        <f t="shared" si="10"/>
        <v>0</v>
      </c>
      <c r="X37" s="2377">
        <v>8880402.0399999991</v>
      </c>
      <c r="Y37" s="2381">
        <v>5813000</v>
      </c>
      <c r="Z37" s="2384">
        <f t="shared" si="41"/>
        <v>1.5276796903492171</v>
      </c>
      <c r="AB37" s="2377"/>
      <c r="AC37" s="2381">
        <v>11104000</v>
      </c>
      <c r="AD37" s="2384">
        <f t="shared" si="42"/>
        <v>0</v>
      </c>
      <c r="AF37" s="2377">
        <v>211200</v>
      </c>
      <c r="AG37" s="2381">
        <v>37451293</v>
      </c>
      <c r="AH37" s="2384">
        <f t="shared" si="43"/>
        <v>5.6393246556267094E-3</v>
      </c>
      <c r="AJ37" s="2377"/>
      <c r="AK37" s="2381"/>
      <c r="AL37" s="2384"/>
      <c r="AN37" s="2377"/>
      <c r="AO37" s="2381"/>
      <c r="AP37" s="2384"/>
      <c r="AR37" s="2377"/>
      <c r="AS37" s="2381"/>
      <c r="AT37" s="2384"/>
    </row>
    <row r="38" spans="1:46">
      <c r="B38" s="2254" t="s">
        <v>86</v>
      </c>
      <c r="D38" s="2377"/>
      <c r="E38" s="2381">
        <v>19039</v>
      </c>
      <c r="F38" s="2384">
        <f t="shared" si="38"/>
        <v>0</v>
      </c>
      <c r="H38" s="2377"/>
      <c r="I38" s="2381">
        <v>17369.3</v>
      </c>
      <c r="J38" s="2384">
        <f t="shared" si="39"/>
        <v>0</v>
      </c>
      <c r="L38" s="2377"/>
      <c r="M38" s="2381">
        <v>13718487</v>
      </c>
      <c r="N38" s="2384">
        <f t="shared" si="9"/>
        <v>0</v>
      </c>
      <c r="P38" s="2377"/>
      <c r="Q38" s="2381">
        <v>13073028</v>
      </c>
      <c r="R38" s="2384">
        <f t="shared" si="40"/>
        <v>0</v>
      </c>
      <c r="T38" s="2377">
        <v>12000000</v>
      </c>
      <c r="U38" s="2381">
        <v>13851143</v>
      </c>
      <c r="V38" s="2384">
        <f t="shared" si="10"/>
        <v>0.86635449507668794</v>
      </c>
      <c r="X38" s="2377"/>
      <c r="Y38" s="2381">
        <v>38500000</v>
      </c>
      <c r="Z38" s="2384">
        <f t="shared" si="41"/>
        <v>0</v>
      </c>
      <c r="AB38" s="2377"/>
      <c r="AC38" s="2381">
        <v>40985000</v>
      </c>
      <c r="AD38" s="2384">
        <f t="shared" si="42"/>
        <v>0</v>
      </c>
      <c r="AF38" s="2377"/>
      <c r="AG38" s="2381">
        <v>11025917.080000002</v>
      </c>
      <c r="AH38" s="2384">
        <f t="shared" si="43"/>
        <v>0</v>
      </c>
      <c r="AJ38" s="2377"/>
      <c r="AK38" s="2381"/>
      <c r="AL38" s="2384"/>
      <c r="AN38" s="2377"/>
      <c r="AO38" s="2381"/>
      <c r="AP38" s="2384"/>
      <c r="AR38" s="2377"/>
      <c r="AS38" s="2381"/>
      <c r="AT38" s="2384"/>
    </row>
    <row r="39" spans="1:46">
      <c r="B39" s="2330" t="s">
        <v>48</v>
      </c>
      <c r="D39" s="2378">
        <f>SUM(D34:D38)</f>
        <v>1154</v>
      </c>
      <c r="E39" s="2382">
        <f>SUM(E34:E38)</f>
        <v>221160</v>
      </c>
      <c r="F39" s="2385">
        <f t="shared" si="38"/>
        <v>5.2179417616205464E-3</v>
      </c>
      <c r="H39" s="2378">
        <f>SUM(H34:H38)</f>
        <v>1815.7440000000001</v>
      </c>
      <c r="I39" s="2382">
        <v>184609.59999999998</v>
      </c>
      <c r="J39" s="2385">
        <f t="shared" si="39"/>
        <v>9.835588181763031E-3</v>
      </c>
      <c r="L39" s="2378">
        <v>3830861.6</v>
      </c>
      <c r="M39" s="2382">
        <v>159080884</v>
      </c>
      <c r="N39" s="2385">
        <f t="shared" si="9"/>
        <v>2.4081218960286893E-2</v>
      </c>
      <c r="P39" s="2378">
        <f>SUM(P34:P38)</f>
        <v>1219998</v>
      </c>
      <c r="Q39" s="2382">
        <f>SUM(Q34:Q38)</f>
        <v>132096093</v>
      </c>
      <c r="R39" s="2385">
        <f t="shared" si="40"/>
        <v>9.2356857216057096E-3</v>
      </c>
      <c r="T39" s="2378">
        <f>SUM(T34:T38)</f>
        <v>18689210</v>
      </c>
      <c r="U39" s="2382">
        <f>SUM(U34:U38)</f>
        <v>134980502</v>
      </c>
      <c r="V39" s="2385">
        <f t="shared" si="10"/>
        <v>0.13845859011548201</v>
      </c>
      <c r="X39" s="2378">
        <f>SUM(X34:X38)</f>
        <v>10342154.819999998</v>
      </c>
      <c r="Y39" s="2382">
        <f>SUM(Y34:Y38)</f>
        <v>115265000</v>
      </c>
      <c r="Z39" s="2385">
        <f t="shared" si="41"/>
        <v>8.9725023380904864E-2</v>
      </c>
      <c r="AB39" s="2378">
        <f>SUM(AB34:AB38)</f>
        <v>2629259</v>
      </c>
      <c r="AC39" s="2382">
        <f>SUM(AC34:AC38)</f>
        <v>113575000</v>
      </c>
      <c r="AD39" s="2385">
        <f t="shared" si="42"/>
        <v>2.3149980189302224E-2</v>
      </c>
      <c r="AF39" s="2378">
        <v>923719.05</v>
      </c>
      <c r="AG39" s="2382">
        <v>104644662.27</v>
      </c>
      <c r="AH39" s="2385">
        <f t="shared" si="43"/>
        <v>8.8271970109345555E-3</v>
      </c>
      <c r="AJ39" s="2378">
        <v>273290</v>
      </c>
      <c r="AK39" s="2382">
        <v>228732064</v>
      </c>
      <c r="AL39" s="2385">
        <f>+AJ39/AK39</f>
        <v>1.1948040655987784E-3</v>
      </c>
      <c r="AN39" s="2378">
        <v>150000</v>
      </c>
      <c r="AO39" s="2382">
        <f>27832740+16353894+16215022+15834750+58495056</f>
        <v>134731462</v>
      </c>
      <c r="AP39" s="2385">
        <f>+AN39/AO39</f>
        <v>1.1133257056172967E-3</v>
      </c>
      <c r="AR39" s="2378">
        <v>0</v>
      </c>
      <c r="AS39" s="2382">
        <v>84737000</v>
      </c>
      <c r="AT39" s="2385">
        <f>+AR39/AS39</f>
        <v>0</v>
      </c>
    </row>
    <row r="40" spans="1:46">
      <c r="B40" s="2580"/>
      <c r="D40" s="2"/>
      <c r="E40" s="2"/>
      <c r="F40" s="2386"/>
      <c r="H40" s="2"/>
      <c r="I40" s="2"/>
      <c r="J40" s="2386"/>
      <c r="L40" s="2"/>
      <c r="M40" s="2"/>
      <c r="N40" s="2386"/>
      <c r="P40" s="2"/>
      <c r="Q40" s="2"/>
      <c r="R40" s="2386"/>
      <c r="T40" s="2"/>
      <c r="U40" s="2"/>
      <c r="V40" s="2386"/>
      <c r="X40" s="2"/>
      <c r="Y40" s="2"/>
      <c r="Z40" s="2386"/>
      <c r="AB40" s="2"/>
      <c r="AC40" s="2"/>
      <c r="AD40" s="2386"/>
      <c r="AF40" s="2"/>
      <c r="AG40" s="2"/>
      <c r="AH40" s="2386"/>
      <c r="AJ40" s="2"/>
      <c r="AK40" s="2"/>
      <c r="AL40" s="2386"/>
      <c r="AN40" s="2"/>
      <c r="AO40" s="2"/>
      <c r="AP40" s="2386"/>
      <c r="AR40" s="2"/>
      <c r="AS40" s="2"/>
      <c r="AT40" s="2386"/>
    </row>
    <row r="41" spans="1:46">
      <c r="B41" s="2598" t="s">
        <v>87</v>
      </c>
      <c r="D41" s="2379"/>
      <c r="E41" s="2383">
        <v>1139435</v>
      </c>
      <c r="F41" s="2385">
        <f>D41/E41</f>
        <v>0</v>
      </c>
      <c r="H41" s="2379">
        <v>2000</v>
      </c>
      <c r="I41" s="2383">
        <v>1063613.5</v>
      </c>
      <c r="J41" s="2385">
        <f>H41/I41</f>
        <v>1.8803823005255199E-3</v>
      </c>
      <c r="L41" s="2379">
        <v>0</v>
      </c>
      <c r="M41" s="2383">
        <v>932936364</v>
      </c>
      <c r="N41" s="2385">
        <f t="shared" si="9"/>
        <v>0</v>
      </c>
      <c r="P41" s="2379">
        <v>1200000</v>
      </c>
      <c r="Q41" s="2383">
        <f>2051348369-1218424620</f>
        <v>832923749</v>
      </c>
      <c r="R41" s="2385">
        <f>P41/Q41</f>
        <v>1.4407081097647992E-3</v>
      </c>
      <c r="T41" s="2379">
        <v>1834000</v>
      </c>
      <c r="U41" s="2383">
        <f>2167021373-1321737579</f>
        <v>845283794</v>
      </c>
      <c r="V41" s="2385">
        <f t="shared" si="10"/>
        <v>2.1696855103790148E-3</v>
      </c>
      <c r="X41" s="2379">
        <v>22600041.18</v>
      </c>
      <c r="Y41" s="2383">
        <v>793537000</v>
      </c>
      <c r="Z41" s="2385">
        <f>+X41/Y41</f>
        <v>2.848013536860915E-2</v>
      </c>
      <c r="AB41" s="2379">
        <v>1366806</v>
      </c>
      <c r="AC41" s="2383">
        <v>798806000</v>
      </c>
      <c r="AD41" s="2385">
        <f>+AB41/AC41</f>
        <v>1.7110612589289515E-3</v>
      </c>
      <c r="AF41" s="2379">
        <v>1730989.5</v>
      </c>
      <c r="AG41" s="2383">
        <v>671387122</v>
      </c>
      <c r="AH41" s="2385">
        <f>+AF41/AG41</f>
        <v>2.5782286303668482E-3</v>
      </c>
      <c r="AJ41" s="2379">
        <v>1322012</v>
      </c>
      <c r="AK41" s="2383">
        <v>603101943</v>
      </c>
      <c r="AL41" s="2385">
        <f>+AJ41/AK41</f>
        <v>2.1920207940699672E-3</v>
      </c>
      <c r="AN41" s="2379">
        <v>3321700.31</v>
      </c>
      <c r="AO41" s="2383">
        <v>640566516</v>
      </c>
      <c r="AP41" s="2385">
        <f>+AN41/AO41</f>
        <v>5.18556656807831E-3</v>
      </c>
      <c r="AR41" s="2379">
        <v>4944450.1400000006</v>
      </c>
      <c r="AS41" s="2383">
        <v>478933000</v>
      </c>
      <c r="AT41" s="2385">
        <f>+AR41/AS41</f>
        <v>1.0323886931992576E-2</v>
      </c>
    </row>
    <row r="42" spans="1:46">
      <c r="B42" s="2581"/>
      <c r="D42" s="25"/>
      <c r="E42" s="25"/>
      <c r="F42" s="211"/>
      <c r="H42" s="25"/>
      <c r="I42" s="25"/>
      <c r="J42" s="211"/>
      <c r="L42" s="25"/>
      <c r="M42" s="25"/>
      <c r="N42" s="211"/>
      <c r="P42" s="25"/>
      <c r="Q42" s="25"/>
      <c r="R42" s="211"/>
      <c r="T42" s="25"/>
      <c r="U42" s="25"/>
      <c r="V42" s="211"/>
      <c r="X42" s="25"/>
      <c r="Y42" s="25"/>
      <c r="Z42" s="211"/>
      <c r="AB42" s="25"/>
      <c r="AC42" s="25"/>
      <c r="AD42" s="211"/>
      <c r="AF42" s="25"/>
      <c r="AG42" s="25"/>
      <c r="AH42" s="211"/>
      <c r="AJ42" s="25"/>
      <c r="AK42" s="25"/>
      <c r="AL42" s="211"/>
      <c r="AN42" s="25"/>
      <c r="AO42" s="25"/>
      <c r="AP42" s="211"/>
      <c r="AQ42" s="129"/>
      <c r="AR42" s="25"/>
      <c r="AS42" s="25"/>
      <c r="AT42" s="211"/>
    </row>
    <row r="43" spans="1:46" s="2574" customFormat="1">
      <c r="B43" s="4251" t="s">
        <v>67</v>
      </c>
      <c r="C43" s="2559"/>
      <c r="D43" s="4252">
        <f>D11+D18+D25+D32+D39+D41</f>
        <v>59374.701950000002</v>
      </c>
      <c r="E43" s="4253">
        <f>E11+E18+E25+E32+E39+E41</f>
        <v>7927463</v>
      </c>
      <c r="F43" s="4254">
        <f>D43/E43</f>
        <v>7.4897482271440441E-3</v>
      </c>
      <c r="G43" s="2559"/>
      <c r="H43" s="4252">
        <f>H11+H18+H25+H32+H39+H41</f>
        <v>102955.50552000001</v>
      </c>
      <c r="I43" s="4253">
        <v>7535200.1999999993</v>
      </c>
      <c r="J43" s="4254">
        <f>H43/I43</f>
        <v>1.3663274072001434E-2</v>
      </c>
      <c r="K43" s="2559"/>
      <c r="L43" s="4252">
        <f>SUM(L11,L18,L25,L32,L39,L41)</f>
        <v>83281762.979999989</v>
      </c>
      <c r="M43" s="4253">
        <v>7097007002</v>
      </c>
      <c r="N43" s="4254">
        <f t="shared" si="9"/>
        <v>1.1734772553631473E-2</v>
      </c>
      <c r="O43" s="2559"/>
      <c r="P43" s="4252">
        <f>P11+P18+P25+P39+P32+P41</f>
        <v>92874234.700000003</v>
      </c>
      <c r="Q43" s="4253">
        <f>Q11+Q18+Q25+Q39+Q32+Q41</f>
        <v>6654125955</v>
      </c>
      <c r="R43" s="4254">
        <f>P43/Q43</f>
        <v>1.3957390546569538E-2</v>
      </c>
      <c r="T43" s="4252">
        <f>T11+T18+T25+T39+T32+T41</f>
        <v>215376861.76000002</v>
      </c>
      <c r="U43" s="4253">
        <f>U11+U18+U25+U39+U32+U41</f>
        <v>6728066748</v>
      </c>
      <c r="V43" s="4254">
        <f t="shared" si="10"/>
        <v>3.2011701106268518E-2</v>
      </c>
      <c r="X43" s="4252">
        <f>+X32+X41+X25+X18+X11+X39</f>
        <v>254983589.42999998</v>
      </c>
      <c r="Y43" s="4253">
        <f>SUM(Y11,Y18,Y25,Y32,Y39,Y41)</f>
        <v>6245382000</v>
      </c>
      <c r="Z43" s="4254">
        <f>+X43/Y43</f>
        <v>4.0827540962266193E-2</v>
      </c>
      <c r="AB43" s="4252">
        <f>+AB32+AB41+AB25+AB18+AB11+AB39</f>
        <v>189295263.92000002</v>
      </c>
      <c r="AC43" s="4253">
        <f>SUM(AC11,AC18,AC25,AC32,AC39,AC41)</f>
        <v>6014979000</v>
      </c>
      <c r="AD43" s="4254">
        <f>+AB43/AC43</f>
        <v>3.1470644190112716E-2</v>
      </c>
      <c r="AF43" s="4252">
        <f>+AF32+AF41+AF25+AF18+AF11+AF39</f>
        <v>76749971.540000007</v>
      </c>
      <c r="AG43" s="4253">
        <f>SUM(AG11,AG18,AG25,AG32,AG39,AG41)</f>
        <v>5528317800</v>
      </c>
      <c r="AH43" s="4254">
        <f>+AF43/AG43</f>
        <v>1.3883060691626665E-2</v>
      </c>
      <c r="AJ43" s="4252">
        <f>+AJ32+AJ41+AJ25+AJ18+AJ11+AJ39</f>
        <v>172910090.64000002</v>
      </c>
      <c r="AK43" s="4253">
        <f>SUM(AK11,AK18,AK25,AK32,AK39,AK41)</f>
        <v>5255435241</v>
      </c>
      <c r="AL43" s="4254">
        <f>+AJ43/AK43</f>
        <v>3.2901193281015262E-2</v>
      </c>
      <c r="AM43" s="2559"/>
      <c r="AN43" s="4252">
        <f>+AN32+AN41+AN25+AN18+AN11+AN39</f>
        <v>169879011.20000002</v>
      </c>
      <c r="AO43" s="4253">
        <f>SUM(AO11,AO18,AO25,AO32,AO39,AO41)</f>
        <v>5036665437</v>
      </c>
      <c r="AP43" s="4254">
        <f>+AN43/AO43</f>
        <v>3.3728468433111856E-2</v>
      </c>
      <c r="AQ43" s="2580"/>
      <c r="AR43" s="4252">
        <f>+AR32+AR41+AR25+AR18+AR11</f>
        <v>189138875.84000003</v>
      </c>
      <c r="AS43" s="4253">
        <f>SUM(AS11,AS18,AS25,AS32,AS39,AS41)</f>
        <v>4155479000</v>
      </c>
      <c r="AT43" s="4254">
        <f>+AR43/AS43</f>
        <v>4.5515541250479193E-2</v>
      </c>
    </row>
    <row r="45" spans="1:46">
      <c r="D45" s="42" t="s">
        <v>2577</v>
      </c>
      <c r="H45" s="42" t="s">
        <v>2577</v>
      </c>
      <c r="L45" s="42" t="s">
        <v>2577</v>
      </c>
      <c r="P45" s="42" t="s">
        <v>2577</v>
      </c>
      <c r="T45" s="42" t="s">
        <v>2577</v>
      </c>
      <c r="AO45" s="2"/>
      <c r="AT45" s="28"/>
    </row>
    <row r="46" spans="1:46">
      <c r="AO46" s="2"/>
      <c r="AT46" s="28"/>
    </row>
    <row r="47" spans="1:46">
      <c r="AO47" s="2"/>
      <c r="AT47" s="28"/>
    </row>
    <row r="48" spans="1:46">
      <c r="I48" s="2"/>
      <c r="AJ48" s="1"/>
      <c r="AK48" s="1"/>
      <c r="AL48" s="1"/>
      <c r="AM48" s="1"/>
      <c r="AO48" s="2"/>
      <c r="AT48" s="28"/>
    </row>
    <row r="49" spans="41:46">
      <c r="AO49" s="2"/>
      <c r="AT49" s="28"/>
    </row>
    <row r="50" spans="41:46">
      <c r="AO50" s="2"/>
      <c r="AT50" s="28"/>
    </row>
    <row r="51" spans="41:46">
      <c r="AO51" s="2"/>
      <c r="AT51" s="28"/>
    </row>
    <row r="52" spans="41:46">
      <c r="AO52" s="2"/>
      <c r="AT52" s="28"/>
    </row>
    <row r="53" spans="41:46">
      <c r="AO53" s="2"/>
      <c r="AT53" s="28"/>
    </row>
    <row r="54" spans="41:46">
      <c r="AO54" s="2"/>
      <c r="AT54" s="28"/>
    </row>
    <row r="55" spans="41:46">
      <c r="AO55" s="2"/>
      <c r="AT55" s="28"/>
    </row>
    <row r="56" spans="41:46">
      <c r="AO56" s="2"/>
      <c r="AT56" s="28"/>
    </row>
    <row r="57" spans="41:46">
      <c r="AO57" s="2"/>
      <c r="AT57" s="28"/>
    </row>
    <row r="58" spans="41:46">
      <c r="AO58" s="2"/>
      <c r="AT58" s="28"/>
    </row>
    <row r="59" spans="41:46">
      <c r="AO59" s="2"/>
      <c r="AT59" s="28"/>
    </row>
    <row r="60" spans="41:46">
      <c r="AO60" s="2"/>
      <c r="AT60" s="28"/>
    </row>
    <row r="61" spans="41:46">
      <c r="AO61" s="2"/>
      <c r="AT61" s="28"/>
    </row>
  </sheetData>
  <sheetProtection algorithmName="SHA-512" hashValue="m0Jcr+2r9xQ2ww/077m+Zsr5cJDCR2FoBK2hiNz9x2Ehbd7X1KrRlxOZ2qoJYRG2RwTebc44zeF9S5SPdVZrFA==" saltValue="mQgl+rxbY19iqleVI7dudg==" spinCount="100000" sheet="1" objects="1" scenarios="1"/>
  <mergeCells count="18">
    <mergeCell ref="AF3:AG3"/>
    <mergeCell ref="AJ3:AK3"/>
    <mergeCell ref="AN3:AO3"/>
    <mergeCell ref="AR3:AS3"/>
    <mergeCell ref="B3:B4"/>
    <mergeCell ref="H3:I3"/>
    <mergeCell ref="L3:M3"/>
    <mergeCell ref="P3:Q3"/>
    <mergeCell ref="T3:U3"/>
    <mergeCell ref="X3:Y3"/>
    <mergeCell ref="AB3:AC3"/>
    <mergeCell ref="D3:E3"/>
    <mergeCell ref="AR1:AT1"/>
    <mergeCell ref="X1:Z1"/>
    <mergeCell ref="AB1:AD1"/>
    <mergeCell ref="AF1:AH1"/>
    <mergeCell ref="AJ1:AL1"/>
    <mergeCell ref="AN1:AP1"/>
  </mergeCells>
  <pageMargins left="0.7" right="0.7" top="0.75" bottom="0.75" header="0.3" footer="0.3"/>
  <pageSetup scale="69" orientation="landscape" r:id="rId1"/>
  <ignoredErrors>
    <ignoredError sqref="J41:J43" evalError="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499984740745262"/>
    <pageSetUpPr fitToPage="1"/>
  </sheetPr>
  <dimension ref="A1:AS168"/>
  <sheetViews>
    <sheetView showGridLines="0" zoomScaleNormal="100" workbookViewId="0">
      <pane xSplit="2" ySplit="3" topLeftCell="AI4" activePane="bottomRight" state="frozen"/>
      <selection pane="topRight" activeCell="D1" sqref="D1"/>
      <selection pane="bottomLeft" activeCell="A5" sqref="A5"/>
      <selection pane="bottomRight" activeCell="AQ4" sqref="AQ4:AQ81"/>
    </sheetView>
  </sheetViews>
  <sheetFormatPr baseColWidth="10" defaultRowHeight="14.4"/>
  <cols>
    <col min="1" max="1" width="2.77734375" style="167" customWidth="1"/>
    <col min="2" max="2" width="48" customWidth="1"/>
    <col min="3" max="3" width="12" bestFit="1" customWidth="1"/>
    <col min="4" max="4" width="10.77734375" customWidth="1"/>
    <col min="5" max="5" width="6.77734375" customWidth="1"/>
    <col min="6" max="6" width="1.77734375" style="2549" customWidth="1"/>
    <col min="7" max="7" width="12" bestFit="1" customWidth="1"/>
    <col min="8" max="8" width="10.77734375" customWidth="1"/>
    <col min="9" max="9" width="6.77734375" customWidth="1"/>
    <col min="10" max="10" width="1.77734375" style="2549" customWidth="1"/>
    <col min="11" max="11" width="12" bestFit="1" customWidth="1"/>
    <col min="12" max="12" width="10.77734375" customWidth="1"/>
    <col min="13" max="13" width="6.77734375" customWidth="1"/>
    <col min="14" max="14" width="1.77734375" style="2549" customWidth="1"/>
    <col min="15" max="15" width="12" bestFit="1" customWidth="1"/>
    <col min="16" max="16" width="10.77734375" style="129" customWidth="1"/>
    <col min="17" max="17" width="6.77734375" style="129" customWidth="1"/>
    <col min="18" max="18" width="1.77734375" style="2552" customWidth="1"/>
    <col min="19" max="19" width="12" style="167" bestFit="1" customWidth="1"/>
    <col min="20" max="20" width="10.77734375" customWidth="1"/>
    <col min="21" max="21" width="6.77734375" customWidth="1"/>
    <col min="22" max="22" width="1.77734375" style="2549" customWidth="1"/>
    <col min="23" max="23" width="12.44140625" customWidth="1"/>
    <col min="25" max="25" width="8" customWidth="1"/>
    <col min="26" max="26" width="1.77734375" style="2549" customWidth="1"/>
    <col min="27" max="27" width="12.5546875" customWidth="1"/>
    <col min="29" max="29" width="8" customWidth="1"/>
    <col min="30" max="30" width="1.77734375" style="2549" customWidth="1"/>
    <col min="31" max="31" width="12.21875" customWidth="1"/>
    <col min="33" max="33" width="8" customWidth="1"/>
    <col min="34" max="34" width="1.77734375" style="2549" customWidth="1"/>
    <col min="35" max="35" width="12.21875" customWidth="1"/>
    <col min="37" max="37" width="8" customWidth="1"/>
    <col min="38" max="38" width="1.77734375" customWidth="1"/>
    <col min="42" max="42" width="1.5546875" customWidth="1"/>
  </cols>
  <sheetData>
    <row r="1" spans="1:45" ht="62.4">
      <c r="B1" s="63" t="s">
        <v>3913</v>
      </c>
      <c r="C1" s="323"/>
      <c r="D1" s="323"/>
      <c r="E1" s="323"/>
      <c r="F1" s="323"/>
      <c r="G1" s="323"/>
      <c r="H1" s="323"/>
      <c r="I1" s="323"/>
      <c r="J1" s="323"/>
      <c r="K1" s="323"/>
      <c r="L1" s="323"/>
      <c r="M1" s="323"/>
      <c r="N1" s="323"/>
      <c r="O1" s="323"/>
      <c r="P1" s="167"/>
      <c r="Q1" s="167"/>
      <c r="R1" s="167"/>
      <c r="S1" s="322"/>
    </row>
    <row r="2" spans="1:45">
      <c r="B2" s="2575"/>
      <c r="C2" s="6022">
        <v>2010</v>
      </c>
      <c r="D2" s="6022"/>
      <c r="E2" s="6022"/>
      <c r="F2" s="323"/>
      <c r="G2" s="6022">
        <v>2011</v>
      </c>
      <c r="H2" s="6022"/>
      <c r="I2" s="6022"/>
      <c r="J2" s="323"/>
      <c r="K2" s="6022">
        <v>2012</v>
      </c>
      <c r="L2" s="6022"/>
      <c r="M2" s="6022"/>
      <c r="N2" s="323"/>
      <c r="O2" s="6022">
        <v>2013</v>
      </c>
      <c r="P2" s="6022"/>
      <c r="Q2" s="6022"/>
      <c r="R2" s="323"/>
      <c r="S2" s="6022">
        <v>2014</v>
      </c>
      <c r="T2" s="6022"/>
      <c r="U2" s="6022"/>
      <c r="V2" s="323"/>
      <c r="W2" s="6022">
        <v>2015</v>
      </c>
      <c r="X2" s="6022"/>
      <c r="Y2" s="6022"/>
      <c r="Z2" s="323"/>
      <c r="AA2" s="6022">
        <v>2016</v>
      </c>
      <c r="AB2" s="6022"/>
      <c r="AC2" s="6022"/>
      <c r="AD2" s="323"/>
      <c r="AE2" s="6022">
        <v>2017</v>
      </c>
      <c r="AF2" s="6022"/>
      <c r="AG2" s="6022"/>
      <c r="AH2" s="323"/>
      <c r="AI2" s="6022">
        <v>2018</v>
      </c>
      <c r="AJ2" s="6022"/>
      <c r="AK2" s="6022"/>
      <c r="AL2" s="323"/>
      <c r="AM2" s="6022">
        <v>2019</v>
      </c>
      <c r="AN2" s="6022"/>
      <c r="AO2" s="6022"/>
      <c r="AQ2" s="6022">
        <v>2020</v>
      </c>
      <c r="AR2" s="6022"/>
      <c r="AS2" s="6022"/>
    </row>
    <row r="3" spans="1:45" s="1" customFormat="1" ht="55.8" thickBot="1">
      <c r="A3" s="167"/>
      <c r="B3" s="2599" t="s">
        <v>2665</v>
      </c>
      <c r="C3" s="2613" t="s">
        <v>1093</v>
      </c>
      <c r="D3" s="2611" t="s">
        <v>1094</v>
      </c>
      <c r="E3" s="2600" t="s">
        <v>76</v>
      </c>
      <c r="F3" s="323"/>
      <c r="G3" s="2613" t="s">
        <v>1093</v>
      </c>
      <c r="H3" s="2611" t="s">
        <v>1094</v>
      </c>
      <c r="I3" s="2600" t="s">
        <v>76</v>
      </c>
      <c r="J3" s="323"/>
      <c r="K3" s="2613" t="s">
        <v>1093</v>
      </c>
      <c r="L3" s="2611" t="s">
        <v>1094</v>
      </c>
      <c r="M3" s="2600" t="s">
        <v>76</v>
      </c>
      <c r="N3" s="323"/>
      <c r="O3" s="2613" t="s">
        <v>1093</v>
      </c>
      <c r="P3" s="2611" t="s">
        <v>1094</v>
      </c>
      <c r="Q3" s="2600" t="s">
        <v>76</v>
      </c>
      <c r="R3" s="323"/>
      <c r="S3" s="2613" t="s">
        <v>1093</v>
      </c>
      <c r="T3" s="2611" t="s">
        <v>1094</v>
      </c>
      <c r="U3" s="2600" t="s">
        <v>76</v>
      </c>
      <c r="V3" s="323"/>
      <c r="W3" s="2613" t="s">
        <v>1093</v>
      </c>
      <c r="X3" s="2611" t="s">
        <v>1094</v>
      </c>
      <c r="Y3" s="2600" t="s">
        <v>76</v>
      </c>
      <c r="Z3" s="323"/>
      <c r="AA3" s="2613" t="s">
        <v>1093</v>
      </c>
      <c r="AB3" s="2611" t="s">
        <v>1094</v>
      </c>
      <c r="AC3" s="2600" t="s">
        <v>76</v>
      </c>
      <c r="AD3" s="323"/>
      <c r="AE3" s="2613" t="s">
        <v>1093</v>
      </c>
      <c r="AF3" s="2611" t="s">
        <v>1094</v>
      </c>
      <c r="AG3" s="2600" t="s">
        <v>76</v>
      </c>
      <c r="AH3" s="323"/>
      <c r="AI3" s="2613" t="s">
        <v>1093</v>
      </c>
      <c r="AJ3" s="2611" t="s">
        <v>1094</v>
      </c>
      <c r="AK3" s="2600" t="s">
        <v>76</v>
      </c>
      <c r="AL3" s="323"/>
      <c r="AM3" s="2613" t="s">
        <v>1093</v>
      </c>
      <c r="AN3" s="2611" t="s">
        <v>1094</v>
      </c>
      <c r="AO3" s="2600" t="s">
        <v>76</v>
      </c>
      <c r="AQ3" s="2613" t="s">
        <v>1093</v>
      </c>
      <c r="AR3" s="2611" t="s">
        <v>1094</v>
      </c>
      <c r="AS3" s="2600" t="s">
        <v>76</v>
      </c>
    </row>
    <row r="4" spans="1:45" s="1" customFormat="1">
      <c r="A4" s="167"/>
      <c r="B4" s="2361" t="s">
        <v>1097</v>
      </c>
      <c r="C4" s="2753">
        <v>232</v>
      </c>
      <c r="D4" s="2754">
        <v>134</v>
      </c>
      <c r="E4" s="2739">
        <f>C4/D4</f>
        <v>1.7313432835820894</v>
      </c>
      <c r="F4" s="323"/>
      <c r="G4" s="2753">
        <v>277</v>
      </c>
      <c r="H4" s="2754">
        <v>136</v>
      </c>
      <c r="I4" s="2739">
        <f>G4/H4</f>
        <v>2.0367647058823528</v>
      </c>
      <c r="J4" s="323"/>
      <c r="K4" s="2753">
        <v>258</v>
      </c>
      <c r="L4" s="2754">
        <v>139</v>
      </c>
      <c r="M4" s="2739">
        <f>K4/L4</f>
        <v>1.8561151079136691</v>
      </c>
      <c r="N4" s="323"/>
      <c r="O4" s="2753">
        <v>361</v>
      </c>
      <c r="P4" s="2754">
        <v>139</v>
      </c>
      <c r="Q4" s="2739">
        <f>O4/P4</f>
        <v>2.5971223021582732</v>
      </c>
      <c r="R4" s="323"/>
      <c r="S4" s="2753">
        <v>341</v>
      </c>
      <c r="T4" s="2754">
        <v>145</v>
      </c>
      <c r="U4" s="2739">
        <f>S4/T4</f>
        <v>2.3517241379310345</v>
      </c>
      <c r="V4" s="323"/>
      <c r="W4" s="2753">
        <v>529</v>
      </c>
      <c r="X4" s="2754">
        <v>143</v>
      </c>
      <c r="Y4" s="2739">
        <f>W4/X4</f>
        <v>3.6993006993006992</v>
      </c>
      <c r="Z4" s="323"/>
      <c r="AA4" s="2753">
        <v>347</v>
      </c>
      <c r="AB4" s="2754">
        <v>142</v>
      </c>
      <c r="AC4" s="2739">
        <f>AA4/AB4</f>
        <v>2.443661971830986</v>
      </c>
      <c r="AD4" s="323"/>
      <c r="AE4" s="2753">
        <v>324</v>
      </c>
      <c r="AF4" s="2754">
        <v>142</v>
      </c>
      <c r="AG4" s="2739">
        <f>AE4/AF4</f>
        <v>2.2816901408450705</v>
      </c>
      <c r="AH4" s="323"/>
      <c r="AI4" s="2753">
        <v>284</v>
      </c>
      <c r="AJ4" s="2754">
        <v>143</v>
      </c>
      <c r="AK4" s="2739">
        <f>AI4/AJ4</f>
        <v>1.986013986013986</v>
      </c>
      <c r="AL4" s="323"/>
      <c r="AM4" s="2753">
        <v>261</v>
      </c>
      <c r="AN4" s="2754">
        <v>143</v>
      </c>
      <c r="AO4" s="2739">
        <f>AM4/AN4</f>
        <v>1.8251748251748252</v>
      </c>
      <c r="AQ4" s="2753">
        <v>200</v>
      </c>
      <c r="AR4" s="2754">
        <v>144</v>
      </c>
      <c r="AS4" s="2739">
        <f>AQ4/AR4</f>
        <v>1.3888888888888888</v>
      </c>
    </row>
    <row r="5" spans="1:45" s="1" customFormat="1">
      <c r="A5" s="167"/>
      <c r="B5" s="1133" t="s">
        <v>1098</v>
      </c>
      <c r="C5" s="2753">
        <v>36</v>
      </c>
      <c r="D5" s="2754">
        <v>52</v>
      </c>
      <c r="E5" s="2739">
        <f t="shared" ref="E5:E68" si="0">C5/D5</f>
        <v>0.69230769230769229</v>
      </c>
      <c r="F5" s="323"/>
      <c r="G5" s="2753">
        <v>77</v>
      </c>
      <c r="H5" s="2754">
        <v>52</v>
      </c>
      <c r="I5" s="2739">
        <f t="shared" ref="I5:I68" si="1">G5/H5</f>
        <v>1.4807692307692308</v>
      </c>
      <c r="J5" s="323"/>
      <c r="K5" s="2753">
        <v>32</v>
      </c>
      <c r="L5" s="2754">
        <v>52</v>
      </c>
      <c r="M5" s="2739">
        <f t="shared" ref="M5:M68" si="2">K5/L5</f>
        <v>0.61538461538461542</v>
      </c>
      <c r="N5" s="323"/>
      <c r="O5" s="2753">
        <v>61</v>
      </c>
      <c r="P5" s="2754">
        <v>51</v>
      </c>
      <c r="Q5" s="2739">
        <f t="shared" ref="Q5:Q68" si="3">O5/P5</f>
        <v>1.196078431372549</v>
      </c>
      <c r="R5" s="323"/>
      <c r="S5" s="2753">
        <v>38</v>
      </c>
      <c r="T5" s="2754">
        <v>53</v>
      </c>
      <c r="U5" s="2739">
        <f t="shared" ref="U5:U68" si="4">S5/T5</f>
        <v>0.71698113207547165</v>
      </c>
      <c r="V5" s="323"/>
      <c r="W5" s="2753">
        <v>42</v>
      </c>
      <c r="X5" s="2754">
        <v>56</v>
      </c>
      <c r="Y5" s="2739">
        <f t="shared" ref="Y5:Y52" si="5">W5/X5</f>
        <v>0.75</v>
      </c>
      <c r="Z5" s="323"/>
      <c r="AA5" s="2753">
        <v>90</v>
      </c>
      <c r="AB5" s="2754">
        <v>54</v>
      </c>
      <c r="AC5" s="2739">
        <f t="shared" ref="AC5:AC52" si="6">AA5/AB5</f>
        <v>1.6666666666666667</v>
      </c>
      <c r="AD5" s="323"/>
      <c r="AE5" s="2753">
        <v>105</v>
      </c>
      <c r="AF5" s="2754">
        <v>56</v>
      </c>
      <c r="AG5" s="2739">
        <f t="shared" ref="AG5:AG52" si="7">AE5/AF5</f>
        <v>1.875</v>
      </c>
      <c r="AH5" s="323"/>
      <c r="AI5" s="2753">
        <v>114</v>
      </c>
      <c r="AJ5" s="2754">
        <v>55</v>
      </c>
      <c r="AK5" s="2739">
        <f t="shared" ref="AK5:AK52" si="8">AI5/AJ5</f>
        <v>2.0727272727272728</v>
      </c>
      <c r="AL5" s="323"/>
      <c r="AM5" s="2753">
        <v>42</v>
      </c>
      <c r="AN5" s="2754">
        <v>54</v>
      </c>
      <c r="AO5" s="2739">
        <f t="shared" ref="AO5:AO52" si="9">AM5/AN5</f>
        <v>0.77777777777777779</v>
      </c>
      <c r="AQ5" s="2753">
        <v>45</v>
      </c>
      <c r="AR5" s="2754">
        <v>51</v>
      </c>
      <c r="AS5" s="2739">
        <f t="shared" ref="AS5:AS15" si="10">AQ5/AR5</f>
        <v>0.88235294117647056</v>
      </c>
    </row>
    <row r="6" spans="1:45" s="1" customFormat="1">
      <c r="A6" s="167"/>
      <c r="B6" s="1133" t="s">
        <v>1099</v>
      </c>
      <c r="C6" s="2753">
        <v>111</v>
      </c>
      <c r="D6" s="2754">
        <v>64</v>
      </c>
      <c r="E6" s="2739">
        <f t="shared" si="0"/>
        <v>1.734375</v>
      </c>
      <c r="F6" s="323"/>
      <c r="G6" s="2753">
        <v>109</v>
      </c>
      <c r="H6" s="2754">
        <v>62</v>
      </c>
      <c r="I6" s="2739">
        <f t="shared" si="1"/>
        <v>1.7580645161290323</v>
      </c>
      <c r="J6" s="323"/>
      <c r="K6" s="2753">
        <v>70</v>
      </c>
      <c r="L6" s="2754">
        <v>63</v>
      </c>
      <c r="M6" s="2739">
        <f t="shared" si="2"/>
        <v>1.1111111111111112</v>
      </c>
      <c r="N6" s="323"/>
      <c r="O6" s="2753">
        <v>60</v>
      </c>
      <c r="P6" s="2754">
        <v>64</v>
      </c>
      <c r="Q6" s="2739">
        <f t="shared" si="3"/>
        <v>0.9375</v>
      </c>
      <c r="R6" s="323"/>
      <c r="S6" s="2753">
        <v>93</v>
      </c>
      <c r="T6" s="2754">
        <v>66</v>
      </c>
      <c r="U6" s="2739">
        <f t="shared" si="4"/>
        <v>1.4090909090909092</v>
      </c>
      <c r="V6" s="323"/>
      <c r="W6" s="2753">
        <v>123</v>
      </c>
      <c r="X6" s="2754">
        <v>61</v>
      </c>
      <c r="Y6" s="2739">
        <f t="shared" si="5"/>
        <v>2.0163934426229506</v>
      </c>
      <c r="Z6" s="323"/>
      <c r="AA6" s="2753">
        <v>176</v>
      </c>
      <c r="AB6" s="2754">
        <v>60</v>
      </c>
      <c r="AC6" s="2739">
        <f t="shared" si="6"/>
        <v>2.9333333333333331</v>
      </c>
      <c r="AD6" s="323"/>
      <c r="AE6" s="2753">
        <v>169</v>
      </c>
      <c r="AF6" s="2754">
        <v>62</v>
      </c>
      <c r="AG6" s="2739">
        <f t="shared" si="7"/>
        <v>2.725806451612903</v>
      </c>
      <c r="AH6" s="323"/>
      <c r="AI6" s="2753">
        <v>163</v>
      </c>
      <c r="AJ6" s="2754">
        <v>65</v>
      </c>
      <c r="AK6" s="2739">
        <f t="shared" si="8"/>
        <v>2.5076923076923077</v>
      </c>
      <c r="AL6" s="323"/>
      <c r="AM6" s="2753">
        <v>133</v>
      </c>
      <c r="AN6" s="2754">
        <v>67</v>
      </c>
      <c r="AO6" s="2739">
        <f t="shared" si="9"/>
        <v>1.9850746268656716</v>
      </c>
      <c r="AQ6" s="2753">
        <v>100</v>
      </c>
      <c r="AR6" s="2754">
        <v>63</v>
      </c>
      <c r="AS6" s="2739">
        <f t="shared" si="10"/>
        <v>1.5873015873015872</v>
      </c>
    </row>
    <row r="7" spans="1:45" s="1" customFormat="1">
      <c r="A7" s="167"/>
      <c r="B7" s="1133" t="s">
        <v>1100</v>
      </c>
      <c r="C7" s="2753">
        <v>61</v>
      </c>
      <c r="D7" s="2754">
        <v>50</v>
      </c>
      <c r="E7" s="2739">
        <f t="shared" si="0"/>
        <v>1.22</v>
      </c>
      <c r="F7" s="323"/>
      <c r="G7" s="2753">
        <v>118</v>
      </c>
      <c r="H7" s="2754">
        <v>51</v>
      </c>
      <c r="I7" s="2739">
        <f t="shared" si="1"/>
        <v>2.3137254901960786</v>
      </c>
      <c r="J7" s="323"/>
      <c r="K7" s="2753">
        <v>85</v>
      </c>
      <c r="L7" s="2754">
        <v>49</v>
      </c>
      <c r="M7" s="2739">
        <f t="shared" si="2"/>
        <v>1.7346938775510203</v>
      </c>
      <c r="N7" s="323"/>
      <c r="O7" s="2753">
        <v>94</v>
      </c>
      <c r="P7" s="2754">
        <v>51</v>
      </c>
      <c r="Q7" s="2739">
        <f t="shared" si="3"/>
        <v>1.8431372549019607</v>
      </c>
      <c r="R7" s="323"/>
      <c r="S7" s="2753">
        <v>69</v>
      </c>
      <c r="T7" s="2754">
        <v>51</v>
      </c>
      <c r="U7" s="2739">
        <f t="shared" si="4"/>
        <v>1.3529411764705883</v>
      </c>
      <c r="V7" s="323"/>
      <c r="W7" s="2753">
        <v>94</v>
      </c>
      <c r="X7" s="2754">
        <v>50</v>
      </c>
      <c r="Y7" s="2739">
        <f t="shared" si="5"/>
        <v>1.88</v>
      </c>
      <c r="Z7" s="323"/>
      <c r="AA7" s="2753">
        <v>96</v>
      </c>
      <c r="AB7" s="2754">
        <v>49</v>
      </c>
      <c r="AC7" s="2739">
        <f t="shared" si="6"/>
        <v>1.9591836734693877</v>
      </c>
      <c r="AD7" s="323"/>
      <c r="AE7" s="2753">
        <v>83</v>
      </c>
      <c r="AF7" s="2754">
        <v>50</v>
      </c>
      <c r="AG7" s="2739">
        <f t="shared" si="7"/>
        <v>1.66</v>
      </c>
      <c r="AH7" s="323"/>
      <c r="AI7" s="2753">
        <v>86</v>
      </c>
      <c r="AJ7" s="2754">
        <v>50</v>
      </c>
      <c r="AK7" s="2739">
        <f t="shared" si="8"/>
        <v>1.72</v>
      </c>
      <c r="AL7" s="323"/>
      <c r="AM7" s="2753">
        <v>129</v>
      </c>
      <c r="AN7" s="2754">
        <v>53</v>
      </c>
      <c r="AO7" s="2739">
        <f t="shared" si="9"/>
        <v>2.4339622641509435</v>
      </c>
      <c r="AQ7" s="2753">
        <v>73</v>
      </c>
      <c r="AR7" s="2754">
        <v>53</v>
      </c>
      <c r="AS7" s="2739">
        <f t="shared" si="10"/>
        <v>1.3773584905660377</v>
      </c>
    </row>
    <row r="8" spans="1:45" s="1" customFormat="1">
      <c r="A8" s="167"/>
      <c r="B8" s="1134" t="s">
        <v>1101</v>
      </c>
      <c r="C8" s="2755">
        <v>45</v>
      </c>
      <c r="D8" s="1611">
        <v>42</v>
      </c>
      <c r="E8" s="2740">
        <f t="shared" si="0"/>
        <v>1.0714285714285714</v>
      </c>
      <c r="F8" s="323"/>
      <c r="G8" s="2755">
        <v>49</v>
      </c>
      <c r="H8" s="1611">
        <v>41</v>
      </c>
      <c r="I8" s="2740">
        <f t="shared" si="1"/>
        <v>1.1951219512195121</v>
      </c>
      <c r="J8" s="323"/>
      <c r="K8" s="2755">
        <v>15</v>
      </c>
      <c r="L8" s="1611">
        <v>45</v>
      </c>
      <c r="M8" s="2740">
        <f t="shared" si="2"/>
        <v>0.33333333333333331</v>
      </c>
      <c r="N8" s="323"/>
      <c r="O8" s="2755">
        <v>84</v>
      </c>
      <c r="P8" s="1611">
        <v>44</v>
      </c>
      <c r="Q8" s="2740">
        <f t="shared" si="3"/>
        <v>1.9090909090909092</v>
      </c>
      <c r="R8" s="323"/>
      <c r="S8" s="2755">
        <v>45</v>
      </c>
      <c r="T8" s="1611">
        <v>42</v>
      </c>
      <c r="U8" s="2740">
        <f t="shared" si="4"/>
        <v>1.0714285714285714</v>
      </c>
      <c r="V8" s="323"/>
      <c r="W8" s="2755">
        <v>69</v>
      </c>
      <c r="X8" s="1611">
        <v>41</v>
      </c>
      <c r="Y8" s="2740">
        <f t="shared" si="5"/>
        <v>1.6829268292682926</v>
      </c>
      <c r="Z8" s="323"/>
      <c r="AA8" s="2755">
        <v>80</v>
      </c>
      <c r="AB8" s="1611">
        <v>43</v>
      </c>
      <c r="AC8" s="2740">
        <f t="shared" si="6"/>
        <v>1.8604651162790697</v>
      </c>
      <c r="AD8" s="323"/>
      <c r="AE8" s="2755">
        <v>53</v>
      </c>
      <c r="AF8" s="1611">
        <v>45</v>
      </c>
      <c r="AG8" s="2740">
        <f t="shared" si="7"/>
        <v>1.1777777777777778</v>
      </c>
      <c r="AH8" s="323"/>
      <c r="AI8" s="2755">
        <v>126</v>
      </c>
      <c r="AJ8" s="1611">
        <v>47</v>
      </c>
      <c r="AK8" s="2740">
        <f t="shared" si="8"/>
        <v>2.6808510638297873</v>
      </c>
      <c r="AL8" s="323"/>
      <c r="AM8" s="2755">
        <v>80</v>
      </c>
      <c r="AN8" s="1611">
        <v>47</v>
      </c>
      <c r="AO8" s="2740">
        <f t="shared" si="9"/>
        <v>1.7021276595744681</v>
      </c>
      <c r="AQ8" s="2755">
        <v>82</v>
      </c>
      <c r="AR8" s="1611">
        <v>49</v>
      </c>
      <c r="AS8" s="2740">
        <f t="shared" si="10"/>
        <v>1.6734693877551021</v>
      </c>
    </row>
    <row r="9" spans="1:45" s="1" customFormat="1" ht="15" customHeight="1">
      <c r="A9" s="167"/>
      <c r="B9" s="2316" t="s">
        <v>4</v>
      </c>
      <c r="C9" s="2756">
        <v>485</v>
      </c>
      <c r="D9" s="1612">
        <f>SUM(D4:D8)</f>
        <v>342</v>
      </c>
      <c r="E9" s="2741">
        <f t="shared" si="0"/>
        <v>1.4181286549707601</v>
      </c>
      <c r="F9" s="323"/>
      <c r="G9" s="2756">
        <v>630</v>
      </c>
      <c r="H9" s="1612">
        <f>SUM(H4:H8)</f>
        <v>342</v>
      </c>
      <c r="I9" s="2741">
        <f t="shared" si="1"/>
        <v>1.8421052631578947</v>
      </c>
      <c r="J9" s="323"/>
      <c r="K9" s="2756">
        <f>SUM(K4:K8)</f>
        <v>460</v>
      </c>
      <c r="L9" s="1612">
        <f>SUM(L4:L8)</f>
        <v>348</v>
      </c>
      <c r="M9" s="2741">
        <f t="shared" si="2"/>
        <v>1.3218390804597702</v>
      </c>
      <c r="N9" s="323"/>
      <c r="O9" s="2756">
        <f>SUM(O4:O8)</f>
        <v>660</v>
      </c>
      <c r="P9" s="1612">
        <f>SUM(P4:P8)</f>
        <v>349</v>
      </c>
      <c r="Q9" s="2741">
        <f t="shared" si="3"/>
        <v>1.8911174785100286</v>
      </c>
      <c r="R9" s="323"/>
      <c r="S9" s="2756">
        <f>SUM(S4:S8)</f>
        <v>586</v>
      </c>
      <c r="T9" s="1612">
        <f>SUM(T4:T8)</f>
        <v>357</v>
      </c>
      <c r="U9" s="2741">
        <f t="shared" si="4"/>
        <v>1.6414565826330532</v>
      </c>
      <c r="V9" s="323"/>
      <c r="W9" s="2756">
        <f>SUM(W4:W8)</f>
        <v>857</v>
      </c>
      <c r="X9" s="1612">
        <v>351</v>
      </c>
      <c r="Y9" s="2741">
        <f t="shared" si="5"/>
        <v>2.4415954415954415</v>
      </c>
      <c r="Z9" s="323"/>
      <c r="AA9" s="2756">
        <v>789</v>
      </c>
      <c r="AB9" s="1612">
        <f>SUM(AB4:AB8)</f>
        <v>348</v>
      </c>
      <c r="AC9" s="2741">
        <f t="shared" si="6"/>
        <v>2.2672413793103448</v>
      </c>
      <c r="AD9" s="323"/>
      <c r="AE9" s="2756">
        <v>734</v>
      </c>
      <c r="AF9" s="1612">
        <f>SUM(AF4:AF8)</f>
        <v>355</v>
      </c>
      <c r="AG9" s="2741">
        <f t="shared" si="7"/>
        <v>2.0676056338028168</v>
      </c>
      <c r="AH9" s="323"/>
      <c r="AI9" s="2756">
        <v>773</v>
      </c>
      <c r="AJ9" s="1612">
        <v>360</v>
      </c>
      <c r="AK9" s="2741">
        <f t="shared" si="8"/>
        <v>2.1472222222222221</v>
      </c>
      <c r="AL9" s="323"/>
      <c r="AM9" s="2756">
        <v>645</v>
      </c>
      <c r="AN9" s="1612">
        <v>364</v>
      </c>
      <c r="AO9" s="2741">
        <f t="shared" si="9"/>
        <v>1.7719780219780219</v>
      </c>
      <c r="AQ9" s="2756">
        <v>500</v>
      </c>
      <c r="AR9" s="1612">
        <v>360</v>
      </c>
      <c r="AS9" s="2741">
        <f t="shared" si="10"/>
        <v>1.3888888888888888</v>
      </c>
    </row>
    <row r="10" spans="1:45" s="1" customFormat="1">
      <c r="A10" s="167"/>
      <c r="B10" s="1132" t="s">
        <v>1102</v>
      </c>
      <c r="C10" s="2757">
        <v>67</v>
      </c>
      <c r="D10" s="2758">
        <v>42</v>
      </c>
      <c r="E10" s="2742">
        <f t="shared" si="0"/>
        <v>1.5952380952380953</v>
      </c>
      <c r="F10" s="323"/>
      <c r="G10" s="2757">
        <v>77</v>
      </c>
      <c r="H10" s="2758">
        <v>44</v>
      </c>
      <c r="I10" s="2742">
        <f t="shared" si="1"/>
        <v>1.75</v>
      </c>
      <c r="J10" s="323"/>
      <c r="K10" s="2757">
        <v>73</v>
      </c>
      <c r="L10" s="2758">
        <v>44</v>
      </c>
      <c r="M10" s="2742">
        <f t="shared" si="2"/>
        <v>1.6590909090909092</v>
      </c>
      <c r="N10" s="323"/>
      <c r="O10" s="2757">
        <v>85</v>
      </c>
      <c r="P10" s="2758">
        <v>43</v>
      </c>
      <c r="Q10" s="2742">
        <f t="shared" si="3"/>
        <v>1.9767441860465116</v>
      </c>
      <c r="R10" s="323"/>
      <c r="S10" s="2757">
        <v>104</v>
      </c>
      <c r="T10" s="2758">
        <v>44</v>
      </c>
      <c r="U10" s="2742">
        <f t="shared" si="4"/>
        <v>2.3636363636363638</v>
      </c>
      <c r="V10" s="323"/>
      <c r="W10" s="2757">
        <v>77</v>
      </c>
      <c r="X10" s="2758">
        <v>43</v>
      </c>
      <c r="Y10" s="2742">
        <f t="shared" si="5"/>
        <v>1.7906976744186047</v>
      </c>
      <c r="Z10" s="323"/>
      <c r="AA10" s="2757">
        <v>61</v>
      </c>
      <c r="AB10" s="2758">
        <v>41</v>
      </c>
      <c r="AC10" s="2742">
        <f t="shared" si="6"/>
        <v>1.4878048780487805</v>
      </c>
      <c r="AD10" s="323"/>
      <c r="AE10" s="2757">
        <v>57</v>
      </c>
      <c r="AF10" s="2758">
        <v>45</v>
      </c>
      <c r="AG10" s="2742">
        <f t="shared" si="7"/>
        <v>1.2666666666666666</v>
      </c>
      <c r="AH10" s="323"/>
      <c r="AI10" s="2757">
        <v>97</v>
      </c>
      <c r="AJ10" s="2758">
        <v>49</v>
      </c>
      <c r="AK10" s="2742">
        <f t="shared" si="8"/>
        <v>1.9795918367346939</v>
      </c>
      <c r="AL10" s="323"/>
      <c r="AM10" s="2757">
        <v>112</v>
      </c>
      <c r="AN10" s="2758">
        <v>47</v>
      </c>
      <c r="AO10" s="2742">
        <f t="shared" si="9"/>
        <v>2.3829787234042552</v>
      </c>
      <c r="AQ10" s="2757">
        <v>42</v>
      </c>
      <c r="AR10" s="2758">
        <v>46</v>
      </c>
      <c r="AS10" s="2742">
        <f t="shared" si="10"/>
        <v>0.91304347826086951</v>
      </c>
    </row>
    <row r="11" spans="1:45" s="1" customFormat="1">
      <c r="A11" s="167"/>
      <c r="B11" s="1133" t="s">
        <v>1103</v>
      </c>
      <c r="C11" s="2757">
        <v>65</v>
      </c>
      <c r="D11" s="2758">
        <v>64</v>
      </c>
      <c r="E11" s="2742">
        <f t="shared" si="0"/>
        <v>1.015625</v>
      </c>
      <c r="F11" s="323"/>
      <c r="G11" s="2757">
        <v>77</v>
      </c>
      <c r="H11" s="2758">
        <v>63</v>
      </c>
      <c r="I11" s="2742">
        <f t="shared" si="1"/>
        <v>1.2222222222222223</v>
      </c>
      <c r="J11" s="323"/>
      <c r="K11" s="2757">
        <v>105</v>
      </c>
      <c r="L11" s="2758">
        <v>62</v>
      </c>
      <c r="M11" s="2742">
        <f t="shared" si="2"/>
        <v>1.6935483870967742</v>
      </c>
      <c r="N11" s="323"/>
      <c r="O11" s="2757">
        <v>89</v>
      </c>
      <c r="P11" s="2758">
        <v>73</v>
      </c>
      <c r="Q11" s="2742">
        <f t="shared" si="3"/>
        <v>1.2191780821917808</v>
      </c>
      <c r="R11" s="323"/>
      <c r="S11" s="2757">
        <v>59</v>
      </c>
      <c r="T11" s="2758">
        <v>71</v>
      </c>
      <c r="U11" s="2742">
        <f t="shared" si="4"/>
        <v>0.83098591549295775</v>
      </c>
      <c r="V11" s="323"/>
      <c r="W11" s="2757">
        <v>76</v>
      </c>
      <c r="X11" s="2758">
        <v>71</v>
      </c>
      <c r="Y11" s="2742">
        <f t="shared" si="5"/>
        <v>1.0704225352112675</v>
      </c>
      <c r="Z11" s="323"/>
      <c r="AA11" s="2757">
        <v>71</v>
      </c>
      <c r="AB11" s="2758">
        <v>68</v>
      </c>
      <c r="AC11" s="2742">
        <f t="shared" si="6"/>
        <v>1.0441176470588236</v>
      </c>
      <c r="AD11" s="323"/>
      <c r="AE11" s="2757">
        <v>70</v>
      </c>
      <c r="AF11" s="2758">
        <v>70</v>
      </c>
      <c r="AG11" s="2742">
        <f t="shared" si="7"/>
        <v>1</v>
      </c>
      <c r="AH11" s="323"/>
      <c r="AI11" s="2757">
        <v>46</v>
      </c>
      <c r="AJ11" s="2758">
        <v>72</v>
      </c>
      <c r="AK11" s="2742">
        <f t="shared" si="8"/>
        <v>0.63888888888888884</v>
      </c>
      <c r="AL11" s="323"/>
      <c r="AM11" s="2757">
        <v>67</v>
      </c>
      <c r="AN11" s="2758">
        <v>70</v>
      </c>
      <c r="AO11" s="2742">
        <f t="shared" si="9"/>
        <v>0.95714285714285718</v>
      </c>
      <c r="AQ11" s="2757">
        <v>24</v>
      </c>
      <c r="AR11" s="2758">
        <v>69</v>
      </c>
      <c r="AS11" s="2742">
        <f t="shared" si="10"/>
        <v>0.34782608695652173</v>
      </c>
    </row>
    <row r="12" spans="1:45" s="1" customFormat="1">
      <c r="A12" s="167"/>
      <c r="B12" s="1133" t="s">
        <v>1104</v>
      </c>
      <c r="C12" s="2757">
        <v>104</v>
      </c>
      <c r="D12" s="2758">
        <v>71</v>
      </c>
      <c r="E12" s="2742">
        <f t="shared" si="0"/>
        <v>1.4647887323943662</v>
      </c>
      <c r="F12" s="323"/>
      <c r="G12" s="2757">
        <v>133</v>
      </c>
      <c r="H12" s="2758">
        <v>74</v>
      </c>
      <c r="I12" s="2742">
        <f t="shared" si="1"/>
        <v>1.7972972972972974</v>
      </c>
      <c r="J12" s="323"/>
      <c r="K12" s="2757">
        <v>131</v>
      </c>
      <c r="L12" s="2758">
        <v>74</v>
      </c>
      <c r="M12" s="2742">
        <f t="shared" si="2"/>
        <v>1.7702702702702702</v>
      </c>
      <c r="N12" s="323"/>
      <c r="O12" s="2757">
        <v>100</v>
      </c>
      <c r="P12" s="2758">
        <v>76</v>
      </c>
      <c r="Q12" s="2742">
        <f t="shared" si="3"/>
        <v>1.3157894736842106</v>
      </c>
      <c r="R12" s="323"/>
      <c r="S12" s="2757">
        <v>89</v>
      </c>
      <c r="T12" s="2758">
        <v>76</v>
      </c>
      <c r="U12" s="2742">
        <f t="shared" si="4"/>
        <v>1.1710526315789473</v>
      </c>
      <c r="V12" s="323"/>
      <c r="W12" s="2757">
        <v>71</v>
      </c>
      <c r="X12" s="2758">
        <v>74</v>
      </c>
      <c r="Y12" s="2742">
        <f t="shared" si="5"/>
        <v>0.95945945945945943</v>
      </c>
      <c r="Z12" s="323"/>
      <c r="AA12" s="2757">
        <v>100</v>
      </c>
      <c r="AB12" s="2758">
        <v>74</v>
      </c>
      <c r="AC12" s="2742">
        <f t="shared" si="6"/>
        <v>1.3513513513513513</v>
      </c>
      <c r="AD12" s="323"/>
      <c r="AE12" s="2757">
        <v>98</v>
      </c>
      <c r="AF12" s="2758">
        <v>78</v>
      </c>
      <c r="AG12" s="2742">
        <f t="shared" si="7"/>
        <v>1.2564102564102564</v>
      </c>
      <c r="AH12" s="323"/>
      <c r="AI12" s="2757">
        <v>113</v>
      </c>
      <c r="AJ12" s="2758">
        <v>77</v>
      </c>
      <c r="AK12" s="2742">
        <f t="shared" si="8"/>
        <v>1.4675324675324675</v>
      </c>
      <c r="AL12" s="323"/>
      <c r="AM12" s="2757">
        <v>94</v>
      </c>
      <c r="AN12" s="2758">
        <v>76</v>
      </c>
      <c r="AO12" s="2742">
        <f t="shared" si="9"/>
        <v>1.236842105263158</v>
      </c>
      <c r="AQ12" s="2757">
        <v>34</v>
      </c>
      <c r="AR12" s="2758">
        <v>73</v>
      </c>
      <c r="AS12" s="2742">
        <f t="shared" si="10"/>
        <v>0.46575342465753422</v>
      </c>
    </row>
    <row r="13" spans="1:45" s="1" customFormat="1">
      <c r="A13" s="167"/>
      <c r="B13" s="1133" t="s">
        <v>813</v>
      </c>
      <c r="C13" s="2757">
        <v>116</v>
      </c>
      <c r="D13" s="2758">
        <v>56</v>
      </c>
      <c r="E13" s="2742">
        <f t="shared" si="0"/>
        <v>2.0714285714285716</v>
      </c>
      <c r="F13" s="323"/>
      <c r="G13" s="2757">
        <v>106</v>
      </c>
      <c r="H13" s="2758">
        <v>57</v>
      </c>
      <c r="I13" s="2742">
        <f t="shared" si="1"/>
        <v>1.8596491228070176</v>
      </c>
      <c r="J13" s="323"/>
      <c r="K13" s="2757">
        <v>118</v>
      </c>
      <c r="L13" s="2758">
        <v>58</v>
      </c>
      <c r="M13" s="2742">
        <f t="shared" si="2"/>
        <v>2.0344827586206895</v>
      </c>
      <c r="N13" s="323"/>
      <c r="O13" s="2757">
        <v>92</v>
      </c>
      <c r="P13" s="2758">
        <v>58</v>
      </c>
      <c r="Q13" s="2742">
        <f t="shared" si="3"/>
        <v>1.5862068965517242</v>
      </c>
      <c r="R13" s="323"/>
      <c r="S13" s="2757">
        <v>95</v>
      </c>
      <c r="T13" s="2758">
        <v>58</v>
      </c>
      <c r="U13" s="2742">
        <f t="shared" si="4"/>
        <v>1.6379310344827587</v>
      </c>
      <c r="V13" s="323"/>
      <c r="W13" s="2757">
        <v>119</v>
      </c>
      <c r="X13" s="2758">
        <v>56</v>
      </c>
      <c r="Y13" s="2742">
        <f t="shared" si="5"/>
        <v>2.125</v>
      </c>
      <c r="Z13" s="323"/>
      <c r="AA13" s="2757">
        <v>99</v>
      </c>
      <c r="AB13" s="2758">
        <v>56</v>
      </c>
      <c r="AC13" s="2742">
        <f t="shared" si="6"/>
        <v>1.7678571428571428</v>
      </c>
      <c r="AD13" s="323"/>
      <c r="AE13" s="2757">
        <v>74</v>
      </c>
      <c r="AF13" s="2758">
        <v>57</v>
      </c>
      <c r="AG13" s="2742">
        <f t="shared" si="7"/>
        <v>1.2982456140350878</v>
      </c>
      <c r="AH13" s="323"/>
      <c r="AI13" s="2757">
        <v>102</v>
      </c>
      <c r="AJ13" s="2758">
        <v>57</v>
      </c>
      <c r="AK13" s="2742">
        <f t="shared" si="8"/>
        <v>1.7894736842105263</v>
      </c>
      <c r="AL13" s="323"/>
      <c r="AM13" s="2757">
        <v>79</v>
      </c>
      <c r="AN13" s="2758">
        <v>57</v>
      </c>
      <c r="AO13" s="2742">
        <f t="shared" si="9"/>
        <v>1.3859649122807018</v>
      </c>
      <c r="AQ13" s="2757">
        <v>50</v>
      </c>
      <c r="AR13" s="2758">
        <v>56</v>
      </c>
      <c r="AS13" s="2742">
        <f t="shared" si="10"/>
        <v>0.8928571428571429</v>
      </c>
    </row>
    <row r="14" spans="1:45" s="1" customFormat="1">
      <c r="A14" s="167"/>
      <c r="B14" s="1133" t="s">
        <v>1105</v>
      </c>
      <c r="C14" s="2759">
        <v>144</v>
      </c>
      <c r="D14" s="1613">
        <v>75</v>
      </c>
      <c r="E14" s="2743">
        <f t="shared" si="0"/>
        <v>1.92</v>
      </c>
      <c r="F14" s="323"/>
      <c r="G14" s="2759">
        <v>80</v>
      </c>
      <c r="H14" s="1613">
        <v>77</v>
      </c>
      <c r="I14" s="2743">
        <f t="shared" si="1"/>
        <v>1.0389610389610389</v>
      </c>
      <c r="J14" s="323"/>
      <c r="K14" s="2759">
        <v>50</v>
      </c>
      <c r="L14" s="1613">
        <v>76</v>
      </c>
      <c r="M14" s="2743">
        <f t="shared" si="2"/>
        <v>0.65789473684210531</v>
      </c>
      <c r="N14" s="323"/>
      <c r="O14" s="2759">
        <v>107</v>
      </c>
      <c r="P14" s="1613">
        <v>76</v>
      </c>
      <c r="Q14" s="2743">
        <f t="shared" si="3"/>
        <v>1.4078947368421053</v>
      </c>
      <c r="R14" s="323"/>
      <c r="S14" s="2759">
        <v>83</v>
      </c>
      <c r="T14" s="1613">
        <v>76</v>
      </c>
      <c r="U14" s="2743">
        <f t="shared" si="4"/>
        <v>1.0921052631578947</v>
      </c>
      <c r="V14" s="323"/>
      <c r="W14" s="2759">
        <v>98</v>
      </c>
      <c r="X14" s="1613">
        <v>75</v>
      </c>
      <c r="Y14" s="2743">
        <f t="shared" si="5"/>
        <v>1.3066666666666666</v>
      </c>
      <c r="Z14" s="323"/>
      <c r="AA14" s="2759">
        <v>71</v>
      </c>
      <c r="AB14" s="1613">
        <v>72</v>
      </c>
      <c r="AC14" s="2743">
        <f t="shared" si="6"/>
        <v>0.98611111111111116</v>
      </c>
      <c r="AD14" s="323"/>
      <c r="AE14" s="2759">
        <v>86</v>
      </c>
      <c r="AF14" s="1613">
        <v>73</v>
      </c>
      <c r="AG14" s="2743">
        <f t="shared" si="7"/>
        <v>1.178082191780822</v>
      </c>
      <c r="AH14" s="323"/>
      <c r="AI14" s="2759">
        <v>92</v>
      </c>
      <c r="AJ14" s="1613">
        <v>76</v>
      </c>
      <c r="AK14" s="2743">
        <f t="shared" si="8"/>
        <v>1.2105263157894737</v>
      </c>
      <c r="AL14" s="323"/>
      <c r="AM14" s="2759">
        <v>65</v>
      </c>
      <c r="AN14" s="1613">
        <v>73</v>
      </c>
      <c r="AO14" s="2743">
        <f t="shared" si="9"/>
        <v>0.8904109589041096</v>
      </c>
      <c r="AQ14" s="2759">
        <v>51</v>
      </c>
      <c r="AR14" s="1613">
        <v>73</v>
      </c>
      <c r="AS14" s="2743">
        <f t="shared" si="10"/>
        <v>0.69863013698630139</v>
      </c>
    </row>
    <row r="15" spans="1:45" s="1" customFormat="1" ht="15" customHeight="1">
      <c r="A15" s="167"/>
      <c r="B15" s="2316" t="s">
        <v>16</v>
      </c>
      <c r="C15" s="2756">
        <v>496</v>
      </c>
      <c r="D15" s="1612">
        <f>SUM(D10:D14)</f>
        <v>308</v>
      </c>
      <c r="E15" s="2741">
        <f t="shared" si="0"/>
        <v>1.6103896103896105</v>
      </c>
      <c r="F15" s="323"/>
      <c r="G15" s="2756">
        <v>473</v>
      </c>
      <c r="H15" s="1612">
        <f>SUM(H10:H14)</f>
        <v>315</v>
      </c>
      <c r="I15" s="2741">
        <f t="shared" si="1"/>
        <v>1.5015873015873016</v>
      </c>
      <c r="J15" s="323"/>
      <c r="K15" s="2756">
        <f>SUM(K10:K14)</f>
        <v>477</v>
      </c>
      <c r="L15" s="1612">
        <f>SUM(L10:L14)</f>
        <v>314</v>
      </c>
      <c r="M15" s="2741">
        <f t="shared" si="2"/>
        <v>1.5191082802547771</v>
      </c>
      <c r="N15" s="323"/>
      <c r="O15" s="2756">
        <f>SUM(O10:O14)</f>
        <v>473</v>
      </c>
      <c r="P15" s="1612">
        <f>SUM(P10:P14)</f>
        <v>326</v>
      </c>
      <c r="Q15" s="2741">
        <f t="shared" si="3"/>
        <v>1.4509202453987731</v>
      </c>
      <c r="R15" s="323"/>
      <c r="S15" s="2756">
        <f>SUM(S10:S14)</f>
        <v>430</v>
      </c>
      <c r="T15" s="1612">
        <f>SUM(T10:T14)</f>
        <v>325</v>
      </c>
      <c r="U15" s="2741">
        <f t="shared" si="4"/>
        <v>1.323076923076923</v>
      </c>
      <c r="V15" s="323"/>
      <c r="W15" s="2756">
        <f>SUM(W10:W14)</f>
        <v>441</v>
      </c>
      <c r="X15" s="1612">
        <v>319</v>
      </c>
      <c r="Y15" s="2741">
        <f t="shared" si="5"/>
        <v>1.3824451410658307</v>
      </c>
      <c r="Z15" s="323"/>
      <c r="AA15" s="2756">
        <v>402</v>
      </c>
      <c r="AB15" s="1612">
        <f>SUM(AB10:AB14)</f>
        <v>311</v>
      </c>
      <c r="AC15" s="2741">
        <f t="shared" si="6"/>
        <v>1.292604501607717</v>
      </c>
      <c r="AD15" s="323"/>
      <c r="AE15" s="2756">
        <v>385</v>
      </c>
      <c r="AF15" s="1612">
        <f>SUM(AF10:AF14)</f>
        <v>323</v>
      </c>
      <c r="AG15" s="2741">
        <f t="shared" si="7"/>
        <v>1.1919504643962848</v>
      </c>
      <c r="AH15" s="323"/>
      <c r="AI15" s="2756">
        <v>450</v>
      </c>
      <c r="AJ15" s="1612">
        <v>331</v>
      </c>
      <c r="AK15" s="2741">
        <f t="shared" si="8"/>
        <v>1.3595166163141994</v>
      </c>
      <c r="AL15" s="323"/>
      <c r="AM15" s="2756">
        <v>417</v>
      </c>
      <c r="AN15" s="1612">
        <v>323</v>
      </c>
      <c r="AO15" s="2741">
        <f t="shared" si="9"/>
        <v>1.2910216718266254</v>
      </c>
      <c r="AQ15" s="2756">
        <v>201</v>
      </c>
      <c r="AR15" s="1612">
        <v>317</v>
      </c>
      <c r="AS15" s="2741">
        <f t="shared" si="10"/>
        <v>0.63406940063091488</v>
      </c>
    </row>
    <row r="16" spans="1:45" s="1" customFormat="1">
      <c r="A16" s="167"/>
      <c r="B16" s="1133" t="s">
        <v>1107</v>
      </c>
      <c r="C16" s="2757">
        <v>48</v>
      </c>
      <c r="D16" s="2758">
        <v>55</v>
      </c>
      <c r="E16" s="2742">
        <f t="shared" si="0"/>
        <v>0.87272727272727268</v>
      </c>
      <c r="F16" s="323"/>
      <c r="G16" s="2757">
        <v>40</v>
      </c>
      <c r="H16" s="2758">
        <v>58</v>
      </c>
      <c r="I16" s="2742">
        <f t="shared" si="1"/>
        <v>0.68965517241379315</v>
      </c>
      <c r="J16" s="323"/>
      <c r="K16" s="2757">
        <v>36</v>
      </c>
      <c r="L16" s="2758">
        <v>57</v>
      </c>
      <c r="M16" s="2742">
        <f t="shared" si="2"/>
        <v>0.63157894736842102</v>
      </c>
      <c r="N16" s="323"/>
      <c r="O16" s="2757">
        <v>60</v>
      </c>
      <c r="P16" s="2758">
        <v>59</v>
      </c>
      <c r="Q16" s="2742">
        <f t="shared" si="3"/>
        <v>1.0169491525423728</v>
      </c>
      <c r="R16" s="323"/>
      <c r="S16" s="2757">
        <v>90</v>
      </c>
      <c r="T16" s="2758">
        <v>60</v>
      </c>
      <c r="U16" s="2742">
        <f t="shared" si="4"/>
        <v>1.5</v>
      </c>
      <c r="V16" s="323"/>
      <c r="W16" s="2757">
        <v>43</v>
      </c>
      <c r="X16" s="2758">
        <v>60</v>
      </c>
      <c r="Y16" s="2742">
        <f t="shared" si="5"/>
        <v>0.71666666666666667</v>
      </c>
      <c r="Z16" s="323"/>
      <c r="AA16" s="2757">
        <v>59</v>
      </c>
      <c r="AB16" s="2758">
        <v>61</v>
      </c>
      <c r="AC16" s="2742">
        <f t="shared" si="6"/>
        <v>0.96721311475409832</v>
      </c>
      <c r="AD16" s="323"/>
      <c r="AE16" s="2757">
        <v>27</v>
      </c>
      <c r="AF16" s="2758">
        <v>60</v>
      </c>
      <c r="AG16" s="2742">
        <f t="shared" si="7"/>
        <v>0.45</v>
      </c>
      <c r="AH16" s="323"/>
      <c r="AI16" s="2757">
        <v>55</v>
      </c>
      <c r="AJ16" s="2758">
        <v>61</v>
      </c>
      <c r="AK16" s="2742">
        <f t="shared" si="8"/>
        <v>0.90163934426229508</v>
      </c>
      <c r="AL16" s="323"/>
      <c r="AM16" s="2757">
        <v>29</v>
      </c>
      <c r="AN16" s="2758">
        <v>60</v>
      </c>
      <c r="AO16" s="2742">
        <f t="shared" si="9"/>
        <v>0.48333333333333334</v>
      </c>
      <c r="AQ16" s="2757">
        <v>29</v>
      </c>
      <c r="AR16" s="2758">
        <v>61</v>
      </c>
      <c r="AS16" s="2742">
        <f t="shared" ref="AS16:AS52" si="11">AQ16/AR16</f>
        <v>0.47540983606557374</v>
      </c>
    </row>
    <row r="17" spans="1:45" s="1" customFormat="1">
      <c r="A17" s="167"/>
      <c r="B17" s="1133" t="s">
        <v>1108</v>
      </c>
      <c r="C17" s="2757">
        <v>18</v>
      </c>
      <c r="D17" s="2758">
        <v>36</v>
      </c>
      <c r="E17" s="2742">
        <f t="shared" si="0"/>
        <v>0.5</v>
      </c>
      <c r="F17" s="323"/>
      <c r="G17" s="2757">
        <v>24</v>
      </c>
      <c r="H17" s="2758">
        <v>36</v>
      </c>
      <c r="I17" s="2742">
        <f t="shared" si="1"/>
        <v>0.66666666666666663</v>
      </c>
      <c r="J17" s="323"/>
      <c r="K17" s="2757">
        <v>45</v>
      </c>
      <c r="L17" s="2758">
        <v>38</v>
      </c>
      <c r="M17" s="2742">
        <f t="shared" si="2"/>
        <v>1.1842105263157894</v>
      </c>
      <c r="N17" s="323"/>
      <c r="O17" s="2757">
        <v>42</v>
      </c>
      <c r="P17" s="2758">
        <v>39</v>
      </c>
      <c r="Q17" s="2742">
        <f t="shared" si="3"/>
        <v>1.0769230769230769</v>
      </c>
      <c r="R17" s="323"/>
      <c r="S17" s="2757">
        <v>50</v>
      </c>
      <c r="T17" s="2758">
        <v>41</v>
      </c>
      <c r="U17" s="2742">
        <f t="shared" si="4"/>
        <v>1.2195121951219512</v>
      </c>
      <c r="V17" s="323"/>
      <c r="W17" s="2757">
        <v>41</v>
      </c>
      <c r="X17" s="2758">
        <v>41</v>
      </c>
      <c r="Y17" s="2742">
        <f t="shared" si="5"/>
        <v>1</v>
      </c>
      <c r="Z17" s="323"/>
      <c r="AA17" s="2757">
        <v>54</v>
      </c>
      <c r="AB17" s="2758">
        <v>40</v>
      </c>
      <c r="AC17" s="2742">
        <f t="shared" si="6"/>
        <v>1.35</v>
      </c>
      <c r="AD17" s="323"/>
      <c r="AE17" s="2757">
        <v>27</v>
      </c>
      <c r="AF17" s="2758">
        <v>38</v>
      </c>
      <c r="AG17" s="2742">
        <f t="shared" si="7"/>
        <v>0.71052631578947367</v>
      </c>
      <c r="AH17" s="323"/>
      <c r="AI17" s="2757">
        <v>21</v>
      </c>
      <c r="AJ17" s="2758">
        <v>37</v>
      </c>
      <c r="AK17" s="2742">
        <f t="shared" si="8"/>
        <v>0.56756756756756754</v>
      </c>
      <c r="AL17" s="323"/>
      <c r="AM17" s="2757">
        <v>12</v>
      </c>
      <c r="AN17" s="2758">
        <v>37</v>
      </c>
      <c r="AO17" s="2742">
        <f t="shared" si="9"/>
        <v>0.32432432432432434</v>
      </c>
      <c r="AQ17" s="2757">
        <v>17</v>
      </c>
      <c r="AR17" s="2758">
        <v>35</v>
      </c>
      <c r="AS17" s="2742">
        <f t="shared" si="11"/>
        <v>0.48571428571428571</v>
      </c>
    </row>
    <row r="18" spans="1:45" s="1" customFormat="1">
      <c r="A18" s="167"/>
      <c r="B18" s="1133" t="s">
        <v>1109</v>
      </c>
      <c r="C18" s="2757">
        <v>29</v>
      </c>
      <c r="D18" s="2758">
        <v>41</v>
      </c>
      <c r="E18" s="2742">
        <f>C18/D18</f>
        <v>0.70731707317073167</v>
      </c>
      <c r="F18" s="323"/>
      <c r="G18" s="2757">
        <v>32</v>
      </c>
      <c r="H18" s="2758">
        <v>41</v>
      </c>
      <c r="I18" s="2742">
        <f>G18/H18</f>
        <v>0.78048780487804881</v>
      </c>
      <c r="J18" s="323"/>
      <c r="K18" s="2757">
        <v>17</v>
      </c>
      <c r="L18" s="2758">
        <v>41</v>
      </c>
      <c r="M18" s="2742">
        <f>K18/L18</f>
        <v>0.41463414634146339</v>
      </c>
      <c r="N18" s="323"/>
      <c r="O18" s="2757">
        <v>45</v>
      </c>
      <c r="P18" s="2758">
        <v>44</v>
      </c>
      <c r="Q18" s="2742">
        <f>O18/P18</f>
        <v>1.0227272727272727</v>
      </c>
      <c r="R18" s="323"/>
      <c r="S18" s="2757">
        <v>29</v>
      </c>
      <c r="T18" s="2758">
        <v>45</v>
      </c>
      <c r="U18" s="2742">
        <f>S18/T18</f>
        <v>0.64444444444444449</v>
      </c>
      <c r="V18" s="323"/>
      <c r="W18" s="2757">
        <v>21</v>
      </c>
      <c r="X18" s="2758">
        <v>42</v>
      </c>
      <c r="Y18" s="2742">
        <f>W18/X18</f>
        <v>0.5</v>
      </c>
      <c r="Z18" s="323"/>
      <c r="AA18" s="2757">
        <v>41</v>
      </c>
      <c r="AB18" s="2758">
        <v>41</v>
      </c>
      <c r="AC18" s="2742">
        <f>AA18/AB18</f>
        <v>1</v>
      </c>
      <c r="AD18" s="323"/>
      <c r="AE18" s="2757">
        <v>54</v>
      </c>
      <c r="AF18" s="2758">
        <v>40</v>
      </c>
      <c r="AG18" s="2742">
        <f>AE18/AF18</f>
        <v>1.35</v>
      </c>
      <c r="AH18" s="323"/>
      <c r="AI18" s="2757">
        <v>61</v>
      </c>
      <c r="AJ18" s="2758">
        <v>42</v>
      </c>
      <c r="AK18" s="2742">
        <f>AI18/AJ18</f>
        <v>1.4523809523809523</v>
      </c>
      <c r="AL18" s="323"/>
      <c r="AM18" s="2757">
        <v>80</v>
      </c>
      <c r="AN18" s="2758">
        <v>41</v>
      </c>
      <c r="AO18" s="2742">
        <f>AM18/AN18</f>
        <v>1.9512195121951219</v>
      </c>
      <c r="AQ18" s="2757">
        <v>39</v>
      </c>
      <c r="AR18" s="2758">
        <v>41</v>
      </c>
      <c r="AS18" s="2742">
        <f>AQ18/AR18</f>
        <v>0.95121951219512191</v>
      </c>
    </row>
    <row r="19" spans="1:45" s="1" customFormat="1">
      <c r="A19" s="167"/>
      <c r="B19" s="1133" t="s">
        <v>1110</v>
      </c>
      <c r="C19" s="2757">
        <v>50</v>
      </c>
      <c r="D19" s="2758">
        <v>67</v>
      </c>
      <c r="E19" s="2742">
        <f t="shared" si="0"/>
        <v>0.74626865671641796</v>
      </c>
      <c r="F19" s="323"/>
      <c r="G19" s="2757">
        <v>58</v>
      </c>
      <c r="H19" s="2758">
        <v>66</v>
      </c>
      <c r="I19" s="2742">
        <f t="shared" si="1"/>
        <v>0.87878787878787878</v>
      </c>
      <c r="J19" s="323"/>
      <c r="K19" s="2757">
        <v>46</v>
      </c>
      <c r="L19" s="2758">
        <v>70</v>
      </c>
      <c r="M19" s="2742">
        <f t="shared" si="2"/>
        <v>0.65714285714285714</v>
      </c>
      <c r="N19" s="323"/>
      <c r="O19" s="2757">
        <v>61</v>
      </c>
      <c r="P19" s="2758">
        <v>69</v>
      </c>
      <c r="Q19" s="2742">
        <f t="shared" si="3"/>
        <v>0.88405797101449279</v>
      </c>
      <c r="R19" s="323"/>
      <c r="S19" s="2757">
        <v>90</v>
      </c>
      <c r="T19" s="2758">
        <v>75</v>
      </c>
      <c r="U19" s="2742">
        <f t="shared" si="4"/>
        <v>1.2</v>
      </c>
      <c r="V19" s="323"/>
      <c r="W19" s="2757">
        <v>91</v>
      </c>
      <c r="X19" s="2758">
        <v>72</v>
      </c>
      <c r="Y19" s="2742">
        <f t="shared" si="5"/>
        <v>1.2638888888888888</v>
      </c>
      <c r="Z19" s="323"/>
      <c r="AA19" s="2757">
        <v>85</v>
      </c>
      <c r="AB19" s="2758">
        <v>71</v>
      </c>
      <c r="AC19" s="2742">
        <f t="shared" si="6"/>
        <v>1.1971830985915493</v>
      </c>
      <c r="AD19" s="323"/>
      <c r="AE19" s="2757">
        <v>83</v>
      </c>
      <c r="AF19" s="2758">
        <v>71</v>
      </c>
      <c r="AG19" s="2742">
        <f t="shared" si="7"/>
        <v>1.1690140845070423</v>
      </c>
      <c r="AH19" s="323"/>
      <c r="AI19" s="2757">
        <v>88</v>
      </c>
      <c r="AJ19" s="2758">
        <v>73</v>
      </c>
      <c r="AK19" s="2742">
        <f t="shared" si="8"/>
        <v>1.2054794520547945</v>
      </c>
      <c r="AL19" s="323"/>
      <c r="AM19" s="2757">
        <v>85</v>
      </c>
      <c r="AN19" s="2758">
        <v>71</v>
      </c>
      <c r="AO19" s="2742">
        <f t="shared" si="9"/>
        <v>1.1971830985915493</v>
      </c>
      <c r="AQ19" s="2757">
        <v>109</v>
      </c>
      <c r="AR19" s="2758">
        <v>72</v>
      </c>
      <c r="AS19" s="2742">
        <f t="shared" si="11"/>
        <v>1.5138888888888888</v>
      </c>
    </row>
    <row r="20" spans="1:45" s="1" customFormat="1" ht="15" customHeight="1">
      <c r="A20" s="167"/>
      <c r="B20" s="2348" t="s">
        <v>21</v>
      </c>
      <c r="C20" s="2760">
        <v>145</v>
      </c>
      <c r="D20" s="2363">
        <f>SUM(D16:D19)</f>
        <v>199</v>
      </c>
      <c r="E20" s="2744">
        <f t="shared" si="0"/>
        <v>0.72864321608040206</v>
      </c>
      <c r="F20" s="323"/>
      <c r="G20" s="2760">
        <v>154</v>
      </c>
      <c r="H20" s="2363">
        <f>SUM(H16:H19)</f>
        <v>201</v>
      </c>
      <c r="I20" s="2744">
        <f t="shared" si="1"/>
        <v>0.76616915422885568</v>
      </c>
      <c r="J20" s="323"/>
      <c r="K20" s="2760">
        <f>SUM(K16:K19)</f>
        <v>144</v>
      </c>
      <c r="L20" s="2363">
        <f>SUM(L16:L19)</f>
        <v>206</v>
      </c>
      <c r="M20" s="2744">
        <f t="shared" si="2"/>
        <v>0.69902912621359226</v>
      </c>
      <c r="N20" s="323"/>
      <c r="O20" s="2760">
        <f>SUM(O16:O19)</f>
        <v>208</v>
      </c>
      <c r="P20" s="2363">
        <f>SUM(P16:P19)</f>
        <v>211</v>
      </c>
      <c r="Q20" s="2744">
        <f t="shared" si="3"/>
        <v>0.98578199052132698</v>
      </c>
      <c r="R20" s="323"/>
      <c r="S20" s="2760">
        <f>SUM(S16:S19)</f>
        <v>259</v>
      </c>
      <c r="T20" s="2363">
        <f>SUM(T16:T19)</f>
        <v>221</v>
      </c>
      <c r="U20" s="2744">
        <f t="shared" si="4"/>
        <v>1.1719457013574661</v>
      </c>
      <c r="V20" s="323"/>
      <c r="W20" s="2760">
        <f>SUM(W16:W19)</f>
        <v>196</v>
      </c>
      <c r="X20" s="2363">
        <f>SUM(X16:X19)</f>
        <v>215</v>
      </c>
      <c r="Y20" s="2744">
        <f t="shared" si="5"/>
        <v>0.91162790697674423</v>
      </c>
      <c r="Z20" s="323"/>
      <c r="AA20" s="2760">
        <v>239</v>
      </c>
      <c r="AB20" s="2363">
        <f>SUM(AB16:AB19)</f>
        <v>213</v>
      </c>
      <c r="AC20" s="2744">
        <f t="shared" si="6"/>
        <v>1.1220657276995305</v>
      </c>
      <c r="AD20" s="323"/>
      <c r="AE20" s="2760">
        <v>191</v>
      </c>
      <c r="AF20" s="2363">
        <f>SUM(AF16:AF19)</f>
        <v>209</v>
      </c>
      <c r="AG20" s="2744">
        <f t="shared" si="7"/>
        <v>0.9138755980861244</v>
      </c>
      <c r="AH20" s="323"/>
      <c r="AI20" s="2760">
        <v>225</v>
      </c>
      <c r="AJ20" s="2363">
        <f>SUM(AJ16:AJ19)</f>
        <v>213</v>
      </c>
      <c r="AK20" s="2744">
        <f t="shared" si="8"/>
        <v>1.056338028169014</v>
      </c>
      <c r="AL20" s="323"/>
      <c r="AM20" s="2760">
        <v>206</v>
      </c>
      <c r="AN20" s="2363">
        <f>SUM(AN16:AN19)</f>
        <v>209</v>
      </c>
      <c r="AO20" s="2744">
        <f t="shared" si="9"/>
        <v>0.9856459330143541</v>
      </c>
      <c r="AQ20" s="2760">
        <v>194</v>
      </c>
      <c r="AR20" s="2363">
        <v>209</v>
      </c>
      <c r="AS20" s="2744">
        <f t="shared" si="11"/>
        <v>0.92822966507177029</v>
      </c>
    </row>
    <row r="21" spans="1:45" s="1" customFormat="1" ht="15" customHeight="1">
      <c r="A21" s="167"/>
      <c r="B21" s="2364" t="s">
        <v>1111</v>
      </c>
      <c r="C21" s="2761">
        <v>1126</v>
      </c>
      <c r="D21" s="2762">
        <f>SUM(D9,D15,D20)</f>
        <v>849</v>
      </c>
      <c r="E21" s="2745">
        <f t="shared" si="0"/>
        <v>1.3262661955241462</v>
      </c>
      <c r="F21" s="323"/>
      <c r="G21" s="2761">
        <v>1257</v>
      </c>
      <c r="H21" s="2762">
        <f>SUM(H9,H15,H20)</f>
        <v>858</v>
      </c>
      <c r="I21" s="2745">
        <f t="shared" si="1"/>
        <v>1.465034965034965</v>
      </c>
      <c r="J21" s="323"/>
      <c r="K21" s="2761">
        <f>SUM(K20,K15,K9)</f>
        <v>1081</v>
      </c>
      <c r="L21" s="2762">
        <f>SUM(L9,L15,L20)</f>
        <v>868</v>
      </c>
      <c r="M21" s="2745">
        <f t="shared" si="2"/>
        <v>1.2453917050691243</v>
      </c>
      <c r="N21" s="323"/>
      <c r="O21" s="2761">
        <f>SUM(O20,O15,O9)</f>
        <v>1341</v>
      </c>
      <c r="P21" s="2762">
        <f>SUM(P9,P15,P20)</f>
        <v>886</v>
      </c>
      <c r="Q21" s="2745">
        <f t="shared" si="3"/>
        <v>1.5135440180586908</v>
      </c>
      <c r="R21" s="323"/>
      <c r="S21" s="2761">
        <f>SUM(S20,S15,S9)</f>
        <v>1275</v>
      </c>
      <c r="T21" s="2762">
        <f>SUM(T9,T15,T20)</f>
        <v>903</v>
      </c>
      <c r="U21" s="2745">
        <f t="shared" si="4"/>
        <v>1.4119601328903655</v>
      </c>
      <c r="V21" s="323"/>
      <c r="W21" s="2761">
        <f>SUM(W20,W15,W9)</f>
        <v>1494</v>
      </c>
      <c r="X21" s="2762">
        <v>885</v>
      </c>
      <c r="Y21" s="2745">
        <f t="shared" si="5"/>
        <v>1.688135593220339</v>
      </c>
      <c r="Z21" s="323"/>
      <c r="AA21" s="2761">
        <v>1430</v>
      </c>
      <c r="AB21" s="2762">
        <f>SUM(AB9,AB15,AB20)</f>
        <v>872</v>
      </c>
      <c r="AC21" s="2745">
        <f t="shared" si="6"/>
        <v>1.6399082568807339</v>
      </c>
      <c r="AD21" s="323"/>
      <c r="AE21" s="2761">
        <v>1310</v>
      </c>
      <c r="AF21" s="2762">
        <f>SUM(AF9,AF15,AF20)</f>
        <v>887</v>
      </c>
      <c r="AG21" s="2745">
        <f t="shared" si="7"/>
        <v>1.4768883878241263</v>
      </c>
      <c r="AH21" s="323"/>
      <c r="AI21" s="2761">
        <v>1448</v>
      </c>
      <c r="AJ21" s="2762">
        <v>904</v>
      </c>
      <c r="AK21" s="2745">
        <f t="shared" si="8"/>
        <v>1.6017699115044248</v>
      </c>
      <c r="AL21" s="323"/>
      <c r="AM21" s="2761">
        <v>1268</v>
      </c>
      <c r="AN21" s="2762">
        <v>896</v>
      </c>
      <c r="AO21" s="2745">
        <f t="shared" si="9"/>
        <v>1.4151785714285714</v>
      </c>
      <c r="AQ21" s="2761">
        <v>895</v>
      </c>
      <c r="AR21" s="2762">
        <v>886</v>
      </c>
      <c r="AS21" s="2745">
        <f t="shared" si="11"/>
        <v>1.010158013544018</v>
      </c>
    </row>
    <row r="22" spans="1:45" s="1" customFormat="1">
      <c r="A22" s="167"/>
      <c r="B22" s="1132" t="s">
        <v>1112</v>
      </c>
      <c r="C22" s="2763">
        <v>41</v>
      </c>
      <c r="D22" s="2764">
        <v>16</v>
      </c>
      <c r="E22" s="2765">
        <f t="shared" si="0"/>
        <v>2.5625</v>
      </c>
      <c r="F22" s="323"/>
      <c r="G22" s="2763">
        <v>37</v>
      </c>
      <c r="H22" s="2764">
        <v>17</v>
      </c>
      <c r="I22" s="2765">
        <f t="shared" si="1"/>
        <v>2.1764705882352939</v>
      </c>
      <c r="J22" s="323"/>
      <c r="K22" s="2763">
        <v>16</v>
      </c>
      <c r="L22" s="2764">
        <v>18</v>
      </c>
      <c r="M22" s="2765">
        <f t="shared" si="2"/>
        <v>0.88888888888888884</v>
      </c>
      <c r="N22" s="323"/>
      <c r="O22" s="2763">
        <v>62</v>
      </c>
      <c r="P22" s="2764">
        <v>21</v>
      </c>
      <c r="Q22" s="2765">
        <f t="shared" si="3"/>
        <v>2.9523809523809526</v>
      </c>
      <c r="R22" s="323"/>
      <c r="S22" s="2763">
        <v>28</v>
      </c>
      <c r="T22" s="2764">
        <v>21</v>
      </c>
      <c r="U22" s="2765">
        <f t="shared" si="4"/>
        <v>1.3333333333333333</v>
      </c>
      <c r="V22" s="323"/>
      <c r="W22" s="2763">
        <v>32</v>
      </c>
      <c r="X22" s="2764">
        <v>19</v>
      </c>
      <c r="Y22" s="2765">
        <f t="shared" si="5"/>
        <v>1.6842105263157894</v>
      </c>
      <c r="Z22" s="323"/>
      <c r="AA22" s="2763">
        <v>29</v>
      </c>
      <c r="AB22" s="2764">
        <v>18</v>
      </c>
      <c r="AC22" s="2765">
        <f t="shared" si="6"/>
        <v>1.6111111111111112</v>
      </c>
      <c r="AD22" s="323"/>
      <c r="AE22" s="2763">
        <v>16</v>
      </c>
      <c r="AF22" s="2764">
        <v>19</v>
      </c>
      <c r="AG22" s="2765">
        <f t="shared" si="7"/>
        <v>0.84210526315789469</v>
      </c>
      <c r="AH22" s="323"/>
      <c r="AI22" s="2763">
        <v>28</v>
      </c>
      <c r="AJ22" s="2764">
        <v>16</v>
      </c>
      <c r="AK22" s="2765">
        <f t="shared" si="8"/>
        <v>1.75</v>
      </c>
      <c r="AL22" s="323"/>
      <c r="AM22" s="2763">
        <v>11</v>
      </c>
      <c r="AN22" s="2764">
        <v>16</v>
      </c>
      <c r="AO22" s="2765">
        <f t="shared" si="9"/>
        <v>0.6875</v>
      </c>
      <c r="AQ22" s="2763">
        <v>33</v>
      </c>
      <c r="AR22" s="2764">
        <v>16</v>
      </c>
      <c r="AS22" s="2765">
        <f t="shared" si="11"/>
        <v>2.0625</v>
      </c>
    </row>
    <row r="23" spans="1:45" s="1" customFormat="1">
      <c r="A23" s="167"/>
      <c r="B23" s="1133" t="s">
        <v>1113</v>
      </c>
      <c r="C23" s="2763">
        <v>7</v>
      </c>
      <c r="D23" s="2764">
        <v>6</v>
      </c>
      <c r="E23" s="2765">
        <f t="shared" si="0"/>
        <v>1.1666666666666667</v>
      </c>
      <c r="F23" s="323"/>
      <c r="G23" s="2763">
        <v>14</v>
      </c>
      <c r="H23" s="2764">
        <v>7</v>
      </c>
      <c r="I23" s="2765">
        <f t="shared" si="1"/>
        <v>2</v>
      </c>
      <c r="J23" s="323"/>
      <c r="K23" s="2763">
        <v>17</v>
      </c>
      <c r="L23" s="2764">
        <v>14</v>
      </c>
      <c r="M23" s="2765">
        <f t="shared" si="2"/>
        <v>1.2142857142857142</v>
      </c>
      <c r="N23" s="323"/>
      <c r="O23" s="2763">
        <v>34</v>
      </c>
      <c r="P23" s="2764">
        <v>13</v>
      </c>
      <c r="Q23" s="2765">
        <f t="shared" si="3"/>
        <v>2.6153846153846154</v>
      </c>
      <c r="R23" s="323"/>
      <c r="S23" s="2763">
        <v>34</v>
      </c>
      <c r="T23" s="2764">
        <v>14</v>
      </c>
      <c r="U23" s="2765">
        <f t="shared" si="4"/>
        <v>2.4285714285714284</v>
      </c>
      <c r="V23" s="323"/>
      <c r="W23" s="2763">
        <v>39</v>
      </c>
      <c r="X23" s="2764">
        <v>16</v>
      </c>
      <c r="Y23" s="2765">
        <f t="shared" si="5"/>
        <v>2.4375</v>
      </c>
      <c r="Z23" s="323"/>
      <c r="AA23" s="2763">
        <v>36</v>
      </c>
      <c r="AB23" s="2764">
        <v>16</v>
      </c>
      <c r="AC23" s="2765">
        <f t="shared" si="6"/>
        <v>2.25</v>
      </c>
      <c r="AD23" s="323"/>
      <c r="AE23" s="2763">
        <v>30</v>
      </c>
      <c r="AF23" s="2764">
        <v>16</v>
      </c>
      <c r="AG23" s="2765">
        <f t="shared" si="7"/>
        <v>1.875</v>
      </c>
      <c r="AH23" s="323"/>
      <c r="AI23" s="2763">
        <v>48</v>
      </c>
      <c r="AJ23" s="2764">
        <v>17</v>
      </c>
      <c r="AK23" s="2765">
        <f t="shared" si="8"/>
        <v>2.8235294117647061</v>
      </c>
      <c r="AL23" s="323"/>
      <c r="AM23" s="2763">
        <v>100</v>
      </c>
      <c r="AN23" s="2764">
        <v>18</v>
      </c>
      <c r="AO23" s="2765">
        <f t="shared" si="9"/>
        <v>5.5555555555555554</v>
      </c>
      <c r="AQ23" s="2763">
        <v>36</v>
      </c>
      <c r="AR23" s="2764">
        <v>18</v>
      </c>
      <c r="AS23" s="2765">
        <f t="shared" si="11"/>
        <v>2</v>
      </c>
    </row>
    <row r="24" spans="1:45" s="1" customFormat="1">
      <c r="A24" s="167"/>
      <c r="B24" s="1133" t="s">
        <v>1114</v>
      </c>
      <c r="C24" s="2763">
        <v>19</v>
      </c>
      <c r="D24" s="2764">
        <v>16</v>
      </c>
      <c r="E24" s="2765">
        <f t="shared" si="0"/>
        <v>1.1875</v>
      </c>
      <c r="F24" s="323"/>
      <c r="G24" s="2763">
        <v>23</v>
      </c>
      <c r="H24" s="2764">
        <v>17</v>
      </c>
      <c r="I24" s="2765">
        <f t="shared" si="1"/>
        <v>1.3529411764705883</v>
      </c>
      <c r="J24" s="323"/>
      <c r="K24" s="2763">
        <v>70</v>
      </c>
      <c r="L24" s="2764">
        <v>20</v>
      </c>
      <c r="M24" s="2765">
        <f t="shared" si="2"/>
        <v>3.5</v>
      </c>
      <c r="N24" s="323"/>
      <c r="O24" s="2763">
        <v>38</v>
      </c>
      <c r="P24" s="2764">
        <v>17</v>
      </c>
      <c r="Q24" s="2765">
        <f t="shared" si="3"/>
        <v>2.2352941176470589</v>
      </c>
      <c r="R24" s="323"/>
      <c r="S24" s="2763">
        <v>36</v>
      </c>
      <c r="T24" s="2764">
        <v>17</v>
      </c>
      <c r="U24" s="2765">
        <f t="shared" si="4"/>
        <v>2.1176470588235294</v>
      </c>
      <c r="V24" s="323"/>
      <c r="W24" s="2763">
        <v>55</v>
      </c>
      <c r="X24" s="2764">
        <v>19</v>
      </c>
      <c r="Y24" s="2765">
        <f t="shared" si="5"/>
        <v>2.8947368421052633</v>
      </c>
      <c r="Z24" s="323"/>
      <c r="AA24" s="2763">
        <v>53</v>
      </c>
      <c r="AB24" s="2764">
        <v>19</v>
      </c>
      <c r="AC24" s="2765">
        <f t="shared" si="6"/>
        <v>2.7894736842105261</v>
      </c>
      <c r="AD24" s="323"/>
      <c r="AE24" s="2763">
        <v>61</v>
      </c>
      <c r="AF24" s="2764">
        <v>19</v>
      </c>
      <c r="AG24" s="2765">
        <f t="shared" si="7"/>
        <v>3.2105263157894739</v>
      </c>
      <c r="AH24" s="323"/>
      <c r="AI24" s="2763">
        <v>41</v>
      </c>
      <c r="AJ24" s="2764">
        <v>19</v>
      </c>
      <c r="AK24" s="2765">
        <f t="shared" si="8"/>
        <v>2.1578947368421053</v>
      </c>
      <c r="AL24" s="323"/>
      <c r="AM24" s="2763">
        <v>47</v>
      </c>
      <c r="AN24" s="2764">
        <v>19</v>
      </c>
      <c r="AO24" s="2765">
        <f t="shared" si="9"/>
        <v>2.4736842105263159</v>
      </c>
      <c r="AQ24" s="2763">
        <v>36</v>
      </c>
      <c r="AR24" s="2764">
        <v>21</v>
      </c>
      <c r="AS24" s="2765">
        <f t="shared" si="11"/>
        <v>1.7142857142857142</v>
      </c>
    </row>
    <row r="25" spans="1:45" s="1" customFormat="1" ht="15" customHeight="1">
      <c r="A25" s="167"/>
      <c r="B25" s="2316" t="s">
        <v>61</v>
      </c>
      <c r="C25" s="2756">
        <v>67</v>
      </c>
      <c r="D25" s="1612">
        <f>SUM(D22:D24)</f>
        <v>38</v>
      </c>
      <c r="E25" s="2741">
        <f t="shared" si="0"/>
        <v>1.763157894736842</v>
      </c>
      <c r="F25" s="323"/>
      <c r="G25" s="2756">
        <v>74</v>
      </c>
      <c r="H25" s="1612">
        <f>SUM(H22:H24)</f>
        <v>41</v>
      </c>
      <c r="I25" s="2741">
        <f t="shared" si="1"/>
        <v>1.8048780487804879</v>
      </c>
      <c r="J25" s="323"/>
      <c r="K25" s="2756">
        <f>SUM(K22:K24)</f>
        <v>103</v>
      </c>
      <c r="L25" s="1612">
        <f>SUM(L22:L24)</f>
        <v>52</v>
      </c>
      <c r="M25" s="2741">
        <f t="shared" si="2"/>
        <v>1.9807692307692308</v>
      </c>
      <c r="N25" s="323"/>
      <c r="O25" s="2756">
        <f>SUM(O22:O24)</f>
        <v>134</v>
      </c>
      <c r="P25" s="1612">
        <f>SUM(P22:P24)</f>
        <v>51</v>
      </c>
      <c r="Q25" s="2741">
        <f t="shared" si="3"/>
        <v>2.6274509803921569</v>
      </c>
      <c r="R25" s="323"/>
      <c r="S25" s="2756">
        <f>SUM(S22:S24)</f>
        <v>98</v>
      </c>
      <c r="T25" s="1612">
        <f>SUM(T22:T24)</f>
        <v>52</v>
      </c>
      <c r="U25" s="2741">
        <f t="shared" si="4"/>
        <v>1.8846153846153846</v>
      </c>
      <c r="V25" s="323"/>
      <c r="W25" s="2756">
        <f>SUM(W22:W24)</f>
        <v>126</v>
      </c>
      <c r="X25" s="1612">
        <v>54</v>
      </c>
      <c r="Y25" s="2741">
        <f t="shared" si="5"/>
        <v>2.3333333333333335</v>
      </c>
      <c r="Z25" s="323"/>
      <c r="AA25" s="2756">
        <v>118</v>
      </c>
      <c r="AB25" s="1612">
        <f>SUM(AB22:AB24)</f>
        <v>53</v>
      </c>
      <c r="AC25" s="2741">
        <f t="shared" si="6"/>
        <v>2.2264150943396226</v>
      </c>
      <c r="AD25" s="323"/>
      <c r="AE25" s="2756">
        <v>107</v>
      </c>
      <c r="AF25" s="1612">
        <f>SUM(AF22:AF24)</f>
        <v>54</v>
      </c>
      <c r="AG25" s="2741">
        <f t="shared" si="7"/>
        <v>1.9814814814814814</v>
      </c>
      <c r="AH25" s="323"/>
      <c r="AI25" s="2756">
        <v>117</v>
      </c>
      <c r="AJ25" s="1612">
        <v>52</v>
      </c>
      <c r="AK25" s="2741">
        <f t="shared" si="8"/>
        <v>2.25</v>
      </c>
      <c r="AL25" s="323"/>
      <c r="AM25" s="2756">
        <v>158</v>
      </c>
      <c r="AN25" s="1612">
        <v>53</v>
      </c>
      <c r="AO25" s="2741">
        <f t="shared" si="9"/>
        <v>2.9811320754716979</v>
      </c>
      <c r="AQ25" s="2756">
        <v>105</v>
      </c>
      <c r="AR25" s="1612">
        <v>55</v>
      </c>
      <c r="AS25" s="2741">
        <f t="shared" si="11"/>
        <v>1.9090909090909092</v>
      </c>
    </row>
    <row r="26" spans="1:45" s="1" customFormat="1">
      <c r="A26" s="167"/>
      <c r="B26" s="1133" t="s">
        <v>1115</v>
      </c>
      <c r="C26" s="2763">
        <v>14</v>
      </c>
      <c r="D26" s="2764">
        <v>8</v>
      </c>
      <c r="E26" s="2765">
        <f t="shared" si="0"/>
        <v>1.75</v>
      </c>
      <c r="F26" s="323"/>
      <c r="G26" s="2763">
        <v>21</v>
      </c>
      <c r="H26" s="2764">
        <v>8</v>
      </c>
      <c r="I26" s="2765">
        <f t="shared" si="1"/>
        <v>2.625</v>
      </c>
      <c r="J26" s="323"/>
      <c r="K26" s="2763">
        <v>12</v>
      </c>
      <c r="L26" s="2764">
        <v>9</v>
      </c>
      <c r="M26" s="2765">
        <f t="shared" si="2"/>
        <v>1.3333333333333333</v>
      </c>
      <c r="N26" s="323"/>
      <c r="O26" s="2763">
        <v>22</v>
      </c>
      <c r="P26" s="2764">
        <v>10</v>
      </c>
      <c r="Q26" s="2765">
        <f t="shared" si="3"/>
        <v>2.2000000000000002</v>
      </c>
      <c r="R26" s="323"/>
      <c r="S26" s="2763">
        <v>15</v>
      </c>
      <c r="T26" s="2764">
        <v>10</v>
      </c>
      <c r="U26" s="2765">
        <f t="shared" si="4"/>
        <v>1.5</v>
      </c>
      <c r="V26" s="323"/>
      <c r="W26" s="2763">
        <v>28</v>
      </c>
      <c r="X26" s="2764">
        <v>12</v>
      </c>
      <c r="Y26" s="2765">
        <f t="shared" si="5"/>
        <v>2.3333333333333335</v>
      </c>
      <c r="Z26" s="323"/>
      <c r="AA26" s="2763">
        <v>8</v>
      </c>
      <c r="AB26" s="2764">
        <v>13</v>
      </c>
      <c r="AC26" s="2765">
        <f t="shared" si="6"/>
        <v>0.61538461538461542</v>
      </c>
      <c r="AD26" s="323"/>
      <c r="AE26" s="2763">
        <v>23</v>
      </c>
      <c r="AF26" s="2764">
        <v>13</v>
      </c>
      <c r="AG26" s="2765">
        <f t="shared" si="7"/>
        <v>1.7692307692307692</v>
      </c>
      <c r="AH26" s="323"/>
      <c r="AI26" s="2763">
        <v>17</v>
      </c>
      <c r="AJ26" s="2764">
        <v>13</v>
      </c>
      <c r="AK26" s="2765">
        <f t="shared" si="8"/>
        <v>1.3076923076923077</v>
      </c>
      <c r="AL26" s="323"/>
      <c r="AM26" s="2763">
        <v>26</v>
      </c>
      <c r="AN26" s="2764">
        <v>14</v>
      </c>
      <c r="AO26" s="2765">
        <f t="shared" si="9"/>
        <v>1.8571428571428572</v>
      </c>
      <c r="AQ26" s="2763">
        <v>27</v>
      </c>
      <c r="AR26" s="2764">
        <v>15</v>
      </c>
      <c r="AS26" s="2765">
        <f t="shared" si="11"/>
        <v>1.8</v>
      </c>
    </row>
    <row r="27" spans="1:45" s="1" customFormat="1">
      <c r="A27" s="167"/>
      <c r="B27" s="1133" t="s">
        <v>1116</v>
      </c>
      <c r="C27" s="2763">
        <v>13</v>
      </c>
      <c r="D27" s="2764">
        <v>8</v>
      </c>
      <c r="E27" s="2765">
        <f t="shared" si="0"/>
        <v>1.625</v>
      </c>
      <c r="F27" s="323"/>
      <c r="G27" s="2763">
        <v>15</v>
      </c>
      <c r="H27" s="2764">
        <v>11</v>
      </c>
      <c r="I27" s="2765">
        <f t="shared" si="1"/>
        <v>1.3636363636363635</v>
      </c>
      <c r="J27" s="323"/>
      <c r="K27" s="2763">
        <v>30</v>
      </c>
      <c r="L27" s="2764">
        <v>14</v>
      </c>
      <c r="M27" s="2765">
        <f t="shared" si="2"/>
        <v>2.1428571428571428</v>
      </c>
      <c r="N27" s="323"/>
      <c r="O27" s="2763">
        <v>25</v>
      </c>
      <c r="P27" s="2764">
        <v>14</v>
      </c>
      <c r="Q27" s="2765">
        <f t="shared" si="3"/>
        <v>1.7857142857142858</v>
      </c>
      <c r="R27" s="323"/>
      <c r="S27" s="2763">
        <v>33</v>
      </c>
      <c r="T27" s="2764">
        <v>17</v>
      </c>
      <c r="U27" s="2765">
        <f t="shared" si="4"/>
        <v>1.9411764705882353</v>
      </c>
      <c r="V27" s="323"/>
      <c r="W27" s="2763">
        <v>57</v>
      </c>
      <c r="X27" s="2764">
        <v>16</v>
      </c>
      <c r="Y27" s="2765">
        <f t="shared" si="5"/>
        <v>3.5625</v>
      </c>
      <c r="Z27" s="323"/>
      <c r="AA27" s="2763">
        <v>31</v>
      </c>
      <c r="AB27" s="2764">
        <v>18</v>
      </c>
      <c r="AC27" s="2765">
        <f t="shared" si="6"/>
        <v>1.7222222222222223</v>
      </c>
      <c r="AD27" s="323"/>
      <c r="AE27" s="2763">
        <v>39</v>
      </c>
      <c r="AF27" s="2764">
        <v>19</v>
      </c>
      <c r="AG27" s="2765">
        <f t="shared" si="7"/>
        <v>2.0526315789473686</v>
      </c>
      <c r="AH27" s="323"/>
      <c r="AI27" s="2763">
        <v>41</v>
      </c>
      <c r="AJ27" s="2764">
        <v>19</v>
      </c>
      <c r="AK27" s="2765">
        <f t="shared" si="8"/>
        <v>2.1578947368421053</v>
      </c>
      <c r="AL27" s="323"/>
      <c r="AM27" s="2763">
        <v>51</v>
      </c>
      <c r="AN27" s="2764">
        <v>19</v>
      </c>
      <c r="AO27" s="2765">
        <f t="shared" si="9"/>
        <v>2.6842105263157894</v>
      </c>
      <c r="AQ27" s="2763">
        <v>36</v>
      </c>
      <c r="AR27" s="2764">
        <v>20</v>
      </c>
      <c r="AS27" s="2765">
        <f t="shared" si="11"/>
        <v>1.8</v>
      </c>
    </row>
    <row r="28" spans="1:45" s="1" customFormat="1">
      <c r="A28" s="167"/>
      <c r="B28" s="1133" t="s">
        <v>1117</v>
      </c>
      <c r="C28" s="2763">
        <v>19</v>
      </c>
      <c r="D28" s="2764">
        <v>11</v>
      </c>
      <c r="E28" s="2765">
        <f t="shared" si="0"/>
        <v>1.7272727272727273</v>
      </c>
      <c r="F28" s="323"/>
      <c r="G28" s="2763">
        <v>30</v>
      </c>
      <c r="H28" s="2764">
        <v>14</v>
      </c>
      <c r="I28" s="2765">
        <f t="shared" si="1"/>
        <v>2.1428571428571428</v>
      </c>
      <c r="J28" s="323"/>
      <c r="K28" s="2763">
        <v>4</v>
      </c>
      <c r="L28" s="2764">
        <v>13</v>
      </c>
      <c r="M28" s="2765">
        <f t="shared" si="2"/>
        <v>0.30769230769230771</v>
      </c>
      <c r="N28" s="323"/>
      <c r="O28" s="2763">
        <v>31</v>
      </c>
      <c r="P28" s="2764">
        <v>14</v>
      </c>
      <c r="Q28" s="2765">
        <f t="shared" si="3"/>
        <v>2.2142857142857144</v>
      </c>
      <c r="R28" s="323"/>
      <c r="S28" s="2763">
        <v>18</v>
      </c>
      <c r="T28" s="2764">
        <v>15</v>
      </c>
      <c r="U28" s="2765">
        <f t="shared" si="4"/>
        <v>1.2</v>
      </c>
      <c r="V28" s="323"/>
      <c r="W28" s="2763">
        <v>49</v>
      </c>
      <c r="X28" s="2764">
        <v>15</v>
      </c>
      <c r="Y28" s="2765">
        <f t="shared" si="5"/>
        <v>3.2666666666666666</v>
      </c>
      <c r="Z28" s="323"/>
      <c r="AA28" s="2763">
        <v>33</v>
      </c>
      <c r="AB28" s="2764">
        <v>15</v>
      </c>
      <c r="AC28" s="2765">
        <f t="shared" si="6"/>
        <v>2.2000000000000002</v>
      </c>
      <c r="AD28" s="323"/>
      <c r="AE28" s="2763">
        <v>36</v>
      </c>
      <c r="AF28" s="2764">
        <v>16</v>
      </c>
      <c r="AG28" s="2765">
        <f t="shared" si="7"/>
        <v>2.25</v>
      </c>
      <c r="AH28" s="323"/>
      <c r="AI28" s="2763">
        <v>40</v>
      </c>
      <c r="AJ28" s="2764">
        <v>17</v>
      </c>
      <c r="AK28" s="2765">
        <f t="shared" si="8"/>
        <v>2.3529411764705883</v>
      </c>
      <c r="AL28" s="323"/>
      <c r="AM28" s="2763">
        <v>27</v>
      </c>
      <c r="AN28" s="2764">
        <v>17</v>
      </c>
      <c r="AO28" s="2765">
        <f t="shared" si="9"/>
        <v>1.588235294117647</v>
      </c>
      <c r="AQ28" s="2763">
        <v>28</v>
      </c>
      <c r="AR28" s="2764">
        <v>17</v>
      </c>
      <c r="AS28" s="2765">
        <f t="shared" si="11"/>
        <v>1.6470588235294117</v>
      </c>
    </row>
    <row r="29" spans="1:45" s="1" customFormat="1" ht="15" customHeight="1">
      <c r="A29" s="167"/>
      <c r="B29" s="2316" t="s">
        <v>64</v>
      </c>
      <c r="C29" s="2756">
        <v>46</v>
      </c>
      <c r="D29" s="1612">
        <f>SUM(D26:D28)</f>
        <v>27</v>
      </c>
      <c r="E29" s="2741">
        <f t="shared" si="0"/>
        <v>1.7037037037037037</v>
      </c>
      <c r="F29" s="323"/>
      <c r="G29" s="2756">
        <v>66</v>
      </c>
      <c r="H29" s="1612">
        <f>SUM(H26:H28)</f>
        <v>33</v>
      </c>
      <c r="I29" s="2741">
        <f t="shared" si="1"/>
        <v>2</v>
      </c>
      <c r="J29" s="323"/>
      <c r="K29" s="2756">
        <f>SUM(K26:K28)</f>
        <v>46</v>
      </c>
      <c r="L29" s="1612">
        <f>SUM(L26:L28)</f>
        <v>36</v>
      </c>
      <c r="M29" s="2741">
        <f t="shared" si="2"/>
        <v>1.2777777777777777</v>
      </c>
      <c r="N29" s="323"/>
      <c r="O29" s="2756">
        <f>SUM(O26:O28)</f>
        <v>78</v>
      </c>
      <c r="P29" s="1612">
        <f>SUM(P26:P28)</f>
        <v>38</v>
      </c>
      <c r="Q29" s="2741">
        <f t="shared" si="3"/>
        <v>2.0526315789473686</v>
      </c>
      <c r="R29" s="323"/>
      <c r="S29" s="2756">
        <f>SUM(S26:S28)</f>
        <v>66</v>
      </c>
      <c r="T29" s="1612">
        <f>SUM(T26:T28)</f>
        <v>42</v>
      </c>
      <c r="U29" s="2741">
        <f t="shared" si="4"/>
        <v>1.5714285714285714</v>
      </c>
      <c r="V29" s="323"/>
      <c r="W29" s="2756">
        <f>SUM(W26:W28)</f>
        <v>134</v>
      </c>
      <c r="X29" s="1612">
        <v>43</v>
      </c>
      <c r="Y29" s="2741">
        <f t="shared" si="5"/>
        <v>3.1162790697674421</v>
      </c>
      <c r="Z29" s="323"/>
      <c r="AA29" s="2756">
        <v>72</v>
      </c>
      <c r="AB29" s="1612">
        <f>SUM(AB26:AB28)</f>
        <v>46</v>
      </c>
      <c r="AC29" s="2741">
        <f t="shared" si="6"/>
        <v>1.5652173913043479</v>
      </c>
      <c r="AD29" s="323"/>
      <c r="AE29" s="2756">
        <v>98</v>
      </c>
      <c r="AF29" s="1612">
        <f>SUM(AF26:AF28)</f>
        <v>48</v>
      </c>
      <c r="AG29" s="2741">
        <f t="shared" si="7"/>
        <v>2.0416666666666665</v>
      </c>
      <c r="AH29" s="323"/>
      <c r="AI29" s="2756">
        <v>98</v>
      </c>
      <c r="AJ29" s="1612">
        <v>49</v>
      </c>
      <c r="AK29" s="2741">
        <f t="shared" si="8"/>
        <v>2</v>
      </c>
      <c r="AL29" s="323"/>
      <c r="AM29" s="2756">
        <v>104</v>
      </c>
      <c r="AN29" s="1612">
        <v>50</v>
      </c>
      <c r="AO29" s="2741">
        <f t="shared" si="9"/>
        <v>2.08</v>
      </c>
      <c r="AQ29" s="2756">
        <v>91</v>
      </c>
      <c r="AR29" s="1612">
        <v>52</v>
      </c>
      <c r="AS29" s="2741">
        <f t="shared" si="11"/>
        <v>1.75</v>
      </c>
    </row>
    <row r="30" spans="1:45" s="1" customFormat="1">
      <c r="A30" s="167"/>
      <c r="B30" s="1133" t="s">
        <v>1118</v>
      </c>
      <c r="C30" s="2763">
        <v>29</v>
      </c>
      <c r="D30" s="2764">
        <v>11</v>
      </c>
      <c r="E30" s="2765">
        <f t="shared" si="0"/>
        <v>2.6363636363636362</v>
      </c>
      <c r="F30" s="323"/>
      <c r="G30" s="2763">
        <v>29</v>
      </c>
      <c r="H30" s="2764">
        <v>13</v>
      </c>
      <c r="I30" s="2765">
        <f t="shared" si="1"/>
        <v>2.2307692307692308</v>
      </c>
      <c r="J30" s="323"/>
      <c r="K30" s="2763">
        <v>20</v>
      </c>
      <c r="L30" s="2764">
        <v>13</v>
      </c>
      <c r="M30" s="2765">
        <f t="shared" si="2"/>
        <v>1.5384615384615385</v>
      </c>
      <c r="N30" s="323"/>
      <c r="O30" s="2763">
        <v>26</v>
      </c>
      <c r="P30" s="2764">
        <v>13</v>
      </c>
      <c r="Q30" s="2765">
        <f t="shared" si="3"/>
        <v>2</v>
      </c>
      <c r="R30" s="323"/>
      <c r="S30" s="2763">
        <v>22</v>
      </c>
      <c r="T30" s="2764">
        <v>13</v>
      </c>
      <c r="U30" s="2765">
        <f t="shared" si="4"/>
        <v>1.6923076923076923</v>
      </c>
      <c r="V30" s="323"/>
      <c r="W30" s="2763">
        <v>25</v>
      </c>
      <c r="X30" s="2764">
        <v>15</v>
      </c>
      <c r="Y30" s="2765">
        <f t="shared" si="5"/>
        <v>1.6666666666666667</v>
      </c>
      <c r="Z30" s="323"/>
      <c r="AA30" s="2763">
        <v>22</v>
      </c>
      <c r="AB30" s="2764">
        <v>15</v>
      </c>
      <c r="AC30" s="2765">
        <f t="shared" si="6"/>
        <v>1.4666666666666666</v>
      </c>
      <c r="AD30" s="323"/>
      <c r="AE30" s="2763">
        <v>43</v>
      </c>
      <c r="AF30" s="2764">
        <v>19</v>
      </c>
      <c r="AG30" s="2765">
        <f t="shared" si="7"/>
        <v>2.263157894736842</v>
      </c>
      <c r="AH30" s="323"/>
      <c r="AI30" s="2763">
        <v>49</v>
      </c>
      <c r="AJ30" s="2764">
        <v>17</v>
      </c>
      <c r="AK30" s="2765">
        <f t="shared" si="8"/>
        <v>2.8823529411764706</v>
      </c>
      <c r="AL30" s="323"/>
      <c r="AM30" s="2763">
        <v>40</v>
      </c>
      <c r="AN30" s="2764">
        <v>18</v>
      </c>
      <c r="AO30" s="2765">
        <f t="shared" si="9"/>
        <v>2.2222222222222223</v>
      </c>
      <c r="AQ30" s="2763">
        <v>25</v>
      </c>
      <c r="AR30" s="2764">
        <v>17</v>
      </c>
      <c r="AS30" s="2765">
        <f t="shared" si="11"/>
        <v>1.4705882352941178</v>
      </c>
    </row>
    <row r="31" spans="1:45" s="1" customFormat="1">
      <c r="A31" s="167"/>
      <c r="B31" s="1133" t="s">
        <v>1119</v>
      </c>
      <c r="C31" s="2763">
        <v>25</v>
      </c>
      <c r="D31" s="2764">
        <v>12</v>
      </c>
      <c r="E31" s="2765">
        <f t="shared" si="0"/>
        <v>2.0833333333333335</v>
      </c>
      <c r="F31" s="323"/>
      <c r="G31" s="2763">
        <v>31</v>
      </c>
      <c r="H31" s="2764">
        <v>15</v>
      </c>
      <c r="I31" s="2765">
        <f t="shared" si="1"/>
        <v>2.0666666666666669</v>
      </c>
      <c r="J31" s="323"/>
      <c r="K31" s="2763">
        <v>29</v>
      </c>
      <c r="L31" s="2764">
        <v>12</v>
      </c>
      <c r="M31" s="2765">
        <f t="shared" si="2"/>
        <v>2.4166666666666665</v>
      </c>
      <c r="N31" s="323"/>
      <c r="O31" s="2763">
        <v>34</v>
      </c>
      <c r="P31" s="2764">
        <v>13</v>
      </c>
      <c r="Q31" s="2765">
        <f t="shared" si="3"/>
        <v>2.6153846153846154</v>
      </c>
      <c r="R31" s="323"/>
      <c r="S31" s="2763">
        <v>28</v>
      </c>
      <c r="T31" s="2764">
        <v>16</v>
      </c>
      <c r="U31" s="2765">
        <f t="shared" si="4"/>
        <v>1.75</v>
      </c>
      <c r="V31" s="323"/>
      <c r="W31" s="2763">
        <v>36</v>
      </c>
      <c r="X31" s="2764">
        <v>16</v>
      </c>
      <c r="Y31" s="2765">
        <f t="shared" si="5"/>
        <v>2.25</v>
      </c>
      <c r="Z31" s="323"/>
      <c r="AA31" s="2763">
        <v>28</v>
      </c>
      <c r="AB31" s="2764">
        <v>18</v>
      </c>
      <c r="AC31" s="2765">
        <f t="shared" si="6"/>
        <v>1.5555555555555556</v>
      </c>
      <c r="AD31" s="323"/>
      <c r="AE31" s="2763">
        <v>40</v>
      </c>
      <c r="AF31" s="2764">
        <v>21</v>
      </c>
      <c r="AG31" s="2765">
        <f t="shared" si="7"/>
        <v>1.9047619047619047</v>
      </c>
      <c r="AH31" s="323"/>
      <c r="AI31" s="2763">
        <v>70</v>
      </c>
      <c r="AJ31" s="2764">
        <v>20</v>
      </c>
      <c r="AK31" s="2765">
        <f t="shared" si="8"/>
        <v>3.5</v>
      </c>
      <c r="AL31" s="323"/>
      <c r="AM31" s="2763">
        <v>42</v>
      </c>
      <c r="AN31" s="2764">
        <v>20</v>
      </c>
      <c r="AO31" s="2765">
        <f t="shared" si="9"/>
        <v>2.1</v>
      </c>
      <c r="AQ31" s="2763">
        <v>23</v>
      </c>
      <c r="AR31" s="2764">
        <v>21</v>
      </c>
      <c r="AS31" s="2765">
        <f t="shared" si="11"/>
        <v>1.0952380952380953</v>
      </c>
    </row>
    <row r="32" spans="1:45" s="1" customFormat="1">
      <c r="A32" s="167"/>
      <c r="B32" s="1133" t="s">
        <v>813</v>
      </c>
      <c r="C32" s="2763">
        <v>41</v>
      </c>
      <c r="D32" s="2764">
        <v>15</v>
      </c>
      <c r="E32" s="2765">
        <f t="shared" si="0"/>
        <v>2.7333333333333334</v>
      </c>
      <c r="F32" s="323"/>
      <c r="G32" s="2763">
        <v>54</v>
      </c>
      <c r="H32" s="2764">
        <v>17</v>
      </c>
      <c r="I32" s="2765">
        <f t="shared" si="1"/>
        <v>3.1764705882352939</v>
      </c>
      <c r="J32" s="323"/>
      <c r="K32" s="2763">
        <v>7</v>
      </c>
      <c r="L32" s="2764">
        <v>17</v>
      </c>
      <c r="M32" s="2765">
        <f t="shared" si="2"/>
        <v>0.41176470588235292</v>
      </c>
      <c r="N32" s="323"/>
      <c r="O32" s="2763">
        <v>37</v>
      </c>
      <c r="P32" s="2764">
        <v>20</v>
      </c>
      <c r="Q32" s="2765">
        <f t="shared" si="3"/>
        <v>1.85</v>
      </c>
      <c r="R32" s="323"/>
      <c r="S32" s="2763">
        <v>23</v>
      </c>
      <c r="T32" s="2764">
        <v>20</v>
      </c>
      <c r="U32" s="2765">
        <f t="shared" si="4"/>
        <v>1.1499999999999999</v>
      </c>
      <c r="V32" s="323"/>
      <c r="W32" s="2763">
        <v>45</v>
      </c>
      <c r="X32" s="2764">
        <v>19</v>
      </c>
      <c r="Y32" s="2765">
        <f t="shared" si="5"/>
        <v>2.3684210526315788</v>
      </c>
      <c r="Z32" s="323"/>
      <c r="AA32" s="2763">
        <v>39</v>
      </c>
      <c r="AB32" s="2764">
        <v>21</v>
      </c>
      <c r="AC32" s="2765">
        <f t="shared" si="6"/>
        <v>1.8571428571428572</v>
      </c>
      <c r="AD32" s="323"/>
      <c r="AE32" s="2763">
        <v>45</v>
      </c>
      <c r="AF32" s="2764">
        <v>21</v>
      </c>
      <c r="AG32" s="2765">
        <f t="shared" si="7"/>
        <v>2.1428571428571428</v>
      </c>
      <c r="AH32" s="323"/>
      <c r="AI32" s="2763">
        <v>36</v>
      </c>
      <c r="AJ32" s="2764">
        <v>22</v>
      </c>
      <c r="AK32" s="2765">
        <f t="shared" si="8"/>
        <v>1.6363636363636365</v>
      </c>
      <c r="AL32" s="323"/>
      <c r="AM32" s="2763">
        <v>46</v>
      </c>
      <c r="AN32" s="2764">
        <v>21</v>
      </c>
      <c r="AO32" s="2765">
        <f t="shared" si="9"/>
        <v>2.1904761904761907</v>
      </c>
      <c r="AQ32" s="2763">
        <v>21</v>
      </c>
      <c r="AR32" s="2764">
        <v>21</v>
      </c>
      <c r="AS32" s="2765">
        <f t="shared" si="11"/>
        <v>1</v>
      </c>
    </row>
    <row r="33" spans="1:45" s="1" customFormat="1" ht="15" customHeight="1">
      <c r="A33" s="167"/>
      <c r="B33" s="2348" t="s">
        <v>16</v>
      </c>
      <c r="C33" s="2760">
        <v>95</v>
      </c>
      <c r="D33" s="2363">
        <f>SUM(D30:D32)</f>
        <v>38</v>
      </c>
      <c r="E33" s="2744">
        <f t="shared" si="0"/>
        <v>2.5</v>
      </c>
      <c r="F33" s="323"/>
      <c r="G33" s="2760">
        <v>114</v>
      </c>
      <c r="H33" s="2363">
        <f>SUM(H30:H32)</f>
        <v>45</v>
      </c>
      <c r="I33" s="2744">
        <f t="shared" si="1"/>
        <v>2.5333333333333332</v>
      </c>
      <c r="J33" s="323"/>
      <c r="K33" s="2760">
        <f>SUM(K30:K32)</f>
        <v>56</v>
      </c>
      <c r="L33" s="2363">
        <f>SUM(L30:L32)</f>
        <v>42</v>
      </c>
      <c r="M33" s="2744">
        <f t="shared" si="2"/>
        <v>1.3333333333333333</v>
      </c>
      <c r="N33" s="323"/>
      <c r="O33" s="2760">
        <f>SUM(O30:O32)</f>
        <v>97</v>
      </c>
      <c r="P33" s="2363">
        <f>SUM(P30:P32)</f>
        <v>46</v>
      </c>
      <c r="Q33" s="2744">
        <f t="shared" si="3"/>
        <v>2.1086956521739131</v>
      </c>
      <c r="R33" s="323"/>
      <c r="S33" s="2760">
        <f>SUM(S30:S32)</f>
        <v>73</v>
      </c>
      <c r="T33" s="2363">
        <f>SUM(T30:T32)</f>
        <v>49</v>
      </c>
      <c r="U33" s="2744">
        <f t="shared" si="4"/>
        <v>1.489795918367347</v>
      </c>
      <c r="V33" s="323"/>
      <c r="W33" s="2760">
        <f>SUM(W30:W32)</f>
        <v>106</v>
      </c>
      <c r="X33" s="2363">
        <v>50</v>
      </c>
      <c r="Y33" s="2744">
        <f t="shared" si="5"/>
        <v>2.12</v>
      </c>
      <c r="Z33" s="323"/>
      <c r="AA33" s="2760">
        <v>89</v>
      </c>
      <c r="AB33" s="2363">
        <f>SUM(AB30:AB32)</f>
        <v>54</v>
      </c>
      <c r="AC33" s="2744">
        <f t="shared" si="6"/>
        <v>1.6481481481481481</v>
      </c>
      <c r="AD33" s="323"/>
      <c r="AE33" s="2760">
        <v>128</v>
      </c>
      <c r="AF33" s="2363">
        <f>SUM(AF30:AF32)</f>
        <v>61</v>
      </c>
      <c r="AG33" s="2744">
        <f t="shared" si="7"/>
        <v>2.098360655737705</v>
      </c>
      <c r="AH33" s="323"/>
      <c r="AI33" s="2760">
        <v>155</v>
      </c>
      <c r="AJ33" s="2363">
        <v>59</v>
      </c>
      <c r="AK33" s="2744">
        <f t="shared" si="8"/>
        <v>2.6271186440677967</v>
      </c>
      <c r="AL33" s="323"/>
      <c r="AM33" s="2760">
        <v>128</v>
      </c>
      <c r="AN33" s="2363">
        <v>59</v>
      </c>
      <c r="AO33" s="2744">
        <f t="shared" si="9"/>
        <v>2.1694915254237288</v>
      </c>
      <c r="AQ33" s="2760">
        <v>69</v>
      </c>
      <c r="AR33" s="2363">
        <v>59</v>
      </c>
      <c r="AS33" s="2744">
        <f t="shared" si="11"/>
        <v>1.1694915254237288</v>
      </c>
    </row>
    <row r="34" spans="1:45" s="1" customFormat="1" ht="15" customHeight="1">
      <c r="A34" s="167"/>
      <c r="B34" s="2365" t="s">
        <v>360</v>
      </c>
      <c r="C34" s="2766">
        <v>208</v>
      </c>
      <c r="D34" s="2366">
        <f>SUM(D33,D29,D25)</f>
        <v>103</v>
      </c>
      <c r="E34" s="2746">
        <f t="shared" si="0"/>
        <v>2.0194174757281553</v>
      </c>
      <c r="F34" s="323"/>
      <c r="G34" s="2766">
        <v>254</v>
      </c>
      <c r="H34" s="2366">
        <f>SUM(H33,H29,H25)</f>
        <v>119</v>
      </c>
      <c r="I34" s="2746">
        <f t="shared" si="1"/>
        <v>2.134453781512605</v>
      </c>
      <c r="J34" s="323"/>
      <c r="K34" s="2766">
        <f>SUM(K33,K29,K25)</f>
        <v>205</v>
      </c>
      <c r="L34" s="2366">
        <f>SUM(L33,L29,L25)</f>
        <v>130</v>
      </c>
      <c r="M34" s="2746">
        <f t="shared" si="2"/>
        <v>1.5769230769230769</v>
      </c>
      <c r="N34" s="323"/>
      <c r="O34" s="2766">
        <f>SUM(O33,O29,O25)</f>
        <v>309</v>
      </c>
      <c r="P34" s="2366">
        <f>SUM(P33,P29,P25)</f>
        <v>135</v>
      </c>
      <c r="Q34" s="2746">
        <f t="shared" si="3"/>
        <v>2.2888888888888888</v>
      </c>
      <c r="R34" s="323"/>
      <c r="S34" s="2766">
        <f>SUM(S33,S29,S25)</f>
        <v>237</v>
      </c>
      <c r="T34" s="2366">
        <f>SUM(T33,T29,T25)</f>
        <v>143</v>
      </c>
      <c r="U34" s="2746">
        <f t="shared" si="4"/>
        <v>1.6573426573426573</v>
      </c>
      <c r="V34" s="323"/>
      <c r="W34" s="2766">
        <f>SUM(W33,W29,W25)</f>
        <v>366</v>
      </c>
      <c r="X34" s="2366">
        <v>147</v>
      </c>
      <c r="Y34" s="2746">
        <f t="shared" si="5"/>
        <v>2.489795918367347</v>
      </c>
      <c r="Z34" s="323"/>
      <c r="AA34" s="2766">
        <v>279</v>
      </c>
      <c r="AB34" s="2366">
        <f>SUM(AB25,AB29,AB33)</f>
        <v>153</v>
      </c>
      <c r="AC34" s="2746">
        <f t="shared" si="6"/>
        <v>1.8235294117647058</v>
      </c>
      <c r="AD34" s="323"/>
      <c r="AE34" s="2766">
        <v>333</v>
      </c>
      <c r="AF34" s="2366">
        <f>SUM(AF25,AF29,AF33)</f>
        <v>163</v>
      </c>
      <c r="AG34" s="2746">
        <f t="shared" si="7"/>
        <v>2.0429447852760738</v>
      </c>
      <c r="AH34" s="323"/>
      <c r="AI34" s="2766">
        <v>370</v>
      </c>
      <c r="AJ34" s="2366">
        <v>160</v>
      </c>
      <c r="AK34" s="2746">
        <f t="shared" si="8"/>
        <v>2.3125</v>
      </c>
      <c r="AL34" s="323"/>
      <c r="AM34" s="2766">
        <v>390</v>
      </c>
      <c r="AN34" s="2366">
        <v>162</v>
      </c>
      <c r="AO34" s="2746">
        <f t="shared" si="9"/>
        <v>2.4074074074074074</v>
      </c>
      <c r="AQ34" s="2766">
        <v>265</v>
      </c>
      <c r="AR34" s="2366">
        <v>166</v>
      </c>
      <c r="AS34" s="2746">
        <f t="shared" si="11"/>
        <v>1.5963855421686748</v>
      </c>
    </row>
    <row r="35" spans="1:45" s="1" customFormat="1">
      <c r="A35" s="167"/>
      <c r="B35" s="1133" t="s">
        <v>1120</v>
      </c>
      <c r="C35" s="2763">
        <v>105</v>
      </c>
      <c r="D35" s="2764">
        <v>56</v>
      </c>
      <c r="E35" s="2765">
        <f t="shared" si="0"/>
        <v>1.875</v>
      </c>
      <c r="F35" s="323"/>
      <c r="G35" s="2763">
        <v>121</v>
      </c>
      <c r="H35" s="2764">
        <v>56</v>
      </c>
      <c r="I35" s="2765">
        <f t="shared" si="1"/>
        <v>2.1607142857142856</v>
      </c>
      <c r="J35" s="323"/>
      <c r="K35" s="2763">
        <v>127</v>
      </c>
      <c r="L35" s="2764">
        <v>56</v>
      </c>
      <c r="M35" s="2765">
        <f t="shared" si="2"/>
        <v>2.2678571428571428</v>
      </c>
      <c r="N35" s="323"/>
      <c r="O35" s="2763">
        <v>121</v>
      </c>
      <c r="P35" s="2764">
        <v>58</v>
      </c>
      <c r="Q35" s="2765">
        <f t="shared" si="3"/>
        <v>2.0862068965517242</v>
      </c>
      <c r="R35" s="323"/>
      <c r="S35" s="2763">
        <v>112</v>
      </c>
      <c r="T35" s="2764">
        <v>57</v>
      </c>
      <c r="U35" s="2765">
        <f t="shared" si="4"/>
        <v>1.9649122807017543</v>
      </c>
      <c r="V35" s="323"/>
      <c r="W35" s="2763">
        <v>112</v>
      </c>
      <c r="X35" s="2764">
        <v>56</v>
      </c>
      <c r="Y35" s="2765">
        <f t="shared" si="5"/>
        <v>2</v>
      </c>
      <c r="Z35" s="323"/>
      <c r="AA35" s="2763">
        <v>91</v>
      </c>
      <c r="AB35" s="2764">
        <v>57</v>
      </c>
      <c r="AC35" s="2765">
        <f t="shared" si="6"/>
        <v>1.5964912280701755</v>
      </c>
      <c r="AD35" s="323"/>
      <c r="AE35" s="2763">
        <v>66</v>
      </c>
      <c r="AF35" s="2764">
        <v>56</v>
      </c>
      <c r="AG35" s="2765">
        <f t="shared" si="7"/>
        <v>1.1785714285714286</v>
      </c>
      <c r="AH35" s="323"/>
      <c r="AI35" s="2763">
        <v>97</v>
      </c>
      <c r="AJ35" s="2764">
        <v>57</v>
      </c>
      <c r="AK35" s="2765">
        <f t="shared" si="8"/>
        <v>1.7017543859649122</v>
      </c>
      <c r="AL35" s="323"/>
      <c r="AM35" s="2763">
        <v>60</v>
      </c>
      <c r="AN35" s="2764">
        <v>54</v>
      </c>
      <c r="AO35" s="2765">
        <f t="shared" si="9"/>
        <v>1.1111111111111112</v>
      </c>
      <c r="AQ35" s="2763">
        <v>95</v>
      </c>
      <c r="AR35" s="2764">
        <v>53</v>
      </c>
      <c r="AS35" s="2765">
        <f t="shared" si="11"/>
        <v>1.7924528301886793</v>
      </c>
    </row>
    <row r="36" spans="1:45" s="1" customFormat="1">
      <c r="A36" s="167"/>
      <c r="B36" s="1133" t="s">
        <v>1121</v>
      </c>
      <c r="C36" s="2763">
        <v>98</v>
      </c>
      <c r="D36" s="2764">
        <v>38</v>
      </c>
      <c r="E36" s="2765">
        <f t="shared" si="0"/>
        <v>2.5789473684210527</v>
      </c>
      <c r="F36" s="323"/>
      <c r="G36" s="2763">
        <v>93</v>
      </c>
      <c r="H36" s="2764">
        <v>39</v>
      </c>
      <c r="I36" s="2765">
        <f t="shared" si="1"/>
        <v>2.3846153846153846</v>
      </c>
      <c r="J36" s="323"/>
      <c r="K36" s="2763">
        <v>85</v>
      </c>
      <c r="L36" s="2764">
        <v>43</v>
      </c>
      <c r="M36" s="2765">
        <f t="shared" si="2"/>
        <v>1.9767441860465116</v>
      </c>
      <c r="N36" s="323"/>
      <c r="O36" s="2763">
        <v>122</v>
      </c>
      <c r="P36" s="2764">
        <v>44</v>
      </c>
      <c r="Q36" s="2765">
        <f t="shared" si="3"/>
        <v>2.7727272727272729</v>
      </c>
      <c r="R36" s="323"/>
      <c r="S36" s="2763">
        <v>110</v>
      </c>
      <c r="T36" s="2764">
        <v>46</v>
      </c>
      <c r="U36" s="2765">
        <f t="shared" si="4"/>
        <v>2.3913043478260869</v>
      </c>
      <c r="V36" s="323"/>
      <c r="W36" s="2763">
        <v>107</v>
      </c>
      <c r="X36" s="2764">
        <v>46</v>
      </c>
      <c r="Y36" s="2765">
        <f t="shared" si="5"/>
        <v>2.3260869565217392</v>
      </c>
      <c r="Z36" s="323"/>
      <c r="AA36" s="2763">
        <v>110</v>
      </c>
      <c r="AB36" s="2764">
        <v>45</v>
      </c>
      <c r="AC36" s="2765">
        <f t="shared" si="6"/>
        <v>2.4444444444444446</v>
      </c>
      <c r="AD36" s="323"/>
      <c r="AE36" s="2763">
        <v>110</v>
      </c>
      <c r="AF36" s="2764">
        <v>42</v>
      </c>
      <c r="AG36" s="2765">
        <f t="shared" si="7"/>
        <v>2.6190476190476191</v>
      </c>
      <c r="AH36" s="323"/>
      <c r="AI36" s="2763">
        <v>128</v>
      </c>
      <c r="AJ36" s="2764">
        <v>40</v>
      </c>
      <c r="AK36" s="2765">
        <f t="shared" si="8"/>
        <v>3.2</v>
      </c>
      <c r="AL36" s="323"/>
      <c r="AM36" s="2763">
        <v>79</v>
      </c>
      <c r="AN36" s="2764">
        <v>40</v>
      </c>
      <c r="AO36" s="2765">
        <f t="shared" si="9"/>
        <v>1.9750000000000001</v>
      </c>
      <c r="AQ36" s="2763">
        <v>72</v>
      </c>
      <c r="AR36" s="2764">
        <v>41</v>
      </c>
      <c r="AS36" s="2765">
        <f t="shared" si="11"/>
        <v>1.7560975609756098</v>
      </c>
    </row>
    <row r="37" spans="1:45" s="1" customFormat="1">
      <c r="A37" s="167"/>
      <c r="B37" s="1133" t="s">
        <v>1122</v>
      </c>
      <c r="C37" s="2763">
        <v>97</v>
      </c>
      <c r="D37" s="2764">
        <v>64</v>
      </c>
      <c r="E37" s="2765">
        <f t="shared" si="0"/>
        <v>1.515625</v>
      </c>
      <c r="F37" s="323"/>
      <c r="G37" s="2763">
        <v>109</v>
      </c>
      <c r="H37" s="2764">
        <v>64</v>
      </c>
      <c r="I37" s="2765">
        <f t="shared" si="1"/>
        <v>1.703125</v>
      </c>
      <c r="J37" s="323"/>
      <c r="K37" s="2763">
        <v>98</v>
      </c>
      <c r="L37" s="2764">
        <v>62</v>
      </c>
      <c r="M37" s="2765">
        <f t="shared" si="2"/>
        <v>1.5806451612903225</v>
      </c>
      <c r="N37" s="323"/>
      <c r="O37" s="2763">
        <v>132</v>
      </c>
      <c r="P37" s="2764">
        <v>64</v>
      </c>
      <c r="Q37" s="2765">
        <f t="shared" si="3"/>
        <v>2.0625</v>
      </c>
      <c r="R37" s="323"/>
      <c r="S37" s="2763">
        <v>120</v>
      </c>
      <c r="T37" s="2764">
        <v>64</v>
      </c>
      <c r="U37" s="2765">
        <f t="shared" si="4"/>
        <v>1.875</v>
      </c>
      <c r="V37" s="323"/>
      <c r="W37" s="2763">
        <v>96</v>
      </c>
      <c r="X37" s="2764">
        <v>66</v>
      </c>
      <c r="Y37" s="2765">
        <f t="shared" si="5"/>
        <v>1.4545454545454546</v>
      </c>
      <c r="Z37" s="323"/>
      <c r="AA37" s="2763">
        <v>107</v>
      </c>
      <c r="AB37" s="2764">
        <v>65</v>
      </c>
      <c r="AC37" s="2765">
        <f t="shared" si="6"/>
        <v>1.6461538461538461</v>
      </c>
      <c r="AD37" s="323"/>
      <c r="AE37" s="2763">
        <v>128</v>
      </c>
      <c r="AF37" s="2764">
        <v>64</v>
      </c>
      <c r="AG37" s="2765">
        <f t="shared" si="7"/>
        <v>2</v>
      </c>
      <c r="AH37" s="323"/>
      <c r="AI37" s="2763">
        <v>112</v>
      </c>
      <c r="AJ37" s="2764">
        <v>64</v>
      </c>
      <c r="AK37" s="2765">
        <f t="shared" si="8"/>
        <v>1.75</v>
      </c>
      <c r="AL37" s="323"/>
      <c r="AM37" s="2763">
        <v>68</v>
      </c>
      <c r="AN37" s="2764">
        <v>62</v>
      </c>
      <c r="AO37" s="2765">
        <f t="shared" si="9"/>
        <v>1.096774193548387</v>
      </c>
      <c r="AQ37" s="2763">
        <v>128</v>
      </c>
      <c r="AR37" s="2764">
        <v>60</v>
      </c>
      <c r="AS37" s="2765">
        <f t="shared" si="11"/>
        <v>2.1333333333333333</v>
      </c>
    </row>
    <row r="38" spans="1:45" s="1" customFormat="1">
      <c r="A38" s="167"/>
      <c r="B38" s="1133" t="s">
        <v>1123</v>
      </c>
      <c r="C38" s="2763">
        <v>73</v>
      </c>
      <c r="D38" s="2764">
        <v>63</v>
      </c>
      <c r="E38" s="2765">
        <f t="shared" si="0"/>
        <v>1.1587301587301588</v>
      </c>
      <c r="F38" s="323"/>
      <c r="G38" s="2763">
        <v>66</v>
      </c>
      <c r="H38" s="2764">
        <v>63</v>
      </c>
      <c r="I38" s="2765">
        <f t="shared" si="1"/>
        <v>1.0476190476190477</v>
      </c>
      <c r="J38" s="323"/>
      <c r="K38" s="2763">
        <v>50</v>
      </c>
      <c r="L38" s="2764">
        <v>62</v>
      </c>
      <c r="M38" s="2765">
        <f t="shared" si="2"/>
        <v>0.80645161290322576</v>
      </c>
      <c r="N38" s="323"/>
      <c r="O38" s="2763">
        <v>77</v>
      </c>
      <c r="P38" s="2764">
        <v>62</v>
      </c>
      <c r="Q38" s="2765">
        <f t="shared" si="3"/>
        <v>1.2419354838709677</v>
      </c>
      <c r="R38" s="323"/>
      <c r="S38" s="2763">
        <v>63</v>
      </c>
      <c r="T38" s="2764">
        <v>63</v>
      </c>
      <c r="U38" s="2765">
        <f t="shared" si="4"/>
        <v>1</v>
      </c>
      <c r="V38" s="323"/>
      <c r="W38" s="2763">
        <v>65</v>
      </c>
      <c r="X38" s="2764">
        <v>60</v>
      </c>
      <c r="Y38" s="2765">
        <f t="shared" si="5"/>
        <v>1.0833333333333333</v>
      </c>
      <c r="Z38" s="323"/>
      <c r="AA38" s="2763">
        <v>57</v>
      </c>
      <c r="AB38" s="2764">
        <v>60</v>
      </c>
      <c r="AC38" s="2765">
        <f t="shared" si="6"/>
        <v>0.95</v>
      </c>
      <c r="AD38" s="323"/>
      <c r="AE38" s="2763">
        <v>59</v>
      </c>
      <c r="AF38" s="2764">
        <v>59</v>
      </c>
      <c r="AG38" s="2765">
        <f t="shared" si="7"/>
        <v>1</v>
      </c>
      <c r="AH38" s="323"/>
      <c r="AI38" s="2763">
        <v>71</v>
      </c>
      <c r="AJ38" s="2764">
        <v>60</v>
      </c>
      <c r="AK38" s="2765">
        <f t="shared" si="8"/>
        <v>1.1833333333333333</v>
      </c>
      <c r="AL38" s="323"/>
      <c r="AM38" s="2763">
        <v>32</v>
      </c>
      <c r="AN38" s="2764">
        <v>61</v>
      </c>
      <c r="AO38" s="2765">
        <f t="shared" si="9"/>
        <v>0.52459016393442626</v>
      </c>
      <c r="AQ38" s="2763">
        <v>60</v>
      </c>
      <c r="AR38" s="2764">
        <v>63</v>
      </c>
      <c r="AS38" s="2765">
        <f t="shared" si="11"/>
        <v>0.95238095238095233</v>
      </c>
    </row>
    <row r="39" spans="1:45" s="1" customFormat="1">
      <c r="A39" s="167"/>
      <c r="B39" s="1133" t="s">
        <v>1124</v>
      </c>
      <c r="C39" s="2763">
        <v>112</v>
      </c>
      <c r="D39" s="2764">
        <v>55</v>
      </c>
      <c r="E39" s="2765">
        <f t="shared" si="0"/>
        <v>2.0363636363636362</v>
      </c>
      <c r="F39" s="323"/>
      <c r="G39" s="2763">
        <v>143</v>
      </c>
      <c r="H39" s="2764">
        <v>56</v>
      </c>
      <c r="I39" s="2765">
        <f t="shared" si="1"/>
        <v>2.5535714285714284</v>
      </c>
      <c r="J39" s="323"/>
      <c r="K39" s="2763">
        <v>155</v>
      </c>
      <c r="L39" s="2764">
        <v>56</v>
      </c>
      <c r="M39" s="2765">
        <f t="shared" si="2"/>
        <v>2.7678571428571428</v>
      </c>
      <c r="N39" s="323"/>
      <c r="O39" s="2763">
        <v>126</v>
      </c>
      <c r="P39" s="2764">
        <v>56</v>
      </c>
      <c r="Q39" s="2765">
        <f t="shared" si="3"/>
        <v>2.25</v>
      </c>
      <c r="R39" s="323"/>
      <c r="S39" s="2763">
        <v>109</v>
      </c>
      <c r="T39" s="2764">
        <v>56</v>
      </c>
      <c r="U39" s="2765">
        <f t="shared" si="4"/>
        <v>1.9464285714285714</v>
      </c>
      <c r="V39" s="323"/>
      <c r="W39" s="2763">
        <v>136</v>
      </c>
      <c r="X39" s="2764">
        <v>55</v>
      </c>
      <c r="Y39" s="2765">
        <f t="shared" si="5"/>
        <v>2.4727272727272727</v>
      </c>
      <c r="Z39" s="323"/>
      <c r="AA39" s="2763">
        <v>116</v>
      </c>
      <c r="AB39" s="2764">
        <v>54</v>
      </c>
      <c r="AC39" s="2765">
        <f t="shared" si="6"/>
        <v>2.1481481481481484</v>
      </c>
      <c r="AD39" s="323"/>
      <c r="AE39" s="2763">
        <v>130</v>
      </c>
      <c r="AF39" s="2764">
        <v>54</v>
      </c>
      <c r="AG39" s="2765">
        <f t="shared" si="7"/>
        <v>2.4074074074074074</v>
      </c>
      <c r="AH39" s="323"/>
      <c r="AI39" s="2763">
        <v>112</v>
      </c>
      <c r="AJ39" s="2764">
        <v>54</v>
      </c>
      <c r="AK39" s="2765">
        <f t="shared" si="8"/>
        <v>2.074074074074074</v>
      </c>
      <c r="AL39" s="323"/>
      <c r="AM39" s="2763">
        <v>154</v>
      </c>
      <c r="AN39" s="2764">
        <v>52</v>
      </c>
      <c r="AO39" s="2765">
        <f t="shared" si="9"/>
        <v>2.9615384615384617</v>
      </c>
      <c r="AQ39" s="2763">
        <v>126</v>
      </c>
      <c r="AR39" s="2764">
        <v>51</v>
      </c>
      <c r="AS39" s="2765">
        <f t="shared" si="11"/>
        <v>2.4705882352941178</v>
      </c>
    </row>
    <row r="40" spans="1:45" s="1" customFormat="1" ht="15" customHeight="1">
      <c r="A40" s="167"/>
      <c r="B40" s="2316" t="s">
        <v>4</v>
      </c>
      <c r="C40" s="2756">
        <v>485</v>
      </c>
      <c r="D40" s="1612">
        <f>SUM(D35:D39)</f>
        <v>276</v>
      </c>
      <c r="E40" s="2741">
        <f t="shared" si="0"/>
        <v>1.7572463768115942</v>
      </c>
      <c r="F40" s="323"/>
      <c r="G40" s="2756">
        <v>532</v>
      </c>
      <c r="H40" s="1612">
        <f>SUM(H35:H39)</f>
        <v>278</v>
      </c>
      <c r="I40" s="2741">
        <f t="shared" si="1"/>
        <v>1.9136690647482015</v>
      </c>
      <c r="J40" s="323"/>
      <c r="K40" s="2756">
        <f>SUM(K35:K39)</f>
        <v>515</v>
      </c>
      <c r="L40" s="1612">
        <f>SUM(L35:L39)</f>
        <v>279</v>
      </c>
      <c r="M40" s="2741">
        <f t="shared" si="2"/>
        <v>1.8458781362007168</v>
      </c>
      <c r="N40" s="323"/>
      <c r="O40" s="2756">
        <f>SUM(O35:O39)</f>
        <v>578</v>
      </c>
      <c r="P40" s="1612">
        <f>SUM(P35:P39)</f>
        <v>284</v>
      </c>
      <c r="Q40" s="2741">
        <f t="shared" si="3"/>
        <v>2.035211267605634</v>
      </c>
      <c r="R40" s="323"/>
      <c r="S40" s="2756">
        <f>SUM(S35:S39)</f>
        <v>514</v>
      </c>
      <c r="T40" s="1612">
        <f>SUM(T35:T39)</f>
        <v>286</v>
      </c>
      <c r="U40" s="2741">
        <f t="shared" si="4"/>
        <v>1.7972027972027973</v>
      </c>
      <c r="V40" s="323"/>
      <c r="W40" s="2756">
        <f>SUM(W35:W39)</f>
        <v>516</v>
      </c>
      <c r="X40" s="1612">
        <v>283</v>
      </c>
      <c r="Y40" s="2741">
        <f t="shared" si="5"/>
        <v>1.8233215547703181</v>
      </c>
      <c r="Z40" s="323"/>
      <c r="AA40" s="2756">
        <v>481</v>
      </c>
      <c r="AB40" s="1612">
        <f>SUM(AB35:AB39)</f>
        <v>281</v>
      </c>
      <c r="AC40" s="2741">
        <f t="shared" si="6"/>
        <v>1.7117437722419928</v>
      </c>
      <c r="AD40" s="323"/>
      <c r="AE40" s="2756">
        <v>493</v>
      </c>
      <c r="AF40" s="1612">
        <f>SUM(AF35:AF39)</f>
        <v>275</v>
      </c>
      <c r="AG40" s="2741">
        <f t="shared" si="7"/>
        <v>1.7927272727272727</v>
      </c>
      <c r="AH40" s="323"/>
      <c r="AI40" s="2756">
        <v>520</v>
      </c>
      <c r="AJ40" s="1612">
        <v>275</v>
      </c>
      <c r="AK40" s="2741">
        <f t="shared" si="8"/>
        <v>1.8909090909090909</v>
      </c>
      <c r="AL40" s="323"/>
      <c r="AM40" s="2756">
        <v>393</v>
      </c>
      <c r="AN40" s="1612">
        <v>269</v>
      </c>
      <c r="AO40" s="2741">
        <f t="shared" si="9"/>
        <v>1.4609665427509293</v>
      </c>
      <c r="AQ40" s="2756">
        <v>481</v>
      </c>
      <c r="AR40" s="1612">
        <v>268</v>
      </c>
      <c r="AS40" s="2741">
        <f t="shared" si="11"/>
        <v>1.794776119402985</v>
      </c>
    </row>
    <row r="41" spans="1:45" s="1" customFormat="1">
      <c r="A41" s="167"/>
      <c r="B41" s="1133" t="s">
        <v>1125</v>
      </c>
      <c r="C41" s="2763">
        <v>65</v>
      </c>
      <c r="D41" s="2764">
        <v>40</v>
      </c>
      <c r="E41" s="2765">
        <f t="shared" si="0"/>
        <v>1.625</v>
      </c>
      <c r="F41" s="323"/>
      <c r="G41" s="2763">
        <v>72</v>
      </c>
      <c r="H41" s="2764">
        <v>43</v>
      </c>
      <c r="I41" s="2765">
        <f t="shared" si="1"/>
        <v>1.6744186046511629</v>
      </c>
      <c r="J41" s="323"/>
      <c r="K41" s="2763">
        <v>107</v>
      </c>
      <c r="L41" s="2764">
        <v>43</v>
      </c>
      <c r="M41" s="2765">
        <f t="shared" si="2"/>
        <v>2.4883720930232558</v>
      </c>
      <c r="N41" s="323"/>
      <c r="O41" s="2763">
        <v>73</v>
      </c>
      <c r="P41" s="2764">
        <v>46</v>
      </c>
      <c r="Q41" s="2765">
        <f t="shared" si="3"/>
        <v>1.5869565217391304</v>
      </c>
      <c r="R41" s="323"/>
      <c r="S41" s="2763">
        <v>52</v>
      </c>
      <c r="T41" s="2764">
        <v>47</v>
      </c>
      <c r="U41" s="2765">
        <f t="shared" si="4"/>
        <v>1.1063829787234043</v>
      </c>
      <c r="V41" s="323"/>
      <c r="W41" s="2763">
        <v>77</v>
      </c>
      <c r="X41" s="2764">
        <v>47</v>
      </c>
      <c r="Y41" s="2765">
        <f t="shared" si="5"/>
        <v>1.6382978723404256</v>
      </c>
      <c r="Z41" s="323"/>
      <c r="AA41" s="2763">
        <v>63</v>
      </c>
      <c r="AB41" s="2764">
        <v>48</v>
      </c>
      <c r="AC41" s="2765">
        <f t="shared" si="6"/>
        <v>1.3125</v>
      </c>
      <c r="AD41" s="323"/>
      <c r="AE41" s="2763">
        <v>55</v>
      </c>
      <c r="AF41" s="2764">
        <v>47</v>
      </c>
      <c r="AG41" s="2765">
        <f t="shared" si="7"/>
        <v>1.1702127659574468</v>
      </c>
      <c r="AH41" s="323"/>
      <c r="AI41" s="2763">
        <v>69</v>
      </c>
      <c r="AJ41" s="2764">
        <v>47</v>
      </c>
      <c r="AK41" s="2765">
        <f t="shared" si="8"/>
        <v>1.4680851063829787</v>
      </c>
      <c r="AL41" s="323"/>
      <c r="AM41" s="2763">
        <v>84</v>
      </c>
      <c r="AN41" s="2764">
        <v>46</v>
      </c>
      <c r="AO41" s="2765">
        <f t="shared" si="9"/>
        <v>1.826086956521739</v>
      </c>
      <c r="AQ41" s="2763">
        <v>65</v>
      </c>
      <c r="AR41" s="2764">
        <v>46</v>
      </c>
      <c r="AS41" s="2765">
        <f t="shared" si="11"/>
        <v>1.4130434782608696</v>
      </c>
    </row>
    <row r="42" spans="1:45" s="1" customFormat="1">
      <c r="A42" s="167"/>
      <c r="B42" s="1133" t="s">
        <v>1126</v>
      </c>
      <c r="C42" s="2763">
        <v>52</v>
      </c>
      <c r="D42" s="2764">
        <v>33</v>
      </c>
      <c r="E42" s="2765">
        <f t="shared" si="0"/>
        <v>1.5757575757575757</v>
      </c>
      <c r="F42" s="323"/>
      <c r="G42" s="2763">
        <v>56</v>
      </c>
      <c r="H42" s="2764">
        <v>36</v>
      </c>
      <c r="I42" s="2765">
        <f t="shared" si="1"/>
        <v>1.5555555555555556</v>
      </c>
      <c r="J42" s="323"/>
      <c r="K42" s="2763">
        <v>56</v>
      </c>
      <c r="L42" s="2764">
        <v>35</v>
      </c>
      <c r="M42" s="2765">
        <f t="shared" si="2"/>
        <v>1.6</v>
      </c>
      <c r="N42" s="323"/>
      <c r="O42" s="2763">
        <v>56</v>
      </c>
      <c r="P42" s="2764">
        <v>35</v>
      </c>
      <c r="Q42" s="2765">
        <f t="shared" si="3"/>
        <v>1.6</v>
      </c>
      <c r="R42" s="323"/>
      <c r="S42" s="2763">
        <v>32</v>
      </c>
      <c r="T42" s="2764">
        <v>34</v>
      </c>
      <c r="U42" s="2765">
        <f t="shared" si="4"/>
        <v>0.94117647058823528</v>
      </c>
      <c r="V42" s="323"/>
      <c r="W42" s="2763">
        <v>42</v>
      </c>
      <c r="X42" s="2764">
        <v>36</v>
      </c>
      <c r="Y42" s="2765">
        <f t="shared" si="5"/>
        <v>1.1666666666666667</v>
      </c>
      <c r="Z42" s="323"/>
      <c r="AA42" s="2763">
        <v>56</v>
      </c>
      <c r="AB42" s="2764">
        <v>37</v>
      </c>
      <c r="AC42" s="2765">
        <f t="shared" si="6"/>
        <v>1.5135135135135136</v>
      </c>
      <c r="AD42" s="323"/>
      <c r="AE42" s="2763">
        <v>59</v>
      </c>
      <c r="AF42" s="2764">
        <v>37</v>
      </c>
      <c r="AG42" s="2765">
        <f t="shared" si="7"/>
        <v>1.5945945945945945</v>
      </c>
      <c r="AH42" s="323"/>
      <c r="AI42" s="2763">
        <v>50</v>
      </c>
      <c r="AJ42" s="2764">
        <v>39</v>
      </c>
      <c r="AK42" s="2765">
        <f t="shared" si="8"/>
        <v>1.2820512820512822</v>
      </c>
      <c r="AL42" s="323"/>
      <c r="AM42" s="2763">
        <v>71</v>
      </c>
      <c r="AN42" s="2764">
        <v>39</v>
      </c>
      <c r="AO42" s="2765">
        <f t="shared" si="9"/>
        <v>1.8205128205128205</v>
      </c>
      <c r="AQ42" s="2763">
        <v>39</v>
      </c>
      <c r="AR42" s="2764">
        <v>38</v>
      </c>
      <c r="AS42" s="2765">
        <f t="shared" si="11"/>
        <v>1.0263157894736843</v>
      </c>
    </row>
    <row r="43" spans="1:45" s="1" customFormat="1">
      <c r="A43" s="167"/>
      <c r="B43" s="1133" t="s">
        <v>1127</v>
      </c>
      <c r="C43" s="2763">
        <v>116</v>
      </c>
      <c r="D43" s="2764">
        <v>50</v>
      </c>
      <c r="E43" s="2765">
        <f t="shared" si="0"/>
        <v>2.3199999999999998</v>
      </c>
      <c r="F43" s="323"/>
      <c r="G43" s="2763">
        <v>102</v>
      </c>
      <c r="H43" s="2764">
        <v>49</v>
      </c>
      <c r="I43" s="2765">
        <f t="shared" si="1"/>
        <v>2.0816326530612246</v>
      </c>
      <c r="J43" s="323"/>
      <c r="K43" s="2763">
        <v>100</v>
      </c>
      <c r="L43" s="2764">
        <v>48</v>
      </c>
      <c r="M43" s="2765">
        <f t="shared" si="2"/>
        <v>2.0833333333333335</v>
      </c>
      <c r="N43" s="323"/>
      <c r="O43" s="2763">
        <v>84</v>
      </c>
      <c r="P43" s="2764">
        <v>49</v>
      </c>
      <c r="Q43" s="2765">
        <f t="shared" si="3"/>
        <v>1.7142857142857142</v>
      </c>
      <c r="R43" s="323"/>
      <c r="S43" s="2763">
        <v>100</v>
      </c>
      <c r="T43" s="2764">
        <v>51</v>
      </c>
      <c r="U43" s="2765">
        <f t="shared" si="4"/>
        <v>1.9607843137254901</v>
      </c>
      <c r="V43" s="323"/>
      <c r="W43" s="2763">
        <v>102</v>
      </c>
      <c r="X43" s="2764">
        <v>53</v>
      </c>
      <c r="Y43" s="2765">
        <f t="shared" si="5"/>
        <v>1.9245283018867925</v>
      </c>
      <c r="Z43" s="323"/>
      <c r="AA43" s="2763">
        <v>88</v>
      </c>
      <c r="AB43" s="2764">
        <v>53</v>
      </c>
      <c r="AC43" s="2765">
        <f t="shared" si="6"/>
        <v>1.6603773584905661</v>
      </c>
      <c r="AD43" s="323"/>
      <c r="AE43" s="2763">
        <v>87</v>
      </c>
      <c r="AF43" s="2764">
        <v>51</v>
      </c>
      <c r="AG43" s="2765">
        <f t="shared" si="7"/>
        <v>1.7058823529411764</v>
      </c>
      <c r="AH43" s="323"/>
      <c r="AI43" s="2763">
        <v>142</v>
      </c>
      <c r="AJ43" s="2764">
        <v>49</v>
      </c>
      <c r="AK43" s="2765">
        <f t="shared" si="8"/>
        <v>2.8979591836734695</v>
      </c>
      <c r="AL43" s="323"/>
      <c r="AM43" s="2763">
        <v>156</v>
      </c>
      <c r="AN43" s="2764">
        <v>50</v>
      </c>
      <c r="AO43" s="2765">
        <f t="shared" si="9"/>
        <v>3.12</v>
      </c>
      <c r="AQ43" s="2763">
        <v>109</v>
      </c>
      <c r="AR43" s="2764">
        <v>49</v>
      </c>
      <c r="AS43" s="2765">
        <f t="shared" si="11"/>
        <v>2.2244897959183674</v>
      </c>
    </row>
    <row r="44" spans="1:45" s="1" customFormat="1">
      <c r="A44" s="167"/>
      <c r="B44" s="1133" t="s">
        <v>1128</v>
      </c>
      <c r="C44" s="2763">
        <v>87</v>
      </c>
      <c r="D44" s="2764">
        <v>46</v>
      </c>
      <c r="E44" s="2765">
        <f t="shared" si="0"/>
        <v>1.8913043478260869</v>
      </c>
      <c r="F44" s="323"/>
      <c r="G44" s="2763">
        <v>54</v>
      </c>
      <c r="H44" s="2764">
        <v>48</v>
      </c>
      <c r="I44" s="2765">
        <f t="shared" si="1"/>
        <v>1.125</v>
      </c>
      <c r="J44" s="323"/>
      <c r="K44" s="2763">
        <v>49</v>
      </c>
      <c r="L44" s="2764">
        <v>48</v>
      </c>
      <c r="M44" s="2765">
        <f t="shared" si="2"/>
        <v>1.0208333333333333</v>
      </c>
      <c r="N44" s="323"/>
      <c r="O44" s="2763">
        <v>99</v>
      </c>
      <c r="P44" s="2764">
        <v>50</v>
      </c>
      <c r="Q44" s="2765">
        <f t="shared" si="3"/>
        <v>1.98</v>
      </c>
      <c r="R44" s="323"/>
      <c r="S44" s="2763">
        <v>89</v>
      </c>
      <c r="T44" s="2764">
        <v>55</v>
      </c>
      <c r="U44" s="2765">
        <f t="shared" si="4"/>
        <v>1.6181818181818182</v>
      </c>
      <c r="V44" s="323"/>
      <c r="W44" s="2763">
        <v>94</v>
      </c>
      <c r="X44" s="2764">
        <v>54</v>
      </c>
      <c r="Y44" s="2765">
        <f t="shared" si="5"/>
        <v>1.7407407407407407</v>
      </c>
      <c r="Z44" s="323"/>
      <c r="AA44" s="2763">
        <v>104</v>
      </c>
      <c r="AB44" s="2764">
        <v>55</v>
      </c>
      <c r="AC44" s="2765">
        <f t="shared" si="6"/>
        <v>1.8909090909090909</v>
      </c>
      <c r="AD44" s="323"/>
      <c r="AE44" s="2763">
        <v>168</v>
      </c>
      <c r="AF44" s="2764">
        <v>55</v>
      </c>
      <c r="AG44" s="2765">
        <f t="shared" si="7"/>
        <v>3.0545454545454547</v>
      </c>
      <c r="AH44" s="323"/>
      <c r="AI44" s="2763">
        <v>103</v>
      </c>
      <c r="AJ44" s="2764">
        <v>55</v>
      </c>
      <c r="AK44" s="2765">
        <f t="shared" si="8"/>
        <v>1.8727272727272728</v>
      </c>
      <c r="AL44" s="323"/>
      <c r="AM44" s="2763">
        <v>117</v>
      </c>
      <c r="AN44" s="2764">
        <v>54</v>
      </c>
      <c r="AO44" s="2765">
        <f t="shared" si="9"/>
        <v>2.1666666666666665</v>
      </c>
      <c r="AQ44" s="2763">
        <v>136</v>
      </c>
      <c r="AR44" s="2764">
        <v>54</v>
      </c>
      <c r="AS44" s="2765">
        <f t="shared" si="11"/>
        <v>2.5185185185185186</v>
      </c>
    </row>
    <row r="45" spans="1:45" s="1" customFormat="1">
      <c r="A45" s="167"/>
      <c r="B45" s="1133" t="s">
        <v>1129</v>
      </c>
      <c r="C45" s="2763">
        <v>30</v>
      </c>
      <c r="D45" s="2764">
        <v>37</v>
      </c>
      <c r="E45" s="2765">
        <f t="shared" si="0"/>
        <v>0.81081081081081086</v>
      </c>
      <c r="F45" s="323"/>
      <c r="G45" s="2763">
        <v>45</v>
      </c>
      <c r="H45" s="2764">
        <v>38</v>
      </c>
      <c r="I45" s="2765">
        <f t="shared" si="1"/>
        <v>1.1842105263157894</v>
      </c>
      <c r="J45" s="323"/>
      <c r="K45" s="2763">
        <v>19</v>
      </c>
      <c r="L45" s="2764">
        <v>40</v>
      </c>
      <c r="M45" s="2765">
        <f t="shared" si="2"/>
        <v>0.47499999999999998</v>
      </c>
      <c r="N45" s="323"/>
      <c r="O45" s="2763">
        <v>62</v>
      </c>
      <c r="P45" s="2764">
        <v>41</v>
      </c>
      <c r="Q45" s="2765">
        <f t="shared" si="3"/>
        <v>1.5121951219512195</v>
      </c>
      <c r="R45" s="323"/>
      <c r="S45" s="2763">
        <v>68</v>
      </c>
      <c r="T45" s="2764">
        <v>41</v>
      </c>
      <c r="U45" s="2765">
        <f t="shared" si="4"/>
        <v>1.6585365853658536</v>
      </c>
      <c r="V45" s="323"/>
      <c r="W45" s="2763">
        <v>56</v>
      </c>
      <c r="X45" s="2764">
        <v>39</v>
      </c>
      <c r="Y45" s="2765">
        <f t="shared" si="5"/>
        <v>1.4358974358974359</v>
      </c>
      <c r="Z45" s="323"/>
      <c r="AA45" s="2763">
        <v>59</v>
      </c>
      <c r="AB45" s="2764">
        <v>38</v>
      </c>
      <c r="AC45" s="2765">
        <f t="shared" si="6"/>
        <v>1.5526315789473684</v>
      </c>
      <c r="AD45" s="323"/>
      <c r="AE45" s="2763">
        <v>54</v>
      </c>
      <c r="AF45" s="2764">
        <v>38</v>
      </c>
      <c r="AG45" s="2765">
        <f t="shared" si="7"/>
        <v>1.4210526315789473</v>
      </c>
      <c r="AH45" s="323"/>
      <c r="AI45" s="2763">
        <v>67</v>
      </c>
      <c r="AJ45" s="2764">
        <v>37</v>
      </c>
      <c r="AK45" s="2765">
        <f t="shared" si="8"/>
        <v>1.8108108108108107</v>
      </c>
      <c r="AL45" s="323"/>
      <c r="AM45" s="2763">
        <v>45</v>
      </c>
      <c r="AN45" s="2764">
        <v>35</v>
      </c>
      <c r="AO45" s="2765">
        <f t="shared" si="9"/>
        <v>1.2857142857142858</v>
      </c>
      <c r="AQ45" s="2763">
        <v>47</v>
      </c>
      <c r="AR45" s="2764">
        <v>35</v>
      </c>
      <c r="AS45" s="2765">
        <f t="shared" si="11"/>
        <v>1.3428571428571427</v>
      </c>
    </row>
    <row r="46" spans="1:45" s="1" customFormat="1" ht="15" customHeight="1">
      <c r="A46" s="167"/>
      <c r="B46" s="2316" t="s">
        <v>41</v>
      </c>
      <c r="C46" s="2756">
        <v>350</v>
      </c>
      <c r="D46" s="1612">
        <f>SUM(D41:D45)</f>
        <v>206</v>
      </c>
      <c r="E46" s="2741">
        <f t="shared" si="0"/>
        <v>1.6990291262135921</v>
      </c>
      <c r="F46" s="323"/>
      <c r="G46" s="2756">
        <v>329</v>
      </c>
      <c r="H46" s="1612">
        <f>SUM(H41:H45)</f>
        <v>214</v>
      </c>
      <c r="I46" s="2741">
        <f t="shared" si="1"/>
        <v>1.5373831775700935</v>
      </c>
      <c r="J46" s="323"/>
      <c r="K46" s="2756">
        <f>SUM(K41:K45)</f>
        <v>331</v>
      </c>
      <c r="L46" s="1612">
        <f>SUM(L41:L45)</f>
        <v>214</v>
      </c>
      <c r="M46" s="2741">
        <f t="shared" si="2"/>
        <v>1.5467289719626167</v>
      </c>
      <c r="N46" s="323"/>
      <c r="O46" s="2756">
        <f>SUM(O41:O45)</f>
        <v>374</v>
      </c>
      <c r="P46" s="1612">
        <f>SUM(P41:P45)</f>
        <v>221</v>
      </c>
      <c r="Q46" s="2741">
        <f t="shared" si="3"/>
        <v>1.6923076923076923</v>
      </c>
      <c r="R46" s="323"/>
      <c r="S46" s="2756">
        <f>SUM(S41:S45)</f>
        <v>341</v>
      </c>
      <c r="T46" s="1612">
        <f>SUM(T41:T45)</f>
        <v>228</v>
      </c>
      <c r="U46" s="2741">
        <f t="shared" si="4"/>
        <v>1.4956140350877194</v>
      </c>
      <c r="V46" s="323"/>
      <c r="W46" s="2756">
        <f>SUM(W41:W45)</f>
        <v>371</v>
      </c>
      <c r="X46" s="1612">
        <v>229</v>
      </c>
      <c r="Y46" s="2741">
        <f t="shared" si="5"/>
        <v>1.6200873362445414</v>
      </c>
      <c r="Z46" s="323"/>
      <c r="AA46" s="2756">
        <v>370</v>
      </c>
      <c r="AB46" s="1612">
        <f>SUM(AB41:AB45)</f>
        <v>231</v>
      </c>
      <c r="AC46" s="2741">
        <f t="shared" si="6"/>
        <v>1.6017316017316017</v>
      </c>
      <c r="AD46" s="323"/>
      <c r="AE46" s="2756">
        <v>423</v>
      </c>
      <c r="AF46" s="1612">
        <f>SUM(AF41:AF45)</f>
        <v>228</v>
      </c>
      <c r="AG46" s="2741">
        <f t="shared" si="7"/>
        <v>1.8552631578947369</v>
      </c>
      <c r="AH46" s="323"/>
      <c r="AI46" s="2756">
        <v>431</v>
      </c>
      <c r="AJ46" s="1612">
        <v>227</v>
      </c>
      <c r="AK46" s="2741">
        <f t="shared" si="8"/>
        <v>1.8986784140969164</v>
      </c>
      <c r="AL46" s="323"/>
      <c r="AM46" s="2756">
        <v>473</v>
      </c>
      <c r="AN46" s="1612">
        <v>224</v>
      </c>
      <c r="AO46" s="2741">
        <f t="shared" si="9"/>
        <v>2.1116071428571428</v>
      </c>
      <c r="AQ46" s="2756">
        <v>396</v>
      </c>
      <c r="AR46" s="1612">
        <v>222</v>
      </c>
      <c r="AS46" s="2741">
        <f t="shared" si="11"/>
        <v>1.7837837837837838</v>
      </c>
    </row>
    <row r="47" spans="1:45" s="1" customFormat="1">
      <c r="A47" s="167"/>
      <c r="B47" s="1133" t="s">
        <v>1130</v>
      </c>
      <c r="C47" s="2763">
        <v>44</v>
      </c>
      <c r="D47" s="2764">
        <v>25</v>
      </c>
      <c r="E47" s="2765">
        <f t="shared" si="0"/>
        <v>1.76</v>
      </c>
      <c r="F47" s="323"/>
      <c r="G47" s="2763">
        <v>42</v>
      </c>
      <c r="H47" s="2764">
        <v>25</v>
      </c>
      <c r="I47" s="2765">
        <f t="shared" si="1"/>
        <v>1.68</v>
      </c>
      <c r="J47" s="323"/>
      <c r="K47" s="2763">
        <v>33</v>
      </c>
      <c r="L47" s="2764">
        <v>26</v>
      </c>
      <c r="M47" s="2765">
        <f t="shared" si="2"/>
        <v>1.2692307692307692</v>
      </c>
      <c r="N47" s="323"/>
      <c r="O47" s="2763">
        <v>53</v>
      </c>
      <c r="P47" s="2764">
        <v>24</v>
      </c>
      <c r="Q47" s="2765">
        <f t="shared" si="3"/>
        <v>2.2083333333333335</v>
      </c>
      <c r="R47" s="323"/>
      <c r="S47" s="2763">
        <v>27</v>
      </c>
      <c r="T47" s="2764">
        <v>24</v>
      </c>
      <c r="U47" s="2765">
        <f t="shared" si="4"/>
        <v>1.125</v>
      </c>
      <c r="V47" s="323"/>
      <c r="W47" s="2763">
        <v>45</v>
      </c>
      <c r="X47" s="2764">
        <v>24</v>
      </c>
      <c r="Y47" s="2765">
        <f t="shared" si="5"/>
        <v>1.875</v>
      </c>
      <c r="Z47" s="323"/>
      <c r="AA47" s="2763">
        <v>30</v>
      </c>
      <c r="AB47" s="2764">
        <v>24</v>
      </c>
      <c r="AC47" s="2765">
        <f t="shared" si="6"/>
        <v>1.25</v>
      </c>
      <c r="AD47" s="323"/>
      <c r="AE47" s="2763">
        <v>35</v>
      </c>
      <c r="AF47" s="2764">
        <v>23</v>
      </c>
      <c r="AG47" s="2765">
        <f t="shared" si="7"/>
        <v>1.5217391304347827</v>
      </c>
      <c r="AH47" s="323"/>
      <c r="AI47" s="2763">
        <v>41</v>
      </c>
      <c r="AJ47" s="2764">
        <v>23</v>
      </c>
      <c r="AK47" s="2765">
        <f t="shared" si="8"/>
        <v>1.7826086956521738</v>
      </c>
      <c r="AL47" s="323"/>
      <c r="AM47" s="2763">
        <v>18</v>
      </c>
      <c r="AN47" s="2764">
        <v>24</v>
      </c>
      <c r="AO47" s="2765">
        <f t="shared" si="9"/>
        <v>0.75</v>
      </c>
      <c r="AQ47" s="2763">
        <v>37</v>
      </c>
      <c r="AR47" s="2764">
        <v>24</v>
      </c>
      <c r="AS47" s="2765">
        <f t="shared" si="11"/>
        <v>1.5416666666666667</v>
      </c>
    </row>
    <row r="48" spans="1:45" s="1" customFormat="1">
      <c r="A48" s="167"/>
      <c r="B48" s="1133" t="s">
        <v>1104</v>
      </c>
      <c r="C48" s="2763">
        <v>170</v>
      </c>
      <c r="D48" s="2764">
        <v>82</v>
      </c>
      <c r="E48" s="2765">
        <f t="shared" si="0"/>
        <v>2.0731707317073171</v>
      </c>
      <c r="F48" s="323"/>
      <c r="G48" s="2763">
        <v>135</v>
      </c>
      <c r="H48" s="2764">
        <v>80</v>
      </c>
      <c r="I48" s="2765">
        <f t="shared" si="1"/>
        <v>1.6875</v>
      </c>
      <c r="J48" s="323"/>
      <c r="K48" s="2763">
        <v>163</v>
      </c>
      <c r="L48" s="2764">
        <v>78</v>
      </c>
      <c r="M48" s="2765">
        <f t="shared" si="2"/>
        <v>2.0897435897435899</v>
      </c>
      <c r="N48" s="323"/>
      <c r="O48" s="2763">
        <v>142</v>
      </c>
      <c r="P48" s="2764">
        <v>79</v>
      </c>
      <c r="Q48" s="2765">
        <f t="shared" si="3"/>
        <v>1.7974683544303798</v>
      </c>
      <c r="R48" s="323"/>
      <c r="S48" s="2763">
        <v>136</v>
      </c>
      <c r="T48" s="2764">
        <v>79</v>
      </c>
      <c r="U48" s="2765">
        <f t="shared" si="4"/>
        <v>1.7215189873417722</v>
      </c>
      <c r="V48" s="323"/>
      <c r="W48" s="2763">
        <v>160</v>
      </c>
      <c r="X48" s="2764">
        <v>78</v>
      </c>
      <c r="Y48" s="2765">
        <f t="shared" si="5"/>
        <v>2.0512820512820511</v>
      </c>
      <c r="Z48" s="323"/>
      <c r="AA48" s="2763">
        <v>109</v>
      </c>
      <c r="AB48" s="2764">
        <v>78</v>
      </c>
      <c r="AC48" s="2765">
        <f t="shared" si="6"/>
        <v>1.3974358974358974</v>
      </c>
      <c r="AD48" s="323"/>
      <c r="AE48" s="2763">
        <v>110</v>
      </c>
      <c r="AF48" s="2764">
        <v>83</v>
      </c>
      <c r="AG48" s="2765">
        <f t="shared" si="7"/>
        <v>1.3253012048192772</v>
      </c>
      <c r="AH48" s="323"/>
      <c r="AI48" s="2763">
        <v>149</v>
      </c>
      <c r="AJ48" s="2764">
        <v>87</v>
      </c>
      <c r="AK48" s="2765">
        <f t="shared" si="8"/>
        <v>1.7126436781609196</v>
      </c>
      <c r="AL48" s="323"/>
      <c r="AM48" s="2763">
        <v>116</v>
      </c>
      <c r="AN48" s="2764">
        <v>87</v>
      </c>
      <c r="AO48" s="2765">
        <f t="shared" si="9"/>
        <v>1.3333333333333333</v>
      </c>
      <c r="AQ48" s="2763">
        <v>79</v>
      </c>
      <c r="AR48" s="2764">
        <v>82</v>
      </c>
      <c r="AS48" s="2765">
        <f t="shared" si="11"/>
        <v>0.96341463414634143</v>
      </c>
    </row>
    <row r="49" spans="1:45" s="1" customFormat="1">
      <c r="A49" s="167"/>
      <c r="B49" s="1133" t="s">
        <v>1131</v>
      </c>
      <c r="C49" s="2763">
        <v>181</v>
      </c>
      <c r="D49" s="2764">
        <v>108</v>
      </c>
      <c r="E49" s="2765">
        <f t="shared" si="0"/>
        <v>1.6759259259259258</v>
      </c>
      <c r="F49" s="323"/>
      <c r="G49" s="2763">
        <v>178</v>
      </c>
      <c r="H49" s="2764">
        <v>105</v>
      </c>
      <c r="I49" s="2765">
        <f t="shared" si="1"/>
        <v>1.6952380952380952</v>
      </c>
      <c r="J49" s="323"/>
      <c r="K49" s="2763">
        <v>216</v>
      </c>
      <c r="L49" s="2764">
        <v>105</v>
      </c>
      <c r="M49" s="2765">
        <f t="shared" si="2"/>
        <v>2.0571428571428569</v>
      </c>
      <c r="N49" s="323"/>
      <c r="O49" s="2763">
        <v>158</v>
      </c>
      <c r="P49" s="2764">
        <v>104</v>
      </c>
      <c r="Q49" s="2765">
        <f t="shared" si="3"/>
        <v>1.5192307692307692</v>
      </c>
      <c r="R49" s="323"/>
      <c r="S49" s="2763">
        <v>136</v>
      </c>
      <c r="T49" s="2764">
        <v>106</v>
      </c>
      <c r="U49" s="2765">
        <f t="shared" si="4"/>
        <v>1.2830188679245282</v>
      </c>
      <c r="V49" s="323"/>
      <c r="W49" s="2763">
        <v>152</v>
      </c>
      <c r="X49" s="2764">
        <v>107</v>
      </c>
      <c r="Y49" s="2765">
        <f t="shared" si="5"/>
        <v>1.4205607476635513</v>
      </c>
      <c r="Z49" s="323"/>
      <c r="AA49" s="2763">
        <v>138</v>
      </c>
      <c r="AB49" s="2764">
        <v>105</v>
      </c>
      <c r="AC49" s="2765">
        <f t="shared" si="6"/>
        <v>1.3142857142857143</v>
      </c>
      <c r="AD49" s="323"/>
      <c r="AE49" s="2763">
        <v>152</v>
      </c>
      <c r="AF49" s="2764">
        <v>107</v>
      </c>
      <c r="AG49" s="2765">
        <f t="shared" si="7"/>
        <v>1.4205607476635513</v>
      </c>
      <c r="AH49" s="323"/>
      <c r="AI49" s="2763">
        <v>152</v>
      </c>
      <c r="AJ49" s="2764">
        <v>106</v>
      </c>
      <c r="AK49" s="2765">
        <f t="shared" si="8"/>
        <v>1.4339622641509433</v>
      </c>
      <c r="AL49" s="323"/>
      <c r="AM49" s="2763">
        <v>108</v>
      </c>
      <c r="AN49" s="2764">
        <v>99</v>
      </c>
      <c r="AO49" s="2765">
        <f t="shared" si="9"/>
        <v>1.0909090909090908</v>
      </c>
      <c r="AQ49" s="2763">
        <v>87</v>
      </c>
      <c r="AR49" s="2764">
        <v>98</v>
      </c>
      <c r="AS49" s="2765">
        <f t="shared" si="11"/>
        <v>0.88775510204081631</v>
      </c>
    </row>
    <row r="50" spans="1:45" s="1" customFormat="1">
      <c r="A50" s="167"/>
      <c r="B50" s="1133" t="s">
        <v>1105</v>
      </c>
      <c r="C50" s="2763">
        <v>151</v>
      </c>
      <c r="D50" s="2764">
        <v>92</v>
      </c>
      <c r="E50" s="2765">
        <f t="shared" si="0"/>
        <v>1.6413043478260869</v>
      </c>
      <c r="F50" s="323"/>
      <c r="G50" s="2763">
        <v>145</v>
      </c>
      <c r="H50" s="2764">
        <v>92</v>
      </c>
      <c r="I50" s="2765">
        <f t="shared" si="1"/>
        <v>1.576086956521739</v>
      </c>
      <c r="J50" s="323"/>
      <c r="K50" s="2763">
        <v>111</v>
      </c>
      <c r="L50" s="2764">
        <v>89</v>
      </c>
      <c r="M50" s="2765">
        <f t="shared" si="2"/>
        <v>1.247191011235955</v>
      </c>
      <c r="N50" s="323"/>
      <c r="O50" s="2763">
        <v>142</v>
      </c>
      <c r="P50" s="2764">
        <v>92</v>
      </c>
      <c r="Q50" s="2765">
        <f t="shared" si="3"/>
        <v>1.5434782608695652</v>
      </c>
      <c r="R50" s="323"/>
      <c r="S50" s="2763">
        <v>117</v>
      </c>
      <c r="T50" s="2764">
        <v>94</v>
      </c>
      <c r="U50" s="2765">
        <f t="shared" si="4"/>
        <v>1.2446808510638299</v>
      </c>
      <c r="V50" s="323"/>
      <c r="W50" s="2763">
        <v>121</v>
      </c>
      <c r="X50" s="2764">
        <v>92</v>
      </c>
      <c r="Y50" s="2765">
        <f t="shared" si="5"/>
        <v>1.3152173913043479</v>
      </c>
      <c r="Z50" s="323"/>
      <c r="AA50" s="2763">
        <v>96</v>
      </c>
      <c r="AB50" s="2764">
        <v>91</v>
      </c>
      <c r="AC50" s="2765">
        <f t="shared" si="6"/>
        <v>1.054945054945055</v>
      </c>
      <c r="AD50" s="323"/>
      <c r="AE50" s="2763">
        <v>129</v>
      </c>
      <c r="AF50" s="2764">
        <v>90</v>
      </c>
      <c r="AG50" s="2765">
        <f t="shared" si="7"/>
        <v>1.4333333333333333</v>
      </c>
      <c r="AH50" s="323"/>
      <c r="AI50" s="2763">
        <v>162</v>
      </c>
      <c r="AJ50" s="2764">
        <v>93</v>
      </c>
      <c r="AK50" s="2765">
        <f t="shared" si="8"/>
        <v>1.7419354838709677</v>
      </c>
      <c r="AL50" s="323"/>
      <c r="AM50" s="2763">
        <v>76</v>
      </c>
      <c r="AN50" s="2764">
        <v>87</v>
      </c>
      <c r="AO50" s="2765">
        <f t="shared" si="9"/>
        <v>0.87356321839080464</v>
      </c>
      <c r="AQ50" s="2763">
        <v>59</v>
      </c>
      <c r="AR50" s="2764">
        <v>85</v>
      </c>
      <c r="AS50" s="2765">
        <f t="shared" si="11"/>
        <v>0.69411764705882351</v>
      </c>
    </row>
    <row r="51" spans="1:45" s="1" customFormat="1" ht="15" customHeight="1">
      <c r="A51" s="167"/>
      <c r="B51" s="2348" t="s">
        <v>16</v>
      </c>
      <c r="C51" s="2760">
        <v>546</v>
      </c>
      <c r="D51" s="2363">
        <f>SUM(D47:D50)</f>
        <v>307</v>
      </c>
      <c r="E51" s="2744">
        <f t="shared" si="0"/>
        <v>1.778501628664495</v>
      </c>
      <c r="F51" s="323"/>
      <c r="G51" s="2760">
        <v>500</v>
      </c>
      <c r="H51" s="2363">
        <f>SUM(H47:H50)</f>
        <v>302</v>
      </c>
      <c r="I51" s="2744">
        <f t="shared" si="1"/>
        <v>1.6556291390728477</v>
      </c>
      <c r="J51" s="323"/>
      <c r="K51" s="2760">
        <f>SUM(K47:K50)</f>
        <v>523</v>
      </c>
      <c r="L51" s="2363">
        <f>SUM(L47:L50)</f>
        <v>298</v>
      </c>
      <c r="M51" s="2744">
        <f t="shared" si="2"/>
        <v>1.7550335570469799</v>
      </c>
      <c r="N51" s="323"/>
      <c r="O51" s="2760">
        <f>SUM(O47:O50)</f>
        <v>495</v>
      </c>
      <c r="P51" s="2363">
        <f>SUM(P47:P50)</f>
        <v>299</v>
      </c>
      <c r="Q51" s="2744">
        <f t="shared" si="3"/>
        <v>1.6555183946488294</v>
      </c>
      <c r="R51" s="323"/>
      <c r="S51" s="2760">
        <f>SUM(S47:S50)</f>
        <v>416</v>
      </c>
      <c r="T51" s="2363">
        <f>SUM(T47:T50)</f>
        <v>303</v>
      </c>
      <c r="U51" s="2744">
        <f t="shared" si="4"/>
        <v>1.3729372937293729</v>
      </c>
      <c r="V51" s="323"/>
      <c r="W51" s="2760">
        <f>SUM(W47:W50)</f>
        <v>478</v>
      </c>
      <c r="X51" s="2363">
        <v>301</v>
      </c>
      <c r="Y51" s="2744">
        <f t="shared" si="5"/>
        <v>1.5880398671096345</v>
      </c>
      <c r="Z51" s="323"/>
      <c r="AA51" s="2760">
        <v>373</v>
      </c>
      <c r="AB51" s="2363">
        <f>SUM(AB47:AB50)</f>
        <v>298</v>
      </c>
      <c r="AC51" s="2744">
        <f t="shared" si="6"/>
        <v>1.2516778523489933</v>
      </c>
      <c r="AD51" s="323"/>
      <c r="AE51" s="2760">
        <v>426</v>
      </c>
      <c r="AF51" s="2363">
        <f>SUM(AF47:AF50)</f>
        <v>303</v>
      </c>
      <c r="AG51" s="2744">
        <f t="shared" si="7"/>
        <v>1.4059405940594059</v>
      </c>
      <c r="AH51" s="323"/>
      <c r="AI51" s="2760">
        <v>504</v>
      </c>
      <c r="AJ51" s="2363">
        <v>309</v>
      </c>
      <c r="AK51" s="2744">
        <f t="shared" si="8"/>
        <v>1.6310679611650485</v>
      </c>
      <c r="AL51" s="323"/>
      <c r="AM51" s="2760">
        <v>318</v>
      </c>
      <c r="AN51" s="2363">
        <v>297</v>
      </c>
      <c r="AO51" s="2744">
        <f t="shared" si="9"/>
        <v>1.0707070707070707</v>
      </c>
      <c r="AQ51" s="2760">
        <v>262</v>
      </c>
      <c r="AR51" s="2363">
        <v>289</v>
      </c>
      <c r="AS51" s="2744">
        <f t="shared" si="11"/>
        <v>0.90657439446366783</v>
      </c>
    </row>
    <row r="52" spans="1:45" s="1" customFormat="1" ht="15" customHeight="1">
      <c r="A52" s="167"/>
      <c r="B52" s="2367" t="s">
        <v>1132</v>
      </c>
      <c r="C52" s="2767">
        <v>1381</v>
      </c>
      <c r="D52" s="2368">
        <f>SUM(D51,D46,D40)</f>
        <v>789</v>
      </c>
      <c r="E52" s="2747">
        <f t="shared" si="0"/>
        <v>1.750316856780735</v>
      </c>
      <c r="F52" s="323"/>
      <c r="G52" s="2767">
        <v>1361</v>
      </c>
      <c r="H52" s="2368">
        <f>SUM(H51,H46,H40)</f>
        <v>794</v>
      </c>
      <c r="I52" s="2747">
        <f t="shared" si="1"/>
        <v>1.7141057934508817</v>
      </c>
      <c r="J52" s="323"/>
      <c r="K52" s="2767">
        <f>SUM(K51,K46,K40)</f>
        <v>1369</v>
      </c>
      <c r="L52" s="2368">
        <f>SUM(L51,L46,L40)</f>
        <v>791</v>
      </c>
      <c r="M52" s="2747">
        <f t="shared" si="2"/>
        <v>1.7307206068268015</v>
      </c>
      <c r="N52" s="323"/>
      <c r="O52" s="2767">
        <f>SUM(O51,O46,O40)</f>
        <v>1447</v>
      </c>
      <c r="P52" s="2368">
        <f>SUM(P51,P46,P40)</f>
        <v>804</v>
      </c>
      <c r="Q52" s="2747">
        <f t="shared" si="3"/>
        <v>1.7997512437810945</v>
      </c>
      <c r="R52" s="323"/>
      <c r="S52" s="2767">
        <f>SUM(S51,S46,S40)</f>
        <v>1271</v>
      </c>
      <c r="T52" s="2368">
        <f>SUM(T51,T46,T40)</f>
        <v>817</v>
      </c>
      <c r="U52" s="2747">
        <f t="shared" si="4"/>
        <v>1.5556915544675642</v>
      </c>
      <c r="V52" s="323"/>
      <c r="W52" s="2767">
        <f>SUM(W51,W46,W40)</f>
        <v>1365</v>
      </c>
      <c r="X52" s="2368">
        <v>813</v>
      </c>
      <c r="Y52" s="2747">
        <f t="shared" si="5"/>
        <v>1.6789667896678966</v>
      </c>
      <c r="Z52" s="323"/>
      <c r="AA52" s="2767">
        <v>1224</v>
      </c>
      <c r="AB52" s="2368">
        <f>SUM(AB40,AB46,AB51)</f>
        <v>810</v>
      </c>
      <c r="AC52" s="2747">
        <f t="shared" si="6"/>
        <v>1.5111111111111111</v>
      </c>
      <c r="AD52" s="323"/>
      <c r="AE52" s="2767">
        <v>1342</v>
      </c>
      <c r="AF52" s="2368">
        <f>SUM(AF40,AF46,AF51)</f>
        <v>806</v>
      </c>
      <c r="AG52" s="2747">
        <f t="shared" si="7"/>
        <v>1.6650124069478909</v>
      </c>
      <c r="AH52" s="323"/>
      <c r="AI52" s="2767">
        <v>1455</v>
      </c>
      <c r="AJ52" s="2368">
        <v>811</v>
      </c>
      <c r="AK52" s="2747">
        <f t="shared" si="8"/>
        <v>1.7940813810110974</v>
      </c>
      <c r="AL52" s="323"/>
      <c r="AM52" s="2767">
        <v>1184</v>
      </c>
      <c r="AN52" s="2368">
        <v>790</v>
      </c>
      <c r="AO52" s="2747">
        <f t="shared" si="9"/>
        <v>1.4987341772151899</v>
      </c>
      <c r="AQ52" s="2767">
        <v>1139</v>
      </c>
      <c r="AR52" s="2368">
        <v>779</v>
      </c>
      <c r="AS52" s="2747">
        <f t="shared" si="11"/>
        <v>1.4621309370988447</v>
      </c>
    </row>
    <row r="53" spans="1:45" s="1" customFormat="1">
      <c r="A53" s="167"/>
      <c r="B53" s="1133" t="s">
        <v>1133</v>
      </c>
      <c r="C53" s="2768"/>
      <c r="D53" s="2769">
        <v>1</v>
      </c>
      <c r="E53" s="2748">
        <f t="shared" si="0"/>
        <v>0</v>
      </c>
      <c r="F53" s="323"/>
      <c r="G53" s="2768"/>
      <c r="H53" s="2769">
        <v>1</v>
      </c>
      <c r="I53" s="2748"/>
      <c r="J53" s="323"/>
      <c r="K53" s="2768"/>
      <c r="L53" s="2769">
        <v>2</v>
      </c>
      <c r="M53" s="2748"/>
      <c r="N53" s="323"/>
      <c r="O53" s="2768"/>
      <c r="P53" s="2769">
        <v>2</v>
      </c>
      <c r="Q53" s="2748"/>
      <c r="R53" s="323"/>
      <c r="S53" s="2768"/>
      <c r="T53" s="2769">
        <v>2</v>
      </c>
      <c r="U53" s="2748"/>
      <c r="V53" s="323"/>
      <c r="W53" s="2768"/>
      <c r="X53" s="2769">
        <v>5</v>
      </c>
      <c r="Y53" s="2748"/>
      <c r="Z53" s="323"/>
      <c r="AA53" s="2768">
        <v>6</v>
      </c>
      <c r="AB53" s="2769">
        <v>5</v>
      </c>
      <c r="AC53" s="2748"/>
      <c r="AD53" s="323"/>
      <c r="AE53" s="2768"/>
      <c r="AF53" s="2769">
        <v>6</v>
      </c>
      <c r="AG53" s="2748"/>
      <c r="AH53" s="323"/>
      <c r="AI53" s="2768">
        <v>0</v>
      </c>
      <c r="AJ53" s="2769">
        <v>6</v>
      </c>
      <c r="AK53" s="2748"/>
      <c r="AL53" s="323"/>
      <c r="AM53" s="2768">
        <v>10</v>
      </c>
      <c r="AN53" s="2769">
        <v>6</v>
      </c>
      <c r="AO53" s="2748"/>
      <c r="AQ53" s="2768"/>
      <c r="AR53" s="2769">
        <v>6</v>
      </c>
      <c r="AS53" s="2748"/>
    </row>
    <row r="54" spans="1:45" s="1" customFormat="1">
      <c r="A54" s="167"/>
      <c r="B54" s="1133" t="s">
        <v>1134</v>
      </c>
      <c r="C54" s="2768"/>
      <c r="D54" s="2769">
        <v>1</v>
      </c>
      <c r="E54" s="2748">
        <f t="shared" si="0"/>
        <v>0</v>
      </c>
      <c r="F54" s="323"/>
      <c r="G54" s="2768"/>
      <c r="H54" s="2769">
        <v>2</v>
      </c>
      <c r="I54" s="2748"/>
      <c r="J54" s="323"/>
      <c r="K54" s="2768"/>
      <c r="L54" s="2769">
        <v>3</v>
      </c>
      <c r="M54" s="2748"/>
      <c r="N54" s="323"/>
      <c r="O54" s="2768">
        <v>18</v>
      </c>
      <c r="P54" s="2769">
        <v>4</v>
      </c>
      <c r="Q54" s="2748"/>
      <c r="R54" s="323"/>
      <c r="S54" s="2768">
        <v>2</v>
      </c>
      <c r="T54" s="2769">
        <v>6</v>
      </c>
      <c r="U54" s="2748">
        <f t="shared" si="4"/>
        <v>0.33333333333333331</v>
      </c>
      <c r="V54" s="323"/>
      <c r="W54" s="2768">
        <v>6</v>
      </c>
      <c r="X54" s="2769">
        <v>8</v>
      </c>
      <c r="Y54" s="2748">
        <f>W54/X54</f>
        <v>0.75</v>
      </c>
      <c r="Z54" s="323"/>
      <c r="AA54" s="2768">
        <v>8</v>
      </c>
      <c r="AB54" s="2769">
        <v>8</v>
      </c>
      <c r="AC54" s="2748">
        <f>AA54/AB54</f>
        <v>1</v>
      </c>
      <c r="AD54" s="323"/>
      <c r="AE54" s="2768">
        <v>6</v>
      </c>
      <c r="AF54" s="2769">
        <v>9</v>
      </c>
      <c r="AG54" s="2748">
        <f>AE54/AF54</f>
        <v>0.66666666666666663</v>
      </c>
      <c r="AH54" s="323"/>
      <c r="AI54" s="2768">
        <v>10</v>
      </c>
      <c r="AJ54" s="2769">
        <v>11</v>
      </c>
      <c r="AK54" s="2748">
        <f>AI54/AJ54</f>
        <v>0.90909090909090906</v>
      </c>
      <c r="AL54" s="323"/>
      <c r="AM54" s="2768">
        <v>6</v>
      </c>
      <c r="AN54" s="2769">
        <v>12</v>
      </c>
      <c r="AO54" s="2748">
        <f>AM54/AN54</f>
        <v>0.5</v>
      </c>
      <c r="AQ54" s="2768">
        <v>4</v>
      </c>
      <c r="AR54" s="2769">
        <v>12</v>
      </c>
      <c r="AS54" s="2748">
        <f>AQ54/AR54</f>
        <v>0.33333333333333331</v>
      </c>
    </row>
    <row r="55" spans="1:45" s="1" customFormat="1">
      <c r="A55" s="167"/>
      <c r="B55" s="1133" t="s">
        <v>1135</v>
      </c>
      <c r="C55" s="2768"/>
      <c r="D55" s="2769">
        <v>1</v>
      </c>
      <c r="E55" s="2748">
        <f t="shared" si="0"/>
        <v>0</v>
      </c>
      <c r="F55" s="323"/>
      <c r="G55" s="2768"/>
      <c r="H55" s="2769">
        <v>1</v>
      </c>
      <c r="I55" s="2748"/>
      <c r="J55" s="323"/>
      <c r="K55" s="2768"/>
      <c r="L55" s="2769">
        <v>2</v>
      </c>
      <c r="M55" s="2748"/>
      <c r="N55" s="323"/>
      <c r="O55" s="2768"/>
      <c r="P55" s="2769">
        <v>2</v>
      </c>
      <c r="Q55" s="2748"/>
      <c r="R55" s="323"/>
      <c r="S55" s="2768">
        <v>3</v>
      </c>
      <c r="T55" s="2769">
        <v>2</v>
      </c>
      <c r="U55" s="2748">
        <f t="shared" si="4"/>
        <v>1.5</v>
      </c>
      <c r="V55" s="323"/>
      <c r="W55" s="2768">
        <v>3</v>
      </c>
      <c r="X55" s="2769">
        <v>2</v>
      </c>
      <c r="Y55" s="2748">
        <f>W55/X55</f>
        <v>1.5</v>
      </c>
      <c r="Z55" s="323"/>
      <c r="AA55" s="2768">
        <v>2</v>
      </c>
      <c r="AB55" s="2769">
        <v>3</v>
      </c>
      <c r="AC55" s="2748">
        <f>AA55/AB55</f>
        <v>0.66666666666666663</v>
      </c>
      <c r="AD55" s="323"/>
      <c r="AE55" s="2768">
        <v>6</v>
      </c>
      <c r="AF55" s="2769">
        <v>4</v>
      </c>
      <c r="AG55" s="2748">
        <f>AE55/AF55</f>
        <v>1.5</v>
      </c>
      <c r="AH55" s="323"/>
      <c r="AI55" s="2768">
        <v>26</v>
      </c>
      <c r="AJ55" s="2769">
        <v>4</v>
      </c>
      <c r="AK55" s="2748">
        <f>AI55/AJ55</f>
        <v>6.5</v>
      </c>
      <c r="AL55" s="323"/>
      <c r="AM55" s="2768">
        <v>4</v>
      </c>
      <c r="AN55" s="2769">
        <v>5</v>
      </c>
      <c r="AO55" s="2748">
        <f>AM55/AN55</f>
        <v>0.8</v>
      </c>
      <c r="AQ55" s="2768">
        <v>10</v>
      </c>
      <c r="AR55" s="2769">
        <v>4</v>
      </c>
      <c r="AS55" s="2748">
        <f>AQ55/AR55</f>
        <v>2.5</v>
      </c>
    </row>
    <row r="56" spans="1:45" s="1" customFormat="1" ht="15" customHeight="1">
      <c r="A56" s="167"/>
      <c r="B56" s="2316" t="s">
        <v>4</v>
      </c>
      <c r="C56" s="2756"/>
      <c r="D56" s="1612">
        <f>SUM(D53:D55)</f>
        <v>3</v>
      </c>
      <c r="E56" s="2741">
        <f t="shared" si="0"/>
        <v>0</v>
      </c>
      <c r="F56" s="323"/>
      <c r="G56" s="2756"/>
      <c r="H56" s="1612">
        <f>SUM(H53:H55)</f>
        <v>4</v>
      </c>
      <c r="I56" s="2741"/>
      <c r="J56" s="323"/>
      <c r="K56" s="2756"/>
      <c r="L56" s="1612">
        <f>SUM(L53:L55)</f>
        <v>7</v>
      </c>
      <c r="M56" s="2741"/>
      <c r="N56" s="323"/>
      <c r="O56" s="2756">
        <f>SUM(O53:O55)</f>
        <v>18</v>
      </c>
      <c r="P56" s="1612">
        <f>SUM(P53:P55)</f>
        <v>8</v>
      </c>
      <c r="Q56" s="2741"/>
      <c r="R56" s="323"/>
      <c r="S56" s="2756">
        <f>SUM(S54:S55)</f>
        <v>5</v>
      </c>
      <c r="T56" s="1612">
        <f>SUM(T53:T55)</f>
        <v>10</v>
      </c>
      <c r="U56" s="2741">
        <f t="shared" si="4"/>
        <v>0.5</v>
      </c>
      <c r="V56" s="323"/>
      <c r="W56" s="2756">
        <f>SUM(W53:W55)</f>
        <v>9</v>
      </c>
      <c r="X56" s="1612">
        <v>15</v>
      </c>
      <c r="Y56" s="2741">
        <f>W56/X56</f>
        <v>0.6</v>
      </c>
      <c r="Z56" s="323"/>
      <c r="AA56" s="2756">
        <v>16</v>
      </c>
      <c r="AB56" s="1612">
        <f>SUM(AB53:AB55)</f>
        <v>16</v>
      </c>
      <c r="AC56" s="2741">
        <f>AA56/AB56</f>
        <v>1</v>
      </c>
      <c r="AD56" s="323"/>
      <c r="AE56" s="2756">
        <v>12</v>
      </c>
      <c r="AF56" s="1612">
        <f>SUM(AF53:AF55)</f>
        <v>19</v>
      </c>
      <c r="AG56" s="2741">
        <f>AE56/AF56</f>
        <v>0.63157894736842102</v>
      </c>
      <c r="AH56" s="323"/>
      <c r="AI56" s="2756">
        <v>36</v>
      </c>
      <c r="AJ56" s="1612">
        <v>21</v>
      </c>
      <c r="AK56" s="2741">
        <f>AI56/AJ56</f>
        <v>1.7142857142857142</v>
      </c>
      <c r="AL56" s="323"/>
      <c r="AM56" s="2756">
        <v>20</v>
      </c>
      <c r="AN56" s="1612">
        <v>23</v>
      </c>
      <c r="AO56" s="2741">
        <f>AM56/AN56</f>
        <v>0.86956521739130432</v>
      </c>
      <c r="AQ56" s="2756">
        <v>14</v>
      </c>
      <c r="AR56" s="1612">
        <v>22</v>
      </c>
      <c r="AS56" s="2741">
        <f>AQ56/AR56</f>
        <v>0.63636363636363635</v>
      </c>
    </row>
    <row r="57" spans="1:45" s="1" customFormat="1">
      <c r="A57" s="167"/>
      <c r="B57" s="1133" t="s">
        <v>1136</v>
      </c>
      <c r="C57" s="2768"/>
      <c r="D57" s="2769">
        <v>1</v>
      </c>
      <c r="E57" s="2748">
        <f t="shared" si="0"/>
        <v>0</v>
      </c>
      <c r="F57" s="323"/>
      <c r="G57" s="2768"/>
      <c r="H57" s="2769">
        <v>2</v>
      </c>
      <c r="I57" s="2748"/>
      <c r="J57" s="323"/>
      <c r="K57" s="2768"/>
      <c r="L57" s="2769">
        <v>2</v>
      </c>
      <c r="M57" s="2748"/>
      <c r="N57" s="323"/>
      <c r="O57" s="2768"/>
      <c r="P57" s="2769">
        <v>6</v>
      </c>
      <c r="Q57" s="2748"/>
      <c r="R57" s="323"/>
      <c r="S57" s="2768">
        <v>13</v>
      </c>
      <c r="T57" s="2769">
        <v>8</v>
      </c>
      <c r="U57" s="2748">
        <f t="shared" si="4"/>
        <v>1.625</v>
      </c>
      <c r="V57" s="323"/>
      <c r="W57" s="2768">
        <v>23</v>
      </c>
      <c r="X57" s="2769">
        <v>7</v>
      </c>
      <c r="Y57" s="2748">
        <f>W57/X57</f>
        <v>3.2857142857142856</v>
      </c>
      <c r="Z57" s="323"/>
      <c r="AA57" s="2768">
        <v>4</v>
      </c>
      <c r="AB57" s="2769">
        <v>8</v>
      </c>
      <c r="AC57" s="2748">
        <f>AA57/AB57</f>
        <v>0.5</v>
      </c>
      <c r="AD57" s="323"/>
      <c r="AE57" s="2768">
        <v>23</v>
      </c>
      <c r="AF57" s="2769">
        <v>9</v>
      </c>
      <c r="AG57" s="2748">
        <f>AE57/AF57</f>
        <v>2.5555555555555554</v>
      </c>
      <c r="AH57" s="323"/>
      <c r="AI57" s="2768">
        <v>15</v>
      </c>
      <c r="AJ57" s="2769">
        <v>9</v>
      </c>
      <c r="AK57" s="2748">
        <f>AI57/AJ57</f>
        <v>1.6666666666666667</v>
      </c>
      <c r="AL57" s="323"/>
      <c r="AM57" s="2768">
        <v>23</v>
      </c>
      <c r="AN57" s="2769">
        <v>11</v>
      </c>
      <c r="AO57" s="2748">
        <f>AM57/AN57</f>
        <v>2.0909090909090908</v>
      </c>
      <c r="AQ57" s="2768">
        <v>7</v>
      </c>
      <c r="AR57" s="2769">
        <v>11</v>
      </c>
      <c r="AS57" s="2748">
        <f>AQ57/AR57</f>
        <v>0.63636363636363635</v>
      </c>
    </row>
    <row r="58" spans="1:45" s="1" customFormat="1">
      <c r="A58" s="167"/>
      <c r="B58" s="1133" t="s">
        <v>1137</v>
      </c>
      <c r="C58" s="2768"/>
      <c r="D58" s="2769">
        <v>2</v>
      </c>
      <c r="E58" s="2748">
        <f t="shared" si="0"/>
        <v>0</v>
      </c>
      <c r="F58" s="323"/>
      <c r="G58" s="2768"/>
      <c r="H58" s="2769">
        <v>2</v>
      </c>
      <c r="I58" s="2748"/>
      <c r="J58" s="323"/>
      <c r="K58" s="2768"/>
      <c r="L58" s="2769">
        <v>4</v>
      </c>
      <c r="M58" s="2748"/>
      <c r="N58" s="323"/>
      <c r="O58" s="2768"/>
      <c r="P58" s="2769">
        <v>4</v>
      </c>
      <c r="Q58" s="2748"/>
      <c r="R58" s="323"/>
      <c r="S58" s="2768">
        <v>5</v>
      </c>
      <c r="T58" s="2769">
        <v>2</v>
      </c>
      <c r="U58" s="2748">
        <f t="shared" si="4"/>
        <v>2.5</v>
      </c>
      <c r="V58" s="323"/>
      <c r="W58" s="2768"/>
      <c r="X58" s="2769">
        <v>4</v>
      </c>
      <c r="Y58" s="2748">
        <f>W58/X58</f>
        <v>0</v>
      </c>
      <c r="Z58" s="323"/>
      <c r="AA58" s="2768">
        <v>1</v>
      </c>
      <c r="AB58" s="2769">
        <v>6</v>
      </c>
      <c r="AC58" s="2748">
        <f>AA58/AB58</f>
        <v>0.16666666666666666</v>
      </c>
      <c r="AD58" s="323"/>
      <c r="AE58" s="2768">
        <v>23</v>
      </c>
      <c r="AF58" s="2769">
        <v>7</v>
      </c>
      <c r="AG58" s="2748">
        <f>AE58/AF58</f>
        <v>3.2857142857142856</v>
      </c>
      <c r="AH58" s="323"/>
      <c r="AI58" s="2768">
        <v>46</v>
      </c>
      <c r="AJ58" s="2769">
        <v>8</v>
      </c>
      <c r="AK58" s="2748">
        <f>AI58/AJ58</f>
        <v>5.75</v>
      </c>
      <c r="AL58" s="323"/>
      <c r="AM58" s="2768">
        <v>48</v>
      </c>
      <c r="AN58" s="2769">
        <v>6</v>
      </c>
      <c r="AO58" s="2748">
        <f>AM58/AN58</f>
        <v>8</v>
      </c>
      <c r="AQ58" s="2768">
        <v>41</v>
      </c>
      <c r="AR58" s="2769">
        <v>6</v>
      </c>
      <c r="AS58" s="2748">
        <f>AQ58/AR58</f>
        <v>6.833333333333333</v>
      </c>
    </row>
    <row r="59" spans="1:45" s="1" customFormat="1">
      <c r="A59" s="167"/>
      <c r="B59" s="1133" t="s">
        <v>1128</v>
      </c>
      <c r="C59" s="2768"/>
      <c r="D59" s="2769">
        <v>2</v>
      </c>
      <c r="E59" s="2748">
        <f t="shared" si="0"/>
        <v>0</v>
      </c>
      <c r="F59" s="323"/>
      <c r="G59" s="2768"/>
      <c r="H59" s="2769">
        <v>2</v>
      </c>
      <c r="I59" s="2748"/>
      <c r="J59" s="323"/>
      <c r="K59" s="2768"/>
      <c r="L59" s="2769">
        <v>3</v>
      </c>
      <c r="M59" s="2748"/>
      <c r="N59" s="323"/>
      <c r="O59" s="2768"/>
      <c r="P59" s="2769">
        <v>3</v>
      </c>
      <c r="Q59" s="2748"/>
      <c r="R59" s="323"/>
      <c r="S59" s="2768">
        <v>0</v>
      </c>
      <c r="T59" s="2769">
        <v>3</v>
      </c>
      <c r="U59" s="2748"/>
      <c r="V59" s="323"/>
      <c r="W59" s="2768"/>
      <c r="X59" s="2769">
        <v>3</v>
      </c>
      <c r="Y59" s="2748"/>
      <c r="Z59" s="323"/>
      <c r="AA59" s="2768">
        <v>0</v>
      </c>
      <c r="AB59" s="2769">
        <v>4</v>
      </c>
      <c r="AC59" s="2748"/>
      <c r="AD59" s="323"/>
      <c r="AE59" s="2768">
        <v>36</v>
      </c>
      <c r="AF59" s="2769">
        <v>4</v>
      </c>
      <c r="AG59" s="2748"/>
      <c r="AH59" s="323"/>
      <c r="AI59" s="2768">
        <v>8</v>
      </c>
      <c r="AJ59" s="2769">
        <v>3</v>
      </c>
      <c r="AK59" s="2748"/>
      <c r="AL59" s="323"/>
      <c r="AM59" s="2768">
        <v>1</v>
      </c>
      <c r="AN59" s="2769">
        <v>4</v>
      </c>
      <c r="AO59" s="2748"/>
      <c r="AQ59" s="2768">
        <v>13</v>
      </c>
      <c r="AR59" s="2769">
        <v>5</v>
      </c>
      <c r="AS59" s="2748"/>
    </row>
    <row r="60" spans="1:45" s="1" customFormat="1" ht="15" customHeight="1">
      <c r="A60" s="167"/>
      <c r="B60" s="2316" t="s">
        <v>41</v>
      </c>
      <c r="C60" s="2756"/>
      <c r="D60" s="1612">
        <f>SUM(D57:D59)</f>
        <v>5</v>
      </c>
      <c r="E60" s="2741">
        <f t="shared" si="0"/>
        <v>0</v>
      </c>
      <c r="F60" s="323"/>
      <c r="G60" s="2756"/>
      <c r="H60" s="1612">
        <f>SUM(H57:H59)</f>
        <v>6</v>
      </c>
      <c r="I60" s="2741"/>
      <c r="J60" s="323"/>
      <c r="K60" s="2756"/>
      <c r="L60" s="1612">
        <f>SUM(L57:L59)</f>
        <v>9</v>
      </c>
      <c r="M60" s="2741"/>
      <c r="N60" s="323"/>
      <c r="O60" s="2756"/>
      <c r="P60" s="1612">
        <f>SUM(P57:P59)</f>
        <v>13</v>
      </c>
      <c r="Q60" s="2741"/>
      <c r="R60" s="323"/>
      <c r="S60" s="2756">
        <f>SUM(S57:S59)</f>
        <v>18</v>
      </c>
      <c r="T60" s="1612">
        <f>SUM(T57:T59)</f>
        <v>13</v>
      </c>
      <c r="U60" s="2741">
        <f t="shared" si="4"/>
        <v>1.3846153846153846</v>
      </c>
      <c r="V60" s="323"/>
      <c r="W60" s="2756">
        <f>SUM(W57:W59)</f>
        <v>23</v>
      </c>
      <c r="X60" s="1612">
        <v>14</v>
      </c>
      <c r="Y60" s="2741">
        <f>W60/X60</f>
        <v>1.6428571428571428</v>
      </c>
      <c r="Z60" s="323"/>
      <c r="AA60" s="2756">
        <v>5</v>
      </c>
      <c r="AB60" s="1612">
        <f>SUM(AB57:AB59)</f>
        <v>18</v>
      </c>
      <c r="AC60" s="2741">
        <f>AA60/AB60</f>
        <v>0.27777777777777779</v>
      </c>
      <c r="AD60" s="323"/>
      <c r="AE60" s="2756">
        <v>82</v>
      </c>
      <c r="AF60" s="1612">
        <f>SUM(AF57:AF59)</f>
        <v>20</v>
      </c>
      <c r="AG60" s="2741">
        <f>AE60/AF60</f>
        <v>4.0999999999999996</v>
      </c>
      <c r="AH60" s="323"/>
      <c r="AI60" s="2756">
        <v>69</v>
      </c>
      <c r="AJ60" s="1612">
        <v>20</v>
      </c>
      <c r="AK60" s="2741">
        <f>AI60/AJ60</f>
        <v>3.45</v>
      </c>
      <c r="AL60" s="323"/>
      <c r="AM60" s="2756">
        <v>72</v>
      </c>
      <c r="AN60" s="1612">
        <v>21</v>
      </c>
      <c r="AO60" s="2741">
        <f>AM60/AN60</f>
        <v>3.4285714285714284</v>
      </c>
      <c r="AQ60" s="2756">
        <v>61</v>
      </c>
      <c r="AR60" s="1612">
        <v>22</v>
      </c>
      <c r="AS60" s="2741">
        <f>AQ60/AR60</f>
        <v>2.7727272727272729</v>
      </c>
    </row>
    <row r="61" spans="1:45" s="1" customFormat="1">
      <c r="A61" s="167"/>
      <c r="B61" s="1133" t="s">
        <v>1138</v>
      </c>
      <c r="C61" s="2768"/>
      <c r="D61" s="2769"/>
      <c r="E61" s="2748"/>
      <c r="F61" s="323"/>
      <c r="G61" s="2768"/>
      <c r="H61" s="2769"/>
      <c r="I61" s="2748"/>
      <c r="J61" s="323"/>
      <c r="K61" s="2768"/>
      <c r="L61" s="2769">
        <v>1</v>
      </c>
      <c r="M61" s="2748"/>
      <c r="N61" s="323"/>
      <c r="O61" s="2768"/>
      <c r="P61" s="2769">
        <v>1</v>
      </c>
      <c r="Q61" s="2748"/>
      <c r="R61" s="323"/>
      <c r="S61" s="2768"/>
      <c r="T61" s="2769">
        <v>2</v>
      </c>
      <c r="U61" s="2748"/>
      <c r="V61" s="323"/>
      <c r="W61" s="2768"/>
      <c r="X61" s="2769">
        <v>1</v>
      </c>
      <c r="Y61" s="2748"/>
      <c r="Z61" s="323"/>
      <c r="AA61" s="2768">
        <v>10</v>
      </c>
      <c r="AB61" s="2769">
        <v>6</v>
      </c>
      <c r="AC61" s="2748"/>
      <c r="AD61" s="323"/>
      <c r="AE61" s="2768">
        <v>8</v>
      </c>
      <c r="AF61" s="2769">
        <v>9</v>
      </c>
      <c r="AG61" s="2748"/>
      <c r="AH61" s="323"/>
      <c r="AI61" s="2768">
        <v>6</v>
      </c>
      <c r="AJ61" s="2769">
        <v>9</v>
      </c>
      <c r="AK61" s="2748"/>
      <c r="AL61" s="323"/>
      <c r="AM61" s="2768">
        <v>11</v>
      </c>
      <c r="AN61" s="2769">
        <v>9</v>
      </c>
      <c r="AO61" s="2748"/>
      <c r="AQ61" s="2768">
        <v>19</v>
      </c>
      <c r="AR61" s="2769">
        <v>10</v>
      </c>
      <c r="AS61" s="2748"/>
    </row>
    <row r="62" spans="1:45" s="1" customFormat="1">
      <c r="A62" s="167"/>
      <c r="B62" s="1133" t="s">
        <v>1139</v>
      </c>
      <c r="C62" s="2768"/>
      <c r="D62" s="2769"/>
      <c r="E62" s="2748"/>
      <c r="F62" s="323"/>
      <c r="G62" s="2768"/>
      <c r="H62" s="2769"/>
      <c r="I62" s="2748"/>
      <c r="J62" s="323"/>
      <c r="K62" s="2768"/>
      <c r="L62" s="2769">
        <v>1</v>
      </c>
      <c r="M62" s="2748"/>
      <c r="N62" s="323"/>
      <c r="O62" s="2768"/>
      <c r="P62" s="2769">
        <v>1</v>
      </c>
      <c r="Q62" s="2748"/>
      <c r="R62" s="323"/>
      <c r="S62" s="2768"/>
      <c r="T62" s="2769">
        <v>3</v>
      </c>
      <c r="U62" s="2748"/>
      <c r="V62" s="323"/>
      <c r="W62" s="2768"/>
      <c r="X62" s="2769">
        <v>2</v>
      </c>
      <c r="Y62" s="2748"/>
      <c r="Z62" s="323"/>
      <c r="AA62" s="2768">
        <v>3</v>
      </c>
      <c r="AB62" s="2769">
        <v>3</v>
      </c>
      <c r="AC62" s="2748"/>
      <c r="AD62" s="323"/>
      <c r="AE62" s="2768"/>
      <c r="AF62" s="2769">
        <v>4</v>
      </c>
      <c r="AG62" s="2748"/>
      <c r="AH62" s="323"/>
      <c r="AI62" s="2768">
        <v>21</v>
      </c>
      <c r="AJ62" s="2769">
        <v>7</v>
      </c>
      <c r="AK62" s="2748"/>
      <c r="AL62" s="323"/>
      <c r="AM62" s="2768">
        <v>12</v>
      </c>
      <c r="AN62" s="2769">
        <v>5</v>
      </c>
      <c r="AO62" s="2748"/>
      <c r="AQ62" s="2768">
        <v>3</v>
      </c>
      <c r="AR62" s="2769">
        <v>5</v>
      </c>
      <c r="AS62" s="2748"/>
    </row>
    <row r="63" spans="1:45" s="1" customFormat="1">
      <c r="A63" s="167"/>
      <c r="B63" s="1133" t="s">
        <v>1140</v>
      </c>
      <c r="C63" s="2768"/>
      <c r="D63" s="2769">
        <v>2</v>
      </c>
      <c r="E63" s="2748">
        <f t="shared" si="0"/>
        <v>0</v>
      </c>
      <c r="F63" s="323"/>
      <c r="G63" s="2768"/>
      <c r="H63" s="2769">
        <v>3</v>
      </c>
      <c r="I63" s="2748"/>
      <c r="J63" s="323"/>
      <c r="K63" s="2768"/>
      <c r="L63" s="2769">
        <v>4</v>
      </c>
      <c r="M63" s="2748"/>
      <c r="N63" s="323"/>
      <c r="O63" s="2768"/>
      <c r="P63" s="2769">
        <v>5</v>
      </c>
      <c r="Q63" s="2748"/>
      <c r="R63" s="323"/>
      <c r="S63" s="2768">
        <v>1</v>
      </c>
      <c r="T63" s="2769">
        <v>8</v>
      </c>
      <c r="U63" s="2748">
        <f t="shared" si="4"/>
        <v>0.125</v>
      </c>
      <c r="V63" s="323"/>
      <c r="W63" s="2768">
        <v>25</v>
      </c>
      <c r="X63" s="2769">
        <v>10</v>
      </c>
      <c r="Y63" s="2748">
        <f t="shared" ref="Y63:Y83" si="12">W63/X63</f>
        <v>2.5</v>
      </c>
      <c r="Z63" s="323"/>
      <c r="AA63" s="2768">
        <v>26</v>
      </c>
      <c r="AB63" s="2769">
        <v>12</v>
      </c>
      <c r="AC63" s="2748">
        <f t="shared" ref="AC63:AC83" si="13">AA63/AB63</f>
        <v>2.1666666666666665</v>
      </c>
      <c r="AD63" s="323"/>
      <c r="AE63" s="2768">
        <v>35</v>
      </c>
      <c r="AF63" s="2769">
        <v>14</v>
      </c>
      <c r="AG63" s="2748">
        <f t="shared" ref="AG63:AG83" si="14">AE63/AF63</f>
        <v>2.5</v>
      </c>
      <c r="AH63" s="323"/>
      <c r="AI63" s="2768">
        <v>27</v>
      </c>
      <c r="AJ63" s="2769">
        <v>14</v>
      </c>
      <c r="AK63" s="2748">
        <f t="shared" ref="AK63:AK83" si="15">AI63/AJ63</f>
        <v>1.9285714285714286</v>
      </c>
      <c r="AL63" s="323"/>
      <c r="AM63" s="2768">
        <v>23</v>
      </c>
      <c r="AN63" s="2769">
        <v>16</v>
      </c>
      <c r="AO63" s="2748">
        <f t="shared" ref="AO63:AO81" si="16">AM63/AN63</f>
        <v>1.4375</v>
      </c>
      <c r="AQ63" s="2768">
        <v>7</v>
      </c>
      <c r="AR63" s="2769">
        <v>16</v>
      </c>
      <c r="AS63" s="2748">
        <f t="shared" ref="AS63:AS81" si="17">AQ63/AR63</f>
        <v>0.4375</v>
      </c>
    </row>
    <row r="64" spans="1:45" s="1" customFormat="1" ht="15" customHeight="1">
      <c r="A64" s="167"/>
      <c r="B64" s="2348" t="s">
        <v>16</v>
      </c>
      <c r="C64" s="2760"/>
      <c r="D64" s="2363">
        <f>SUM(D61:D63)</f>
        <v>2</v>
      </c>
      <c r="E64" s="2744">
        <f t="shared" si="0"/>
        <v>0</v>
      </c>
      <c r="F64" s="323"/>
      <c r="G64" s="2760"/>
      <c r="H64" s="2363">
        <f>SUM(H61:H63)</f>
        <v>3</v>
      </c>
      <c r="I64" s="2744"/>
      <c r="J64" s="323"/>
      <c r="K64" s="2760"/>
      <c r="L64" s="2363">
        <f>SUM(L61:L63)</f>
        <v>6</v>
      </c>
      <c r="M64" s="2744"/>
      <c r="N64" s="323"/>
      <c r="O64" s="2760"/>
      <c r="P64" s="2363">
        <f>SUM(P61:P63)</f>
        <v>7</v>
      </c>
      <c r="Q64" s="2744"/>
      <c r="R64" s="323"/>
      <c r="S64" s="2760">
        <f>SUM(S61:S63)</f>
        <v>1</v>
      </c>
      <c r="T64" s="2363">
        <f>SUM(T61:T63)</f>
        <v>13</v>
      </c>
      <c r="U64" s="2744">
        <f t="shared" si="4"/>
        <v>7.6923076923076927E-2</v>
      </c>
      <c r="V64" s="323"/>
      <c r="W64" s="2760">
        <f>SUM(W61:W63)</f>
        <v>25</v>
      </c>
      <c r="X64" s="2363">
        <v>13</v>
      </c>
      <c r="Y64" s="2744">
        <f t="shared" si="12"/>
        <v>1.9230769230769231</v>
      </c>
      <c r="Z64" s="323"/>
      <c r="AA64" s="2760">
        <v>39</v>
      </c>
      <c r="AB64" s="2363">
        <f>SUM(AB61:AB63)</f>
        <v>21</v>
      </c>
      <c r="AC64" s="2744">
        <f t="shared" si="13"/>
        <v>1.8571428571428572</v>
      </c>
      <c r="AD64" s="323"/>
      <c r="AE64" s="2760">
        <v>43</v>
      </c>
      <c r="AF64" s="2363">
        <f>SUM(AF61:AF63)</f>
        <v>27</v>
      </c>
      <c r="AG64" s="2744">
        <f t="shared" si="14"/>
        <v>1.5925925925925926</v>
      </c>
      <c r="AH64" s="323"/>
      <c r="AI64" s="2760">
        <v>54</v>
      </c>
      <c r="AJ64" s="2363">
        <v>30</v>
      </c>
      <c r="AK64" s="2744">
        <f t="shared" si="15"/>
        <v>1.8</v>
      </c>
      <c r="AL64" s="323"/>
      <c r="AM64" s="2760">
        <v>46</v>
      </c>
      <c r="AN64" s="2363">
        <v>30</v>
      </c>
      <c r="AO64" s="2744">
        <f t="shared" si="16"/>
        <v>1.5333333333333334</v>
      </c>
      <c r="AQ64" s="2760">
        <v>29</v>
      </c>
      <c r="AR64" s="2363">
        <v>31</v>
      </c>
      <c r="AS64" s="2744">
        <f t="shared" si="17"/>
        <v>0.93548387096774188</v>
      </c>
    </row>
    <row r="65" spans="1:45" s="1" customFormat="1" ht="15" customHeight="1">
      <c r="A65" s="167"/>
      <c r="B65" s="2369" t="s">
        <v>358</v>
      </c>
      <c r="C65" s="2770"/>
      <c r="D65" s="2771">
        <f>SUM(D56,D60,D64)</f>
        <v>10</v>
      </c>
      <c r="E65" s="2749">
        <f t="shared" si="0"/>
        <v>0</v>
      </c>
      <c r="F65" s="323"/>
      <c r="G65" s="2770"/>
      <c r="H65" s="2771">
        <f>SUM(H56,H60,H64)</f>
        <v>13</v>
      </c>
      <c r="I65" s="2749"/>
      <c r="J65" s="323"/>
      <c r="K65" s="2770"/>
      <c r="L65" s="2771">
        <f>SUM(L56,L60,L64)</f>
        <v>22</v>
      </c>
      <c r="M65" s="2749"/>
      <c r="N65" s="323"/>
      <c r="O65" s="2770">
        <f>SUM(O56,O60,O64)</f>
        <v>18</v>
      </c>
      <c r="P65" s="2771">
        <f>SUM(P56,P60,P64)</f>
        <v>28</v>
      </c>
      <c r="Q65" s="2749"/>
      <c r="R65" s="323"/>
      <c r="S65" s="2770">
        <f>SUM(S56,S60,S64)</f>
        <v>24</v>
      </c>
      <c r="T65" s="2771">
        <f>SUM(T56,T60,T64)</f>
        <v>36</v>
      </c>
      <c r="U65" s="2749">
        <f t="shared" si="4"/>
        <v>0.66666666666666663</v>
      </c>
      <c r="V65" s="323"/>
      <c r="W65" s="2770">
        <f>SUM(W56,W60,W64)</f>
        <v>57</v>
      </c>
      <c r="X65" s="2771">
        <v>42</v>
      </c>
      <c r="Y65" s="2749">
        <f t="shared" si="12"/>
        <v>1.3571428571428572</v>
      </c>
      <c r="Z65" s="323"/>
      <c r="AA65" s="2770">
        <v>60</v>
      </c>
      <c r="AB65" s="2771">
        <f>SUM(AB56,AB60,AB64)</f>
        <v>55</v>
      </c>
      <c r="AC65" s="2749">
        <f t="shared" si="13"/>
        <v>1.0909090909090908</v>
      </c>
      <c r="AD65" s="323"/>
      <c r="AE65" s="2770">
        <v>137</v>
      </c>
      <c r="AF65" s="2771">
        <f>SUM(AF56,AF60,AF64)</f>
        <v>66</v>
      </c>
      <c r="AG65" s="2749">
        <f t="shared" si="14"/>
        <v>2.0757575757575757</v>
      </c>
      <c r="AH65" s="323"/>
      <c r="AI65" s="2770">
        <v>159</v>
      </c>
      <c r="AJ65" s="2771">
        <v>71</v>
      </c>
      <c r="AK65" s="2749">
        <f t="shared" si="15"/>
        <v>2.23943661971831</v>
      </c>
      <c r="AL65" s="323"/>
      <c r="AM65" s="2770">
        <v>138</v>
      </c>
      <c r="AN65" s="2771">
        <v>74</v>
      </c>
      <c r="AO65" s="2749">
        <f t="shared" si="16"/>
        <v>1.8648648648648649</v>
      </c>
      <c r="AQ65" s="2770">
        <v>104</v>
      </c>
      <c r="AR65" s="2771">
        <v>75</v>
      </c>
      <c r="AS65" s="2749">
        <f t="shared" si="17"/>
        <v>1.3866666666666667</v>
      </c>
    </row>
    <row r="66" spans="1:45" s="1" customFormat="1">
      <c r="A66" s="167"/>
      <c r="B66" s="1133" t="s">
        <v>1141</v>
      </c>
      <c r="C66" s="2763">
        <v>221</v>
      </c>
      <c r="D66" s="2764">
        <v>129</v>
      </c>
      <c r="E66" s="2765">
        <f t="shared" si="0"/>
        <v>1.7131782945736433</v>
      </c>
      <c r="F66" s="323"/>
      <c r="G66" s="2763">
        <v>216</v>
      </c>
      <c r="H66" s="2764">
        <v>129</v>
      </c>
      <c r="I66" s="2765">
        <f t="shared" si="1"/>
        <v>1.6744186046511629</v>
      </c>
      <c r="J66" s="323"/>
      <c r="K66" s="2763">
        <v>224</v>
      </c>
      <c r="L66" s="2764">
        <v>135</v>
      </c>
      <c r="M66" s="2765">
        <f t="shared" si="2"/>
        <v>1.6592592592592592</v>
      </c>
      <c r="N66" s="323"/>
      <c r="O66" s="2763">
        <v>151</v>
      </c>
      <c r="P66" s="2764">
        <v>137</v>
      </c>
      <c r="Q66" s="2765">
        <f t="shared" si="3"/>
        <v>1.1021897810218979</v>
      </c>
      <c r="R66" s="323"/>
      <c r="S66" s="2763">
        <v>252</v>
      </c>
      <c r="T66" s="2764">
        <v>138</v>
      </c>
      <c r="U66" s="2765">
        <f t="shared" si="4"/>
        <v>1.826086956521739</v>
      </c>
      <c r="V66" s="323"/>
      <c r="W66" s="2763">
        <v>217</v>
      </c>
      <c r="X66" s="2764">
        <v>140</v>
      </c>
      <c r="Y66" s="2765">
        <f t="shared" si="12"/>
        <v>1.55</v>
      </c>
      <c r="Z66" s="323"/>
      <c r="AA66" s="2763">
        <v>204</v>
      </c>
      <c r="AB66" s="2764">
        <v>135</v>
      </c>
      <c r="AC66" s="2765">
        <f t="shared" si="13"/>
        <v>1.5111111111111111</v>
      </c>
      <c r="AD66" s="323"/>
      <c r="AE66" s="2763">
        <v>228</v>
      </c>
      <c r="AF66" s="2764">
        <v>138</v>
      </c>
      <c r="AG66" s="2765">
        <f t="shared" si="14"/>
        <v>1.6521739130434783</v>
      </c>
      <c r="AH66" s="323"/>
      <c r="AI66" s="2763">
        <v>208</v>
      </c>
      <c r="AJ66" s="2764">
        <v>136</v>
      </c>
      <c r="AK66" s="2765">
        <f t="shared" si="15"/>
        <v>1.5294117647058822</v>
      </c>
      <c r="AL66" s="323"/>
      <c r="AM66" s="2763">
        <v>277</v>
      </c>
      <c r="AN66" s="2764">
        <v>135</v>
      </c>
      <c r="AO66" s="2765">
        <f t="shared" si="16"/>
        <v>2.0518518518518518</v>
      </c>
      <c r="AQ66" s="2763">
        <v>181</v>
      </c>
      <c r="AR66" s="2764">
        <v>130</v>
      </c>
      <c r="AS66" s="2765">
        <f t="shared" si="17"/>
        <v>1.3923076923076922</v>
      </c>
    </row>
    <row r="67" spans="1:45" s="1" customFormat="1">
      <c r="A67" s="167"/>
      <c r="B67" s="1133" t="s">
        <v>1142</v>
      </c>
      <c r="C67" s="2763">
        <v>60</v>
      </c>
      <c r="D67" s="2764">
        <v>56</v>
      </c>
      <c r="E67" s="2765">
        <f t="shared" si="0"/>
        <v>1.0714285714285714</v>
      </c>
      <c r="F67" s="323"/>
      <c r="G67" s="2763">
        <v>44</v>
      </c>
      <c r="H67" s="2764">
        <v>55</v>
      </c>
      <c r="I67" s="2765">
        <f t="shared" si="1"/>
        <v>0.8</v>
      </c>
      <c r="J67" s="323"/>
      <c r="K67" s="2763">
        <v>66</v>
      </c>
      <c r="L67" s="2764">
        <v>55</v>
      </c>
      <c r="M67" s="2765">
        <f t="shared" si="2"/>
        <v>1.2</v>
      </c>
      <c r="N67" s="323"/>
      <c r="O67" s="2763">
        <v>75</v>
      </c>
      <c r="P67" s="2764">
        <v>52</v>
      </c>
      <c r="Q67" s="2765">
        <f t="shared" si="3"/>
        <v>1.4423076923076923</v>
      </c>
      <c r="R67" s="323"/>
      <c r="S67" s="2763">
        <v>96</v>
      </c>
      <c r="T67" s="2764">
        <v>53</v>
      </c>
      <c r="U67" s="2765">
        <f t="shared" si="4"/>
        <v>1.8113207547169812</v>
      </c>
      <c r="V67" s="323"/>
      <c r="W67" s="2763">
        <v>58</v>
      </c>
      <c r="X67" s="2764">
        <v>53</v>
      </c>
      <c r="Y67" s="2765">
        <f t="shared" si="12"/>
        <v>1.0943396226415094</v>
      </c>
      <c r="Z67" s="323"/>
      <c r="AA67" s="2763">
        <v>83</v>
      </c>
      <c r="AB67" s="2764">
        <v>53</v>
      </c>
      <c r="AC67" s="2765">
        <f t="shared" si="13"/>
        <v>1.5660377358490567</v>
      </c>
      <c r="AD67" s="323"/>
      <c r="AE67" s="2763">
        <v>84</v>
      </c>
      <c r="AF67" s="2764">
        <v>52</v>
      </c>
      <c r="AG67" s="2765">
        <f t="shared" si="14"/>
        <v>1.6153846153846154</v>
      </c>
      <c r="AH67" s="323"/>
      <c r="AI67" s="2763">
        <v>94</v>
      </c>
      <c r="AJ67" s="2764">
        <v>52</v>
      </c>
      <c r="AK67" s="2765">
        <f t="shared" si="15"/>
        <v>1.8076923076923077</v>
      </c>
      <c r="AL67" s="323"/>
      <c r="AM67" s="2763">
        <v>81</v>
      </c>
      <c r="AN67" s="2764">
        <v>52</v>
      </c>
      <c r="AO67" s="2765">
        <f t="shared" si="16"/>
        <v>1.5576923076923077</v>
      </c>
      <c r="AQ67" s="2763">
        <v>32</v>
      </c>
      <c r="AR67" s="2764">
        <v>52</v>
      </c>
      <c r="AS67" s="2765">
        <f t="shared" si="17"/>
        <v>0.61538461538461542</v>
      </c>
    </row>
    <row r="68" spans="1:45" s="1" customFormat="1">
      <c r="A68" s="167"/>
      <c r="B68" s="1133" t="s">
        <v>1143</v>
      </c>
      <c r="C68" s="2763">
        <v>157</v>
      </c>
      <c r="D68" s="2764">
        <v>86</v>
      </c>
      <c r="E68" s="2765">
        <f t="shared" si="0"/>
        <v>1.8255813953488371</v>
      </c>
      <c r="F68" s="323"/>
      <c r="G68" s="2763">
        <v>147</v>
      </c>
      <c r="H68" s="2764">
        <v>87</v>
      </c>
      <c r="I68" s="2765">
        <f t="shared" si="1"/>
        <v>1.6896551724137931</v>
      </c>
      <c r="J68" s="323"/>
      <c r="K68" s="2763">
        <v>189</v>
      </c>
      <c r="L68" s="2764">
        <v>89</v>
      </c>
      <c r="M68" s="2765">
        <f t="shared" si="2"/>
        <v>2.1235955056179776</v>
      </c>
      <c r="N68" s="323"/>
      <c r="O68" s="2763">
        <v>177</v>
      </c>
      <c r="P68" s="2764">
        <v>89</v>
      </c>
      <c r="Q68" s="2765">
        <f t="shared" si="3"/>
        <v>1.9887640449438202</v>
      </c>
      <c r="R68" s="323"/>
      <c r="S68" s="2763">
        <v>148</v>
      </c>
      <c r="T68" s="2764">
        <v>91</v>
      </c>
      <c r="U68" s="2765">
        <f t="shared" si="4"/>
        <v>1.6263736263736264</v>
      </c>
      <c r="V68" s="323"/>
      <c r="W68" s="2763">
        <v>185</v>
      </c>
      <c r="X68" s="2764">
        <v>93</v>
      </c>
      <c r="Y68" s="2765">
        <f t="shared" si="12"/>
        <v>1.989247311827957</v>
      </c>
      <c r="Z68" s="323"/>
      <c r="AA68" s="2763">
        <v>87</v>
      </c>
      <c r="AB68" s="2764">
        <v>92</v>
      </c>
      <c r="AC68" s="2765">
        <f t="shared" si="13"/>
        <v>0.94565217391304346</v>
      </c>
      <c r="AD68" s="323"/>
      <c r="AE68" s="2763">
        <v>124</v>
      </c>
      <c r="AF68" s="2764">
        <v>89</v>
      </c>
      <c r="AG68" s="2765">
        <f t="shared" si="14"/>
        <v>1.3932584269662922</v>
      </c>
      <c r="AH68" s="323"/>
      <c r="AI68" s="2763">
        <v>118</v>
      </c>
      <c r="AJ68" s="2764">
        <v>88</v>
      </c>
      <c r="AK68" s="2765">
        <f t="shared" si="15"/>
        <v>1.3409090909090908</v>
      </c>
      <c r="AL68" s="323"/>
      <c r="AM68" s="2763">
        <v>121</v>
      </c>
      <c r="AN68" s="2764">
        <v>88</v>
      </c>
      <c r="AO68" s="2765">
        <f t="shared" si="16"/>
        <v>1.375</v>
      </c>
      <c r="AQ68" s="2763">
        <v>106</v>
      </c>
      <c r="AR68" s="2764">
        <v>85</v>
      </c>
      <c r="AS68" s="2765">
        <f t="shared" si="17"/>
        <v>1.2470588235294118</v>
      </c>
    </row>
    <row r="69" spans="1:45" s="1" customFormat="1">
      <c r="A69" s="167"/>
      <c r="B69" s="1133" t="s">
        <v>1144</v>
      </c>
      <c r="C69" s="2763">
        <v>86</v>
      </c>
      <c r="D69" s="2764">
        <v>69</v>
      </c>
      <c r="E69" s="2765">
        <f t="shared" ref="E69:E83" si="18">C69/D69</f>
        <v>1.2463768115942029</v>
      </c>
      <c r="F69" s="323"/>
      <c r="G69" s="2763">
        <v>80</v>
      </c>
      <c r="H69" s="2764">
        <v>69</v>
      </c>
      <c r="I69" s="2765">
        <f t="shared" ref="I69:I83" si="19">G69/H69</f>
        <v>1.1594202898550725</v>
      </c>
      <c r="J69" s="323"/>
      <c r="K69" s="2763">
        <v>118</v>
      </c>
      <c r="L69" s="2764">
        <v>69</v>
      </c>
      <c r="M69" s="2765">
        <f t="shared" ref="M69:M83" si="20">K69/L69</f>
        <v>1.7101449275362319</v>
      </c>
      <c r="N69" s="323"/>
      <c r="O69" s="2763">
        <v>131</v>
      </c>
      <c r="P69" s="2764">
        <v>71</v>
      </c>
      <c r="Q69" s="2765">
        <f t="shared" ref="Q69:Q83" si="21">O69/P69</f>
        <v>1.8450704225352113</v>
      </c>
      <c r="R69" s="323"/>
      <c r="S69" s="2763">
        <v>165</v>
      </c>
      <c r="T69" s="2764">
        <v>71</v>
      </c>
      <c r="U69" s="2765">
        <f t="shared" ref="U69:U83" si="22">S69/T69</f>
        <v>2.323943661971831</v>
      </c>
      <c r="V69" s="323"/>
      <c r="W69" s="2763">
        <v>136</v>
      </c>
      <c r="X69" s="2764">
        <v>68</v>
      </c>
      <c r="Y69" s="2765">
        <f t="shared" si="12"/>
        <v>2</v>
      </c>
      <c r="Z69" s="323"/>
      <c r="AA69" s="2763">
        <v>96</v>
      </c>
      <c r="AB69" s="2764">
        <v>67</v>
      </c>
      <c r="AC69" s="2765">
        <f t="shared" si="13"/>
        <v>1.4328358208955223</v>
      </c>
      <c r="AD69" s="323"/>
      <c r="AE69" s="2763">
        <v>123</v>
      </c>
      <c r="AF69" s="2764">
        <v>68</v>
      </c>
      <c r="AG69" s="2765">
        <f t="shared" si="14"/>
        <v>1.8088235294117647</v>
      </c>
      <c r="AH69" s="323"/>
      <c r="AI69" s="2763">
        <v>117</v>
      </c>
      <c r="AJ69" s="2764">
        <v>68</v>
      </c>
      <c r="AK69" s="2765">
        <f t="shared" si="15"/>
        <v>1.7205882352941178</v>
      </c>
      <c r="AL69" s="323"/>
      <c r="AM69" s="2763">
        <v>98</v>
      </c>
      <c r="AN69" s="2764">
        <v>69</v>
      </c>
      <c r="AO69" s="2765">
        <f t="shared" si="16"/>
        <v>1.4202898550724639</v>
      </c>
      <c r="AQ69" s="2763">
        <v>104</v>
      </c>
      <c r="AR69" s="2764">
        <v>65</v>
      </c>
      <c r="AS69" s="2765">
        <f t="shared" si="17"/>
        <v>1.6</v>
      </c>
    </row>
    <row r="70" spans="1:45" s="1" customFormat="1" ht="15" customHeight="1">
      <c r="A70" s="167"/>
      <c r="B70" s="2316" t="s">
        <v>41</v>
      </c>
      <c r="C70" s="2756">
        <v>524</v>
      </c>
      <c r="D70" s="1612">
        <f>SUM(D66:D69)</f>
        <v>340</v>
      </c>
      <c r="E70" s="2741">
        <f t="shared" si="18"/>
        <v>1.5411764705882354</v>
      </c>
      <c r="F70" s="323"/>
      <c r="G70" s="2756">
        <v>487</v>
      </c>
      <c r="H70" s="1612">
        <f>SUM(H66:H69)</f>
        <v>340</v>
      </c>
      <c r="I70" s="2741">
        <f t="shared" si="19"/>
        <v>1.4323529411764706</v>
      </c>
      <c r="J70" s="323"/>
      <c r="K70" s="2756">
        <v>597</v>
      </c>
      <c r="L70" s="1612">
        <f>SUM(L66:L69)</f>
        <v>348</v>
      </c>
      <c r="M70" s="2741">
        <f t="shared" si="20"/>
        <v>1.7155172413793103</v>
      </c>
      <c r="N70" s="323"/>
      <c r="O70" s="2756">
        <f>SUM(O66:O69)</f>
        <v>534</v>
      </c>
      <c r="P70" s="1612">
        <f>SUM(P66:P69)</f>
        <v>349</v>
      </c>
      <c r="Q70" s="2741">
        <f t="shared" si="21"/>
        <v>1.5300859598853869</v>
      </c>
      <c r="R70" s="323"/>
      <c r="S70" s="2756">
        <f>SUM(S66:S69)</f>
        <v>661</v>
      </c>
      <c r="T70" s="1612">
        <f>SUM(T66:T69)</f>
        <v>353</v>
      </c>
      <c r="U70" s="2741">
        <f t="shared" si="22"/>
        <v>1.8725212464589236</v>
      </c>
      <c r="V70" s="323"/>
      <c r="W70" s="2756">
        <f>SUM(W66:W69)</f>
        <v>596</v>
      </c>
      <c r="X70" s="1612">
        <v>354</v>
      </c>
      <c r="Y70" s="2741">
        <f t="shared" si="12"/>
        <v>1.6836158192090396</v>
      </c>
      <c r="Z70" s="323"/>
      <c r="AA70" s="2756">
        <v>470</v>
      </c>
      <c r="AB70" s="1612">
        <f>SUM(AB66:AB69)</f>
        <v>347</v>
      </c>
      <c r="AC70" s="2741">
        <f t="shared" si="13"/>
        <v>1.3544668587896254</v>
      </c>
      <c r="AD70" s="323"/>
      <c r="AE70" s="2756">
        <v>559</v>
      </c>
      <c r="AF70" s="1612">
        <f>SUM(AF66:AF69)</f>
        <v>347</v>
      </c>
      <c r="AG70" s="2741">
        <f t="shared" si="14"/>
        <v>1.6109510086455332</v>
      </c>
      <c r="AH70" s="323"/>
      <c r="AI70" s="2756">
        <v>537</v>
      </c>
      <c r="AJ70" s="1612">
        <v>344</v>
      </c>
      <c r="AK70" s="2741">
        <f t="shared" si="15"/>
        <v>1.5610465116279071</v>
      </c>
      <c r="AL70" s="323"/>
      <c r="AM70" s="2756">
        <v>577</v>
      </c>
      <c r="AN70" s="1612">
        <v>344</v>
      </c>
      <c r="AO70" s="2741">
        <f t="shared" si="16"/>
        <v>1.6773255813953489</v>
      </c>
      <c r="AQ70" s="2756">
        <v>423</v>
      </c>
      <c r="AR70" s="1612">
        <v>332</v>
      </c>
      <c r="AS70" s="2741">
        <f t="shared" si="17"/>
        <v>1.2740963855421688</v>
      </c>
    </row>
    <row r="71" spans="1:45" s="1" customFormat="1">
      <c r="A71" s="167"/>
      <c r="B71" s="1133" t="s">
        <v>1145</v>
      </c>
      <c r="C71" s="2763">
        <v>245</v>
      </c>
      <c r="D71" s="2764">
        <v>128</v>
      </c>
      <c r="E71" s="2765">
        <f t="shared" si="18"/>
        <v>1.9140625</v>
      </c>
      <c r="F71" s="323"/>
      <c r="G71" s="2763">
        <v>210</v>
      </c>
      <c r="H71" s="2764">
        <v>131</v>
      </c>
      <c r="I71" s="2765">
        <f t="shared" si="19"/>
        <v>1.6030534351145038</v>
      </c>
      <c r="J71" s="323"/>
      <c r="K71" s="2763">
        <v>303</v>
      </c>
      <c r="L71" s="2764">
        <v>134</v>
      </c>
      <c r="M71" s="2765">
        <f t="shared" si="20"/>
        <v>2.2611940298507465</v>
      </c>
      <c r="N71" s="323"/>
      <c r="O71" s="2763">
        <v>219</v>
      </c>
      <c r="P71" s="2764">
        <v>136</v>
      </c>
      <c r="Q71" s="2765">
        <f t="shared" si="21"/>
        <v>1.6102941176470589</v>
      </c>
      <c r="R71" s="323"/>
      <c r="S71" s="2763">
        <v>233</v>
      </c>
      <c r="T71" s="2764">
        <v>135</v>
      </c>
      <c r="U71" s="2765">
        <f t="shared" si="22"/>
        <v>1.7259259259259259</v>
      </c>
      <c r="V71" s="323"/>
      <c r="W71" s="2763">
        <v>221</v>
      </c>
      <c r="X71" s="2764">
        <v>132</v>
      </c>
      <c r="Y71" s="2765">
        <f t="shared" si="12"/>
        <v>1.6742424242424243</v>
      </c>
      <c r="Z71" s="323"/>
      <c r="AA71" s="2763">
        <v>210</v>
      </c>
      <c r="AB71" s="2764">
        <v>130</v>
      </c>
      <c r="AC71" s="2765">
        <f t="shared" si="13"/>
        <v>1.6153846153846154</v>
      </c>
      <c r="AD71" s="323"/>
      <c r="AE71" s="2763">
        <v>159</v>
      </c>
      <c r="AF71" s="2764">
        <v>126</v>
      </c>
      <c r="AG71" s="2765">
        <f t="shared" si="14"/>
        <v>1.2619047619047619</v>
      </c>
      <c r="AH71" s="323"/>
      <c r="AI71" s="2763">
        <v>142</v>
      </c>
      <c r="AJ71" s="2764">
        <v>125</v>
      </c>
      <c r="AK71" s="2765">
        <f t="shared" si="15"/>
        <v>1.1359999999999999</v>
      </c>
      <c r="AL71" s="323"/>
      <c r="AM71" s="2763">
        <v>132</v>
      </c>
      <c r="AN71" s="2764">
        <v>120</v>
      </c>
      <c r="AO71" s="2765">
        <f t="shared" si="16"/>
        <v>1.1000000000000001</v>
      </c>
      <c r="AQ71" s="2763">
        <v>78</v>
      </c>
      <c r="AR71" s="2764">
        <v>120</v>
      </c>
      <c r="AS71" s="2765">
        <f t="shared" si="17"/>
        <v>0.65</v>
      </c>
    </row>
    <row r="72" spans="1:45" s="1" customFormat="1">
      <c r="A72" s="167"/>
      <c r="B72" s="1133" t="s">
        <v>1146</v>
      </c>
      <c r="C72" s="2763">
        <v>151</v>
      </c>
      <c r="D72" s="2764">
        <v>91</v>
      </c>
      <c r="E72" s="2765">
        <f t="shared" si="18"/>
        <v>1.6593406593406594</v>
      </c>
      <c r="F72" s="323"/>
      <c r="G72" s="2763">
        <v>162</v>
      </c>
      <c r="H72" s="2764">
        <v>98</v>
      </c>
      <c r="I72" s="2765">
        <f t="shared" si="19"/>
        <v>1.653061224489796</v>
      </c>
      <c r="J72" s="323"/>
      <c r="K72" s="2763">
        <v>229</v>
      </c>
      <c r="L72" s="2764">
        <v>99</v>
      </c>
      <c r="M72" s="2765">
        <f t="shared" si="20"/>
        <v>2.3131313131313131</v>
      </c>
      <c r="N72" s="323"/>
      <c r="O72" s="2763">
        <v>174</v>
      </c>
      <c r="P72" s="2764">
        <v>99</v>
      </c>
      <c r="Q72" s="2765">
        <f t="shared" si="21"/>
        <v>1.7575757575757576</v>
      </c>
      <c r="R72" s="323"/>
      <c r="S72" s="2763">
        <v>220</v>
      </c>
      <c r="T72" s="2764">
        <v>98</v>
      </c>
      <c r="U72" s="2765">
        <f t="shared" si="22"/>
        <v>2.2448979591836733</v>
      </c>
      <c r="V72" s="323"/>
      <c r="W72" s="2763">
        <v>170</v>
      </c>
      <c r="X72" s="2764">
        <v>97</v>
      </c>
      <c r="Y72" s="2765">
        <f t="shared" si="12"/>
        <v>1.7525773195876289</v>
      </c>
      <c r="Z72" s="323"/>
      <c r="AA72" s="2763">
        <v>139</v>
      </c>
      <c r="AB72" s="2764">
        <v>96</v>
      </c>
      <c r="AC72" s="2765">
        <f t="shared" si="13"/>
        <v>1.4479166666666667</v>
      </c>
      <c r="AD72" s="323"/>
      <c r="AE72" s="2763">
        <v>142</v>
      </c>
      <c r="AF72" s="2764">
        <v>99</v>
      </c>
      <c r="AG72" s="2765">
        <f t="shared" si="14"/>
        <v>1.4343434343434343</v>
      </c>
      <c r="AH72" s="323"/>
      <c r="AI72" s="2763">
        <v>207</v>
      </c>
      <c r="AJ72" s="2764">
        <v>100</v>
      </c>
      <c r="AK72" s="2765">
        <f t="shared" si="15"/>
        <v>2.0699999999999998</v>
      </c>
      <c r="AL72" s="323"/>
      <c r="AM72" s="2763">
        <v>186</v>
      </c>
      <c r="AN72" s="2764">
        <v>96</v>
      </c>
      <c r="AO72" s="2765">
        <f t="shared" si="16"/>
        <v>1.9375</v>
      </c>
      <c r="AQ72" s="2763">
        <v>99</v>
      </c>
      <c r="AR72" s="2764">
        <v>93</v>
      </c>
      <c r="AS72" s="2765">
        <f t="shared" si="17"/>
        <v>1.064516129032258</v>
      </c>
    </row>
    <row r="73" spans="1:45" s="1" customFormat="1">
      <c r="A73" s="167"/>
      <c r="B73" s="1133" t="s">
        <v>1147</v>
      </c>
      <c r="C73" s="2763">
        <v>160</v>
      </c>
      <c r="D73" s="2764">
        <v>66</v>
      </c>
      <c r="E73" s="2765">
        <f t="shared" si="18"/>
        <v>2.4242424242424243</v>
      </c>
      <c r="F73" s="323"/>
      <c r="G73" s="2763">
        <v>153</v>
      </c>
      <c r="H73" s="2764">
        <v>69</v>
      </c>
      <c r="I73" s="2765">
        <f t="shared" si="19"/>
        <v>2.2173913043478262</v>
      </c>
      <c r="J73" s="323"/>
      <c r="K73" s="2763">
        <v>286</v>
      </c>
      <c r="L73" s="2764">
        <v>73</v>
      </c>
      <c r="M73" s="2765">
        <f t="shared" si="20"/>
        <v>3.9178082191780823</v>
      </c>
      <c r="N73" s="323"/>
      <c r="O73" s="2763">
        <v>122</v>
      </c>
      <c r="P73" s="2764">
        <v>70</v>
      </c>
      <c r="Q73" s="2765">
        <f t="shared" si="21"/>
        <v>1.7428571428571429</v>
      </c>
      <c r="R73" s="323"/>
      <c r="S73" s="2763">
        <v>143</v>
      </c>
      <c r="T73" s="2764">
        <v>68</v>
      </c>
      <c r="U73" s="2765">
        <f t="shared" si="22"/>
        <v>2.1029411764705883</v>
      </c>
      <c r="V73" s="323"/>
      <c r="W73" s="2763">
        <v>153</v>
      </c>
      <c r="X73" s="2764">
        <v>68</v>
      </c>
      <c r="Y73" s="2765">
        <f t="shared" si="12"/>
        <v>2.25</v>
      </c>
      <c r="Z73" s="323"/>
      <c r="AA73" s="2763">
        <v>119</v>
      </c>
      <c r="AB73" s="2764">
        <v>66</v>
      </c>
      <c r="AC73" s="2765">
        <f t="shared" si="13"/>
        <v>1.803030303030303</v>
      </c>
      <c r="AD73" s="323"/>
      <c r="AE73" s="2763">
        <v>159</v>
      </c>
      <c r="AF73" s="2764">
        <v>67</v>
      </c>
      <c r="AG73" s="2765">
        <f t="shared" si="14"/>
        <v>2.3731343283582089</v>
      </c>
      <c r="AH73" s="323"/>
      <c r="AI73" s="2763">
        <v>161</v>
      </c>
      <c r="AJ73" s="2764">
        <v>68</v>
      </c>
      <c r="AK73" s="2765">
        <f t="shared" si="15"/>
        <v>2.3676470588235294</v>
      </c>
      <c r="AL73" s="323"/>
      <c r="AM73" s="2763">
        <v>109</v>
      </c>
      <c r="AN73" s="2764">
        <v>67</v>
      </c>
      <c r="AO73" s="2765">
        <f t="shared" si="16"/>
        <v>1.6268656716417911</v>
      </c>
      <c r="AQ73" s="2763">
        <v>56</v>
      </c>
      <c r="AR73" s="2764">
        <v>66</v>
      </c>
      <c r="AS73" s="2765">
        <f t="shared" si="17"/>
        <v>0.84848484848484851</v>
      </c>
    </row>
    <row r="74" spans="1:45" s="1" customFormat="1">
      <c r="A74" s="167"/>
      <c r="B74" s="1133" t="s">
        <v>1148</v>
      </c>
      <c r="C74" s="2763">
        <v>94</v>
      </c>
      <c r="D74" s="2764">
        <v>57</v>
      </c>
      <c r="E74" s="2765">
        <f t="shared" si="18"/>
        <v>1.6491228070175439</v>
      </c>
      <c r="F74" s="323"/>
      <c r="G74" s="2763">
        <v>105</v>
      </c>
      <c r="H74" s="2764">
        <v>58</v>
      </c>
      <c r="I74" s="2765">
        <f t="shared" si="19"/>
        <v>1.8103448275862069</v>
      </c>
      <c r="J74" s="323"/>
      <c r="K74" s="2763">
        <v>84</v>
      </c>
      <c r="L74" s="2764">
        <v>57</v>
      </c>
      <c r="M74" s="2765">
        <f t="shared" si="20"/>
        <v>1.4736842105263157</v>
      </c>
      <c r="N74" s="323"/>
      <c r="O74" s="2763">
        <v>97</v>
      </c>
      <c r="P74" s="2764">
        <v>57</v>
      </c>
      <c r="Q74" s="2765">
        <f t="shared" si="21"/>
        <v>1.7017543859649122</v>
      </c>
      <c r="R74" s="323"/>
      <c r="S74" s="2763">
        <v>117</v>
      </c>
      <c r="T74" s="2764">
        <v>60</v>
      </c>
      <c r="U74" s="2765">
        <f t="shared" si="22"/>
        <v>1.95</v>
      </c>
      <c r="V74" s="323"/>
      <c r="W74" s="2763">
        <v>71</v>
      </c>
      <c r="X74" s="2764">
        <v>61</v>
      </c>
      <c r="Y74" s="2765">
        <f t="shared" si="12"/>
        <v>1.1639344262295082</v>
      </c>
      <c r="Z74" s="323"/>
      <c r="AA74" s="2763">
        <v>62</v>
      </c>
      <c r="AB74" s="2764">
        <v>59</v>
      </c>
      <c r="AC74" s="2765">
        <f t="shared" si="13"/>
        <v>1.0508474576271187</v>
      </c>
      <c r="AD74" s="323"/>
      <c r="AE74" s="2763">
        <v>52</v>
      </c>
      <c r="AF74" s="2764">
        <v>58</v>
      </c>
      <c r="AG74" s="2765">
        <f t="shared" si="14"/>
        <v>0.89655172413793105</v>
      </c>
      <c r="AH74" s="323"/>
      <c r="AI74" s="2763">
        <v>97</v>
      </c>
      <c r="AJ74" s="2764">
        <v>60</v>
      </c>
      <c r="AK74" s="2765">
        <f t="shared" si="15"/>
        <v>1.6166666666666667</v>
      </c>
      <c r="AL74" s="323"/>
      <c r="AM74" s="2763">
        <v>76</v>
      </c>
      <c r="AN74" s="2764">
        <v>58</v>
      </c>
      <c r="AO74" s="2765">
        <f t="shared" si="16"/>
        <v>1.3103448275862069</v>
      </c>
      <c r="AQ74" s="2763">
        <v>33</v>
      </c>
      <c r="AR74" s="2764">
        <v>58</v>
      </c>
      <c r="AS74" s="2765">
        <f t="shared" si="17"/>
        <v>0.56896551724137934</v>
      </c>
    </row>
    <row r="75" spans="1:45" s="1" customFormat="1" ht="15" customHeight="1">
      <c r="A75" s="167"/>
      <c r="B75" s="2316" t="s">
        <v>16</v>
      </c>
      <c r="C75" s="2756">
        <v>650</v>
      </c>
      <c r="D75" s="1612">
        <f>SUM(D71:D74)</f>
        <v>342</v>
      </c>
      <c r="E75" s="2741">
        <f t="shared" si="18"/>
        <v>1.9005847953216375</v>
      </c>
      <c r="F75" s="323"/>
      <c r="G75" s="2756">
        <v>630</v>
      </c>
      <c r="H75" s="1612">
        <f>SUM(H71:H74)</f>
        <v>356</v>
      </c>
      <c r="I75" s="2741">
        <f t="shared" si="19"/>
        <v>1.7696629213483146</v>
      </c>
      <c r="J75" s="323"/>
      <c r="K75" s="2756">
        <v>902</v>
      </c>
      <c r="L75" s="1612">
        <f>SUM(L71:L74)</f>
        <v>363</v>
      </c>
      <c r="M75" s="2741">
        <f t="shared" si="20"/>
        <v>2.4848484848484849</v>
      </c>
      <c r="N75" s="323"/>
      <c r="O75" s="2756">
        <f>SUM(O71:O74)</f>
        <v>612</v>
      </c>
      <c r="P75" s="1612">
        <f>SUM(P71:P74)</f>
        <v>362</v>
      </c>
      <c r="Q75" s="2741">
        <f t="shared" si="21"/>
        <v>1.6906077348066297</v>
      </c>
      <c r="R75" s="323"/>
      <c r="S75" s="2756">
        <f>SUM(S71:S74)</f>
        <v>713</v>
      </c>
      <c r="T75" s="1612">
        <f>SUM(T71:T74)</f>
        <v>361</v>
      </c>
      <c r="U75" s="2741">
        <f t="shared" si="22"/>
        <v>1.9750692520775623</v>
      </c>
      <c r="V75" s="323"/>
      <c r="W75" s="2756">
        <f>SUM(W71:W74)</f>
        <v>615</v>
      </c>
      <c r="X75" s="1612">
        <v>358</v>
      </c>
      <c r="Y75" s="2741">
        <f t="shared" si="12"/>
        <v>1.717877094972067</v>
      </c>
      <c r="Z75" s="323"/>
      <c r="AA75" s="2756">
        <v>530</v>
      </c>
      <c r="AB75" s="1612">
        <f>SUM(AB71:AB74)</f>
        <v>351</v>
      </c>
      <c r="AC75" s="2741">
        <f t="shared" si="13"/>
        <v>1.5099715099715099</v>
      </c>
      <c r="AD75" s="323"/>
      <c r="AE75" s="2756">
        <v>512</v>
      </c>
      <c r="AF75" s="1612">
        <f>SUM(AF71:AF74)</f>
        <v>350</v>
      </c>
      <c r="AG75" s="2741">
        <f t="shared" si="14"/>
        <v>1.4628571428571429</v>
      </c>
      <c r="AH75" s="323"/>
      <c r="AI75" s="2756">
        <v>607</v>
      </c>
      <c r="AJ75" s="1612">
        <v>353</v>
      </c>
      <c r="AK75" s="2741">
        <f t="shared" si="15"/>
        <v>1.7195467422096318</v>
      </c>
      <c r="AL75" s="323"/>
      <c r="AM75" s="2756">
        <v>503</v>
      </c>
      <c r="AN75" s="1612">
        <v>341</v>
      </c>
      <c r="AO75" s="2741">
        <f t="shared" si="16"/>
        <v>1.4750733137829912</v>
      </c>
      <c r="AQ75" s="2756">
        <v>266</v>
      </c>
      <c r="AR75" s="1612">
        <v>337</v>
      </c>
      <c r="AS75" s="2741">
        <f t="shared" si="17"/>
        <v>0.78931750741839768</v>
      </c>
    </row>
    <row r="76" spans="1:45" s="1" customFormat="1">
      <c r="A76" s="167"/>
      <c r="B76" s="1133" t="s">
        <v>1149</v>
      </c>
      <c r="C76" s="2763">
        <v>24</v>
      </c>
      <c r="D76" s="2764">
        <v>29</v>
      </c>
      <c r="E76" s="2765">
        <f t="shared" si="18"/>
        <v>0.82758620689655171</v>
      </c>
      <c r="F76" s="323"/>
      <c r="G76" s="2763">
        <v>37</v>
      </c>
      <c r="H76" s="2764">
        <v>28</v>
      </c>
      <c r="I76" s="2765">
        <f t="shared" si="19"/>
        <v>1.3214285714285714</v>
      </c>
      <c r="J76" s="323"/>
      <c r="K76" s="2763">
        <v>29</v>
      </c>
      <c r="L76" s="2764">
        <v>26</v>
      </c>
      <c r="M76" s="2765">
        <f t="shared" si="20"/>
        <v>1.1153846153846154</v>
      </c>
      <c r="N76" s="323"/>
      <c r="O76" s="2763">
        <v>14</v>
      </c>
      <c r="P76" s="2764">
        <v>26</v>
      </c>
      <c r="Q76" s="2765">
        <f t="shared" si="21"/>
        <v>0.53846153846153844</v>
      </c>
      <c r="R76" s="323"/>
      <c r="S76" s="2763">
        <v>42</v>
      </c>
      <c r="T76" s="2764">
        <v>29</v>
      </c>
      <c r="U76" s="2765">
        <f t="shared" si="22"/>
        <v>1.4482758620689655</v>
      </c>
      <c r="V76" s="323"/>
      <c r="W76" s="2763">
        <v>34</v>
      </c>
      <c r="X76" s="2764">
        <v>29</v>
      </c>
      <c r="Y76" s="2765">
        <f t="shared" si="12"/>
        <v>1.1724137931034482</v>
      </c>
      <c r="Z76" s="323"/>
      <c r="AA76" s="2763">
        <v>21</v>
      </c>
      <c r="AB76" s="2764">
        <v>32</v>
      </c>
      <c r="AC76" s="2765">
        <f t="shared" si="13"/>
        <v>0.65625</v>
      </c>
      <c r="AD76" s="323"/>
      <c r="AE76" s="2763">
        <v>32</v>
      </c>
      <c r="AF76" s="2764">
        <v>31</v>
      </c>
      <c r="AG76" s="2765">
        <f t="shared" si="14"/>
        <v>1.032258064516129</v>
      </c>
      <c r="AH76" s="323"/>
      <c r="AI76" s="2763">
        <v>12</v>
      </c>
      <c r="AJ76" s="2764">
        <v>29</v>
      </c>
      <c r="AK76" s="2765">
        <f t="shared" si="15"/>
        <v>0.41379310344827586</v>
      </c>
      <c r="AL76" s="323"/>
      <c r="AM76" s="2763">
        <v>11</v>
      </c>
      <c r="AN76" s="2764">
        <v>30</v>
      </c>
      <c r="AO76" s="2765">
        <f t="shared" si="16"/>
        <v>0.36666666666666664</v>
      </c>
      <c r="AQ76" s="2763">
        <v>5</v>
      </c>
      <c r="AR76" s="2764">
        <v>30</v>
      </c>
      <c r="AS76" s="2765">
        <f t="shared" si="17"/>
        <v>0.16666666666666666</v>
      </c>
    </row>
    <row r="77" spans="1:45" s="1" customFormat="1">
      <c r="A77" s="167"/>
      <c r="B77" s="1133" t="s">
        <v>1150</v>
      </c>
      <c r="C77" s="2763">
        <v>34</v>
      </c>
      <c r="D77" s="2764">
        <v>37</v>
      </c>
      <c r="E77" s="2765">
        <f t="shared" si="18"/>
        <v>0.91891891891891897</v>
      </c>
      <c r="F77" s="323"/>
      <c r="G77" s="2763">
        <v>35</v>
      </c>
      <c r="H77" s="2764">
        <v>39</v>
      </c>
      <c r="I77" s="2765">
        <f t="shared" si="19"/>
        <v>0.89743589743589747</v>
      </c>
      <c r="J77" s="323"/>
      <c r="K77" s="2763">
        <v>50</v>
      </c>
      <c r="L77" s="2764">
        <v>38</v>
      </c>
      <c r="M77" s="2765">
        <f t="shared" si="20"/>
        <v>1.3157894736842106</v>
      </c>
      <c r="N77" s="323"/>
      <c r="O77" s="2763">
        <v>25</v>
      </c>
      <c r="P77" s="2764">
        <v>39</v>
      </c>
      <c r="Q77" s="2765">
        <f t="shared" si="21"/>
        <v>0.64102564102564108</v>
      </c>
      <c r="R77" s="323"/>
      <c r="S77" s="2763">
        <v>45</v>
      </c>
      <c r="T77" s="2764">
        <v>40</v>
      </c>
      <c r="U77" s="2765">
        <f t="shared" si="22"/>
        <v>1.125</v>
      </c>
      <c r="V77" s="323"/>
      <c r="W77" s="2763">
        <v>37</v>
      </c>
      <c r="X77" s="2764">
        <v>40</v>
      </c>
      <c r="Y77" s="2765">
        <f t="shared" si="12"/>
        <v>0.92500000000000004</v>
      </c>
      <c r="Z77" s="323"/>
      <c r="AA77" s="2763">
        <v>43</v>
      </c>
      <c r="AB77" s="2764">
        <v>39</v>
      </c>
      <c r="AC77" s="2765">
        <f t="shared" si="13"/>
        <v>1.1025641025641026</v>
      </c>
      <c r="AD77" s="323"/>
      <c r="AE77" s="2763">
        <v>42</v>
      </c>
      <c r="AF77" s="2764">
        <v>38</v>
      </c>
      <c r="AG77" s="2765">
        <f t="shared" si="14"/>
        <v>1.1052631578947369</v>
      </c>
      <c r="AH77" s="323"/>
      <c r="AI77" s="2763">
        <v>33</v>
      </c>
      <c r="AJ77" s="2764">
        <v>36</v>
      </c>
      <c r="AK77" s="2765">
        <f t="shared" si="15"/>
        <v>0.91666666666666663</v>
      </c>
      <c r="AL77" s="323"/>
      <c r="AM77" s="2763">
        <v>41</v>
      </c>
      <c r="AN77" s="2764">
        <v>40</v>
      </c>
      <c r="AO77" s="2765">
        <f t="shared" si="16"/>
        <v>1.0249999999999999</v>
      </c>
      <c r="AQ77" s="2763">
        <v>31</v>
      </c>
      <c r="AR77" s="2764">
        <v>40</v>
      </c>
      <c r="AS77" s="2765">
        <f t="shared" si="17"/>
        <v>0.77500000000000002</v>
      </c>
    </row>
    <row r="78" spans="1:45" s="1" customFormat="1">
      <c r="A78" s="167"/>
      <c r="B78" s="1133" t="s">
        <v>1151</v>
      </c>
      <c r="C78" s="2763">
        <v>10</v>
      </c>
      <c r="D78" s="2764">
        <v>29</v>
      </c>
      <c r="E78" s="2765">
        <f t="shared" si="18"/>
        <v>0.34482758620689657</v>
      </c>
      <c r="F78" s="323"/>
      <c r="G78" s="2763">
        <v>29</v>
      </c>
      <c r="H78" s="2764">
        <v>28</v>
      </c>
      <c r="I78" s="2765">
        <f t="shared" si="19"/>
        <v>1.0357142857142858</v>
      </c>
      <c r="J78" s="323"/>
      <c r="K78" s="2763">
        <v>28</v>
      </c>
      <c r="L78" s="2764">
        <v>30</v>
      </c>
      <c r="M78" s="2765">
        <f t="shared" si="20"/>
        <v>0.93333333333333335</v>
      </c>
      <c r="N78" s="323"/>
      <c r="O78" s="2763">
        <v>12</v>
      </c>
      <c r="P78" s="2764">
        <v>29</v>
      </c>
      <c r="Q78" s="2765">
        <f t="shared" si="21"/>
        <v>0.41379310344827586</v>
      </c>
      <c r="R78" s="323"/>
      <c r="S78" s="2763">
        <v>19</v>
      </c>
      <c r="T78" s="2764">
        <v>31</v>
      </c>
      <c r="U78" s="2765">
        <f t="shared" si="22"/>
        <v>0.61290322580645162</v>
      </c>
      <c r="V78" s="323"/>
      <c r="W78" s="2763">
        <v>33</v>
      </c>
      <c r="X78" s="2764">
        <v>30</v>
      </c>
      <c r="Y78" s="2765">
        <f t="shared" si="12"/>
        <v>1.1000000000000001</v>
      </c>
      <c r="Z78" s="323"/>
      <c r="AA78" s="2763">
        <v>16</v>
      </c>
      <c r="AB78" s="2764">
        <v>27</v>
      </c>
      <c r="AC78" s="2765">
        <f t="shared" si="13"/>
        <v>0.59259259259259256</v>
      </c>
      <c r="AD78" s="323"/>
      <c r="AE78" s="2763">
        <v>15</v>
      </c>
      <c r="AF78" s="2764">
        <v>22</v>
      </c>
      <c r="AG78" s="2765">
        <f t="shared" si="14"/>
        <v>0.68181818181818177</v>
      </c>
      <c r="AH78" s="323"/>
      <c r="AI78" s="2763">
        <v>19</v>
      </c>
      <c r="AJ78" s="2764">
        <v>24</v>
      </c>
      <c r="AK78" s="2765">
        <f t="shared" si="15"/>
        <v>0.79166666666666663</v>
      </c>
      <c r="AL78" s="323"/>
      <c r="AM78" s="2763">
        <v>6</v>
      </c>
      <c r="AN78" s="2764">
        <v>26</v>
      </c>
      <c r="AO78" s="2765">
        <f t="shared" si="16"/>
        <v>0.23076923076923078</v>
      </c>
      <c r="AQ78" s="2763">
        <v>10</v>
      </c>
      <c r="AR78" s="2764">
        <v>26</v>
      </c>
      <c r="AS78" s="2765">
        <f t="shared" si="17"/>
        <v>0.38461538461538464</v>
      </c>
    </row>
    <row r="79" spans="1:45" s="1" customFormat="1">
      <c r="A79" s="167"/>
      <c r="B79" s="2370" t="s">
        <v>1152</v>
      </c>
      <c r="C79" s="2759">
        <v>47</v>
      </c>
      <c r="D79" s="1613">
        <v>47</v>
      </c>
      <c r="E79" s="2743">
        <f t="shared" si="18"/>
        <v>1</v>
      </c>
      <c r="F79" s="323"/>
      <c r="G79" s="2759">
        <v>53</v>
      </c>
      <c r="H79" s="1613">
        <v>48</v>
      </c>
      <c r="I79" s="2743">
        <f t="shared" si="19"/>
        <v>1.1041666666666667</v>
      </c>
      <c r="J79" s="323"/>
      <c r="K79" s="2759">
        <v>67</v>
      </c>
      <c r="L79" s="1613">
        <v>47</v>
      </c>
      <c r="M79" s="2743">
        <f t="shared" si="20"/>
        <v>1.425531914893617</v>
      </c>
      <c r="N79" s="323"/>
      <c r="O79" s="2759">
        <v>34</v>
      </c>
      <c r="P79" s="1613">
        <v>47</v>
      </c>
      <c r="Q79" s="2743">
        <f t="shared" si="21"/>
        <v>0.72340425531914898</v>
      </c>
      <c r="R79" s="323"/>
      <c r="S79" s="2759">
        <v>47</v>
      </c>
      <c r="T79" s="1613">
        <v>46</v>
      </c>
      <c r="U79" s="2743">
        <f t="shared" si="22"/>
        <v>1.0217391304347827</v>
      </c>
      <c r="V79" s="323"/>
      <c r="W79" s="2759">
        <v>37</v>
      </c>
      <c r="X79" s="1613">
        <v>45</v>
      </c>
      <c r="Y79" s="2743">
        <f t="shared" si="12"/>
        <v>0.82222222222222219</v>
      </c>
      <c r="Z79" s="323"/>
      <c r="AA79" s="2759">
        <v>39</v>
      </c>
      <c r="AB79" s="1613">
        <v>46</v>
      </c>
      <c r="AC79" s="2743">
        <f t="shared" si="13"/>
        <v>0.84782608695652173</v>
      </c>
      <c r="AD79" s="323"/>
      <c r="AE79" s="2759">
        <v>29</v>
      </c>
      <c r="AF79" s="1613">
        <v>44</v>
      </c>
      <c r="AG79" s="2743">
        <f t="shared" si="14"/>
        <v>0.65909090909090906</v>
      </c>
      <c r="AH79" s="323"/>
      <c r="AI79" s="2759">
        <v>27</v>
      </c>
      <c r="AJ79" s="1613">
        <v>44</v>
      </c>
      <c r="AK79" s="2743">
        <f t="shared" si="15"/>
        <v>0.61363636363636365</v>
      </c>
      <c r="AL79" s="323"/>
      <c r="AM79" s="2759">
        <v>22</v>
      </c>
      <c r="AN79" s="1613">
        <v>40</v>
      </c>
      <c r="AO79" s="2743">
        <f t="shared" si="16"/>
        <v>0.55000000000000004</v>
      </c>
      <c r="AQ79" s="2759">
        <v>19</v>
      </c>
      <c r="AR79" s="1613">
        <v>38</v>
      </c>
      <c r="AS79" s="2743">
        <f t="shared" si="17"/>
        <v>0.5</v>
      </c>
    </row>
    <row r="80" spans="1:45" s="1" customFormat="1" ht="15" customHeight="1">
      <c r="A80" s="167"/>
      <c r="B80" s="2371" t="s">
        <v>21</v>
      </c>
      <c r="C80" s="2772">
        <v>115</v>
      </c>
      <c r="D80" s="2372">
        <f>SUM(D76:D79)</f>
        <v>142</v>
      </c>
      <c r="E80" s="2750">
        <f t="shared" si="18"/>
        <v>0.8098591549295775</v>
      </c>
      <c r="F80" s="323"/>
      <c r="G80" s="2772">
        <v>154</v>
      </c>
      <c r="H80" s="2372">
        <f>SUM(H76:H79)</f>
        <v>143</v>
      </c>
      <c r="I80" s="2750">
        <f t="shared" si="19"/>
        <v>1.0769230769230769</v>
      </c>
      <c r="J80" s="323"/>
      <c r="K80" s="2772">
        <v>174</v>
      </c>
      <c r="L80" s="2372">
        <f>SUM(L76:L79)</f>
        <v>141</v>
      </c>
      <c r="M80" s="2750">
        <f t="shared" si="20"/>
        <v>1.2340425531914894</v>
      </c>
      <c r="N80" s="323"/>
      <c r="O80" s="2772">
        <f>SUM(O76:O79)</f>
        <v>85</v>
      </c>
      <c r="P80" s="2372">
        <f>SUM(P76:P79)</f>
        <v>141</v>
      </c>
      <c r="Q80" s="2750">
        <f t="shared" si="21"/>
        <v>0.6028368794326241</v>
      </c>
      <c r="R80" s="323"/>
      <c r="S80" s="2772">
        <f>SUM(S76:S79)</f>
        <v>153</v>
      </c>
      <c r="T80" s="2372">
        <f>SUM(T76:T79)</f>
        <v>146</v>
      </c>
      <c r="U80" s="2750">
        <f t="shared" si="22"/>
        <v>1.047945205479452</v>
      </c>
      <c r="V80" s="323"/>
      <c r="W80" s="2772">
        <f>SUM(W76:W79)</f>
        <v>141</v>
      </c>
      <c r="X80" s="2372">
        <f>SUM(X76:X79)</f>
        <v>144</v>
      </c>
      <c r="Y80" s="2750">
        <f t="shared" si="12"/>
        <v>0.97916666666666663</v>
      </c>
      <c r="Z80" s="323"/>
      <c r="AA80" s="2772">
        <v>119</v>
      </c>
      <c r="AB80" s="2372">
        <f>SUM(AB76:AB79)</f>
        <v>144</v>
      </c>
      <c r="AC80" s="2750">
        <f t="shared" si="13"/>
        <v>0.82638888888888884</v>
      </c>
      <c r="AD80" s="323"/>
      <c r="AE80" s="2772">
        <v>118</v>
      </c>
      <c r="AF80" s="2372">
        <f>SUM(AF76:AF79)</f>
        <v>135</v>
      </c>
      <c r="AG80" s="2750">
        <f t="shared" si="14"/>
        <v>0.87407407407407411</v>
      </c>
      <c r="AH80" s="323"/>
      <c r="AI80" s="2772">
        <v>91</v>
      </c>
      <c r="AJ80" s="2372">
        <v>133</v>
      </c>
      <c r="AK80" s="2750">
        <f t="shared" si="15"/>
        <v>0.68421052631578949</v>
      </c>
      <c r="AL80" s="323"/>
      <c r="AM80" s="2772">
        <v>80</v>
      </c>
      <c r="AN80" s="2372">
        <v>136</v>
      </c>
      <c r="AO80" s="2750">
        <f t="shared" si="16"/>
        <v>0.58823529411764708</v>
      </c>
      <c r="AQ80" s="2772">
        <v>65</v>
      </c>
      <c r="AR80" s="2372">
        <v>134</v>
      </c>
      <c r="AS80" s="2750">
        <f t="shared" si="17"/>
        <v>0.48507462686567165</v>
      </c>
    </row>
    <row r="81" spans="1:45" s="1" customFormat="1" ht="15" customHeight="1">
      <c r="A81" s="167"/>
      <c r="B81" s="2373" t="s">
        <v>355</v>
      </c>
      <c r="C81" s="2773">
        <v>1289</v>
      </c>
      <c r="D81" s="2774">
        <f>SUM(D80,D75,D70)</f>
        <v>824</v>
      </c>
      <c r="E81" s="2751">
        <f t="shared" si="18"/>
        <v>1.5643203883495145</v>
      </c>
      <c r="F81" s="323"/>
      <c r="G81" s="2773">
        <v>1271</v>
      </c>
      <c r="H81" s="2774">
        <f>SUM(H80,H75,H70)</f>
        <v>839</v>
      </c>
      <c r="I81" s="2751">
        <f t="shared" si="19"/>
        <v>1.5148986889153755</v>
      </c>
      <c r="J81" s="323"/>
      <c r="K81" s="2773">
        <v>1673</v>
      </c>
      <c r="L81" s="2774">
        <f>SUM(L80,L75,L70)</f>
        <v>852</v>
      </c>
      <c r="M81" s="2751">
        <f t="shared" si="20"/>
        <v>1.9636150234741785</v>
      </c>
      <c r="N81" s="323"/>
      <c r="O81" s="2773">
        <f>SUM(O80,O75,O70)</f>
        <v>1231</v>
      </c>
      <c r="P81" s="2774">
        <f>SUM(P80,P75,P70)</f>
        <v>852</v>
      </c>
      <c r="Q81" s="2751">
        <f t="shared" si="21"/>
        <v>1.4448356807511737</v>
      </c>
      <c r="R81" s="323"/>
      <c r="S81" s="2773">
        <f>SUM(S80,S75,S70)</f>
        <v>1527</v>
      </c>
      <c r="T81" s="2774">
        <f>SUM(T80,T75,T70)</f>
        <v>860</v>
      </c>
      <c r="U81" s="2751">
        <f t="shared" si="22"/>
        <v>1.7755813953488373</v>
      </c>
      <c r="V81" s="323"/>
      <c r="W81" s="2773">
        <f>SUM(W80,W75,W70)</f>
        <v>1352</v>
      </c>
      <c r="X81" s="2774">
        <f>SUM(X80,X75,X70)</f>
        <v>856</v>
      </c>
      <c r="Y81" s="2751">
        <f t="shared" si="12"/>
        <v>1.5794392523364487</v>
      </c>
      <c r="Z81" s="323"/>
      <c r="AA81" s="2773">
        <v>1119</v>
      </c>
      <c r="AB81" s="2774">
        <f>SUM(AB80,AB75,AB70)</f>
        <v>842</v>
      </c>
      <c r="AC81" s="2751">
        <f t="shared" si="13"/>
        <v>1.3289786223277911</v>
      </c>
      <c r="AD81" s="323"/>
      <c r="AE81" s="2773">
        <f>SUM(AE70,AE75,AE80)</f>
        <v>1189</v>
      </c>
      <c r="AF81" s="2774">
        <f>SUM(AF80,AF75,AF70)</f>
        <v>832</v>
      </c>
      <c r="AG81" s="2751">
        <f t="shared" si="14"/>
        <v>1.4290865384615385</v>
      </c>
      <c r="AH81" s="323"/>
      <c r="AI81" s="2773">
        <v>1235</v>
      </c>
      <c r="AJ81" s="2774">
        <v>830</v>
      </c>
      <c r="AK81" s="2751">
        <f t="shared" si="15"/>
        <v>1.4879518072289157</v>
      </c>
      <c r="AL81" s="323"/>
      <c r="AM81" s="2773">
        <v>1160</v>
      </c>
      <c r="AN81" s="2774">
        <v>821</v>
      </c>
      <c r="AO81" s="2751">
        <f t="shared" si="16"/>
        <v>1.412911084043849</v>
      </c>
      <c r="AQ81" s="2773">
        <v>754</v>
      </c>
      <c r="AR81" s="2774">
        <v>803</v>
      </c>
      <c r="AS81" s="2751">
        <f t="shared" si="17"/>
        <v>0.93897882938978827</v>
      </c>
    </row>
    <row r="82" spans="1:45" s="1" customFormat="1" ht="15" customHeight="1">
      <c r="C82" s="2574"/>
      <c r="D82" s="2574"/>
      <c r="E82" s="2574"/>
      <c r="F82" s="323"/>
      <c r="G82" s="2574"/>
      <c r="H82" s="2574"/>
      <c r="I82" s="2574"/>
      <c r="J82" s="323"/>
      <c r="K82" s="2574"/>
      <c r="L82" s="2574"/>
      <c r="M82" s="2574"/>
      <c r="N82" s="323"/>
      <c r="O82" s="2574"/>
      <c r="P82" s="2574"/>
      <c r="Q82" s="2574"/>
      <c r="R82" s="323"/>
      <c r="S82" s="2574"/>
      <c r="T82" s="2574"/>
      <c r="U82" s="2574"/>
      <c r="V82" s="323"/>
      <c r="W82" s="2574"/>
      <c r="X82" s="2574"/>
      <c r="Y82" s="2574"/>
      <c r="Z82" s="323"/>
      <c r="AA82" s="2574"/>
      <c r="AB82" s="2574"/>
      <c r="AC82" s="2574"/>
      <c r="AD82" s="323"/>
      <c r="AE82" s="2574"/>
      <c r="AF82" s="2574"/>
      <c r="AG82" s="2574"/>
      <c r="AH82" s="323"/>
      <c r="AI82" s="2574"/>
      <c r="AJ82" s="2574"/>
      <c r="AK82" s="2574"/>
      <c r="AL82" s="323"/>
      <c r="AM82" s="2574"/>
      <c r="AN82" s="2574"/>
      <c r="AO82" s="2574"/>
      <c r="AQ82" s="5482"/>
      <c r="AR82" s="2574"/>
      <c r="AS82" s="2574"/>
    </row>
    <row r="83" spans="1:45" s="1136" customFormat="1" ht="20.100000000000001" customHeight="1">
      <c r="A83" s="167"/>
      <c r="B83" s="2602" t="s">
        <v>67</v>
      </c>
      <c r="C83" s="2775">
        <f>SUM(C21,C34,C52,C65,C81)</f>
        <v>4004</v>
      </c>
      <c r="D83" s="2775">
        <f>SUM(D21,D34,D52,D65,D81)</f>
        <v>2575</v>
      </c>
      <c r="E83" s="2752">
        <f t="shared" si="18"/>
        <v>1.5549514563106797</v>
      </c>
      <c r="F83" s="323"/>
      <c r="G83" s="2775">
        <f>SUM(G21,G34,G52,G65,G81)</f>
        <v>4143</v>
      </c>
      <c r="H83" s="2775">
        <f>SUM(H21,H34,H52,H65,H81)</f>
        <v>2623</v>
      </c>
      <c r="I83" s="2752">
        <f t="shared" si="19"/>
        <v>1.5794891345787268</v>
      </c>
      <c r="J83" s="323"/>
      <c r="K83" s="2775">
        <f>SUM(K21,K34,K52,K65,K81)</f>
        <v>4328</v>
      </c>
      <c r="L83" s="2775">
        <f>SUM(L21,L34,L52,L65,L81)</f>
        <v>2663</v>
      </c>
      <c r="M83" s="2752">
        <f t="shared" si="20"/>
        <v>1.6252346977093504</v>
      </c>
      <c r="N83" s="323"/>
      <c r="O83" s="2775">
        <f>SUM(O21,O34,O52,O65,O81)</f>
        <v>4346</v>
      </c>
      <c r="P83" s="2775">
        <f>SUM(P21,P34,P52,P65,P81)</f>
        <v>2705</v>
      </c>
      <c r="Q83" s="2752">
        <f t="shared" si="21"/>
        <v>1.6066543438077634</v>
      </c>
      <c r="R83" s="323"/>
      <c r="S83" s="2775">
        <f>SUM(S21,S34,S52,S65,S81)</f>
        <v>4334</v>
      </c>
      <c r="T83" s="2775">
        <f>SUM(T21,T34,T52,T65,T81)</f>
        <v>2759</v>
      </c>
      <c r="U83" s="2752">
        <f t="shared" si="22"/>
        <v>1.5708590068865531</v>
      </c>
      <c r="V83" s="323"/>
      <c r="W83" s="2775">
        <f>SUM(W21,W34,W52,W65,W81)</f>
        <v>4634</v>
      </c>
      <c r="X83" s="2775">
        <f>SUM(X21,X34,X52,X65,X81)</f>
        <v>2743</v>
      </c>
      <c r="Y83" s="2752">
        <f t="shared" si="12"/>
        <v>1.6893911775428363</v>
      </c>
      <c r="Z83" s="323"/>
      <c r="AA83" s="2775">
        <v>4112</v>
      </c>
      <c r="AB83" s="2775">
        <f>SUM(AB21,AB34,AB52,AB65,AB81)</f>
        <v>2732</v>
      </c>
      <c r="AC83" s="2752">
        <f t="shared" si="13"/>
        <v>1.5051244509516837</v>
      </c>
      <c r="AD83" s="323"/>
      <c r="AE83" s="2775">
        <f>SUM(AE21,AE34,AE52,AE65,AE81)</f>
        <v>4311</v>
      </c>
      <c r="AF83" s="2775">
        <f>SUM(AF21,AF34,AF52,AF65,AF81)</f>
        <v>2754</v>
      </c>
      <c r="AG83" s="2752">
        <f t="shared" si="14"/>
        <v>1.565359477124183</v>
      </c>
      <c r="AH83" s="323"/>
      <c r="AI83" s="2775">
        <f>SUM(AI21,AI34,AI52,AI65,AI81)</f>
        <v>4667</v>
      </c>
      <c r="AJ83" s="2775">
        <v>2776</v>
      </c>
      <c r="AK83" s="2752">
        <f t="shared" si="15"/>
        <v>1.6811959654178674</v>
      </c>
      <c r="AL83" s="323"/>
      <c r="AM83" s="2775">
        <f>SUM(AM21,AM34,AM52,AM65,AM81)</f>
        <v>4140</v>
      </c>
      <c r="AN83" s="2775">
        <v>2743</v>
      </c>
      <c r="AO83" s="2752">
        <f>AM83/AN83</f>
        <v>1.5092963908129784</v>
      </c>
      <c r="AQ83" s="2775">
        <f>SUM(AQ21,AQ34,AQ52,AQ65,AQ81)</f>
        <v>3157</v>
      </c>
      <c r="AR83" s="2775">
        <v>2709</v>
      </c>
      <c r="AS83" s="2752">
        <f>AQ83/AR83</f>
        <v>1.1653746770025839</v>
      </c>
    </row>
    <row r="84" spans="1:45">
      <c r="F84" s="323"/>
    </row>
    <row r="85" spans="1:45">
      <c r="B85" s="2362" t="s">
        <v>2567</v>
      </c>
      <c r="F85" s="323"/>
    </row>
    <row r="86" spans="1:45">
      <c r="B86" s="24" t="s">
        <v>1590</v>
      </c>
      <c r="F86" s="323"/>
    </row>
    <row r="87" spans="1:45">
      <c r="F87" s="323"/>
    </row>
    <row r="88" spans="1:45">
      <c r="F88" s="323"/>
    </row>
    <row r="89" spans="1:45">
      <c r="F89" s="323"/>
    </row>
    <row r="90" spans="1:45">
      <c r="F90" s="323"/>
    </row>
    <row r="91" spans="1:45">
      <c r="F91" s="323"/>
    </row>
    <row r="92" spans="1:45">
      <c r="F92" s="323"/>
    </row>
    <row r="93" spans="1:45">
      <c r="F93" s="323"/>
    </row>
    <row r="94" spans="1:45">
      <c r="F94" s="323"/>
    </row>
    <row r="95" spans="1:45">
      <c r="F95" s="323"/>
    </row>
    <row r="96" spans="1:45">
      <c r="F96" s="323"/>
    </row>
    <row r="97" spans="6:6">
      <c r="F97" s="323"/>
    </row>
    <row r="98" spans="6:6">
      <c r="F98" s="323"/>
    </row>
    <row r="99" spans="6:6">
      <c r="F99" s="323"/>
    </row>
    <row r="100" spans="6:6">
      <c r="F100" s="323"/>
    </row>
    <row r="101" spans="6:6">
      <c r="F101" s="323"/>
    </row>
    <row r="102" spans="6:6">
      <c r="F102" s="323"/>
    </row>
    <row r="103" spans="6:6">
      <c r="F103" s="323"/>
    </row>
    <row r="104" spans="6:6">
      <c r="F104" s="323"/>
    </row>
    <row r="105" spans="6:6">
      <c r="F105" s="323"/>
    </row>
    <row r="106" spans="6:6">
      <c r="F106" s="323"/>
    </row>
    <row r="107" spans="6:6">
      <c r="F107" s="323"/>
    </row>
    <row r="108" spans="6:6">
      <c r="F108" s="323"/>
    </row>
    <row r="109" spans="6:6">
      <c r="F109" s="323"/>
    </row>
    <row r="110" spans="6:6">
      <c r="F110" s="323"/>
    </row>
    <row r="111" spans="6:6">
      <c r="F111" s="323"/>
    </row>
    <row r="112" spans="6:6">
      <c r="F112" s="323"/>
    </row>
    <row r="113" spans="6:6">
      <c r="F113" s="323"/>
    </row>
    <row r="114" spans="6:6">
      <c r="F114" s="323"/>
    </row>
    <row r="115" spans="6:6">
      <c r="F115" s="323"/>
    </row>
    <row r="116" spans="6:6">
      <c r="F116" s="323"/>
    </row>
    <row r="117" spans="6:6">
      <c r="F117" s="323"/>
    </row>
    <row r="118" spans="6:6">
      <c r="F118" s="323"/>
    </row>
    <row r="119" spans="6:6">
      <c r="F119" s="323"/>
    </row>
    <row r="120" spans="6:6">
      <c r="F120" s="323"/>
    </row>
    <row r="121" spans="6:6">
      <c r="F121" s="323"/>
    </row>
    <row r="122" spans="6:6">
      <c r="F122" s="323"/>
    </row>
    <row r="123" spans="6:6">
      <c r="F123" s="323"/>
    </row>
    <row r="124" spans="6:6">
      <c r="F124" s="323"/>
    </row>
    <row r="125" spans="6:6">
      <c r="F125" s="323"/>
    </row>
    <row r="126" spans="6:6">
      <c r="F126" s="323"/>
    </row>
    <row r="127" spans="6:6">
      <c r="F127" s="323"/>
    </row>
    <row r="128" spans="6:6">
      <c r="F128" s="323"/>
    </row>
    <row r="129" spans="6:6">
      <c r="F129" s="323"/>
    </row>
    <row r="130" spans="6:6">
      <c r="F130" s="323"/>
    </row>
    <row r="131" spans="6:6">
      <c r="F131" s="323"/>
    </row>
    <row r="132" spans="6:6">
      <c r="F132" s="323"/>
    </row>
    <row r="133" spans="6:6">
      <c r="F133" s="323"/>
    </row>
    <row r="134" spans="6:6">
      <c r="F134" s="323"/>
    </row>
    <row r="135" spans="6:6">
      <c r="F135" s="323"/>
    </row>
    <row r="136" spans="6:6">
      <c r="F136" s="323"/>
    </row>
    <row r="137" spans="6:6">
      <c r="F137" s="323"/>
    </row>
    <row r="138" spans="6:6">
      <c r="F138" s="323"/>
    </row>
    <row r="139" spans="6:6">
      <c r="F139" s="323"/>
    </row>
    <row r="140" spans="6:6">
      <c r="F140" s="323"/>
    </row>
    <row r="141" spans="6:6">
      <c r="F141" s="323"/>
    </row>
    <row r="142" spans="6:6">
      <c r="F142" s="323"/>
    </row>
    <row r="143" spans="6:6">
      <c r="F143" s="323"/>
    </row>
    <row r="144" spans="6:6">
      <c r="F144" s="323"/>
    </row>
    <row r="145" spans="6:6">
      <c r="F145" s="323"/>
    </row>
    <row r="146" spans="6:6">
      <c r="F146" s="323"/>
    </row>
    <row r="147" spans="6:6">
      <c r="F147" s="323"/>
    </row>
    <row r="148" spans="6:6">
      <c r="F148" s="323"/>
    </row>
    <row r="149" spans="6:6">
      <c r="F149" s="323"/>
    </row>
    <row r="150" spans="6:6">
      <c r="F150" s="323"/>
    </row>
    <row r="151" spans="6:6">
      <c r="F151" s="323"/>
    </row>
    <row r="152" spans="6:6">
      <c r="F152" s="323"/>
    </row>
    <row r="153" spans="6:6">
      <c r="F153" s="323"/>
    </row>
    <row r="154" spans="6:6">
      <c r="F154" s="323"/>
    </row>
    <row r="155" spans="6:6">
      <c r="F155" s="323"/>
    </row>
    <row r="156" spans="6:6">
      <c r="F156" s="323"/>
    </row>
    <row r="157" spans="6:6">
      <c r="F157" s="323"/>
    </row>
    <row r="158" spans="6:6">
      <c r="F158" s="323"/>
    </row>
    <row r="159" spans="6:6">
      <c r="F159" s="323"/>
    </row>
    <row r="160" spans="6:6">
      <c r="F160" s="323"/>
    </row>
    <row r="161" spans="6:6">
      <c r="F161" s="323"/>
    </row>
    <row r="162" spans="6:6">
      <c r="F162" s="323"/>
    </row>
    <row r="163" spans="6:6">
      <c r="F163" s="323"/>
    </row>
    <row r="164" spans="6:6">
      <c r="F164" s="323"/>
    </row>
    <row r="165" spans="6:6">
      <c r="F165" s="323"/>
    </row>
    <row r="166" spans="6:6">
      <c r="F166" s="323"/>
    </row>
    <row r="167" spans="6:6">
      <c r="F167" s="323"/>
    </row>
    <row r="168" spans="6:6">
      <c r="F168" s="323"/>
    </row>
  </sheetData>
  <sheetProtection algorithmName="SHA-512" hashValue="V+6LIis+r4/frqIiDRMqLHX40DoaHgdSEjvgK4P+l+EPZyQ/VIGyDBqPbF+TCQBPLop72AiGcXI+Zh9FMd99nQ==" saltValue="EC+yfCHoIqT6eTPKWCes5Q==" spinCount="100000" sheet="1" objects="1" scenarios="1"/>
  <mergeCells count="11">
    <mergeCell ref="AQ2:AS2"/>
    <mergeCell ref="AM2:AO2"/>
    <mergeCell ref="C2:E2"/>
    <mergeCell ref="G2:I2"/>
    <mergeCell ref="AI2:AK2"/>
    <mergeCell ref="AE2:AG2"/>
    <mergeCell ref="AA2:AC2"/>
    <mergeCell ref="W2:Y2"/>
    <mergeCell ref="K2:M2"/>
    <mergeCell ref="O2:Q2"/>
    <mergeCell ref="S2:U2"/>
  </mergeCells>
  <printOptions horizontalCentered="1" verticalCentered="1"/>
  <pageMargins left="0.19685039370078741" right="0.19685039370078741" top="0.19685039370078741" bottom="0.19685039370078741" header="0.31496062992125984" footer="0.31496062992125984"/>
  <pageSetup scale="44" orientation="landscape" r:id="rId1"/>
  <ignoredErrors>
    <ignoredError sqref="E83 O83:Q83 G70:H79 U83 Y83 AC83 AG83 Y80:Y81 U16:U17 O16:Q16 C16:E16 I70:I81 G16:I16 I83 K16:M16 K83:M83 K9:M15 G9:I15 C9:E15 O9:Q15 U9:U15 U19:U81 O19:Q19 C19:E19 G19:I19 K19:M19 O21:Q81 O20 Q20 K21:M81 K20 M20 G21:I69 G20 I20 C21:E79 C20 E20 C17 E17 G17 I17 K17 M17 O17 Q17" formula="1"/>
    <ignoredError sqref="X80" formulaRang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499984740745262"/>
  </sheetPr>
  <dimension ref="A1:AS88"/>
  <sheetViews>
    <sheetView showGridLines="0" zoomScaleNormal="100" workbookViewId="0">
      <pane xSplit="2" ySplit="3" topLeftCell="AF79" activePane="bottomRight" state="frozen"/>
      <selection pane="topRight" activeCell="D1" sqref="D1"/>
      <selection pane="bottomLeft" activeCell="A5" sqref="A5"/>
      <selection pane="bottomRight" activeCell="AQ4" sqref="AQ4:AQ81"/>
    </sheetView>
  </sheetViews>
  <sheetFormatPr baseColWidth="10" defaultRowHeight="14.4"/>
  <cols>
    <col min="1" max="1" width="2.77734375" style="167" customWidth="1"/>
    <col min="2" max="2" width="48" customWidth="1"/>
    <col min="3" max="3" width="8.77734375" customWidth="1"/>
    <col min="4" max="4" width="10.77734375" customWidth="1"/>
    <col min="5" max="5" width="7.77734375" style="100" customWidth="1"/>
    <col min="6" max="6" width="1.77734375" style="100" customWidth="1"/>
    <col min="7" max="7" width="8.77734375" customWidth="1"/>
    <col min="8" max="8" width="10.77734375" customWidth="1"/>
    <col min="9" max="9" width="7.77734375" style="100" customWidth="1"/>
    <col min="10" max="10" width="1.77734375" style="100" customWidth="1"/>
    <col min="11" max="11" width="8.77734375" customWidth="1"/>
    <col min="12" max="12" width="10.77734375" customWidth="1"/>
    <col min="13" max="13" width="7.77734375" style="100" customWidth="1"/>
    <col min="14" max="14" width="1.77734375" style="100" customWidth="1"/>
    <col min="15" max="15" width="8.77734375" customWidth="1"/>
    <col min="16" max="16" width="10.77734375" customWidth="1"/>
    <col min="17" max="17" width="7.77734375" style="100" customWidth="1"/>
    <col min="18" max="18" width="1.77734375" style="100" customWidth="1"/>
    <col min="19" max="19" width="8.77734375" style="167" customWidth="1"/>
    <col min="20" max="20" width="10.77734375" customWidth="1"/>
    <col min="21" max="21" width="7.77734375" style="100" customWidth="1"/>
    <col min="22" max="22" width="1.77734375" style="100" customWidth="1"/>
    <col min="23" max="23" width="9" customWidth="1"/>
    <col min="25" max="25" width="7.77734375" style="100" customWidth="1"/>
    <col min="26" max="26" width="1.77734375" style="100" customWidth="1"/>
    <col min="27" max="27" width="9" customWidth="1"/>
    <col min="29" max="29" width="7.77734375" style="100" customWidth="1"/>
    <col min="30" max="30" width="1.77734375" style="100" customWidth="1"/>
    <col min="31" max="31" width="9" customWidth="1"/>
    <col min="33" max="33" width="7.77734375" style="100" customWidth="1"/>
    <col min="34" max="34" width="1.77734375" style="100" customWidth="1"/>
    <col min="35" max="35" width="9" customWidth="1"/>
    <col min="37" max="37" width="7.77734375" customWidth="1"/>
    <col min="38" max="38" width="1.77734375" customWidth="1"/>
    <col min="39" max="39" width="9" customWidth="1"/>
    <col min="41" max="41" width="7.77734375" customWidth="1"/>
    <col min="42" max="42" width="1.77734375" customWidth="1"/>
  </cols>
  <sheetData>
    <row r="1" spans="1:45" ht="57" customHeight="1">
      <c r="B1" s="63" t="s">
        <v>2753</v>
      </c>
      <c r="C1" s="323"/>
      <c r="D1" s="323"/>
      <c r="E1" s="2058"/>
      <c r="F1" s="2058"/>
      <c r="G1" s="323"/>
      <c r="H1" s="323"/>
      <c r="I1" s="2058"/>
      <c r="J1" s="2058"/>
      <c r="K1" s="323"/>
      <c r="L1" s="323"/>
      <c r="M1" s="2058"/>
      <c r="N1" s="2058"/>
      <c r="O1" s="323"/>
      <c r="P1" s="323"/>
      <c r="Q1" s="2058"/>
      <c r="R1" s="2058"/>
      <c r="S1" s="322"/>
    </row>
    <row r="2" spans="1:45" s="1" customFormat="1" ht="18">
      <c r="A2" s="2347"/>
      <c r="B2" s="2579"/>
      <c r="C2" s="6023">
        <v>2010</v>
      </c>
      <c r="D2" s="6023"/>
      <c r="E2" s="6023"/>
      <c r="F2" s="2058"/>
      <c r="G2" s="6023">
        <v>2011</v>
      </c>
      <c r="H2" s="6023"/>
      <c r="I2" s="6023"/>
      <c r="J2" s="2058"/>
      <c r="K2" s="6023">
        <v>2012</v>
      </c>
      <c r="L2" s="6023"/>
      <c r="M2" s="6023"/>
      <c r="N2" s="2058"/>
      <c r="O2" s="6023">
        <v>2013</v>
      </c>
      <c r="P2" s="6023"/>
      <c r="Q2" s="6023"/>
      <c r="R2" s="2058"/>
      <c r="S2" s="6023">
        <v>2014</v>
      </c>
      <c r="T2" s="6023"/>
      <c r="U2" s="6023"/>
      <c r="V2" s="2058"/>
      <c r="W2" s="6023">
        <v>2015</v>
      </c>
      <c r="X2" s="6023"/>
      <c r="Y2" s="6023"/>
      <c r="Z2" s="2058"/>
      <c r="AA2" s="6023">
        <v>2016</v>
      </c>
      <c r="AB2" s="6023"/>
      <c r="AC2" s="6023"/>
      <c r="AD2" s="2058"/>
      <c r="AE2" s="6023">
        <v>2017</v>
      </c>
      <c r="AF2" s="6023"/>
      <c r="AG2" s="6023"/>
      <c r="AH2" s="2058"/>
      <c r="AI2" s="6023">
        <v>2018</v>
      </c>
      <c r="AJ2" s="6023"/>
      <c r="AK2" s="6023"/>
      <c r="AL2" s="2058"/>
      <c r="AM2" s="6023">
        <v>2019</v>
      </c>
      <c r="AN2" s="6023"/>
      <c r="AO2" s="6023"/>
      <c r="AQ2" s="6023">
        <v>2020</v>
      </c>
      <c r="AR2" s="6023"/>
      <c r="AS2" s="6023"/>
    </row>
    <row r="3" spans="1:45" s="1" customFormat="1" ht="55.8" thickBot="1">
      <c r="A3" s="2347"/>
      <c r="B3" s="2599" t="s">
        <v>2665</v>
      </c>
      <c r="C3" s="2611" t="s">
        <v>1431</v>
      </c>
      <c r="D3" s="2611" t="s">
        <v>1094</v>
      </c>
      <c r="E3" s="2615" t="s">
        <v>76</v>
      </c>
      <c r="F3" s="2058"/>
      <c r="G3" s="2611" t="s">
        <v>1431</v>
      </c>
      <c r="H3" s="2611" t="s">
        <v>1094</v>
      </c>
      <c r="I3" s="2615" t="s">
        <v>76</v>
      </c>
      <c r="J3" s="2058"/>
      <c r="K3" s="2611" t="s">
        <v>1431</v>
      </c>
      <c r="L3" s="2611" t="s">
        <v>1094</v>
      </c>
      <c r="M3" s="2615" t="s">
        <v>76</v>
      </c>
      <c r="N3" s="2058"/>
      <c r="O3" s="2611" t="s">
        <v>1431</v>
      </c>
      <c r="P3" s="2611" t="s">
        <v>1094</v>
      </c>
      <c r="Q3" s="2615" t="s">
        <v>76</v>
      </c>
      <c r="R3" s="2058"/>
      <c r="S3" s="2611" t="s">
        <v>1431</v>
      </c>
      <c r="T3" s="2611" t="s">
        <v>1094</v>
      </c>
      <c r="U3" s="2615" t="s">
        <v>76</v>
      </c>
      <c r="V3" s="2058"/>
      <c r="W3" s="2611" t="s">
        <v>1431</v>
      </c>
      <c r="X3" s="2611" t="s">
        <v>1094</v>
      </c>
      <c r="Y3" s="2615" t="s">
        <v>76</v>
      </c>
      <c r="Z3" s="2058"/>
      <c r="AA3" s="2611" t="s">
        <v>1431</v>
      </c>
      <c r="AB3" s="2611" t="s">
        <v>1094</v>
      </c>
      <c r="AC3" s="2615" t="s">
        <v>76</v>
      </c>
      <c r="AD3" s="2058"/>
      <c r="AE3" s="2611" t="s">
        <v>1431</v>
      </c>
      <c r="AF3" s="2611" t="s">
        <v>1094</v>
      </c>
      <c r="AG3" s="2615" t="s">
        <v>76</v>
      </c>
      <c r="AH3" s="2058"/>
      <c r="AI3" s="2611" t="s">
        <v>1431</v>
      </c>
      <c r="AJ3" s="2611" t="s">
        <v>1094</v>
      </c>
      <c r="AK3" s="2615" t="s">
        <v>76</v>
      </c>
      <c r="AL3" s="2058"/>
      <c r="AM3" s="2611" t="s">
        <v>1431</v>
      </c>
      <c r="AN3" s="2611" t="s">
        <v>1094</v>
      </c>
      <c r="AO3" s="2615" t="s">
        <v>76</v>
      </c>
      <c r="AQ3" s="2611" t="s">
        <v>1431</v>
      </c>
      <c r="AR3" s="2611" t="s">
        <v>1094</v>
      </c>
      <c r="AS3" s="2615" t="s">
        <v>76</v>
      </c>
    </row>
    <row r="4" spans="1:45" s="1" customFormat="1" ht="18">
      <c r="A4" s="2347"/>
      <c r="B4" s="2359" t="s">
        <v>1097</v>
      </c>
      <c r="C4" s="2788">
        <v>54</v>
      </c>
      <c r="D4" s="2360">
        <v>134</v>
      </c>
      <c r="E4" s="2776">
        <f>C4/D4</f>
        <v>0.40298507462686567</v>
      </c>
      <c r="F4" s="2058"/>
      <c r="G4" s="2788">
        <v>72</v>
      </c>
      <c r="H4" s="2360">
        <v>136</v>
      </c>
      <c r="I4" s="2776">
        <f>G4/H4</f>
        <v>0.52941176470588236</v>
      </c>
      <c r="J4" s="2058"/>
      <c r="K4" s="2788">
        <v>58</v>
      </c>
      <c r="L4" s="2360">
        <v>139</v>
      </c>
      <c r="M4" s="2776">
        <f>K4/L4</f>
        <v>0.41726618705035973</v>
      </c>
      <c r="N4" s="2058"/>
      <c r="O4" s="2788">
        <v>82</v>
      </c>
      <c r="P4" s="2360">
        <v>139</v>
      </c>
      <c r="Q4" s="2776">
        <f>O4/P4</f>
        <v>0.58992805755395683</v>
      </c>
      <c r="R4" s="2058"/>
      <c r="S4" s="2788">
        <v>91</v>
      </c>
      <c r="T4" s="2360">
        <v>145</v>
      </c>
      <c r="U4" s="2776">
        <f>S4/T4</f>
        <v>0.62758620689655176</v>
      </c>
      <c r="V4" s="2058"/>
      <c r="W4" s="2788">
        <v>73</v>
      </c>
      <c r="X4" s="2360">
        <v>143</v>
      </c>
      <c r="Y4" s="2776">
        <f>W4/X4</f>
        <v>0.51048951048951052</v>
      </c>
      <c r="Z4" s="2058"/>
      <c r="AA4" s="2788">
        <v>70</v>
      </c>
      <c r="AB4" s="2360">
        <v>142</v>
      </c>
      <c r="AC4" s="2776">
        <f>AA4/AB4</f>
        <v>0.49295774647887325</v>
      </c>
      <c r="AD4" s="2058"/>
      <c r="AE4" s="2788">
        <v>99</v>
      </c>
      <c r="AF4" s="2360">
        <v>142</v>
      </c>
      <c r="AG4" s="2776">
        <f>AE4/AF4</f>
        <v>0.69718309859154926</v>
      </c>
      <c r="AH4" s="2058"/>
      <c r="AI4" s="2788">
        <v>97</v>
      </c>
      <c r="AJ4" s="2360">
        <v>143</v>
      </c>
      <c r="AK4" s="2776">
        <f>AI4/AJ4</f>
        <v>0.67832167832167833</v>
      </c>
      <c r="AL4" s="2058"/>
      <c r="AM4" s="2788">
        <v>93</v>
      </c>
      <c r="AN4" s="2360">
        <v>143</v>
      </c>
      <c r="AO4" s="2776">
        <f>AM4/AN4</f>
        <v>0.65034965034965031</v>
      </c>
      <c r="AQ4" s="2788">
        <v>66</v>
      </c>
      <c r="AR4" s="2360">
        <v>144</v>
      </c>
      <c r="AS4" s="2776">
        <f>AQ4/AR4</f>
        <v>0.45833333333333331</v>
      </c>
    </row>
    <row r="5" spans="1:45" s="1" customFormat="1" ht="18">
      <c r="A5" s="2347"/>
      <c r="B5" s="2355" t="s">
        <v>1098</v>
      </c>
      <c r="C5" s="2788">
        <v>4</v>
      </c>
      <c r="D5" s="2360">
        <v>52</v>
      </c>
      <c r="E5" s="2776">
        <f t="shared" ref="E5:E68" si="0">C5/D5</f>
        <v>7.6923076923076927E-2</v>
      </c>
      <c r="F5" s="2058"/>
      <c r="G5" s="2788">
        <v>13</v>
      </c>
      <c r="H5" s="2360">
        <v>52</v>
      </c>
      <c r="I5" s="2776">
        <f t="shared" ref="I5:I68" si="1">G5/H5</f>
        <v>0.25</v>
      </c>
      <c r="J5" s="2058"/>
      <c r="K5" s="2788">
        <v>9</v>
      </c>
      <c r="L5" s="2360">
        <v>52</v>
      </c>
      <c r="M5" s="2776">
        <f t="shared" ref="M5:M68" si="2">K5/L5</f>
        <v>0.17307692307692307</v>
      </c>
      <c r="N5" s="2058"/>
      <c r="O5" s="2788">
        <v>8</v>
      </c>
      <c r="P5" s="2360">
        <v>51</v>
      </c>
      <c r="Q5" s="2776">
        <f t="shared" ref="Q5:Q68" si="3">O5/P5</f>
        <v>0.15686274509803921</v>
      </c>
      <c r="R5" s="2058"/>
      <c r="S5" s="2788">
        <v>7</v>
      </c>
      <c r="T5" s="2360">
        <v>53</v>
      </c>
      <c r="U5" s="2776">
        <f t="shared" ref="U5:U68" si="4">S5/T5</f>
        <v>0.13207547169811321</v>
      </c>
      <c r="V5" s="2058"/>
      <c r="W5" s="2788">
        <v>15</v>
      </c>
      <c r="X5" s="2360">
        <v>56</v>
      </c>
      <c r="Y5" s="2776">
        <f t="shared" ref="Y5:Y52" si="5">W5/X5</f>
        <v>0.26785714285714285</v>
      </c>
      <c r="Z5" s="2058"/>
      <c r="AA5" s="2788">
        <v>8</v>
      </c>
      <c r="AB5" s="2360">
        <v>54</v>
      </c>
      <c r="AC5" s="2776">
        <f t="shared" ref="AC5:AC52" si="6">AA5/AB5</f>
        <v>0.14814814814814814</v>
      </c>
      <c r="AD5" s="2058"/>
      <c r="AE5" s="2788">
        <v>5</v>
      </c>
      <c r="AF5" s="2360">
        <v>56</v>
      </c>
      <c r="AG5" s="2776">
        <f t="shared" ref="AG5:AG52" si="7">AE5/AF5</f>
        <v>8.9285714285714288E-2</v>
      </c>
      <c r="AH5" s="2058"/>
      <c r="AI5" s="2788">
        <v>14</v>
      </c>
      <c r="AJ5" s="2360">
        <v>55</v>
      </c>
      <c r="AK5" s="2776">
        <f t="shared" ref="AK5:AK39" si="8">AI5/AJ5</f>
        <v>0.25454545454545452</v>
      </c>
      <c r="AL5" s="2058"/>
      <c r="AM5" s="2788">
        <v>8</v>
      </c>
      <c r="AN5" s="2360">
        <v>54</v>
      </c>
      <c r="AO5" s="2776">
        <f t="shared" ref="AO5:AO39" si="9">AM5/AN5</f>
        <v>0.14814814814814814</v>
      </c>
      <c r="AQ5" s="2788">
        <v>12</v>
      </c>
      <c r="AR5" s="2360">
        <v>51</v>
      </c>
      <c r="AS5" s="2776">
        <f t="shared" ref="AS5:AS39" si="10">AQ5/AR5</f>
        <v>0.23529411764705882</v>
      </c>
    </row>
    <row r="6" spans="1:45" s="1" customFormat="1" ht="18">
      <c r="A6" s="2347"/>
      <c r="B6" s="2355" t="s">
        <v>1099</v>
      </c>
      <c r="C6" s="2788">
        <v>38</v>
      </c>
      <c r="D6" s="2360">
        <v>64</v>
      </c>
      <c r="E6" s="2776">
        <f t="shared" si="0"/>
        <v>0.59375</v>
      </c>
      <c r="F6" s="2058"/>
      <c r="G6" s="2788">
        <v>42</v>
      </c>
      <c r="H6" s="2360">
        <v>62</v>
      </c>
      <c r="I6" s="2776">
        <f t="shared" si="1"/>
        <v>0.67741935483870963</v>
      </c>
      <c r="J6" s="2058"/>
      <c r="K6" s="2788">
        <v>31</v>
      </c>
      <c r="L6" s="2360">
        <v>63</v>
      </c>
      <c r="M6" s="2776">
        <f t="shared" si="2"/>
        <v>0.49206349206349204</v>
      </c>
      <c r="N6" s="2058"/>
      <c r="O6" s="2788">
        <v>12</v>
      </c>
      <c r="P6" s="2360">
        <v>64</v>
      </c>
      <c r="Q6" s="2776">
        <f t="shared" si="3"/>
        <v>0.1875</v>
      </c>
      <c r="R6" s="2058"/>
      <c r="S6" s="2788">
        <v>40</v>
      </c>
      <c r="T6" s="2360">
        <v>66</v>
      </c>
      <c r="U6" s="2776">
        <f t="shared" si="4"/>
        <v>0.60606060606060608</v>
      </c>
      <c r="V6" s="2058"/>
      <c r="W6" s="2788">
        <v>34</v>
      </c>
      <c r="X6" s="2360">
        <v>61</v>
      </c>
      <c r="Y6" s="2776">
        <f t="shared" si="5"/>
        <v>0.55737704918032782</v>
      </c>
      <c r="Z6" s="2058"/>
      <c r="AA6" s="2788">
        <v>46</v>
      </c>
      <c r="AB6" s="2360">
        <v>60</v>
      </c>
      <c r="AC6" s="2776">
        <f t="shared" si="6"/>
        <v>0.76666666666666672</v>
      </c>
      <c r="AD6" s="2058"/>
      <c r="AE6" s="2788">
        <v>37</v>
      </c>
      <c r="AF6" s="2360">
        <v>62</v>
      </c>
      <c r="AG6" s="2776">
        <f t="shared" si="7"/>
        <v>0.59677419354838712</v>
      </c>
      <c r="AH6" s="2058"/>
      <c r="AI6" s="2788">
        <v>37</v>
      </c>
      <c r="AJ6" s="2360">
        <v>65</v>
      </c>
      <c r="AK6" s="2776">
        <f t="shared" si="8"/>
        <v>0.56923076923076921</v>
      </c>
      <c r="AL6" s="2058"/>
      <c r="AM6" s="2788">
        <v>34</v>
      </c>
      <c r="AN6" s="2360">
        <v>67</v>
      </c>
      <c r="AO6" s="2776">
        <f t="shared" si="9"/>
        <v>0.5074626865671642</v>
      </c>
      <c r="AQ6" s="2788">
        <v>42</v>
      </c>
      <c r="AR6" s="2360">
        <v>63</v>
      </c>
      <c r="AS6" s="2776">
        <f t="shared" si="10"/>
        <v>0.66666666666666663</v>
      </c>
    </row>
    <row r="7" spans="1:45" s="1" customFormat="1" ht="18">
      <c r="A7" s="2347"/>
      <c r="B7" s="2355" t="s">
        <v>1100</v>
      </c>
      <c r="C7" s="2788">
        <v>21</v>
      </c>
      <c r="D7" s="2360">
        <v>50</v>
      </c>
      <c r="E7" s="2776">
        <f t="shared" si="0"/>
        <v>0.42</v>
      </c>
      <c r="F7" s="2058"/>
      <c r="G7" s="2788">
        <v>19</v>
      </c>
      <c r="H7" s="2360">
        <v>51</v>
      </c>
      <c r="I7" s="2776">
        <f t="shared" si="1"/>
        <v>0.37254901960784315</v>
      </c>
      <c r="J7" s="2058"/>
      <c r="K7" s="2788">
        <v>26</v>
      </c>
      <c r="L7" s="2360">
        <v>49</v>
      </c>
      <c r="M7" s="2776">
        <f t="shared" si="2"/>
        <v>0.53061224489795922</v>
      </c>
      <c r="N7" s="2058"/>
      <c r="O7" s="2788">
        <v>37</v>
      </c>
      <c r="P7" s="2360">
        <v>51</v>
      </c>
      <c r="Q7" s="2776">
        <f t="shared" si="3"/>
        <v>0.72549019607843135</v>
      </c>
      <c r="R7" s="2058"/>
      <c r="S7" s="2788">
        <v>33</v>
      </c>
      <c r="T7" s="2360">
        <v>51</v>
      </c>
      <c r="U7" s="2776">
        <f t="shared" si="4"/>
        <v>0.6470588235294118</v>
      </c>
      <c r="V7" s="2058"/>
      <c r="W7" s="2788">
        <v>40</v>
      </c>
      <c r="X7" s="2360">
        <v>50</v>
      </c>
      <c r="Y7" s="2776">
        <f t="shared" si="5"/>
        <v>0.8</v>
      </c>
      <c r="Z7" s="2058"/>
      <c r="AA7" s="2788">
        <v>31</v>
      </c>
      <c r="AB7" s="2360">
        <v>49</v>
      </c>
      <c r="AC7" s="2776">
        <f t="shared" si="6"/>
        <v>0.63265306122448983</v>
      </c>
      <c r="AD7" s="2058"/>
      <c r="AE7" s="2788">
        <v>40</v>
      </c>
      <c r="AF7" s="2360">
        <v>50</v>
      </c>
      <c r="AG7" s="2776">
        <f t="shared" si="7"/>
        <v>0.8</v>
      </c>
      <c r="AH7" s="2058"/>
      <c r="AI7" s="2788">
        <v>18</v>
      </c>
      <c r="AJ7" s="2360">
        <v>50</v>
      </c>
      <c r="AK7" s="2776">
        <f t="shared" si="8"/>
        <v>0.36</v>
      </c>
      <c r="AL7" s="2058"/>
      <c r="AM7" s="2788">
        <v>45</v>
      </c>
      <c r="AN7" s="2360">
        <v>53</v>
      </c>
      <c r="AO7" s="2776">
        <f t="shared" si="9"/>
        <v>0.84905660377358494</v>
      </c>
      <c r="AQ7" s="2788">
        <v>37</v>
      </c>
      <c r="AR7" s="2360">
        <v>53</v>
      </c>
      <c r="AS7" s="2776">
        <f t="shared" si="10"/>
        <v>0.69811320754716977</v>
      </c>
    </row>
    <row r="8" spans="1:45" s="1" customFormat="1" ht="18">
      <c r="A8" s="2347"/>
      <c r="B8" s="2356" t="s">
        <v>1101</v>
      </c>
      <c r="C8" s="2789">
        <v>11</v>
      </c>
      <c r="D8" s="2790">
        <v>42</v>
      </c>
      <c r="E8" s="2614">
        <f t="shared" si="0"/>
        <v>0.26190476190476192</v>
      </c>
      <c r="F8" s="2058"/>
      <c r="G8" s="2789">
        <v>7</v>
      </c>
      <c r="H8" s="2790">
        <v>41</v>
      </c>
      <c r="I8" s="2614">
        <f t="shared" si="1"/>
        <v>0.17073170731707318</v>
      </c>
      <c r="J8" s="2058"/>
      <c r="K8" s="2789">
        <v>3</v>
      </c>
      <c r="L8" s="2790">
        <v>45</v>
      </c>
      <c r="M8" s="2614">
        <f t="shared" si="2"/>
        <v>6.6666666666666666E-2</v>
      </c>
      <c r="N8" s="2058"/>
      <c r="O8" s="2789">
        <v>19</v>
      </c>
      <c r="P8" s="2790">
        <v>44</v>
      </c>
      <c r="Q8" s="2614">
        <f t="shared" si="3"/>
        <v>0.43181818181818182</v>
      </c>
      <c r="R8" s="2058"/>
      <c r="S8" s="2789">
        <v>11</v>
      </c>
      <c r="T8" s="2790">
        <v>42</v>
      </c>
      <c r="U8" s="2614">
        <f t="shared" si="4"/>
        <v>0.26190476190476192</v>
      </c>
      <c r="V8" s="2058"/>
      <c r="W8" s="2789">
        <v>17</v>
      </c>
      <c r="X8" s="2790">
        <v>41</v>
      </c>
      <c r="Y8" s="2614">
        <f t="shared" si="5"/>
        <v>0.41463414634146339</v>
      </c>
      <c r="Z8" s="2058"/>
      <c r="AA8" s="2789">
        <v>5</v>
      </c>
      <c r="AB8" s="2790">
        <v>43</v>
      </c>
      <c r="AC8" s="2614">
        <f t="shared" si="6"/>
        <v>0.11627906976744186</v>
      </c>
      <c r="AD8" s="2058"/>
      <c r="AE8" s="2789">
        <v>6</v>
      </c>
      <c r="AF8" s="2790">
        <v>45</v>
      </c>
      <c r="AG8" s="2614">
        <f t="shared" si="7"/>
        <v>0.13333333333333333</v>
      </c>
      <c r="AH8" s="2058"/>
      <c r="AI8" s="2789">
        <v>14</v>
      </c>
      <c r="AJ8" s="2790">
        <v>47</v>
      </c>
      <c r="AK8" s="2614">
        <f t="shared" si="8"/>
        <v>0.2978723404255319</v>
      </c>
      <c r="AL8" s="2058"/>
      <c r="AM8" s="2789">
        <v>9</v>
      </c>
      <c r="AN8" s="2790">
        <v>47</v>
      </c>
      <c r="AO8" s="2614">
        <f t="shared" si="9"/>
        <v>0.19148936170212766</v>
      </c>
      <c r="AQ8" s="2789">
        <v>12</v>
      </c>
      <c r="AR8" s="2790">
        <v>49</v>
      </c>
      <c r="AS8" s="2614">
        <f t="shared" si="10"/>
        <v>0.24489795918367346</v>
      </c>
    </row>
    <row r="9" spans="1:45" s="1" customFormat="1" ht="15" customHeight="1">
      <c r="A9" s="2347"/>
      <c r="B9" s="2316" t="s">
        <v>4</v>
      </c>
      <c r="C9" s="2791">
        <f>SUM(C4:C8)</f>
        <v>128</v>
      </c>
      <c r="D9" s="1135">
        <f>SUM(D4:D8)</f>
        <v>342</v>
      </c>
      <c r="E9" s="2777">
        <f t="shared" si="0"/>
        <v>0.3742690058479532</v>
      </c>
      <c r="F9" s="2058"/>
      <c r="G9" s="2791">
        <v>153</v>
      </c>
      <c r="H9" s="1135">
        <f>SUM(H4:H8)</f>
        <v>342</v>
      </c>
      <c r="I9" s="2777">
        <f t="shared" si="1"/>
        <v>0.44736842105263158</v>
      </c>
      <c r="J9" s="2058"/>
      <c r="K9" s="2791">
        <v>127</v>
      </c>
      <c r="L9" s="1135">
        <f>SUM(L4:L8)</f>
        <v>348</v>
      </c>
      <c r="M9" s="2777">
        <f t="shared" si="2"/>
        <v>0.36494252873563221</v>
      </c>
      <c r="N9" s="2058"/>
      <c r="O9" s="2791">
        <v>158</v>
      </c>
      <c r="P9" s="1135">
        <f>SUM(P4:P8)</f>
        <v>349</v>
      </c>
      <c r="Q9" s="2777">
        <f t="shared" si="3"/>
        <v>0.45272206303724927</v>
      </c>
      <c r="R9" s="2058"/>
      <c r="S9" s="2791">
        <f>SUM(S4:S8)</f>
        <v>182</v>
      </c>
      <c r="T9" s="1135">
        <f>SUM(T4:T8)</f>
        <v>357</v>
      </c>
      <c r="U9" s="2777">
        <f t="shared" si="4"/>
        <v>0.50980392156862742</v>
      </c>
      <c r="V9" s="2058"/>
      <c r="W9" s="2791">
        <f>SUM(W4:W8)</f>
        <v>179</v>
      </c>
      <c r="X9" s="1135">
        <v>351</v>
      </c>
      <c r="Y9" s="2777">
        <f t="shared" si="5"/>
        <v>0.50997150997150997</v>
      </c>
      <c r="Z9" s="2058"/>
      <c r="AA9" s="2791">
        <v>160</v>
      </c>
      <c r="AB9" s="1135">
        <f>SUM(AB4:AB8)</f>
        <v>348</v>
      </c>
      <c r="AC9" s="2777">
        <f t="shared" si="6"/>
        <v>0.45977011494252873</v>
      </c>
      <c r="AD9" s="2058"/>
      <c r="AE9" s="2791">
        <v>187</v>
      </c>
      <c r="AF9" s="1135">
        <f>SUM(AF4:AF8)</f>
        <v>355</v>
      </c>
      <c r="AG9" s="2777">
        <f t="shared" si="7"/>
        <v>0.52676056338028165</v>
      </c>
      <c r="AH9" s="2058"/>
      <c r="AI9" s="2791">
        <v>180</v>
      </c>
      <c r="AJ9" s="1135">
        <f>SUM(AJ4:AJ8)</f>
        <v>360</v>
      </c>
      <c r="AK9" s="2777">
        <f t="shared" si="8"/>
        <v>0.5</v>
      </c>
      <c r="AL9" s="2058"/>
      <c r="AM9" s="2791">
        <v>189</v>
      </c>
      <c r="AN9" s="1135">
        <v>364</v>
      </c>
      <c r="AO9" s="2777">
        <f t="shared" si="9"/>
        <v>0.51923076923076927</v>
      </c>
      <c r="AQ9" s="2791">
        <v>169</v>
      </c>
      <c r="AR9" s="1135">
        <v>360</v>
      </c>
      <c r="AS9" s="2777">
        <f t="shared" si="10"/>
        <v>0.46944444444444444</v>
      </c>
    </row>
    <row r="10" spans="1:45" s="1" customFormat="1" ht="18">
      <c r="A10" s="2347"/>
      <c r="B10" s="2354" t="s">
        <v>1102</v>
      </c>
      <c r="C10" s="2792"/>
      <c r="D10" s="2793">
        <v>42</v>
      </c>
      <c r="E10" s="2778">
        <f t="shared" si="0"/>
        <v>0</v>
      </c>
      <c r="F10" s="2058"/>
      <c r="G10" s="2792">
        <v>3</v>
      </c>
      <c r="H10" s="2793">
        <v>44</v>
      </c>
      <c r="I10" s="2778">
        <f t="shared" si="1"/>
        <v>6.8181818181818177E-2</v>
      </c>
      <c r="J10" s="2058"/>
      <c r="K10" s="2792">
        <v>15</v>
      </c>
      <c r="L10" s="2793">
        <v>44</v>
      </c>
      <c r="M10" s="2778">
        <f t="shared" si="2"/>
        <v>0.34090909090909088</v>
      </c>
      <c r="N10" s="2058"/>
      <c r="O10" s="2792">
        <v>11</v>
      </c>
      <c r="P10" s="2793">
        <v>43</v>
      </c>
      <c r="Q10" s="2778">
        <f t="shared" si="3"/>
        <v>0.2558139534883721</v>
      </c>
      <c r="R10" s="2058"/>
      <c r="S10" s="2792">
        <v>0</v>
      </c>
      <c r="T10" s="2793">
        <v>44</v>
      </c>
      <c r="U10" s="2778">
        <f t="shared" si="4"/>
        <v>0</v>
      </c>
      <c r="V10" s="2058"/>
      <c r="W10" s="2792"/>
      <c r="X10" s="2793">
        <v>43</v>
      </c>
      <c r="Y10" s="2778">
        <f t="shared" si="5"/>
        <v>0</v>
      </c>
      <c r="Z10" s="2058"/>
      <c r="AA10" s="2792"/>
      <c r="AB10" s="2793">
        <v>41</v>
      </c>
      <c r="AC10" s="2778">
        <f t="shared" si="6"/>
        <v>0</v>
      </c>
      <c r="AD10" s="2058"/>
      <c r="AE10" s="2792">
        <v>2</v>
      </c>
      <c r="AF10" s="2793">
        <v>45</v>
      </c>
      <c r="AG10" s="2778">
        <f t="shared" si="7"/>
        <v>4.4444444444444446E-2</v>
      </c>
      <c r="AH10" s="2058"/>
      <c r="AI10" s="2792">
        <v>2</v>
      </c>
      <c r="AJ10" s="2793">
        <v>49</v>
      </c>
      <c r="AK10" s="2778">
        <f t="shared" si="8"/>
        <v>4.0816326530612242E-2</v>
      </c>
      <c r="AL10" s="2058"/>
      <c r="AM10" s="2792">
        <v>1</v>
      </c>
      <c r="AN10" s="2793">
        <v>47</v>
      </c>
      <c r="AO10" s="2778">
        <f t="shared" si="9"/>
        <v>2.1276595744680851E-2</v>
      </c>
      <c r="AQ10" s="2792">
        <v>1</v>
      </c>
      <c r="AR10" s="2793">
        <v>46</v>
      </c>
      <c r="AS10" s="2778">
        <f t="shared" si="10"/>
        <v>2.1739130434782608E-2</v>
      </c>
    </row>
    <row r="11" spans="1:45" s="1" customFormat="1" ht="18">
      <c r="A11" s="2347"/>
      <c r="B11" s="2355" t="s">
        <v>1103</v>
      </c>
      <c r="C11" s="2792">
        <v>1</v>
      </c>
      <c r="D11" s="2793">
        <v>64</v>
      </c>
      <c r="E11" s="2778">
        <f t="shared" si="0"/>
        <v>1.5625E-2</v>
      </c>
      <c r="F11" s="2058"/>
      <c r="G11" s="2792"/>
      <c r="H11" s="2793">
        <v>63</v>
      </c>
      <c r="I11" s="2778">
        <f t="shared" si="1"/>
        <v>0</v>
      </c>
      <c r="J11" s="2058"/>
      <c r="K11" s="2792"/>
      <c r="L11" s="2793">
        <v>62</v>
      </c>
      <c r="M11" s="2778">
        <f t="shared" si="2"/>
        <v>0</v>
      </c>
      <c r="N11" s="2058"/>
      <c r="O11" s="2792"/>
      <c r="P11" s="2793">
        <v>73</v>
      </c>
      <c r="Q11" s="2778">
        <f t="shared" si="3"/>
        <v>0</v>
      </c>
      <c r="R11" s="2058"/>
      <c r="S11" s="2792">
        <v>1</v>
      </c>
      <c r="T11" s="2793">
        <v>71</v>
      </c>
      <c r="U11" s="2778">
        <f t="shared" si="4"/>
        <v>1.4084507042253521E-2</v>
      </c>
      <c r="V11" s="2058"/>
      <c r="W11" s="2792"/>
      <c r="X11" s="2793">
        <v>71</v>
      </c>
      <c r="Y11" s="2778">
        <f t="shared" si="5"/>
        <v>0</v>
      </c>
      <c r="Z11" s="2058"/>
      <c r="AA11" s="2792">
        <v>1</v>
      </c>
      <c r="AB11" s="2793">
        <v>68</v>
      </c>
      <c r="AC11" s="2778">
        <f t="shared" si="6"/>
        <v>1.4705882352941176E-2</v>
      </c>
      <c r="AD11" s="2058"/>
      <c r="AE11" s="2792">
        <v>1</v>
      </c>
      <c r="AF11" s="2793">
        <v>70</v>
      </c>
      <c r="AG11" s="2778">
        <f t="shared" si="7"/>
        <v>1.4285714285714285E-2</v>
      </c>
      <c r="AH11" s="2058"/>
      <c r="AI11" s="2792">
        <v>0</v>
      </c>
      <c r="AJ11" s="2793">
        <v>72</v>
      </c>
      <c r="AK11" s="2778">
        <f t="shared" si="8"/>
        <v>0</v>
      </c>
      <c r="AL11" s="2058"/>
      <c r="AM11" s="2792">
        <v>1</v>
      </c>
      <c r="AN11" s="2793">
        <v>70</v>
      </c>
      <c r="AO11" s="2778">
        <f t="shared" si="9"/>
        <v>1.4285714285714285E-2</v>
      </c>
      <c r="AQ11" s="2792">
        <v>1</v>
      </c>
      <c r="AR11" s="2793">
        <v>69</v>
      </c>
      <c r="AS11" s="2778">
        <f t="shared" si="10"/>
        <v>1.4492753623188406E-2</v>
      </c>
    </row>
    <row r="12" spans="1:45" s="1" customFormat="1" ht="18">
      <c r="A12" s="2347"/>
      <c r="B12" s="2355" t="s">
        <v>1104</v>
      </c>
      <c r="C12" s="2792"/>
      <c r="D12" s="2793">
        <v>71</v>
      </c>
      <c r="E12" s="2778">
        <f t="shared" si="0"/>
        <v>0</v>
      </c>
      <c r="F12" s="2058"/>
      <c r="G12" s="2792">
        <v>1</v>
      </c>
      <c r="H12" s="2793">
        <v>74</v>
      </c>
      <c r="I12" s="2778">
        <f t="shared" si="1"/>
        <v>1.3513513513513514E-2</v>
      </c>
      <c r="J12" s="2058"/>
      <c r="K12" s="2792">
        <v>19</v>
      </c>
      <c r="L12" s="2793">
        <v>74</v>
      </c>
      <c r="M12" s="2778">
        <f t="shared" si="2"/>
        <v>0.25675675675675674</v>
      </c>
      <c r="N12" s="2058"/>
      <c r="O12" s="2792">
        <v>12</v>
      </c>
      <c r="P12" s="2793">
        <v>76</v>
      </c>
      <c r="Q12" s="2778">
        <f t="shared" si="3"/>
        <v>0.15789473684210525</v>
      </c>
      <c r="R12" s="2058"/>
      <c r="S12" s="2792">
        <v>0</v>
      </c>
      <c r="T12" s="2793">
        <v>76</v>
      </c>
      <c r="U12" s="2778">
        <f t="shared" si="4"/>
        <v>0</v>
      </c>
      <c r="V12" s="2058"/>
      <c r="W12" s="2792"/>
      <c r="X12" s="2793">
        <v>74</v>
      </c>
      <c r="Y12" s="2778">
        <f t="shared" si="5"/>
        <v>0</v>
      </c>
      <c r="Z12" s="2058"/>
      <c r="AA12" s="2792">
        <v>3</v>
      </c>
      <c r="AB12" s="2793">
        <v>74</v>
      </c>
      <c r="AC12" s="2778">
        <f t="shared" si="6"/>
        <v>4.0540540540540543E-2</v>
      </c>
      <c r="AD12" s="2058"/>
      <c r="AE12" s="2792">
        <v>6</v>
      </c>
      <c r="AF12" s="2793">
        <v>78</v>
      </c>
      <c r="AG12" s="2778">
        <f t="shared" si="7"/>
        <v>7.6923076923076927E-2</v>
      </c>
      <c r="AH12" s="2058"/>
      <c r="AI12" s="2792">
        <v>3</v>
      </c>
      <c r="AJ12" s="2793">
        <v>77</v>
      </c>
      <c r="AK12" s="2778">
        <f t="shared" si="8"/>
        <v>3.896103896103896E-2</v>
      </c>
      <c r="AL12" s="2058"/>
      <c r="AM12" s="2792">
        <v>4</v>
      </c>
      <c r="AN12" s="2793">
        <v>76</v>
      </c>
      <c r="AO12" s="2778">
        <f t="shared" si="9"/>
        <v>5.2631578947368418E-2</v>
      </c>
      <c r="AQ12" s="2792">
        <v>0</v>
      </c>
      <c r="AR12" s="2793">
        <v>73</v>
      </c>
      <c r="AS12" s="2778">
        <f t="shared" si="10"/>
        <v>0</v>
      </c>
    </row>
    <row r="13" spans="1:45" s="1" customFormat="1" ht="18">
      <c r="A13" s="2347"/>
      <c r="B13" s="2355" t="s">
        <v>813</v>
      </c>
      <c r="C13" s="2792"/>
      <c r="D13" s="2793">
        <v>56</v>
      </c>
      <c r="E13" s="2778">
        <f t="shared" si="0"/>
        <v>0</v>
      </c>
      <c r="F13" s="2058"/>
      <c r="G13" s="2792"/>
      <c r="H13" s="2793">
        <v>57</v>
      </c>
      <c r="I13" s="2778">
        <f t="shared" si="1"/>
        <v>0</v>
      </c>
      <c r="J13" s="2058"/>
      <c r="K13" s="2792"/>
      <c r="L13" s="2793">
        <v>58</v>
      </c>
      <c r="M13" s="2778">
        <f t="shared" si="2"/>
        <v>0</v>
      </c>
      <c r="N13" s="2058"/>
      <c r="O13" s="2792"/>
      <c r="P13" s="2793">
        <v>58</v>
      </c>
      <c r="Q13" s="2778">
        <f t="shared" si="3"/>
        <v>0</v>
      </c>
      <c r="R13" s="2058"/>
      <c r="S13" s="2792">
        <v>0</v>
      </c>
      <c r="T13" s="2793">
        <v>58</v>
      </c>
      <c r="U13" s="2778">
        <f t="shared" si="4"/>
        <v>0</v>
      </c>
      <c r="V13" s="2058"/>
      <c r="W13" s="2792"/>
      <c r="X13" s="2793">
        <v>56</v>
      </c>
      <c r="Y13" s="2778">
        <f t="shared" si="5"/>
        <v>0</v>
      </c>
      <c r="Z13" s="2058"/>
      <c r="AA13" s="2792"/>
      <c r="AB13" s="2793">
        <v>56</v>
      </c>
      <c r="AC13" s="2778">
        <f t="shared" si="6"/>
        <v>0</v>
      </c>
      <c r="AD13" s="2058"/>
      <c r="AE13" s="2792">
        <v>1</v>
      </c>
      <c r="AF13" s="2793">
        <v>57</v>
      </c>
      <c r="AG13" s="2778">
        <f t="shared" si="7"/>
        <v>1.7543859649122806E-2</v>
      </c>
      <c r="AH13" s="2058"/>
      <c r="AI13" s="2792">
        <v>2</v>
      </c>
      <c r="AJ13" s="2793">
        <v>57</v>
      </c>
      <c r="AK13" s="2778">
        <f t="shared" si="8"/>
        <v>3.5087719298245612E-2</v>
      </c>
      <c r="AL13" s="2058"/>
      <c r="AM13" s="2792">
        <v>0</v>
      </c>
      <c r="AN13" s="2793">
        <v>57</v>
      </c>
      <c r="AO13" s="2778">
        <f t="shared" si="9"/>
        <v>0</v>
      </c>
      <c r="AQ13" s="2792">
        <v>3</v>
      </c>
      <c r="AR13" s="2793">
        <v>56</v>
      </c>
      <c r="AS13" s="2778">
        <f t="shared" si="10"/>
        <v>5.3571428571428568E-2</v>
      </c>
    </row>
    <row r="14" spans="1:45" s="1" customFormat="1" ht="18">
      <c r="A14" s="2347"/>
      <c r="B14" s="2355" t="s">
        <v>1105</v>
      </c>
      <c r="C14" s="2794"/>
      <c r="D14" s="2795">
        <v>75</v>
      </c>
      <c r="E14" s="2779">
        <f t="shared" si="0"/>
        <v>0</v>
      </c>
      <c r="F14" s="2058"/>
      <c r="G14" s="2794"/>
      <c r="H14" s="2795">
        <v>77</v>
      </c>
      <c r="I14" s="2779">
        <f t="shared" si="1"/>
        <v>0</v>
      </c>
      <c r="J14" s="2058"/>
      <c r="K14" s="2794">
        <v>1</v>
      </c>
      <c r="L14" s="2795">
        <v>76</v>
      </c>
      <c r="M14" s="2779">
        <f t="shared" si="2"/>
        <v>1.3157894736842105E-2</v>
      </c>
      <c r="N14" s="2058"/>
      <c r="O14" s="2794"/>
      <c r="P14" s="2795">
        <v>76</v>
      </c>
      <c r="Q14" s="2779">
        <f t="shared" si="3"/>
        <v>0</v>
      </c>
      <c r="R14" s="2058"/>
      <c r="S14" s="2794">
        <v>0</v>
      </c>
      <c r="T14" s="2795">
        <v>76</v>
      </c>
      <c r="U14" s="2779">
        <f t="shared" si="4"/>
        <v>0</v>
      </c>
      <c r="V14" s="2058"/>
      <c r="W14" s="2794">
        <v>1</v>
      </c>
      <c r="X14" s="2795">
        <v>75</v>
      </c>
      <c r="Y14" s="2779">
        <f t="shared" si="5"/>
        <v>1.3333333333333334E-2</v>
      </c>
      <c r="Z14" s="2058"/>
      <c r="AA14" s="2794">
        <v>1</v>
      </c>
      <c r="AB14" s="2795">
        <v>72</v>
      </c>
      <c r="AC14" s="2779">
        <f t="shared" si="6"/>
        <v>1.3888888888888888E-2</v>
      </c>
      <c r="AD14" s="2058"/>
      <c r="AE14" s="2794"/>
      <c r="AF14" s="2795">
        <v>73</v>
      </c>
      <c r="AG14" s="2779">
        <f t="shared" si="7"/>
        <v>0</v>
      </c>
      <c r="AH14" s="2058"/>
      <c r="AI14" s="2794">
        <v>0</v>
      </c>
      <c r="AJ14" s="2795">
        <v>76</v>
      </c>
      <c r="AK14" s="2779">
        <f t="shared" si="8"/>
        <v>0</v>
      </c>
      <c r="AL14" s="2058"/>
      <c r="AM14" s="2794">
        <v>1</v>
      </c>
      <c r="AN14" s="2795">
        <v>73</v>
      </c>
      <c r="AO14" s="2779">
        <f t="shared" si="9"/>
        <v>1.3698630136986301E-2</v>
      </c>
      <c r="AQ14" s="2794">
        <v>0</v>
      </c>
      <c r="AR14" s="2795">
        <v>73</v>
      </c>
      <c r="AS14" s="2779">
        <f t="shared" si="10"/>
        <v>0</v>
      </c>
    </row>
    <row r="15" spans="1:45" s="1" customFormat="1" ht="15" customHeight="1">
      <c r="A15" s="2347"/>
      <c r="B15" s="2316" t="s">
        <v>16</v>
      </c>
      <c r="C15" s="2791">
        <f>SUM(C10:C14)</f>
        <v>1</v>
      </c>
      <c r="D15" s="1135">
        <f>SUM(D10:D14)</f>
        <v>308</v>
      </c>
      <c r="E15" s="2777">
        <f t="shared" si="0"/>
        <v>3.246753246753247E-3</v>
      </c>
      <c r="F15" s="2058"/>
      <c r="G15" s="2791">
        <v>4</v>
      </c>
      <c r="H15" s="1135">
        <f>SUM(H10:H14)</f>
        <v>315</v>
      </c>
      <c r="I15" s="2777">
        <f t="shared" si="1"/>
        <v>1.2698412698412698E-2</v>
      </c>
      <c r="J15" s="2058"/>
      <c r="K15" s="2791">
        <v>35</v>
      </c>
      <c r="L15" s="1135">
        <f>SUM(L10:L14)</f>
        <v>314</v>
      </c>
      <c r="M15" s="2777">
        <f t="shared" si="2"/>
        <v>0.11146496815286625</v>
      </c>
      <c r="N15" s="2058"/>
      <c r="O15" s="2791">
        <v>23</v>
      </c>
      <c r="P15" s="1135">
        <f>SUM(P10:P14)</f>
        <v>326</v>
      </c>
      <c r="Q15" s="2777">
        <f t="shared" si="3"/>
        <v>7.0552147239263799E-2</v>
      </c>
      <c r="R15" s="2058"/>
      <c r="S15" s="2791">
        <f>SUM(S10:S14)</f>
        <v>1</v>
      </c>
      <c r="T15" s="1135">
        <f>SUM(T10:T14)</f>
        <v>325</v>
      </c>
      <c r="U15" s="2777">
        <f t="shared" si="4"/>
        <v>3.0769230769230769E-3</v>
      </c>
      <c r="V15" s="2058"/>
      <c r="W15" s="2791">
        <f>SUM(W10:W14)</f>
        <v>1</v>
      </c>
      <c r="X15" s="1135">
        <v>319</v>
      </c>
      <c r="Y15" s="2777">
        <f t="shared" si="5"/>
        <v>3.134796238244514E-3</v>
      </c>
      <c r="Z15" s="2058"/>
      <c r="AA15" s="2791">
        <v>5</v>
      </c>
      <c r="AB15" s="1135">
        <f>SUM(AB10:AB14)</f>
        <v>311</v>
      </c>
      <c r="AC15" s="2777">
        <f t="shared" si="6"/>
        <v>1.607717041800643E-2</v>
      </c>
      <c r="AD15" s="2058"/>
      <c r="AE15" s="2791">
        <v>10</v>
      </c>
      <c r="AF15" s="1135">
        <f>SUM(AF10:AF14)</f>
        <v>323</v>
      </c>
      <c r="AG15" s="2777">
        <f t="shared" si="7"/>
        <v>3.0959752321981424E-2</v>
      </c>
      <c r="AH15" s="2058"/>
      <c r="AI15" s="2791">
        <v>7</v>
      </c>
      <c r="AJ15" s="1135">
        <f>SUM(AJ10:AJ14)</f>
        <v>331</v>
      </c>
      <c r="AK15" s="2777">
        <f t="shared" si="8"/>
        <v>2.1148036253776436E-2</v>
      </c>
      <c r="AL15" s="2058"/>
      <c r="AM15" s="2791">
        <v>7</v>
      </c>
      <c r="AN15" s="1135">
        <v>323</v>
      </c>
      <c r="AO15" s="2777">
        <f t="shared" si="9"/>
        <v>2.1671826625386997E-2</v>
      </c>
      <c r="AQ15" s="2791">
        <v>5</v>
      </c>
      <c r="AR15" s="1135">
        <v>317</v>
      </c>
      <c r="AS15" s="2777">
        <f t="shared" si="10"/>
        <v>1.5772870662460567E-2</v>
      </c>
    </row>
    <row r="16" spans="1:45" s="1" customFormat="1" ht="18">
      <c r="A16" s="2347"/>
      <c r="B16" s="2355" t="s">
        <v>1107</v>
      </c>
      <c r="C16" s="2792">
        <v>1</v>
      </c>
      <c r="D16" s="2793">
        <v>55</v>
      </c>
      <c r="E16" s="2778">
        <f t="shared" si="0"/>
        <v>1.8181818181818181E-2</v>
      </c>
      <c r="F16" s="2058"/>
      <c r="G16" s="2792">
        <v>2</v>
      </c>
      <c r="H16" s="2793">
        <v>58</v>
      </c>
      <c r="I16" s="2778">
        <f t="shared" si="1"/>
        <v>3.4482758620689655E-2</v>
      </c>
      <c r="J16" s="2058"/>
      <c r="K16" s="2792"/>
      <c r="L16" s="2793">
        <v>57</v>
      </c>
      <c r="M16" s="2778">
        <f t="shared" si="2"/>
        <v>0</v>
      </c>
      <c r="N16" s="2058"/>
      <c r="O16" s="2792">
        <v>1</v>
      </c>
      <c r="P16" s="2793">
        <v>59</v>
      </c>
      <c r="Q16" s="2778">
        <f t="shared" si="3"/>
        <v>1.6949152542372881E-2</v>
      </c>
      <c r="R16" s="2058"/>
      <c r="S16" s="2792">
        <v>1</v>
      </c>
      <c r="T16" s="2793">
        <v>60</v>
      </c>
      <c r="U16" s="2778">
        <f t="shared" si="4"/>
        <v>1.6666666666666666E-2</v>
      </c>
      <c r="V16" s="2058"/>
      <c r="W16" s="2792"/>
      <c r="X16" s="2793">
        <v>60</v>
      </c>
      <c r="Y16" s="2778">
        <f t="shared" si="5"/>
        <v>0</v>
      </c>
      <c r="Z16" s="2058"/>
      <c r="AA16" s="2792"/>
      <c r="AB16" s="2793">
        <v>61</v>
      </c>
      <c r="AC16" s="2778">
        <f t="shared" si="6"/>
        <v>0</v>
      </c>
      <c r="AD16" s="2058"/>
      <c r="AE16" s="2792"/>
      <c r="AF16" s="2793">
        <v>60</v>
      </c>
      <c r="AG16" s="2778">
        <f t="shared" si="7"/>
        <v>0</v>
      </c>
      <c r="AH16" s="2058"/>
      <c r="AI16" s="2792">
        <v>0</v>
      </c>
      <c r="AJ16" s="2793">
        <v>61</v>
      </c>
      <c r="AK16" s="2778">
        <f t="shared" si="8"/>
        <v>0</v>
      </c>
      <c r="AL16" s="2058"/>
      <c r="AM16" s="2792">
        <v>0</v>
      </c>
      <c r="AN16" s="2793">
        <v>41</v>
      </c>
      <c r="AO16" s="2778">
        <f t="shared" si="9"/>
        <v>0</v>
      </c>
      <c r="AQ16" s="2792">
        <v>2</v>
      </c>
      <c r="AR16" s="2793">
        <v>41</v>
      </c>
      <c r="AS16" s="2778">
        <f t="shared" si="10"/>
        <v>4.878048780487805E-2</v>
      </c>
    </row>
    <row r="17" spans="1:45" s="1" customFormat="1" ht="18">
      <c r="A17" s="2347"/>
      <c r="B17" s="2355" t="s">
        <v>1108</v>
      </c>
      <c r="C17" s="2792"/>
      <c r="D17" s="2793">
        <v>41</v>
      </c>
      <c r="E17" s="2778">
        <f t="shared" si="0"/>
        <v>0</v>
      </c>
      <c r="F17" s="2058"/>
      <c r="G17" s="2792">
        <v>2</v>
      </c>
      <c r="H17" s="2793">
        <v>41</v>
      </c>
      <c r="I17" s="2778">
        <f t="shared" si="1"/>
        <v>4.878048780487805E-2</v>
      </c>
      <c r="J17" s="2058"/>
      <c r="K17" s="2792">
        <v>3</v>
      </c>
      <c r="L17" s="2793">
        <v>41</v>
      </c>
      <c r="M17" s="2778">
        <f t="shared" si="2"/>
        <v>7.3170731707317069E-2</v>
      </c>
      <c r="N17" s="2058"/>
      <c r="O17" s="2792"/>
      <c r="P17" s="2793">
        <v>44</v>
      </c>
      <c r="Q17" s="2778">
        <f t="shared" si="3"/>
        <v>0</v>
      </c>
      <c r="R17" s="2058"/>
      <c r="S17" s="2792">
        <v>2</v>
      </c>
      <c r="T17" s="2793">
        <v>45</v>
      </c>
      <c r="U17" s="2778">
        <f t="shared" si="4"/>
        <v>4.4444444444444446E-2</v>
      </c>
      <c r="V17" s="2058"/>
      <c r="W17" s="2792"/>
      <c r="X17" s="2793">
        <v>42</v>
      </c>
      <c r="Y17" s="2778">
        <f t="shared" si="5"/>
        <v>0</v>
      </c>
      <c r="Z17" s="2058"/>
      <c r="AA17" s="2792"/>
      <c r="AB17" s="2793">
        <v>40</v>
      </c>
      <c r="AC17" s="2778">
        <f t="shared" si="6"/>
        <v>0</v>
      </c>
      <c r="AD17" s="2058"/>
      <c r="AE17" s="2792"/>
      <c r="AF17" s="2793">
        <v>38</v>
      </c>
      <c r="AG17" s="2778">
        <f t="shared" si="7"/>
        <v>0</v>
      </c>
      <c r="AH17" s="2058"/>
      <c r="AI17" s="2792">
        <v>1</v>
      </c>
      <c r="AJ17" s="2793">
        <v>37</v>
      </c>
      <c r="AK17" s="2778">
        <f t="shared" si="8"/>
        <v>2.7027027027027029E-2</v>
      </c>
      <c r="AL17" s="2058"/>
      <c r="AM17" s="2792">
        <v>0</v>
      </c>
      <c r="AN17" s="2793">
        <v>60</v>
      </c>
      <c r="AO17" s="2778">
        <f t="shared" si="9"/>
        <v>0</v>
      </c>
      <c r="AQ17" s="2792">
        <v>1</v>
      </c>
      <c r="AR17" s="2793">
        <v>61</v>
      </c>
      <c r="AS17" s="2778">
        <f t="shared" si="10"/>
        <v>1.6393442622950821E-2</v>
      </c>
    </row>
    <row r="18" spans="1:45" s="1" customFormat="1" ht="18">
      <c r="A18" s="2347"/>
      <c r="B18" s="2355" t="s">
        <v>1109</v>
      </c>
      <c r="C18" s="2792">
        <v>2</v>
      </c>
      <c r="D18" s="2793">
        <v>36</v>
      </c>
      <c r="E18" s="2778">
        <f t="shared" si="0"/>
        <v>5.5555555555555552E-2</v>
      </c>
      <c r="F18" s="2058"/>
      <c r="G18" s="2792"/>
      <c r="H18" s="2793">
        <v>36</v>
      </c>
      <c r="I18" s="2778">
        <f t="shared" si="1"/>
        <v>0</v>
      </c>
      <c r="J18" s="2058"/>
      <c r="K18" s="2792"/>
      <c r="L18" s="2793">
        <v>38</v>
      </c>
      <c r="M18" s="2778">
        <f t="shared" si="2"/>
        <v>0</v>
      </c>
      <c r="N18" s="2058"/>
      <c r="O18" s="2792">
        <v>1</v>
      </c>
      <c r="P18" s="2793">
        <v>39</v>
      </c>
      <c r="Q18" s="2778">
        <f t="shared" si="3"/>
        <v>2.564102564102564E-2</v>
      </c>
      <c r="R18" s="2058"/>
      <c r="S18" s="2792">
        <v>1</v>
      </c>
      <c r="T18" s="2793">
        <v>41</v>
      </c>
      <c r="U18" s="2778">
        <f t="shared" si="4"/>
        <v>2.4390243902439025E-2</v>
      </c>
      <c r="V18" s="2058"/>
      <c r="W18" s="2792">
        <v>1</v>
      </c>
      <c r="X18" s="2793">
        <v>41</v>
      </c>
      <c r="Y18" s="2778">
        <f t="shared" si="5"/>
        <v>2.4390243902439025E-2</v>
      </c>
      <c r="Z18" s="2058"/>
      <c r="AA18" s="2792"/>
      <c r="AB18" s="2793">
        <v>41</v>
      </c>
      <c r="AC18" s="2778">
        <f t="shared" si="6"/>
        <v>0</v>
      </c>
      <c r="AD18" s="2058"/>
      <c r="AE18" s="2792">
        <v>5</v>
      </c>
      <c r="AF18" s="2793">
        <v>40</v>
      </c>
      <c r="AG18" s="2778">
        <f t="shared" si="7"/>
        <v>0.125</v>
      </c>
      <c r="AH18" s="2058"/>
      <c r="AI18" s="2792">
        <v>2</v>
      </c>
      <c r="AJ18" s="2793">
        <v>42</v>
      </c>
      <c r="AK18" s="2778">
        <f t="shared" si="8"/>
        <v>4.7619047619047616E-2</v>
      </c>
      <c r="AL18" s="2058"/>
      <c r="AM18" s="2792">
        <v>28</v>
      </c>
      <c r="AN18" s="2793">
        <v>37</v>
      </c>
      <c r="AO18" s="2778">
        <f t="shared" si="9"/>
        <v>0.7567567567567568</v>
      </c>
      <c r="AQ18" s="2792">
        <v>23</v>
      </c>
      <c r="AR18" s="2793">
        <v>35</v>
      </c>
      <c r="AS18" s="2778">
        <f t="shared" si="10"/>
        <v>0.65714285714285714</v>
      </c>
    </row>
    <row r="19" spans="1:45" s="1" customFormat="1" ht="18">
      <c r="A19" s="2347"/>
      <c r="B19" s="2355" t="s">
        <v>1110</v>
      </c>
      <c r="C19" s="2792"/>
      <c r="D19" s="2793">
        <v>67</v>
      </c>
      <c r="E19" s="2778">
        <f t="shared" si="0"/>
        <v>0</v>
      </c>
      <c r="F19" s="2058"/>
      <c r="G19" s="2792">
        <v>1</v>
      </c>
      <c r="H19" s="2793">
        <v>66</v>
      </c>
      <c r="I19" s="2778">
        <f t="shared" si="1"/>
        <v>1.5151515151515152E-2</v>
      </c>
      <c r="J19" s="2058"/>
      <c r="K19" s="2792"/>
      <c r="L19" s="2793">
        <v>70</v>
      </c>
      <c r="M19" s="2778">
        <f t="shared" si="2"/>
        <v>0</v>
      </c>
      <c r="N19" s="2058"/>
      <c r="O19" s="2792"/>
      <c r="P19" s="2793">
        <v>69</v>
      </c>
      <c r="Q19" s="2778">
        <f t="shared" si="3"/>
        <v>0</v>
      </c>
      <c r="R19" s="2058"/>
      <c r="S19" s="2792">
        <v>1</v>
      </c>
      <c r="T19" s="2793">
        <v>75</v>
      </c>
      <c r="U19" s="2778">
        <f t="shared" si="4"/>
        <v>1.3333333333333334E-2</v>
      </c>
      <c r="V19" s="2058"/>
      <c r="W19" s="2792">
        <v>1</v>
      </c>
      <c r="X19" s="2793">
        <v>72</v>
      </c>
      <c r="Y19" s="2778">
        <f t="shared" si="5"/>
        <v>1.3888888888888888E-2</v>
      </c>
      <c r="Z19" s="2058"/>
      <c r="AA19" s="2792">
        <v>4</v>
      </c>
      <c r="AB19" s="2793">
        <v>71</v>
      </c>
      <c r="AC19" s="2778">
        <f t="shared" si="6"/>
        <v>5.6338028169014086E-2</v>
      </c>
      <c r="AD19" s="2058"/>
      <c r="AE19" s="2792">
        <v>5</v>
      </c>
      <c r="AF19" s="2793">
        <v>71</v>
      </c>
      <c r="AG19" s="2778">
        <f t="shared" si="7"/>
        <v>7.0422535211267609E-2</v>
      </c>
      <c r="AH19" s="2058"/>
      <c r="AI19" s="2792">
        <v>2</v>
      </c>
      <c r="AJ19" s="2793">
        <v>73</v>
      </c>
      <c r="AK19" s="2778">
        <f t="shared" si="8"/>
        <v>2.7397260273972601E-2</v>
      </c>
      <c r="AL19" s="2058"/>
      <c r="AM19" s="2792">
        <v>21</v>
      </c>
      <c r="AN19" s="2793">
        <v>71</v>
      </c>
      <c r="AO19" s="2778">
        <f t="shared" si="9"/>
        <v>0.29577464788732394</v>
      </c>
      <c r="AQ19" s="2792">
        <v>16</v>
      </c>
      <c r="AR19" s="2793">
        <v>72</v>
      </c>
      <c r="AS19" s="2778">
        <f t="shared" si="10"/>
        <v>0.22222222222222221</v>
      </c>
    </row>
    <row r="20" spans="1:45" s="1" customFormat="1" ht="15" customHeight="1">
      <c r="A20" s="2347"/>
      <c r="B20" s="2348" t="s">
        <v>21</v>
      </c>
      <c r="C20" s="2796">
        <f>SUM(C16:C19)</f>
        <v>3</v>
      </c>
      <c r="D20" s="2349">
        <f>SUM(D16:D19)</f>
        <v>199</v>
      </c>
      <c r="E20" s="2780">
        <f t="shared" si="0"/>
        <v>1.507537688442211E-2</v>
      </c>
      <c r="F20" s="2058"/>
      <c r="G20" s="2796">
        <v>5</v>
      </c>
      <c r="H20" s="2349">
        <f>SUM(H16:H19)</f>
        <v>201</v>
      </c>
      <c r="I20" s="2780">
        <f t="shared" si="1"/>
        <v>2.4875621890547265E-2</v>
      </c>
      <c r="J20" s="2058"/>
      <c r="K20" s="2796">
        <v>3</v>
      </c>
      <c r="L20" s="2349">
        <f>SUM(L16:L19)</f>
        <v>206</v>
      </c>
      <c r="M20" s="2780">
        <f t="shared" si="2"/>
        <v>1.4563106796116505E-2</v>
      </c>
      <c r="N20" s="2058"/>
      <c r="O20" s="2796">
        <v>2</v>
      </c>
      <c r="P20" s="2349">
        <f>SUM(P16:P19)</f>
        <v>211</v>
      </c>
      <c r="Q20" s="2780">
        <f t="shared" si="3"/>
        <v>9.4786729857819912E-3</v>
      </c>
      <c r="R20" s="2058"/>
      <c r="S20" s="2796">
        <f>SUM(S16:S19)</f>
        <v>5</v>
      </c>
      <c r="T20" s="2349">
        <f>SUM(T16:T19)</f>
        <v>221</v>
      </c>
      <c r="U20" s="2780">
        <f t="shared" si="4"/>
        <v>2.2624434389140271E-2</v>
      </c>
      <c r="V20" s="2058"/>
      <c r="W20" s="2796">
        <f>SUM(W16:W19)</f>
        <v>2</v>
      </c>
      <c r="X20" s="2349">
        <v>215</v>
      </c>
      <c r="Y20" s="2780">
        <f t="shared" si="5"/>
        <v>9.3023255813953487E-3</v>
      </c>
      <c r="Z20" s="2058"/>
      <c r="AA20" s="2796">
        <v>4</v>
      </c>
      <c r="AB20" s="2349">
        <f>SUM(AB16:AB19)</f>
        <v>213</v>
      </c>
      <c r="AC20" s="2780">
        <f t="shared" si="6"/>
        <v>1.8779342723004695E-2</v>
      </c>
      <c r="AD20" s="2058"/>
      <c r="AE20" s="2796">
        <v>10</v>
      </c>
      <c r="AF20" s="2349">
        <f>SUM(AF16:AF19)</f>
        <v>209</v>
      </c>
      <c r="AG20" s="2780">
        <f t="shared" si="7"/>
        <v>4.784688995215311E-2</v>
      </c>
      <c r="AH20" s="2058"/>
      <c r="AI20" s="2796">
        <v>5</v>
      </c>
      <c r="AJ20" s="2349">
        <f>SUM(AJ16:AJ19)</f>
        <v>213</v>
      </c>
      <c r="AK20" s="2780">
        <f t="shared" si="8"/>
        <v>2.3474178403755867E-2</v>
      </c>
      <c r="AL20" s="2058"/>
      <c r="AM20" s="2796">
        <v>49</v>
      </c>
      <c r="AN20" s="2349">
        <v>209</v>
      </c>
      <c r="AO20" s="2780">
        <f t="shared" si="9"/>
        <v>0.23444976076555024</v>
      </c>
      <c r="AQ20" s="2796">
        <v>42</v>
      </c>
      <c r="AR20" s="2349">
        <v>209</v>
      </c>
      <c r="AS20" s="2780">
        <f t="shared" si="10"/>
        <v>0.20095693779904306</v>
      </c>
    </row>
    <row r="21" spans="1:45" s="1" customFormat="1" ht="15" customHeight="1">
      <c r="A21" s="2347"/>
      <c r="B21" s="2358" t="s">
        <v>1111</v>
      </c>
      <c r="C21" s="2797">
        <f>SUM(C20,C15,C9)</f>
        <v>132</v>
      </c>
      <c r="D21" s="2798">
        <f>SUM(D9,D15,D20)</f>
        <v>849</v>
      </c>
      <c r="E21" s="2781">
        <f t="shared" si="0"/>
        <v>0.15547703180212014</v>
      </c>
      <c r="F21" s="2058"/>
      <c r="G21" s="2797">
        <v>162</v>
      </c>
      <c r="H21" s="2798">
        <f>SUM(H9,H15,H20)</f>
        <v>858</v>
      </c>
      <c r="I21" s="2781">
        <f t="shared" si="1"/>
        <v>0.1888111888111888</v>
      </c>
      <c r="J21" s="2058"/>
      <c r="K21" s="2797">
        <v>165</v>
      </c>
      <c r="L21" s="2798">
        <f>SUM(L9,L15,L20)</f>
        <v>868</v>
      </c>
      <c r="M21" s="2781">
        <f t="shared" si="2"/>
        <v>0.19009216589861752</v>
      </c>
      <c r="N21" s="2058"/>
      <c r="O21" s="2797">
        <v>183</v>
      </c>
      <c r="P21" s="2798">
        <f>SUM(P9,P15,P20)</f>
        <v>886</v>
      </c>
      <c r="Q21" s="2781">
        <f t="shared" si="3"/>
        <v>0.20654627539503387</v>
      </c>
      <c r="R21" s="2058"/>
      <c r="S21" s="2797">
        <f>SUM(S9,S15,S20)</f>
        <v>188</v>
      </c>
      <c r="T21" s="2798">
        <f>SUM(T9,T15,T20)</f>
        <v>903</v>
      </c>
      <c r="U21" s="2781">
        <f t="shared" si="4"/>
        <v>0.20819490586932449</v>
      </c>
      <c r="V21" s="2058"/>
      <c r="W21" s="2797">
        <f>SUM(W20,W15,W9)</f>
        <v>182</v>
      </c>
      <c r="X21" s="2798">
        <v>885</v>
      </c>
      <c r="Y21" s="2781">
        <f t="shared" si="5"/>
        <v>0.20564971751412428</v>
      </c>
      <c r="Z21" s="2058"/>
      <c r="AA21" s="2797">
        <v>169</v>
      </c>
      <c r="AB21" s="2798">
        <f>SUM(AB9,AB15,AB20)</f>
        <v>872</v>
      </c>
      <c r="AC21" s="2781">
        <f t="shared" si="6"/>
        <v>0.19380733944954129</v>
      </c>
      <c r="AD21" s="2058"/>
      <c r="AE21" s="2797">
        <v>207</v>
      </c>
      <c r="AF21" s="2798">
        <f>SUM(AF9,AF15,AF20)</f>
        <v>887</v>
      </c>
      <c r="AG21" s="2781">
        <f t="shared" si="7"/>
        <v>0.23337091319052988</v>
      </c>
      <c r="AH21" s="2058"/>
      <c r="AI21" s="2797">
        <v>192</v>
      </c>
      <c r="AJ21" s="2798">
        <f>SUM(AJ9,AJ15,AJ20)</f>
        <v>904</v>
      </c>
      <c r="AK21" s="2781">
        <f t="shared" si="8"/>
        <v>0.21238938053097345</v>
      </c>
      <c r="AL21" s="2058"/>
      <c r="AM21" s="2797">
        <v>245</v>
      </c>
      <c r="AN21" s="2798">
        <v>896</v>
      </c>
      <c r="AO21" s="2781">
        <f t="shared" si="9"/>
        <v>0.2734375</v>
      </c>
      <c r="AQ21" s="2797">
        <v>216</v>
      </c>
      <c r="AR21" s="2798">
        <v>886</v>
      </c>
      <c r="AS21" s="2781">
        <f t="shared" si="10"/>
        <v>0.24379232505643342</v>
      </c>
    </row>
    <row r="22" spans="1:45" s="1" customFormat="1" ht="18">
      <c r="A22" s="2347"/>
      <c r="B22" s="2354" t="s">
        <v>1112</v>
      </c>
      <c r="C22" s="2792"/>
      <c r="D22" s="2793">
        <v>16</v>
      </c>
      <c r="E22" s="2778">
        <f t="shared" si="0"/>
        <v>0</v>
      </c>
      <c r="F22" s="2058"/>
      <c r="G22" s="2792"/>
      <c r="H22" s="2793">
        <v>17</v>
      </c>
      <c r="I22" s="2778">
        <f t="shared" si="1"/>
        <v>0</v>
      </c>
      <c r="J22" s="2058"/>
      <c r="K22" s="2792"/>
      <c r="L22" s="2793">
        <v>18</v>
      </c>
      <c r="M22" s="2778">
        <f t="shared" si="2"/>
        <v>0</v>
      </c>
      <c r="N22" s="2058"/>
      <c r="O22" s="2792"/>
      <c r="P22" s="2793">
        <v>21</v>
      </c>
      <c r="Q22" s="2778">
        <f t="shared" si="3"/>
        <v>0</v>
      </c>
      <c r="R22" s="2058"/>
      <c r="S22" s="2792">
        <v>1</v>
      </c>
      <c r="T22" s="2793">
        <v>21</v>
      </c>
      <c r="U22" s="2778">
        <f t="shared" si="4"/>
        <v>4.7619047619047616E-2</v>
      </c>
      <c r="V22" s="2058"/>
      <c r="W22" s="2792"/>
      <c r="X22" s="2793">
        <v>19</v>
      </c>
      <c r="Y22" s="2778">
        <f t="shared" si="5"/>
        <v>0</v>
      </c>
      <c r="Z22" s="2058"/>
      <c r="AA22" s="2792"/>
      <c r="AB22" s="2793">
        <v>18</v>
      </c>
      <c r="AC22" s="2778">
        <f t="shared" si="6"/>
        <v>0</v>
      </c>
      <c r="AD22" s="2058"/>
      <c r="AE22" s="2792"/>
      <c r="AF22" s="2793">
        <v>19</v>
      </c>
      <c r="AG22" s="2778">
        <f t="shared" si="7"/>
        <v>0</v>
      </c>
      <c r="AH22" s="2058"/>
      <c r="AI22" s="2792">
        <v>1</v>
      </c>
      <c r="AJ22" s="2793">
        <v>16</v>
      </c>
      <c r="AK22" s="2778">
        <f t="shared" si="8"/>
        <v>6.25E-2</v>
      </c>
      <c r="AL22" s="2058"/>
      <c r="AM22" s="2792">
        <v>1</v>
      </c>
      <c r="AN22" s="2793">
        <v>16</v>
      </c>
      <c r="AO22" s="2778">
        <f t="shared" si="9"/>
        <v>6.25E-2</v>
      </c>
      <c r="AQ22" s="2792">
        <v>2</v>
      </c>
      <c r="AR22" s="2793">
        <v>16</v>
      </c>
      <c r="AS22" s="2778">
        <f t="shared" si="10"/>
        <v>0.125</v>
      </c>
    </row>
    <row r="23" spans="1:45" s="1" customFormat="1" ht="18">
      <c r="A23" s="2347"/>
      <c r="B23" s="2355" t="s">
        <v>1113</v>
      </c>
      <c r="C23" s="2792"/>
      <c r="D23" s="2793">
        <v>6</v>
      </c>
      <c r="E23" s="2778">
        <f t="shared" si="0"/>
        <v>0</v>
      </c>
      <c r="F23" s="2058"/>
      <c r="G23" s="2792">
        <v>2</v>
      </c>
      <c r="H23" s="2793">
        <v>7</v>
      </c>
      <c r="I23" s="2778">
        <f t="shared" si="1"/>
        <v>0.2857142857142857</v>
      </c>
      <c r="J23" s="2058"/>
      <c r="K23" s="2792">
        <v>3</v>
      </c>
      <c r="L23" s="2793">
        <v>14</v>
      </c>
      <c r="M23" s="2778">
        <f t="shared" si="2"/>
        <v>0.21428571428571427</v>
      </c>
      <c r="N23" s="2058"/>
      <c r="O23" s="2792">
        <v>3</v>
      </c>
      <c r="P23" s="2793">
        <v>13</v>
      </c>
      <c r="Q23" s="2778">
        <f t="shared" si="3"/>
        <v>0.23076923076923078</v>
      </c>
      <c r="R23" s="2058"/>
      <c r="S23" s="2792">
        <v>5</v>
      </c>
      <c r="T23" s="2793">
        <v>14</v>
      </c>
      <c r="U23" s="2778">
        <f t="shared" si="4"/>
        <v>0.35714285714285715</v>
      </c>
      <c r="V23" s="2058"/>
      <c r="W23" s="2792">
        <v>1</v>
      </c>
      <c r="X23" s="2793">
        <v>16</v>
      </c>
      <c r="Y23" s="2778">
        <f t="shared" si="5"/>
        <v>6.25E-2</v>
      </c>
      <c r="Z23" s="2058"/>
      <c r="AA23" s="2792">
        <v>1</v>
      </c>
      <c r="AB23" s="2793">
        <v>16</v>
      </c>
      <c r="AC23" s="2778">
        <f t="shared" si="6"/>
        <v>6.25E-2</v>
      </c>
      <c r="AD23" s="2058"/>
      <c r="AE23" s="2792"/>
      <c r="AF23" s="2793">
        <v>16</v>
      </c>
      <c r="AG23" s="2778">
        <f t="shared" si="7"/>
        <v>0</v>
      </c>
      <c r="AH23" s="2058"/>
      <c r="AI23" s="2792">
        <v>4</v>
      </c>
      <c r="AJ23" s="2793">
        <v>17</v>
      </c>
      <c r="AK23" s="2778">
        <f t="shared" si="8"/>
        <v>0.23529411764705882</v>
      </c>
      <c r="AL23" s="2058"/>
      <c r="AM23" s="2792">
        <v>13</v>
      </c>
      <c r="AN23" s="2793">
        <v>18</v>
      </c>
      <c r="AO23" s="2778">
        <f t="shared" si="9"/>
        <v>0.72222222222222221</v>
      </c>
      <c r="AQ23" s="2792">
        <v>8</v>
      </c>
      <c r="AR23" s="2793">
        <v>18</v>
      </c>
      <c r="AS23" s="2778">
        <f t="shared" si="10"/>
        <v>0.44444444444444442</v>
      </c>
    </row>
    <row r="24" spans="1:45" s="1" customFormat="1" ht="18">
      <c r="A24" s="2347"/>
      <c r="B24" s="2355" t="s">
        <v>1114</v>
      </c>
      <c r="C24" s="2792">
        <v>7</v>
      </c>
      <c r="D24" s="2793">
        <v>16</v>
      </c>
      <c r="E24" s="2778">
        <f t="shared" si="0"/>
        <v>0.4375</v>
      </c>
      <c r="F24" s="2058"/>
      <c r="G24" s="2792">
        <v>1</v>
      </c>
      <c r="H24" s="2793">
        <v>17</v>
      </c>
      <c r="I24" s="2778">
        <f t="shared" si="1"/>
        <v>5.8823529411764705E-2</v>
      </c>
      <c r="J24" s="2058"/>
      <c r="K24" s="2792">
        <v>3</v>
      </c>
      <c r="L24" s="2793">
        <v>20</v>
      </c>
      <c r="M24" s="2778">
        <f t="shared" si="2"/>
        <v>0.15</v>
      </c>
      <c r="N24" s="2058"/>
      <c r="O24" s="2792">
        <v>9</v>
      </c>
      <c r="P24" s="2793">
        <v>17</v>
      </c>
      <c r="Q24" s="2778">
        <f t="shared" si="3"/>
        <v>0.52941176470588236</v>
      </c>
      <c r="R24" s="2058"/>
      <c r="S24" s="2792">
        <v>13</v>
      </c>
      <c r="T24" s="2793">
        <v>17</v>
      </c>
      <c r="U24" s="2778">
        <f t="shared" si="4"/>
        <v>0.76470588235294112</v>
      </c>
      <c r="V24" s="2058"/>
      <c r="W24" s="2792">
        <v>5</v>
      </c>
      <c r="X24" s="2793">
        <v>19</v>
      </c>
      <c r="Y24" s="2778">
        <f t="shared" si="5"/>
        <v>0.26315789473684209</v>
      </c>
      <c r="Z24" s="2058"/>
      <c r="AA24" s="2792">
        <v>18</v>
      </c>
      <c r="AB24" s="2793">
        <v>19</v>
      </c>
      <c r="AC24" s="2778">
        <f t="shared" si="6"/>
        <v>0.94736842105263153</v>
      </c>
      <c r="AD24" s="2058"/>
      <c r="AE24" s="2792">
        <v>7</v>
      </c>
      <c r="AF24" s="2793">
        <v>19</v>
      </c>
      <c r="AG24" s="2778">
        <f t="shared" si="7"/>
        <v>0.36842105263157893</v>
      </c>
      <c r="AH24" s="2058"/>
      <c r="AI24" s="2792">
        <v>11</v>
      </c>
      <c r="AJ24" s="2793">
        <v>19</v>
      </c>
      <c r="AK24" s="2778">
        <f t="shared" si="8"/>
        <v>0.57894736842105265</v>
      </c>
      <c r="AL24" s="2058"/>
      <c r="AM24" s="2792">
        <v>16</v>
      </c>
      <c r="AN24" s="2793">
        <v>19</v>
      </c>
      <c r="AO24" s="2778">
        <f t="shared" si="9"/>
        <v>0.84210526315789469</v>
      </c>
      <c r="AQ24" s="2792">
        <v>26</v>
      </c>
      <c r="AR24" s="2793">
        <v>21</v>
      </c>
      <c r="AS24" s="2778">
        <f t="shared" si="10"/>
        <v>1.2380952380952381</v>
      </c>
    </row>
    <row r="25" spans="1:45" s="1" customFormat="1" ht="15" customHeight="1">
      <c r="A25" s="2347"/>
      <c r="B25" s="2316" t="s">
        <v>61</v>
      </c>
      <c r="C25" s="2791">
        <f>SUM(C22:C24)</f>
        <v>7</v>
      </c>
      <c r="D25" s="1135">
        <f>SUM(D22:D24)</f>
        <v>38</v>
      </c>
      <c r="E25" s="2777">
        <f t="shared" si="0"/>
        <v>0.18421052631578946</v>
      </c>
      <c r="F25" s="2058"/>
      <c r="G25" s="2791">
        <v>3</v>
      </c>
      <c r="H25" s="1135">
        <f>SUM(H22:H24)</f>
        <v>41</v>
      </c>
      <c r="I25" s="2777">
        <f t="shared" si="1"/>
        <v>7.3170731707317069E-2</v>
      </c>
      <c r="J25" s="2058"/>
      <c r="K25" s="2791">
        <v>6</v>
      </c>
      <c r="L25" s="1135">
        <f>SUM(L22:L24)</f>
        <v>52</v>
      </c>
      <c r="M25" s="2777">
        <f t="shared" si="2"/>
        <v>0.11538461538461539</v>
      </c>
      <c r="N25" s="2058"/>
      <c r="O25" s="2791">
        <v>12</v>
      </c>
      <c r="P25" s="1135">
        <f>SUM(P22:P24)</f>
        <v>51</v>
      </c>
      <c r="Q25" s="2777">
        <f t="shared" si="3"/>
        <v>0.23529411764705882</v>
      </c>
      <c r="R25" s="2058"/>
      <c r="S25" s="2791">
        <f>SUM(S22:S24)</f>
        <v>19</v>
      </c>
      <c r="T25" s="1135">
        <f>SUM(T22:T24)</f>
        <v>52</v>
      </c>
      <c r="U25" s="2777">
        <f t="shared" si="4"/>
        <v>0.36538461538461536</v>
      </c>
      <c r="V25" s="2058"/>
      <c r="W25" s="2791">
        <f>SUM(W22:W24)</f>
        <v>6</v>
      </c>
      <c r="X25" s="1135">
        <v>54</v>
      </c>
      <c r="Y25" s="2777">
        <f t="shared" si="5"/>
        <v>0.1111111111111111</v>
      </c>
      <c r="Z25" s="2058"/>
      <c r="AA25" s="2791">
        <v>19</v>
      </c>
      <c r="AB25" s="1135">
        <f>SUM(AB22:AB24)</f>
        <v>53</v>
      </c>
      <c r="AC25" s="2777">
        <f t="shared" si="6"/>
        <v>0.35849056603773582</v>
      </c>
      <c r="AD25" s="2058"/>
      <c r="AE25" s="2791">
        <v>7</v>
      </c>
      <c r="AF25" s="1135">
        <f>SUM(AF22:AF24)</f>
        <v>54</v>
      </c>
      <c r="AG25" s="2777">
        <f t="shared" si="7"/>
        <v>0.12962962962962962</v>
      </c>
      <c r="AH25" s="2058"/>
      <c r="AI25" s="2791">
        <v>16</v>
      </c>
      <c r="AJ25" s="1135">
        <f>SUM(AJ22:AJ24)</f>
        <v>52</v>
      </c>
      <c r="AK25" s="2777">
        <f t="shared" si="8"/>
        <v>0.30769230769230771</v>
      </c>
      <c r="AL25" s="2058"/>
      <c r="AM25" s="2791">
        <v>30</v>
      </c>
      <c r="AN25" s="1135">
        <v>53</v>
      </c>
      <c r="AO25" s="2777">
        <f t="shared" si="9"/>
        <v>0.56603773584905659</v>
      </c>
      <c r="AQ25" s="2791">
        <v>36</v>
      </c>
      <c r="AR25" s="1135">
        <v>55</v>
      </c>
      <c r="AS25" s="2777">
        <f t="shared" si="10"/>
        <v>0.65454545454545454</v>
      </c>
    </row>
    <row r="26" spans="1:45" s="1" customFormat="1" ht="18">
      <c r="A26" s="2347"/>
      <c r="B26" s="2355" t="s">
        <v>1115</v>
      </c>
      <c r="C26" s="2792">
        <v>7</v>
      </c>
      <c r="D26" s="2793">
        <v>8</v>
      </c>
      <c r="E26" s="2778">
        <f t="shared" si="0"/>
        <v>0.875</v>
      </c>
      <c r="F26" s="2058"/>
      <c r="G26" s="2792">
        <v>13</v>
      </c>
      <c r="H26" s="2793">
        <v>8</v>
      </c>
      <c r="I26" s="2778">
        <f t="shared" si="1"/>
        <v>1.625</v>
      </c>
      <c r="J26" s="2058"/>
      <c r="K26" s="2792">
        <v>6</v>
      </c>
      <c r="L26" s="2793">
        <v>9</v>
      </c>
      <c r="M26" s="2778">
        <f t="shared" si="2"/>
        <v>0.66666666666666663</v>
      </c>
      <c r="N26" s="2058"/>
      <c r="O26" s="2792">
        <v>19</v>
      </c>
      <c r="P26" s="2793">
        <v>10</v>
      </c>
      <c r="Q26" s="2778">
        <f t="shared" si="3"/>
        <v>1.9</v>
      </c>
      <c r="R26" s="2058"/>
      <c r="S26" s="2792">
        <v>10</v>
      </c>
      <c r="T26" s="2793">
        <v>10</v>
      </c>
      <c r="U26" s="2778">
        <f t="shared" si="4"/>
        <v>1</v>
      </c>
      <c r="V26" s="2058"/>
      <c r="W26" s="2792">
        <v>21</v>
      </c>
      <c r="X26" s="2793">
        <v>12</v>
      </c>
      <c r="Y26" s="2778">
        <f t="shared" si="5"/>
        <v>1.75</v>
      </c>
      <c r="Z26" s="2058"/>
      <c r="AA26" s="2792">
        <v>4</v>
      </c>
      <c r="AB26" s="2793">
        <v>13</v>
      </c>
      <c r="AC26" s="2778">
        <f t="shared" si="6"/>
        <v>0.30769230769230771</v>
      </c>
      <c r="AD26" s="2058"/>
      <c r="AE26" s="2792">
        <v>16</v>
      </c>
      <c r="AF26" s="2793">
        <v>13</v>
      </c>
      <c r="AG26" s="2778">
        <f t="shared" si="7"/>
        <v>1.2307692307692308</v>
      </c>
      <c r="AH26" s="2058"/>
      <c r="AI26" s="2792">
        <v>12</v>
      </c>
      <c r="AJ26" s="2793">
        <v>13</v>
      </c>
      <c r="AK26" s="2778">
        <f t="shared" si="8"/>
        <v>0.92307692307692313</v>
      </c>
      <c r="AL26" s="2058"/>
      <c r="AM26" s="2792">
        <v>22</v>
      </c>
      <c r="AN26" s="2793">
        <v>14</v>
      </c>
      <c r="AO26" s="2778">
        <f t="shared" si="9"/>
        <v>1.5714285714285714</v>
      </c>
      <c r="AQ26" s="2792">
        <v>25</v>
      </c>
      <c r="AR26" s="2793">
        <v>15</v>
      </c>
      <c r="AS26" s="2778">
        <f t="shared" si="10"/>
        <v>1.6666666666666667</v>
      </c>
    </row>
    <row r="27" spans="1:45" s="1" customFormat="1" ht="18">
      <c r="A27" s="2347"/>
      <c r="B27" s="2355" t="s">
        <v>1116</v>
      </c>
      <c r="C27" s="2792">
        <v>7</v>
      </c>
      <c r="D27" s="2793">
        <v>8</v>
      </c>
      <c r="E27" s="2778">
        <f t="shared" si="0"/>
        <v>0.875</v>
      </c>
      <c r="F27" s="2058"/>
      <c r="G27" s="2792">
        <v>9</v>
      </c>
      <c r="H27" s="2793">
        <v>11</v>
      </c>
      <c r="I27" s="2778">
        <f t="shared" si="1"/>
        <v>0.81818181818181823</v>
      </c>
      <c r="J27" s="2058"/>
      <c r="K27" s="2792">
        <v>18</v>
      </c>
      <c r="L27" s="2793">
        <v>14</v>
      </c>
      <c r="M27" s="2778">
        <f t="shared" si="2"/>
        <v>1.2857142857142858</v>
      </c>
      <c r="N27" s="2058"/>
      <c r="O27" s="2792">
        <v>20</v>
      </c>
      <c r="P27" s="2793">
        <v>14</v>
      </c>
      <c r="Q27" s="2778">
        <f t="shared" si="3"/>
        <v>1.4285714285714286</v>
      </c>
      <c r="R27" s="2058"/>
      <c r="S27" s="2792">
        <v>21</v>
      </c>
      <c r="T27" s="2793">
        <v>17</v>
      </c>
      <c r="U27" s="2778">
        <f t="shared" si="4"/>
        <v>1.2352941176470589</v>
      </c>
      <c r="V27" s="2058"/>
      <c r="W27" s="2792">
        <v>21</v>
      </c>
      <c r="X27" s="2793">
        <v>16</v>
      </c>
      <c r="Y27" s="2778">
        <f t="shared" si="5"/>
        <v>1.3125</v>
      </c>
      <c r="Z27" s="2058"/>
      <c r="AA27" s="2792">
        <v>18</v>
      </c>
      <c r="AB27" s="2793">
        <v>18</v>
      </c>
      <c r="AC27" s="2778">
        <f t="shared" si="6"/>
        <v>1</v>
      </c>
      <c r="AD27" s="2058"/>
      <c r="AE27" s="2792">
        <v>20</v>
      </c>
      <c r="AF27" s="2793">
        <v>19</v>
      </c>
      <c r="AG27" s="2778">
        <f t="shared" si="7"/>
        <v>1.0526315789473684</v>
      </c>
      <c r="AH27" s="2058"/>
      <c r="AI27" s="2792">
        <v>32</v>
      </c>
      <c r="AJ27" s="2793">
        <v>19</v>
      </c>
      <c r="AK27" s="2778">
        <f t="shared" si="8"/>
        <v>1.6842105263157894</v>
      </c>
      <c r="AL27" s="2058"/>
      <c r="AM27" s="2792">
        <v>29</v>
      </c>
      <c r="AN27" s="2793">
        <v>19</v>
      </c>
      <c r="AO27" s="2778">
        <f t="shared" si="9"/>
        <v>1.5263157894736843</v>
      </c>
      <c r="AQ27" s="2792">
        <v>17</v>
      </c>
      <c r="AR27" s="2793">
        <v>20</v>
      </c>
      <c r="AS27" s="2778">
        <f t="shared" si="10"/>
        <v>0.85</v>
      </c>
    </row>
    <row r="28" spans="1:45" s="1" customFormat="1" ht="18">
      <c r="A28" s="2347"/>
      <c r="B28" s="2355" t="s">
        <v>1117</v>
      </c>
      <c r="C28" s="2792">
        <v>14</v>
      </c>
      <c r="D28" s="2793">
        <v>11</v>
      </c>
      <c r="E28" s="2778">
        <f t="shared" si="0"/>
        <v>1.2727272727272727</v>
      </c>
      <c r="F28" s="2058"/>
      <c r="G28" s="2792">
        <v>13</v>
      </c>
      <c r="H28" s="2793">
        <v>14</v>
      </c>
      <c r="I28" s="2778">
        <f t="shared" si="1"/>
        <v>0.9285714285714286</v>
      </c>
      <c r="J28" s="2058"/>
      <c r="K28" s="2792">
        <v>4</v>
      </c>
      <c r="L28" s="2793">
        <v>13</v>
      </c>
      <c r="M28" s="2778">
        <f t="shared" si="2"/>
        <v>0.30769230769230771</v>
      </c>
      <c r="N28" s="2058"/>
      <c r="O28" s="2792">
        <v>27</v>
      </c>
      <c r="P28" s="2793">
        <v>14</v>
      </c>
      <c r="Q28" s="2778">
        <f t="shared" si="3"/>
        <v>1.9285714285714286</v>
      </c>
      <c r="R28" s="2058"/>
      <c r="S28" s="2792">
        <v>14</v>
      </c>
      <c r="T28" s="2793">
        <v>15</v>
      </c>
      <c r="U28" s="2778">
        <f t="shared" si="4"/>
        <v>0.93333333333333335</v>
      </c>
      <c r="V28" s="2058"/>
      <c r="W28" s="2792">
        <v>42</v>
      </c>
      <c r="X28" s="2793">
        <v>15</v>
      </c>
      <c r="Y28" s="2778">
        <f t="shared" si="5"/>
        <v>2.8</v>
      </c>
      <c r="Z28" s="2058"/>
      <c r="AA28" s="2792">
        <v>23</v>
      </c>
      <c r="AB28" s="2793">
        <v>15</v>
      </c>
      <c r="AC28" s="2778">
        <f t="shared" si="6"/>
        <v>1.5333333333333334</v>
      </c>
      <c r="AD28" s="2058"/>
      <c r="AE28" s="2792">
        <v>20</v>
      </c>
      <c r="AF28" s="2793">
        <v>16</v>
      </c>
      <c r="AG28" s="2778">
        <f t="shared" si="7"/>
        <v>1.25</v>
      </c>
      <c r="AH28" s="2058"/>
      <c r="AI28" s="2792">
        <v>31</v>
      </c>
      <c r="AJ28" s="2793">
        <v>17</v>
      </c>
      <c r="AK28" s="2778">
        <f t="shared" si="8"/>
        <v>1.8235294117647058</v>
      </c>
      <c r="AL28" s="2058"/>
      <c r="AM28" s="2792">
        <v>18</v>
      </c>
      <c r="AN28" s="2793">
        <v>17</v>
      </c>
      <c r="AO28" s="2778">
        <f t="shared" si="9"/>
        <v>1.0588235294117647</v>
      </c>
      <c r="AQ28" s="2792">
        <v>27</v>
      </c>
      <c r="AR28" s="2793">
        <v>17</v>
      </c>
      <c r="AS28" s="2778">
        <f t="shared" si="10"/>
        <v>1.588235294117647</v>
      </c>
    </row>
    <row r="29" spans="1:45" s="1" customFormat="1" ht="15" customHeight="1">
      <c r="A29" s="2347"/>
      <c r="B29" s="2316" t="s">
        <v>64</v>
      </c>
      <c r="C29" s="2791">
        <f>SUM(C26:C28)</f>
        <v>28</v>
      </c>
      <c r="D29" s="1135">
        <f>SUM(D26:D28)</f>
        <v>27</v>
      </c>
      <c r="E29" s="2777">
        <f t="shared" si="0"/>
        <v>1.037037037037037</v>
      </c>
      <c r="F29" s="2058"/>
      <c r="G29" s="2791">
        <v>35</v>
      </c>
      <c r="H29" s="1135">
        <f>SUM(H26:H28)</f>
        <v>33</v>
      </c>
      <c r="I29" s="2777">
        <f t="shared" si="1"/>
        <v>1.0606060606060606</v>
      </c>
      <c r="J29" s="2058"/>
      <c r="K29" s="2791">
        <v>28</v>
      </c>
      <c r="L29" s="1135">
        <f>SUM(L26:L28)</f>
        <v>36</v>
      </c>
      <c r="M29" s="2777">
        <f t="shared" si="2"/>
        <v>0.77777777777777779</v>
      </c>
      <c r="N29" s="2058"/>
      <c r="O29" s="2791">
        <v>66</v>
      </c>
      <c r="P29" s="1135">
        <f>SUM(P26:P28)</f>
        <v>38</v>
      </c>
      <c r="Q29" s="2777">
        <f t="shared" si="3"/>
        <v>1.736842105263158</v>
      </c>
      <c r="R29" s="2058"/>
      <c r="S29" s="2791">
        <f>SUM(S26:S28)</f>
        <v>45</v>
      </c>
      <c r="T29" s="1135">
        <f>SUM(T26:T28)</f>
        <v>42</v>
      </c>
      <c r="U29" s="2777">
        <f t="shared" si="4"/>
        <v>1.0714285714285714</v>
      </c>
      <c r="V29" s="2058"/>
      <c r="W29" s="2791">
        <f>SUM(W26:W28)</f>
        <v>84</v>
      </c>
      <c r="X29" s="1135">
        <v>43</v>
      </c>
      <c r="Y29" s="2777">
        <f t="shared" si="5"/>
        <v>1.9534883720930232</v>
      </c>
      <c r="Z29" s="2058"/>
      <c r="AA29" s="2791">
        <v>45</v>
      </c>
      <c r="AB29" s="1135">
        <f>SUM(AB26:AB28)</f>
        <v>46</v>
      </c>
      <c r="AC29" s="2777">
        <f t="shared" si="6"/>
        <v>0.97826086956521741</v>
      </c>
      <c r="AD29" s="2058"/>
      <c r="AE29" s="2791">
        <v>56</v>
      </c>
      <c r="AF29" s="1135">
        <f>SUM(AF26:AF28)</f>
        <v>48</v>
      </c>
      <c r="AG29" s="2777">
        <f t="shared" si="7"/>
        <v>1.1666666666666667</v>
      </c>
      <c r="AH29" s="2058"/>
      <c r="AI29" s="2791">
        <v>75</v>
      </c>
      <c r="AJ29" s="1135">
        <f>SUM(AJ26:AJ28)</f>
        <v>49</v>
      </c>
      <c r="AK29" s="2777">
        <f t="shared" si="8"/>
        <v>1.5306122448979591</v>
      </c>
      <c r="AL29" s="2058"/>
      <c r="AM29" s="2791">
        <v>69</v>
      </c>
      <c r="AN29" s="1135">
        <v>50</v>
      </c>
      <c r="AO29" s="2777">
        <f t="shared" si="9"/>
        <v>1.38</v>
      </c>
      <c r="AQ29" s="2791">
        <v>69</v>
      </c>
      <c r="AR29" s="1135">
        <v>52</v>
      </c>
      <c r="AS29" s="2777">
        <f t="shared" si="10"/>
        <v>1.3269230769230769</v>
      </c>
    </row>
    <row r="30" spans="1:45" s="1" customFormat="1" ht="18">
      <c r="A30" s="2347"/>
      <c r="B30" s="2355" t="s">
        <v>1118</v>
      </c>
      <c r="C30" s="2792">
        <v>1</v>
      </c>
      <c r="D30" s="2793">
        <v>11</v>
      </c>
      <c r="E30" s="2778">
        <f t="shared" si="0"/>
        <v>9.0909090909090912E-2</v>
      </c>
      <c r="F30" s="2058"/>
      <c r="G30" s="2792"/>
      <c r="H30" s="2793">
        <v>13</v>
      </c>
      <c r="I30" s="2778">
        <f t="shared" si="1"/>
        <v>0</v>
      </c>
      <c r="J30" s="2058"/>
      <c r="K30" s="2792"/>
      <c r="L30" s="2793">
        <v>13</v>
      </c>
      <c r="M30" s="2778">
        <f t="shared" si="2"/>
        <v>0</v>
      </c>
      <c r="N30" s="2058"/>
      <c r="O30" s="2792">
        <v>3</v>
      </c>
      <c r="P30" s="2793">
        <v>13</v>
      </c>
      <c r="Q30" s="2778">
        <f t="shared" si="3"/>
        <v>0.23076923076923078</v>
      </c>
      <c r="R30" s="2058"/>
      <c r="S30" s="2792">
        <v>1</v>
      </c>
      <c r="T30" s="2793">
        <v>13</v>
      </c>
      <c r="U30" s="2778">
        <f t="shared" si="4"/>
        <v>7.6923076923076927E-2</v>
      </c>
      <c r="V30" s="2058"/>
      <c r="W30" s="2792"/>
      <c r="X30" s="2793">
        <v>15</v>
      </c>
      <c r="Y30" s="2778">
        <f t="shared" si="5"/>
        <v>0</v>
      </c>
      <c r="Z30" s="2058"/>
      <c r="AA30" s="2792"/>
      <c r="AB30" s="2793">
        <v>15</v>
      </c>
      <c r="AC30" s="2778">
        <f t="shared" si="6"/>
        <v>0</v>
      </c>
      <c r="AD30" s="2058"/>
      <c r="AE30" s="2792"/>
      <c r="AF30" s="2793">
        <v>19</v>
      </c>
      <c r="AG30" s="2778">
        <f t="shared" si="7"/>
        <v>0</v>
      </c>
      <c r="AH30" s="2058"/>
      <c r="AI30" s="2792">
        <v>1</v>
      </c>
      <c r="AJ30" s="2793">
        <v>17</v>
      </c>
      <c r="AK30" s="2778">
        <f t="shared" si="8"/>
        <v>5.8823529411764705E-2</v>
      </c>
      <c r="AL30" s="2058"/>
      <c r="AM30" s="2792">
        <v>0</v>
      </c>
      <c r="AN30" s="2793">
        <v>18</v>
      </c>
      <c r="AO30" s="2778">
        <f t="shared" si="9"/>
        <v>0</v>
      </c>
      <c r="AQ30" s="2792">
        <v>0</v>
      </c>
      <c r="AR30" s="2793">
        <v>17</v>
      </c>
      <c r="AS30" s="2778">
        <f t="shared" si="10"/>
        <v>0</v>
      </c>
    </row>
    <row r="31" spans="1:45" s="1" customFormat="1" ht="18">
      <c r="A31" s="2347"/>
      <c r="B31" s="2355" t="s">
        <v>1119</v>
      </c>
      <c r="C31" s="2792"/>
      <c r="D31" s="2793">
        <v>12</v>
      </c>
      <c r="E31" s="2778">
        <f t="shared" si="0"/>
        <v>0</v>
      </c>
      <c r="F31" s="2058"/>
      <c r="G31" s="2792">
        <v>1</v>
      </c>
      <c r="H31" s="2793">
        <v>15</v>
      </c>
      <c r="I31" s="2778">
        <f t="shared" si="1"/>
        <v>6.6666666666666666E-2</v>
      </c>
      <c r="J31" s="2058"/>
      <c r="K31" s="2792">
        <v>14</v>
      </c>
      <c r="L31" s="2793">
        <v>12</v>
      </c>
      <c r="M31" s="2778">
        <f t="shared" si="2"/>
        <v>1.1666666666666667</v>
      </c>
      <c r="N31" s="2058"/>
      <c r="O31" s="2792">
        <v>6</v>
      </c>
      <c r="P31" s="2793">
        <v>13</v>
      </c>
      <c r="Q31" s="2778">
        <f t="shared" si="3"/>
        <v>0.46153846153846156</v>
      </c>
      <c r="R31" s="2058"/>
      <c r="S31" s="2792">
        <v>1</v>
      </c>
      <c r="T31" s="2793">
        <v>16</v>
      </c>
      <c r="U31" s="2778">
        <f t="shared" si="4"/>
        <v>6.25E-2</v>
      </c>
      <c r="V31" s="2058"/>
      <c r="W31" s="2792"/>
      <c r="X31" s="2793">
        <v>16</v>
      </c>
      <c r="Y31" s="2778">
        <f t="shared" si="5"/>
        <v>0</v>
      </c>
      <c r="Z31" s="2058"/>
      <c r="AA31" s="2792"/>
      <c r="AB31" s="2793">
        <v>18</v>
      </c>
      <c r="AC31" s="2778">
        <f t="shared" si="6"/>
        <v>0</v>
      </c>
      <c r="AD31" s="2058"/>
      <c r="AE31" s="2792"/>
      <c r="AF31" s="2793">
        <v>21</v>
      </c>
      <c r="AG31" s="2778">
        <f t="shared" si="7"/>
        <v>0</v>
      </c>
      <c r="AH31" s="2058"/>
      <c r="AI31" s="2792">
        <v>1</v>
      </c>
      <c r="AJ31" s="2793">
        <v>20</v>
      </c>
      <c r="AK31" s="2778">
        <f t="shared" si="8"/>
        <v>0.05</v>
      </c>
      <c r="AL31" s="2058"/>
      <c r="AM31" s="2792">
        <v>0</v>
      </c>
      <c r="AN31" s="2793">
        <v>20</v>
      </c>
      <c r="AO31" s="2778">
        <f t="shared" si="9"/>
        <v>0</v>
      </c>
      <c r="AQ31" s="2792">
        <v>0</v>
      </c>
      <c r="AR31" s="2793">
        <v>21</v>
      </c>
      <c r="AS31" s="2778">
        <f t="shared" si="10"/>
        <v>0</v>
      </c>
    </row>
    <row r="32" spans="1:45" s="1" customFormat="1" ht="18">
      <c r="A32" s="2347"/>
      <c r="B32" s="2355" t="s">
        <v>813</v>
      </c>
      <c r="C32" s="2792"/>
      <c r="D32" s="2793">
        <v>15</v>
      </c>
      <c r="E32" s="2778">
        <f t="shared" si="0"/>
        <v>0</v>
      </c>
      <c r="F32" s="2058"/>
      <c r="G32" s="2792"/>
      <c r="H32" s="2793">
        <v>17</v>
      </c>
      <c r="I32" s="2778">
        <f t="shared" si="1"/>
        <v>0</v>
      </c>
      <c r="J32" s="2058"/>
      <c r="K32" s="2792"/>
      <c r="L32" s="2793">
        <v>17</v>
      </c>
      <c r="M32" s="2778">
        <f t="shared" si="2"/>
        <v>0</v>
      </c>
      <c r="N32" s="2058"/>
      <c r="O32" s="2792"/>
      <c r="P32" s="2793">
        <v>20</v>
      </c>
      <c r="Q32" s="2778">
        <f t="shared" si="3"/>
        <v>0</v>
      </c>
      <c r="R32" s="2058"/>
      <c r="S32" s="2792">
        <v>0</v>
      </c>
      <c r="T32" s="2793">
        <v>20</v>
      </c>
      <c r="U32" s="2778">
        <f t="shared" si="4"/>
        <v>0</v>
      </c>
      <c r="V32" s="2058"/>
      <c r="W32" s="2792"/>
      <c r="X32" s="2793">
        <v>19</v>
      </c>
      <c r="Y32" s="2778">
        <f t="shared" si="5"/>
        <v>0</v>
      </c>
      <c r="Z32" s="2058"/>
      <c r="AA32" s="2792">
        <v>2</v>
      </c>
      <c r="AB32" s="2793">
        <v>21</v>
      </c>
      <c r="AC32" s="2778">
        <f t="shared" si="6"/>
        <v>9.5238095238095233E-2</v>
      </c>
      <c r="AD32" s="2058"/>
      <c r="AE32" s="2792">
        <v>3</v>
      </c>
      <c r="AF32" s="2793">
        <v>21</v>
      </c>
      <c r="AG32" s="2778">
        <f t="shared" si="7"/>
        <v>0.14285714285714285</v>
      </c>
      <c r="AH32" s="2058"/>
      <c r="AI32" s="2792">
        <v>6</v>
      </c>
      <c r="AJ32" s="2793">
        <v>22</v>
      </c>
      <c r="AK32" s="2778">
        <f t="shared" si="8"/>
        <v>0.27272727272727271</v>
      </c>
      <c r="AL32" s="2058"/>
      <c r="AM32" s="2792">
        <v>2</v>
      </c>
      <c r="AN32" s="2793">
        <v>21</v>
      </c>
      <c r="AO32" s="2778">
        <f t="shared" si="9"/>
        <v>9.5238095238095233E-2</v>
      </c>
      <c r="AQ32" s="2792">
        <v>2</v>
      </c>
      <c r="AR32" s="2793">
        <v>21</v>
      </c>
      <c r="AS32" s="2778">
        <f t="shared" si="10"/>
        <v>9.5238095238095233E-2</v>
      </c>
    </row>
    <row r="33" spans="1:45" s="1" customFormat="1" ht="15" customHeight="1">
      <c r="A33" s="2347"/>
      <c r="B33" s="2348" t="s">
        <v>16</v>
      </c>
      <c r="C33" s="2796">
        <f>SUM(C30:C32)</f>
        <v>1</v>
      </c>
      <c r="D33" s="2349">
        <f>SUM(D30:D32)</f>
        <v>38</v>
      </c>
      <c r="E33" s="2780">
        <f t="shared" si="0"/>
        <v>2.6315789473684209E-2</v>
      </c>
      <c r="F33" s="2058"/>
      <c r="G33" s="2796">
        <v>1</v>
      </c>
      <c r="H33" s="2349">
        <f>SUM(H30:H32)</f>
        <v>45</v>
      </c>
      <c r="I33" s="2780">
        <f t="shared" si="1"/>
        <v>2.2222222222222223E-2</v>
      </c>
      <c r="J33" s="2058"/>
      <c r="K33" s="2796">
        <v>14</v>
      </c>
      <c r="L33" s="2349">
        <f>SUM(L30:L32)</f>
        <v>42</v>
      </c>
      <c r="M33" s="2780">
        <f t="shared" si="2"/>
        <v>0.33333333333333331</v>
      </c>
      <c r="N33" s="2058"/>
      <c r="O33" s="2796">
        <v>9</v>
      </c>
      <c r="P33" s="2349">
        <f>SUM(P30:P32)</f>
        <v>46</v>
      </c>
      <c r="Q33" s="2780">
        <f t="shared" si="3"/>
        <v>0.19565217391304349</v>
      </c>
      <c r="R33" s="2058"/>
      <c r="S33" s="2796">
        <f>SUM(S30:S32)</f>
        <v>2</v>
      </c>
      <c r="T33" s="2349">
        <f>SUM(T30:T32)</f>
        <v>49</v>
      </c>
      <c r="U33" s="2780">
        <f t="shared" si="4"/>
        <v>4.0816326530612242E-2</v>
      </c>
      <c r="V33" s="2058"/>
      <c r="W33" s="2796">
        <f>SUM(W30:W32)</f>
        <v>0</v>
      </c>
      <c r="X33" s="2349">
        <v>50</v>
      </c>
      <c r="Y33" s="2780">
        <f t="shared" si="5"/>
        <v>0</v>
      </c>
      <c r="Z33" s="2058"/>
      <c r="AA33" s="2796">
        <v>2</v>
      </c>
      <c r="AB33" s="2349">
        <f>SUM(AB30:AB32)</f>
        <v>54</v>
      </c>
      <c r="AC33" s="2780">
        <f t="shared" si="6"/>
        <v>3.7037037037037035E-2</v>
      </c>
      <c r="AD33" s="2058"/>
      <c r="AE33" s="2796">
        <v>3</v>
      </c>
      <c r="AF33" s="2349">
        <f>SUM(AF30:AF32)</f>
        <v>61</v>
      </c>
      <c r="AG33" s="2780">
        <f t="shared" si="7"/>
        <v>4.9180327868852458E-2</v>
      </c>
      <c r="AH33" s="2058"/>
      <c r="AI33" s="2796">
        <v>8</v>
      </c>
      <c r="AJ33" s="2349">
        <f>SUM(AJ30:AJ32)</f>
        <v>59</v>
      </c>
      <c r="AK33" s="2780">
        <f t="shared" si="8"/>
        <v>0.13559322033898305</v>
      </c>
      <c r="AL33" s="2058"/>
      <c r="AM33" s="2796">
        <v>2</v>
      </c>
      <c r="AN33" s="2349">
        <v>59</v>
      </c>
      <c r="AO33" s="2780">
        <f t="shared" si="9"/>
        <v>3.3898305084745763E-2</v>
      </c>
      <c r="AQ33" s="2796">
        <v>2</v>
      </c>
      <c r="AR33" s="2349">
        <v>59</v>
      </c>
      <c r="AS33" s="2780">
        <f t="shared" si="10"/>
        <v>3.3898305084745763E-2</v>
      </c>
    </row>
    <row r="34" spans="1:45" s="1" customFormat="1" ht="15" customHeight="1">
      <c r="A34" s="2347"/>
      <c r="B34" s="2350" t="s">
        <v>360</v>
      </c>
      <c r="C34" s="2799">
        <f>SUM(C25,C29,C33)</f>
        <v>36</v>
      </c>
      <c r="D34" s="2800">
        <f>SUM(D33,D29,D25)</f>
        <v>103</v>
      </c>
      <c r="E34" s="2782">
        <f t="shared" si="0"/>
        <v>0.34951456310679613</v>
      </c>
      <c r="F34" s="2058"/>
      <c r="G34" s="2799">
        <v>39</v>
      </c>
      <c r="H34" s="2800">
        <f>SUM(H33,H29,H25)</f>
        <v>119</v>
      </c>
      <c r="I34" s="2782">
        <f t="shared" si="1"/>
        <v>0.32773109243697479</v>
      </c>
      <c r="J34" s="2058"/>
      <c r="K34" s="2799">
        <v>48</v>
      </c>
      <c r="L34" s="2800">
        <f>SUM(L33,L29,L25)</f>
        <v>130</v>
      </c>
      <c r="M34" s="2782">
        <f t="shared" si="2"/>
        <v>0.36923076923076925</v>
      </c>
      <c r="N34" s="2058"/>
      <c r="O34" s="2799">
        <v>87</v>
      </c>
      <c r="P34" s="2800">
        <f>SUM(P33,P29,P25)</f>
        <v>135</v>
      </c>
      <c r="Q34" s="2782">
        <f t="shared" si="3"/>
        <v>0.64444444444444449</v>
      </c>
      <c r="R34" s="2058"/>
      <c r="S34" s="2799">
        <f>SUM(S25,S29,S33)</f>
        <v>66</v>
      </c>
      <c r="T34" s="2800">
        <f>SUM(T33,T29,T25)</f>
        <v>143</v>
      </c>
      <c r="U34" s="2782">
        <f t="shared" si="4"/>
        <v>0.46153846153846156</v>
      </c>
      <c r="V34" s="2058"/>
      <c r="W34" s="2799">
        <f>SUM(W33,W29,W25)</f>
        <v>90</v>
      </c>
      <c r="X34" s="2800">
        <v>147</v>
      </c>
      <c r="Y34" s="2782">
        <f t="shared" si="5"/>
        <v>0.61224489795918369</v>
      </c>
      <c r="Z34" s="2058"/>
      <c r="AA34" s="2799">
        <v>66</v>
      </c>
      <c r="AB34" s="2800">
        <f>SUM(AB25,AB29,AB33)</f>
        <v>153</v>
      </c>
      <c r="AC34" s="2782">
        <f t="shared" si="6"/>
        <v>0.43137254901960786</v>
      </c>
      <c r="AD34" s="2058"/>
      <c r="AE34" s="2799">
        <v>66</v>
      </c>
      <c r="AF34" s="2800">
        <f>SUM(AF25,AF29,AF33)</f>
        <v>163</v>
      </c>
      <c r="AG34" s="2782">
        <f t="shared" si="7"/>
        <v>0.40490797546012269</v>
      </c>
      <c r="AH34" s="2058"/>
      <c r="AI34" s="2799">
        <v>99</v>
      </c>
      <c r="AJ34" s="2800">
        <f>SUM(AJ25,AJ29,AJ33)</f>
        <v>160</v>
      </c>
      <c r="AK34" s="2782">
        <f t="shared" si="8"/>
        <v>0.61875000000000002</v>
      </c>
      <c r="AL34" s="2058"/>
      <c r="AM34" s="2799">
        <v>101</v>
      </c>
      <c r="AN34" s="2800">
        <v>162</v>
      </c>
      <c r="AO34" s="2782">
        <f t="shared" si="9"/>
        <v>0.62345679012345678</v>
      </c>
      <c r="AQ34" s="2799">
        <v>107</v>
      </c>
      <c r="AR34" s="2800">
        <v>166</v>
      </c>
      <c r="AS34" s="2782">
        <f t="shared" si="10"/>
        <v>0.64457831325301207</v>
      </c>
    </row>
    <row r="35" spans="1:45" s="1" customFormat="1" ht="18">
      <c r="A35" s="2347"/>
      <c r="B35" s="2355" t="s">
        <v>1120</v>
      </c>
      <c r="C35" s="2792">
        <v>56</v>
      </c>
      <c r="D35" s="2793">
        <v>56</v>
      </c>
      <c r="E35" s="2778">
        <f t="shared" si="0"/>
        <v>1</v>
      </c>
      <c r="F35" s="2058"/>
      <c r="G35" s="2792">
        <v>45</v>
      </c>
      <c r="H35" s="2793">
        <v>56</v>
      </c>
      <c r="I35" s="2778">
        <f t="shared" si="1"/>
        <v>0.8035714285714286</v>
      </c>
      <c r="J35" s="2058"/>
      <c r="K35" s="2792">
        <v>69</v>
      </c>
      <c r="L35" s="2793">
        <v>56</v>
      </c>
      <c r="M35" s="2778">
        <f t="shared" si="2"/>
        <v>1.2321428571428572</v>
      </c>
      <c r="N35" s="2058"/>
      <c r="O35" s="2792">
        <v>58</v>
      </c>
      <c r="P35" s="2793">
        <v>58</v>
      </c>
      <c r="Q35" s="2778">
        <f t="shared" si="3"/>
        <v>1</v>
      </c>
      <c r="R35" s="2058"/>
      <c r="S35" s="2792">
        <v>73</v>
      </c>
      <c r="T35" s="2793">
        <v>57</v>
      </c>
      <c r="U35" s="2778">
        <f t="shared" si="4"/>
        <v>1.2807017543859649</v>
      </c>
      <c r="V35" s="2058"/>
      <c r="W35" s="2792">
        <v>78</v>
      </c>
      <c r="X35" s="2793">
        <v>56</v>
      </c>
      <c r="Y35" s="2778">
        <f t="shared" si="5"/>
        <v>1.3928571428571428</v>
      </c>
      <c r="Z35" s="2058"/>
      <c r="AA35" s="2792">
        <v>55</v>
      </c>
      <c r="AB35" s="2793">
        <v>57</v>
      </c>
      <c r="AC35" s="2778">
        <f t="shared" si="6"/>
        <v>0.96491228070175439</v>
      </c>
      <c r="AD35" s="2058"/>
      <c r="AE35" s="2792">
        <v>46</v>
      </c>
      <c r="AF35" s="2793">
        <v>56</v>
      </c>
      <c r="AG35" s="2778">
        <f t="shared" si="7"/>
        <v>0.8214285714285714</v>
      </c>
      <c r="AH35" s="2058"/>
      <c r="AI35" s="2792">
        <v>66</v>
      </c>
      <c r="AJ35" s="2793">
        <v>57</v>
      </c>
      <c r="AK35" s="2778">
        <f t="shared" si="8"/>
        <v>1.1578947368421053</v>
      </c>
      <c r="AL35" s="2058"/>
      <c r="AM35" s="2792">
        <v>49</v>
      </c>
      <c r="AN35" s="2793">
        <v>54</v>
      </c>
      <c r="AO35" s="2778">
        <f t="shared" si="9"/>
        <v>0.90740740740740744</v>
      </c>
      <c r="AQ35" s="2792">
        <v>79</v>
      </c>
      <c r="AR35" s="2793">
        <v>53</v>
      </c>
      <c r="AS35" s="2778">
        <f t="shared" si="10"/>
        <v>1.4905660377358489</v>
      </c>
    </row>
    <row r="36" spans="1:45" s="1" customFormat="1" ht="18">
      <c r="A36" s="2347"/>
      <c r="B36" s="2355" t="s">
        <v>1121</v>
      </c>
      <c r="C36" s="2792">
        <v>75</v>
      </c>
      <c r="D36" s="2793">
        <v>38</v>
      </c>
      <c r="E36" s="2778">
        <f t="shared" si="0"/>
        <v>1.9736842105263157</v>
      </c>
      <c r="F36" s="2058"/>
      <c r="G36" s="2792">
        <v>71</v>
      </c>
      <c r="H36" s="2793">
        <v>39</v>
      </c>
      <c r="I36" s="2778">
        <f t="shared" si="1"/>
        <v>1.8205128205128205</v>
      </c>
      <c r="J36" s="2058"/>
      <c r="K36" s="2792">
        <v>60</v>
      </c>
      <c r="L36" s="2793">
        <v>43</v>
      </c>
      <c r="M36" s="2778">
        <f t="shared" si="2"/>
        <v>1.3953488372093024</v>
      </c>
      <c r="N36" s="2058"/>
      <c r="O36" s="2792">
        <v>89</v>
      </c>
      <c r="P36" s="2793">
        <v>44</v>
      </c>
      <c r="Q36" s="2778">
        <f t="shared" si="3"/>
        <v>2.0227272727272729</v>
      </c>
      <c r="R36" s="2058"/>
      <c r="S36" s="2792">
        <v>85</v>
      </c>
      <c r="T36" s="2793">
        <v>46</v>
      </c>
      <c r="U36" s="2778">
        <f t="shared" si="4"/>
        <v>1.8478260869565217</v>
      </c>
      <c r="V36" s="2058"/>
      <c r="W36" s="2792">
        <v>75</v>
      </c>
      <c r="X36" s="2793">
        <v>46</v>
      </c>
      <c r="Y36" s="2778">
        <f t="shared" si="5"/>
        <v>1.6304347826086956</v>
      </c>
      <c r="Z36" s="2058"/>
      <c r="AA36" s="2792">
        <v>81</v>
      </c>
      <c r="AB36" s="2793">
        <v>45</v>
      </c>
      <c r="AC36" s="2778">
        <f t="shared" si="6"/>
        <v>1.8</v>
      </c>
      <c r="AD36" s="2058"/>
      <c r="AE36" s="2792">
        <v>70</v>
      </c>
      <c r="AF36" s="2793">
        <v>42</v>
      </c>
      <c r="AG36" s="2778">
        <f t="shared" si="7"/>
        <v>1.6666666666666667</v>
      </c>
      <c r="AH36" s="2058"/>
      <c r="AI36" s="2792">
        <v>98</v>
      </c>
      <c r="AJ36" s="2793">
        <v>40</v>
      </c>
      <c r="AK36" s="2778">
        <f t="shared" si="8"/>
        <v>2.4500000000000002</v>
      </c>
      <c r="AL36" s="2058"/>
      <c r="AM36" s="2792">
        <v>52</v>
      </c>
      <c r="AN36" s="2793">
        <v>40</v>
      </c>
      <c r="AO36" s="2778">
        <f t="shared" si="9"/>
        <v>1.3</v>
      </c>
      <c r="AQ36" s="2792">
        <v>50</v>
      </c>
      <c r="AR36" s="2793">
        <v>41</v>
      </c>
      <c r="AS36" s="2778">
        <f t="shared" si="10"/>
        <v>1.2195121951219512</v>
      </c>
    </row>
    <row r="37" spans="1:45" s="1" customFormat="1" ht="18">
      <c r="A37" s="2347"/>
      <c r="B37" s="2355" t="s">
        <v>1122</v>
      </c>
      <c r="C37" s="2792">
        <v>30</v>
      </c>
      <c r="D37" s="2793">
        <v>64</v>
      </c>
      <c r="E37" s="2778">
        <f t="shared" si="0"/>
        <v>0.46875</v>
      </c>
      <c r="F37" s="2058"/>
      <c r="G37" s="2792">
        <v>35</v>
      </c>
      <c r="H37" s="2793">
        <v>64</v>
      </c>
      <c r="I37" s="2778">
        <f t="shared" si="1"/>
        <v>0.546875</v>
      </c>
      <c r="J37" s="2058"/>
      <c r="K37" s="2792">
        <v>32</v>
      </c>
      <c r="L37" s="2793">
        <v>62</v>
      </c>
      <c r="M37" s="2778">
        <f t="shared" si="2"/>
        <v>0.5161290322580645</v>
      </c>
      <c r="N37" s="2058"/>
      <c r="O37" s="2792">
        <v>36</v>
      </c>
      <c r="P37" s="2793">
        <v>64</v>
      </c>
      <c r="Q37" s="2778">
        <f t="shared" si="3"/>
        <v>0.5625</v>
      </c>
      <c r="R37" s="2058"/>
      <c r="S37" s="2792">
        <v>42</v>
      </c>
      <c r="T37" s="2793">
        <v>64</v>
      </c>
      <c r="U37" s="2778">
        <f t="shared" si="4"/>
        <v>0.65625</v>
      </c>
      <c r="V37" s="2058"/>
      <c r="W37" s="2792">
        <v>31</v>
      </c>
      <c r="X37" s="2793">
        <v>66</v>
      </c>
      <c r="Y37" s="2778">
        <f t="shared" si="5"/>
        <v>0.46969696969696972</v>
      </c>
      <c r="Z37" s="2058"/>
      <c r="AA37" s="2792">
        <v>39</v>
      </c>
      <c r="AB37" s="2793">
        <v>65</v>
      </c>
      <c r="AC37" s="2778">
        <f t="shared" si="6"/>
        <v>0.6</v>
      </c>
      <c r="AD37" s="2058"/>
      <c r="AE37" s="2792">
        <v>54</v>
      </c>
      <c r="AF37" s="2793">
        <v>64</v>
      </c>
      <c r="AG37" s="2778">
        <f t="shared" si="7"/>
        <v>0.84375</v>
      </c>
      <c r="AH37" s="2058"/>
      <c r="AI37" s="2792">
        <v>40</v>
      </c>
      <c r="AJ37" s="2793">
        <v>64</v>
      </c>
      <c r="AK37" s="2778">
        <f t="shared" si="8"/>
        <v>0.625</v>
      </c>
      <c r="AL37" s="2058"/>
      <c r="AM37" s="2792">
        <v>25</v>
      </c>
      <c r="AN37" s="2793">
        <v>62</v>
      </c>
      <c r="AO37" s="2778">
        <f t="shared" si="9"/>
        <v>0.40322580645161288</v>
      </c>
      <c r="AQ37" s="2792">
        <v>39</v>
      </c>
      <c r="AR37" s="2793">
        <v>60</v>
      </c>
      <c r="AS37" s="2778">
        <f t="shared" si="10"/>
        <v>0.65</v>
      </c>
    </row>
    <row r="38" spans="1:45" s="1" customFormat="1" ht="18">
      <c r="A38" s="2347"/>
      <c r="B38" s="2355" t="s">
        <v>1123</v>
      </c>
      <c r="C38" s="2792">
        <v>48</v>
      </c>
      <c r="D38" s="2793">
        <v>63</v>
      </c>
      <c r="E38" s="2778">
        <f t="shared" si="0"/>
        <v>0.76190476190476186</v>
      </c>
      <c r="F38" s="2058"/>
      <c r="G38" s="2792">
        <v>43</v>
      </c>
      <c r="H38" s="2793">
        <v>63</v>
      </c>
      <c r="I38" s="2778">
        <f t="shared" si="1"/>
        <v>0.68253968253968256</v>
      </c>
      <c r="J38" s="2058"/>
      <c r="K38" s="2792">
        <v>39</v>
      </c>
      <c r="L38" s="2793">
        <v>62</v>
      </c>
      <c r="M38" s="2778">
        <f t="shared" si="2"/>
        <v>0.62903225806451613</v>
      </c>
      <c r="N38" s="2058"/>
      <c r="O38" s="2792">
        <v>64</v>
      </c>
      <c r="P38" s="2793">
        <v>62</v>
      </c>
      <c r="Q38" s="2778">
        <f t="shared" si="3"/>
        <v>1.032258064516129</v>
      </c>
      <c r="R38" s="2058"/>
      <c r="S38" s="2792">
        <v>55</v>
      </c>
      <c r="T38" s="2793">
        <v>63</v>
      </c>
      <c r="U38" s="2778">
        <f t="shared" si="4"/>
        <v>0.87301587301587302</v>
      </c>
      <c r="V38" s="2058"/>
      <c r="W38" s="2792">
        <v>42</v>
      </c>
      <c r="X38" s="2793">
        <v>60</v>
      </c>
      <c r="Y38" s="2778">
        <f t="shared" si="5"/>
        <v>0.7</v>
      </c>
      <c r="Z38" s="2058"/>
      <c r="AA38" s="2792">
        <v>49</v>
      </c>
      <c r="AB38" s="2793">
        <v>60</v>
      </c>
      <c r="AC38" s="2778">
        <f t="shared" si="6"/>
        <v>0.81666666666666665</v>
      </c>
      <c r="AD38" s="2058"/>
      <c r="AE38" s="2792">
        <v>50</v>
      </c>
      <c r="AF38" s="2793">
        <v>59</v>
      </c>
      <c r="AG38" s="2778">
        <f t="shared" si="7"/>
        <v>0.84745762711864403</v>
      </c>
      <c r="AH38" s="2058"/>
      <c r="AI38" s="2792">
        <v>49</v>
      </c>
      <c r="AJ38" s="2793">
        <v>60</v>
      </c>
      <c r="AK38" s="2778">
        <f t="shared" si="8"/>
        <v>0.81666666666666665</v>
      </c>
      <c r="AL38" s="2058"/>
      <c r="AM38" s="2792">
        <v>26</v>
      </c>
      <c r="AN38" s="2793">
        <v>61</v>
      </c>
      <c r="AO38" s="2778">
        <f t="shared" si="9"/>
        <v>0.42622950819672129</v>
      </c>
      <c r="AQ38" s="2792">
        <v>55</v>
      </c>
      <c r="AR38" s="2793">
        <v>63</v>
      </c>
      <c r="AS38" s="2778">
        <f t="shared" si="10"/>
        <v>0.87301587301587302</v>
      </c>
    </row>
    <row r="39" spans="1:45" s="1" customFormat="1" ht="18">
      <c r="A39" s="2347"/>
      <c r="B39" s="2355" t="s">
        <v>1124</v>
      </c>
      <c r="C39" s="2792">
        <v>51</v>
      </c>
      <c r="D39" s="2793">
        <v>55</v>
      </c>
      <c r="E39" s="2778">
        <f t="shared" si="0"/>
        <v>0.92727272727272725</v>
      </c>
      <c r="F39" s="2058"/>
      <c r="G39" s="2792">
        <v>64</v>
      </c>
      <c r="H39" s="2793">
        <v>56</v>
      </c>
      <c r="I39" s="2778">
        <f t="shared" si="1"/>
        <v>1.1428571428571428</v>
      </c>
      <c r="J39" s="2058"/>
      <c r="K39" s="2792">
        <v>81</v>
      </c>
      <c r="L39" s="2793">
        <v>56</v>
      </c>
      <c r="M39" s="2778">
        <f t="shared" si="2"/>
        <v>1.4464285714285714</v>
      </c>
      <c r="N39" s="2058"/>
      <c r="O39" s="2792">
        <v>90</v>
      </c>
      <c r="P39" s="2793">
        <v>56</v>
      </c>
      <c r="Q39" s="2778">
        <f t="shared" si="3"/>
        <v>1.6071428571428572</v>
      </c>
      <c r="R39" s="2058"/>
      <c r="S39" s="2792">
        <v>86</v>
      </c>
      <c r="T39" s="2793">
        <v>56</v>
      </c>
      <c r="U39" s="2778">
        <f t="shared" si="4"/>
        <v>1.5357142857142858</v>
      </c>
      <c r="V39" s="2058"/>
      <c r="W39" s="2792">
        <v>93</v>
      </c>
      <c r="X39" s="2793">
        <v>55</v>
      </c>
      <c r="Y39" s="2778">
        <f t="shared" si="5"/>
        <v>1.6909090909090909</v>
      </c>
      <c r="Z39" s="2058"/>
      <c r="AA39" s="2792">
        <v>84</v>
      </c>
      <c r="AB39" s="2793">
        <v>54</v>
      </c>
      <c r="AC39" s="2778">
        <f t="shared" si="6"/>
        <v>1.5555555555555556</v>
      </c>
      <c r="AD39" s="2058"/>
      <c r="AE39" s="2792">
        <v>101</v>
      </c>
      <c r="AF39" s="2793">
        <v>54</v>
      </c>
      <c r="AG39" s="2778">
        <f t="shared" si="7"/>
        <v>1.8703703703703705</v>
      </c>
      <c r="AH39" s="2058"/>
      <c r="AI39" s="2792">
        <v>85</v>
      </c>
      <c r="AJ39" s="2793">
        <v>54</v>
      </c>
      <c r="AK39" s="2778">
        <f t="shared" si="8"/>
        <v>1.5740740740740742</v>
      </c>
      <c r="AL39" s="2058"/>
      <c r="AM39" s="2792">
        <v>120</v>
      </c>
      <c r="AN39" s="2793">
        <v>52</v>
      </c>
      <c r="AO39" s="2778">
        <f t="shared" si="9"/>
        <v>2.3076923076923075</v>
      </c>
      <c r="AQ39" s="2792">
        <v>92</v>
      </c>
      <c r="AR39" s="2793">
        <v>51</v>
      </c>
      <c r="AS39" s="2778">
        <f t="shared" si="10"/>
        <v>1.803921568627451</v>
      </c>
    </row>
    <row r="40" spans="1:45" s="1" customFormat="1" ht="15" customHeight="1">
      <c r="A40" s="2347"/>
      <c r="B40" s="2316" t="s">
        <v>4</v>
      </c>
      <c r="C40" s="2791">
        <f>SUM(C35:C39)</f>
        <v>260</v>
      </c>
      <c r="D40" s="1135">
        <f>SUM(D35:D39)</f>
        <v>276</v>
      </c>
      <c r="E40" s="2777">
        <f t="shared" si="0"/>
        <v>0.94202898550724634</v>
      </c>
      <c r="F40" s="2058"/>
      <c r="G40" s="2791">
        <v>258</v>
      </c>
      <c r="H40" s="1135">
        <f>SUM(H35:H39)</f>
        <v>278</v>
      </c>
      <c r="I40" s="2777">
        <f t="shared" si="1"/>
        <v>0.92805755395683454</v>
      </c>
      <c r="J40" s="2058"/>
      <c r="K40" s="2791">
        <v>281</v>
      </c>
      <c r="L40" s="1135">
        <f>SUM(L35:L39)</f>
        <v>279</v>
      </c>
      <c r="M40" s="2777">
        <f t="shared" si="2"/>
        <v>1.0071684587813621</v>
      </c>
      <c r="N40" s="2058"/>
      <c r="O40" s="2791">
        <v>337</v>
      </c>
      <c r="P40" s="1135">
        <f>SUM(P35:P39)</f>
        <v>284</v>
      </c>
      <c r="Q40" s="2777">
        <f t="shared" si="3"/>
        <v>1.1866197183098592</v>
      </c>
      <c r="R40" s="2058"/>
      <c r="S40" s="2791">
        <f>SUM(S35:S39)</f>
        <v>341</v>
      </c>
      <c r="T40" s="1135">
        <f>SUM(T35:T39)</f>
        <v>286</v>
      </c>
      <c r="U40" s="2777">
        <f t="shared" si="4"/>
        <v>1.1923076923076923</v>
      </c>
      <c r="V40" s="2058"/>
      <c r="W40" s="2791">
        <f>SUM(W35:W39)</f>
        <v>319</v>
      </c>
      <c r="X40" s="1135">
        <v>283</v>
      </c>
      <c r="Y40" s="2777">
        <f t="shared" si="5"/>
        <v>1.127208480565371</v>
      </c>
      <c r="Z40" s="2058"/>
      <c r="AA40" s="2791">
        <v>308</v>
      </c>
      <c r="AB40" s="1135">
        <f>SUM(AB35:AB39)</f>
        <v>281</v>
      </c>
      <c r="AC40" s="2777">
        <f t="shared" si="6"/>
        <v>1.0960854092526691</v>
      </c>
      <c r="AD40" s="2058"/>
      <c r="AE40" s="2791">
        <v>321</v>
      </c>
      <c r="AF40" s="1135">
        <f>SUM(AF35:AF39)</f>
        <v>275</v>
      </c>
      <c r="AG40" s="2777">
        <f>AE40/AF40</f>
        <v>1.1672727272727272</v>
      </c>
      <c r="AH40" s="2058"/>
      <c r="AI40" s="2791">
        <v>338</v>
      </c>
      <c r="AJ40" s="1135">
        <f>SUM(AJ35:AJ39)</f>
        <v>275</v>
      </c>
      <c r="AK40" s="2777">
        <f>AI40/AJ40</f>
        <v>1.229090909090909</v>
      </c>
      <c r="AL40" s="2058"/>
      <c r="AM40" s="2791">
        <v>272</v>
      </c>
      <c r="AN40" s="1135">
        <v>269</v>
      </c>
      <c r="AO40" s="2777">
        <f>AM40/AN40</f>
        <v>1.0111524163568772</v>
      </c>
      <c r="AQ40" s="2791">
        <v>315</v>
      </c>
      <c r="AR40" s="1135">
        <v>268</v>
      </c>
      <c r="AS40" s="2777">
        <f>AQ40/AR40</f>
        <v>1.1753731343283582</v>
      </c>
    </row>
    <row r="41" spans="1:45" s="1" customFormat="1" ht="18">
      <c r="A41" s="2347"/>
      <c r="B41" s="2355" t="s">
        <v>1125</v>
      </c>
      <c r="C41" s="2792">
        <v>26</v>
      </c>
      <c r="D41" s="2793">
        <v>40</v>
      </c>
      <c r="E41" s="2778">
        <f t="shared" si="0"/>
        <v>0.65</v>
      </c>
      <c r="F41" s="2058"/>
      <c r="G41" s="2792">
        <v>38</v>
      </c>
      <c r="H41" s="2793">
        <v>43</v>
      </c>
      <c r="I41" s="2778">
        <f t="shared" si="1"/>
        <v>0.88372093023255816</v>
      </c>
      <c r="J41" s="2058"/>
      <c r="K41" s="2792">
        <v>56</v>
      </c>
      <c r="L41" s="2793">
        <v>43</v>
      </c>
      <c r="M41" s="2778">
        <f t="shared" si="2"/>
        <v>1.3023255813953489</v>
      </c>
      <c r="N41" s="2058"/>
      <c r="O41" s="2792">
        <v>38</v>
      </c>
      <c r="P41" s="2793">
        <v>46</v>
      </c>
      <c r="Q41" s="2778">
        <f t="shared" si="3"/>
        <v>0.82608695652173914</v>
      </c>
      <c r="R41" s="2058"/>
      <c r="S41" s="2792">
        <v>36</v>
      </c>
      <c r="T41" s="2793">
        <v>47</v>
      </c>
      <c r="U41" s="2778">
        <f t="shared" si="4"/>
        <v>0.76595744680851063</v>
      </c>
      <c r="V41" s="2058"/>
      <c r="W41" s="2792">
        <v>47</v>
      </c>
      <c r="X41" s="2793">
        <v>47</v>
      </c>
      <c r="Y41" s="2778">
        <f t="shared" si="5"/>
        <v>1</v>
      </c>
      <c r="Z41" s="2058"/>
      <c r="AA41" s="2792">
        <v>42</v>
      </c>
      <c r="AB41" s="2793">
        <v>48</v>
      </c>
      <c r="AC41" s="2778">
        <f t="shared" si="6"/>
        <v>0.875</v>
      </c>
      <c r="AD41" s="2058"/>
      <c r="AE41" s="2792">
        <v>35</v>
      </c>
      <c r="AF41" s="2793">
        <v>47</v>
      </c>
      <c r="AG41" s="2778">
        <f t="shared" si="7"/>
        <v>0.74468085106382975</v>
      </c>
      <c r="AH41" s="2058"/>
      <c r="AI41" s="2792">
        <v>41</v>
      </c>
      <c r="AJ41" s="2793">
        <v>47</v>
      </c>
      <c r="AK41" s="2778">
        <f t="shared" ref="AK41:AK52" si="11">AI41/AJ41</f>
        <v>0.87234042553191493</v>
      </c>
      <c r="AL41" s="2058"/>
      <c r="AM41" s="2792">
        <v>51</v>
      </c>
      <c r="AN41" s="2793">
        <v>46</v>
      </c>
      <c r="AO41" s="2778">
        <f t="shared" ref="AO41:AO52" si="12">AM41/AN41</f>
        <v>1.1086956521739131</v>
      </c>
      <c r="AQ41" s="2792">
        <v>46</v>
      </c>
      <c r="AR41" s="2793">
        <v>46</v>
      </c>
      <c r="AS41" s="2778">
        <f t="shared" ref="AS41:AS52" si="13">AQ41/AR41</f>
        <v>1</v>
      </c>
    </row>
    <row r="42" spans="1:45" s="1" customFormat="1" ht="18">
      <c r="A42" s="2347"/>
      <c r="B42" s="2355" t="s">
        <v>1126</v>
      </c>
      <c r="C42" s="2792">
        <v>24</v>
      </c>
      <c r="D42" s="2793">
        <v>33</v>
      </c>
      <c r="E42" s="2778">
        <f t="shared" si="0"/>
        <v>0.72727272727272729</v>
      </c>
      <c r="F42" s="2058"/>
      <c r="G42" s="2792">
        <v>25</v>
      </c>
      <c r="H42" s="2793">
        <v>36</v>
      </c>
      <c r="I42" s="2778">
        <f t="shared" si="1"/>
        <v>0.69444444444444442</v>
      </c>
      <c r="J42" s="2058"/>
      <c r="K42" s="2792">
        <v>11</v>
      </c>
      <c r="L42" s="2793">
        <v>35</v>
      </c>
      <c r="M42" s="2778">
        <f t="shared" si="2"/>
        <v>0.31428571428571428</v>
      </c>
      <c r="N42" s="2058"/>
      <c r="O42" s="2792">
        <v>19</v>
      </c>
      <c r="P42" s="2793">
        <v>35</v>
      </c>
      <c r="Q42" s="2778">
        <f t="shared" si="3"/>
        <v>0.54285714285714282</v>
      </c>
      <c r="R42" s="2058"/>
      <c r="S42" s="2792">
        <v>16</v>
      </c>
      <c r="T42" s="2793">
        <v>34</v>
      </c>
      <c r="U42" s="2778">
        <f t="shared" si="4"/>
        <v>0.47058823529411764</v>
      </c>
      <c r="V42" s="2058"/>
      <c r="W42" s="2792">
        <v>26</v>
      </c>
      <c r="X42" s="2793">
        <v>36</v>
      </c>
      <c r="Y42" s="2778">
        <f t="shared" si="5"/>
        <v>0.72222222222222221</v>
      </c>
      <c r="Z42" s="2058"/>
      <c r="AA42" s="2792">
        <v>32</v>
      </c>
      <c r="AB42" s="2793">
        <v>37</v>
      </c>
      <c r="AC42" s="2778">
        <f t="shared" si="6"/>
        <v>0.86486486486486491</v>
      </c>
      <c r="AD42" s="2058"/>
      <c r="AE42" s="2792">
        <v>25</v>
      </c>
      <c r="AF42" s="2793">
        <v>37</v>
      </c>
      <c r="AG42" s="2778">
        <f t="shared" si="7"/>
        <v>0.67567567567567566</v>
      </c>
      <c r="AH42" s="2058"/>
      <c r="AI42" s="2792">
        <v>22</v>
      </c>
      <c r="AJ42" s="2793">
        <v>39</v>
      </c>
      <c r="AK42" s="2778">
        <f t="shared" si="11"/>
        <v>0.5641025641025641</v>
      </c>
      <c r="AL42" s="2058"/>
      <c r="AM42" s="2792">
        <v>40</v>
      </c>
      <c r="AN42" s="2793">
        <v>39</v>
      </c>
      <c r="AO42" s="2778">
        <f t="shared" si="12"/>
        <v>1.0256410256410255</v>
      </c>
      <c r="AQ42" s="2792">
        <v>18</v>
      </c>
      <c r="AR42" s="2793">
        <v>38</v>
      </c>
      <c r="AS42" s="2778">
        <f t="shared" si="13"/>
        <v>0.47368421052631576</v>
      </c>
    </row>
    <row r="43" spans="1:45" s="1" customFormat="1" ht="18">
      <c r="A43" s="2347"/>
      <c r="B43" s="2355" t="s">
        <v>1127</v>
      </c>
      <c r="C43" s="2792">
        <v>86</v>
      </c>
      <c r="D43" s="2793">
        <v>50</v>
      </c>
      <c r="E43" s="2778">
        <f t="shared" si="0"/>
        <v>1.72</v>
      </c>
      <c r="F43" s="2058"/>
      <c r="G43" s="2792">
        <v>77</v>
      </c>
      <c r="H43" s="2793">
        <v>49</v>
      </c>
      <c r="I43" s="2778">
        <f t="shared" si="1"/>
        <v>1.5714285714285714</v>
      </c>
      <c r="J43" s="2058"/>
      <c r="K43" s="2792">
        <v>91</v>
      </c>
      <c r="L43" s="2793">
        <v>48</v>
      </c>
      <c r="M43" s="2778">
        <f t="shared" si="2"/>
        <v>1.8958333333333333</v>
      </c>
      <c r="N43" s="2058"/>
      <c r="O43" s="2792">
        <v>70</v>
      </c>
      <c r="P43" s="2793">
        <v>49</v>
      </c>
      <c r="Q43" s="2778">
        <f t="shared" si="3"/>
        <v>1.4285714285714286</v>
      </c>
      <c r="R43" s="2058"/>
      <c r="S43" s="2792">
        <v>75</v>
      </c>
      <c r="T43" s="2793">
        <v>51</v>
      </c>
      <c r="U43" s="2778">
        <f t="shared" si="4"/>
        <v>1.4705882352941178</v>
      </c>
      <c r="V43" s="2058"/>
      <c r="W43" s="2792">
        <v>87</v>
      </c>
      <c r="X43" s="2793">
        <v>53</v>
      </c>
      <c r="Y43" s="2778">
        <f t="shared" si="5"/>
        <v>1.6415094339622642</v>
      </c>
      <c r="Z43" s="2058"/>
      <c r="AA43" s="2792">
        <v>76</v>
      </c>
      <c r="AB43" s="2793">
        <v>53</v>
      </c>
      <c r="AC43" s="2778">
        <f t="shared" si="6"/>
        <v>1.4339622641509433</v>
      </c>
      <c r="AD43" s="2058"/>
      <c r="AE43" s="2792">
        <v>76</v>
      </c>
      <c r="AF43" s="2793">
        <v>51</v>
      </c>
      <c r="AG43" s="2778">
        <f t="shared" si="7"/>
        <v>1.4901960784313726</v>
      </c>
      <c r="AH43" s="2058"/>
      <c r="AI43" s="2792">
        <v>119</v>
      </c>
      <c r="AJ43" s="2793">
        <v>49</v>
      </c>
      <c r="AK43" s="2778">
        <f t="shared" si="11"/>
        <v>2.4285714285714284</v>
      </c>
      <c r="AL43" s="2058"/>
      <c r="AM43" s="2792">
        <v>133</v>
      </c>
      <c r="AN43" s="2793">
        <v>50</v>
      </c>
      <c r="AO43" s="2778">
        <f t="shared" si="12"/>
        <v>2.66</v>
      </c>
      <c r="AQ43" s="2792">
        <v>92</v>
      </c>
      <c r="AR43" s="2793">
        <v>49</v>
      </c>
      <c r="AS43" s="2778">
        <f t="shared" si="13"/>
        <v>1.8775510204081634</v>
      </c>
    </row>
    <row r="44" spans="1:45" s="1" customFormat="1" ht="18">
      <c r="A44" s="2347"/>
      <c r="B44" s="2355" t="s">
        <v>1128</v>
      </c>
      <c r="C44" s="2792">
        <v>45</v>
      </c>
      <c r="D44" s="2793">
        <v>46</v>
      </c>
      <c r="E44" s="2778">
        <f t="shared" si="0"/>
        <v>0.97826086956521741</v>
      </c>
      <c r="F44" s="2058"/>
      <c r="G44" s="2792">
        <v>26</v>
      </c>
      <c r="H44" s="2793">
        <v>48</v>
      </c>
      <c r="I44" s="2778">
        <f t="shared" si="1"/>
        <v>0.54166666666666663</v>
      </c>
      <c r="J44" s="2058"/>
      <c r="K44" s="2792">
        <v>33</v>
      </c>
      <c r="L44" s="2793">
        <v>48</v>
      </c>
      <c r="M44" s="2778">
        <f t="shared" si="2"/>
        <v>0.6875</v>
      </c>
      <c r="N44" s="2058"/>
      <c r="O44" s="2792">
        <v>50</v>
      </c>
      <c r="P44" s="2793">
        <v>50</v>
      </c>
      <c r="Q44" s="2778">
        <f t="shared" si="3"/>
        <v>1</v>
      </c>
      <c r="R44" s="2058"/>
      <c r="S44" s="2792">
        <v>59</v>
      </c>
      <c r="T44" s="2793">
        <v>55</v>
      </c>
      <c r="U44" s="2778">
        <f t="shared" si="4"/>
        <v>1.0727272727272728</v>
      </c>
      <c r="V44" s="2058"/>
      <c r="W44" s="2792">
        <v>63</v>
      </c>
      <c r="X44" s="2793">
        <v>54</v>
      </c>
      <c r="Y44" s="2778">
        <f t="shared" si="5"/>
        <v>1.1666666666666667</v>
      </c>
      <c r="Z44" s="2058"/>
      <c r="AA44" s="2792">
        <v>73</v>
      </c>
      <c r="AB44" s="2793">
        <v>55</v>
      </c>
      <c r="AC44" s="2778">
        <f t="shared" si="6"/>
        <v>1.3272727272727274</v>
      </c>
      <c r="AD44" s="2058"/>
      <c r="AE44" s="2792">
        <v>93</v>
      </c>
      <c r="AF44" s="2793">
        <v>55</v>
      </c>
      <c r="AG44" s="2778">
        <f t="shared" si="7"/>
        <v>1.6909090909090909</v>
      </c>
      <c r="AH44" s="2058"/>
      <c r="AI44" s="2792">
        <v>73</v>
      </c>
      <c r="AJ44" s="2793">
        <v>55</v>
      </c>
      <c r="AK44" s="2778">
        <f t="shared" si="11"/>
        <v>1.3272727272727274</v>
      </c>
      <c r="AL44" s="2058"/>
      <c r="AM44" s="2792">
        <v>90</v>
      </c>
      <c r="AN44" s="2793">
        <v>54</v>
      </c>
      <c r="AO44" s="2778">
        <f t="shared" si="12"/>
        <v>1.6666666666666667</v>
      </c>
      <c r="AQ44" s="2792">
        <v>100</v>
      </c>
      <c r="AR44" s="2793">
        <v>54</v>
      </c>
      <c r="AS44" s="2778">
        <f t="shared" si="13"/>
        <v>1.8518518518518519</v>
      </c>
    </row>
    <row r="45" spans="1:45" s="1" customFormat="1" ht="18">
      <c r="A45" s="2347"/>
      <c r="B45" s="2355" t="s">
        <v>1129</v>
      </c>
      <c r="C45" s="2792">
        <v>20</v>
      </c>
      <c r="D45" s="2793">
        <v>37</v>
      </c>
      <c r="E45" s="2778">
        <f t="shared" si="0"/>
        <v>0.54054054054054057</v>
      </c>
      <c r="F45" s="2058"/>
      <c r="G45" s="2792">
        <v>15</v>
      </c>
      <c r="H45" s="2793">
        <v>38</v>
      </c>
      <c r="I45" s="2778">
        <f t="shared" si="1"/>
        <v>0.39473684210526316</v>
      </c>
      <c r="J45" s="2058"/>
      <c r="K45" s="2792">
        <v>8</v>
      </c>
      <c r="L45" s="2793">
        <v>40</v>
      </c>
      <c r="M45" s="2778">
        <f t="shared" si="2"/>
        <v>0.2</v>
      </c>
      <c r="N45" s="2058"/>
      <c r="O45" s="2792">
        <v>30</v>
      </c>
      <c r="P45" s="2793">
        <v>41</v>
      </c>
      <c r="Q45" s="2778">
        <f t="shared" si="3"/>
        <v>0.73170731707317072</v>
      </c>
      <c r="R45" s="2058"/>
      <c r="S45" s="2792">
        <v>48</v>
      </c>
      <c r="T45" s="2793">
        <v>41</v>
      </c>
      <c r="U45" s="2778">
        <f t="shared" si="4"/>
        <v>1.1707317073170731</v>
      </c>
      <c r="V45" s="2058"/>
      <c r="W45" s="2792">
        <v>32</v>
      </c>
      <c r="X45" s="2793">
        <v>39</v>
      </c>
      <c r="Y45" s="2778">
        <f t="shared" si="5"/>
        <v>0.82051282051282048</v>
      </c>
      <c r="Z45" s="2058"/>
      <c r="AA45" s="2792">
        <v>31</v>
      </c>
      <c r="AB45" s="2793">
        <v>38</v>
      </c>
      <c r="AC45" s="2778">
        <f t="shared" si="6"/>
        <v>0.81578947368421051</v>
      </c>
      <c r="AD45" s="2058"/>
      <c r="AE45" s="2792">
        <v>39</v>
      </c>
      <c r="AF45" s="2793">
        <v>38</v>
      </c>
      <c r="AG45" s="2778">
        <f t="shared" si="7"/>
        <v>1.0263157894736843</v>
      </c>
      <c r="AH45" s="2058"/>
      <c r="AI45" s="2792">
        <v>47</v>
      </c>
      <c r="AJ45" s="2793">
        <v>37</v>
      </c>
      <c r="AK45" s="2778">
        <f t="shared" si="11"/>
        <v>1.2702702702702702</v>
      </c>
      <c r="AL45" s="2058"/>
      <c r="AM45" s="2792">
        <v>39</v>
      </c>
      <c r="AN45" s="2793">
        <v>35</v>
      </c>
      <c r="AO45" s="2778">
        <f t="shared" si="12"/>
        <v>1.1142857142857143</v>
      </c>
      <c r="AQ45" s="2792">
        <v>29</v>
      </c>
      <c r="AR45" s="2793">
        <v>35</v>
      </c>
      <c r="AS45" s="2778">
        <f t="shared" si="13"/>
        <v>0.82857142857142863</v>
      </c>
    </row>
    <row r="46" spans="1:45" s="1" customFormat="1" ht="15" customHeight="1">
      <c r="A46" s="2347"/>
      <c r="B46" s="2316" t="s">
        <v>41</v>
      </c>
      <c r="C46" s="2791">
        <f>SUM(C41:C45)</f>
        <v>201</v>
      </c>
      <c r="D46" s="1135">
        <f>SUM(D41:D45)</f>
        <v>206</v>
      </c>
      <c r="E46" s="2777">
        <f t="shared" si="0"/>
        <v>0.97572815533980584</v>
      </c>
      <c r="F46" s="2058"/>
      <c r="G46" s="2791">
        <v>181</v>
      </c>
      <c r="H46" s="1135">
        <f>SUM(H41:H45)</f>
        <v>214</v>
      </c>
      <c r="I46" s="2777">
        <f t="shared" si="1"/>
        <v>0.84579439252336452</v>
      </c>
      <c r="J46" s="2058"/>
      <c r="K46" s="2791">
        <v>199</v>
      </c>
      <c r="L46" s="1135">
        <f>SUM(L41:L45)</f>
        <v>214</v>
      </c>
      <c r="M46" s="2777">
        <f t="shared" si="2"/>
        <v>0.92990654205607481</v>
      </c>
      <c r="N46" s="2058"/>
      <c r="O46" s="2791">
        <v>207</v>
      </c>
      <c r="P46" s="1135">
        <f>SUM(P41:P45)</f>
        <v>221</v>
      </c>
      <c r="Q46" s="2777">
        <f t="shared" si="3"/>
        <v>0.93665158371040724</v>
      </c>
      <c r="R46" s="2058"/>
      <c r="S46" s="2791">
        <f>SUM(S41:S45)</f>
        <v>234</v>
      </c>
      <c r="T46" s="1135">
        <f>SUM(T41:T45)</f>
        <v>228</v>
      </c>
      <c r="U46" s="2777">
        <f t="shared" si="4"/>
        <v>1.0263157894736843</v>
      </c>
      <c r="V46" s="2058"/>
      <c r="W46" s="2791">
        <f>SUM(W41:W45)</f>
        <v>255</v>
      </c>
      <c r="X46" s="1135">
        <v>229</v>
      </c>
      <c r="Y46" s="2777">
        <f t="shared" si="5"/>
        <v>1.1135371179039302</v>
      </c>
      <c r="Z46" s="2058"/>
      <c r="AA46" s="2791">
        <v>254</v>
      </c>
      <c r="AB46" s="1135">
        <f>SUM(AB41:AB45)</f>
        <v>231</v>
      </c>
      <c r="AC46" s="2777">
        <f t="shared" si="6"/>
        <v>1.0995670995670996</v>
      </c>
      <c r="AD46" s="2058"/>
      <c r="AE46" s="2791">
        <v>268</v>
      </c>
      <c r="AF46" s="1135">
        <f>SUM(AF41:AF45)</f>
        <v>228</v>
      </c>
      <c r="AG46" s="2777">
        <f t="shared" si="7"/>
        <v>1.1754385964912282</v>
      </c>
      <c r="AH46" s="2058"/>
      <c r="AI46" s="2791">
        <v>302</v>
      </c>
      <c r="AJ46" s="1135">
        <f>SUM(AJ41:AJ45)</f>
        <v>227</v>
      </c>
      <c r="AK46" s="2777">
        <f t="shared" si="11"/>
        <v>1.330396475770925</v>
      </c>
      <c r="AL46" s="2058"/>
      <c r="AM46" s="2791">
        <v>353</v>
      </c>
      <c r="AN46" s="1135">
        <v>224</v>
      </c>
      <c r="AO46" s="2777">
        <f t="shared" si="12"/>
        <v>1.5758928571428572</v>
      </c>
      <c r="AQ46" s="2791">
        <v>285</v>
      </c>
      <c r="AR46" s="1135">
        <v>222</v>
      </c>
      <c r="AS46" s="2777">
        <f t="shared" si="13"/>
        <v>1.2837837837837838</v>
      </c>
    </row>
    <row r="47" spans="1:45" s="1" customFormat="1" ht="18">
      <c r="A47" s="2347"/>
      <c r="B47" s="2355" t="s">
        <v>1130</v>
      </c>
      <c r="C47" s="2792">
        <v>1</v>
      </c>
      <c r="D47" s="2793">
        <v>25</v>
      </c>
      <c r="E47" s="2778">
        <f t="shared" si="0"/>
        <v>0.04</v>
      </c>
      <c r="F47" s="2058"/>
      <c r="G47" s="2792"/>
      <c r="H47" s="2793">
        <v>25</v>
      </c>
      <c r="I47" s="2778">
        <f t="shared" si="1"/>
        <v>0</v>
      </c>
      <c r="J47" s="2058"/>
      <c r="K47" s="2792">
        <v>1</v>
      </c>
      <c r="L47" s="2793">
        <v>26</v>
      </c>
      <c r="M47" s="2778">
        <f t="shared" si="2"/>
        <v>3.8461538461538464E-2</v>
      </c>
      <c r="N47" s="2058"/>
      <c r="O47" s="2792">
        <v>1</v>
      </c>
      <c r="P47" s="2793">
        <v>24</v>
      </c>
      <c r="Q47" s="2778">
        <f t="shared" si="3"/>
        <v>4.1666666666666664E-2</v>
      </c>
      <c r="R47" s="2058"/>
      <c r="S47" s="2792">
        <v>2</v>
      </c>
      <c r="T47" s="2793">
        <v>24</v>
      </c>
      <c r="U47" s="2778">
        <f t="shared" si="4"/>
        <v>8.3333333333333329E-2</v>
      </c>
      <c r="V47" s="2058"/>
      <c r="W47" s="2792">
        <v>3</v>
      </c>
      <c r="X47" s="2793">
        <v>24</v>
      </c>
      <c r="Y47" s="2778">
        <f t="shared" si="5"/>
        <v>0.125</v>
      </c>
      <c r="Z47" s="2058"/>
      <c r="AA47" s="2792">
        <v>1</v>
      </c>
      <c r="AB47" s="2793">
        <v>24</v>
      </c>
      <c r="AC47" s="2778">
        <f t="shared" si="6"/>
        <v>4.1666666666666664E-2</v>
      </c>
      <c r="AD47" s="2058"/>
      <c r="AE47" s="2792">
        <v>1</v>
      </c>
      <c r="AF47" s="2793">
        <v>23</v>
      </c>
      <c r="AG47" s="2778">
        <f t="shared" si="7"/>
        <v>4.3478260869565216E-2</v>
      </c>
      <c r="AH47" s="2058"/>
      <c r="AI47" s="2792">
        <v>0</v>
      </c>
      <c r="AJ47" s="2793">
        <v>23</v>
      </c>
      <c r="AK47" s="2778">
        <f t="shared" si="11"/>
        <v>0</v>
      </c>
      <c r="AL47" s="2058"/>
      <c r="AM47" s="2792">
        <v>0</v>
      </c>
      <c r="AN47" s="2793">
        <v>24</v>
      </c>
      <c r="AO47" s="2778">
        <f t="shared" si="12"/>
        <v>0</v>
      </c>
      <c r="AQ47" s="2792">
        <v>3</v>
      </c>
      <c r="AR47" s="2793">
        <v>24</v>
      </c>
      <c r="AS47" s="2778">
        <f t="shared" si="13"/>
        <v>0.125</v>
      </c>
    </row>
    <row r="48" spans="1:45" s="1" customFormat="1" ht="18">
      <c r="A48" s="2347"/>
      <c r="B48" s="2355" t="s">
        <v>1104</v>
      </c>
      <c r="C48" s="2792">
        <v>1</v>
      </c>
      <c r="D48" s="2793">
        <v>82</v>
      </c>
      <c r="E48" s="2778">
        <f t="shared" si="0"/>
        <v>1.2195121951219513E-2</v>
      </c>
      <c r="F48" s="2058"/>
      <c r="G48" s="2792">
        <v>5</v>
      </c>
      <c r="H48" s="2793">
        <v>80</v>
      </c>
      <c r="I48" s="2778">
        <f t="shared" si="1"/>
        <v>6.25E-2</v>
      </c>
      <c r="J48" s="2058"/>
      <c r="K48" s="2792">
        <v>17</v>
      </c>
      <c r="L48" s="2793">
        <v>78</v>
      </c>
      <c r="M48" s="2778">
        <f t="shared" si="2"/>
        <v>0.21794871794871795</v>
      </c>
      <c r="N48" s="2058"/>
      <c r="O48" s="2792">
        <v>15</v>
      </c>
      <c r="P48" s="2793">
        <v>79</v>
      </c>
      <c r="Q48" s="2778">
        <f t="shared" si="3"/>
        <v>0.189873417721519</v>
      </c>
      <c r="R48" s="2058"/>
      <c r="S48" s="2792">
        <v>1</v>
      </c>
      <c r="T48" s="2793">
        <v>79</v>
      </c>
      <c r="U48" s="2778">
        <f t="shared" si="4"/>
        <v>1.2658227848101266E-2</v>
      </c>
      <c r="V48" s="2058"/>
      <c r="W48" s="2792">
        <v>3</v>
      </c>
      <c r="X48" s="2793">
        <v>78</v>
      </c>
      <c r="Y48" s="2778">
        <f t="shared" si="5"/>
        <v>3.8461538461538464E-2</v>
      </c>
      <c r="Z48" s="2058"/>
      <c r="AA48" s="2792">
        <v>4</v>
      </c>
      <c r="AB48" s="2793">
        <v>78</v>
      </c>
      <c r="AC48" s="2778">
        <f t="shared" si="6"/>
        <v>5.128205128205128E-2</v>
      </c>
      <c r="AD48" s="2058"/>
      <c r="AE48" s="2792">
        <v>15</v>
      </c>
      <c r="AF48" s="2793">
        <v>83</v>
      </c>
      <c r="AG48" s="2778">
        <f t="shared" si="7"/>
        <v>0.18072289156626506</v>
      </c>
      <c r="AH48" s="2058"/>
      <c r="AI48" s="2792">
        <v>6</v>
      </c>
      <c r="AJ48" s="2793">
        <v>87</v>
      </c>
      <c r="AK48" s="2778">
        <f t="shared" si="11"/>
        <v>6.8965517241379309E-2</v>
      </c>
      <c r="AL48" s="2058"/>
      <c r="AM48" s="2792">
        <v>3</v>
      </c>
      <c r="AN48" s="2793">
        <v>87</v>
      </c>
      <c r="AO48" s="2778">
        <f t="shared" si="12"/>
        <v>3.4482758620689655E-2</v>
      </c>
      <c r="AQ48" s="2792">
        <v>1</v>
      </c>
      <c r="AR48" s="2793">
        <v>82</v>
      </c>
      <c r="AS48" s="2778">
        <f t="shared" si="13"/>
        <v>1.2195121951219513E-2</v>
      </c>
    </row>
    <row r="49" spans="1:45" s="1" customFormat="1" ht="18">
      <c r="A49" s="2347"/>
      <c r="B49" s="2355" t="s">
        <v>1131</v>
      </c>
      <c r="C49" s="2792">
        <v>4</v>
      </c>
      <c r="D49" s="2793">
        <v>108</v>
      </c>
      <c r="E49" s="2778">
        <f t="shared" si="0"/>
        <v>3.7037037037037035E-2</v>
      </c>
      <c r="F49" s="2058"/>
      <c r="G49" s="2792">
        <v>3</v>
      </c>
      <c r="H49" s="2793">
        <v>105</v>
      </c>
      <c r="I49" s="2778">
        <f t="shared" si="1"/>
        <v>2.8571428571428571E-2</v>
      </c>
      <c r="J49" s="2058"/>
      <c r="K49" s="2792">
        <v>2</v>
      </c>
      <c r="L49" s="2793">
        <v>105</v>
      </c>
      <c r="M49" s="2778">
        <f t="shared" si="2"/>
        <v>1.9047619047619049E-2</v>
      </c>
      <c r="N49" s="2058"/>
      <c r="O49" s="2792"/>
      <c r="P49" s="2793">
        <v>104</v>
      </c>
      <c r="Q49" s="2778">
        <f t="shared" si="3"/>
        <v>0</v>
      </c>
      <c r="R49" s="2058"/>
      <c r="S49" s="2792">
        <v>3</v>
      </c>
      <c r="T49" s="2793">
        <v>106</v>
      </c>
      <c r="U49" s="2778">
        <f t="shared" si="4"/>
        <v>2.8301886792452831E-2</v>
      </c>
      <c r="V49" s="2058"/>
      <c r="W49" s="2792">
        <v>2</v>
      </c>
      <c r="X49" s="2793">
        <v>107</v>
      </c>
      <c r="Y49" s="2778">
        <f t="shared" si="5"/>
        <v>1.8691588785046728E-2</v>
      </c>
      <c r="Z49" s="2058"/>
      <c r="AA49" s="2792">
        <v>5</v>
      </c>
      <c r="AB49" s="2793">
        <v>105</v>
      </c>
      <c r="AC49" s="2778">
        <f t="shared" si="6"/>
        <v>4.7619047619047616E-2</v>
      </c>
      <c r="AD49" s="2058"/>
      <c r="AE49" s="2792">
        <v>7</v>
      </c>
      <c r="AF49" s="2793">
        <v>107</v>
      </c>
      <c r="AG49" s="2778">
        <f t="shared" si="7"/>
        <v>6.5420560747663545E-2</v>
      </c>
      <c r="AH49" s="2058"/>
      <c r="AI49" s="2792">
        <v>3</v>
      </c>
      <c r="AJ49" s="2793">
        <v>106</v>
      </c>
      <c r="AK49" s="2778">
        <f t="shared" si="11"/>
        <v>2.8301886792452831E-2</v>
      </c>
      <c r="AL49" s="2058"/>
      <c r="AM49" s="2792">
        <v>2</v>
      </c>
      <c r="AN49" s="2793">
        <v>99</v>
      </c>
      <c r="AO49" s="2778">
        <f t="shared" si="12"/>
        <v>2.0202020202020204E-2</v>
      </c>
      <c r="AQ49" s="2792">
        <v>6</v>
      </c>
      <c r="AR49" s="2793">
        <v>98</v>
      </c>
      <c r="AS49" s="2778">
        <f t="shared" si="13"/>
        <v>6.1224489795918366E-2</v>
      </c>
    </row>
    <row r="50" spans="1:45" s="1" customFormat="1" ht="18">
      <c r="A50" s="2347"/>
      <c r="B50" s="2355" t="s">
        <v>1105</v>
      </c>
      <c r="C50" s="2792">
        <v>2</v>
      </c>
      <c r="D50" s="2793">
        <v>92</v>
      </c>
      <c r="E50" s="2778">
        <f t="shared" si="0"/>
        <v>2.1739130434782608E-2</v>
      </c>
      <c r="F50" s="2058"/>
      <c r="G50" s="2792">
        <v>3</v>
      </c>
      <c r="H50" s="2793">
        <v>92</v>
      </c>
      <c r="I50" s="2778">
        <f t="shared" si="1"/>
        <v>3.2608695652173912E-2</v>
      </c>
      <c r="J50" s="2058"/>
      <c r="K50" s="2792"/>
      <c r="L50" s="2793">
        <v>89</v>
      </c>
      <c r="M50" s="2778">
        <f t="shared" si="2"/>
        <v>0</v>
      </c>
      <c r="N50" s="2058"/>
      <c r="O50" s="2792"/>
      <c r="P50" s="2793">
        <v>92</v>
      </c>
      <c r="Q50" s="2778">
        <f t="shared" si="3"/>
        <v>0</v>
      </c>
      <c r="R50" s="2058"/>
      <c r="S50" s="2792">
        <v>1</v>
      </c>
      <c r="T50" s="2793">
        <v>94</v>
      </c>
      <c r="U50" s="2778">
        <f t="shared" si="4"/>
        <v>1.0638297872340425E-2</v>
      </c>
      <c r="V50" s="2058"/>
      <c r="W50" s="2792">
        <v>3</v>
      </c>
      <c r="X50" s="2793">
        <v>92</v>
      </c>
      <c r="Y50" s="2778">
        <f t="shared" si="5"/>
        <v>3.2608695652173912E-2</v>
      </c>
      <c r="Z50" s="2058"/>
      <c r="AA50" s="2792">
        <v>2</v>
      </c>
      <c r="AB50" s="2793">
        <v>91</v>
      </c>
      <c r="AC50" s="2778">
        <f t="shared" si="6"/>
        <v>2.197802197802198E-2</v>
      </c>
      <c r="AD50" s="2058"/>
      <c r="AE50" s="2792"/>
      <c r="AF50" s="2793">
        <v>90</v>
      </c>
      <c r="AG50" s="2778">
        <f t="shared" si="7"/>
        <v>0</v>
      </c>
      <c r="AH50" s="2058"/>
      <c r="AI50" s="2792">
        <v>0</v>
      </c>
      <c r="AJ50" s="2793">
        <v>93</v>
      </c>
      <c r="AK50" s="2778">
        <f t="shared" si="11"/>
        <v>0</v>
      </c>
      <c r="AL50" s="2058"/>
      <c r="AM50" s="2792">
        <v>0</v>
      </c>
      <c r="AN50" s="2793">
        <v>87</v>
      </c>
      <c r="AO50" s="2778">
        <f t="shared" si="12"/>
        <v>0</v>
      </c>
      <c r="AQ50" s="2792">
        <v>1</v>
      </c>
      <c r="AR50" s="2793">
        <v>85</v>
      </c>
      <c r="AS50" s="2778">
        <f t="shared" si="13"/>
        <v>1.1764705882352941E-2</v>
      </c>
    </row>
    <row r="51" spans="1:45" s="1" customFormat="1" ht="15" customHeight="1">
      <c r="A51" s="2347"/>
      <c r="B51" s="2348" t="s">
        <v>16</v>
      </c>
      <c r="C51" s="2796">
        <f>SUM(C47:C50)</f>
        <v>8</v>
      </c>
      <c r="D51" s="2349">
        <f>SUM(D47:D50)</f>
        <v>307</v>
      </c>
      <c r="E51" s="2780">
        <f t="shared" si="0"/>
        <v>2.6058631921824105E-2</v>
      </c>
      <c r="F51" s="2058"/>
      <c r="G51" s="2796">
        <v>11</v>
      </c>
      <c r="H51" s="2349">
        <f>SUM(H47:H50)</f>
        <v>302</v>
      </c>
      <c r="I51" s="2780">
        <f t="shared" si="1"/>
        <v>3.6423841059602648E-2</v>
      </c>
      <c r="J51" s="2058"/>
      <c r="K51" s="2796">
        <v>20</v>
      </c>
      <c r="L51" s="2349">
        <f>SUM(L47:L50)</f>
        <v>298</v>
      </c>
      <c r="M51" s="2780">
        <f t="shared" si="2"/>
        <v>6.7114093959731544E-2</v>
      </c>
      <c r="N51" s="2058"/>
      <c r="O51" s="2796">
        <v>16</v>
      </c>
      <c r="P51" s="2349">
        <f>SUM(P47:P50)</f>
        <v>299</v>
      </c>
      <c r="Q51" s="2780">
        <f t="shared" si="3"/>
        <v>5.3511705685618728E-2</v>
      </c>
      <c r="R51" s="2058"/>
      <c r="S51" s="2796">
        <f>SUM(S47:S50)</f>
        <v>7</v>
      </c>
      <c r="T51" s="2349">
        <f>SUM(T47:T50)</f>
        <v>303</v>
      </c>
      <c r="U51" s="2780">
        <f t="shared" si="4"/>
        <v>2.3102310231023101E-2</v>
      </c>
      <c r="V51" s="2058"/>
      <c r="W51" s="2796">
        <f>SUM(W47:W50)</f>
        <v>11</v>
      </c>
      <c r="X51" s="2349">
        <v>301</v>
      </c>
      <c r="Y51" s="2780">
        <f t="shared" si="5"/>
        <v>3.6544850498338874E-2</v>
      </c>
      <c r="Z51" s="2058"/>
      <c r="AA51" s="2796">
        <v>12</v>
      </c>
      <c r="AB51" s="2349">
        <f>SUM(AB47:AB50)</f>
        <v>298</v>
      </c>
      <c r="AC51" s="2780">
        <f t="shared" si="6"/>
        <v>4.0268456375838924E-2</v>
      </c>
      <c r="AD51" s="2058"/>
      <c r="AE51" s="2796">
        <v>23</v>
      </c>
      <c r="AF51" s="2349">
        <f>SUM(AF47:AF50)</f>
        <v>303</v>
      </c>
      <c r="AG51" s="2780">
        <f t="shared" si="7"/>
        <v>7.590759075907591E-2</v>
      </c>
      <c r="AH51" s="2058"/>
      <c r="AI51" s="2796">
        <v>9</v>
      </c>
      <c r="AJ51" s="2349">
        <f>SUM(AJ47:AJ50)</f>
        <v>309</v>
      </c>
      <c r="AK51" s="2780">
        <f t="shared" si="11"/>
        <v>2.9126213592233011E-2</v>
      </c>
      <c r="AL51" s="2058"/>
      <c r="AM51" s="2796">
        <v>5</v>
      </c>
      <c r="AN51" s="2349">
        <v>297</v>
      </c>
      <c r="AO51" s="2780">
        <f t="shared" si="12"/>
        <v>1.6835016835016835E-2</v>
      </c>
      <c r="AQ51" s="2796">
        <v>11</v>
      </c>
      <c r="AR51" s="2349">
        <v>289</v>
      </c>
      <c r="AS51" s="2780">
        <f t="shared" si="13"/>
        <v>3.8062283737024222E-2</v>
      </c>
    </row>
    <row r="52" spans="1:45" s="1" customFormat="1" ht="15" customHeight="1">
      <c r="A52" s="2347"/>
      <c r="B52" s="2351" t="s">
        <v>1132</v>
      </c>
      <c r="C52" s="2801">
        <f>SUM(C40,C46,C51)</f>
        <v>469</v>
      </c>
      <c r="D52" s="2802">
        <f>SUM(D51,D46,D40)</f>
        <v>789</v>
      </c>
      <c r="E52" s="2783">
        <f t="shared" si="0"/>
        <v>0.59442332065906212</v>
      </c>
      <c r="F52" s="2058"/>
      <c r="G52" s="2801">
        <v>450</v>
      </c>
      <c r="H52" s="2802">
        <f>SUM(H51,H46,H40)</f>
        <v>794</v>
      </c>
      <c r="I52" s="2783">
        <f t="shared" si="1"/>
        <v>0.56675062972292189</v>
      </c>
      <c r="J52" s="2058"/>
      <c r="K52" s="2801">
        <v>500</v>
      </c>
      <c r="L52" s="2802">
        <f>SUM(L51,L46,L40)</f>
        <v>791</v>
      </c>
      <c r="M52" s="2783">
        <f t="shared" si="2"/>
        <v>0.63211125158027814</v>
      </c>
      <c r="N52" s="2058"/>
      <c r="O52" s="2801">
        <v>560</v>
      </c>
      <c r="P52" s="2802">
        <f>SUM(P51,P46,P40)</f>
        <v>804</v>
      </c>
      <c r="Q52" s="2783">
        <f t="shared" si="3"/>
        <v>0.69651741293532343</v>
      </c>
      <c r="R52" s="2058"/>
      <c r="S52" s="2801">
        <f>SUM(S40,S46,S51)</f>
        <v>582</v>
      </c>
      <c r="T52" s="2802">
        <f>SUM(T51,T46,T40)</f>
        <v>817</v>
      </c>
      <c r="U52" s="2783">
        <f t="shared" si="4"/>
        <v>0.71236230110159116</v>
      </c>
      <c r="V52" s="2058"/>
      <c r="W52" s="2801">
        <f>SUM(W51,W46,W40)</f>
        <v>585</v>
      </c>
      <c r="X52" s="2802">
        <v>813</v>
      </c>
      <c r="Y52" s="2783">
        <f t="shared" si="5"/>
        <v>0.71955719557195574</v>
      </c>
      <c r="Z52" s="2058"/>
      <c r="AA52" s="2801">
        <v>574</v>
      </c>
      <c r="AB52" s="2802">
        <f>SUM(AB40,AB46,AB51)</f>
        <v>810</v>
      </c>
      <c r="AC52" s="2783">
        <f t="shared" si="6"/>
        <v>0.70864197530864192</v>
      </c>
      <c r="AD52" s="2058"/>
      <c r="AE52" s="2801">
        <v>612</v>
      </c>
      <c r="AF52" s="2802">
        <f>SUM(AF40,AF46,AF51)</f>
        <v>806</v>
      </c>
      <c r="AG52" s="2783">
        <f t="shared" si="7"/>
        <v>0.75930521091811409</v>
      </c>
      <c r="AH52" s="2058"/>
      <c r="AI52" s="2801">
        <v>649</v>
      </c>
      <c r="AJ52" s="2802">
        <f>SUM(AJ40,AJ46,AJ51)</f>
        <v>811</v>
      </c>
      <c r="AK52" s="2783">
        <f t="shared" si="11"/>
        <v>0.8002466091245376</v>
      </c>
      <c r="AL52" s="2058"/>
      <c r="AM52" s="2801">
        <v>630</v>
      </c>
      <c r="AN52" s="2802">
        <v>790</v>
      </c>
      <c r="AO52" s="2783">
        <f t="shared" si="12"/>
        <v>0.79746835443037978</v>
      </c>
      <c r="AQ52" s="2801">
        <v>611</v>
      </c>
      <c r="AR52" s="2802">
        <v>779</v>
      </c>
      <c r="AS52" s="2783">
        <f t="shared" si="13"/>
        <v>0.78433889602053919</v>
      </c>
    </row>
    <row r="53" spans="1:45" s="1" customFormat="1" ht="18">
      <c r="A53" s="2347"/>
      <c r="B53" s="2355" t="s">
        <v>1133</v>
      </c>
      <c r="C53" s="2803"/>
      <c r="D53" s="2804">
        <v>1</v>
      </c>
      <c r="E53" s="2784">
        <f t="shared" si="0"/>
        <v>0</v>
      </c>
      <c r="F53" s="2058"/>
      <c r="G53" s="2803"/>
      <c r="H53" s="2804">
        <v>1</v>
      </c>
      <c r="I53" s="2784"/>
      <c r="J53" s="2058"/>
      <c r="K53" s="2803"/>
      <c r="L53" s="2804">
        <v>2</v>
      </c>
      <c r="M53" s="2784"/>
      <c r="N53" s="2058"/>
      <c r="O53" s="2803"/>
      <c r="P53" s="2804">
        <v>2</v>
      </c>
      <c r="Q53" s="2784"/>
      <c r="R53" s="2058"/>
      <c r="S53" s="2803">
        <v>0</v>
      </c>
      <c r="T53" s="2804">
        <v>2</v>
      </c>
      <c r="U53" s="2784"/>
      <c r="V53" s="2058"/>
      <c r="W53" s="2803"/>
      <c r="X53" s="2804">
        <v>5</v>
      </c>
      <c r="Y53" s="2784"/>
      <c r="Z53" s="2058"/>
      <c r="AA53" s="2803"/>
      <c r="AB53" s="2804">
        <v>5</v>
      </c>
      <c r="AC53" s="2784"/>
      <c r="AD53" s="2058"/>
      <c r="AE53" s="2803"/>
      <c r="AF53" s="2804">
        <v>6</v>
      </c>
      <c r="AG53" s="2784"/>
      <c r="AH53" s="2058"/>
      <c r="AI53" s="2803">
        <v>0</v>
      </c>
      <c r="AJ53" s="2804">
        <v>6</v>
      </c>
      <c r="AK53" s="2784"/>
      <c r="AL53" s="2058"/>
      <c r="AM53" s="2803">
        <v>6</v>
      </c>
      <c r="AN53" s="2804">
        <v>6</v>
      </c>
      <c r="AO53" s="2784"/>
      <c r="AQ53" s="2803"/>
      <c r="AR53" s="2804">
        <v>6</v>
      </c>
      <c r="AS53" s="2784"/>
    </row>
    <row r="54" spans="1:45" s="1" customFormat="1" ht="18">
      <c r="A54" s="2347"/>
      <c r="B54" s="2355" t="s">
        <v>1134</v>
      </c>
      <c r="C54" s="2803"/>
      <c r="D54" s="2804">
        <v>1</v>
      </c>
      <c r="E54" s="2784">
        <f t="shared" si="0"/>
        <v>0</v>
      </c>
      <c r="F54" s="2058"/>
      <c r="G54" s="2803"/>
      <c r="H54" s="2804">
        <v>2</v>
      </c>
      <c r="I54" s="2784"/>
      <c r="J54" s="2058"/>
      <c r="K54" s="2803"/>
      <c r="L54" s="2804">
        <v>3</v>
      </c>
      <c r="M54" s="2784"/>
      <c r="N54" s="2058"/>
      <c r="O54" s="2803"/>
      <c r="P54" s="2804">
        <v>4</v>
      </c>
      <c r="Q54" s="2784"/>
      <c r="R54" s="2058"/>
      <c r="S54" s="2803">
        <v>2</v>
      </c>
      <c r="T54" s="2804">
        <v>6</v>
      </c>
      <c r="U54" s="2784">
        <f t="shared" si="4"/>
        <v>0.33333333333333331</v>
      </c>
      <c r="V54" s="2058"/>
      <c r="W54" s="2803">
        <v>6</v>
      </c>
      <c r="X54" s="2804">
        <v>8</v>
      </c>
      <c r="Y54" s="2784">
        <f>W54/X54</f>
        <v>0.75</v>
      </c>
      <c r="Z54" s="2058"/>
      <c r="AA54" s="2803">
        <v>6</v>
      </c>
      <c r="AB54" s="2804">
        <v>8</v>
      </c>
      <c r="AC54" s="2784">
        <f>AA54/AB54</f>
        <v>0.75</v>
      </c>
      <c r="AD54" s="2058"/>
      <c r="AE54" s="2803">
        <v>5</v>
      </c>
      <c r="AF54" s="2804">
        <v>9</v>
      </c>
      <c r="AG54" s="2784">
        <f>AE54/AF54</f>
        <v>0.55555555555555558</v>
      </c>
      <c r="AH54" s="2058"/>
      <c r="AI54" s="2803">
        <v>8</v>
      </c>
      <c r="AJ54" s="2804">
        <v>11</v>
      </c>
      <c r="AK54" s="2784">
        <f>AI54/AJ54</f>
        <v>0.72727272727272729</v>
      </c>
      <c r="AL54" s="2058"/>
      <c r="AM54" s="2803">
        <v>3</v>
      </c>
      <c r="AN54" s="2804">
        <v>12</v>
      </c>
      <c r="AO54" s="2784">
        <f>AM54/AN54</f>
        <v>0.25</v>
      </c>
      <c r="AQ54" s="2803">
        <v>2</v>
      </c>
      <c r="AR54" s="2804">
        <v>12</v>
      </c>
      <c r="AS54" s="2784">
        <f>AQ54/AR54</f>
        <v>0.16666666666666666</v>
      </c>
    </row>
    <row r="55" spans="1:45" s="1" customFormat="1" ht="18">
      <c r="A55" s="2347"/>
      <c r="B55" s="2355" t="s">
        <v>1135</v>
      </c>
      <c r="C55" s="2803"/>
      <c r="D55" s="2804">
        <v>1</v>
      </c>
      <c r="E55" s="2784">
        <f t="shared" si="0"/>
        <v>0</v>
      </c>
      <c r="F55" s="2058"/>
      <c r="G55" s="2803"/>
      <c r="H55" s="2804">
        <v>1</v>
      </c>
      <c r="I55" s="2784"/>
      <c r="J55" s="2058"/>
      <c r="K55" s="2803"/>
      <c r="L55" s="2804">
        <v>2</v>
      </c>
      <c r="M55" s="2784"/>
      <c r="N55" s="2058"/>
      <c r="O55" s="2803"/>
      <c r="P55" s="2804">
        <v>2</v>
      </c>
      <c r="Q55" s="2784"/>
      <c r="R55" s="2058"/>
      <c r="S55" s="2803">
        <v>0</v>
      </c>
      <c r="T55" s="2804">
        <v>2</v>
      </c>
      <c r="U55" s="2784">
        <f t="shared" si="4"/>
        <v>0</v>
      </c>
      <c r="V55" s="2058"/>
      <c r="W55" s="2803">
        <v>1</v>
      </c>
      <c r="X55" s="2804">
        <v>2</v>
      </c>
      <c r="Y55" s="2784">
        <f>W55/X55</f>
        <v>0.5</v>
      </c>
      <c r="Z55" s="2058"/>
      <c r="AA55" s="2803">
        <v>2</v>
      </c>
      <c r="AB55" s="2804">
        <v>3</v>
      </c>
      <c r="AC55" s="2784">
        <f>AA55/AB55</f>
        <v>0.66666666666666663</v>
      </c>
      <c r="AD55" s="2058"/>
      <c r="AE55" s="2803">
        <v>1</v>
      </c>
      <c r="AF55" s="2804">
        <v>4</v>
      </c>
      <c r="AG55" s="2784">
        <f>AE55/AF55</f>
        <v>0.25</v>
      </c>
      <c r="AH55" s="2058"/>
      <c r="AI55" s="2803">
        <v>7</v>
      </c>
      <c r="AJ55" s="2804">
        <v>4</v>
      </c>
      <c r="AK55" s="2784">
        <f>AI55/AJ55</f>
        <v>1.75</v>
      </c>
      <c r="AL55" s="2058"/>
      <c r="AM55" s="2803">
        <v>1</v>
      </c>
      <c r="AN55" s="2804">
        <v>5</v>
      </c>
      <c r="AO55" s="2784">
        <f>AM55/AN55</f>
        <v>0.2</v>
      </c>
      <c r="AQ55" s="2803">
        <v>1</v>
      </c>
      <c r="AR55" s="2804">
        <v>4</v>
      </c>
      <c r="AS55" s="2784">
        <f>AQ55/AR55</f>
        <v>0.25</v>
      </c>
    </row>
    <row r="56" spans="1:45" s="1" customFormat="1" ht="15" customHeight="1">
      <c r="A56" s="2347"/>
      <c r="B56" s="2316" t="s">
        <v>4</v>
      </c>
      <c r="C56" s="2791">
        <v>0</v>
      </c>
      <c r="D56" s="1135">
        <f>SUM(D53:D55)</f>
        <v>3</v>
      </c>
      <c r="E56" s="2777">
        <f t="shared" si="0"/>
        <v>0</v>
      </c>
      <c r="F56" s="2058"/>
      <c r="G56" s="2791">
        <v>0</v>
      </c>
      <c r="H56" s="1135">
        <f>SUM(H53:H55)</f>
        <v>4</v>
      </c>
      <c r="I56" s="2777"/>
      <c r="J56" s="2058"/>
      <c r="K56" s="2791"/>
      <c r="L56" s="1135">
        <f>SUM(L53:L55)</f>
        <v>7</v>
      </c>
      <c r="M56" s="2777"/>
      <c r="N56" s="2058"/>
      <c r="O56" s="2791">
        <v>0</v>
      </c>
      <c r="P56" s="1135">
        <f>SUM(P53:P55)</f>
        <v>8</v>
      </c>
      <c r="Q56" s="2777"/>
      <c r="R56" s="2058"/>
      <c r="S56" s="2791">
        <f>SUM(S53:S55)</f>
        <v>2</v>
      </c>
      <c r="T56" s="1135">
        <f>SUM(T53:T55)</f>
        <v>10</v>
      </c>
      <c r="U56" s="2777">
        <f t="shared" si="4"/>
        <v>0.2</v>
      </c>
      <c r="V56" s="2058"/>
      <c r="W56" s="2791">
        <f>SUM(W53:W55)</f>
        <v>7</v>
      </c>
      <c r="X56" s="1135">
        <v>15</v>
      </c>
      <c r="Y56" s="2777">
        <f>W56/X56</f>
        <v>0.46666666666666667</v>
      </c>
      <c r="Z56" s="2058"/>
      <c r="AA56" s="2791">
        <v>8</v>
      </c>
      <c r="AB56" s="1135">
        <f>SUM(AB53:AB55)</f>
        <v>16</v>
      </c>
      <c r="AC56" s="2777">
        <f>AA56/AB56</f>
        <v>0.5</v>
      </c>
      <c r="AD56" s="2058"/>
      <c r="AE56" s="2791">
        <v>6</v>
      </c>
      <c r="AF56" s="1135">
        <f>SUM(AF53:AF55)</f>
        <v>19</v>
      </c>
      <c r="AG56" s="2777">
        <f>AE56/AF56</f>
        <v>0.31578947368421051</v>
      </c>
      <c r="AH56" s="2058"/>
      <c r="AI56" s="2791">
        <v>15</v>
      </c>
      <c r="AJ56" s="1135">
        <f>SUM(AJ53:AJ55)</f>
        <v>21</v>
      </c>
      <c r="AK56" s="2777">
        <f>AI56/AJ56</f>
        <v>0.7142857142857143</v>
      </c>
      <c r="AL56" s="2058"/>
      <c r="AM56" s="2791">
        <v>10</v>
      </c>
      <c r="AN56" s="1135">
        <v>23</v>
      </c>
      <c r="AO56" s="2777">
        <f>AM56/AN56</f>
        <v>0.43478260869565216</v>
      </c>
      <c r="AQ56" s="2791">
        <v>3</v>
      </c>
      <c r="AR56" s="1135">
        <v>22</v>
      </c>
      <c r="AS56" s="2777">
        <f>AQ56/AR56</f>
        <v>0.13636363636363635</v>
      </c>
    </row>
    <row r="57" spans="1:45" s="1" customFormat="1" ht="18">
      <c r="A57" s="2347"/>
      <c r="B57" s="2355" t="s">
        <v>1136</v>
      </c>
      <c r="C57" s="2803"/>
      <c r="D57" s="2804">
        <v>1</v>
      </c>
      <c r="E57" s="2784">
        <f t="shared" si="0"/>
        <v>0</v>
      </c>
      <c r="F57" s="2058"/>
      <c r="G57" s="2803"/>
      <c r="H57" s="2804">
        <v>2</v>
      </c>
      <c r="I57" s="2784"/>
      <c r="J57" s="2058"/>
      <c r="K57" s="2803"/>
      <c r="L57" s="2804">
        <v>2</v>
      </c>
      <c r="M57" s="2784"/>
      <c r="N57" s="2058"/>
      <c r="O57" s="2803"/>
      <c r="P57" s="2804">
        <v>6</v>
      </c>
      <c r="Q57" s="2784"/>
      <c r="R57" s="2058"/>
      <c r="S57" s="2803">
        <v>8</v>
      </c>
      <c r="T57" s="2804">
        <v>8</v>
      </c>
      <c r="U57" s="2784">
        <f t="shared" si="4"/>
        <v>1</v>
      </c>
      <c r="V57" s="2058"/>
      <c r="W57" s="2803">
        <v>18</v>
      </c>
      <c r="X57" s="2804">
        <v>7</v>
      </c>
      <c r="Y57" s="2784">
        <f>W57/X57</f>
        <v>2.5714285714285716</v>
      </c>
      <c r="Z57" s="2058"/>
      <c r="AA57" s="2803">
        <v>3</v>
      </c>
      <c r="AB57" s="2804">
        <v>8</v>
      </c>
      <c r="AC57" s="2784">
        <f>AA57/AB57</f>
        <v>0.375</v>
      </c>
      <c r="AD57" s="2058"/>
      <c r="AE57" s="2803">
        <v>15</v>
      </c>
      <c r="AF57" s="2804">
        <v>9</v>
      </c>
      <c r="AG57" s="2784">
        <f>AE57/AF57</f>
        <v>1.6666666666666667</v>
      </c>
      <c r="AH57" s="2058"/>
      <c r="AI57" s="2803">
        <v>11</v>
      </c>
      <c r="AJ57" s="2804">
        <v>9</v>
      </c>
      <c r="AK57" s="2784">
        <f>AI57/AJ57</f>
        <v>1.2222222222222223</v>
      </c>
      <c r="AL57" s="2058"/>
      <c r="AM57" s="2803">
        <v>13</v>
      </c>
      <c r="AN57" s="2804">
        <v>11</v>
      </c>
      <c r="AO57" s="2784">
        <f>AM57/AN57</f>
        <v>1.1818181818181819</v>
      </c>
      <c r="AQ57" s="2803">
        <v>5</v>
      </c>
      <c r="AR57" s="2804">
        <v>11</v>
      </c>
      <c r="AS57" s="2784">
        <f>AQ57/AR57</f>
        <v>0.45454545454545453</v>
      </c>
    </row>
    <row r="58" spans="1:45" s="1" customFormat="1" ht="18">
      <c r="A58" s="2347"/>
      <c r="B58" s="2355" t="s">
        <v>1137</v>
      </c>
      <c r="C58" s="2803"/>
      <c r="D58" s="2804">
        <v>2</v>
      </c>
      <c r="E58" s="2784">
        <f t="shared" si="0"/>
        <v>0</v>
      </c>
      <c r="F58" s="2058"/>
      <c r="G58" s="2803"/>
      <c r="H58" s="2804">
        <v>2</v>
      </c>
      <c r="I58" s="2784"/>
      <c r="J58" s="2058"/>
      <c r="K58" s="2803"/>
      <c r="L58" s="2804">
        <v>4</v>
      </c>
      <c r="M58" s="2784"/>
      <c r="N58" s="2058"/>
      <c r="O58" s="2803"/>
      <c r="P58" s="2804">
        <v>4</v>
      </c>
      <c r="Q58" s="2784"/>
      <c r="R58" s="2058"/>
      <c r="S58" s="2803">
        <v>5</v>
      </c>
      <c r="T58" s="2804">
        <v>2</v>
      </c>
      <c r="U58" s="2784">
        <f t="shared" si="4"/>
        <v>2.5</v>
      </c>
      <c r="V58" s="2058"/>
      <c r="W58" s="2803"/>
      <c r="X58" s="2804">
        <v>4</v>
      </c>
      <c r="Y58" s="2784">
        <f>W58/X58</f>
        <v>0</v>
      </c>
      <c r="Z58" s="2058"/>
      <c r="AA58" s="2803"/>
      <c r="AB58" s="2804">
        <v>6</v>
      </c>
      <c r="AC58" s="2784">
        <f>AA58/AB58</f>
        <v>0</v>
      </c>
      <c r="AD58" s="2058"/>
      <c r="AE58" s="2803">
        <v>14</v>
      </c>
      <c r="AF58" s="2804">
        <v>7</v>
      </c>
      <c r="AG58" s="2784">
        <f>AE58/AF58</f>
        <v>2</v>
      </c>
      <c r="AH58" s="2058"/>
      <c r="AI58" s="2803">
        <v>32</v>
      </c>
      <c r="AJ58" s="2804">
        <v>8</v>
      </c>
      <c r="AK58" s="2784">
        <f>AI58/AJ58</f>
        <v>4</v>
      </c>
      <c r="AL58" s="2058"/>
      <c r="AM58" s="2803">
        <v>4</v>
      </c>
      <c r="AN58" s="2804">
        <v>6</v>
      </c>
      <c r="AO58" s="2784">
        <f>AM58/AN58</f>
        <v>0.66666666666666663</v>
      </c>
      <c r="AQ58" s="2803">
        <v>3</v>
      </c>
      <c r="AR58" s="2804">
        <v>6</v>
      </c>
      <c r="AS58" s="2784">
        <f>AQ58/AR58</f>
        <v>0.5</v>
      </c>
    </row>
    <row r="59" spans="1:45" s="1" customFormat="1" ht="18">
      <c r="A59" s="2347"/>
      <c r="B59" s="2355" t="s">
        <v>1128</v>
      </c>
      <c r="C59" s="2803"/>
      <c r="D59" s="2804">
        <v>2</v>
      </c>
      <c r="E59" s="2784">
        <f t="shared" si="0"/>
        <v>0</v>
      </c>
      <c r="F59" s="2058"/>
      <c r="G59" s="2803"/>
      <c r="H59" s="2804">
        <v>2</v>
      </c>
      <c r="I59" s="2784"/>
      <c r="J59" s="2058"/>
      <c r="K59" s="2803"/>
      <c r="L59" s="2804">
        <v>3</v>
      </c>
      <c r="M59" s="2784"/>
      <c r="N59" s="2058"/>
      <c r="O59" s="2803"/>
      <c r="P59" s="2804">
        <v>3</v>
      </c>
      <c r="Q59" s="2784"/>
      <c r="R59" s="2058"/>
      <c r="S59" s="2803">
        <v>0</v>
      </c>
      <c r="T59" s="2804">
        <v>3</v>
      </c>
      <c r="U59" s="2784"/>
      <c r="V59" s="2058"/>
      <c r="W59" s="2803"/>
      <c r="X59" s="2804">
        <v>3</v>
      </c>
      <c r="Y59" s="2784"/>
      <c r="Z59" s="2058"/>
      <c r="AA59" s="2803"/>
      <c r="AB59" s="2804">
        <v>4</v>
      </c>
      <c r="AC59" s="2784"/>
      <c r="AD59" s="2058"/>
      <c r="AE59" s="2803">
        <v>26</v>
      </c>
      <c r="AF59" s="2804">
        <v>4</v>
      </c>
      <c r="AG59" s="2784"/>
      <c r="AH59" s="2058"/>
      <c r="AI59" s="2803">
        <v>6</v>
      </c>
      <c r="AJ59" s="2804">
        <v>3</v>
      </c>
      <c r="AK59" s="2784"/>
      <c r="AL59" s="2058"/>
      <c r="AM59" s="2803">
        <v>1</v>
      </c>
      <c r="AN59" s="2804">
        <v>4</v>
      </c>
      <c r="AO59" s="2784"/>
      <c r="AQ59" s="2803">
        <v>7</v>
      </c>
      <c r="AR59" s="2804">
        <v>5</v>
      </c>
      <c r="AS59" s="2784"/>
    </row>
    <row r="60" spans="1:45" s="1" customFormat="1" ht="15" customHeight="1">
      <c r="A60" s="2347"/>
      <c r="B60" s="2316" t="s">
        <v>41</v>
      </c>
      <c r="C60" s="2791">
        <v>0</v>
      </c>
      <c r="D60" s="1135">
        <f>SUM(D57:D59)</f>
        <v>5</v>
      </c>
      <c r="E60" s="2777">
        <f t="shared" si="0"/>
        <v>0</v>
      </c>
      <c r="F60" s="2058"/>
      <c r="G60" s="2791">
        <v>0</v>
      </c>
      <c r="H60" s="1135">
        <f>SUM(H57:H59)</f>
        <v>6</v>
      </c>
      <c r="I60" s="2777"/>
      <c r="J60" s="2058"/>
      <c r="K60" s="2791"/>
      <c r="L60" s="1135">
        <f>SUM(L57:L59)</f>
        <v>9</v>
      </c>
      <c r="M60" s="2777"/>
      <c r="N60" s="2058"/>
      <c r="O60" s="2791">
        <v>0</v>
      </c>
      <c r="P60" s="1135">
        <f>SUM(P57:P59)</f>
        <v>13</v>
      </c>
      <c r="Q60" s="2777"/>
      <c r="R60" s="2058"/>
      <c r="S60" s="2791">
        <f>SUM(S57:S59)</f>
        <v>13</v>
      </c>
      <c r="T60" s="1135">
        <f>SUM(T57:T59)</f>
        <v>13</v>
      </c>
      <c r="U60" s="2777">
        <f t="shared" si="4"/>
        <v>1</v>
      </c>
      <c r="V60" s="2058"/>
      <c r="W60" s="2791">
        <f>SUM(W57:W59)</f>
        <v>18</v>
      </c>
      <c r="X60" s="1135">
        <v>14</v>
      </c>
      <c r="Y60" s="2777">
        <f>W60/X60</f>
        <v>1.2857142857142858</v>
      </c>
      <c r="Z60" s="2058"/>
      <c r="AA60" s="2791">
        <v>3</v>
      </c>
      <c r="AB60" s="1135">
        <f>SUM(AB57:AB59)</f>
        <v>18</v>
      </c>
      <c r="AC60" s="2777">
        <f>AA60/AB60</f>
        <v>0.16666666666666666</v>
      </c>
      <c r="AD60" s="2058"/>
      <c r="AE60" s="2791">
        <v>55</v>
      </c>
      <c r="AF60" s="1135">
        <f>SUM(AF57:AF59)</f>
        <v>20</v>
      </c>
      <c r="AG60" s="2777">
        <f>AE60/AF60</f>
        <v>2.75</v>
      </c>
      <c r="AH60" s="2058"/>
      <c r="AI60" s="2791">
        <v>49</v>
      </c>
      <c r="AJ60" s="1135">
        <f>SUM(AJ57:AJ59)</f>
        <v>20</v>
      </c>
      <c r="AK60" s="2777">
        <f>AI60/AJ60</f>
        <v>2.4500000000000002</v>
      </c>
      <c r="AL60" s="2058"/>
      <c r="AM60" s="2791">
        <v>18</v>
      </c>
      <c r="AN60" s="1135">
        <v>21</v>
      </c>
      <c r="AO60" s="2777">
        <f>AM60/AN60</f>
        <v>0.8571428571428571</v>
      </c>
      <c r="AQ60" s="2791">
        <v>15</v>
      </c>
      <c r="AR60" s="1135">
        <v>22</v>
      </c>
      <c r="AS60" s="2777">
        <f>AQ60/AR60</f>
        <v>0.68181818181818177</v>
      </c>
    </row>
    <row r="61" spans="1:45" s="1" customFormat="1" ht="18">
      <c r="A61" s="2347"/>
      <c r="B61" s="2355" t="s">
        <v>1138</v>
      </c>
      <c r="C61" s="2803"/>
      <c r="D61" s="2804"/>
      <c r="E61" s="2784"/>
      <c r="F61" s="2058"/>
      <c r="G61" s="2803"/>
      <c r="H61" s="2804"/>
      <c r="I61" s="2784"/>
      <c r="J61" s="2058"/>
      <c r="K61" s="2803"/>
      <c r="L61" s="2804">
        <v>1</v>
      </c>
      <c r="M61" s="2784"/>
      <c r="N61" s="2058"/>
      <c r="O61" s="2803"/>
      <c r="P61" s="2804">
        <v>1</v>
      </c>
      <c r="Q61" s="2784"/>
      <c r="R61" s="2058"/>
      <c r="S61" s="2803">
        <v>0</v>
      </c>
      <c r="T61" s="2804">
        <v>2</v>
      </c>
      <c r="U61" s="2784"/>
      <c r="V61" s="2058"/>
      <c r="W61" s="2803"/>
      <c r="X61" s="2804">
        <v>1</v>
      </c>
      <c r="Y61" s="2784"/>
      <c r="Z61" s="2058"/>
      <c r="AA61" s="2803"/>
      <c r="AB61" s="2804">
        <v>6</v>
      </c>
      <c r="AC61" s="2784"/>
      <c r="AD61" s="2058"/>
      <c r="AE61" s="2803"/>
      <c r="AF61" s="2804">
        <v>9</v>
      </c>
      <c r="AG61" s="2784"/>
      <c r="AH61" s="2058"/>
      <c r="AI61" s="2803">
        <v>0</v>
      </c>
      <c r="AJ61" s="2804">
        <v>9</v>
      </c>
      <c r="AK61" s="2784"/>
      <c r="AL61" s="2058"/>
      <c r="AM61" s="2803">
        <v>0</v>
      </c>
      <c r="AN61" s="2804">
        <v>9</v>
      </c>
      <c r="AO61" s="2784"/>
      <c r="AQ61" s="2803"/>
      <c r="AR61" s="2804">
        <v>10</v>
      </c>
      <c r="AS61" s="2784"/>
    </row>
    <row r="62" spans="1:45" s="1" customFormat="1" ht="18">
      <c r="A62" s="2347"/>
      <c r="B62" s="2355" t="s">
        <v>1139</v>
      </c>
      <c r="C62" s="2803"/>
      <c r="D62" s="2804"/>
      <c r="E62" s="2784"/>
      <c r="F62" s="2058"/>
      <c r="G62" s="2803"/>
      <c r="H62" s="2804"/>
      <c r="I62" s="2784"/>
      <c r="J62" s="2058"/>
      <c r="K62" s="2803"/>
      <c r="L62" s="2804">
        <v>1</v>
      </c>
      <c r="M62" s="2784"/>
      <c r="N62" s="2058"/>
      <c r="O62" s="2803"/>
      <c r="P62" s="2804">
        <v>1</v>
      </c>
      <c r="Q62" s="2784"/>
      <c r="R62" s="2058"/>
      <c r="S62" s="2803">
        <v>0</v>
      </c>
      <c r="T62" s="2804">
        <v>3</v>
      </c>
      <c r="U62" s="2784"/>
      <c r="V62" s="2058"/>
      <c r="W62" s="2803"/>
      <c r="X62" s="2804">
        <v>2</v>
      </c>
      <c r="Y62" s="2784"/>
      <c r="Z62" s="2058"/>
      <c r="AA62" s="2803"/>
      <c r="AB62" s="2804">
        <v>3</v>
      </c>
      <c r="AC62" s="2784"/>
      <c r="AD62" s="2058"/>
      <c r="AE62" s="2803"/>
      <c r="AF62" s="2804">
        <v>4</v>
      </c>
      <c r="AG62" s="2784"/>
      <c r="AH62" s="2058"/>
      <c r="AI62" s="2803">
        <v>0</v>
      </c>
      <c r="AJ62" s="2804">
        <v>7</v>
      </c>
      <c r="AK62" s="2784"/>
      <c r="AL62" s="2058"/>
      <c r="AM62" s="2803">
        <v>0</v>
      </c>
      <c r="AN62" s="2804">
        <v>5</v>
      </c>
      <c r="AO62" s="2784"/>
      <c r="AQ62" s="2803"/>
      <c r="AR62" s="2804">
        <v>5</v>
      </c>
      <c r="AS62" s="2784"/>
    </row>
    <row r="63" spans="1:45" s="1" customFormat="1" ht="18">
      <c r="A63" s="2347"/>
      <c r="B63" s="2355" t="s">
        <v>1140</v>
      </c>
      <c r="C63" s="2803"/>
      <c r="D63" s="2804">
        <v>2</v>
      </c>
      <c r="E63" s="2784">
        <f t="shared" si="0"/>
        <v>0</v>
      </c>
      <c r="F63" s="2058"/>
      <c r="G63" s="2803"/>
      <c r="H63" s="2804">
        <v>3</v>
      </c>
      <c r="I63" s="2784"/>
      <c r="J63" s="2058"/>
      <c r="K63" s="2803"/>
      <c r="L63" s="2804">
        <v>4</v>
      </c>
      <c r="M63" s="2784"/>
      <c r="N63" s="2058"/>
      <c r="O63" s="2803"/>
      <c r="P63" s="2804">
        <v>5</v>
      </c>
      <c r="Q63" s="2784"/>
      <c r="R63" s="2058"/>
      <c r="S63" s="2803">
        <v>0</v>
      </c>
      <c r="T63" s="2804">
        <v>8</v>
      </c>
      <c r="U63" s="2784">
        <f t="shared" si="4"/>
        <v>0</v>
      </c>
      <c r="V63" s="2058"/>
      <c r="W63" s="2803"/>
      <c r="X63" s="2804">
        <v>10</v>
      </c>
      <c r="Y63" s="2784">
        <f t="shared" ref="Y63:Y83" si="14">W63/X63</f>
        <v>0</v>
      </c>
      <c r="Z63" s="2058"/>
      <c r="AA63" s="2803">
        <v>1</v>
      </c>
      <c r="AB63" s="2804">
        <v>12</v>
      </c>
      <c r="AC63" s="2784">
        <f t="shared" ref="AC63:AC83" si="15">AA63/AB63</f>
        <v>8.3333333333333329E-2</v>
      </c>
      <c r="AD63" s="2058"/>
      <c r="AE63" s="2803"/>
      <c r="AF63" s="2804">
        <v>14</v>
      </c>
      <c r="AG63" s="2784">
        <f t="shared" ref="AG63:AG83" si="16">AE63/AF63</f>
        <v>0</v>
      </c>
      <c r="AH63" s="2058"/>
      <c r="AI63" s="2803">
        <v>0</v>
      </c>
      <c r="AJ63" s="2804">
        <v>14</v>
      </c>
      <c r="AK63" s="2784">
        <f t="shared" ref="AK63:AK83" si="17">AI63/AJ63</f>
        <v>0</v>
      </c>
      <c r="AL63" s="2058"/>
      <c r="AM63" s="2803">
        <v>0</v>
      </c>
      <c r="AN63" s="2804">
        <v>16</v>
      </c>
      <c r="AO63" s="2784">
        <f t="shared" ref="AO63:AO81" si="18">AM63/AN63</f>
        <v>0</v>
      </c>
      <c r="AQ63" s="2803"/>
      <c r="AR63" s="2804">
        <v>16</v>
      </c>
      <c r="AS63" s="2784">
        <f t="shared" ref="AS63:AS81" si="19">AQ63/AR63</f>
        <v>0</v>
      </c>
    </row>
    <row r="64" spans="1:45" s="1" customFormat="1" ht="15" customHeight="1">
      <c r="A64" s="2347"/>
      <c r="B64" s="2348" t="s">
        <v>16</v>
      </c>
      <c r="C64" s="2796">
        <v>0</v>
      </c>
      <c r="D64" s="2349">
        <f>SUM(D61:D63)</f>
        <v>2</v>
      </c>
      <c r="E64" s="2780">
        <f t="shared" si="0"/>
        <v>0</v>
      </c>
      <c r="F64" s="2058"/>
      <c r="G64" s="2796">
        <v>0</v>
      </c>
      <c r="H64" s="2349">
        <f>SUM(H61:H63)</f>
        <v>3</v>
      </c>
      <c r="I64" s="2780"/>
      <c r="J64" s="2058"/>
      <c r="K64" s="2796"/>
      <c r="L64" s="2349">
        <f>SUM(L61:L63)</f>
        <v>6</v>
      </c>
      <c r="M64" s="2780"/>
      <c r="N64" s="2058"/>
      <c r="O64" s="2796">
        <v>0</v>
      </c>
      <c r="P64" s="2349">
        <f>SUM(P61:P63)</f>
        <v>7</v>
      </c>
      <c r="Q64" s="2780"/>
      <c r="R64" s="2058"/>
      <c r="S64" s="2796">
        <f>SUM(S61:S63)</f>
        <v>0</v>
      </c>
      <c r="T64" s="2349">
        <f>SUM(T61:T63)</f>
        <v>13</v>
      </c>
      <c r="U64" s="2780">
        <f t="shared" si="4"/>
        <v>0</v>
      </c>
      <c r="V64" s="2058"/>
      <c r="W64" s="2796">
        <f>SUM(W61:W63)</f>
        <v>0</v>
      </c>
      <c r="X64" s="2349">
        <v>13</v>
      </c>
      <c r="Y64" s="2780">
        <f t="shared" si="14"/>
        <v>0</v>
      </c>
      <c r="Z64" s="2058"/>
      <c r="AA64" s="2796">
        <v>1</v>
      </c>
      <c r="AB64" s="2349">
        <f>SUM(AB61:AB63)</f>
        <v>21</v>
      </c>
      <c r="AC64" s="2780">
        <f t="shared" si="15"/>
        <v>4.7619047619047616E-2</v>
      </c>
      <c r="AD64" s="2058"/>
      <c r="AE64" s="2796">
        <v>0</v>
      </c>
      <c r="AF64" s="2349">
        <f>SUM(AF61:AF63)</f>
        <v>27</v>
      </c>
      <c r="AG64" s="2780">
        <f t="shared" si="16"/>
        <v>0</v>
      </c>
      <c r="AH64" s="2058"/>
      <c r="AI64" s="2796">
        <v>0</v>
      </c>
      <c r="AJ64" s="2349">
        <f>SUM(AJ61:AJ63)</f>
        <v>30</v>
      </c>
      <c r="AK64" s="2780">
        <f t="shared" si="17"/>
        <v>0</v>
      </c>
      <c r="AL64" s="2058"/>
      <c r="AM64" s="2796">
        <v>0</v>
      </c>
      <c r="AN64" s="2349">
        <v>30</v>
      </c>
      <c r="AO64" s="2780">
        <f t="shared" si="18"/>
        <v>0</v>
      </c>
      <c r="AQ64" s="2796">
        <v>0</v>
      </c>
      <c r="AR64" s="2349">
        <v>31</v>
      </c>
      <c r="AS64" s="2780">
        <f t="shared" si="19"/>
        <v>0</v>
      </c>
    </row>
    <row r="65" spans="1:45" s="1" customFormat="1" ht="15" customHeight="1">
      <c r="A65" s="2347"/>
      <c r="B65" s="2352" t="s">
        <v>358</v>
      </c>
      <c r="C65" s="2805">
        <v>0</v>
      </c>
      <c r="D65" s="2806">
        <f>SUM(D56,D60,D64)</f>
        <v>10</v>
      </c>
      <c r="E65" s="2785">
        <f t="shared" si="0"/>
        <v>0</v>
      </c>
      <c r="F65" s="2058"/>
      <c r="G65" s="2805">
        <v>0</v>
      </c>
      <c r="H65" s="2806">
        <f>SUM(H56,H60,H64)</f>
        <v>13</v>
      </c>
      <c r="I65" s="2785"/>
      <c r="J65" s="2058"/>
      <c r="K65" s="2805"/>
      <c r="L65" s="2806">
        <f>SUM(L56,L60,L64)</f>
        <v>22</v>
      </c>
      <c r="M65" s="2785"/>
      <c r="N65" s="2058"/>
      <c r="O65" s="2805">
        <v>0</v>
      </c>
      <c r="P65" s="2806">
        <f>SUM(P56,P60,P64)</f>
        <v>28</v>
      </c>
      <c r="Q65" s="2785"/>
      <c r="R65" s="2058"/>
      <c r="S65" s="2805">
        <f>SUM(S56,S60,S64)</f>
        <v>15</v>
      </c>
      <c r="T65" s="2806">
        <f>SUM(T56,T60,T64)</f>
        <v>36</v>
      </c>
      <c r="U65" s="2785">
        <f t="shared" si="4"/>
        <v>0.41666666666666669</v>
      </c>
      <c r="V65" s="2058"/>
      <c r="W65" s="2805">
        <f>SUM(W56,W60,W64)</f>
        <v>25</v>
      </c>
      <c r="X65" s="2806">
        <v>42</v>
      </c>
      <c r="Y65" s="2785">
        <f t="shared" si="14"/>
        <v>0.59523809523809523</v>
      </c>
      <c r="Z65" s="2058"/>
      <c r="AA65" s="2805">
        <v>12</v>
      </c>
      <c r="AB65" s="2806">
        <f>SUM(AB56,AB60,AB64)</f>
        <v>55</v>
      </c>
      <c r="AC65" s="2785">
        <f t="shared" si="15"/>
        <v>0.21818181818181817</v>
      </c>
      <c r="AD65" s="2058"/>
      <c r="AE65" s="2805">
        <v>61</v>
      </c>
      <c r="AF65" s="2806">
        <f>SUM(AF56,AF60,AF64)</f>
        <v>66</v>
      </c>
      <c r="AG65" s="2785">
        <f t="shared" si="16"/>
        <v>0.9242424242424242</v>
      </c>
      <c r="AH65" s="2058"/>
      <c r="AI65" s="2805">
        <v>64</v>
      </c>
      <c r="AJ65" s="2806">
        <f>SUM(AJ56,AJ60,AJ64)</f>
        <v>71</v>
      </c>
      <c r="AK65" s="2785">
        <f t="shared" si="17"/>
        <v>0.90140845070422537</v>
      </c>
      <c r="AL65" s="2058"/>
      <c r="AM65" s="2805">
        <v>28</v>
      </c>
      <c r="AN65" s="2806">
        <v>74</v>
      </c>
      <c r="AO65" s="2785">
        <f t="shared" si="18"/>
        <v>0.3783783783783784</v>
      </c>
      <c r="AQ65" s="2805">
        <v>18</v>
      </c>
      <c r="AR65" s="2806">
        <v>75</v>
      </c>
      <c r="AS65" s="2785">
        <f t="shared" si="19"/>
        <v>0.24</v>
      </c>
    </row>
    <row r="66" spans="1:45" s="1" customFormat="1" ht="18">
      <c r="A66" s="2347"/>
      <c r="B66" s="2355" t="s">
        <v>1141</v>
      </c>
      <c r="C66" s="2792">
        <v>50</v>
      </c>
      <c r="D66" s="2793">
        <v>129</v>
      </c>
      <c r="E66" s="2778">
        <f t="shared" si="0"/>
        <v>0.38759689922480622</v>
      </c>
      <c r="F66" s="2058"/>
      <c r="G66" s="2792">
        <v>33</v>
      </c>
      <c r="H66" s="2793">
        <v>129</v>
      </c>
      <c r="I66" s="2778">
        <f t="shared" si="1"/>
        <v>0.2558139534883721</v>
      </c>
      <c r="J66" s="2058"/>
      <c r="K66" s="2792">
        <v>38</v>
      </c>
      <c r="L66" s="2793">
        <v>135</v>
      </c>
      <c r="M66" s="2778">
        <f t="shared" si="2"/>
        <v>0.2814814814814815</v>
      </c>
      <c r="N66" s="2058"/>
      <c r="O66" s="2792">
        <v>35</v>
      </c>
      <c r="P66" s="2793">
        <v>137</v>
      </c>
      <c r="Q66" s="2778">
        <f t="shared" si="3"/>
        <v>0.25547445255474455</v>
      </c>
      <c r="R66" s="2058"/>
      <c r="S66" s="2792">
        <v>51</v>
      </c>
      <c r="T66" s="2793">
        <v>138</v>
      </c>
      <c r="U66" s="2778">
        <f t="shared" si="4"/>
        <v>0.36956521739130432</v>
      </c>
      <c r="V66" s="2058"/>
      <c r="W66" s="2792">
        <v>46</v>
      </c>
      <c r="X66" s="2793">
        <v>140</v>
      </c>
      <c r="Y66" s="2778">
        <f t="shared" si="14"/>
        <v>0.32857142857142857</v>
      </c>
      <c r="Z66" s="2058"/>
      <c r="AA66" s="2792">
        <v>48</v>
      </c>
      <c r="AB66" s="2793">
        <v>135</v>
      </c>
      <c r="AC66" s="2778">
        <f t="shared" si="15"/>
        <v>0.35555555555555557</v>
      </c>
      <c r="AD66" s="2058"/>
      <c r="AE66" s="2792">
        <v>45</v>
      </c>
      <c r="AF66" s="2793">
        <v>138</v>
      </c>
      <c r="AG66" s="2778">
        <f t="shared" si="16"/>
        <v>0.32608695652173914</v>
      </c>
      <c r="AH66" s="2058"/>
      <c r="AI66" s="2792">
        <v>43</v>
      </c>
      <c r="AJ66" s="2793">
        <v>136</v>
      </c>
      <c r="AK66" s="2778">
        <f t="shared" si="17"/>
        <v>0.31617647058823528</v>
      </c>
      <c r="AL66" s="2058"/>
      <c r="AM66" s="2792">
        <v>84</v>
      </c>
      <c r="AN66" s="2793">
        <v>135</v>
      </c>
      <c r="AO66" s="2778">
        <f t="shared" si="18"/>
        <v>0.62222222222222223</v>
      </c>
      <c r="AQ66" s="2792">
        <v>49</v>
      </c>
      <c r="AR66" s="2793">
        <v>130</v>
      </c>
      <c r="AS66" s="2778">
        <f t="shared" si="19"/>
        <v>0.37692307692307692</v>
      </c>
    </row>
    <row r="67" spans="1:45" s="1" customFormat="1" ht="18">
      <c r="A67" s="2347"/>
      <c r="B67" s="2355" t="s">
        <v>1142</v>
      </c>
      <c r="C67" s="2792">
        <v>26</v>
      </c>
      <c r="D67" s="2793">
        <v>56</v>
      </c>
      <c r="E67" s="2778">
        <f t="shared" si="0"/>
        <v>0.4642857142857143</v>
      </c>
      <c r="F67" s="2058"/>
      <c r="G67" s="2792">
        <v>12</v>
      </c>
      <c r="H67" s="2793">
        <v>55</v>
      </c>
      <c r="I67" s="2778">
        <f t="shared" si="1"/>
        <v>0.21818181818181817</v>
      </c>
      <c r="J67" s="2058"/>
      <c r="K67" s="2792">
        <v>21</v>
      </c>
      <c r="L67" s="2793">
        <v>55</v>
      </c>
      <c r="M67" s="2778">
        <f t="shared" si="2"/>
        <v>0.38181818181818183</v>
      </c>
      <c r="N67" s="2058"/>
      <c r="O67" s="2792">
        <v>31</v>
      </c>
      <c r="P67" s="2793">
        <v>52</v>
      </c>
      <c r="Q67" s="2778">
        <f t="shared" si="3"/>
        <v>0.59615384615384615</v>
      </c>
      <c r="R67" s="2058"/>
      <c r="S67" s="2792">
        <v>24</v>
      </c>
      <c r="T67" s="2793">
        <v>53</v>
      </c>
      <c r="U67" s="2778">
        <f t="shared" si="4"/>
        <v>0.45283018867924529</v>
      </c>
      <c r="V67" s="2058"/>
      <c r="W67" s="2792">
        <v>21</v>
      </c>
      <c r="X67" s="2793">
        <v>53</v>
      </c>
      <c r="Y67" s="2778">
        <f t="shared" si="14"/>
        <v>0.39622641509433965</v>
      </c>
      <c r="Z67" s="2058"/>
      <c r="AA67" s="2792">
        <v>17</v>
      </c>
      <c r="AB67" s="2793">
        <v>53</v>
      </c>
      <c r="AC67" s="2778">
        <f t="shared" si="15"/>
        <v>0.32075471698113206</v>
      </c>
      <c r="AD67" s="2058"/>
      <c r="AE67" s="2792">
        <v>22</v>
      </c>
      <c r="AF67" s="2793">
        <v>52</v>
      </c>
      <c r="AG67" s="2778">
        <f t="shared" si="16"/>
        <v>0.42307692307692307</v>
      </c>
      <c r="AH67" s="2058"/>
      <c r="AI67" s="2792">
        <v>19</v>
      </c>
      <c r="AJ67" s="2793">
        <v>52</v>
      </c>
      <c r="AK67" s="2778">
        <f t="shared" si="17"/>
        <v>0.36538461538461536</v>
      </c>
      <c r="AL67" s="2058"/>
      <c r="AM67" s="2792">
        <v>21</v>
      </c>
      <c r="AN67" s="2793">
        <v>52</v>
      </c>
      <c r="AO67" s="2778">
        <f t="shared" si="18"/>
        <v>0.40384615384615385</v>
      </c>
      <c r="AQ67" s="2792">
        <v>9</v>
      </c>
      <c r="AR67" s="2793">
        <v>52</v>
      </c>
      <c r="AS67" s="2778">
        <f t="shared" si="19"/>
        <v>0.17307692307692307</v>
      </c>
    </row>
    <row r="68" spans="1:45" s="1" customFormat="1" ht="18">
      <c r="A68" s="2347"/>
      <c r="B68" s="2355" t="s">
        <v>1143</v>
      </c>
      <c r="C68" s="2792">
        <v>73</v>
      </c>
      <c r="D68" s="2793">
        <v>86</v>
      </c>
      <c r="E68" s="2778">
        <f t="shared" si="0"/>
        <v>0.84883720930232553</v>
      </c>
      <c r="F68" s="2058"/>
      <c r="G68" s="2792">
        <v>74</v>
      </c>
      <c r="H68" s="2793">
        <v>87</v>
      </c>
      <c r="I68" s="2778">
        <f t="shared" si="1"/>
        <v>0.85057471264367812</v>
      </c>
      <c r="J68" s="2058"/>
      <c r="K68" s="2792">
        <v>84</v>
      </c>
      <c r="L68" s="2793">
        <v>89</v>
      </c>
      <c r="M68" s="2778">
        <f t="shared" si="2"/>
        <v>0.9438202247191011</v>
      </c>
      <c r="N68" s="2058"/>
      <c r="O68" s="2792">
        <v>86</v>
      </c>
      <c r="P68" s="2793">
        <v>89</v>
      </c>
      <c r="Q68" s="2778">
        <f t="shared" si="3"/>
        <v>0.9662921348314607</v>
      </c>
      <c r="R68" s="2058"/>
      <c r="S68" s="2792">
        <v>84</v>
      </c>
      <c r="T68" s="2793">
        <v>91</v>
      </c>
      <c r="U68" s="2778">
        <f t="shared" si="4"/>
        <v>0.92307692307692313</v>
      </c>
      <c r="V68" s="2058"/>
      <c r="W68" s="2792">
        <v>83</v>
      </c>
      <c r="X68" s="2793">
        <v>93</v>
      </c>
      <c r="Y68" s="2778">
        <f t="shared" si="14"/>
        <v>0.89247311827956988</v>
      </c>
      <c r="Z68" s="2058"/>
      <c r="AA68" s="2792">
        <v>38</v>
      </c>
      <c r="AB68" s="2793">
        <v>92</v>
      </c>
      <c r="AC68" s="2778">
        <f t="shared" si="15"/>
        <v>0.41304347826086957</v>
      </c>
      <c r="AD68" s="2058"/>
      <c r="AE68" s="2792">
        <v>64</v>
      </c>
      <c r="AF68" s="2793">
        <v>89</v>
      </c>
      <c r="AG68" s="2778">
        <f t="shared" si="16"/>
        <v>0.7191011235955056</v>
      </c>
      <c r="AH68" s="2058"/>
      <c r="AI68" s="2792">
        <v>60</v>
      </c>
      <c r="AJ68" s="2793">
        <v>88</v>
      </c>
      <c r="AK68" s="2778">
        <f t="shared" si="17"/>
        <v>0.68181818181818177</v>
      </c>
      <c r="AL68" s="2058"/>
      <c r="AM68" s="2792">
        <v>64</v>
      </c>
      <c r="AN68" s="2793">
        <v>88</v>
      </c>
      <c r="AO68" s="2778">
        <f t="shared" si="18"/>
        <v>0.72727272727272729</v>
      </c>
      <c r="AQ68" s="2792">
        <v>59</v>
      </c>
      <c r="AR68" s="2793">
        <v>85</v>
      </c>
      <c r="AS68" s="2778">
        <f t="shared" si="19"/>
        <v>0.69411764705882351</v>
      </c>
    </row>
    <row r="69" spans="1:45" s="1" customFormat="1" ht="18">
      <c r="A69" s="2347"/>
      <c r="B69" s="2355" t="s">
        <v>1144</v>
      </c>
      <c r="C69" s="2792">
        <v>49</v>
      </c>
      <c r="D69" s="2793">
        <v>69</v>
      </c>
      <c r="E69" s="2778">
        <f t="shared" ref="E69:E83" si="20">C69/D69</f>
        <v>0.71014492753623193</v>
      </c>
      <c r="F69" s="2058"/>
      <c r="G69" s="2792">
        <v>46</v>
      </c>
      <c r="H69" s="2793">
        <v>69</v>
      </c>
      <c r="I69" s="2778">
        <f t="shared" ref="I69:I83" si="21">G69/H69</f>
        <v>0.66666666666666663</v>
      </c>
      <c r="J69" s="2058"/>
      <c r="K69" s="2792">
        <v>58</v>
      </c>
      <c r="L69" s="2793">
        <v>69</v>
      </c>
      <c r="M69" s="2778">
        <f t="shared" ref="M69:M83" si="22">K69/L69</f>
        <v>0.84057971014492749</v>
      </c>
      <c r="N69" s="2058"/>
      <c r="O69" s="2792">
        <v>78</v>
      </c>
      <c r="P69" s="2793">
        <v>71</v>
      </c>
      <c r="Q69" s="2778">
        <f t="shared" ref="Q69:Q83" si="23">O69/P69</f>
        <v>1.0985915492957747</v>
      </c>
      <c r="R69" s="2058"/>
      <c r="S69" s="2792">
        <v>106</v>
      </c>
      <c r="T69" s="2793">
        <v>71</v>
      </c>
      <c r="U69" s="2778">
        <f t="shared" ref="U69:U83" si="24">S69/T69</f>
        <v>1.4929577464788732</v>
      </c>
      <c r="V69" s="2058"/>
      <c r="W69" s="2792">
        <v>77</v>
      </c>
      <c r="X69" s="2793">
        <v>68</v>
      </c>
      <c r="Y69" s="2778">
        <f t="shared" si="14"/>
        <v>1.1323529411764706</v>
      </c>
      <c r="Z69" s="2058"/>
      <c r="AA69" s="2792">
        <v>59</v>
      </c>
      <c r="AB69" s="2793">
        <v>67</v>
      </c>
      <c r="AC69" s="2778">
        <f t="shared" si="15"/>
        <v>0.88059701492537312</v>
      </c>
      <c r="AD69" s="2058"/>
      <c r="AE69" s="2792">
        <v>63</v>
      </c>
      <c r="AF69" s="2793">
        <v>68</v>
      </c>
      <c r="AG69" s="2778">
        <f t="shared" si="16"/>
        <v>0.92647058823529416</v>
      </c>
      <c r="AH69" s="2058"/>
      <c r="AI69" s="2792">
        <v>79</v>
      </c>
      <c r="AJ69" s="2793">
        <v>68</v>
      </c>
      <c r="AK69" s="2778">
        <f t="shared" si="17"/>
        <v>1.161764705882353</v>
      </c>
      <c r="AL69" s="2058"/>
      <c r="AM69" s="2792">
        <v>55</v>
      </c>
      <c r="AN69" s="2793">
        <v>69</v>
      </c>
      <c r="AO69" s="2778">
        <f t="shared" si="18"/>
        <v>0.79710144927536231</v>
      </c>
      <c r="AQ69" s="2792">
        <v>75</v>
      </c>
      <c r="AR69" s="2793">
        <v>65</v>
      </c>
      <c r="AS69" s="2778">
        <f t="shared" si="19"/>
        <v>1.1538461538461537</v>
      </c>
    </row>
    <row r="70" spans="1:45" s="1" customFormat="1" ht="15" customHeight="1">
      <c r="A70" s="2347"/>
      <c r="B70" s="2316" t="s">
        <v>41</v>
      </c>
      <c r="C70" s="2791">
        <f>SUM(C66:C69)</f>
        <v>198</v>
      </c>
      <c r="D70" s="1135">
        <f>SUM(D66:D69)</f>
        <v>340</v>
      </c>
      <c r="E70" s="2777">
        <f t="shared" si="20"/>
        <v>0.58235294117647063</v>
      </c>
      <c r="F70" s="2058"/>
      <c r="G70" s="2791">
        <v>165</v>
      </c>
      <c r="H70" s="1135">
        <f>SUM(H66:H69)</f>
        <v>340</v>
      </c>
      <c r="I70" s="2777">
        <f t="shared" si="21"/>
        <v>0.48529411764705882</v>
      </c>
      <c r="J70" s="2058"/>
      <c r="K70" s="2791">
        <v>201</v>
      </c>
      <c r="L70" s="1135">
        <f>SUM(L66:L69)</f>
        <v>348</v>
      </c>
      <c r="M70" s="2777">
        <f t="shared" si="22"/>
        <v>0.57758620689655171</v>
      </c>
      <c r="N70" s="2058"/>
      <c r="O70" s="2791">
        <v>230</v>
      </c>
      <c r="P70" s="1135">
        <f>SUM(P66:P69)</f>
        <v>349</v>
      </c>
      <c r="Q70" s="2777">
        <f t="shared" si="23"/>
        <v>0.65902578796561606</v>
      </c>
      <c r="R70" s="2058"/>
      <c r="S70" s="2791">
        <f>SUM(S66:S69)</f>
        <v>265</v>
      </c>
      <c r="T70" s="1135">
        <f>SUM(T66:T69)</f>
        <v>353</v>
      </c>
      <c r="U70" s="2777">
        <f t="shared" si="24"/>
        <v>0.75070821529745047</v>
      </c>
      <c r="V70" s="2058"/>
      <c r="W70" s="2791">
        <f>SUM(W66:W69)</f>
        <v>227</v>
      </c>
      <c r="X70" s="1135">
        <v>354</v>
      </c>
      <c r="Y70" s="2777">
        <f t="shared" si="14"/>
        <v>0.64124293785310738</v>
      </c>
      <c r="Z70" s="2058"/>
      <c r="AA70" s="2791">
        <v>162</v>
      </c>
      <c r="AB70" s="1135">
        <f>SUM(AB66:AB69)</f>
        <v>347</v>
      </c>
      <c r="AC70" s="2777">
        <f t="shared" si="15"/>
        <v>0.4668587896253602</v>
      </c>
      <c r="AD70" s="2058"/>
      <c r="AE70" s="2791">
        <v>194</v>
      </c>
      <c r="AF70" s="1135">
        <f>SUM(AF66:AF69)</f>
        <v>347</v>
      </c>
      <c r="AG70" s="2777">
        <f t="shared" si="16"/>
        <v>0.55907780979827093</v>
      </c>
      <c r="AH70" s="2058"/>
      <c r="AI70" s="2791">
        <v>201</v>
      </c>
      <c r="AJ70" s="1135">
        <f>SUM(AJ66:AJ69)</f>
        <v>344</v>
      </c>
      <c r="AK70" s="2777">
        <f t="shared" si="17"/>
        <v>0.58430232558139539</v>
      </c>
      <c r="AL70" s="2058"/>
      <c r="AM70" s="2791">
        <v>224</v>
      </c>
      <c r="AN70" s="1135">
        <v>344</v>
      </c>
      <c r="AO70" s="2777">
        <f t="shared" si="18"/>
        <v>0.65116279069767447</v>
      </c>
      <c r="AQ70" s="2791">
        <v>192</v>
      </c>
      <c r="AR70" s="1135">
        <v>332</v>
      </c>
      <c r="AS70" s="2777">
        <f t="shared" si="19"/>
        <v>0.57831325301204817</v>
      </c>
    </row>
    <row r="71" spans="1:45" s="1" customFormat="1" ht="18">
      <c r="A71" s="2347"/>
      <c r="B71" s="2355" t="s">
        <v>1145</v>
      </c>
      <c r="C71" s="2792">
        <v>5</v>
      </c>
      <c r="D71" s="2793">
        <v>128</v>
      </c>
      <c r="E71" s="2778">
        <f t="shared" si="20"/>
        <v>3.90625E-2</v>
      </c>
      <c r="F71" s="2058"/>
      <c r="G71" s="2792"/>
      <c r="H71" s="2793">
        <v>131</v>
      </c>
      <c r="I71" s="2778">
        <f t="shared" si="21"/>
        <v>0</v>
      </c>
      <c r="J71" s="2058"/>
      <c r="K71" s="2792">
        <v>3</v>
      </c>
      <c r="L71" s="2793">
        <v>134</v>
      </c>
      <c r="M71" s="2778">
        <f t="shared" si="22"/>
        <v>2.2388059701492536E-2</v>
      </c>
      <c r="N71" s="2058"/>
      <c r="O71" s="2792">
        <v>1</v>
      </c>
      <c r="P71" s="2793">
        <v>136</v>
      </c>
      <c r="Q71" s="2778">
        <f t="shared" si="23"/>
        <v>7.3529411764705881E-3</v>
      </c>
      <c r="R71" s="2058"/>
      <c r="S71" s="2792">
        <v>4</v>
      </c>
      <c r="T71" s="2793">
        <v>135</v>
      </c>
      <c r="U71" s="2778">
        <f t="shared" si="24"/>
        <v>2.9629629629629631E-2</v>
      </c>
      <c r="V71" s="2058"/>
      <c r="W71" s="2792"/>
      <c r="X71" s="2793">
        <v>132</v>
      </c>
      <c r="Y71" s="2778">
        <f t="shared" si="14"/>
        <v>0</v>
      </c>
      <c r="Z71" s="2058"/>
      <c r="AA71" s="2792">
        <v>3</v>
      </c>
      <c r="AB71" s="2793">
        <v>130</v>
      </c>
      <c r="AC71" s="2778">
        <f t="shared" si="15"/>
        <v>2.3076923076923078E-2</v>
      </c>
      <c r="AD71" s="2058"/>
      <c r="AE71" s="2792"/>
      <c r="AF71" s="2793">
        <v>126</v>
      </c>
      <c r="AG71" s="2778">
        <f t="shared" si="16"/>
        <v>0</v>
      </c>
      <c r="AH71" s="2058"/>
      <c r="AI71" s="2792">
        <v>5</v>
      </c>
      <c r="AJ71" s="2793">
        <v>125</v>
      </c>
      <c r="AK71" s="2778">
        <f t="shared" si="17"/>
        <v>0.04</v>
      </c>
      <c r="AL71" s="2058"/>
      <c r="AM71" s="2792">
        <v>6</v>
      </c>
      <c r="AN71" s="2793">
        <v>120</v>
      </c>
      <c r="AO71" s="2778">
        <f t="shared" si="18"/>
        <v>0.05</v>
      </c>
      <c r="AQ71" s="2792">
        <v>3</v>
      </c>
      <c r="AR71" s="2793">
        <v>120</v>
      </c>
      <c r="AS71" s="2778">
        <f t="shared" si="19"/>
        <v>2.5000000000000001E-2</v>
      </c>
    </row>
    <row r="72" spans="1:45" s="1" customFormat="1" ht="18">
      <c r="A72" s="2347"/>
      <c r="B72" s="2355" t="s">
        <v>1146</v>
      </c>
      <c r="C72" s="2792"/>
      <c r="D72" s="2793">
        <v>91</v>
      </c>
      <c r="E72" s="2778">
        <f t="shared" si="20"/>
        <v>0</v>
      </c>
      <c r="F72" s="2058"/>
      <c r="G72" s="2792"/>
      <c r="H72" s="2793">
        <v>98</v>
      </c>
      <c r="I72" s="2778">
        <f t="shared" si="21"/>
        <v>0</v>
      </c>
      <c r="J72" s="2058"/>
      <c r="K72" s="2792">
        <v>1</v>
      </c>
      <c r="L72" s="2793">
        <v>99</v>
      </c>
      <c r="M72" s="2778">
        <f t="shared" si="22"/>
        <v>1.0101010101010102E-2</v>
      </c>
      <c r="N72" s="2058"/>
      <c r="O72" s="2792"/>
      <c r="P72" s="2793">
        <v>99</v>
      </c>
      <c r="Q72" s="2778">
        <f t="shared" si="23"/>
        <v>0</v>
      </c>
      <c r="R72" s="2058"/>
      <c r="S72" s="2792">
        <v>4</v>
      </c>
      <c r="T72" s="2793">
        <v>98</v>
      </c>
      <c r="U72" s="2778">
        <f t="shared" si="24"/>
        <v>4.0816326530612242E-2</v>
      </c>
      <c r="V72" s="2058"/>
      <c r="W72" s="2792">
        <v>1</v>
      </c>
      <c r="X72" s="2793">
        <v>97</v>
      </c>
      <c r="Y72" s="2778">
        <f t="shared" si="14"/>
        <v>1.0309278350515464E-2</v>
      </c>
      <c r="Z72" s="2058"/>
      <c r="AA72" s="2792"/>
      <c r="AB72" s="2793">
        <v>96</v>
      </c>
      <c r="AC72" s="2778">
        <f t="shared" si="15"/>
        <v>0</v>
      </c>
      <c r="AD72" s="2058"/>
      <c r="AE72" s="2792">
        <v>1</v>
      </c>
      <c r="AF72" s="2793">
        <v>99</v>
      </c>
      <c r="AG72" s="2778">
        <f t="shared" si="16"/>
        <v>1.0101010101010102E-2</v>
      </c>
      <c r="AH72" s="2058"/>
      <c r="AI72" s="2792">
        <v>2</v>
      </c>
      <c r="AJ72" s="2793">
        <v>100</v>
      </c>
      <c r="AK72" s="2778">
        <f t="shared" si="17"/>
        <v>0.02</v>
      </c>
      <c r="AL72" s="2058"/>
      <c r="AM72" s="2792">
        <v>0</v>
      </c>
      <c r="AN72" s="2793">
        <v>96</v>
      </c>
      <c r="AO72" s="2778">
        <f t="shared" si="18"/>
        <v>0</v>
      </c>
      <c r="AQ72" s="2792">
        <v>1</v>
      </c>
      <c r="AR72" s="2793">
        <v>93</v>
      </c>
      <c r="AS72" s="2778">
        <f t="shared" si="19"/>
        <v>1.0752688172043012E-2</v>
      </c>
    </row>
    <row r="73" spans="1:45" s="1" customFormat="1" ht="18">
      <c r="A73" s="2347"/>
      <c r="B73" s="2355" t="s">
        <v>1147</v>
      </c>
      <c r="C73" s="2792">
        <v>1</v>
      </c>
      <c r="D73" s="2793">
        <v>66</v>
      </c>
      <c r="E73" s="2778">
        <f t="shared" si="20"/>
        <v>1.5151515151515152E-2</v>
      </c>
      <c r="F73" s="2058"/>
      <c r="G73" s="2792">
        <v>4</v>
      </c>
      <c r="H73" s="2793">
        <v>69</v>
      </c>
      <c r="I73" s="2778">
        <f t="shared" si="21"/>
        <v>5.7971014492753624E-2</v>
      </c>
      <c r="J73" s="2058"/>
      <c r="K73" s="2792">
        <v>41</v>
      </c>
      <c r="L73" s="2793">
        <v>73</v>
      </c>
      <c r="M73" s="2778">
        <f t="shared" si="22"/>
        <v>0.56164383561643838</v>
      </c>
      <c r="N73" s="2058"/>
      <c r="O73" s="2792">
        <v>20</v>
      </c>
      <c r="P73" s="2793">
        <v>70</v>
      </c>
      <c r="Q73" s="2778">
        <f t="shared" si="23"/>
        <v>0.2857142857142857</v>
      </c>
      <c r="R73" s="2058"/>
      <c r="S73" s="2792">
        <v>1</v>
      </c>
      <c r="T73" s="2793">
        <v>68</v>
      </c>
      <c r="U73" s="2778">
        <f t="shared" si="24"/>
        <v>1.4705882352941176E-2</v>
      </c>
      <c r="V73" s="2058"/>
      <c r="W73" s="2792">
        <v>1</v>
      </c>
      <c r="X73" s="2793">
        <v>68</v>
      </c>
      <c r="Y73" s="2778">
        <f t="shared" si="14"/>
        <v>1.4705882352941176E-2</v>
      </c>
      <c r="Z73" s="2058"/>
      <c r="AA73" s="2792">
        <v>2</v>
      </c>
      <c r="AB73" s="2793">
        <v>66</v>
      </c>
      <c r="AC73" s="2778">
        <f t="shared" si="15"/>
        <v>3.0303030303030304E-2</v>
      </c>
      <c r="AD73" s="2058"/>
      <c r="AE73" s="2792">
        <v>5</v>
      </c>
      <c r="AF73" s="2793">
        <v>67</v>
      </c>
      <c r="AG73" s="2778">
        <f t="shared" si="16"/>
        <v>7.4626865671641784E-2</v>
      </c>
      <c r="AH73" s="2058"/>
      <c r="AI73" s="2792">
        <v>3</v>
      </c>
      <c r="AJ73" s="2793">
        <v>68</v>
      </c>
      <c r="AK73" s="2778">
        <f t="shared" si="17"/>
        <v>4.4117647058823532E-2</v>
      </c>
      <c r="AL73" s="2058"/>
      <c r="AM73" s="2792">
        <v>3</v>
      </c>
      <c r="AN73" s="2793">
        <v>67</v>
      </c>
      <c r="AO73" s="2778">
        <f t="shared" si="18"/>
        <v>4.4776119402985072E-2</v>
      </c>
      <c r="AQ73" s="2792">
        <v>3</v>
      </c>
      <c r="AR73" s="2793">
        <v>66</v>
      </c>
      <c r="AS73" s="2778">
        <f t="shared" si="19"/>
        <v>4.5454545454545456E-2</v>
      </c>
    </row>
    <row r="74" spans="1:45" s="1" customFormat="1" ht="18">
      <c r="A74" s="2347"/>
      <c r="B74" s="2355" t="s">
        <v>1148</v>
      </c>
      <c r="C74" s="2792"/>
      <c r="D74" s="2793">
        <v>57</v>
      </c>
      <c r="E74" s="2778">
        <f t="shared" si="20"/>
        <v>0</v>
      </c>
      <c r="F74" s="2058"/>
      <c r="G74" s="2792">
        <v>1</v>
      </c>
      <c r="H74" s="2793">
        <v>58</v>
      </c>
      <c r="I74" s="2778">
        <f t="shared" si="21"/>
        <v>1.7241379310344827E-2</v>
      </c>
      <c r="J74" s="2058"/>
      <c r="K74" s="2792">
        <v>1</v>
      </c>
      <c r="L74" s="2793">
        <v>57</v>
      </c>
      <c r="M74" s="2778">
        <f t="shared" si="22"/>
        <v>1.7543859649122806E-2</v>
      </c>
      <c r="N74" s="2058"/>
      <c r="O74" s="2792">
        <v>1</v>
      </c>
      <c r="P74" s="2793">
        <v>57</v>
      </c>
      <c r="Q74" s="2778">
        <f t="shared" si="23"/>
        <v>1.7543859649122806E-2</v>
      </c>
      <c r="R74" s="2058"/>
      <c r="S74" s="2792">
        <v>0</v>
      </c>
      <c r="T74" s="2793">
        <v>60</v>
      </c>
      <c r="U74" s="2778">
        <f t="shared" si="24"/>
        <v>0</v>
      </c>
      <c r="V74" s="2058"/>
      <c r="W74" s="2792">
        <v>2</v>
      </c>
      <c r="X74" s="2793">
        <v>61</v>
      </c>
      <c r="Y74" s="2778">
        <f t="shared" si="14"/>
        <v>3.2786885245901641E-2</v>
      </c>
      <c r="Z74" s="2058"/>
      <c r="AA74" s="2792">
        <v>1</v>
      </c>
      <c r="AB74" s="2793">
        <v>59</v>
      </c>
      <c r="AC74" s="2778">
        <f t="shared" si="15"/>
        <v>1.6949152542372881E-2</v>
      </c>
      <c r="AD74" s="2058"/>
      <c r="AE74" s="2792">
        <v>1</v>
      </c>
      <c r="AF74" s="2793">
        <v>58</v>
      </c>
      <c r="AG74" s="2778">
        <f t="shared" si="16"/>
        <v>1.7241379310344827E-2</v>
      </c>
      <c r="AH74" s="2058"/>
      <c r="AI74" s="2792">
        <v>1</v>
      </c>
      <c r="AJ74" s="2793">
        <v>60</v>
      </c>
      <c r="AK74" s="2778">
        <f t="shared" si="17"/>
        <v>1.6666666666666666E-2</v>
      </c>
      <c r="AL74" s="2058"/>
      <c r="AM74" s="2792">
        <v>0</v>
      </c>
      <c r="AN74" s="2793">
        <v>58</v>
      </c>
      <c r="AO74" s="2778">
        <f t="shared" si="18"/>
        <v>0</v>
      </c>
      <c r="AQ74" s="2792">
        <v>0</v>
      </c>
      <c r="AR74" s="2793">
        <v>58</v>
      </c>
      <c r="AS74" s="2778">
        <f t="shared" si="19"/>
        <v>0</v>
      </c>
    </row>
    <row r="75" spans="1:45" s="1" customFormat="1" ht="15" customHeight="1">
      <c r="A75" s="2347"/>
      <c r="B75" s="2316" t="s">
        <v>16</v>
      </c>
      <c r="C75" s="2791">
        <f>SUM(C71:C74)</f>
        <v>6</v>
      </c>
      <c r="D75" s="1135">
        <f>SUM(D71:D74)</f>
        <v>342</v>
      </c>
      <c r="E75" s="2777">
        <f t="shared" si="20"/>
        <v>1.7543859649122806E-2</v>
      </c>
      <c r="F75" s="2058"/>
      <c r="G75" s="2791">
        <v>5</v>
      </c>
      <c r="H75" s="1135">
        <f>SUM(H71:H74)</f>
        <v>356</v>
      </c>
      <c r="I75" s="2777">
        <f t="shared" si="21"/>
        <v>1.4044943820224719E-2</v>
      </c>
      <c r="J75" s="2058"/>
      <c r="K75" s="2791">
        <v>46</v>
      </c>
      <c r="L75" s="1135">
        <f>SUM(L71:L74)</f>
        <v>363</v>
      </c>
      <c r="M75" s="2777">
        <f t="shared" si="22"/>
        <v>0.12672176308539945</v>
      </c>
      <c r="N75" s="2058"/>
      <c r="O75" s="2791">
        <v>22</v>
      </c>
      <c r="P75" s="1135">
        <f>SUM(P71:P74)</f>
        <v>362</v>
      </c>
      <c r="Q75" s="2777">
        <f t="shared" si="23"/>
        <v>6.0773480662983423E-2</v>
      </c>
      <c r="R75" s="2058"/>
      <c r="S75" s="2791">
        <f>SUM(S71:S74)</f>
        <v>9</v>
      </c>
      <c r="T75" s="1135">
        <f>SUM(T71:T74)</f>
        <v>361</v>
      </c>
      <c r="U75" s="2777">
        <f t="shared" si="24"/>
        <v>2.4930747922437674E-2</v>
      </c>
      <c r="V75" s="2058"/>
      <c r="W75" s="2791">
        <f>SUM(W71:W74)</f>
        <v>4</v>
      </c>
      <c r="X75" s="1135">
        <v>358</v>
      </c>
      <c r="Y75" s="2777">
        <f t="shared" si="14"/>
        <v>1.11731843575419E-2</v>
      </c>
      <c r="Z75" s="2058"/>
      <c r="AA75" s="2791">
        <v>6</v>
      </c>
      <c r="AB75" s="1135">
        <f>SUM(AB71:AB74)</f>
        <v>351</v>
      </c>
      <c r="AC75" s="2777">
        <f t="shared" si="15"/>
        <v>1.7094017094017096E-2</v>
      </c>
      <c r="AD75" s="2058"/>
      <c r="AE75" s="2791">
        <v>7</v>
      </c>
      <c r="AF75" s="1135">
        <f>SUM(AF71:AF74)</f>
        <v>350</v>
      </c>
      <c r="AG75" s="2777">
        <f t="shared" si="16"/>
        <v>0.02</v>
      </c>
      <c r="AH75" s="2058"/>
      <c r="AI75" s="2791">
        <v>11</v>
      </c>
      <c r="AJ75" s="1135">
        <f>SUM(AJ71:AJ74)</f>
        <v>353</v>
      </c>
      <c r="AK75" s="2777">
        <f t="shared" si="17"/>
        <v>3.1161473087818695E-2</v>
      </c>
      <c r="AL75" s="2058"/>
      <c r="AM75" s="2791">
        <v>9</v>
      </c>
      <c r="AN75" s="1135">
        <v>341</v>
      </c>
      <c r="AO75" s="2777">
        <f t="shared" si="18"/>
        <v>2.6392961876832845E-2</v>
      </c>
      <c r="AQ75" s="2791">
        <v>7</v>
      </c>
      <c r="AR75" s="1135">
        <v>337</v>
      </c>
      <c r="AS75" s="2777">
        <f t="shared" si="19"/>
        <v>2.0771513353115726E-2</v>
      </c>
    </row>
    <row r="76" spans="1:45" s="1" customFormat="1" ht="18">
      <c r="A76" s="2347"/>
      <c r="B76" s="2355" t="s">
        <v>1149</v>
      </c>
      <c r="C76" s="2792">
        <v>2</v>
      </c>
      <c r="D76" s="2793">
        <v>29</v>
      </c>
      <c r="E76" s="2778">
        <f t="shared" si="20"/>
        <v>6.8965517241379309E-2</v>
      </c>
      <c r="F76" s="2058"/>
      <c r="G76" s="2792">
        <v>2</v>
      </c>
      <c r="H76" s="2793">
        <v>28</v>
      </c>
      <c r="I76" s="2778">
        <f t="shared" si="21"/>
        <v>7.1428571428571425E-2</v>
      </c>
      <c r="J76" s="2058"/>
      <c r="K76" s="2792">
        <v>3</v>
      </c>
      <c r="L76" s="2793">
        <v>26</v>
      </c>
      <c r="M76" s="2778">
        <f t="shared" si="22"/>
        <v>0.11538461538461539</v>
      </c>
      <c r="N76" s="2058"/>
      <c r="O76" s="2792"/>
      <c r="P76" s="2793">
        <v>26</v>
      </c>
      <c r="Q76" s="2778">
        <f t="shared" si="23"/>
        <v>0</v>
      </c>
      <c r="R76" s="2058"/>
      <c r="S76" s="2792">
        <v>5</v>
      </c>
      <c r="T76" s="2793">
        <v>29</v>
      </c>
      <c r="U76" s="2778">
        <f t="shared" si="24"/>
        <v>0.17241379310344829</v>
      </c>
      <c r="V76" s="2058"/>
      <c r="W76" s="2792"/>
      <c r="X76" s="2793">
        <v>29</v>
      </c>
      <c r="Y76" s="2778">
        <f t="shared" si="14"/>
        <v>0</v>
      </c>
      <c r="Z76" s="2058"/>
      <c r="AA76" s="2792"/>
      <c r="AB76" s="2793">
        <v>32</v>
      </c>
      <c r="AC76" s="2778">
        <f t="shared" si="15"/>
        <v>0</v>
      </c>
      <c r="AD76" s="2058"/>
      <c r="AE76" s="2792"/>
      <c r="AF76" s="2793">
        <v>31</v>
      </c>
      <c r="AG76" s="2778">
        <f t="shared" si="16"/>
        <v>0</v>
      </c>
      <c r="AH76" s="2058"/>
      <c r="AI76" s="2792">
        <v>1</v>
      </c>
      <c r="AJ76" s="2793">
        <v>29</v>
      </c>
      <c r="AK76" s="2778">
        <f t="shared" si="17"/>
        <v>3.4482758620689655E-2</v>
      </c>
      <c r="AL76" s="2058"/>
      <c r="AM76" s="2792">
        <v>1</v>
      </c>
      <c r="AN76" s="2793">
        <v>30</v>
      </c>
      <c r="AO76" s="2778">
        <f t="shared" si="18"/>
        <v>3.3333333333333333E-2</v>
      </c>
      <c r="AQ76" s="2792">
        <v>0</v>
      </c>
      <c r="AR76" s="2793">
        <v>30</v>
      </c>
      <c r="AS76" s="2778">
        <f t="shared" si="19"/>
        <v>0</v>
      </c>
    </row>
    <row r="77" spans="1:45" s="1" customFormat="1" ht="18">
      <c r="A77" s="2347"/>
      <c r="B77" s="2355" t="s">
        <v>1150</v>
      </c>
      <c r="C77" s="2792"/>
      <c r="D77" s="2793">
        <v>37</v>
      </c>
      <c r="E77" s="2778">
        <f t="shared" si="20"/>
        <v>0</v>
      </c>
      <c r="F77" s="2058"/>
      <c r="G77" s="2792"/>
      <c r="H77" s="2793">
        <v>39</v>
      </c>
      <c r="I77" s="2778">
        <f t="shared" si="21"/>
        <v>0</v>
      </c>
      <c r="J77" s="2058"/>
      <c r="K77" s="2792"/>
      <c r="L77" s="2793">
        <v>38</v>
      </c>
      <c r="M77" s="2778">
        <f t="shared" si="22"/>
        <v>0</v>
      </c>
      <c r="N77" s="2058"/>
      <c r="O77" s="2792">
        <v>3</v>
      </c>
      <c r="P77" s="2793">
        <v>39</v>
      </c>
      <c r="Q77" s="2778">
        <f t="shared" si="23"/>
        <v>7.6923076923076927E-2</v>
      </c>
      <c r="R77" s="2058"/>
      <c r="S77" s="2792">
        <v>9</v>
      </c>
      <c r="T77" s="2793">
        <v>40</v>
      </c>
      <c r="U77" s="2778">
        <f t="shared" si="24"/>
        <v>0.22500000000000001</v>
      </c>
      <c r="V77" s="2058"/>
      <c r="W77" s="2792">
        <v>3</v>
      </c>
      <c r="X77" s="2793">
        <v>40</v>
      </c>
      <c r="Y77" s="2778">
        <f t="shared" si="14"/>
        <v>7.4999999999999997E-2</v>
      </c>
      <c r="Z77" s="2058"/>
      <c r="AA77" s="2792">
        <v>3</v>
      </c>
      <c r="AB77" s="2793">
        <v>39</v>
      </c>
      <c r="AC77" s="2778">
        <f t="shared" si="15"/>
        <v>7.6923076923076927E-2</v>
      </c>
      <c r="AD77" s="2058"/>
      <c r="AE77" s="2792">
        <v>4</v>
      </c>
      <c r="AF77" s="2793">
        <v>38</v>
      </c>
      <c r="AG77" s="2778">
        <f t="shared" si="16"/>
        <v>0.10526315789473684</v>
      </c>
      <c r="AH77" s="2058"/>
      <c r="AI77" s="2792">
        <v>5</v>
      </c>
      <c r="AJ77" s="2793">
        <v>36</v>
      </c>
      <c r="AK77" s="2778">
        <f t="shared" si="17"/>
        <v>0.1388888888888889</v>
      </c>
      <c r="AL77" s="2058"/>
      <c r="AM77" s="2792">
        <v>17</v>
      </c>
      <c r="AN77" s="2793">
        <v>40</v>
      </c>
      <c r="AO77" s="2778">
        <f t="shared" si="18"/>
        <v>0.42499999999999999</v>
      </c>
      <c r="AQ77" s="2792">
        <v>14</v>
      </c>
      <c r="AR77" s="2793">
        <v>40</v>
      </c>
      <c r="AS77" s="2778">
        <f t="shared" si="19"/>
        <v>0.35</v>
      </c>
    </row>
    <row r="78" spans="1:45" s="1" customFormat="1" ht="18">
      <c r="A78" s="2347"/>
      <c r="B78" s="2355" t="s">
        <v>1151</v>
      </c>
      <c r="C78" s="2792"/>
      <c r="D78" s="2793">
        <v>29</v>
      </c>
      <c r="E78" s="2778">
        <f t="shared" si="20"/>
        <v>0</v>
      </c>
      <c r="F78" s="2058"/>
      <c r="G78" s="2792">
        <v>3</v>
      </c>
      <c r="H78" s="2793">
        <v>28</v>
      </c>
      <c r="I78" s="2778">
        <f t="shared" si="21"/>
        <v>0.10714285714285714</v>
      </c>
      <c r="J78" s="2058"/>
      <c r="K78" s="2792">
        <v>3</v>
      </c>
      <c r="L78" s="2793">
        <v>30</v>
      </c>
      <c r="M78" s="2778">
        <f t="shared" si="22"/>
        <v>0.1</v>
      </c>
      <c r="N78" s="2058"/>
      <c r="O78" s="2792">
        <v>2</v>
      </c>
      <c r="P78" s="2793">
        <v>29</v>
      </c>
      <c r="Q78" s="2778">
        <f t="shared" si="23"/>
        <v>6.8965517241379309E-2</v>
      </c>
      <c r="R78" s="2058"/>
      <c r="S78" s="2792">
        <v>4</v>
      </c>
      <c r="T78" s="2793">
        <v>31</v>
      </c>
      <c r="U78" s="2778">
        <f t="shared" si="24"/>
        <v>0.12903225806451613</v>
      </c>
      <c r="V78" s="2058"/>
      <c r="W78" s="2792"/>
      <c r="X78" s="2793">
        <v>30</v>
      </c>
      <c r="Y78" s="2778">
        <f t="shared" si="14"/>
        <v>0</v>
      </c>
      <c r="Z78" s="2058"/>
      <c r="AA78" s="2792">
        <v>2</v>
      </c>
      <c r="AB78" s="2793">
        <v>27</v>
      </c>
      <c r="AC78" s="2778">
        <f t="shared" si="15"/>
        <v>7.407407407407407E-2</v>
      </c>
      <c r="AD78" s="2058"/>
      <c r="AE78" s="2792"/>
      <c r="AF78" s="2793">
        <v>22</v>
      </c>
      <c r="AG78" s="2778">
        <f t="shared" si="16"/>
        <v>0</v>
      </c>
      <c r="AH78" s="2058"/>
      <c r="AI78" s="2792">
        <v>1</v>
      </c>
      <c r="AJ78" s="2793">
        <v>24</v>
      </c>
      <c r="AK78" s="2778">
        <f t="shared" si="17"/>
        <v>4.1666666666666664E-2</v>
      </c>
      <c r="AL78" s="2058"/>
      <c r="AM78" s="2792">
        <v>1</v>
      </c>
      <c r="AN78" s="2793">
        <v>26</v>
      </c>
      <c r="AO78" s="2778">
        <f t="shared" si="18"/>
        <v>3.8461538461538464E-2</v>
      </c>
      <c r="AQ78" s="2792">
        <v>3</v>
      </c>
      <c r="AR78" s="2793">
        <v>26</v>
      </c>
      <c r="AS78" s="2778">
        <f t="shared" si="19"/>
        <v>0.11538461538461539</v>
      </c>
    </row>
    <row r="79" spans="1:45" s="1" customFormat="1" ht="18">
      <c r="A79" s="2347"/>
      <c r="B79" s="2355" t="s">
        <v>1152</v>
      </c>
      <c r="C79" s="2792">
        <v>10</v>
      </c>
      <c r="D79" s="2793">
        <v>47</v>
      </c>
      <c r="E79" s="2778">
        <f t="shared" si="20"/>
        <v>0.21276595744680851</v>
      </c>
      <c r="F79" s="2058"/>
      <c r="G79" s="2792">
        <v>5</v>
      </c>
      <c r="H79" s="2793">
        <v>48</v>
      </c>
      <c r="I79" s="2778">
        <f t="shared" si="21"/>
        <v>0.10416666666666667</v>
      </c>
      <c r="J79" s="2058"/>
      <c r="K79" s="2792">
        <v>16</v>
      </c>
      <c r="L79" s="2793">
        <v>47</v>
      </c>
      <c r="M79" s="2778">
        <f t="shared" si="22"/>
        <v>0.34042553191489361</v>
      </c>
      <c r="N79" s="2058"/>
      <c r="O79" s="2792"/>
      <c r="P79" s="2793">
        <v>47</v>
      </c>
      <c r="Q79" s="2778">
        <f t="shared" si="23"/>
        <v>0</v>
      </c>
      <c r="R79" s="2058"/>
      <c r="S79" s="2792">
        <v>2</v>
      </c>
      <c r="T79" s="2793">
        <v>46</v>
      </c>
      <c r="U79" s="2778">
        <f t="shared" si="24"/>
        <v>4.3478260869565216E-2</v>
      </c>
      <c r="V79" s="2058"/>
      <c r="W79" s="2792">
        <v>5</v>
      </c>
      <c r="X79" s="2793">
        <v>45</v>
      </c>
      <c r="Y79" s="2778">
        <f t="shared" si="14"/>
        <v>0.1111111111111111</v>
      </c>
      <c r="Z79" s="2058"/>
      <c r="AA79" s="2792">
        <v>2</v>
      </c>
      <c r="AB79" s="2793">
        <v>46</v>
      </c>
      <c r="AC79" s="2778">
        <f t="shared" si="15"/>
        <v>4.3478260869565216E-2</v>
      </c>
      <c r="AD79" s="2058"/>
      <c r="AE79" s="2792"/>
      <c r="AF79" s="2793">
        <v>44</v>
      </c>
      <c r="AG79" s="2778">
        <f t="shared" si="16"/>
        <v>0</v>
      </c>
      <c r="AH79" s="2058"/>
      <c r="AI79" s="2792">
        <v>5</v>
      </c>
      <c r="AJ79" s="2793">
        <v>44</v>
      </c>
      <c r="AK79" s="2778">
        <f t="shared" si="17"/>
        <v>0.11363636363636363</v>
      </c>
      <c r="AL79" s="2058"/>
      <c r="AM79" s="2792">
        <v>5</v>
      </c>
      <c r="AN79" s="2793">
        <v>40</v>
      </c>
      <c r="AO79" s="2778">
        <f t="shared" si="18"/>
        <v>0.125</v>
      </c>
      <c r="AQ79" s="2792">
        <v>2</v>
      </c>
      <c r="AR79" s="2793">
        <v>38</v>
      </c>
      <c r="AS79" s="2778">
        <f t="shared" si="19"/>
        <v>5.2631578947368418E-2</v>
      </c>
    </row>
    <row r="80" spans="1:45" s="1" customFormat="1" ht="15" customHeight="1">
      <c r="A80" s="2347"/>
      <c r="B80" s="2348" t="s">
        <v>21</v>
      </c>
      <c r="C80" s="2796">
        <f>SUM(C76:C79)</f>
        <v>12</v>
      </c>
      <c r="D80" s="2349">
        <f>SUM(D76:D79)</f>
        <v>142</v>
      </c>
      <c r="E80" s="2780">
        <f t="shared" si="20"/>
        <v>8.4507042253521125E-2</v>
      </c>
      <c r="F80" s="2058"/>
      <c r="G80" s="2796">
        <v>10</v>
      </c>
      <c r="H80" s="2349">
        <f>SUM(H76:H79)</f>
        <v>143</v>
      </c>
      <c r="I80" s="2780">
        <f t="shared" si="21"/>
        <v>6.9930069930069935E-2</v>
      </c>
      <c r="J80" s="2058"/>
      <c r="K80" s="2796">
        <v>22</v>
      </c>
      <c r="L80" s="2349">
        <f>SUM(L76:L79)</f>
        <v>141</v>
      </c>
      <c r="M80" s="2780">
        <f t="shared" si="22"/>
        <v>0.15602836879432624</v>
      </c>
      <c r="N80" s="2058"/>
      <c r="O80" s="2796">
        <v>5</v>
      </c>
      <c r="P80" s="2349">
        <f>SUM(P76:P79)</f>
        <v>141</v>
      </c>
      <c r="Q80" s="2780">
        <f t="shared" si="23"/>
        <v>3.5460992907801421E-2</v>
      </c>
      <c r="R80" s="2058"/>
      <c r="S80" s="2796">
        <f>SUM(S76:S79)</f>
        <v>20</v>
      </c>
      <c r="T80" s="2349">
        <f>SUM(T76:T79)</f>
        <v>146</v>
      </c>
      <c r="U80" s="2780">
        <f t="shared" si="24"/>
        <v>0.13698630136986301</v>
      </c>
      <c r="V80" s="2058"/>
      <c r="W80" s="2796">
        <f>SUM(W76:W79)</f>
        <v>8</v>
      </c>
      <c r="X80" s="2349">
        <f>SUM(X76:X79)</f>
        <v>144</v>
      </c>
      <c r="Y80" s="2780">
        <f t="shared" si="14"/>
        <v>5.5555555555555552E-2</v>
      </c>
      <c r="Z80" s="2058"/>
      <c r="AA80" s="2796">
        <v>7</v>
      </c>
      <c r="AB80" s="2349">
        <f>SUM(AB76:AB79)</f>
        <v>144</v>
      </c>
      <c r="AC80" s="2780">
        <f t="shared" si="15"/>
        <v>4.8611111111111112E-2</v>
      </c>
      <c r="AD80" s="2058"/>
      <c r="AE80" s="2796">
        <v>4</v>
      </c>
      <c r="AF80" s="2349">
        <f>SUM(AF76:AF79)</f>
        <v>135</v>
      </c>
      <c r="AG80" s="2780">
        <f t="shared" si="16"/>
        <v>2.9629629629629631E-2</v>
      </c>
      <c r="AH80" s="2058"/>
      <c r="AI80" s="2796">
        <v>12</v>
      </c>
      <c r="AJ80" s="2349">
        <f>SUM(AJ76:AJ79)</f>
        <v>133</v>
      </c>
      <c r="AK80" s="2780">
        <f t="shared" si="17"/>
        <v>9.0225563909774431E-2</v>
      </c>
      <c r="AL80" s="2058"/>
      <c r="AM80" s="2796">
        <v>24</v>
      </c>
      <c r="AN80" s="2349">
        <v>136</v>
      </c>
      <c r="AO80" s="2780">
        <f t="shared" si="18"/>
        <v>0.17647058823529413</v>
      </c>
      <c r="AQ80" s="2796">
        <v>19</v>
      </c>
      <c r="AR80" s="2349">
        <v>134</v>
      </c>
      <c r="AS80" s="2780">
        <f t="shared" si="19"/>
        <v>0.1417910447761194</v>
      </c>
    </row>
    <row r="81" spans="1:45" s="1" customFormat="1" ht="15" customHeight="1">
      <c r="A81" s="2347"/>
      <c r="B81" s="2353" t="s">
        <v>355</v>
      </c>
      <c r="C81" s="2616">
        <f>SUM(C80,C75,C70)</f>
        <v>216</v>
      </c>
      <c r="D81" s="2617">
        <f>SUM(D80,D75,D70)</f>
        <v>824</v>
      </c>
      <c r="E81" s="2786">
        <f t="shared" si="20"/>
        <v>0.26213592233009708</v>
      </c>
      <c r="F81" s="2058"/>
      <c r="G81" s="2616">
        <v>180</v>
      </c>
      <c r="H81" s="2617">
        <f>SUM(H80,H75,H70)</f>
        <v>839</v>
      </c>
      <c r="I81" s="2786">
        <f t="shared" si="21"/>
        <v>0.21454112038140644</v>
      </c>
      <c r="J81" s="2058"/>
      <c r="K81" s="2616">
        <v>269</v>
      </c>
      <c r="L81" s="2617">
        <f>SUM(L80,L75,L70)</f>
        <v>852</v>
      </c>
      <c r="M81" s="2786">
        <f t="shared" si="22"/>
        <v>0.31572769953051644</v>
      </c>
      <c r="N81" s="2058"/>
      <c r="O81" s="2616">
        <v>257</v>
      </c>
      <c r="P81" s="2617">
        <f>SUM(P80,P75,P70)</f>
        <v>852</v>
      </c>
      <c r="Q81" s="2786">
        <f t="shared" si="23"/>
        <v>0.30164319248826293</v>
      </c>
      <c r="R81" s="2058"/>
      <c r="S81" s="2616">
        <f>SUM(S70,S75,S80)</f>
        <v>294</v>
      </c>
      <c r="T81" s="2617">
        <f>SUM(T80,T75,T70)</f>
        <v>860</v>
      </c>
      <c r="U81" s="2786">
        <f t="shared" si="24"/>
        <v>0.34186046511627904</v>
      </c>
      <c r="V81" s="2058"/>
      <c r="W81" s="2616">
        <f>SUM(W70,W75,W80)</f>
        <v>239</v>
      </c>
      <c r="X81" s="2617">
        <f>SUM(X80,X75,X70)</f>
        <v>856</v>
      </c>
      <c r="Y81" s="2786">
        <f t="shared" si="14"/>
        <v>0.27920560747663553</v>
      </c>
      <c r="Z81" s="2058"/>
      <c r="AA81" s="2616">
        <f>SUM(AA70,AA75,AA80)</f>
        <v>175</v>
      </c>
      <c r="AB81" s="2617">
        <f>SUM(AB80,AB75,AB70)</f>
        <v>842</v>
      </c>
      <c r="AC81" s="2786">
        <f t="shared" si="15"/>
        <v>0.20783847980997625</v>
      </c>
      <c r="AD81" s="2058"/>
      <c r="AE81" s="2616">
        <f>SUM(AE70,AE75,AE80)</f>
        <v>205</v>
      </c>
      <c r="AF81" s="2617">
        <f>SUM(AF80,AF75,AF70)</f>
        <v>832</v>
      </c>
      <c r="AG81" s="2786">
        <f t="shared" si="16"/>
        <v>0.24639423076923078</v>
      </c>
      <c r="AH81" s="2058"/>
      <c r="AI81" s="2616">
        <v>224</v>
      </c>
      <c r="AJ81" s="2617">
        <f>SUM(AJ70,AJ75,AJ80)</f>
        <v>830</v>
      </c>
      <c r="AK81" s="2786">
        <f t="shared" si="17"/>
        <v>0.26987951807228916</v>
      </c>
      <c r="AL81" s="2058"/>
      <c r="AM81" s="2616">
        <v>257</v>
      </c>
      <c r="AN81" s="2617">
        <v>821</v>
      </c>
      <c r="AO81" s="2786">
        <f t="shared" si="18"/>
        <v>0.31303288672350793</v>
      </c>
      <c r="AQ81" s="2616">
        <v>218</v>
      </c>
      <c r="AR81" s="2617">
        <v>803</v>
      </c>
      <c r="AS81" s="2786">
        <f t="shared" si="19"/>
        <v>0.2714819427148194</v>
      </c>
    </row>
    <row r="82" spans="1:45" s="1" customFormat="1" ht="15" customHeight="1">
      <c r="C82" s="2574"/>
      <c r="D82" s="2574"/>
      <c r="E82" s="2574"/>
      <c r="F82" s="2058"/>
      <c r="G82" s="2574"/>
      <c r="H82" s="2574"/>
      <c r="I82" s="2574"/>
      <c r="J82" s="2058"/>
      <c r="K82" s="2574"/>
      <c r="L82" s="2574"/>
      <c r="M82" s="2574"/>
      <c r="N82" s="2058"/>
      <c r="O82" s="2574"/>
      <c r="P82" s="2574"/>
      <c r="Q82" s="2574"/>
      <c r="R82" s="2058"/>
      <c r="S82" s="2574"/>
      <c r="T82" s="2574"/>
      <c r="U82" s="2574"/>
      <c r="V82" s="2058"/>
      <c r="W82" s="2574"/>
      <c r="X82" s="2574"/>
      <c r="Y82" s="2574"/>
      <c r="Z82" s="2058"/>
      <c r="AA82" s="2574"/>
      <c r="AB82" s="2574"/>
      <c r="AC82" s="2574"/>
      <c r="AD82" s="2058"/>
      <c r="AE82" s="2574"/>
      <c r="AF82" s="2574"/>
      <c r="AG82" s="2574"/>
      <c r="AH82" s="2058"/>
      <c r="AI82" s="2574"/>
      <c r="AJ82" s="2574"/>
      <c r="AK82" s="2574"/>
      <c r="AL82" s="2058"/>
      <c r="AM82" s="2574"/>
      <c r="AN82" s="2574"/>
      <c r="AO82" s="2574"/>
      <c r="AQ82" s="2574"/>
      <c r="AR82" s="2574"/>
      <c r="AS82" s="2574"/>
    </row>
    <row r="83" spans="1:45" s="1" customFormat="1" ht="20.100000000000001" customHeight="1">
      <c r="A83" s="2347"/>
      <c r="B83" s="2602" t="s">
        <v>67</v>
      </c>
      <c r="C83" s="2603">
        <f>SUM(C21,C34,C52,C65,C81)</f>
        <v>853</v>
      </c>
      <c r="D83" s="2603">
        <f>SUM(D21,D34,D52,D65,D81)</f>
        <v>2575</v>
      </c>
      <c r="E83" s="2787">
        <f t="shared" si="20"/>
        <v>0.33126213592233011</v>
      </c>
      <c r="F83" s="2058"/>
      <c r="G83" s="2603">
        <f>SUM(G21,G34,G52,G65,G81)</f>
        <v>831</v>
      </c>
      <c r="H83" s="2603">
        <f>SUM(H21,H34,H52,H65,H81)</f>
        <v>2623</v>
      </c>
      <c r="I83" s="2787">
        <f t="shared" si="21"/>
        <v>0.31681280975981702</v>
      </c>
      <c r="J83" s="2058"/>
      <c r="K83" s="2603">
        <f>SUM(K21,K34,K52,K65,K81)</f>
        <v>982</v>
      </c>
      <c r="L83" s="2603">
        <f>SUM(L21,L34,L52,L65,L81)</f>
        <v>2663</v>
      </c>
      <c r="M83" s="2787">
        <f t="shared" si="22"/>
        <v>0.36875704093128053</v>
      </c>
      <c r="N83" s="2058"/>
      <c r="O83" s="2603">
        <f>SUM(O21,O34,O52,O65,O81)</f>
        <v>1087</v>
      </c>
      <c r="P83" s="2603">
        <f>SUM(P21,P34,P52,P65,P81)</f>
        <v>2705</v>
      </c>
      <c r="Q83" s="2787">
        <f t="shared" si="23"/>
        <v>0.40184842883548982</v>
      </c>
      <c r="R83" s="2058"/>
      <c r="S83" s="2603">
        <f>SUM(S21,S34,S52,S65,S81)</f>
        <v>1145</v>
      </c>
      <c r="T83" s="2603">
        <f>SUM(T21,T34,T52,T65,T81)</f>
        <v>2759</v>
      </c>
      <c r="U83" s="2787">
        <f t="shared" si="24"/>
        <v>0.41500543675244655</v>
      </c>
      <c r="V83" s="2058"/>
      <c r="W83" s="2603">
        <f>SUM(W21,W34,W52,W65,W81)</f>
        <v>1121</v>
      </c>
      <c r="X83" s="2603">
        <f>SUM(X21,X34,X52,X65,X81)</f>
        <v>2743</v>
      </c>
      <c r="Y83" s="2787">
        <f t="shared" si="14"/>
        <v>0.40867663142544658</v>
      </c>
      <c r="Z83" s="2058"/>
      <c r="AA83" s="2603">
        <f>SUM(AA21,AA34,AA52,AA65,AA81)</f>
        <v>996</v>
      </c>
      <c r="AB83" s="2603">
        <f>SUM(AB21,AB34,AB52,AB65,AB81)</f>
        <v>2732</v>
      </c>
      <c r="AC83" s="2787">
        <f t="shared" si="15"/>
        <v>0.36456808199121521</v>
      </c>
      <c r="AD83" s="2058"/>
      <c r="AE83" s="2603">
        <f>SUM(AE21,AE34,AE52,AE65,AE81)</f>
        <v>1151</v>
      </c>
      <c r="AF83" s="2603">
        <f>SUM(AF21,AF34,AF52,AF65,AF81)</f>
        <v>2754</v>
      </c>
      <c r="AG83" s="2787">
        <f t="shared" si="16"/>
        <v>0.41793754538852579</v>
      </c>
      <c r="AH83" s="2058"/>
      <c r="AI83" s="2603">
        <f>SUM(AI21,AI34,AI52,AI65,AI81)</f>
        <v>1228</v>
      </c>
      <c r="AJ83" s="2603">
        <f>SUM(AJ21,AJ34,AJ52,AJ65,AJ81)</f>
        <v>2776</v>
      </c>
      <c r="AK83" s="2787">
        <f t="shared" si="17"/>
        <v>0.44236311239193082</v>
      </c>
      <c r="AL83" s="2058"/>
      <c r="AM83" s="2603">
        <f>SUM(AM21,AM34,AM52,AM65,AM81)</f>
        <v>1261</v>
      </c>
      <c r="AN83" s="2603">
        <v>2743</v>
      </c>
      <c r="AO83" s="2787">
        <f>AM83/AN83</f>
        <v>0.45971563981042651</v>
      </c>
      <c r="AQ83" s="2603">
        <f>SUM(AQ21,AQ34,AQ52,AQ65,AQ81)</f>
        <v>1170</v>
      </c>
      <c r="AR83" s="2603">
        <v>2709</v>
      </c>
      <c r="AS83" s="2787">
        <f>AQ83/AR83</f>
        <v>0.43189368770764119</v>
      </c>
    </row>
    <row r="84" spans="1:45" ht="18">
      <c r="A84" s="2347"/>
      <c r="F84" s="2058"/>
    </row>
    <row r="85" spans="1:45" ht="18">
      <c r="A85" s="2347"/>
      <c r="F85" s="2058"/>
    </row>
    <row r="86" spans="1:45" ht="18">
      <c r="A86" s="2347"/>
      <c r="F86" s="2058"/>
    </row>
    <row r="87" spans="1:45" ht="18">
      <c r="A87" s="2347"/>
      <c r="F87" s="2058"/>
    </row>
    <row r="88" spans="1:45" ht="18">
      <c r="A88" s="2347"/>
    </row>
  </sheetData>
  <sheetProtection algorithmName="SHA-512" hashValue="byWDM0f72/ysq4dwwoRzrxe+ZtF73w9TEJr+JiwE9XOmG1fS6QkKi8iboQgDBPdhq8enn53CfYr2NEs2pghcaQ==" saltValue="tGxCthWe4dT9x7DiyEIHlQ==" spinCount="100000" sheet="1" objects="1" scenarios="1"/>
  <mergeCells count="11">
    <mergeCell ref="AQ2:AS2"/>
    <mergeCell ref="AM2:AO2"/>
    <mergeCell ref="O2:Q2"/>
    <mergeCell ref="C2:E2"/>
    <mergeCell ref="G2:I2"/>
    <mergeCell ref="K2:M2"/>
    <mergeCell ref="AI2:AK2"/>
    <mergeCell ref="AE2:AG2"/>
    <mergeCell ref="AA2:AC2"/>
    <mergeCell ref="W2:Y2"/>
    <mergeCell ref="S2:U2"/>
  </mergeCells>
  <printOptions horizontalCentered="1" verticalCentered="1"/>
  <pageMargins left="0.19685039370078741" right="0.19685039370078741" top="0.19685039370078741" bottom="0.19685039370078741" header="0.31496062992125984" footer="0.31496062992125984"/>
  <pageSetup scale="50" orientation="portrait" r:id="rId1"/>
  <ignoredErrors>
    <ignoredError sqref="U83 Q83 AC83 AG83 Q9:Q81 U4:U81" formula="1"/>
    <ignoredError sqref="X83 X80:X81 C70" formulaRange="1"/>
    <ignoredError sqref="Y83 Y80:Y81" formula="1"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tint="-0.499984740745262"/>
  </sheetPr>
  <dimension ref="A1:AS89"/>
  <sheetViews>
    <sheetView showGridLines="0" zoomScaleNormal="100" workbookViewId="0">
      <pane xSplit="2" ySplit="3" topLeftCell="AG4" activePane="bottomRight" state="frozen"/>
      <selection pane="topRight" activeCell="D1" sqref="D1"/>
      <selection pane="bottomLeft" activeCell="A5" sqref="A5"/>
      <selection pane="bottomRight"/>
    </sheetView>
  </sheetViews>
  <sheetFormatPr baseColWidth="10" defaultRowHeight="14.4"/>
  <cols>
    <col min="1" max="1" width="2.77734375" style="129" customWidth="1"/>
    <col min="2" max="2" width="45.5546875" customWidth="1"/>
    <col min="3" max="5" width="8.44140625" customWidth="1"/>
    <col min="6" max="6" width="1.77734375" style="2549" customWidth="1"/>
    <col min="7" max="9" width="8.44140625" customWidth="1"/>
    <col min="10" max="10" width="1.77734375" style="2549" customWidth="1"/>
    <col min="11" max="13" width="8.44140625" customWidth="1"/>
    <col min="14" max="14" width="1.77734375" style="2549" customWidth="1"/>
    <col min="15" max="17" width="8.44140625" customWidth="1"/>
    <col min="18" max="18" width="1.77734375" style="2549" customWidth="1"/>
    <col min="19" max="21" width="8.44140625" customWidth="1"/>
    <col min="22" max="22" width="1.77734375" style="2549" customWidth="1"/>
    <col min="23" max="24" width="8.21875" bestFit="1" customWidth="1"/>
    <col min="25" max="25" width="8.21875" customWidth="1"/>
    <col min="26" max="26" width="1.77734375" style="2549" customWidth="1"/>
    <col min="27" max="27" width="7.77734375" bestFit="1" customWidth="1"/>
    <col min="28" max="28" width="8.21875" bestFit="1" customWidth="1"/>
    <col min="29" max="29" width="8.21875" customWidth="1"/>
    <col min="30" max="30" width="1.77734375" style="2549" customWidth="1"/>
    <col min="31" max="32" width="8.21875" bestFit="1" customWidth="1"/>
    <col min="33" max="33" width="8.44140625" bestFit="1" customWidth="1"/>
    <col min="34" max="34" width="1.77734375" style="2549" customWidth="1"/>
    <col min="35" max="36" width="8.21875" bestFit="1" customWidth="1"/>
    <col min="37" max="37" width="8.44140625" customWidth="1"/>
    <col min="38" max="38" width="1.77734375" customWidth="1"/>
    <col min="39" max="40" width="8.21875" bestFit="1" customWidth="1"/>
    <col min="41" max="41" width="7.77734375" customWidth="1"/>
    <col min="42" max="42" width="1.77734375" customWidth="1"/>
    <col min="43" max="44" width="8.21875" customWidth="1"/>
  </cols>
  <sheetData>
    <row r="1" spans="1:45" ht="67.5" customHeight="1">
      <c r="B1" s="63" t="s">
        <v>2754</v>
      </c>
      <c r="T1" s="322"/>
    </row>
    <row r="2" spans="1:45" ht="18">
      <c r="A2" s="2347"/>
      <c r="B2" s="2575"/>
      <c r="C2" s="6023">
        <v>2010</v>
      </c>
      <c r="D2" s="6023"/>
      <c r="E2" s="6023"/>
      <c r="G2" s="6023">
        <v>2011</v>
      </c>
      <c r="H2" s="6023"/>
      <c r="I2" s="6023"/>
      <c r="K2" s="6023">
        <v>2012</v>
      </c>
      <c r="L2" s="6023"/>
      <c r="M2" s="6023"/>
      <c r="O2" s="6023">
        <v>2013</v>
      </c>
      <c r="P2" s="6023"/>
      <c r="Q2" s="6023"/>
      <c r="S2" s="6023">
        <v>2014</v>
      </c>
      <c r="T2" s="6023"/>
      <c r="U2" s="6023"/>
      <c r="W2" s="6023">
        <v>2015</v>
      </c>
      <c r="X2" s="6023"/>
      <c r="Y2" s="6023"/>
      <c r="AA2" s="6023">
        <v>2016</v>
      </c>
      <c r="AB2" s="6023"/>
      <c r="AC2" s="6023"/>
      <c r="AE2" s="6023">
        <v>2017</v>
      </c>
      <c r="AF2" s="6023"/>
      <c r="AG2" s="6023"/>
      <c r="AI2" s="6023">
        <v>2018</v>
      </c>
      <c r="AJ2" s="6023"/>
      <c r="AK2" s="6023"/>
      <c r="AL2" s="2549"/>
      <c r="AM2" s="6023">
        <v>2019</v>
      </c>
      <c r="AN2" s="6023"/>
      <c r="AO2" s="6023"/>
      <c r="AQ2" s="6023">
        <v>2020</v>
      </c>
      <c r="AR2" s="6023"/>
      <c r="AS2" s="6023"/>
    </row>
    <row r="3" spans="1:45" ht="28.2" thickBot="1">
      <c r="A3" s="2347"/>
      <c r="B3" s="2599" t="s">
        <v>2665</v>
      </c>
      <c r="C3" s="2611" t="s">
        <v>1431</v>
      </c>
      <c r="D3" s="2611" t="s">
        <v>1096</v>
      </c>
      <c r="E3" s="2600" t="s">
        <v>76</v>
      </c>
      <c r="G3" s="2611" t="s">
        <v>1431</v>
      </c>
      <c r="H3" s="2611" t="s">
        <v>1096</v>
      </c>
      <c r="I3" s="2600" t="s">
        <v>76</v>
      </c>
      <c r="K3" s="2611" t="s">
        <v>1431</v>
      </c>
      <c r="L3" s="2611" t="s">
        <v>1096</v>
      </c>
      <c r="M3" s="2600" t="s">
        <v>76</v>
      </c>
      <c r="O3" s="2611" t="s">
        <v>1431</v>
      </c>
      <c r="P3" s="2611" t="s">
        <v>1096</v>
      </c>
      <c r="Q3" s="2600" t="s">
        <v>76</v>
      </c>
      <c r="S3" s="2611" t="s">
        <v>1431</v>
      </c>
      <c r="T3" s="2611" t="s">
        <v>1096</v>
      </c>
      <c r="U3" s="2600" t="s">
        <v>76</v>
      </c>
      <c r="W3" s="2611" t="s">
        <v>1431</v>
      </c>
      <c r="X3" s="2611" t="s">
        <v>1096</v>
      </c>
      <c r="Y3" s="2600" t="s">
        <v>76</v>
      </c>
      <c r="AA3" s="2611" t="s">
        <v>1431</v>
      </c>
      <c r="AB3" s="2611" t="s">
        <v>1096</v>
      </c>
      <c r="AC3" s="2600" t="s">
        <v>76</v>
      </c>
      <c r="AE3" s="2611" t="s">
        <v>1431</v>
      </c>
      <c r="AF3" s="2611" t="s">
        <v>1096</v>
      </c>
      <c r="AG3" s="2600" t="s">
        <v>76</v>
      </c>
      <c r="AI3" s="2611" t="s">
        <v>1431</v>
      </c>
      <c r="AJ3" s="2611" t="s">
        <v>1096</v>
      </c>
      <c r="AK3" s="2600" t="s">
        <v>76</v>
      </c>
      <c r="AL3" s="2549"/>
      <c r="AM3" s="2611" t="s">
        <v>1431</v>
      </c>
      <c r="AN3" s="2611" t="s">
        <v>1096</v>
      </c>
      <c r="AO3" s="2600" t="s">
        <v>76</v>
      </c>
      <c r="AQ3" s="2611" t="s">
        <v>1431</v>
      </c>
      <c r="AR3" s="2611" t="s">
        <v>1096</v>
      </c>
      <c r="AS3" s="2600" t="s">
        <v>76</v>
      </c>
    </row>
    <row r="4" spans="1:45" ht="18">
      <c r="A4" s="2347"/>
      <c r="B4" s="2361" t="s">
        <v>1097</v>
      </c>
      <c r="C4" s="2788">
        <v>54</v>
      </c>
      <c r="D4" s="2360">
        <v>232</v>
      </c>
      <c r="E4" s="2807">
        <f>C4/D4</f>
        <v>0.23275862068965517</v>
      </c>
      <c r="G4" s="2788">
        <v>72</v>
      </c>
      <c r="H4" s="2360">
        <v>277</v>
      </c>
      <c r="I4" s="2807">
        <f>G4/H4</f>
        <v>0.25992779783393499</v>
      </c>
      <c r="K4" s="2788">
        <v>58</v>
      </c>
      <c r="L4" s="2360">
        <v>258</v>
      </c>
      <c r="M4" s="2807">
        <f>K4/L4</f>
        <v>0.22480620155038761</v>
      </c>
      <c r="O4" s="2788">
        <v>82</v>
      </c>
      <c r="P4" s="2360">
        <v>361</v>
      </c>
      <c r="Q4" s="2807">
        <f>O4/P4</f>
        <v>0.22714681440443213</v>
      </c>
      <c r="S4" s="2788">
        <v>91</v>
      </c>
      <c r="T4" s="2360">
        <v>341</v>
      </c>
      <c r="U4" s="2807">
        <f>S4/T4</f>
        <v>0.26686217008797652</v>
      </c>
      <c r="W4" s="2788">
        <v>73</v>
      </c>
      <c r="X4" s="2360">
        <v>529</v>
      </c>
      <c r="Y4" s="2807">
        <f>W4/X4</f>
        <v>0.13799621928166353</v>
      </c>
      <c r="AA4" s="2788">
        <v>70</v>
      </c>
      <c r="AB4" s="2360">
        <v>347</v>
      </c>
      <c r="AC4" s="2807">
        <f>AA4/AB4</f>
        <v>0.20172910662824209</v>
      </c>
      <c r="AE4" s="2788">
        <v>99</v>
      </c>
      <c r="AF4" s="2360">
        <v>324</v>
      </c>
      <c r="AG4" s="2807">
        <f>AE4/AF4</f>
        <v>0.30555555555555558</v>
      </c>
      <c r="AI4" s="2788">
        <v>97</v>
      </c>
      <c r="AJ4" s="2360">
        <v>284</v>
      </c>
      <c r="AK4" s="2807">
        <f>AI4/AJ4</f>
        <v>0.34154929577464788</v>
      </c>
      <c r="AL4" s="2549"/>
      <c r="AM4" s="2788">
        <v>93</v>
      </c>
      <c r="AN4" s="2360">
        <v>261</v>
      </c>
      <c r="AO4" s="2807">
        <f>AM4/AN4</f>
        <v>0.35632183908045978</v>
      </c>
      <c r="AQ4" s="2788">
        <v>66</v>
      </c>
      <c r="AR4" s="2360">
        <v>200</v>
      </c>
      <c r="AS4" s="2807">
        <f>AQ4/AR4</f>
        <v>0.33</v>
      </c>
    </row>
    <row r="5" spans="1:45" ht="18">
      <c r="A5" s="2347"/>
      <c r="B5" s="2818" t="s">
        <v>1098</v>
      </c>
      <c r="C5" s="2788">
        <v>4</v>
      </c>
      <c r="D5" s="2360">
        <v>36</v>
      </c>
      <c r="E5" s="2807">
        <f t="shared" ref="E5:E68" si="0">C5/D5</f>
        <v>0.1111111111111111</v>
      </c>
      <c r="G5" s="2788">
        <v>13</v>
      </c>
      <c r="H5" s="2360">
        <v>77</v>
      </c>
      <c r="I5" s="2807">
        <f t="shared" ref="I5:I68" si="1">G5/H5</f>
        <v>0.16883116883116883</v>
      </c>
      <c r="K5" s="2788">
        <v>9</v>
      </c>
      <c r="L5" s="2360">
        <v>32</v>
      </c>
      <c r="M5" s="2807">
        <f t="shared" ref="M5:M68" si="2">K5/L5</f>
        <v>0.28125</v>
      </c>
      <c r="O5" s="2788">
        <v>8</v>
      </c>
      <c r="P5" s="2360">
        <v>61</v>
      </c>
      <c r="Q5" s="2807">
        <f t="shared" ref="Q5:Q68" si="3">O5/P5</f>
        <v>0.13114754098360656</v>
      </c>
      <c r="S5" s="2788">
        <v>7</v>
      </c>
      <c r="T5" s="2360">
        <v>38</v>
      </c>
      <c r="U5" s="2807">
        <f t="shared" ref="U5:U68" si="4">S5/T5</f>
        <v>0.18421052631578946</v>
      </c>
      <c r="W5" s="2788">
        <v>15</v>
      </c>
      <c r="X5" s="2360">
        <v>42</v>
      </c>
      <c r="Y5" s="2807">
        <f t="shared" ref="Y5:Y52" si="5">W5/X5</f>
        <v>0.35714285714285715</v>
      </c>
      <c r="AA5" s="2788">
        <v>8</v>
      </c>
      <c r="AB5" s="2360">
        <v>90</v>
      </c>
      <c r="AC5" s="2807">
        <f t="shared" ref="AC5:AC52" si="6">AA5/AB5</f>
        <v>8.8888888888888892E-2</v>
      </c>
      <c r="AE5" s="2788">
        <v>5</v>
      </c>
      <c r="AF5" s="2360">
        <v>105</v>
      </c>
      <c r="AG5" s="2807">
        <f t="shared" ref="AG5:AG52" si="7">AE5/AF5</f>
        <v>4.7619047619047616E-2</v>
      </c>
      <c r="AI5" s="2788">
        <v>14</v>
      </c>
      <c r="AJ5" s="2360">
        <v>114</v>
      </c>
      <c r="AK5" s="2807">
        <f t="shared" ref="AK5:AK52" si="8">AI5/AJ5</f>
        <v>0.12280701754385964</v>
      </c>
      <c r="AL5" s="2549"/>
      <c r="AM5" s="2788">
        <v>8</v>
      </c>
      <c r="AN5" s="2360">
        <v>42</v>
      </c>
      <c r="AO5" s="2807">
        <f t="shared" ref="AO5:AO52" si="9">AM5/AN5</f>
        <v>0.19047619047619047</v>
      </c>
      <c r="AQ5" s="2788">
        <v>12</v>
      </c>
      <c r="AR5" s="2360">
        <v>45</v>
      </c>
      <c r="AS5" s="2807">
        <f t="shared" ref="AS5:AS52" si="10">AQ5/AR5</f>
        <v>0.26666666666666666</v>
      </c>
    </row>
    <row r="6" spans="1:45" ht="18">
      <c r="A6" s="2347"/>
      <c r="B6" s="2818" t="s">
        <v>1099</v>
      </c>
      <c r="C6" s="2788">
        <v>38</v>
      </c>
      <c r="D6" s="2360">
        <v>111</v>
      </c>
      <c r="E6" s="2807">
        <f t="shared" si="0"/>
        <v>0.34234234234234234</v>
      </c>
      <c r="G6" s="2788">
        <v>42</v>
      </c>
      <c r="H6" s="2360">
        <v>109</v>
      </c>
      <c r="I6" s="2807">
        <f t="shared" si="1"/>
        <v>0.38532110091743121</v>
      </c>
      <c r="K6" s="2788">
        <v>31</v>
      </c>
      <c r="L6" s="2360">
        <v>70</v>
      </c>
      <c r="M6" s="2807">
        <f t="shared" si="2"/>
        <v>0.44285714285714284</v>
      </c>
      <c r="O6" s="2788">
        <v>12</v>
      </c>
      <c r="P6" s="2360">
        <v>60</v>
      </c>
      <c r="Q6" s="2807">
        <f t="shared" si="3"/>
        <v>0.2</v>
      </c>
      <c r="S6" s="2788">
        <v>40</v>
      </c>
      <c r="T6" s="2360">
        <v>93</v>
      </c>
      <c r="U6" s="2807">
        <f t="shared" si="4"/>
        <v>0.43010752688172044</v>
      </c>
      <c r="W6" s="2788">
        <v>34</v>
      </c>
      <c r="X6" s="2360">
        <v>123</v>
      </c>
      <c r="Y6" s="2807">
        <f t="shared" si="5"/>
        <v>0.27642276422764228</v>
      </c>
      <c r="AA6" s="2788">
        <v>46</v>
      </c>
      <c r="AB6" s="2360">
        <v>176</v>
      </c>
      <c r="AC6" s="2807">
        <f t="shared" si="6"/>
        <v>0.26136363636363635</v>
      </c>
      <c r="AE6" s="2788">
        <v>37</v>
      </c>
      <c r="AF6" s="2360">
        <v>169</v>
      </c>
      <c r="AG6" s="2807">
        <f t="shared" si="7"/>
        <v>0.21893491124260356</v>
      </c>
      <c r="AI6" s="2788">
        <v>37</v>
      </c>
      <c r="AJ6" s="2360">
        <v>163</v>
      </c>
      <c r="AK6" s="2807">
        <f t="shared" si="8"/>
        <v>0.22699386503067484</v>
      </c>
      <c r="AL6" s="2549"/>
      <c r="AM6" s="2788">
        <v>34</v>
      </c>
      <c r="AN6" s="2360">
        <v>133</v>
      </c>
      <c r="AO6" s="2807">
        <f t="shared" si="9"/>
        <v>0.25563909774436089</v>
      </c>
      <c r="AQ6" s="2788">
        <v>42</v>
      </c>
      <c r="AR6" s="2360">
        <v>100</v>
      </c>
      <c r="AS6" s="2807">
        <f t="shared" si="10"/>
        <v>0.42</v>
      </c>
    </row>
    <row r="7" spans="1:45" ht="18">
      <c r="A7" s="2347"/>
      <c r="B7" s="2818" t="s">
        <v>1100</v>
      </c>
      <c r="C7" s="2788">
        <v>21</v>
      </c>
      <c r="D7" s="2360">
        <v>61</v>
      </c>
      <c r="E7" s="2807">
        <f t="shared" si="0"/>
        <v>0.34426229508196721</v>
      </c>
      <c r="G7" s="2788">
        <v>19</v>
      </c>
      <c r="H7" s="2360">
        <v>118</v>
      </c>
      <c r="I7" s="2807">
        <f t="shared" si="1"/>
        <v>0.16101694915254236</v>
      </c>
      <c r="K7" s="2788">
        <v>26</v>
      </c>
      <c r="L7" s="2360">
        <v>85</v>
      </c>
      <c r="M7" s="2807">
        <f t="shared" si="2"/>
        <v>0.30588235294117649</v>
      </c>
      <c r="O7" s="2788">
        <v>37</v>
      </c>
      <c r="P7" s="2360">
        <v>94</v>
      </c>
      <c r="Q7" s="2807">
        <f t="shared" si="3"/>
        <v>0.39361702127659576</v>
      </c>
      <c r="S7" s="2788">
        <v>33</v>
      </c>
      <c r="T7" s="2360">
        <v>69</v>
      </c>
      <c r="U7" s="2807">
        <f t="shared" si="4"/>
        <v>0.47826086956521741</v>
      </c>
      <c r="W7" s="2788">
        <v>40</v>
      </c>
      <c r="X7" s="2360">
        <v>94</v>
      </c>
      <c r="Y7" s="2807">
        <f t="shared" si="5"/>
        <v>0.42553191489361702</v>
      </c>
      <c r="AA7" s="2788">
        <v>31</v>
      </c>
      <c r="AB7" s="2360">
        <v>96</v>
      </c>
      <c r="AC7" s="2807">
        <f t="shared" si="6"/>
        <v>0.32291666666666669</v>
      </c>
      <c r="AE7" s="2788">
        <v>40</v>
      </c>
      <c r="AF7" s="2360">
        <v>83</v>
      </c>
      <c r="AG7" s="2807">
        <f t="shared" si="7"/>
        <v>0.48192771084337349</v>
      </c>
      <c r="AI7" s="2788">
        <v>18</v>
      </c>
      <c r="AJ7" s="2360">
        <v>86</v>
      </c>
      <c r="AK7" s="2807">
        <f t="shared" si="8"/>
        <v>0.20930232558139536</v>
      </c>
      <c r="AL7" s="2549"/>
      <c r="AM7" s="2788">
        <v>45</v>
      </c>
      <c r="AN7" s="2360">
        <v>129</v>
      </c>
      <c r="AO7" s="2807">
        <f t="shared" si="9"/>
        <v>0.34883720930232559</v>
      </c>
      <c r="AQ7" s="2788">
        <v>37</v>
      </c>
      <c r="AR7" s="2360">
        <v>73</v>
      </c>
      <c r="AS7" s="2807">
        <f t="shared" si="10"/>
        <v>0.50684931506849318</v>
      </c>
    </row>
    <row r="8" spans="1:45" ht="18">
      <c r="A8" s="2347"/>
      <c r="B8" s="2819" t="s">
        <v>1101</v>
      </c>
      <c r="C8" s="2789">
        <v>11</v>
      </c>
      <c r="D8" s="2790">
        <v>45</v>
      </c>
      <c r="E8" s="2808">
        <f t="shared" si="0"/>
        <v>0.24444444444444444</v>
      </c>
      <c r="G8" s="2789">
        <v>7</v>
      </c>
      <c r="H8" s="2790">
        <v>49</v>
      </c>
      <c r="I8" s="2808">
        <f t="shared" si="1"/>
        <v>0.14285714285714285</v>
      </c>
      <c r="K8" s="2789">
        <v>3</v>
      </c>
      <c r="L8" s="2790">
        <v>15</v>
      </c>
      <c r="M8" s="2808">
        <f t="shared" si="2"/>
        <v>0.2</v>
      </c>
      <c r="O8" s="2789">
        <v>19</v>
      </c>
      <c r="P8" s="2790">
        <v>84</v>
      </c>
      <c r="Q8" s="2808">
        <f t="shared" si="3"/>
        <v>0.22619047619047619</v>
      </c>
      <c r="S8" s="2789">
        <v>11</v>
      </c>
      <c r="T8" s="2790">
        <v>45</v>
      </c>
      <c r="U8" s="2808">
        <f t="shared" si="4"/>
        <v>0.24444444444444444</v>
      </c>
      <c r="W8" s="2789">
        <v>17</v>
      </c>
      <c r="X8" s="2790">
        <v>69</v>
      </c>
      <c r="Y8" s="2808">
        <f t="shared" si="5"/>
        <v>0.24637681159420291</v>
      </c>
      <c r="AA8" s="2789">
        <v>5</v>
      </c>
      <c r="AB8" s="2790">
        <v>80</v>
      </c>
      <c r="AC8" s="2808">
        <f t="shared" si="6"/>
        <v>6.25E-2</v>
      </c>
      <c r="AE8" s="2789">
        <v>6</v>
      </c>
      <c r="AF8" s="2790">
        <v>53</v>
      </c>
      <c r="AG8" s="2808">
        <f t="shared" si="7"/>
        <v>0.11320754716981132</v>
      </c>
      <c r="AI8" s="2789">
        <v>14</v>
      </c>
      <c r="AJ8" s="2790">
        <v>126</v>
      </c>
      <c r="AK8" s="2808">
        <f t="shared" si="8"/>
        <v>0.1111111111111111</v>
      </c>
      <c r="AL8" s="2549"/>
      <c r="AM8" s="2789">
        <v>9</v>
      </c>
      <c r="AN8" s="2790">
        <v>80</v>
      </c>
      <c r="AO8" s="2808">
        <f t="shared" si="9"/>
        <v>0.1125</v>
      </c>
      <c r="AQ8" s="2789">
        <v>12</v>
      </c>
      <c r="AR8" s="2790">
        <v>82</v>
      </c>
      <c r="AS8" s="2808">
        <f t="shared" si="10"/>
        <v>0.14634146341463414</v>
      </c>
    </row>
    <row r="9" spans="1:45" ht="15" customHeight="1">
      <c r="A9" s="2347"/>
      <c r="B9" s="2316" t="s">
        <v>4</v>
      </c>
      <c r="C9" s="2791">
        <f>SUM(C4:C8)</f>
        <v>128</v>
      </c>
      <c r="D9" s="1135">
        <v>485</v>
      </c>
      <c r="E9" s="2809">
        <f t="shared" si="0"/>
        <v>0.26391752577319588</v>
      </c>
      <c r="G9" s="2791">
        <v>153</v>
      </c>
      <c r="H9" s="1135">
        <v>630</v>
      </c>
      <c r="I9" s="2809">
        <f t="shared" si="1"/>
        <v>0.24285714285714285</v>
      </c>
      <c r="K9" s="2791">
        <v>127</v>
      </c>
      <c r="L9" s="1135">
        <f>SUM(L4:L8)</f>
        <v>460</v>
      </c>
      <c r="M9" s="2809">
        <f t="shared" si="2"/>
        <v>0.27608695652173915</v>
      </c>
      <c r="O9" s="2791">
        <v>158</v>
      </c>
      <c r="P9" s="1135">
        <f>SUM(P4:P8)</f>
        <v>660</v>
      </c>
      <c r="Q9" s="2809">
        <f t="shared" si="3"/>
        <v>0.23939393939393938</v>
      </c>
      <c r="S9" s="2791">
        <f>SUM(S4:S8)</f>
        <v>182</v>
      </c>
      <c r="T9" s="1135">
        <f>SUM(T4:T8)</f>
        <v>586</v>
      </c>
      <c r="U9" s="2809">
        <f t="shared" si="4"/>
        <v>0.31058020477815701</v>
      </c>
      <c r="W9" s="2791">
        <v>179</v>
      </c>
      <c r="X9" s="1135">
        <v>857</v>
      </c>
      <c r="Y9" s="2809">
        <f t="shared" si="5"/>
        <v>0.2088681446907818</v>
      </c>
      <c r="AA9" s="2791">
        <v>160</v>
      </c>
      <c r="AB9" s="1135">
        <v>789</v>
      </c>
      <c r="AC9" s="2809">
        <f t="shared" si="6"/>
        <v>0.20278833967046894</v>
      </c>
      <c r="AE9" s="2791">
        <v>187</v>
      </c>
      <c r="AF9" s="1135">
        <v>734</v>
      </c>
      <c r="AG9" s="2809">
        <f t="shared" si="7"/>
        <v>0.25476839237057219</v>
      </c>
      <c r="AI9" s="2791">
        <v>180</v>
      </c>
      <c r="AJ9" s="1135">
        <v>773</v>
      </c>
      <c r="AK9" s="2809">
        <f t="shared" si="8"/>
        <v>0.23285899094437257</v>
      </c>
      <c r="AL9" s="2549"/>
      <c r="AM9" s="2791">
        <v>189</v>
      </c>
      <c r="AN9" s="1135">
        <v>645</v>
      </c>
      <c r="AO9" s="2809">
        <f t="shared" si="9"/>
        <v>0.2930232558139535</v>
      </c>
      <c r="AQ9" s="2791">
        <v>169</v>
      </c>
      <c r="AR9" s="1135">
        <v>500</v>
      </c>
      <c r="AS9" s="2809">
        <f t="shared" si="10"/>
        <v>0.33800000000000002</v>
      </c>
    </row>
    <row r="10" spans="1:45" ht="18">
      <c r="A10" s="2347"/>
      <c r="B10" s="2361" t="s">
        <v>1102</v>
      </c>
      <c r="C10" s="2792"/>
      <c r="D10" s="2793">
        <v>67</v>
      </c>
      <c r="E10" s="2810">
        <f t="shared" si="0"/>
        <v>0</v>
      </c>
      <c r="G10" s="2792">
        <v>3</v>
      </c>
      <c r="H10" s="2793">
        <v>77</v>
      </c>
      <c r="I10" s="2810">
        <f t="shared" si="1"/>
        <v>3.896103896103896E-2</v>
      </c>
      <c r="K10" s="2792">
        <v>15</v>
      </c>
      <c r="L10" s="2793">
        <v>73</v>
      </c>
      <c r="M10" s="2810">
        <f t="shared" si="2"/>
        <v>0.20547945205479451</v>
      </c>
      <c r="O10" s="2792">
        <v>11</v>
      </c>
      <c r="P10" s="2793">
        <v>85</v>
      </c>
      <c r="Q10" s="2810">
        <f t="shared" si="3"/>
        <v>0.12941176470588237</v>
      </c>
      <c r="S10" s="2792">
        <v>0</v>
      </c>
      <c r="T10" s="2793">
        <v>104</v>
      </c>
      <c r="U10" s="2810">
        <f t="shared" si="4"/>
        <v>0</v>
      </c>
      <c r="W10" s="2792"/>
      <c r="X10" s="2793">
        <v>77</v>
      </c>
      <c r="Y10" s="2810">
        <f t="shared" si="5"/>
        <v>0</v>
      </c>
      <c r="AA10" s="2792"/>
      <c r="AB10" s="2793">
        <v>61</v>
      </c>
      <c r="AC10" s="2810">
        <f t="shared" si="6"/>
        <v>0</v>
      </c>
      <c r="AE10" s="2792">
        <v>2</v>
      </c>
      <c r="AF10" s="2793">
        <v>57</v>
      </c>
      <c r="AG10" s="2810">
        <f t="shared" si="7"/>
        <v>3.5087719298245612E-2</v>
      </c>
      <c r="AI10" s="2792">
        <v>2</v>
      </c>
      <c r="AJ10" s="2793">
        <v>97</v>
      </c>
      <c r="AK10" s="2810">
        <f t="shared" si="8"/>
        <v>2.0618556701030927E-2</v>
      </c>
      <c r="AL10" s="2549"/>
      <c r="AM10" s="2792">
        <v>1</v>
      </c>
      <c r="AN10" s="2793">
        <v>112</v>
      </c>
      <c r="AO10" s="2810">
        <f t="shared" si="9"/>
        <v>8.9285714285714281E-3</v>
      </c>
      <c r="AQ10" s="2792">
        <v>1</v>
      </c>
      <c r="AR10" s="2793">
        <v>42</v>
      </c>
      <c r="AS10" s="2810">
        <f t="shared" si="10"/>
        <v>2.3809523809523808E-2</v>
      </c>
    </row>
    <row r="11" spans="1:45" ht="18">
      <c r="A11" s="2347"/>
      <c r="B11" s="2818" t="s">
        <v>1103</v>
      </c>
      <c r="C11" s="2792">
        <v>1</v>
      </c>
      <c r="D11" s="2793">
        <v>65</v>
      </c>
      <c r="E11" s="2810">
        <f t="shared" si="0"/>
        <v>1.5384615384615385E-2</v>
      </c>
      <c r="G11" s="2792"/>
      <c r="H11" s="2793">
        <v>77</v>
      </c>
      <c r="I11" s="2810">
        <f t="shared" si="1"/>
        <v>0</v>
      </c>
      <c r="K11" s="2792"/>
      <c r="L11" s="2793">
        <v>105</v>
      </c>
      <c r="M11" s="2810">
        <f t="shared" si="2"/>
        <v>0</v>
      </c>
      <c r="O11" s="2792"/>
      <c r="P11" s="2793">
        <v>89</v>
      </c>
      <c r="Q11" s="2810">
        <f t="shared" si="3"/>
        <v>0</v>
      </c>
      <c r="S11" s="2792">
        <v>1</v>
      </c>
      <c r="T11" s="2793">
        <v>59</v>
      </c>
      <c r="U11" s="2810">
        <f t="shared" si="4"/>
        <v>1.6949152542372881E-2</v>
      </c>
      <c r="W11" s="2792"/>
      <c r="X11" s="2793">
        <v>76</v>
      </c>
      <c r="Y11" s="2810">
        <f t="shared" si="5"/>
        <v>0</v>
      </c>
      <c r="AA11" s="2792">
        <v>1</v>
      </c>
      <c r="AB11" s="2793">
        <v>71</v>
      </c>
      <c r="AC11" s="2810">
        <f t="shared" si="6"/>
        <v>1.4084507042253521E-2</v>
      </c>
      <c r="AE11" s="2792">
        <v>1</v>
      </c>
      <c r="AF11" s="2793">
        <v>70</v>
      </c>
      <c r="AG11" s="2810">
        <f t="shared" si="7"/>
        <v>1.4285714285714285E-2</v>
      </c>
      <c r="AI11" s="2792">
        <v>0</v>
      </c>
      <c r="AJ11" s="2793">
        <v>46</v>
      </c>
      <c r="AK11" s="2810">
        <f t="shared" si="8"/>
        <v>0</v>
      </c>
      <c r="AL11" s="2549"/>
      <c r="AM11" s="2792">
        <v>1</v>
      </c>
      <c r="AN11" s="2793">
        <v>67</v>
      </c>
      <c r="AO11" s="2810">
        <f t="shared" si="9"/>
        <v>1.4925373134328358E-2</v>
      </c>
      <c r="AQ11" s="2792">
        <v>1</v>
      </c>
      <c r="AR11" s="2793">
        <v>24</v>
      </c>
      <c r="AS11" s="2810">
        <f t="shared" si="10"/>
        <v>4.1666666666666664E-2</v>
      </c>
    </row>
    <row r="12" spans="1:45" ht="18">
      <c r="A12" s="2347"/>
      <c r="B12" s="2818" t="s">
        <v>1104</v>
      </c>
      <c r="C12" s="2792"/>
      <c r="D12" s="2793">
        <v>104</v>
      </c>
      <c r="E12" s="2810">
        <f t="shared" si="0"/>
        <v>0</v>
      </c>
      <c r="G12" s="2792">
        <v>1</v>
      </c>
      <c r="H12" s="2793">
        <v>133</v>
      </c>
      <c r="I12" s="2810">
        <f t="shared" si="1"/>
        <v>7.5187969924812026E-3</v>
      </c>
      <c r="K12" s="2792">
        <v>19</v>
      </c>
      <c r="L12" s="2793">
        <v>131</v>
      </c>
      <c r="M12" s="2810">
        <f t="shared" si="2"/>
        <v>0.14503816793893129</v>
      </c>
      <c r="O12" s="2792">
        <v>12</v>
      </c>
      <c r="P12" s="2793">
        <v>100</v>
      </c>
      <c r="Q12" s="2810">
        <f t="shared" si="3"/>
        <v>0.12</v>
      </c>
      <c r="S12" s="2792">
        <v>0</v>
      </c>
      <c r="T12" s="2793">
        <v>89</v>
      </c>
      <c r="U12" s="2810">
        <f t="shared" si="4"/>
        <v>0</v>
      </c>
      <c r="W12" s="2792"/>
      <c r="X12" s="2793">
        <v>71</v>
      </c>
      <c r="Y12" s="2810">
        <f t="shared" si="5"/>
        <v>0</v>
      </c>
      <c r="AA12" s="2792">
        <v>3</v>
      </c>
      <c r="AB12" s="2793">
        <v>100</v>
      </c>
      <c r="AC12" s="2810">
        <f t="shared" si="6"/>
        <v>0.03</v>
      </c>
      <c r="AE12" s="2792">
        <v>6</v>
      </c>
      <c r="AF12" s="2793">
        <v>98</v>
      </c>
      <c r="AG12" s="2810">
        <f t="shared" si="7"/>
        <v>6.1224489795918366E-2</v>
      </c>
      <c r="AI12" s="2792">
        <v>3</v>
      </c>
      <c r="AJ12" s="2793">
        <v>113</v>
      </c>
      <c r="AK12" s="2810">
        <f t="shared" si="8"/>
        <v>2.6548672566371681E-2</v>
      </c>
      <c r="AL12" s="2549"/>
      <c r="AM12" s="2792">
        <v>4</v>
      </c>
      <c r="AN12" s="2793">
        <v>94</v>
      </c>
      <c r="AO12" s="2810">
        <f t="shared" si="9"/>
        <v>4.2553191489361701E-2</v>
      </c>
      <c r="AQ12" s="2792">
        <v>0</v>
      </c>
      <c r="AR12" s="2793">
        <v>34</v>
      </c>
      <c r="AS12" s="2810">
        <f t="shared" si="10"/>
        <v>0</v>
      </c>
    </row>
    <row r="13" spans="1:45" ht="18">
      <c r="A13" s="2347"/>
      <c r="B13" s="2818" t="s">
        <v>813</v>
      </c>
      <c r="C13" s="2792"/>
      <c r="D13" s="2793">
        <v>116</v>
      </c>
      <c r="E13" s="2810">
        <f t="shared" si="0"/>
        <v>0</v>
      </c>
      <c r="G13" s="2792"/>
      <c r="H13" s="2793">
        <v>106</v>
      </c>
      <c r="I13" s="2810">
        <f t="shared" si="1"/>
        <v>0</v>
      </c>
      <c r="K13" s="2792"/>
      <c r="L13" s="2793">
        <v>118</v>
      </c>
      <c r="M13" s="2810">
        <f t="shared" si="2"/>
        <v>0</v>
      </c>
      <c r="O13" s="2792"/>
      <c r="P13" s="2793">
        <v>92</v>
      </c>
      <c r="Q13" s="2810">
        <f t="shared" si="3"/>
        <v>0</v>
      </c>
      <c r="S13" s="2792">
        <v>0</v>
      </c>
      <c r="T13" s="2793">
        <v>95</v>
      </c>
      <c r="U13" s="2810">
        <f t="shared" si="4"/>
        <v>0</v>
      </c>
      <c r="W13" s="2792"/>
      <c r="X13" s="2793">
        <v>119</v>
      </c>
      <c r="Y13" s="2810">
        <f t="shared" si="5"/>
        <v>0</v>
      </c>
      <c r="AA13" s="2792"/>
      <c r="AB13" s="2793">
        <v>99</v>
      </c>
      <c r="AC13" s="2810">
        <f t="shared" si="6"/>
        <v>0</v>
      </c>
      <c r="AE13" s="2792">
        <v>1</v>
      </c>
      <c r="AF13" s="2793">
        <v>74</v>
      </c>
      <c r="AG13" s="2810">
        <f t="shared" si="7"/>
        <v>1.3513513513513514E-2</v>
      </c>
      <c r="AI13" s="2792">
        <v>2</v>
      </c>
      <c r="AJ13" s="2793">
        <v>102</v>
      </c>
      <c r="AK13" s="2810">
        <f t="shared" si="8"/>
        <v>1.9607843137254902E-2</v>
      </c>
      <c r="AL13" s="2549"/>
      <c r="AM13" s="2792">
        <v>0</v>
      </c>
      <c r="AN13" s="2793">
        <v>79</v>
      </c>
      <c r="AO13" s="2810">
        <f t="shared" si="9"/>
        <v>0</v>
      </c>
      <c r="AQ13" s="2792">
        <v>3</v>
      </c>
      <c r="AR13" s="2793">
        <v>50</v>
      </c>
      <c r="AS13" s="2810">
        <f t="shared" si="10"/>
        <v>0.06</v>
      </c>
    </row>
    <row r="14" spans="1:45" ht="18">
      <c r="A14" s="2347"/>
      <c r="B14" s="2818" t="s">
        <v>1105</v>
      </c>
      <c r="C14" s="2794"/>
      <c r="D14" s="2795">
        <v>144</v>
      </c>
      <c r="E14" s="2811">
        <f t="shared" si="0"/>
        <v>0</v>
      </c>
      <c r="G14" s="2794"/>
      <c r="H14" s="2795">
        <v>80</v>
      </c>
      <c r="I14" s="2811">
        <f t="shared" si="1"/>
        <v>0</v>
      </c>
      <c r="K14" s="2794">
        <v>1</v>
      </c>
      <c r="L14" s="2795">
        <v>50</v>
      </c>
      <c r="M14" s="2811">
        <f t="shared" si="2"/>
        <v>0.02</v>
      </c>
      <c r="O14" s="2794"/>
      <c r="P14" s="2795">
        <v>107</v>
      </c>
      <c r="Q14" s="2811">
        <f t="shared" si="3"/>
        <v>0</v>
      </c>
      <c r="S14" s="2794">
        <v>0</v>
      </c>
      <c r="T14" s="2795">
        <v>83</v>
      </c>
      <c r="U14" s="2811">
        <f t="shared" si="4"/>
        <v>0</v>
      </c>
      <c r="W14" s="2794">
        <v>1</v>
      </c>
      <c r="X14" s="2795">
        <v>98</v>
      </c>
      <c r="Y14" s="2811">
        <f t="shared" si="5"/>
        <v>1.020408163265306E-2</v>
      </c>
      <c r="AA14" s="2794">
        <v>1</v>
      </c>
      <c r="AB14" s="2795">
        <v>71</v>
      </c>
      <c r="AC14" s="2811">
        <f t="shared" si="6"/>
        <v>1.4084507042253521E-2</v>
      </c>
      <c r="AE14" s="2794"/>
      <c r="AF14" s="2795">
        <v>86</v>
      </c>
      <c r="AG14" s="2811">
        <f t="shared" si="7"/>
        <v>0</v>
      </c>
      <c r="AI14" s="2794">
        <v>0</v>
      </c>
      <c r="AJ14" s="2795">
        <v>92</v>
      </c>
      <c r="AK14" s="2811">
        <f t="shared" si="8"/>
        <v>0</v>
      </c>
      <c r="AL14" s="2549"/>
      <c r="AM14" s="2794">
        <v>1</v>
      </c>
      <c r="AN14" s="2795">
        <v>65</v>
      </c>
      <c r="AO14" s="2811">
        <f t="shared" si="9"/>
        <v>1.5384615384615385E-2</v>
      </c>
      <c r="AQ14" s="2794">
        <v>0</v>
      </c>
      <c r="AR14" s="2795">
        <v>51</v>
      </c>
      <c r="AS14" s="2811">
        <f t="shared" si="10"/>
        <v>0</v>
      </c>
    </row>
    <row r="15" spans="1:45" ht="15" customHeight="1">
      <c r="A15" s="2347"/>
      <c r="B15" s="2316" t="s">
        <v>16</v>
      </c>
      <c r="C15" s="2791">
        <f>SUM(C10:C14)</f>
        <v>1</v>
      </c>
      <c r="D15" s="1135">
        <v>496</v>
      </c>
      <c r="E15" s="2809">
        <f t="shared" si="0"/>
        <v>2.0161290322580645E-3</v>
      </c>
      <c r="G15" s="2791">
        <v>4</v>
      </c>
      <c r="H15" s="1135">
        <v>473</v>
      </c>
      <c r="I15" s="2809">
        <f t="shared" si="1"/>
        <v>8.4566596194503175E-3</v>
      </c>
      <c r="K15" s="2791">
        <v>35</v>
      </c>
      <c r="L15" s="1135">
        <f>SUM(L10:L14)</f>
        <v>477</v>
      </c>
      <c r="M15" s="2809">
        <f t="shared" si="2"/>
        <v>7.337526205450734E-2</v>
      </c>
      <c r="O15" s="2791">
        <v>23</v>
      </c>
      <c r="P15" s="1135">
        <f>SUM(P10:P14)</f>
        <v>473</v>
      </c>
      <c r="Q15" s="2809">
        <f t="shared" si="3"/>
        <v>4.8625792811839326E-2</v>
      </c>
      <c r="S15" s="2791">
        <f>SUM(S10:S14)</f>
        <v>1</v>
      </c>
      <c r="T15" s="1135">
        <f>SUM(T10:T14)</f>
        <v>430</v>
      </c>
      <c r="U15" s="2809">
        <f t="shared" si="4"/>
        <v>2.3255813953488372E-3</v>
      </c>
      <c r="W15" s="2791">
        <v>1</v>
      </c>
      <c r="X15" s="1135">
        <v>441</v>
      </c>
      <c r="Y15" s="2809">
        <f t="shared" si="5"/>
        <v>2.2675736961451248E-3</v>
      </c>
      <c r="AA15" s="2791">
        <v>5</v>
      </c>
      <c r="AB15" s="1135">
        <v>402</v>
      </c>
      <c r="AC15" s="2809">
        <f t="shared" si="6"/>
        <v>1.2437810945273632E-2</v>
      </c>
      <c r="AE15" s="2791">
        <v>10</v>
      </c>
      <c r="AF15" s="1135">
        <v>385</v>
      </c>
      <c r="AG15" s="2809">
        <f t="shared" si="7"/>
        <v>2.5974025974025976E-2</v>
      </c>
      <c r="AI15" s="2791">
        <v>7</v>
      </c>
      <c r="AJ15" s="1135">
        <v>450</v>
      </c>
      <c r="AK15" s="2809">
        <f t="shared" si="8"/>
        <v>1.5555555555555555E-2</v>
      </c>
      <c r="AL15" s="2549"/>
      <c r="AM15" s="2791">
        <v>7</v>
      </c>
      <c r="AN15" s="1135">
        <v>417</v>
      </c>
      <c r="AO15" s="2809">
        <f t="shared" si="9"/>
        <v>1.6786570743405275E-2</v>
      </c>
      <c r="AQ15" s="2791">
        <v>5</v>
      </c>
      <c r="AR15" s="1135">
        <v>201</v>
      </c>
      <c r="AS15" s="2809">
        <f t="shared" si="10"/>
        <v>2.4875621890547265E-2</v>
      </c>
    </row>
    <row r="16" spans="1:45" ht="18">
      <c r="A16" s="2347"/>
      <c r="B16" s="2818" t="s">
        <v>1107</v>
      </c>
      <c r="C16" s="2792">
        <v>1</v>
      </c>
      <c r="D16" s="2793">
        <v>48</v>
      </c>
      <c r="E16" s="2810">
        <f t="shared" si="0"/>
        <v>2.0833333333333332E-2</v>
      </c>
      <c r="G16" s="2792">
        <v>2</v>
      </c>
      <c r="H16" s="2793">
        <v>40</v>
      </c>
      <c r="I16" s="2810">
        <f t="shared" si="1"/>
        <v>0.05</v>
      </c>
      <c r="K16" s="2792"/>
      <c r="L16" s="2793">
        <v>36</v>
      </c>
      <c r="M16" s="2810">
        <f t="shared" si="2"/>
        <v>0</v>
      </c>
      <c r="O16" s="2792">
        <v>1</v>
      </c>
      <c r="P16" s="2793">
        <v>60</v>
      </c>
      <c r="Q16" s="2810">
        <f t="shared" si="3"/>
        <v>1.6666666666666666E-2</v>
      </c>
      <c r="S16" s="2792">
        <v>1</v>
      </c>
      <c r="T16" s="2793">
        <v>90</v>
      </c>
      <c r="U16" s="2810">
        <f t="shared" si="4"/>
        <v>1.1111111111111112E-2</v>
      </c>
      <c r="W16" s="2792"/>
      <c r="X16" s="2793">
        <v>43</v>
      </c>
      <c r="Y16" s="2810">
        <f t="shared" si="5"/>
        <v>0</v>
      </c>
      <c r="AA16" s="2792"/>
      <c r="AB16" s="2793">
        <v>59</v>
      </c>
      <c r="AC16" s="2810">
        <f t="shared" si="6"/>
        <v>0</v>
      </c>
      <c r="AE16" s="2792"/>
      <c r="AF16" s="2793">
        <v>27</v>
      </c>
      <c r="AG16" s="2810">
        <f t="shared" si="7"/>
        <v>0</v>
      </c>
      <c r="AI16" s="2792">
        <v>0</v>
      </c>
      <c r="AJ16" s="2793">
        <v>55</v>
      </c>
      <c r="AK16" s="2810">
        <f t="shared" si="8"/>
        <v>0</v>
      </c>
      <c r="AL16" s="2549"/>
      <c r="AM16" s="2792">
        <v>0</v>
      </c>
      <c r="AN16" s="2793">
        <v>29</v>
      </c>
      <c r="AO16" s="2810">
        <f t="shared" si="9"/>
        <v>0</v>
      </c>
      <c r="AQ16" s="2792">
        <v>2</v>
      </c>
      <c r="AR16" s="2793">
        <v>29</v>
      </c>
      <c r="AS16" s="2810">
        <f t="shared" si="10"/>
        <v>6.8965517241379309E-2</v>
      </c>
    </row>
    <row r="17" spans="1:45" ht="18">
      <c r="A17" s="2347"/>
      <c r="B17" s="2818" t="s">
        <v>1108</v>
      </c>
      <c r="C17" s="2792"/>
      <c r="D17" s="2793">
        <v>18</v>
      </c>
      <c r="E17" s="2810">
        <f t="shared" si="0"/>
        <v>0</v>
      </c>
      <c r="G17" s="2792">
        <v>2</v>
      </c>
      <c r="H17" s="2793">
        <v>24</v>
      </c>
      <c r="I17" s="2810">
        <f t="shared" si="1"/>
        <v>8.3333333333333329E-2</v>
      </c>
      <c r="K17" s="2792">
        <v>3</v>
      </c>
      <c r="L17" s="2793">
        <v>45</v>
      </c>
      <c r="M17" s="2810">
        <f t="shared" si="2"/>
        <v>6.6666666666666666E-2</v>
      </c>
      <c r="O17" s="2792"/>
      <c r="P17" s="2793">
        <v>42</v>
      </c>
      <c r="Q17" s="2810">
        <f t="shared" si="3"/>
        <v>0</v>
      </c>
      <c r="S17" s="2792">
        <v>2</v>
      </c>
      <c r="T17" s="2793">
        <v>50</v>
      </c>
      <c r="U17" s="2810">
        <f t="shared" si="4"/>
        <v>0.04</v>
      </c>
      <c r="W17" s="2792"/>
      <c r="X17" s="2793">
        <v>41</v>
      </c>
      <c r="Y17" s="2810">
        <f t="shared" si="5"/>
        <v>0</v>
      </c>
      <c r="AA17" s="2792"/>
      <c r="AB17" s="2793">
        <v>54</v>
      </c>
      <c r="AC17" s="2810">
        <f t="shared" si="6"/>
        <v>0</v>
      </c>
      <c r="AE17" s="2792"/>
      <c r="AF17" s="2793">
        <v>27</v>
      </c>
      <c r="AG17" s="2810">
        <f t="shared" si="7"/>
        <v>0</v>
      </c>
      <c r="AI17" s="2792">
        <v>1</v>
      </c>
      <c r="AJ17" s="2793">
        <v>21</v>
      </c>
      <c r="AK17" s="2810">
        <f t="shared" si="8"/>
        <v>4.7619047619047616E-2</v>
      </c>
      <c r="AL17" s="2549"/>
      <c r="AM17" s="2792">
        <v>0</v>
      </c>
      <c r="AN17" s="2793">
        <v>12</v>
      </c>
      <c r="AO17" s="2810">
        <f t="shared" si="9"/>
        <v>0</v>
      </c>
      <c r="AQ17" s="2792">
        <v>1</v>
      </c>
      <c r="AR17" s="2793">
        <v>17</v>
      </c>
      <c r="AS17" s="2810">
        <f t="shared" si="10"/>
        <v>5.8823529411764705E-2</v>
      </c>
    </row>
    <row r="18" spans="1:45" ht="18">
      <c r="A18" s="2347"/>
      <c r="B18" s="2818" t="s">
        <v>1109</v>
      </c>
      <c r="C18" s="2792">
        <v>2</v>
      </c>
      <c r="D18" s="2793">
        <v>29</v>
      </c>
      <c r="E18" s="2810">
        <f t="shared" si="0"/>
        <v>6.8965517241379309E-2</v>
      </c>
      <c r="G18" s="2792"/>
      <c r="H18" s="2793">
        <v>32</v>
      </c>
      <c r="I18" s="2810">
        <f t="shared" si="1"/>
        <v>0</v>
      </c>
      <c r="K18" s="2792"/>
      <c r="L18" s="2793">
        <v>17</v>
      </c>
      <c r="M18" s="2810">
        <f t="shared" si="2"/>
        <v>0</v>
      </c>
      <c r="O18" s="2792">
        <v>1</v>
      </c>
      <c r="P18" s="2793">
        <v>45</v>
      </c>
      <c r="Q18" s="2810">
        <f t="shared" si="3"/>
        <v>2.2222222222222223E-2</v>
      </c>
      <c r="S18" s="2792">
        <v>1</v>
      </c>
      <c r="T18" s="2793">
        <v>29</v>
      </c>
      <c r="U18" s="2810">
        <f t="shared" si="4"/>
        <v>3.4482758620689655E-2</v>
      </c>
      <c r="W18" s="2792">
        <v>1</v>
      </c>
      <c r="X18" s="2793">
        <v>21</v>
      </c>
      <c r="Y18" s="2810">
        <f t="shared" si="5"/>
        <v>4.7619047619047616E-2</v>
      </c>
      <c r="AA18" s="2792"/>
      <c r="AB18" s="2793">
        <v>41</v>
      </c>
      <c r="AC18" s="2810">
        <f t="shared" si="6"/>
        <v>0</v>
      </c>
      <c r="AE18" s="2792">
        <v>5</v>
      </c>
      <c r="AF18" s="2793">
        <v>54</v>
      </c>
      <c r="AG18" s="2810">
        <f t="shared" si="7"/>
        <v>9.2592592592592587E-2</v>
      </c>
      <c r="AI18" s="2792">
        <v>2</v>
      </c>
      <c r="AJ18" s="2793">
        <v>61</v>
      </c>
      <c r="AK18" s="2810">
        <f t="shared" si="8"/>
        <v>3.2786885245901641E-2</v>
      </c>
      <c r="AL18" s="2549"/>
      <c r="AM18" s="2792">
        <v>28</v>
      </c>
      <c r="AN18" s="2793">
        <v>80</v>
      </c>
      <c r="AO18" s="2810">
        <f t="shared" si="9"/>
        <v>0.35</v>
      </c>
      <c r="AQ18" s="2792">
        <v>23</v>
      </c>
      <c r="AR18" s="2793">
        <v>39</v>
      </c>
      <c r="AS18" s="2810">
        <f t="shared" si="10"/>
        <v>0.58974358974358976</v>
      </c>
    </row>
    <row r="19" spans="1:45" ht="18">
      <c r="A19" s="2347"/>
      <c r="B19" s="2818" t="s">
        <v>1110</v>
      </c>
      <c r="C19" s="2792"/>
      <c r="D19" s="2793">
        <v>50</v>
      </c>
      <c r="E19" s="2810">
        <f t="shared" si="0"/>
        <v>0</v>
      </c>
      <c r="G19" s="2792">
        <v>1</v>
      </c>
      <c r="H19" s="2793">
        <v>58</v>
      </c>
      <c r="I19" s="2810">
        <f t="shared" si="1"/>
        <v>1.7241379310344827E-2</v>
      </c>
      <c r="K19" s="2792"/>
      <c r="L19" s="2793">
        <v>46</v>
      </c>
      <c r="M19" s="2810">
        <f t="shared" si="2"/>
        <v>0</v>
      </c>
      <c r="O19" s="2792"/>
      <c r="P19" s="2793">
        <v>61</v>
      </c>
      <c r="Q19" s="2810">
        <f t="shared" si="3"/>
        <v>0</v>
      </c>
      <c r="S19" s="2792">
        <v>1</v>
      </c>
      <c r="T19" s="2793">
        <v>90</v>
      </c>
      <c r="U19" s="2810">
        <f t="shared" si="4"/>
        <v>1.1111111111111112E-2</v>
      </c>
      <c r="W19" s="2792">
        <v>1</v>
      </c>
      <c r="X19" s="2793">
        <v>91</v>
      </c>
      <c r="Y19" s="2810">
        <f t="shared" si="5"/>
        <v>1.098901098901099E-2</v>
      </c>
      <c r="AA19" s="2792">
        <v>4</v>
      </c>
      <c r="AB19" s="2793">
        <v>85</v>
      </c>
      <c r="AC19" s="2810">
        <f t="shared" si="6"/>
        <v>4.7058823529411764E-2</v>
      </c>
      <c r="AE19" s="2792">
        <v>5</v>
      </c>
      <c r="AF19" s="2793">
        <v>83</v>
      </c>
      <c r="AG19" s="2810">
        <f t="shared" si="7"/>
        <v>6.0240963855421686E-2</v>
      </c>
      <c r="AI19" s="2792">
        <v>2</v>
      </c>
      <c r="AJ19" s="2793">
        <v>88</v>
      </c>
      <c r="AK19" s="2810">
        <f t="shared" si="8"/>
        <v>2.2727272727272728E-2</v>
      </c>
      <c r="AL19" s="2549"/>
      <c r="AM19" s="2792">
        <v>21</v>
      </c>
      <c r="AN19" s="2793">
        <v>85</v>
      </c>
      <c r="AO19" s="2810">
        <f t="shared" si="9"/>
        <v>0.24705882352941178</v>
      </c>
      <c r="AQ19" s="2792">
        <v>16</v>
      </c>
      <c r="AR19" s="2793">
        <v>109</v>
      </c>
      <c r="AS19" s="2810">
        <f t="shared" si="10"/>
        <v>0.14678899082568808</v>
      </c>
    </row>
    <row r="20" spans="1:45" ht="15" customHeight="1">
      <c r="A20" s="2347"/>
      <c r="B20" s="2348" t="s">
        <v>21</v>
      </c>
      <c r="C20" s="2796">
        <f>SUM(C16:C19)</f>
        <v>3</v>
      </c>
      <c r="D20" s="2349">
        <v>145</v>
      </c>
      <c r="E20" s="2812">
        <f t="shared" si="0"/>
        <v>2.0689655172413793E-2</v>
      </c>
      <c r="G20" s="2796">
        <v>5</v>
      </c>
      <c r="H20" s="2349">
        <v>154</v>
      </c>
      <c r="I20" s="2812">
        <f t="shared" si="1"/>
        <v>3.2467532467532464E-2</v>
      </c>
      <c r="K20" s="2796">
        <v>3</v>
      </c>
      <c r="L20" s="2349">
        <f>SUM(L16:L19)</f>
        <v>144</v>
      </c>
      <c r="M20" s="2812">
        <f t="shared" si="2"/>
        <v>2.0833333333333332E-2</v>
      </c>
      <c r="O20" s="2796">
        <v>2</v>
      </c>
      <c r="P20" s="2349">
        <f>SUM(P16:P19)</f>
        <v>208</v>
      </c>
      <c r="Q20" s="2812">
        <f t="shared" si="3"/>
        <v>9.6153846153846159E-3</v>
      </c>
      <c r="S20" s="2796">
        <f>SUM(S16:S19)</f>
        <v>5</v>
      </c>
      <c r="T20" s="2349">
        <f>SUM(T16:T19)</f>
        <v>259</v>
      </c>
      <c r="U20" s="2812">
        <f t="shared" si="4"/>
        <v>1.9305019305019305E-2</v>
      </c>
      <c r="W20" s="2796">
        <v>2</v>
      </c>
      <c r="X20" s="2349">
        <v>196</v>
      </c>
      <c r="Y20" s="2812">
        <f t="shared" si="5"/>
        <v>1.020408163265306E-2</v>
      </c>
      <c r="AA20" s="2796">
        <v>4</v>
      </c>
      <c r="AB20" s="2349">
        <v>239</v>
      </c>
      <c r="AC20" s="2812">
        <f t="shared" si="6"/>
        <v>1.6736401673640166E-2</v>
      </c>
      <c r="AE20" s="2796">
        <v>10</v>
      </c>
      <c r="AF20" s="2349">
        <v>191</v>
      </c>
      <c r="AG20" s="2812">
        <f t="shared" si="7"/>
        <v>5.2356020942408377E-2</v>
      </c>
      <c r="AI20" s="2796">
        <v>5</v>
      </c>
      <c r="AJ20" s="2349">
        <v>225</v>
      </c>
      <c r="AK20" s="2812">
        <f t="shared" si="8"/>
        <v>2.2222222222222223E-2</v>
      </c>
      <c r="AL20" s="2549"/>
      <c r="AM20" s="2796">
        <v>49</v>
      </c>
      <c r="AN20" s="2349">
        <v>206</v>
      </c>
      <c r="AO20" s="2812">
        <f t="shared" si="9"/>
        <v>0.23786407766990292</v>
      </c>
      <c r="AQ20" s="2796">
        <v>42</v>
      </c>
      <c r="AR20" s="2349">
        <v>194</v>
      </c>
      <c r="AS20" s="2812">
        <f t="shared" si="10"/>
        <v>0.21649484536082475</v>
      </c>
    </row>
    <row r="21" spans="1:45" ht="15" customHeight="1">
      <c r="A21" s="2347"/>
      <c r="B21" s="2820" t="s">
        <v>1111</v>
      </c>
      <c r="C21" s="2797">
        <f>SUM(C20,C15,C9)</f>
        <v>132</v>
      </c>
      <c r="D21" s="2798">
        <v>1126</v>
      </c>
      <c r="E21" s="2813">
        <f t="shared" si="0"/>
        <v>0.11722912966252221</v>
      </c>
      <c r="G21" s="2797">
        <v>162</v>
      </c>
      <c r="H21" s="2798">
        <v>1257</v>
      </c>
      <c r="I21" s="2813">
        <f t="shared" si="1"/>
        <v>0.12887828162291171</v>
      </c>
      <c r="K21" s="2797">
        <v>165</v>
      </c>
      <c r="L21" s="2798">
        <f>SUM(L20,L15,L9)</f>
        <v>1081</v>
      </c>
      <c r="M21" s="2813">
        <f t="shared" si="2"/>
        <v>0.15263644773358001</v>
      </c>
      <c r="O21" s="2797">
        <v>183</v>
      </c>
      <c r="P21" s="2798">
        <f>SUM(P20,P15,P9)</f>
        <v>1341</v>
      </c>
      <c r="Q21" s="2813">
        <f t="shared" si="3"/>
        <v>0.13646532438478748</v>
      </c>
      <c r="S21" s="2797">
        <f>SUM(S9,S15,S20)</f>
        <v>188</v>
      </c>
      <c r="T21" s="2798">
        <f>SUM(T20,T15,T9)</f>
        <v>1275</v>
      </c>
      <c r="U21" s="2813">
        <f t="shared" si="4"/>
        <v>0.14745098039215687</v>
      </c>
      <c r="W21" s="2797">
        <v>182</v>
      </c>
      <c r="X21" s="2798">
        <v>1494</v>
      </c>
      <c r="Y21" s="2813">
        <f t="shared" si="5"/>
        <v>0.12182061579651941</v>
      </c>
      <c r="AA21" s="2797">
        <v>169</v>
      </c>
      <c r="AB21" s="2798">
        <v>1430</v>
      </c>
      <c r="AC21" s="2813">
        <f t="shared" si="6"/>
        <v>0.11818181818181818</v>
      </c>
      <c r="AE21" s="2797">
        <v>207</v>
      </c>
      <c r="AF21" s="2798">
        <v>1310</v>
      </c>
      <c r="AG21" s="2813">
        <f t="shared" si="7"/>
        <v>0.15801526717557252</v>
      </c>
      <c r="AI21" s="2797">
        <v>192</v>
      </c>
      <c r="AJ21" s="2798">
        <v>1448</v>
      </c>
      <c r="AK21" s="2813">
        <f t="shared" si="8"/>
        <v>0.13259668508287292</v>
      </c>
      <c r="AL21" s="2549"/>
      <c r="AM21" s="2797">
        <v>245</v>
      </c>
      <c r="AN21" s="2798">
        <v>1268</v>
      </c>
      <c r="AO21" s="2813">
        <f t="shared" si="9"/>
        <v>0.19321766561514195</v>
      </c>
      <c r="AQ21" s="2797">
        <v>216</v>
      </c>
      <c r="AR21" s="2798">
        <v>895</v>
      </c>
      <c r="AS21" s="2813">
        <f t="shared" si="10"/>
        <v>0.24134078212290502</v>
      </c>
    </row>
    <row r="22" spans="1:45" ht="18">
      <c r="A22" s="2347"/>
      <c r="B22" s="2361" t="s">
        <v>1112</v>
      </c>
      <c r="C22" s="2792"/>
      <c r="D22" s="2793">
        <v>41</v>
      </c>
      <c r="E22" s="2810">
        <f t="shared" si="0"/>
        <v>0</v>
      </c>
      <c r="G22" s="2792"/>
      <c r="H22" s="2793">
        <v>37</v>
      </c>
      <c r="I22" s="2810">
        <f t="shared" si="1"/>
        <v>0</v>
      </c>
      <c r="K22" s="2792"/>
      <c r="L22" s="2793">
        <v>16</v>
      </c>
      <c r="M22" s="2810">
        <f t="shared" si="2"/>
        <v>0</v>
      </c>
      <c r="O22" s="2792"/>
      <c r="P22" s="2793">
        <v>62</v>
      </c>
      <c r="Q22" s="2810">
        <f t="shared" si="3"/>
        <v>0</v>
      </c>
      <c r="S22" s="2792">
        <v>1</v>
      </c>
      <c r="T22" s="2793">
        <v>28</v>
      </c>
      <c r="U22" s="2810">
        <f t="shared" si="4"/>
        <v>3.5714285714285712E-2</v>
      </c>
      <c r="W22" s="2792"/>
      <c r="X22" s="2793">
        <v>32</v>
      </c>
      <c r="Y22" s="2810">
        <f t="shared" si="5"/>
        <v>0</v>
      </c>
      <c r="AA22" s="2792"/>
      <c r="AB22" s="2793">
        <v>29</v>
      </c>
      <c r="AC22" s="2810">
        <f t="shared" si="6"/>
        <v>0</v>
      </c>
      <c r="AE22" s="2792"/>
      <c r="AF22" s="2793">
        <v>16</v>
      </c>
      <c r="AG22" s="2810">
        <f t="shared" si="7"/>
        <v>0</v>
      </c>
      <c r="AI22" s="2792">
        <v>1</v>
      </c>
      <c r="AJ22" s="2793">
        <v>28</v>
      </c>
      <c r="AK22" s="2810">
        <f t="shared" si="8"/>
        <v>3.5714285714285712E-2</v>
      </c>
      <c r="AL22" s="2549"/>
      <c r="AM22" s="2792">
        <v>1</v>
      </c>
      <c r="AN22" s="2793">
        <v>11</v>
      </c>
      <c r="AO22" s="2810">
        <f t="shared" si="9"/>
        <v>9.0909090909090912E-2</v>
      </c>
      <c r="AQ22" s="2792">
        <v>2</v>
      </c>
      <c r="AR22" s="2793">
        <v>33</v>
      </c>
      <c r="AS22" s="2810">
        <f t="shared" si="10"/>
        <v>6.0606060606060608E-2</v>
      </c>
    </row>
    <row r="23" spans="1:45" ht="18">
      <c r="A23" s="2347"/>
      <c r="B23" s="2818" t="s">
        <v>1113</v>
      </c>
      <c r="C23" s="2792"/>
      <c r="D23" s="2793">
        <v>7</v>
      </c>
      <c r="E23" s="2810">
        <f t="shared" si="0"/>
        <v>0</v>
      </c>
      <c r="G23" s="2792">
        <v>2</v>
      </c>
      <c r="H23" s="2793">
        <v>14</v>
      </c>
      <c r="I23" s="2810">
        <f t="shared" si="1"/>
        <v>0.14285714285714285</v>
      </c>
      <c r="K23" s="2792">
        <v>3</v>
      </c>
      <c r="L23" s="2793">
        <v>17</v>
      </c>
      <c r="M23" s="2810">
        <f t="shared" si="2"/>
        <v>0.17647058823529413</v>
      </c>
      <c r="O23" s="2792">
        <v>3</v>
      </c>
      <c r="P23" s="2793">
        <v>34</v>
      </c>
      <c r="Q23" s="2810">
        <f t="shared" si="3"/>
        <v>8.8235294117647065E-2</v>
      </c>
      <c r="S23" s="2792">
        <v>5</v>
      </c>
      <c r="T23" s="2793">
        <v>34</v>
      </c>
      <c r="U23" s="2810">
        <f t="shared" si="4"/>
        <v>0.14705882352941177</v>
      </c>
      <c r="W23" s="2792">
        <v>1</v>
      </c>
      <c r="X23" s="2793">
        <v>39</v>
      </c>
      <c r="Y23" s="2810">
        <f t="shared" si="5"/>
        <v>2.564102564102564E-2</v>
      </c>
      <c r="AA23" s="2792">
        <v>1</v>
      </c>
      <c r="AB23" s="2793">
        <v>36</v>
      </c>
      <c r="AC23" s="2810">
        <f t="shared" si="6"/>
        <v>2.7777777777777776E-2</v>
      </c>
      <c r="AE23" s="2792"/>
      <c r="AF23" s="2793">
        <v>30</v>
      </c>
      <c r="AG23" s="2810">
        <f t="shared" si="7"/>
        <v>0</v>
      </c>
      <c r="AI23" s="2792">
        <v>4</v>
      </c>
      <c r="AJ23" s="2793">
        <v>48</v>
      </c>
      <c r="AK23" s="2810">
        <f t="shared" si="8"/>
        <v>8.3333333333333329E-2</v>
      </c>
      <c r="AL23" s="2549"/>
      <c r="AM23" s="2792">
        <v>13</v>
      </c>
      <c r="AN23" s="2793">
        <v>100</v>
      </c>
      <c r="AO23" s="2810">
        <f t="shared" si="9"/>
        <v>0.13</v>
      </c>
      <c r="AQ23" s="2792">
        <v>8</v>
      </c>
      <c r="AR23" s="2793">
        <v>36</v>
      </c>
      <c r="AS23" s="2810">
        <f t="shared" si="10"/>
        <v>0.22222222222222221</v>
      </c>
    </row>
    <row r="24" spans="1:45" ht="18">
      <c r="A24" s="2347"/>
      <c r="B24" s="2818" t="s">
        <v>1114</v>
      </c>
      <c r="C24" s="2792">
        <v>7</v>
      </c>
      <c r="D24" s="2793">
        <v>19</v>
      </c>
      <c r="E24" s="2810">
        <f t="shared" si="0"/>
        <v>0.36842105263157893</v>
      </c>
      <c r="G24" s="2792">
        <v>1</v>
      </c>
      <c r="H24" s="2793">
        <v>23</v>
      </c>
      <c r="I24" s="2810">
        <f t="shared" si="1"/>
        <v>4.3478260869565216E-2</v>
      </c>
      <c r="K24" s="2792">
        <v>3</v>
      </c>
      <c r="L24" s="2793">
        <v>70</v>
      </c>
      <c r="M24" s="2810">
        <f t="shared" si="2"/>
        <v>4.2857142857142858E-2</v>
      </c>
      <c r="O24" s="2792">
        <v>9</v>
      </c>
      <c r="P24" s="2793">
        <v>38</v>
      </c>
      <c r="Q24" s="2810">
        <f t="shared" si="3"/>
        <v>0.23684210526315788</v>
      </c>
      <c r="S24" s="2792">
        <v>13</v>
      </c>
      <c r="T24" s="2793">
        <v>36</v>
      </c>
      <c r="U24" s="2810">
        <f t="shared" si="4"/>
        <v>0.3611111111111111</v>
      </c>
      <c r="W24" s="2792">
        <v>5</v>
      </c>
      <c r="X24" s="2793">
        <v>55</v>
      </c>
      <c r="Y24" s="2810">
        <f t="shared" si="5"/>
        <v>9.0909090909090912E-2</v>
      </c>
      <c r="AA24" s="2792">
        <v>18</v>
      </c>
      <c r="AB24" s="2793">
        <v>53</v>
      </c>
      <c r="AC24" s="2810">
        <f t="shared" si="6"/>
        <v>0.33962264150943394</v>
      </c>
      <c r="AE24" s="2792">
        <v>7</v>
      </c>
      <c r="AF24" s="2793">
        <v>61</v>
      </c>
      <c r="AG24" s="2810">
        <f t="shared" si="7"/>
        <v>0.11475409836065574</v>
      </c>
      <c r="AI24" s="2792">
        <v>11</v>
      </c>
      <c r="AJ24" s="2793">
        <v>41</v>
      </c>
      <c r="AK24" s="2810">
        <f t="shared" si="8"/>
        <v>0.26829268292682928</v>
      </c>
      <c r="AL24" s="2549"/>
      <c r="AM24" s="2792">
        <v>16</v>
      </c>
      <c r="AN24" s="2793">
        <v>47</v>
      </c>
      <c r="AO24" s="2810">
        <f t="shared" si="9"/>
        <v>0.34042553191489361</v>
      </c>
      <c r="AQ24" s="2792">
        <v>26</v>
      </c>
      <c r="AR24" s="2793">
        <v>36</v>
      </c>
      <c r="AS24" s="2810">
        <f t="shared" si="10"/>
        <v>0.72222222222222221</v>
      </c>
    </row>
    <row r="25" spans="1:45" ht="15" customHeight="1">
      <c r="A25" s="2347"/>
      <c r="B25" s="2316" t="s">
        <v>61</v>
      </c>
      <c r="C25" s="2791">
        <f>SUM(C22:C24)</f>
        <v>7</v>
      </c>
      <c r="D25" s="1135">
        <v>67</v>
      </c>
      <c r="E25" s="2809">
        <f t="shared" si="0"/>
        <v>0.1044776119402985</v>
      </c>
      <c r="G25" s="2791">
        <v>3</v>
      </c>
      <c r="H25" s="1135">
        <v>74</v>
      </c>
      <c r="I25" s="2809">
        <f t="shared" si="1"/>
        <v>4.0540540540540543E-2</v>
      </c>
      <c r="K25" s="2791">
        <v>6</v>
      </c>
      <c r="L25" s="1135">
        <f>SUM(L22:L24)</f>
        <v>103</v>
      </c>
      <c r="M25" s="2809">
        <f t="shared" si="2"/>
        <v>5.8252427184466021E-2</v>
      </c>
      <c r="O25" s="2791">
        <v>12</v>
      </c>
      <c r="P25" s="1135">
        <f>SUM(P22:P24)</f>
        <v>134</v>
      </c>
      <c r="Q25" s="2809">
        <f t="shared" si="3"/>
        <v>8.9552238805970144E-2</v>
      </c>
      <c r="S25" s="2791">
        <f>SUM(S22:S24)</f>
        <v>19</v>
      </c>
      <c r="T25" s="1135">
        <f>SUM(T22:T24)</f>
        <v>98</v>
      </c>
      <c r="U25" s="2809">
        <f t="shared" si="4"/>
        <v>0.19387755102040816</v>
      </c>
      <c r="W25" s="2791">
        <v>6</v>
      </c>
      <c r="X25" s="1135">
        <v>126</v>
      </c>
      <c r="Y25" s="2809">
        <f t="shared" si="5"/>
        <v>4.7619047619047616E-2</v>
      </c>
      <c r="AA25" s="2791">
        <v>19</v>
      </c>
      <c r="AB25" s="1135">
        <v>118</v>
      </c>
      <c r="AC25" s="2809">
        <f t="shared" si="6"/>
        <v>0.16101694915254236</v>
      </c>
      <c r="AE25" s="2791">
        <v>7</v>
      </c>
      <c r="AF25" s="1135">
        <v>107</v>
      </c>
      <c r="AG25" s="2809">
        <f t="shared" si="7"/>
        <v>6.5420560747663545E-2</v>
      </c>
      <c r="AI25" s="2791">
        <v>16</v>
      </c>
      <c r="AJ25" s="1135">
        <v>117</v>
      </c>
      <c r="AK25" s="2809">
        <f t="shared" si="8"/>
        <v>0.13675213675213677</v>
      </c>
      <c r="AL25" s="2549"/>
      <c r="AM25" s="2791">
        <v>30</v>
      </c>
      <c r="AN25" s="1135">
        <v>158</v>
      </c>
      <c r="AO25" s="2809">
        <f t="shared" si="9"/>
        <v>0.189873417721519</v>
      </c>
      <c r="AQ25" s="2791">
        <v>36</v>
      </c>
      <c r="AR25" s="1135">
        <v>105</v>
      </c>
      <c r="AS25" s="2809">
        <f t="shared" si="10"/>
        <v>0.34285714285714286</v>
      </c>
    </row>
    <row r="26" spans="1:45" ht="18">
      <c r="A26" s="2347"/>
      <c r="B26" s="2818" t="s">
        <v>1115</v>
      </c>
      <c r="C26" s="2792">
        <v>7</v>
      </c>
      <c r="D26" s="2793">
        <v>14</v>
      </c>
      <c r="E26" s="2810">
        <f t="shared" si="0"/>
        <v>0.5</v>
      </c>
      <c r="G26" s="2792">
        <v>13</v>
      </c>
      <c r="H26" s="2793">
        <v>21</v>
      </c>
      <c r="I26" s="2810">
        <f t="shared" si="1"/>
        <v>0.61904761904761907</v>
      </c>
      <c r="K26" s="2792">
        <v>6</v>
      </c>
      <c r="L26" s="2793">
        <v>12</v>
      </c>
      <c r="M26" s="2810">
        <f t="shared" si="2"/>
        <v>0.5</v>
      </c>
      <c r="O26" s="2792">
        <v>19</v>
      </c>
      <c r="P26" s="2793">
        <v>22</v>
      </c>
      <c r="Q26" s="2810">
        <f t="shared" si="3"/>
        <v>0.86363636363636365</v>
      </c>
      <c r="S26" s="2792">
        <v>10</v>
      </c>
      <c r="T26" s="2793">
        <v>15</v>
      </c>
      <c r="U26" s="2810">
        <f t="shared" si="4"/>
        <v>0.66666666666666663</v>
      </c>
      <c r="W26" s="2792">
        <v>21</v>
      </c>
      <c r="X26" s="2793">
        <v>28</v>
      </c>
      <c r="Y26" s="2810">
        <f t="shared" si="5"/>
        <v>0.75</v>
      </c>
      <c r="AA26" s="2792">
        <v>4</v>
      </c>
      <c r="AB26" s="2793">
        <v>8</v>
      </c>
      <c r="AC26" s="2810">
        <f t="shared" si="6"/>
        <v>0.5</v>
      </c>
      <c r="AE26" s="2792">
        <v>16</v>
      </c>
      <c r="AF26" s="2793">
        <v>23</v>
      </c>
      <c r="AG26" s="2810">
        <f t="shared" si="7"/>
        <v>0.69565217391304346</v>
      </c>
      <c r="AI26" s="2792">
        <v>12</v>
      </c>
      <c r="AJ26" s="2793">
        <v>17</v>
      </c>
      <c r="AK26" s="2810">
        <f t="shared" si="8"/>
        <v>0.70588235294117652</v>
      </c>
      <c r="AL26" s="2549"/>
      <c r="AM26" s="2792">
        <v>22</v>
      </c>
      <c r="AN26" s="2793">
        <v>26</v>
      </c>
      <c r="AO26" s="2810">
        <f t="shared" si="9"/>
        <v>0.84615384615384615</v>
      </c>
      <c r="AQ26" s="2792">
        <v>25</v>
      </c>
      <c r="AR26" s="2793">
        <v>27</v>
      </c>
      <c r="AS26" s="2810">
        <f t="shared" si="10"/>
        <v>0.92592592592592593</v>
      </c>
    </row>
    <row r="27" spans="1:45" ht="18">
      <c r="A27" s="2347"/>
      <c r="B27" s="2818" t="s">
        <v>1116</v>
      </c>
      <c r="C27" s="2792">
        <v>7</v>
      </c>
      <c r="D27" s="2793">
        <v>13</v>
      </c>
      <c r="E27" s="2810">
        <f t="shared" si="0"/>
        <v>0.53846153846153844</v>
      </c>
      <c r="G27" s="2792">
        <v>9</v>
      </c>
      <c r="H27" s="2793">
        <v>15</v>
      </c>
      <c r="I27" s="2810">
        <f t="shared" si="1"/>
        <v>0.6</v>
      </c>
      <c r="K27" s="2792">
        <v>18</v>
      </c>
      <c r="L27" s="2793">
        <v>30</v>
      </c>
      <c r="M27" s="2810">
        <f t="shared" si="2"/>
        <v>0.6</v>
      </c>
      <c r="O27" s="2792">
        <v>20</v>
      </c>
      <c r="P27" s="2793">
        <v>25</v>
      </c>
      <c r="Q27" s="2810">
        <f t="shared" si="3"/>
        <v>0.8</v>
      </c>
      <c r="S27" s="2792">
        <v>21</v>
      </c>
      <c r="T27" s="2793">
        <v>33</v>
      </c>
      <c r="U27" s="2810">
        <f t="shared" si="4"/>
        <v>0.63636363636363635</v>
      </c>
      <c r="W27" s="2792">
        <v>21</v>
      </c>
      <c r="X27" s="2793">
        <v>57</v>
      </c>
      <c r="Y27" s="2810">
        <f t="shared" si="5"/>
        <v>0.36842105263157893</v>
      </c>
      <c r="AA27" s="2792">
        <v>18</v>
      </c>
      <c r="AB27" s="2793">
        <v>31</v>
      </c>
      <c r="AC27" s="2810">
        <f t="shared" si="6"/>
        <v>0.58064516129032262</v>
      </c>
      <c r="AE27" s="2792">
        <v>20</v>
      </c>
      <c r="AF27" s="2793">
        <v>39</v>
      </c>
      <c r="AG27" s="2810">
        <f t="shared" si="7"/>
        <v>0.51282051282051277</v>
      </c>
      <c r="AI27" s="2792">
        <v>32</v>
      </c>
      <c r="AJ27" s="2793">
        <v>41</v>
      </c>
      <c r="AK27" s="2810">
        <f t="shared" si="8"/>
        <v>0.78048780487804881</v>
      </c>
      <c r="AL27" s="2549"/>
      <c r="AM27" s="2792">
        <v>29</v>
      </c>
      <c r="AN27" s="2793">
        <v>51</v>
      </c>
      <c r="AO27" s="2810">
        <f t="shared" si="9"/>
        <v>0.56862745098039214</v>
      </c>
      <c r="AQ27" s="2792">
        <v>17</v>
      </c>
      <c r="AR27" s="2793">
        <v>36</v>
      </c>
      <c r="AS27" s="2810">
        <f t="shared" si="10"/>
        <v>0.47222222222222221</v>
      </c>
    </row>
    <row r="28" spans="1:45" ht="18">
      <c r="A28" s="2347"/>
      <c r="B28" s="2818" t="s">
        <v>1117</v>
      </c>
      <c r="C28" s="2792">
        <v>14</v>
      </c>
      <c r="D28" s="2793">
        <v>19</v>
      </c>
      <c r="E28" s="2810">
        <f t="shared" si="0"/>
        <v>0.73684210526315785</v>
      </c>
      <c r="G28" s="2792">
        <v>13</v>
      </c>
      <c r="H28" s="2793">
        <v>30</v>
      </c>
      <c r="I28" s="2810">
        <f t="shared" si="1"/>
        <v>0.43333333333333335</v>
      </c>
      <c r="K28" s="2792">
        <v>4</v>
      </c>
      <c r="L28" s="2793">
        <v>4</v>
      </c>
      <c r="M28" s="2810">
        <f t="shared" si="2"/>
        <v>1</v>
      </c>
      <c r="O28" s="2792">
        <v>27</v>
      </c>
      <c r="P28" s="2793">
        <v>31</v>
      </c>
      <c r="Q28" s="2810">
        <f t="shared" si="3"/>
        <v>0.87096774193548387</v>
      </c>
      <c r="S28" s="2792">
        <v>14</v>
      </c>
      <c r="T28" s="2793">
        <v>18</v>
      </c>
      <c r="U28" s="2810">
        <f t="shared" si="4"/>
        <v>0.77777777777777779</v>
      </c>
      <c r="W28" s="2792">
        <v>42</v>
      </c>
      <c r="X28" s="2793">
        <v>49</v>
      </c>
      <c r="Y28" s="2810">
        <f t="shared" si="5"/>
        <v>0.8571428571428571</v>
      </c>
      <c r="AA28" s="2792">
        <v>23</v>
      </c>
      <c r="AB28" s="2793">
        <v>33</v>
      </c>
      <c r="AC28" s="2810">
        <f t="shared" si="6"/>
        <v>0.69696969696969702</v>
      </c>
      <c r="AE28" s="2792">
        <v>20</v>
      </c>
      <c r="AF28" s="2793">
        <v>36</v>
      </c>
      <c r="AG28" s="2810">
        <f t="shared" si="7"/>
        <v>0.55555555555555558</v>
      </c>
      <c r="AI28" s="2792">
        <v>31</v>
      </c>
      <c r="AJ28" s="2793">
        <v>40</v>
      </c>
      <c r="AK28" s="2810">
        <f t="shared" si="8"/>
        <v>0.77500000000000002</v>
      </c>
      <c r="AL28" s="2549"/>
      <c r="AM28" s="2792">
        <v>18</v>
      </c>
      <c r="AN28" s="2793">
        <v>27</v>
      </c>
      <c r="AO28" s="2810">
        <f t="shared" si="9"/>
        <v>0.66666666666666663</v>
      </c>
      <c r="AQ28" s="2792">
        <v>27</v>
      </c>
      <c r="AR28" s="2793">
        <v>28</v>
      </c>
      <c r="AS28" s="2810">
        <f t="shared" si="10"/>
        <v>0.9642857142857143</v>
      </c>
    </row>
    <row r="29" spans="1:45" ht="15" customHeight="1">
      <c r="A29" s="2347"/>
      <c r="B29" s="2316" t="s">
        <v>64</v>
      </c>
      <c r="C29" s="2791">
        <f>SUM(C26:C28)</f>
        <v>28</v>
      </c>
      <c r="D29" s="1135">
        <v>46</v>
      </c>
      <c r="E29" s="2809">
        <f t="shared" si="0"/>
        <v>0.60869565217391308</v>
      </c>
      <c r="G29" s="2791">
        <v>35</v>
      </c>
      <c r="H29" s="1135">
        <v>66</v>
      </c>
      <c r="I29" s="2809">
        <f t="shared" si="1"/>
        <v>0.53030303030303028</v>
      </c>
      <c r="K29" s="2791">
        <v>28</v>
      </c>
      <c r="L29" s="1135">
        <f>SUM(L26:L28)</f>
        <v>46</v>
      </c>
      <c r="M29" s="2809">
        <f t="shared" si="2"/>
        <v>0.60869565217391308</v>
      </c>
      <c r="O29" s="2791">
        <v>66</v>
      </c>
      <c r="P29" s="1135">
        <f>SUM(P26:P28)</f>
        <v>78</v>
      </c>
      <c r="Q29" s="2809">
        <f t="shared" si="3"/>
        <v>0.84615384615384615</v>
      </c>
      <c r="S29" s="2791">
        <f>SUM(S26:S28)</f>
        <v>45</v>
      </c>
      <c r="T29" s="1135">
        <f>SUM(T26:T28)</f>
        <v>66</v>
      </c>
      <c r="U29" s="2809">
        <f t="shared" si="4"/>
        <v>0.68181818181818177</v>
      </c>
      <c r="W29" s="2791">
        <v>84</v>
      </c>
      <c r="X29" s="1135">
        <v>134</v>
      </c>
      <c r="Y29" s="2809">
        <f t="shared" si="5"/>
        <v>0.62686567164179108</v>
      </c>
      <c r="AA29" s="2791">
        <v>45</v>
      </c>
      <c r="AB29" s="1135">
        <v>72</v>
      </c>
      <c r="AC29" s="2809">
        <f t="shared" si="6"/>
        <v>0.625</v>
      </c>
      <c r="AE29" s="2791">
        <v>56</v>
      </c>
      <c r="AF29" s="1135">
        <v>98</v>
      </c>
      <c r="AG29" s="2809">
        <f t="shared" si="7"/>
        <v>0.5714285714285714</v>
      </c>
      <c r="AI29" s="2791">
        <v>75</v>
      </c>
      <c r="AJ29" s="1135">
        <v>98</v>
      </c>
      <c r="AK29" s="2809">
        <f t="shared" si="8"/>
        <v>0.76530612244897955</v>
      </c>
      <c r="AL29" s="2549"/>
      <c r="AM29" s="2791">
        <v>69</v>
      </c>
      <c r="AN29" s="1135">
        <v>104</v>
      </c>
      <c r="AO29" s="2809">
        <f t="shared" si="9"/>
        <v>0.66346153846153844</v>
      </c>
      <c r="AQ29" s="2791">
        <v>69</v>
      </c>
      <c r="AR29" s="1135">
        <v>91</v>
      </c>
      <c r="AS29" s="2809">
        <f t="shared" si="10"/>
        <v>0.75824175824175821</v>
      </c>
    </row>
    <row r="30" spans="1:45" ht="18">
      <c r="A30" s="2347"/>
      <c r="B30" s="2818" t="s">
        <v>1118</v>
      </c>
      <c r="C30" s="2792">
        <v>1</v>
      </c>
      <c r="D30" s="2793">
        <v>29</v>
      </c>
      <c r="E30" s="2810">
        <f t="shared" si="0"/>
        <v>3.4482758620689655E-2</v>
      </c>
      <c r="G30" s="2792"/>
      <c r="H30" s="2793">
        <v>29</v>
      </c>
      <c r="I30" s="2810">
        <f t="shared" si="1"/>
        <v>0</v>
      </c>
      <c r="K30" s="2792"/>
      <c r="L30" s="2793">
        <v>20</v>
      </c>
      <c r="M30" s="2810">
        <f t="shared" si="2"/>
        <v>0</v>
      </c>
      <c r="O30" s="2792">
        <v>3</v>
      </c>
      <c r="P30" s="2793">
        <v>26</v>
      </c>
      <c r="Q30" s="2810">
        <f t="shared" si="3"/>
        <v>0.11538461538461539</v>
      </c>
      <c r="S30" s="2792">
        <v>1</v>
      </c>
      <c r="T30" s="2793">
        <v>22</v>
      </c>
      <c r="U30" s="2810">
        <f t="shared" si="4"/>
        <v>4.5454545454545456E-2</v>
      </c>
      <c r="W30" s="2792"/>
      <c r="X30" s="2793">
        <v>25</v>
      </c>
      <c r="Y30" s="2810">
        <f t="shared" si="5"/>
        <v>0</v>
      </c>
      <c r="AA30" s="2792"/>
      <c r="AB30" s="2793">
        <v>22</v>
      </c>
      <c r="AC30" s="2810">
        <f t="shared" si="6"/>
        <v>0</v>
      </c>
      <c r="AE30" s="2792"/>
      <c r="AF30" s="2793">
        <v>43</v>
      </c>
      <c r="AG30" s="2810">
        <f t="shared" si="7"/>
        <v>0</v>
      </c>
      <c r="AI30" s="2792">
        <v>1</v>
      </c>
      <c r="AJ30" s="2793">
        <v>49</v>
      </c>
      <c r="AK30" s="2810">
        <f t="shared" si="8"/>
        <v>2.0408163265306121E-2</v>
      </c>
      <c r="AL30" s="2549"/>
      <c r="AM30" s="2792">
        <v>0</v>
      </c>
      <c r="AN30" s="2793">
        <v>40</v>
      </c>
      <c r="AO30" s="2810">
        <f t="shared" si="9"/>
        <v>0</v>
      </c>
      <c r="AQ30" s="2792">
        <v>0</v>
      </c>
      <c r="AR30" s="2793">
        <v>25</v>
      </c>
      <c r="AS30" s="2810">
        <f t="shared" si="10"/>
        <v>0</v>
      </c>
    </row>
    <row r="31" spans="1:45" ht="18">
      <c r="A31" s="2347"/>
      <c r="B31" s="2818" t="s">
        <v>1119</v>
      </c>
      <c r="C31" s="2792"/>
      <c r="D31" s="2793">
        <v>25</v>
      </c>
      <c r="E31" s="2810">
        <f t="shared" si="0"/>
        <v>0</v>
      </c>
      <c r="G31" s="2792">
        <v>1</v>
      </c>
      <c r="H31" s="2793">
        <v>31</v>
      </c>
      <c r="I31" s="2810">
        <f t="shared" si="1"/>
        <v>3.2258064516129031E-2</v>
      </c>
      <c r="K31" s="2792">
        <v>14</v>
      </c>
      <c r="L31" s="2793">
        <v>29</v>
      </c>
      <c r="M31" s="2810">
        <f t="shared" si="2"/>
        <v>0.48275862068965519</v>
      </c>
      <c r="O31" s="2792">
        <v>6</v>
      </c>
      <c r="P31" s="2793">
        <v>34</v>
      </c>
      <c r="Q31" s="2810">
        <f t="shared" si="3"/>
        <v>0.17647058823529413</v>
      </c>
      <c r="S31" s="2792">
        <v>1</v>
      </c>
      <c r="T31" s="2793">
        <v>28</v>
      </c>
      <c r="U31" s="2810">
        <f t="shared" si="4"/>
        <v>3.5714285714285712E-2</v>
      </c>
      <c r="W31" s="2792"/>
      <c r="X31" s="2793">
        <v>36</v>
      </c>
      <c r="Y31" s="2810">
        <f t="shared" si="5"/>
        <v>0</v>
      </c>
      <c r="AA31" s="2792"/>
      <c r="AB31" s="2793">
        <v>28</v>
      </c>
      <c r="AC31" s="2810">
        <f t="shared" si="6"/>
        <v>0</v>
      </c>
      <c r="AE31" s="2792"/>
      <c r="AF31" s="2793">
        <v>40</v>
      </c>
      <c r="AG31" s="2810">
        <f t="shared" si="7"/>
        <v>0</v>
      </c>
      <c r="AI31" s="2792">
        <v>1</v>
      </c>
      <c r="AJ31" s="2793">
        <v>70</v>
      </c>
      <c r="AK31" s="2810">
        <f t="shared" si="8"/>
        <v>1.4285714285714285E-2</v>
      </c>
      <c r="AL31" s="2549"/>
      <c r="AM31" s="2792">
        <v>0</v>
      </c>
      <c r="AN31" s="2793">
        <v>42</v>
      </c>
      <c r="AO31" s="2810">
        <f t="shared" si="9"/>
        <v>0</v>
      </c>
      <c r="AQ31" s="2792">
        <v>0</v>
      </c>
      <c r="AR31" s="2793">
        <v>23</v>
      </c>
      <c r="AS31" s="2810">
        <f t="shared" si="10"/>
        <v>0</v>
      </c>
    </row>
    <row r="32" spans="1:45" ht="18">
      <c r="A32" s="2347"/>
      <c r="B32" s="2818" t="s">
        <v>813</v>
      </c>
      <c r="C32" s="2792"/>
      <c r="D32" s="2793">
        <v>41</v>
      </c>
      <c r="E32" s="2810">
        <f t="shared" si="0"/>
        <v>0</v>
      </c>
      <c r="G32" s="2792"/>
      <c r="H32" s="2793">
        <v>54</v>
      </c>
      <c r="I32" s="2810">
        <f t="shared" si="1"/>
        <v>0</v>
      </c>
      <c r="K32" s="2792"/>
      <c r="L32" s="2793">
        <v>7</v>
      </c>
      <c r="M32" s="2810">
        <f t="shared" si="2"/>
        <v>0</v>
      </c>
      <c r="O32" s="2792"/>
      <c r="P32" s="2793">
        <v>37</v>
      </c>
      <c r="Q32" s="2810">
        <f t="shared" si="3"/>
        <v>0</v>
      </c>
      <c r="S32" s="2792">
        <v>0</v>
      </c>
      <c r="T32" s="2793">
        <v>23</v>
      </c>
      <c r="U32" s="2810">
        <f t="shared" si="4"/>
        <v>0</v>
      </c>
      <c r="W32" s="2792"/>
      <c r="X32" s="2793">
        <v>45</v>
      </c>
      <c r="Y32" s="2810">
        <f t="shared" si="5"/>
        <v>0</v>
      </c>
      <c r="AA32" s="2792">
        <v>2</v>
      </c>
      <c r="AB32" s="2793">
        <v>39</v>
      </c>
      <c r="AC32" s="2810">
        <f t="shared" si="6"/>
        <v>5.128205128205128E-2</v>
      </c>
      <c r="AE32" s="2792">
        <v>3</v>
      </c>
      <c r="AF32" s="2793">
        <v>45</v>
      </c>
      <c r="AG32" s="2810">
        <f t="shared" si="7"/>
        <v>6.6666666666666666E-2</v>
      </c>
      <c r="AI32" s="2792">
        <v>6</v>
      </c>
      <c r="AJ32" s="2793">
        <v>36</v>
      </c>
      <c r="AK32" s="2810">
        <f t="shared" si="8"/>
        <v>0.16666666666666666</v>
      </c>
      <c r="AL32" s="2549"/>
      <c r="AM32" s="2792">
        <v>2</v>
      </c>
      <c r="AN32" s="2793">
        <v>46</v>
      </c>
      <c r="AO32" s="2810">
        <f t="shared" si="9"/>
        <v>4.3478260869565216E-2</v>
      </c>
      <c r="AQ32" s="2792">
        <v>2</v>
      </c>
      <c r="AR32" s="2793">
        <v>21</v>
      </c>
      <c r="AS32" s="2810">
        <f t="shared" si="10"/>
        <v>9.5238095238095233E-2</v>
      </c>
    </row>
    <row r="33" spans="1:45" ht="15" customHeight="1">
      <c r="A33" s="2347"/>
      <c r="B33" s="2348" t="s">
        <v>16</v>
      </c>
      <c r="C33" s="2796">
        <f>SUM(C30:C32)</f>
        <v>1</v>
      </c>
      <c r="D33" s="2349">
        <v>95</v>
      </c>
      <c r="E33" s="2812">
        <f t="shared" si="0"/>
        <v>1.0526315789473684E-2</v>
      </c>
      <c r="G33" s="2796">
        <v>1</v>
      </c>
      <c r="H33" s="2349">
        <v>114</v>
      </c>
      <c r="I33" s="2812">
        <f t="shared" si="1"/>
        <v>8.771929824561403E-3</v>
      </c>
      <c r="K33" s="2796">
        <v>14</v>
      </c>
      <c r="L33" s="2349">
        <f>SUM(L30:L32)</f>
        <v>56</v>
      </c>
      <c r="M33" s="2812">
        <f t="shared" si="2"/>
        <v>0.25</v>
      </c>
      <c r="O33" s="2796">
        <v>9</v>
      </c>
      <c r="P33" s="2349">
        <f>SUM(P30:P32)</f>
        <v>97</v>
      </c>
      <c r="Q33" s="2812">
        <f t="shared" si="3"/>
        <v>9.2783505154639179E-2</v>
      </c>
      <c r="S33" s="2796">
        <f>SUM(S30:S32)</f>
        <v>2</v>
      </c>
      <c r="T33" s="2349">
        <f>SUM(T30:T32)</f>
        <v>73</v>
      </c>
      <c r="U33" s="2812">
        <f t="shared" si="4"/>
        <v>2.7397260273972601E-2</v>
      </c>
      <c r="W33" s="2796">
        <v>0</v>
      </c>
      <c r="X33" s="2349">
        <v>106</v>
      </c>
      <c r="Y33" s="2812">
        <f t="shared" si="5"/>
        <v>0</v>
      </c>
      <c r="AA33" s="2796">
        <v>2</v>
      </c>
      <c r="AB33" s="2349">
        <v>89</v>
      </c>
      <c r="AC33" s="2812">
        <f t="shared" si="6"/>
        <v>2.247191011235955E-2</v>
      </c>
      <c r="AE33" s="2796">
        <v>3</v>
      </c>
      <c r="AF33" s="2349">
        <v>128</v>
      </c>
      <c r="AG33" s="2812">
        <f t="shared" si="7"/>
        <v>2.34375E-2</v>
      </c>
      <c r="AI33" s="2796">
        <v>8</v>
      </c>
      <c r="AJ33" s="2349">
        <v>155</v>
      </c>
      <c r="AK33" s="2812">
        <f t="shared" si="8"/>
        <v>5.1612903225806452E-2</v>
      </c>
      <c r="AL33" s="2549"/>
      <c r="AM33" s="2796">
        <v>2</v>
      </c>
      <c r="AN33" s="2349">
        <v>128</v>
      </c>
      <c r="AO33" s="2812">
        <f t="shared" si="9"/>
        <v>1.5625E-2</v>
      </c>
      <c r="AQ33" s="2796">
        <v>2</v>
      </c>
      <c r="AR33" s="2349">
        <v>69</v>
      </c>
      <c r="AS33" s="2812">
        <f t="shared" si="10"/>
        <v>2.8985507246376812E-2</v>
      </c>
    </row>
    <row r="34" spans="1:45" ht="15" customHeight="1">
      <c r="A34" s="2347"/>
      <c r="B34" s="2821" t="s">
        <v>360</v>
      </c>
      <c r="C34" s="2799">
        <f>SUM(C25,C29,C33)</f>
        <v>36</v>
      </c>
      <c r="D34" s="2800">
        <v>208</v>
      </c>
      <c r="E34" s="2814">
        <f t="shared" si="0"/>
        <v>0.17307692307692307</v>
      </c>
      <c r="G34" s="2799">
        <v>39</v>
      </c>
      <c r="H34" s="2800">
        <v>254</v>
      </c>
      <c r="I34" s="2814">
        <f t="shared" si="1"/>
        <v>0.15354330708661418</v>
      </c>
      <c r="K34" s="2799">
        <v>48</v>
      </c>
      <c r="L34" s="2800">
        <f>SUM(L33,L29,L25)</f>
        <v>205</v>
      </c>
      <c r="M34" s="2814">
        <f t="shared" si="2"/>
        <v>0.23414634146341465</v>
      </c>
      <c r="O34" s="2799">
        <v>87</v>
      </c>
      <c r="P34" s="2800">
        <f>SUM(P33,P29,P25)</f>
        <v>309</v>
      </c>
      <c r="Q34" s="2814">
        <f t="shared" si="3"/>
        <v>0.28155339805825241</v>
      </c>
      <c r="S34" s="2799">
        <f>SUM(S25,S29,S33)</f>
        <v>66</v>
      </c>
      <c r="T34" s="2800">
        <f>SUM(T33,T29,T25)</f>
        <v>237</v>
      </c>
      <c r="U34" s="2814">
        <f t="shared" si="4"/>
        <v>0.27848101265822783</v>
      </c>
      <c r="W34" s="2799">
        <v>90</v>
      </c>
      <c r="X34" s="2800">
        <v>366</v>
      </c>
      <c r="Y34" s="2814">
        <f t="shared" si="5"/>
        <v>0.24590163934426229</v>
      </c>
      <c r="AA34" s="2799">
        <v>66</v>
      </c>
      <c r="AB34" s="2800">
        <v>279</v>
      </c>
      <c r="AC34" s="2814">
        <f t="shared" si="6"/>
        <v>0.23655913978494625</v>
      </c>
      <c r="AE34" s="2799">
        <v>66</v>
      </c>
      <c r="AF34" s="2800">
        <v>333</v>
      </c>
      <c r="AG34" s="2814">
        <f t="shared" si="7"/>
        <v>0.1981981981981982</v>
      </c>
      <c r="AI34" s="2799">
        <v>99</v>
      </c>
      <c r="AJ34" s="2800">
        <v>370</v>
      </c>
      <c r="AK34" s="2814">
        <f t="shared" si="8"/>
        <v>0.26756756756756755</v>
      </c>
      <c r="AL34" s="2549"/>
      <c r="AM34" s="2799">
        <v>101</v>
      </c>
      <c r="AN34" s="2800">
        <v>390</v>
      </c>
      <c r="AO34" s="2814">
        <f t="shared" si="9"/>
        <v>0.258974358974359</v>
      </c>
      <c r="AQ34" s="2799">
        <v>107</v>
      </c>
      <c r="AR34" s="2800">
        <v>265</v>
      </c>
      <c r="AS34" s="2814">
        <f t="shared" si="10"/>
        <v>0.4037735849056604</v>
      </c>
    </row>
    <row r="35" spans="1:45" ht="18">
      <c r="A35" s="2347"/>
      <c r="B35" s="2818" t="s">
        <v>1120</v>
      </c>
      <c r="C35" s="2792">
        <v>56</v>
      </c>
      <c r="D35" s="2793">
        <v>105</v>
      </c>
      <c r="E35" s="2810">
        <f t="shared" si="0"/>
        <v>0.53333333333333333</v>
      </c>
      <c r="G35" s="2792">
        <v>45</v>
      </c>
      <c r="H35" s="2793">
        <v>121</v>
      </c>
      <c r="I35" s="2810">
        <f t="shared" si="1"/>
        <v>0.37190082644628097</v>
      </c>
      <c r="K35" s="2792">
        <v>69</v>
      </c>
      <c r="L35" s="2793">
        <v>127</v>
      </c>
      <c r="M35" s="2810">
        <f t="shared" si="2"/>
        <v>0.54330708661417326</v>
      </c>
      <c r="O35" s="2792">
        <v>58</v>
      </c>
      <c r="P35" s="2793">
        <v>121</v>
      </c>
      <c r="Q35" s="2810">
        <f t="shared" si="3"/>
        <v>0.47933884297520662</v>
      </c>
      <c r="S35" s="2792">
        <v>73</v>
      </c>
      <c r="T35" s="2793">
        <v>112</v>
      </c>
      <c r="U35" s="2810">
        <f t="shared" si="4"/>
        <v>0.6517857142857143</v>
      </c>
      <c r="W35" s="2792">
        <v>78</v>
      </c>
      <c r="X35" s="2793">
        <v>112</v>
      </c>
      <c r="Y35" s="2810">
        <f t="shared" si="5"/>
        <v>0.6964285714285714</v>
      </c>
      <c r="AA35" s="2792">
        <v>55</v>
      </c>
      <c r="AB35" s="2793">
        <v>91</v>
      </c>
      <c r="AC35" s="2810">
        <f t="shared" si="6"/>
        <v>0.60439560439560436</v>
      </c>
      <c r="AE35" s="2792">
        <v>46</v>
      </c>
      <c r="AF35" s="2793">
        <v>66</v>
      </c>
      <c r="AG35" s="2810">
        <f t="shared" si="7"/>
        <v>0.69696969696969702</v>
      </c>
      <c r="AI35" s="2792">
        <v>66</v>
      </c>
      <c r="AJ35" s="2793">
        <v>97</v>
      </c>
      <c r="AK35" s="2810">
        <f t="shared" si="8"/>
        <v>0.68041237113402064</v>
      </c>
      <c r="AL35" s="2549"/>
      <c r="AM35" s="2792">
        <v>49</v>
      </c>
      <c r="AN35" s="2793">
        <v>60</v>
      </c>
      <c r="AO35" s="2810">
        <f t="shared" si="9"/>
        <v>0.81666666666666665</v>
      </c>
      <c r="AQ35" s="2792">
        <v>79</v>
      </c>
      <c r="AR35" s="2793">
        <v>95</v>
      </c>
      <c r="AS35" s="2810">
        <f t="shared" si="10"/>
        <v>0.83157894736842108</v>
      </c>
    </row>
    <row r="36" spans="1:45" ht="18">
      <c r="A36" s="2347"/>
      <c r="B36" s="2818" t="s">
        <v>1121</v>
      </c>
      <c r="C36" s="2792">
        <v>75</v>
      </c>
      <c r="D36" s="2793">
        <v>98</v>
      </c>
      <c r="E36" s="2810">
        <f t="shared" si="0"/>
        <v>0.76530612244897955</v>
      </c>
      <c r="G36" s="2792">
        <v>71</v>
      </c>
      <c r="H36" s="2793">
        <v>93</v>
      </c>
      <c r="I36" s="2810">
        <f t="shared" si="1"/>
        <v>0.76344086021505375</v>
      </c>
      <c r="K36" s="2792">
        <v>60</v>
      </c>
      <c r="L36" s="2793">
        <v>85</v>
      </c>
      <c r="M36" s="2810">
        <f t="shared" si="2"/>
        <v>0.70588235294117652</v>
      </c>
      <c r="O36" s="2792">
        <v>89</v>
      </c>
      <c r="P36" s="2793">
        <v>122</v>
      </c>
      <c r="Q36" s="2810">
        <f t="shared" si="3"/>
        <v>0.72950819672131151</v>
      </c>
      <c r="S36" s="2792">
        <v>85</v>
      </c>
      <c r="T36" s="2793">
        <v>110</v>
      </c>
      <c r="U36" s="2810">
        <f t="shared" si="4"/>
        <v>0.77272727272727271</v>
      </c>
      <c r="W36" s="2792">
        <v>75</v>
      </c>
      <c r="X36" s="2793">
        <v>107</v>
      </c>
      <c r="Y36" s="2810">
        <f t="shared" si="5"/>
        <v>0.7009345794392523</v>
      </c>
      <c r="AA36" s="2792">
        <v>81</v>
      </c>
      <c r="AB36" s="2793">
        <v>110</v>
      </c>
      <c r="AC36" s="2810">
        <f t="shared" si="6"/>
        <v>0.73636363636363633</v>
      </c>
      <c r="AE36" s="2792">
        <v>70</v>
      </c>
      <c r="AF36" s="2793">
        <v>110</v>
      </c>
      <c r="AG36" s="2810">
        <f t="shared" si="7"/>
        <v>0.63636363636363635</v>
      </c>
      <c r="AI36" s="2792">
        <v>98</v>
      </c>
      <c r="AJ36" s="2793">
        <v>128</v>
      </c>
      <c r="AK36" s="2810">
        <f t="shared" si="8"/>
        <v>0.765625</v>
      </c>
      <c r="AL36" s="2549"/>
      <c r="AM36" s="2792">
        <v>52</v>
      </c>
      <c r="AN36" s="2793">
        <v>79</v>
      </c>
      <c r="AO36" s="2810">
        <f t="shared" si="9"/>
        <v>0.65822784810126578</v>
      </c>
      <c r="AQ36" s="2792">
        <v>50</v>
      </c>
      <c r="AR36" s="2793">
        <v>72</v>
      </c>
      <c r="AS36" s="2810">
        <f t="shared" si="10"/>
        <v>0.69444444444444442</v>
      </c>
    </row>
    <row r="37" spans="1:45" ht="18">
      <c r="A37" s="2347"/>
      <c r="B37" s="2818" t="s">
        <v>1122</v>
      </c>
      <c r="C37" s="2792">
        <v>30</v>
      </c>
      <c r="D37" s="2793">
        <v>97</v>
      </c>
      <c r="E37" s="2810">
        <f t="shared" si="0"/>
        <v>0.30927835051546393</v>
      </c>
      <c r="G37" s="2792">
        <v>35</v>
      </c>
      <c r="H37" s="2793">
        <v>109</v>
      </c>
      <c r="I37" s="2810">
        <f t="shared" si="1"/>
        <v>0.32110091743119268</v>
      </c>
      <c r="K37" s="2792">
        <v>32</v>
      </c>
      <c r="L37" s="2793">
        <v>98</v>
      </c>
      <c r="M37" s="2810">
        <f t="shared" si="2"/>
        <v>0.32653061224489793</v>
      </c>
      <c r="O37" s="2792">
        <v>36</v>
      </c>
      <c r="P37" s="2793">
        <v>132</v>
      </c>
      <c r="Q37" s="2810">
        <f t="shared" si="3"/>
        <v>0.27272727272727271</v>
      </c>
      <c r="S37" s="2792">
        <v>42</v>
      </c>
      <c r="T37" s="2793">
        <v>120</v>
      </c>
      <c r="U37" s="2810">
        <f t="shared" si="4"/>
        <v>0.35</v>
      </c>
      <c r="W37" s="2792">
        <v>31</v>
      </c>
      <c r="X37" s="2793">
        <v>96</v>
      </c>
      <c r="Y37" s="2810">
        <f t="shared" si="5"/>
        <v>0.32291666666666669</v>
      </c>
      <c r="AA37" s="2792">
        <v>39</v>
      </c>
      <c r="AB37" s="2793">
        <v>107</v>
      </c>
      <c r="AC37" s="2810">
        <f t="shared" si="6"/>
        <v>0.3644859813084112</v>
      </c>
      <c r="AE37" s="2792">
        <v>54</v>
      </c>
      <c r="AF37" s="2793">
        <v>128</v>
      </c>
      <c r="AG37" s="2810">
        <f t="shared" si="7"/>
        <v>0.421875</v>
      </c>
      <c r="AI37" s="2792">
        <v>40</v>
      </c>
      <c r="AJ37" s="2793">
        <v>112</v>
      </c>
      <c r="AK37" s="2810">
        <f t="shared" si="8"/>
        <v>0.35714285714285715</v>
      </c>
      <c r="AL37" s="2549"/>
      <c r="AM37" s="2792">
        <v>25</v>
      </c>
      <c r="AN37" s="2793">
        <v>68</v>
      </c>
      <c r="AO37" s="2810">
        <f t="shared" si="9"/>
        <v>0.36764705882352944</v>
      </c>
      <c r="AQ37" s="2792">
        <v>39</v>
      </c>
      <c r="AR37" s="2793">
        <v>128</v>
      </c>
      <c r="AS37" s="2810">
        <f t="shared" si="10"/>
        <v>0.3046875</v>
      </c>
    </row>
    <row r="38" spans="1:45" ht="18">
      <c r="A38" s="2347"/>
      <c r="B38" s="2818" t="s">
        <v>1123</v>
      </c>
      <c r="C38" s="2792">
        <v>48</v>
      </c>
      <c r="D38" s="2793">
        <v>73</v>
      </c>
      <c r="E38" s="2810">
        <f t="shared" si="0"/>
        <v>0.65753424657534243</v>
      </c>
      <c r="G38" s="2792">
        <v>43</v>
      </c>
      <c r="H38" s="2793">
        <v>66</v>
      </c>
      <c r="I38" s="2810">
        <f t="shared" si="1"/>
        <v>0.65151515151515149</v>
      </c>
      <c r="K38" s="2792">
        <v>39</v>
      </c>
      <c r="L38" s="2793">
        <v>50</v>
      </c>
      <c r="M38" s="2810">
        <f t="shared" si="2"/>
        <v>0.78</v>
      </c>
      <c r="O38" s="2792">
        <v>64</v>
      </c>
      <c r="P38" s="2793">
        <v>77</v>
      </c>
      <c r="Q38" s="2810">
        <f t="shared" si="3"/>
        <v>0.83116883116883122</v>
      </c>
      <c r="S38" s="2792">
        <v>55</v>
      </c>
      <c r="T38" s="2793">
        <v>63</v>
      </c>
      <c r="U38" s="2810">
        <f t="shared" si="4"/>
        <v>0.87301587301587302</v>
      </c>
      <c r="W38" s="2792">
        <v>42</v>
      </c>
      <c r="X38" s="2793">
        <v>65</v>
      </c>
      <c r="Y38" s="2810">
        <f t="shared" si="5"/>
        <v>0.64615384615384619</v>
      </c>
      <c r="AA38" s="2792">
        <v>49</v>
      </c>
      <c r="AB38" s="2793">
        <v>57</v>
      </c>
      <c r="AC38" s="2810">
        <f t="shared" si="6"/>
        <v>0.85964912280701755</v>
      </c>
      <c r="AE38" s="2792">
        <v>50</v>
      </c>
      <c r="AF38" s="2793">
        <v>59</v>
      </c>
      <c r="AG38" s="2810">
        <f t="shared" si="7"/>
        <v>0.84745762711864403</v>
      </c>
      <c r="AI38" s="2792">
        <v>49</v>
      </c>
      <c r="AJ38" s="2793">
        <v>71</v>
      </c>
      <c r="AK38" s="2810">
        <f t="shared" si="8"/>
        <v>0.6901408450704225</v>
      </c>
      <c r="AL38" s="2549"/>
      <c r="AM38" s="2792">
        <v>26</v>
      </c>
      <c r="AN38" s="2793">
        <v>32</v>
      </c>
      <c r="AO38" s="2810">
        <f t="shared" si="9"/>
        <v>0.8125</v>
      </c>
      <c r="AQ38" s="2792">
        <v>55</v>
      </c>
      <c r="AR38" s="2793">
        <v>60</v>
      </c>
      <c r="AS38" s="2810">
        <f t="shared" si="10"/>
        <v>0.91666666666666663</v>
      </c>
    </row>
    <row r="39" spans="1:45" ht="18">
      <c r="A39" s="2347"/>
      <c r="B39" s="2818" t="s">
        <v>1124</v>
      </c>
      <c r="C39" s="2792">
        <v>51</v>
      </c>
      <c r="D39" s="2793">
        <v>112</v>
      </c>
      <c r="E39" s="2810">
        <f t="shared" si="0"/>
        <v>0.45535714285714285</v>
      </c>
      <c r="G39" s="2792">
        <v>64</v>
      </c>
      <c r="H39" s="2793">
        <v>143</v>
      </c>
      <c r="I39" s="2810">
        <f t="shared" si="1"/>
        <v>0.44755244755244755</v>
      </c>
      <c r="K39" s="2792">
        <v>81</v>
      </c>
      <c r="L39" s="2793">
        <v>155</v>
      </c>
      <c r="M39" s="2810">
        <f t="shared" si="2"/>
        <v>0.52258064516129032</v>
      </c>
      <c r="O39" s="2792">
        <v>90</v>
      </c>
      <c r="P39" s="2793">
        <v>126</v>
      </c>
      <c r="Q39" s="2810">
        <f t="shared" si="3"/>
        <v>0.7142857142857143</v>
      </c>
      <c r="S39" s="2792">
        <v>86</v>
      </c>
      <c r="T39" s="2793">
        <v>109</v>
      </c>
      <c r="U39" s="2810">
        <f t="shared" si="4"/>
        <v>0.78899082568807344</v>
      </c>
      <c r="W39" s="2792">
        <v>93</v>
      </c>
      <c r="X39" s="2793">
        <v>136</v>
      </c>
      <c r="Y39" s="2810">
        <f t="shared" si="5"/>
        <v>0.68382352941176472</v>
      </c>
      <c r="AA39" s="2792">
        <v>84</v>
      </c>
      <c r="AB39" s="2793">
        <v>116</v>
      </c>
      <c r="AC39" s="2810">
        <f t="shared" si="6"/>
        <v>0.72413793103448276</v>
      </c>
      <c r="AE39" s="2792">
        <v>101</v>
      </c>
      <c r="AF39" s="2793">
        <v>130</v>
      </c>
      <c r="AG39" s="2810">
        <f t="shared" si="7"/>
        <v>0.77692307692307694</v>
      </c>
      <c r="AI39" s="2792">
        <v>85</v>
      </c>
      <c r="AJ39" s="2793">
        <v>112</v>
      </c>
      <c r="AK39" s="2810">
        <f t="shared" si="8"/>
        <v>0.7589285714285714</v>
      </c>
      <c r="AL39" s="2549"/>
      <c r="AM39" s="2792">
        <v>120</v>
      </c>
      <c r="AN39" s="2793">
        <v>154</v>
      </c>
      <c r="AO39" s="2810">
        <f t="shared" si="9"/>
        <v>0.77922077922077926</v>
      </c>
      <c r="AQ39" s="2792">
        <v>92</v>
      </c>
      <c r="AR39" s="2793">
        <v>126</v>
      </c>
      <c r="AS39" s="2810">
        <f t="shared" si="10"/>
        <v>0.73015873015873012</v>
      </c>
    </row>
    <row r="40" spans="1:45" ht="15" customHeight="1">
      <c r="A40" s="2347"/>
      <c r="B40" s="2316" t="s">
        <v>4</v>
      </c>
      <c r="C40" s="2791">
        <f>SUM(C35:C39)</f>
        <v>260</v>
      </c>
      <c r="D40" s="1135">
        <v>485</v>
      </c>
      <c r="E40" s="2809">
        <f t="shared" si="0"/>
        <v>0.53608247422680411</v>
      </c>
      <c r="G40" s="2791">
        <v>258</v>
      </c>
      <c r="H40" s="1135">
        <v>532</v>
      </c>
      <c r="I40" s="2809">
        <f t="shared" si="1"/>
        <v>0.48496240601503759</v>
      </c>
      <c r="K40" s="2791">
        <v>281</v>
      </c>
      <c r="L40" s="1135">
        <f>SUM(L35:L39)</f>
        <v>515</v>
      </c>
      <c r="M40" s="2809">
        <f t="shared" si="2"/>
        <v>0.54563106796116501</v>
      </c>
      <c r="O40" s="2791">
        <v>337</v>
      </c>
      <c r="P40" s="1135">
        <f>SUM(P35:P39)</f>
        <v>578</v>
      </c>
      <c r="Q40" s="2809">
        <f t="shared" si="3"/>
        <v>0.58304498269896199</v>
      </c>
      <c r="S40" s="2791">
        <f>SUM(S35:S39)</f>
        <v>341</v>
      </c>
      <c r="T40" s="1135">
        <f>SUM(T35:T39)</f>
        <v>514</v>
      </c>
      <c r="U40" s="2809">
        <f t="shared" si="4"/>
        <v>0.66342412451361865</v>
      </c>
      <c r="W40" s="2791">
        <v>319</v>
      </c>
      <c r="X40" s="1135">
        <v>516</v>
      </c>
      <c r="Y40" s="2809">
        <f t="shared" si="5"/>
        <v>0.61821705426356588</v>
      </c>
      <c r="AA40" s="2791">
        <v>308</v>
      </c>
      <c r="AB40" s="1135">
        <v>481</v>
      </c>
      <c r="AC40" s="2809">
        <f t="shared" si="6"/>
        <v>0.64033264033264037</v>
      </c>
      <c r="AE40" s="2791">
        <v>321</v>
      </c>
      <c r="AF40" s="1135">
        <v>493</v>
      </c>
      <c r="AG40" s="2809">
        <f t="shared" si="7"/>
        <v>0.65111561866125756</v>
      </c>
      <c r="AI40" s="2791">
        <v>338</v>
      </c>
      <c r="AJ40" s="1135">
        <v>520</v>
      </c>
      <c r="AK40" s="2809">
        <f t="shared" si="8"/>
        <v>0.65</v>
      </c>
      <c r="AL40" s="2549"/>
      <c r="AM40" s="2791">
        <v>272</v>
      </c>
      <c r="AN40" s="1135">
        <v>393</v>
      </c>
      <c r="AO40" s="2809">
        <f t="shared" si="9"/>
        <v>0.69211195928753177</v>
      </c>
      <c r="AQ40" s="2791">
        <v>315</v>
      </c>
      <c r="AR40" s="1135">
        <v>481</v>
      </c>
      <c r="AS40" s="2809">
        <f t="shared" si="10"/>
        <v>0.65488565488565487</v>
      </c>
    </row>
    <row r="41" spans="1:45" ht="18">
      <c r="A41" s="2347"/>
      <c r="B41" s="2818" t="s">
        <v>1125</v>
      </c>
      <c r="C41" s="2792">
        <v>26</v>
      </c>
      <c r="D41" s="2793">
        <v>65</v>
      </c>
      <c r="E41" s="2810">
        <f t="shared" si="0"/>
        <v>0.4</v>
      </c>
      <c r="G41" s="2792">
        <v>38</v>
      </c>
      <c r="H41" s="2793">
        <v>72</v>
      </c>
      <c r="I41" s="2810">
        <f t="shared" si="1"/>
        <v>0.52777777777777779</v>
      </c>
      <c r="K41" s="2792">
        <v>56</v>
      </c>
      <c r="L41" s="2793">
        <v>107</v>
      </c>
      <c r="M41" s="2810">
        <f t="shared" si="2"/>
        <v>0.52336448598130836</v>
      </c>
      <c r="O41" s="2792">
        <v>38</v>
      </c>
      <c r="P41" s="2793">
        <v>73</v>
      </c>
      <c r="Q41" s="2810">
        <f t="shared" si="3"/>
        <v>0.52054794520547942</v>
      </c>
      <c r="S41" s="2792">
        <v>36</v>
      </c>
      <c r="T41" s="2793">
        <v>52</v>
      </c>
      <c r="U41" s="2810">
        <f t="shared" si="4"/>
        <v>0.69230769230769229</v>
      </c>
      <c r="W41" s="2792">
        <v>47</v>
      </c>
      <c r="X41" s="2793">
        <v>77</v>
      </c>
      <c r="Y41" s="2810">
        <f t="shared" si="5"/>
        <v>0.61038961038961037</v>
      </c>
      <c r="AA41" s="2792">
        <v>42</v>
      </c>
      <c r="AB41" s="2793">
        <v>63</v>
      </c>
      <c r="AC41" s="2810">
        <f t="shared" si="6"/>
        <v>0.66666666666666663</v>
      </c>
      <c r="AE41" s="2792">
        <v>35</v>
      </c>
      <c r="AF41" s="2793">
        <v>55</v>
      </c>
      <c r="AG41" s="2810">
        <f t="shared" si="7"/>
        <v>0.63636363636363635</v>
      </c>
      <c r="AI41" s="2792">
        <v>41</v>
      </c>
      <c r="AJ41" s="2793">
        <v>69</v>
      </c>
      <c r="AK41" s="2810">
        <f t="shared" si="8"/>
        <v>0.59420289855072461</v>
      </c>
      <c r="AL41" s="2549"/>
      <c r="AM41" s="2792">
        <v>51</v>
      </c>
      <c r="AN41" s="2793">
        <v>84</v>
      </c>
      <c r="AO41" s="2810">
        <f t="shared" si="9"/>
        <v>0.6071428571428571</v>
      </c>
      <c r="AQ41" s="2792">
        <v>46</v>
      </c>
      <c r="AR41" s="2793">
        <v>65</v>
      </c>
      <c r="AS41" s="2810">
        <f t="shared" si="10"/>
        <v>0.70769230769230773</v>
      </c>
    </row>
    <row r="42" spans="1:45" ht="18">
      <c r="A42" s="2347"/>
      <c r="B42" s="2818" t="s">
        <v>1126</v>
      </c>
      <c r="C42" s="2792">
        <v>24</v>
      </c>
      <c r="D42" s="2793">
        <v>52</v>
      </c>
      <c r="E42" s="2810">
        <f t="shared" si="0"/>
        <v>0.46153846153846156</v>
      </c>
      <c r="G42" s="2792">
        <v>25</v>
      </c>
      <c r="H42" s="2793">
        <v>56</v>
      </c>
      <c r="I42" s="2810">
        <f t="shared" si="1"/>
        <v>0.44642857142857145</v>
      </c>
      <c r="K42" s="2792">
        <v>11</v>
      </c>
      <c r="L42" s="2793">
        <v>56</v>
      </c>
      <c r="M42" s="2810">
        <f t="shared" si="2"/>
        <v>0.19642857142857142</v>
      </c>
      <c r="O42" s="2792">
        <v>19</v>
      </c>
      <c r="P42" s="2793">
        <v>56</v>
      </c>
      <c r="Q42" s="2810">
        <f t="shared" si="3"/>
        <v>0.3392857142857143</v>
      </c>
      <c r="S42" s="2792">
        <v>16</v>
      </c>
      <c r="T42" s="2793">
        <v>32</v>
      </c>
      <c r="U42" s="2810">
        <f t="shared" si="4"/>
        <v>0.5</v>
      </c>
      <c r="W42" s="2792">
        <v>26</v>
      </c>
      <c r="X42" s="2793">
        <v>42</v>
      </c>
      <c r="Y42" s="2810">
        <f t="shared" si="5"/>
        <v>0.61904761904761907</v>
      </c>
      <c r="AA42" s="2792">
        <v>32</v>
      </c>
      <c r="AB42" s="2793">
        <v>56</v>
      </c>
      <c r="AC42" s="2810">
        <f t="shared" si="6"/>
        <v>0.5714285714285714</v>
      </c>
      <c r="AE42" s="2792">
        <v>25</v>
      </c>
      <c r="AF42" s="2793">
        <v>59</v>
      </c>
      <c r="AG42" s="2810">
        <f t="shared" si="7"/>
        <v>0.42372881355932202</v>
      </c>
      <c r="AI42" s="2792">
        <v>22</v>
      </c>
      <c r="AJ42" s="2793">
        <v>50</v>
      </c>
      <c r="AK42" s="2810">
        <f t="shared" si="8"/>
        <v>0.44</v>
      </c>
      <c r="AL42" s="2549"/>
      <c r="AM42" s="2792">
        <v>40</v>
      </c>
      <c r="AN42" s="2793">
        <v>71</v>
      </c>
      <c r="AO42" s="2810">
        <f t="shared" si="9"/>
        <v>0.56338028169014087</v>
      </c>
      <c r="AQ42" s="2792">
        <v>18</v>
      </c>
      <c r="AR42" s="2793">
        <v>39</v>
      </c>
      <c r="AS42" s="2810">
        <f t="shared" si="10"/>
        <v>0.46153846153846156</v>
      </c>
    </row>
    <row r="43" spans="1:45" ht="18">
      <c r="A43" s="2347"/>
      <c r="B43" s="2818" t="s">
        <v>1127</v>
      </c>
      <c r="C43" s="2792">
        <v>86</v>
      </c>
      <c r="D43" s="2793">
        <v>116</v>
      </c>
      <c r="E43" s="2810">
        <f t="shared" si="0"/>
        <v>0.74137931034482762</v>
      </c>
      <c r="G43" s="2792">
        <v>77</v>
      </c>
      <c r="H43" s="2793">
        <v>102</v>
      </c>
      <c r="I43" s="2810">
        <f t="shared" si="1"/>
        <v>0.75490196078431371</v>
      </c>
      <c r="K43" s="2792">
        <v>91</v>
      </c>
      <c r="L43" s="2793">
        <v>100</v>
      </c>
      <c r="M43" s="2810">
        <f t="shared" si="2"/>
        <v>0.91</v>
      </c>
      <c r="O43" s="2792">
        <v>70</v>
      </c>
      <c r="P43" s="2793">
        <v>84</v>
      </c>
      <c r="Q43" s="2810">
        <f t="shared" si="3"/>
        <v>0.83333333333333337</v>
      </c>
      <c r="S43" s="2792">
        <v>75</v>
      </c>
      <c r="T43" s="2793">
        <v>100</v>
      </c>
      <c r="U43" s="2810">
        <f t="shared" si="4"/>
        <v>0.75</v>
      </c>
      <c r="W43" s="2792">
        <v>87</v>
      </c>
      <c r="X43" s="2793">
        <v>102</v>
      </c>
      <c r="Y43" s="2810">
        <f t="shared" si="5"/>
        <v>0.8529411764705882</v>
      </c>
      <c r="AA43" s="2792">
        <v>76</v>
      </c>
      <c r="AB43" s="2793">
        <v>88</v>
      </c>
      <c r="AC43" s="2810">
        <f t="shared" si="6"/>
        <v>0.86363636363636365</v>
      </c>
      <c r="AE43" s="2792">
        <v>76</v>
      </c>
      <c r="AF43" s="2793">
        <v>87</v>
      </c>
      <c r="AG43" s="2810">
        <f t="shared" si="7"/>
        <v>0.87356321839080464</v>
      </c>
      <c r="AI43" s="2792">
        <v>119</v>
      </c>
      <c r="AJ43" s="2793">
        <v>142</v>
      </c>
      <c r="AK43" s="2810">
        <f t="shared" si="8"/>
        <v>0.8380281690140845</v>
      </c>
      <c r="AL43" s="2549"/>
      <c r="AM43" s="2792">
        <v>133</v>
      </c>
      <c r="AN43" s="2793">
        <v>156</v>
      </c>
      <c r="AO43" s="2810">
        <f t="shared" si="9"/>
        <v>0.85256410256410253</v>
      </c>
      <c r="AQ43" s="2792">
        <v>92</v>
      </c>
      <c r="AR43" s="2793">
        <v>109</v>
      </c>
      <c r="AS43" s="2810">
        <f t="shared" si="10"/>
        <v>0.84403669724770647</v>
      </c>
    </row>
    <row r="44" spans="1:45" ht="18">
      <c r="A44" s="2347"/>
      <c r="B44" s="2818" t="s">
        <v>1128</v>
      </c>
      <c r="C44" s="2792">
        <v>45</v>
      </c>
      <c r="D44" s="2793">
        <v>87</v>
      </c>
      <c r="E44" s="2810">
        <f t="shared" si="0"/>
        <v>0.51724137931034486</v>
      </c>
      <c r="G44" s="2792">
        <v>26</v>
      </c>
      <c r="H44" s="2793">
        <v>54</v>
      </c>
      <c r="I44" s="2810">
        <f t="shared" si="1"/>
        <v>0.48148148148148145</v>
      </c>
      <c r="K44" s="2792">
        <v>33</v>
      </c>
      <c r="L44" s="2793">
        <v>49</v>
      </c>
      <c r="M44" s="2810">
        <f t="shared" si="2"/>
        <v>0.67346938775510201</v>
      </c>
      <c r="O44" s="2792">
        <v>50</v>
      </c>
      <c r="P44" s="2793">
        <v>99</v>
      </c>
      <c r="Q44" s="2810">
        <f t="shared" si="3"/>
        <v>0.50505050505050508</v>
      </c>
      <c r="S44" s="2792">
        <v>59</v>
      </c>
      <c r="T44" s="2793">
        <v>89</v>
      </c>
      <c r="U44" s="2810">
        <f t="shared" si="4"/>
        <v>0.6629213483146067</v>
      </c>
      <c r="W44" s="2792">
        <v>63</v>
      </c>
      <c r="X44" s="2793">
        <v>94</v>
      </c>
      <c r="Y44" s="2810">
        <f t="shared" si="5"/>
        <v>0.67021276595744683</v>
      </c>
      <c r="AA44" s="2792">
        <v>73</v>
      </c>
      <c r="AB44" s="2793">
        <v>104</v>
      </c>
      <c r="AC44" s="2810">
        <f t="shared" si="6"/>
        <v>0.70192307692307687</v>
      </c>
      <c r="AE44" s="2792">
        <v>93</v>
      </c>
      <c r="AF44" s="2793">
        <v>168</v>
      </c>
      <c r="AG44" s="2810">
        <f t="shared" si="7"/>
        <v>0.5535714285714286</v>
      </c>
      <c r="AI44" s="2792">
        <v>73</v>
      </c>
      <c r="AJ44" s="2793">
        <v>103</v>
      </c>
      <c r="AK44" s="2810">
        <f t="shared" si="8"/>
        <v>0.70873786407766992</v>
      </c>
      <c r="AL44" s="2549"/>
      <c r="AM44" s="2792">
        <v>90</v>
      </c>
      <c r="AN44" s="2793">
        <v>117</v>
      </c>
      <c r="AO44" s="2810">
        <f t="shared" si="9"/>
        <v>0.76923076923076927</v>
      </c>
      <c r="AQ44" s="2792">
        <v>100</v>
      </c>
      <c r="AR44" s="2793">
        <v>136</v>
      </c>
      <c r="AS44" s="2810">
        <f t="shared" si="10"/>
        <v>0.73529411764705888</v>
      </c>
    </row>
    <row r="45" spans="1:45" ht="18">
      <c r="A45" s="2347"/>
      <c r="B45" s="2818" t="s">
        <v>1129</v>
      </c>
      <c r="C45" s="2792">
        <v>20</v>
      </c>
      <c r="D45" s="2793">
        <v>30</v>
      </c>
      <c r="E45" s="2810">
        <f t="shared" si="0"/>
        <v>0.66666666666666663</v>
      </c>
      <c r="G45" s="2792">
        <v>15</v>
      </c>
      <c r="H45" s="2793">
        <v>45</v>
      </c>
      <c r="I45" s="2810">
        <f t="shared" si="1"/>
        <v>0.33333333333333331</v>
      </c>
      <c r="K45" s="2792">
        <v>8</v>
      </c>
      <c r="L45" s="2793">
        <v>19</v>
      </c>
      <c r="M45" s="2810">
        <f t="shared" si="2"/>
        <v>0.42105263157894735</v>
      </c>
      <c r="O45" s="2792">
        <v>30</v>
      </c>
      <c r="P45" s="2793">
        <v>62</v>
      </c>
      <c r="Q45" s="2810">
        <f t="shared" si="3"/>
        <v>0.4838709677419355</v>
      </c>
      <c r="S45" s="2792">
        <v>48</v>
      </c>
      <c r="T45" s="2793">
        <v>68</v>
      </c>
      <c r="U45" s="2810">
        <f t="shared" si="4"/>
        <v>0.70588235294117652</v>
      </c>
      <c r="W45" s="2792">
        <v>32</v>
      </c>
      <c r="X45" s="2793">
        <v>56</v>
      </c>
      <c r="Y45" s="2810">
        <f t="shared" si="5"/>
        <v>0.5714285714285714</v>
      </c>
      <c r="AA45" s="2792">
        <v>31</v>
      </c>
      <c r="AB45" s="2793">
        <v>59</v>
      </c>
      <c r="AC45" s="2810">
        <f t="shared" si="6"/>
        <v>0.52542372881355937</v>
      </c>
      <c r="AE45" s="2792">
        <v>39</v>
      </c>
      <c r="AF45" s="2793">
        <v>54</v>
      </c>
      <c r="AG45" s="2810">
        <f t="shared" si="7"/>
        <v>0.72222222222222221</v>
      </c>
      <c r="AI45" s="2792">
        <v>47</v>
      </c>
      <c r="AJ45" s="2793">
        <v>67</v>
      </c>
      <c r="AK45" s="2810">
        <f t="shared" si="8"/>
        <v>0.70149253731343286</v>
      </c>
      <c r="AL45" s="2549"/>
      <c r="AM45" s="2792">
        <v>39</v>
      </c>
      <c r="AN45" s="2793">
        <v>45</v>
      </c>
      <c r="AO45" s="2810">
        <f t="shared" si="9"/>
        <v>0.8666666666666667</v>
      </c>
      <c r="AQ45" s="2792">
        <v>29</v>
      </c>
      <c r="AR45" s="2793">
        <v>47</v>
      </c>
      <c r="AS45" s="2810">
        <f t="shared" si="10"/>
        <v>0.61702127659574468</v>
      </c>
    </row>
    <row r="46" spans="1:45" ht="15" customHeight="1">
      <c r="A46" s="2347"/>
      <c r="B46" s="2316" t="s">
        <v>41</v>
      </c>
      <c r="C46" s="2791">
        <f>SUM(C41:C45)</f>
        <v>201</v>
      </c>
      <c r="D46" s="1135">
        <v>350</v>
      </c>
      <c r="E46" s="2809">
        <f t="shared" si="0"/>
        <v>0.57428571428571429</v>
      </c>
      <c r="G46" s="2791">
        <v>181</v>
      </c>
      <c r="H46" s="1135">
        <v>329</v>
      </c>
      <c r="I46" s="2809">
        <f t="shared" si="1"/>
        <v>0.55015197568389063</v>
      </c>
      <c r="K46" s="2791">
        <v>199</v>
      </c>
      <c r="L46" s="1135">
        <f>SUM(L41:L45)</f>
        <v>331</v>
      </c>
      <c r="M46" s="2809">
        <f t="shared" si="2"/>
        <v>0.6012084592145015</v>
      </c>
      <c r="O46" s="2791">
        <v>207</v>
      </c>
      <c r="P46" s="1135">
        <f>SUM(P41:P45)</f>
        <v>374</v>
      </c>
      <c r="Q46" s="2809">
        <f t="shared" si="3"/>
        <v>0.553475935828877</v>
      </c>
      <c r="S46" s="2791">
        <f>SUM(S41:S45)</f>
        <v>234</v>
      </c>
      <c r="T46" s="1135">
        <f>SUM(T41:T45)</f>
        <v>341</v>
      </c>
      <c r="U46" s="2809">
        <f t="shared" si="4"/>
        <v>0.6862170087976539</v>
      </c>
      <c r="W46" s="2791">
        <v>255</v>
      </c>
      <c r="X46" s="1135">
        <v>371</v>
      </c>
      <c r="Y46" s="2809">
        <f t="shared" si="5"/>
        <v>0.68733153638814015</v>
      </c>
      <c r="AA46" s="2791">
        <v>254</v>
      </c>
      <c r="AB46" s="1135">
        <v>370</v>
      </c>
      <c r="AC46" s="2809">
        <f t="shared" si="6"/>
        <v>0.68648648648648647</v>
      </c>
      <c r="AE46" s="2791">
        <v>268</v>
      </c>
      <c r="AF46" s="1135">
        <v>423</v>
      </c>
      <c r="AG46" s="2809">
        <f t="shared" si="7"/>
        <v>0.6335697399527187</v>
      </c>
      <c r="AI46" s="2791">
        <v>302</v>
      </c>
      <c r="AJ46" s="1135">
        <v>431</v>
      </c>
      <c r="AK46" s="2809">
        <f t="shared" si="8"/>
        <v>0.70069605568445481</v>
      </c>
      <c r="AL46" s="2549"/>
      <c r="AM46" s="2791">
        <v>353</v>
      </c>
      <c r="AN46" s="1135">
        <v>473</v>
      </c>
      <c r="AO46" s="2809">
        <f t="shared" si="9"/>
        <v>0.7463002114164905</v>
      </c>
      <c r="AQ46" s="2791">
        <v>285</v>
      </c>
      <c r="AR46" s="1135">
        <v>396</v>
      </c>
      <c r="AS46" s="2809">
        <f t="shared" si="10"/>
        <v>0.71969696969696972</v>
      </c>
    </row>
    <row r="47" spans="1:45" ht="18">
      <c r="A47" s="2347"/>
      <c r="B47" s="2818" t="s">
        <v>1130</v>
      </c>
      <c r="C47" s="2792">
        <v>1</v>
      </c>
      <c r="D47" s="2793">
        <v>44</v>
      </c>
      <c r="E47" s="2810">
        <f t="shared" si="0"/>
        <v>2.2727272727272728E-2</v>
      </c>
      <c r="G47" s="2792"/>
      <c r="H47" s="2793">
        <v>42</v>
      </c>
      <c r="I47" s="2810">
        <f t="shared" si="1"/>
        <v>0</v>
      </c>
      <c r="K47" s="2792">
        <v>1</v>
      </c>
      <c r="L47" s="2793">
        <v>33</v>
      </c>
      <c r="M47" s="2810">
        <f t="shared" si="2"/>
        <v>3.0303030303030304E-2</v>
      </c>
      <c r="O47" s="2792">
        <v>1</v>
      </c>
      <c r="P47" s="2793">
        <v>53</v>
      </c>
      <c r="Q47" s="2810">
        <f t="shared" si="3"/>
        <v>1.8867924528301886E-2</v>
      </c>
      <c r="S47" s="2792">
        <v>2</v>
      </c>
      <c r="T47" s="2793">
        <v>27</v>
      </c>
      <c r="U47" s="2810">
        <f t="shared" si="4"/>
        <v>7.407407407407407E-2</v>
      </c>
      <c r="W47" s="2792">
        <v>3</v>
      </c>
      <c r="X47" s="2793">
        <v>45</v>
      </c>
      <c r="Y47" s="2810">
        <f t="shared" si="5"/>
        <v>6.6666666666666666E-2</v>
      </c>
      <c r="AA47" s="2792">
        <v>1</v>
      </c>
      <c r="AB47" s="2793">
        <v>30</v>
      </c>
      <c r="AC47" s="2810">
        <f t="shared" si="6"/>
        <v>3.3333333333333333E-2</v>
      </c>
      <c r="AE47" s="2792">
        <v>1</v>
      </c>
      <c r="AF47" s="2793">
        <v>35</v>
      </c>
      <c r="AG47" s="2810">
        <f t="shared" si="7"/>
        <v>2.8571428571428571E-2</v>
      </c>
      <c r="AI47" s="2792">
        <v>0</v>
      </c>
      <c r="AJ47" s="2793">
        <v>41</v>
      </c>
      <c r="AK47" s="2810">
        <f t="shared" si="8"/>
        <v>0</v>
      </c>
      <c r="AL47" s="2549"/>
      <c r="AM47" s="2792">
        <v>0</v>
      </c>
      <c r="AN47" s="2793">
        <v>18</v>
      </c>
      <c r="AO47" s="2810">
        <f t="shared" si="9"/>
        <v>0</v>
      </c>
      <c r="AQ47" s="2792">
        <v>3</v>
      </c>
      <c r="AR47" s="2793">
        <v>37</v>
      </c>
      <c r="AS47" s="2810">
        <f t="shared" si="10"/>
        <v>8.1081081081081086E-2</v>
      </c>
    </row>
    <row r="48" spans="1:45" ht="18">
      <c r="A48" s="2347"/>
      <c r="B48" s="2818" t="s">
        <v>1104</v>
      </c>
      <c r="C48" s="2792">
        <v>1</v>
      </c>
      <c r="D48" s="2793">
        <v>170</v>
      </c>
      <c r="E48" s="2810">
        <f t="shared" si="0"/>
        <v>5.8823529411764705E-3</v>
      </c>
      <c r="G48" s="2792">
        <v>5</v>
      </c>
      <c r="H48" s="2793">
        <v>135</v>
      </c>
      <c r="I48" s="2810">
        <f t="shared" si="1"/>
        <v>3.7037037037037035E-2</v>
      </c>
      <c r="K48" s="2792">
        <v>17</v>
      </c>
      <c r="L48" s="2793">
        <v>163</v>
      </c>
      <c r="M48" s="2810">
        <f t="shared" si="2"/>
        <v>0.10429447852760736</v>
      </c>
      <c r="O48" s="2792">
        <v>15</v>
      </c>
      <c r="P48" s="2793">
        <v>142</v>
      </c>
      <c r="Q48" s="2810">
        <f t="shared" si="3"/>
        <v>0.10563380281690141</v>
      </c>
      <c r="S48" s="2792">
        <v>1</v>
      </c>
      <c r="T48" s="2793">
        <v>136</v>
      </c>
      <c r="U48" s="2810">
        <f t="shared" si="4"/>
        <v>7.3529411764705881E-3</v>
      </c>
      <c r="W48" s="2792">
        <v>3</v>
      </c>
      <c r="X48" s="2793">
        <v>160</v>
      </c>
      <c r="Y48" s="2810">
        <f t="shared" si="5"/>
        <v>1.8749999999999999E-2</v>
      </c>
      <c r="AA48" s="2792">
        <v>4</v>
      </c>
      <c r="AB48" s="2793">
        <v>109</v>
      </c>
      <c r="AC48" s="2810">
        <f t="shared" si="6"/>
        <v>3.669724770642202E-2</v>
      </c>
      <c r="AE48" s="2792">
        <v>15</v>
      </c>
      <c r="AF48" s="2793">
        <v>110</v>
      </c>
      <c r="AG48" s="2810">
        <f t="shared" si="7"/>
        <v>0.13636363636363635</v>
      </c>
      <c r="AI48" s="2792">
        <v>6</v>
      </c>
      <c r="AJ48" s="2793">
        <v>149</v>
      </c>
      <c r="AK48" s="2810">
        <f t="shared" si="8"/>
        <v>4.0268456375838924E-2</v>
      </c>
      <c r="AL48" s="2549"/>
      <c r="AM48" s="2792">
        <v>3</v>
      </c>
      <c r="AN48" s="2793">
        <v>116</v>
      </c>
      <c r="AO48" s="2810">
        <f t="shared" si="9"/>
        <v>2.5862068965517241E-2</v>
      </c>
      <c r="AQ48" s="2792">
        <v>1</v>
      </c>
      <c r="AR48" s="2793">
        <v>79</v>
      </c>
      <c r="AS48" s="2810">
        <f t="shared" si="10"/>
        <v>1.2658227848101266E-2</v>
      </c>
    </row>
    <row r="49" spans="1:45" ht="18">
      <c r="A49" s="2347"/>
      <c r="B49" s="2818" t="s">
        <v>1131</v>
      </c>
      <c r="C49" s="2792">
        <v>4</v>
      </c>
      <c r="D49" s="2793">
        <v>181</v>
      </c>
      <c r="E49" s="2810">
        <f t="shared" si="0"/>
        <v>2.2099447513812154E-2</v>
      </c>
      <c r="G49" s="2792">
        <v>3</v>
      </c>
      <c r="H49" s="2793">
        <v>178</v>
      </c>
      <c r="I49" s="2810">
        <f t="shared" si="1"/>
        <v>1.6853932584269662E-2</v>
      </c>
      <c r="K49" s="2792">
        <v>2</v>
      </c>
      <c r="L49" s="2793">
        <v>216</v>
      </c>
      <c r="M49" s="2810">
        <f t="shared" si="2"/>
        <v>9.2592592592592587E-3</v>
      </c>
      <c r="O49" s="2792"/>
      <c r="P49" s="2793">
        <v>158</v>
      </c>
      <c r="Q49" s="2810">
        <f t="shared" si="3"/>
        <v>0</v>
      </c>
      <c r="S49" s="2792">
        <v>3</v>
      </c>
      <c r="T49" s="2793">
        <v>136</v>
      </c>
      <c r="U49" s="2810">
        <f t="shared" si="4"/>
        <v>2.2058823529411766E-2</v>
      </c>
      <c r="W49" s="2792">
        <v>2</v>
      </c>
      <c r="X49" s="2793">
        <v>152</v>
      </c>
      <c r="Y49" s="2810">
        <f t="shared" si="5"/>
        <v>1.3157894736842105E-2</v>
      </c>
      <c r="AA49" s="2792">
        <v>5</v>
      </c>
      <c r="AB49" s="2793">
        <v>138</v>
      </c>
      <c r="AC49" s="2810">
        <f t="shared" si="6"/>
        <v>3.6231884057971016E-2</v>
      </c>
      <c r="AE49" s="2792">
        <v>7</v>
      </c>
      <c r="AF49" s="2793">
        <v>152</v>
      </c>
      <c r="AG49" s="2810">
        <f t="shared" si="7"/>
        <v>4.6052631578947366E-2</v>
      </c>
      <c r="AI49" s="2792">
        <v>3</v>
      </c>
      <c r="AJ49" s="2793">
        <v>152</v>
      </c>
      <c r="AK49" s="2810">
        <f t="shared" si="8"/>
        <v>1.9736842105263157E-2</v>
      </c>
      <c r="AL49" s="2549"/>
      <c r="AM49" s="2792">
        <v>2</v>
      </c>
      <c r="AN49" s="2793">
        <v>108</v>
      </c>
      <c r="AO49" s="2810">
        <f t="shared" si="9"/>
        <v>1.8518518518518517E-2</v>
      </c>
      <c r="AQ49" s="2792">
        <v>6</v>
      </c>
      <c r="AR49" s="2793">
        <v>87</v>
      </c>
      <c r="AS49" s="2810">
        <f t="shared" si="10"/>
        <v>6.8965517241379309E-2</v>
      </c>
    </row>
    <row r="50" spans="1:45" ht="18">
      <c r="A50" s="2347"/>
      <c r="B50" s="2818" t="s">
        <v>1105</v>
      </c>
      <c r="C50" s="2792">
        <v>2</v>
      </c>
      <c r="D50" s="2793">
        <v>151</v>
      </c>
      <c r="E50" s="2810">
        <f t="shared" si="0"/>
        <v>1.3245033112582781E-2</v>
      </c>
      <c r="G50" s="2792">
        <v>3</v>
      </c>
      <c r="H50" s="2793">
        <v>145</v>
      </c>
      <c r="I50" s="2810">
        <f t="shared" si="1"/>
        <v>2.0689655172413793E-2</v>
      </c>
      <c r="K50" s="2792"/>
      <c r="L50" s="2793">
        <v>111</v>
      </c>
      <c r="M50" s="2810">
        <f t="shared" si="2"/>
        <v>0</v>
      </c>
      <c r="O50" s="2792"/>
      <c r="P50" s="2793">
        <v>142</v>
      </c>
      <c r="Q50" s="2810">
        <f t="shared" si="3"/>
        <v>0</v>
      </c>
      <c r="S50" s="2792">
        <v>1</v>
      </c>
      <c r="T50" s="2793">
        <v>117</v>
      </c>
      <c r="U50" s="2810">
        <f t="shared" si="4"/>
        <v>8.5470085470085479E-3</v>
      </c>
      <c r="W50" s="2792">
        <v>3</v>
      </c>
      <c r="X50" s="2793">
        <v>121</v>
      </c>
      <c r="Y50" s="2810">
        <f t="shared" si="5"/>
        <v>2.4793388429752067E-2</v>
      </c>
      <c r="AA50" s="2792">
        <v>2</v>
      </c>
      <c r="AB50" s="2793">
        <v>96</v>
      </c>
      <c r="AC50" s="2810">
        <f t="shared" si="6"/>
        <v>2.0833333333333332E-2</v>
      </c>
      <c r="AE50" s="2792"/>
      <c r="AF50" s="2793">
        <v>129</v>
      </c>
      <c r="AG50" s="2810">
        <f t="shared" si="7"/>
        <v>0</v>
      </c>
      <c r="AI50" s="2792">
        <v>0</v>
      </c>
      <c r="AJ50" s="2793">
        <v>162</v>
      </c>
      <c r="AK50" s="2810">
        <f t="shared" si="8"/>
        <v>0</v>
      </c>
      <c r="AL50" s="2549"/>
      <c r="AM50" s="2792">
        <v>0</v>
      </c>
      <c r="AN50" s="2793">
        <v>76</v>
      </c>
      <c r="AO50" s="2810">
        <f t="shared" si="9"/>
        <v>0</v>
      </c>
      <c r="AQ50" s="2792">
        <v>1</v>
      </c>
      <c r="AR50" s="2793">
        <v>59</v>
      </c>
      <c r="AS50" s="2810">
        <f t="shared" si="10"/>
        <v>1.6949152542372881E-2</v>
      </c>
    </row>
    <row r="51" spans="1:45" ht="15" customHeight="1">
      <c r="A51" s="2347"/>
      <c r="B51" s="2348" t="s">
        <v>16</v>
      </c>
      <c r="C51" s="2796">
        <f>SUM(C47:C50)</f>
        <v>8</v>
      </c>
      <c r="D51" s="2349">
        <v>546</v>
      </c>
      <c r="E51" s="2812">
        <f t="shared" si="0"/>
        <v>1.4652014652014652E-2</v>
      </c>
      <c r="G51" s="2796">
        <v>11</v>
      </c>
      <c r="H51" s="2349">
        <v>500</v>
      </c>
      <c r="I51" s="2812">
        <f t="shared" si="1"/>
        <v>2.1999999999999999E-2</v>
      </c>
      <c r="K51" s="2796">
        <v>20</v>
      </c>
      <c r="L51" s="2349">
        <f>SUM(L47:L50)</f>
        <v>523</v>
      </c>
      <c r="M51" s="2812">
        <f t="shared" si="2"/>
        <v>3.8240917782026769E-2</v>
      </c>
      <c r="O51" s="2796">
        <v>16</v>
      </c>
      <c r="P51" s="2349">
        <f>SUM(P47:P50)</f>
        <v>495</v>
      </c>
      <c r="Q51" s="2812">
        <f t="shared" si="3"/>
        <v>3.2323232323232323E-2</v>
      </c>
      <c r="S51" s="2796">
        <f>SUM(S47:S50)</f>
        <v>7</v>
      </c>
      <c r="T51" s="2349">
        <f>SUM(T47:T50)</f>
        <v>416</v>
      </c>
      <c r="U51" s="2812">
        <f t="shared" si="4"/>
        <v>1.6826923076923076E-2</v>
      </c>
      <c r="W51" s="2796">
        <v>11</v>
      </c>
      <c r="X51" s="2349">
        <v>478</v>
      </c>
      <c r="Y51" s="2812">
        <f t="shared" si="5"/>
        <v>2.3012552301255231E-2</v>
      </c>
      <c r="AA51" s="2796">
        <v>12</v>
      </c>
      <c r="AB51" s="2349">
        <v>373</v>
      </c>
      <c r="AC51" s="2812">
        <f t="shared" si="6"/>
        <v>3.2171581769436998E-2</v>
      </c>
      <c r="AE51" s="2796">
        <v>23</v>
      </c>
      <c r="AF51" s="2349">
        <v>426</v>
      </c>
      <c r="AG51" s="2812">
        <f t="shared" si="7"/>
        <v>5.39906103286385E-2</v>
      </c>
      <c r="AI51" s="2796">
        <v>9</v>
      </c>
      <c r="AJ51" s="2349">
        <v>504</v>
      </c>
      <c r="AK51" s="2812">
        <f t="shared" si="8"/>
        <v>1.7857142857142856E-2</v>
      </c>
      <c r="AL51" s="2549"/>
      <c r="AM51" s="2796">
        <v>5</v>
      </c>
      <c r="AN51" s="2349">
        <v>318</v>
      </c>
      <c r="AO51" s="2812">
        <f t="shared" si="9"/>
        <v>1.5723270440251572E-2</v>
      </c>
      <c r="AQ51" s="2796">
        <v>11</v>
      </c>
      <c r="AR51" s="2349">
        <v>262</v>
      </c>
      <c r="AS51" s="2812">
        <f t="shared" si="10"/>
        <v>4.1984732824427481E-2</v>
      </c>
    </row>
    <row r="52" spans="1:45" ht="15" customHeight="1">
      <c r="A52" s="2347"/>
      <c r="B52" s="2822" t="s">
        <v>1132</v>
      </c>
      <c r="C52" s="2801">
        <f>SUM(C40,C46,C51)</f>
        <v>469</v>
      </c>
      <c r="D52" s="2802">
        <v>1381</v>
      </c>
      <c r="E52" s="2815">
        <f t="shared" si="0"/>
        <v>0.33960897900072412</v>
      </c>
      <c r="G52" s="2801">
        <v>450</v>
      </c>
      <c r="H52" s="2802">
        <v>1361</v>
      </c>
      <c r="I52" s="2815">
        <f t="shared" si="1"/>
        <v>0.33063923585598826</v>
      </c>
      <c r="K52" s="2801">
        <v>500</v>
      </c>
      <c r="L52" s="2802">
        <f>SUM(L51,L46,L40)</f>
        <v>1369</v>
      </c>
      <c r="M52" s="2815">
        <f t="shared" si="2"/>
        <v>0.36523009495982467</v>
      </c>
      <c r="O52" s="2801">
        <v>560</v>
      </c>
      <c r="P52" s="2802">
        <f>SUM(P51,P46,P40)</f>
        <v>1447</v>
      </c>
      <c r="Q52" s="2815">
        <f t="shared" si="3"/>
        <v>0.38700760193503803</v>
      </c>
      <c r="S52" s="2801">
        <f>SUM(S40,S46,S51)</f>
        <v>582</v>
      </c>
      <c r="T52" s="2802">
        <f>SUM(T51,T46,T40)</f>
        <v>1271</v>
      </c>
      <c r="U52" s="2815">
        <f t="shared" si="4"/>
        <v>0.45790715971675844</v>
      </c>
      <c r="W52" s="2801">
        <v>585</v>
      </c>
      <c r="X52" s="2802">
        <v>1365</v>
      </c>
      <c r="Y52" s="2815">
        <f t="shared" si="5"/>
        <v>0.42857142857142855</v>
      </c>
      <c r="AA52" s="2801">
        <v>574</v>
      </c>
      <c r="AB52" s="2802">
        <v>1224</v>
      </c>
      <c r="AC52" s="2815">
        <f t="shared" si="6"/>
        <v>0.46895424836601307</v>
      </c>
      <c r="AE52" s="2801">
        <v>612</v>
      </c>
      <c r="AF52" s="2802">
        <v>1342</v>
      </c>
      <c r="AG52" s="2815">
        <f t="shared" si="7"/>
        <v>0.45603576751117736</v>
      </c>
      <c r="AI52" s="2801">
        <v>649</v>
      </c>
      <c r="AJ52" s="2802">
        <v>1455</v>
      </c>
      <c r="AK52" s="2815">
        <f t="shared" si="8"/>
        <v>0.44604810996563576</v>
      </c>
      <c r="AL52" s="2549"/>
      <c r="AM52" s="2801">
        <v>630</v>
      </c>
      <c r="AN52" s="2802">
        <v>1184</v>
      </c>
      <c r="AO52" s="2815">
        <f t="shared" si="9"/>
        <v>0.53209459459459463</v>
      </c>
      <c r="AQ52" s="2801">
        <v>611</v>
      </c>
      <c r="AR52" s="2802">
        <v>1139</v>
      </c>
      <c r="AS52" s="2815">
        <f t="shared" si="10"/>
        <v>0.53643546971027212</v>
      </c>
    </row>
    <row r="53" spans="1:45" ht="18">
      <c r="A53" s="2347"/>
      <c r="B53" s="2818" t="s">
        <v>1133</v>
      </c>
      <c r="C53" s="2824"/>
      <c r="D53" s="2825"/>
      <c r="E53" s="2826"/>
      <c r="G53" s="2824"/>
      <c r="H53" s="2825"/>
      <c r="I53" s="2826"/>
      <c r="K53" s="2824"/>
      <c r="L53" s="2825"/>
      <c r="M53" s="2826"/>
      <c r="O53" s="2824"/>
      <c r="P53" s="2825"/>
      <c r="Q53" s="2826"/>
      <c r="S53" s="2824">
        <v>0</v>
      </c>
      <c r="T53" s="2825"/>
      <c r="U53" s="2826"/>
      <c r="W53" s="2824"/>
      <c r="X53" s="2825"/>
      <c r="Y53" s="2826"/>
      <c r="AA53" s="2824"/>
      <c r="AB53" s="2825">
        <v>6</v>
      </c>
      <c r="AC53" s="2826"/>
      <c r="AE53" s="2824"/>
      <c r="AF53" s="2825">
        <v>0</v>
      </c>
      <c r="AG53" s="2826"/>
      <c r="AI53" s="2824">
        <v>0</v>
      </c>
      <c r="AJ53" s="2825">
        <v>0</v>
      </c>
      <c r="AK53" s="2826"/>
      <c r="AL53" s="2549"/>
      <c r="AM53" s="2824">
        <v>6</v>
      </c>
      <c r="AN53" s="2825">
        <v>10</v>
      </c>
      <c r="AO53" s="2826"/>
      <c r="AQ53" s="2803"/>
      <c r="AR53" s="2825"/>
      <c r="AS53" s="2826"/>
    </row>
    <row r="54" spans="1:45" ht="18">
      <c r="A54" s="2347"/>
      <c r="B54" s="2818" t="s">
        <v>1134</v>
      </c>
      <c r="C54" s="2824"/>
      <c r="D54" s="2825"/>
      <c r="E54" s="2826"/>
      <c r="G54" s="2824"/>
      <c r="H54" s="2825"/>
      <c r="I54" s="2826"/>
      <c r="K54" s="2824"/>
      <c r="L54" s="2825"/>
      <c r="M54" s="2826"/>
      <c r="O54" s="2824"/>
      <c r="P54" s="2825">
        <v>18</v>
      </c>
      <c r="Q54" s="2826"/>
      <c r="S54" s="2824">
        <v>2</v>
      </c>
      <c r="T54" s="2825">
        <v>2</v>
      </c>
      <c r="U54" s="2826">
        <f t="shared" si="4"/>
        <v>1</v>
      </c>
      <c r="W54" s="2824">
        <v>6</v>
      </c>
      <c r="X54" s="2825">
        <v>6</v>
      </c>
      <c r="Y54" s="2826">
        <f>W54/X54</f>
        <v>1</v>
      </c>
      <c r="AA54" s="2824">
        <v>6</v>
      </c>
      <c r="AB54" s="2825">
        <v>8</v>
      </c>
      <c r="AC54" s="2826">
        <f>AA54/AB54</f>
        <v>0.75</v>
      </c>
      <c r="AE54" s="2824">
        <v>5</v>
      </c>
      <c r="AF54" s="2825">
        <v>6</v>
      </c>
      <c r="AG54" s="2826">
        <f>AE54/AF54</f>
        <v>0.83333333333333337</v>
      </c>
      <c r="AI54" s="2824">
        <v>8</v>
      </c>
      <c r="AJ54" s="2825">
        <v>10</v>
      </c>
      <c r="AK54" s="2826">
        <f>AI54/AJ54</f>
        <v>0.8</v>
      </c>
      <c r="AL54" s="2549"/>
      <c r="AM54" s="2824">
        <v>3</v>
      </c>
      <c r="AN54" s="2825">
        <v>6</v>
      </c>
      <c r="AO54" s="2826">
        <f>AM54/AN54</f>
        <v>0.5</v>
      </c>
      <c r="AQ54" s="2803">
        <v>2</v>
      </c>
      <c r="AR54" s="2825">
        <v>4</v>
      </c>
      <c r="AS54" s="2826">
        <f>AQ54/AR54</f>
        <v>0.5</v>
      </c>
    </row>
    <row r="55" spans="1:45" ht="18">
      <c r="A55" s="2347"/>
      <c r="B55" s="2818" t="s">
        <v>1135</v>
      </c>
      <c r="C55" s="2824"/>
      <c r="D55" s="2825"/>
      <c r="E55" s="2826"/>
      <c r="G55" s="2824"/>
      <c r="H55" s="2825"/>
      <c r="I55" s="2826"/>
      <c r="K55" s="2824"/>
      <c r="L55" s="2825"/>
      <c r="M55" s="2826"/>
      <c r="O55" s="2824"/>
      <c r="P55" s="2825"/>
      <c r="Q55" s="2826"/>
      <c r="S55" s="2824">
        <v>0</v>
      </c>
      <c r="T55" s="2825">
        <v>3</v>
      </c>
      <c r="U55" s="2826">
        <f t="shared" si="4"/>
        <v>0</v>
      </c>
      <c r="W55" s="2824">
        <v>1</v>
      </c>
      <c r="X55" s="2825">
        <v>3</v>
      </c>
      <c r="Y55" s="2826">
        <f>W55/X55</f>
        <v>0.33333333333333331</v>
      </c>
      <c r="AA55" s="2824">
        <v>2</v>
      </c>
      <c r="AB55" s="2825">
        <v>2</v>
      </c>
      <c r="AC55" s="2826">
        <f>AA55/AB55</f>
        <v>1</v>
      </c>
      <c r="AE55" s="2824">
        <v>1</v>
      </c>
      <c r="AF55" s="2825">
        <v>6</v>
      </c>
      <c r="AG55" s="2826">
        <f>AE55/AF55</f>
        <v>0.16666666666666666</v>
      </c>
      <c r="AI55" s="2824">
        <v>7</v>
      </c>
      <c r="AJ55" s="2825">
        <v>26</v>
      </c>
      <c r="AK55" s="2826">
        <f>AI55/AJ55</f>
        <v>0.26923076923076922</v>
      </c>
      <c r="AL55" s="2549"/>
      <c r="AM55" s="2824">
        <v>1</v>
      </c>
      <c r="AN55" s="2825">
        <v>4</v>
      </c>
      <c r="AO55" s="2826">
        <f>AM55/AN55</f>
        <v>0.25</v>
      </c>
      <c r="AQ55" s="2803">
        <v>1</v>
      </c>
      <c r="AR55" s="2825">
        <v>10</v>
      </c>
      <c r="AS55" s="2826">
        <f>AQ55/AR55</f>
        <v>0.1</v>
      </c>
    </row>
    <row r="56" spans="1:45" ht="15" customHeight="1">
      <c r="A56" s="2347"/>
      <c r="B56" s="2316" t="s">
        <v>4</v>
      </c>
      <c r="C56" s="2791"/>
      <c r="D56" s="1135"/>
      <c r="E56" s="2809"/>
      <c r="G56" s="2791"/>
      <c r="H56" s="1135"/>
      <c r="I56" s="2809"/>
      <c r="K56" s="2791"/>
      <c r="L56" s="1135"/>
      <c r="M56" s="2809"/>
      <c r="O56" s="2791">
        <v>0</v>
      </c>
      <c r="P56" s="1135">
        <f>SUM(P53:P55)</f>
        <v>18</v>
      </c>
      <c r="Q56" s="2809"/>
      <c r="S56" s="2791">
        <f>SUM(S53:S55)</f>
        <v>2</v>
      </c>
      <c r="T56" s="1135">
        <f>SUM(T54:T55)</f>
        <v>5</v>
      </c>
      <c r="U56" s="2809">
        <f t="shared" si="4"/>
        <v>0.4</v>
      </c>
      <c r="W56" s="2791">
        <v>7</v>
      </c>
      <c r="X56" s="1135">
        <v>9</v>
      </c>
      <c r="Y56" s="2809">
        <f>W56/X56</f>
        <v>0.77777777777777779</v>
      </c>
      <c r="AA56" s="2791">
        <v>8</v>
      </c>
      <c r="AB56" s="1135">
        <v>16</v>
      </c>
      <c r="AC56" s="2809">
        <f>AA56/AB56</f>
        <v>0.5</v>
      </c>
      <c r="AE56" s="2791">
        <v>6</v>
      </c>
      <c r="AF56" s="1135">
        <v>12</v>
      </c>
      <c r="AG56" s="2809">
        <f>AE56/AF56</f>
        <v>0.5</v>
      </c>
      <c r="AI56" s="2791">
        <v>15</v>
      </c>
      <c r="AJ56" s="1135">
        <v>36</v>
      </c>
      <c r="AK56" s="2809">
        <f>AI56/AJ56</f>
        <v>0.41666666666666669</v>
      </c>
      <c r="AL56" s="2549"/>
      <c r="AM56" s="2791">
        <v>10</v>
      </c>
      <c r="AN56" s="1135">
        <v>20</v>
      </c>
      <c r="AO56" s="2809">
        <f>AM56/AN56</f>
        <v>0.5</v>
      </c>
      <c r="AQ56" s="2791">
        <v>3</v>
      </c>
      <c r="AR56" s="1135">
        <v>14</v>
      </c>
      <c r="AS56" s="2809">
        <f>AQ56/AR56</f>
        <v>0.21428571428571427</v>
      </c>
    </row>
    <row r="57" spans="1:45" ht="18">
      <c r="A57" s="2347"/>
      <c r="B57" s="2818" t="s">
        <v>1136</v>
      </c>
      <c r="C57" s="2824"/>
      <c r="D57" s="2825"/>
      <c r="E57" s="2826"/>
      <c r="G57" s="2824"/>
      <c r="H57" s="2825"/>
      <c r="I57" s="2826"/>
      <c r="K57" s="2824"/>
      <c r="L57" s="2825"/>
      <c r="M57" s="2826"/>
      <c r="O57" s="2824"/>
      <c r="P57" s="2825"/>
      <c r="Q57" s="2826"/>
      <c r="S57" s="2824">
        <v>8</v>
      </c>
      <c r="T57" s="2825">
        <v>13</v>
      </c>
      <c r="U57" s="2826">
        <f t="shared" si="4"/>
        <v>0.61538461538461542</v>
      </c>
      <c r="W57" s="2824">
        <v>18</v>
      </c>
      <c r="X57" s="2825">
        <v>23</v>
      </c>
      <c r="Y57" s="2826">
        <f>W57/X57</f>
        <v>0.78260869565217395</v>
      </c>
      <c r="AA57" s="2824">
        <v>3</v>
      </c>
      <c r="AB57" s="2825">
        <v>4</v>
      </c>
      <c r="AC57" s="2826">
        <f>AA57/AB57</f>
        <v>0.75</v>
      </c>
      <c r="AE57" s="2824">
        <v>15</v>
      </c>
      <c r="AF57" s="2825">
        <v>23</v>
      </c>
      <c r="AG57" s="2826">
        <f>AE57/AF57</f>
        <v>0.65217391304347827</v>
      </c>
      <c r="AI57" s="2824">
        <v>11</v>
      </c>
      <c r="AJ57" s="2825">
        <v>15</v>
      </c>
      <c r="AK57" s="2826">
        <f>AI57/AJ57</f>
        <v>0.73333333333333328</v>
      </c>
      <c r="AL57" s="2549"/>
      <c r="AM57" s="2824">
        <v>13</v>
      </c>
      <c r="AN57" s="2825">
        <v>23</v>
      </c>
      <c r="AO57" s="2826">
        <f>AM57/AN57</f>
        <v>0.56521739130434778</v>
      </c>
      <c r="AQ57" s="2803">
        <v>5</v>
      </c>
      <c r="AR57" s="2825">
        <v>7</v>
      </c>
      <c r="AS57" s="2826">
        <f>AQ57/AR57</f>
        <v>0.7142857142857143</v>
      </c>
    </row>
    <row r="58" spans="1:45" ht="18">
      <c r="A58" s="2347"/>
      <c r="B58" s="2818" t="s">
        <v>1137</v>
      </c>
      <c r="C58" s="2824"/>
      <c r="D58" s="2825"/>
      <c r="E58" s="2826"/>
      <c r="G58" s="2824"/>
      <c r="H58" s="2825"/>
      <c r="I58" s="2826"/>
      <c r="K58" s="2824"/>
      <c r="L58" s="2825"/>
      <c r="M58" s="2826"/>
      <c r="O58" s="2824"/>
      <c r="P58" s="2825"/>
      <c r="Q58" s="2826"/>
      <c r="S58" s="2824">
        <v>5</v>
      </c>
      <c r="T58" s="2825">
        <v>5</v>
      </c>
      <c r="U58" s="2826">
        <f t="shared" si="4"/>
        <v>1</v>
      </c>
      <c r="W58" s="2824"/>
      <c r="X58" s="2825"/>
      <c r="Y58" s="2826" t="e">
        <f>W58/X58</f>
        <v>#DIV/0!</v>
      </c>
      <c r="AA58" s="2824"/>
      <c r="AB58" s="2825">
        <v>1</v>
      </c>
      <c r="AC58" s="2826">
        <f>AA58/AB58</f>
        <v>0</v>
      </c>
      <c r="AE58" s="2824">
        <v>14</v>
      </c>
      <c r="AF58" s="2825">
        <v>23</v>
      </c>
      <c r="AG58" s="2826">
        <f>AE58/AF58</f>
        <v>0.60869565217391308</v>
      </c>
      <c r="AI58" s="2824">
        <v>32</v>
      </c>
      <c r="AJ58" s="2825">
        <v>46</v>
      </c>
      <c r="AK58" s="2826">
        <f>AI58/AJ58</f>
        <v>0.69565217391304346</v>
      </c>
      <c r="AL58" s="2549"/>
      <c r="AM58" s="2824">
        <v>4</v>
      </c>
      <c r="AN58" s="2825">
        <v>48</v>
      </c>
      <c r="AO58" s="2826">
        <f>AM58/AN58</f>
        <v>8.3333333333333329E-2</v>
      </c>
      <c r="AQ58" s="2803">
        <v>3</v>
      </c>
      <c r="AR58" s="2825">
        <v>41</v>
      </c>
      <c r="AS58" s="2826">
        <f>AQ58/AR58</f>
        <v>7.3170731707317069E-2</v>
      </c>
    </row>
    <row r="59" spans="1:45" ht="18">
      <c r="A59" s="2347"/>
      <c r="B59" s="2818" t="s">
        <v>1128</v>
      </c>
      <c r="C59" s="2824"/>
      <c r="D59" s="2825"/>
      <c r="E59" s="2826"/>
      <c r="G59" s="2824"/>
      <c r="H59" s="2825"/>
      <c r="I59" s="2826"/>
      <c r="K59" s="2824"/>
      <c r="L59" s="2825"/>
      <c r="M59" s="2826"/>
      <c r="O59" s="2824"/>
      <c r="P59" s="2825"/>
      <c r="Q59" s="2826"/>
      <c r="S59" s="2824">
        <v>0</v>
      </c>
      <c r="T59" s="2825">
        <v>0</v>
      </c>
      <c r="U59" s="2826"/>
      <c r="W59" s="2824"/>
      <c r="X59" s="2825"/>
      <c r="Y59" s="2826"/>
      <c r="AA59" s="2824"/>
      <c r="AB59" s="2825">
        <v>0</v>
      </c>
      <c r="AC59" s="2826"/>
      <c r="AE59" s="2824">
        <v>26</v>
      </c>
      <c r="AF59" s="2825">
        <v>36</v>
      </c>
      <c r="AG59" s="2826"/>
      <c r="AI59" s="2824">
        <v>6</v>
      </c>
      <c r="AJ59" s="2825">
        <v>8</v>
      </c>
      <c r="AK59" s="2826"/>
      <c r="AL59" s="2549"/>
      <c r="AM59" s="2824">
        <v>1</v>
      </c>
      <c r="AN59" s="2825">
        <v>1</v>
      </c>
      <c r="AO59" s="2826"/>
      <c r="AQ59" s="2803">
        <v>7</v>
      </c>
      <c r="AR59" s="2825">
        <v>13</v>
      </c>
      <c r="AS59" s="2826"/>
    </row>
    <row r="60" spans="1:45" ht="15" customHeight="1">
      <c r="A60" s="2347"/>
      <c r="B60" s="2316" t="s">
        <v>41</v>
      </c>
      <c r="C60" s="2791"/>
      <c r="D60" s="1135"/>
      <c r="E60" s="2809"/>
      <c r="G60" s="2791"/>
      <c r="H60" s="1135"/>
      <c r="I60" s="2809"/>
      <c r="K60" s="2791"/>
      <c r="L60" s="1135"/>
      <c r="M60" s="2809"/>
      <c r="O60" s="2791">
        <v>0</v>
      </c>
      <c r="P60" s="1135"/>
      <c r="Q60" s="2809"/>
      <c r="S60" s="2791">
        <f>SUM(S57:S59)</f>
        <v>13</v>
      </c>
      <c r="T60" s="1135">
        <f>SUM(T57:T59)</f>
        <v>18</v>
      </c>
      <c r="U60" s="2809">
        <f t="shared" si="4"/>
        <v>0.72222222222222221</v>
      </c>
      <c r="W60" s="2791">
        <v>18</v>
      </c>
      <c r="X60" s="1135">
        <v>23</v>
      </c>
      <c r="Y60" s="2809">
        <f>W60/X60</f>
        <v>0.78260869565217395</v>
      </c>
      <c r="AA60" s="2791">
        <v>3</v>
      </c>
      <c r="AB60" s="1135">
        <v>5</v>
      </c>
      <c r="AC60" s="2809">
        <f>AA60/AB60</f>
        <v>0.6</v>
      </c>
      <c r="AE60" s="2791">
        <v>55</v>
      </c>
      <c r="AF60" s="1135">
        <v>82</v>
      </c>
      <c r="AG60" s="2809">
        <f>AE60/AF60</f>
        <v>0.67073170731707321</v>
      </c>
      <c r="AI60" s="2791">
        <v>49</v>
      </c>
      <c r="AJ60" s="1135">
        <v>69</v>
      </c>
      <c r="AK60" s="2809">
        <f>AI60/AJ60</f>
        <v>0.71014492753623193</v>
      </c>
      <c r="AL60" s="2549"/>
      <c r="AM60" s="2791">
        <v>18</v>
      </c>
      <c r="AN60" s="1135">
        <v>72</v>
      </c>
      <c r="AO60" s="2809">
        <f>AM60/AN60</f>
        <v>0.25</v>
      </c>
      <c r="AQ60" s="2791">
        <v>15</v>
      </c>
      <c r="AR60" s="1135">
        <v>61</v>
      </c>
      <c r="AS60" s="2809">
        <f>AQ60/AR60</f>
        <v>0.24590163934426229</v>
      </c>
    </row>
    <row r="61" spans="1:45" ht="18">
      <c r="A61" s="2347"/>
      <c r="B61" s="2818" t="s">
        <v>1138</v>
      </c>
      <c r="C61" s="2824"/>
      <c r="D61" s="2825"/>
      <c r="E61" s="2826"/>
      <c r="G61" s="2824"/>
      <c r="H61" s="2825"/>
      <c r="I61" s="2826"/>
      <c r="K61" s="2824"/>
      <c r="L61" s="2825"/>
      <c r="M61" s="2826"/>
      <c r="O61" s="2824"/>
      <c r="P61" s="2825"/>
      <c r="Q61" s="2826"/>
      <c r="S61" s="2824">
        <v>0</v>
      </c>
      <c r="T61" s="2825"/>
      <c r="U61" s="2826"/>
      <c r="W61" s="2824"/>
      <c r="X61" s="2825"/>
      <c r="Y61" s="2826"/>
      <c r="AA61" s="2824"/>
      <c r="AB61" s="2825">
        <v>10</v>
      </c>
      <c r="AC61" s="2826"/>
      <c r="AE61" s="2824"/>
      <c r="AF61" s="2825">
        <v>8</v>
      </c>
      <c r="AG61" s="2826"/>
      <c r="AI61" s="2824">
        <v>0</v>
      </c>
      <c r="AJ61" s="2825">
        <v>6</v>
      </c>
      <c r="AK61" s="2826"/>
      <c r="AL61" s="2549"/>
      <c r="AM61" s="2824">
        <v>0</v>
      </c>
      <c r="AN61" s="2825">
        <v>11</v>
      </c>
      <c r="AO61" s="2826"/>
      <c r="AQ61" s="2803"/>
      <c r="AR61" s="2825">
        <v>19</v>
      </c>
      <c r="AS61" s="2826"/>
    </row>
    <row r="62" spans="1:45" ht="18">
      <c r="A62" s="2347"/>
      <c r="B62" s="2818" t="s">
        <v>1139</v>
      </c>
      <c r="C62" s="2824"/>
      <c r="D62" s="2825"/>
      <c r="E62" s="2826"/>
      <c r="G62" s="2824"/>
      <c r="H62" s="2825"/>
      <c r="I62" s="2826"/>
      <c r="K62" s="2824"/>
      <c r="L62" s="2825"/>
      <c r="M62" s="2826"/>
      <c r="O62" s="2824"/>
      <c r="P62" s="2825"/>
      <c r="Q62" s="2826"/>
      <c r="S62" s="2824">
        <v>0</v>
      </c>
      <c r="T62" s="2825"/>
      <c r="U62" s="2826"/>
      <c r="W62" s="2824"/>
      <c r="X62" s="2825"/>
      <c r="Y62" s="2826"/>
      <c r="AA62" s="2824"/>
      <c r="AB62" s="2825">
        <v>3</v>
      </c>
      <c r="AC62" s="2826"/>
      <c r="AE62" s="2824"/>
      <c r="AF62" s="2825">
        <v>0</v>
      </c>
      <c r="AG62" s="2826"/>
      <c r="AI62" s="2824">
        <v>0</v>
      </c>
      <c r="AJ62" s="2825">
        <v>21</v>
      </c>
      <c r="AK62" s="2826"/>
      <c r="AL62" s="2549"/>
      <c r="AM62" s="2824">
        <v>0</v>
      </c>
      <c r="AN62" s="2825">
        <v>12</v>
      </c>
      <c r="AO62" s="2826"/>
      <c r="AQ62" s="2803"/>
      <c r="AR62" s="2825">
        <v>3</v>
      </c>
      <c r="AS62" s="2826"/>
    </row>
    <row r="63" spans="1:45" ht="18">
      <c r="A63" s="2347"/>
      <c r="B63" s="2818" t="s">
        <v>1140</v>
      </c>
      <c r="C63" s="2824"/>
      <c r="D63" s="2825"/>
      <c r="E63" s="2826"/>
      <c r="G63" s="2824"/>
      <c r="H63" s="2825"/>
      <c r="I63" s="2826"/>
      <c r="K63" s="2824"/>
      <c r="L63" s="2825"/>
      <c r="M63" s="2826"/>
      <c r="O63" s="2824"/>
      <c r="P63" s="2825"/>
      <c r="Q63" s="2826"/>
      <c r="S63" s="2824">
        <v>0</v>
      </c>
      <c r="T63" s="2825">
        <v>1</v>
      </c>
      <c r="U63" s="2826">
        <f t="shared" si="4"/>
        <v>0</v>
      </c>
      <c r="W63" s="2824"/>
      <c r="X63" s="2825">
        <v>25</v>
      </c>
      <c r="Y63" s="2826">
        <f t="shared" ref="Y63:Y83" si="11">W63/X63</f>
        <v>0</v>
      </c>
      <c r="AA63" s="2824">
        <v>1</v>
      </c>
      <c r="AB63" s="2825">
        <v>26</v>
      </c>
      <c r="AC63" s="2826">
        <f t="shared" ref="AC63:AC83" si="12">AA63/AB63</f>
        <v>3.8461538461538464E-2</v>
      </c>
      <c r="AE63" s="2824"/>
      <c r="AF63" s="2825">
        <v>35</v>
      </c>
      <c r="AG63" s="2826">
        <f t="shared" ref="AG63:AG83" si="13">AE63/AF63</f>
        <v>0</v>
      </c>
      <c r="AI63" s="2824">
        <v>0</v>
      </c>
      <c r="AJ63" s="2825">
        <v>27</v>
      </c>
      <c r="AK63" s="2826">
        <f t="shared" ref="AK63:AK83" si="14">AI63/AJ63</f>
        <v>0</v>
      </c>
      <c r="AL63" s="2549"/>
      <c r="AM63" s="2824">
        <v>0</v>
      </c>
      <c r="AN63" s="2825">
        <v>23</v>
      </c>
      <c r="AO63" s="2826">
        <f t="shared" ref="AO63:AO81" si="15">AM63/AN63</f>
        <v>0</v>
      </c>
      <c r="AQ63" s="2803"/>
      <c r="AR63" s="2825">
        <v>7</v>
      </c>
      <c r="AS63" s="2826">
        <f t="shared" ref="AS63:AS81" si="16">AQ63/AR63</f>
        <v>0</v>
      </c>
    </row>
    <row r="64" spans="1:45" ht="15" customHeight="1">
      <c r="A64" s="2347"/>
      <c r="B64" s="2348" t="s">
        <v>16</v>
      </c>
      <c r="C64" s="2796"/>
      <c r="D64" s="2349"/>
      <c r="E64" s="2812"/>
      <c r="G64" s="2796"/>
      <c r="H64" s="2349"/>
      <c r="I64" s="2812"/>
      <c r="K64" s="2796"/>
      <c r="L64" s="2349"/>
      <c r="M64" s="2812"/>
      <c r="O64" s="2796">
        <v>0</v>
      </c>
      <c r="P64" s="2349"/>
      <c r="Q64" s="2812"/>
      <c r="S64" s="2796">
        <f>SUM(S61:S63)</f>
        <v>0</v>
      </c>
      <c r="T64" s="2349">
        <f>SUM(T61:T63)</f>
        <v>1</v>
      </c>
      <c r="U64" s="2812">
        <f t="shared" si="4"/>
        <v>0</v>
      </c>
      <c r="W64" s="2796">
        <v>0</v>
      </c>
      <c r="X64" s="2349">
        <v>25</v>
      </c>
      <c r="Y64" s="2812">
        <f t="shared" si="11"/>
        <v>0</v>
      </c>
      <c r="AA64" s="2796">
        <v>1</v>
      </c>
      <c r="AB64" s="2349">
        <v>39</v>
      </c>
      <c r="AC64" s="2812">
        <f t="shared" si="12"/>
        <v>2.564102564102564E-2</v>
      </c>
      <c r="AE64" s="2796">
        <v>0</v>
      </c>
      <c r="AF64" s="2349">
        <v>43</v>
      </c>
      <c r="AG64" s="2812">
        <f t="shared" si="13"/>
        <v>0</v>
      </c>
      <c r="AI64" s="2796">
        <v>0</v>
      </c>
      <c r="AJ64" s="2349">
        <v>54</v>
      </c>
      <c r="AK64" s="2812">
        <f t="shared" si="14"/>
        <v>0</v>
      </c>
      <c r="AL64" s="2549"/>
      <c r="AM64" s="2796">
        <v>0</v>
      </c>
      <c r="AN64" s="2349">
        <v>46</v>
      </c>
      <c r="AO64" s="2812">
        <f t="shared" si="15"/>
        <v>0</v>
      </c>
      <c r="AQ64" s="2796">
        <v>0</v>
      </c>
      <c r="AR64" s="2349">
        <v>29</v>
      </c>
      <c r="AS64" s="2812">
        <f t="shared" si="16"/>
        <v>0</v>
      </c>
    </row>
    <row r="65" spans="1:45" ht="15" customHeight="1">
      <c r="A65" s="2347"/>
      <c r="B65" s="2823" t="s">
        <v>358</v>
      </c>
      <c r="C65" s="2805"/>
      <c r="D65" s="2806"/>
      <c r="E65" s="2816"/>
      <c r="G65" s="2805"/>
      <c r="H65" s="2806"/>
      <c r="I65" s="2816"/>
      <c r="K65" s="2805"/>
      <c r="L65" s="2806"/>
      <c r="M65" s="2816"/>
      <c r="O65" s="2805">
        <v>0</v>
      </c>
      <c r="P65" s="2806">
        <f>SUM(P56,P60,P64)</f>
        <v>18</v>
      </c>
      <c r="Q65" s="2816"/>
      <c r="S65" s="2805">
        <f>SUM(S56,S60,S64)</f>
        <v>15</v>
      </c>
      <c r="T65" s="2806">
        <f>SUM(T56,T60,T64)</f>
        <v>24</v>
      </c>
      <c r="U65" s="2816">
        <f t="shared" si="4"/>
        <v>0.625</v>
      </c>
      <c r="W65" s="2805">
        <v>25</v>
      </c>
      <c r="X65" s="2806">
        <v>57</v>
      </c>
      <c r="Y65" s="2816">
        <f t="shared" si="11"/>
        <v>0.43859649122807015</v>
      </c>
      <c r="AA65" s="2805">
        <v>12</v>
      </c>
      <c r="AB65" s="2806">
        <v>60</v>
      </c>
      <c r="AC65" s="2816">
        <f t="shared" si="12"/>
        <v>0.2</v>
      </c>
      <c r="AE65" s="2805">
        <v>61</v>
      </c>
      <c r="AF65" s="2806">
        <v>137</v>
      </c>
      <c r="AG65" s="2816">
        <f t="shared" si="13"/>
        <v>0.44525547445255476</v>
      </c>
      <c r="AI65" s="2805">
        <v>64</v>
      </c>
      <c r="AJ65" s="2806">
        <v>159</v>
      </c>
      <c r="AK65" s="2816">
        <f t="shared" si="14"/>
        <v>0.40251572327044027</v>
      </c>
      <c r="AL65" s="2549"/>
      <c r="AM65" s="2805">
        <v>28</v>
      </c>
      <c r="AN65" s="2806">
        <v>138</v>
      </c>
      <c r="AO65" s="2816">
        <f t="shared" si="15"/>
        <v>0.20289855072463769</v>
      </c>
      <c r="AQ65" s="2805">
        <v>18</v>
      </c>
      <c r="AR65" s="2806">
        <v>104</v>
      </c>
      <c r="AS65" s="2816">
        <f t="shared" si="16"/>
        <v>0.17307692307692307</v>
      </c>
    </row>
    <row r="66" spans="1:45" ht="18">
      <c r="A66" s="2347"/>
      <c r="B66" s="2818" t="s">
        <v>1141</v>
      </c>
      <c r="C66" s="2792">
        <v>50</v>
      </c>
      <c r="D66" s="2793">
        <v>221</v>
      </c>
      <c r="E66" s="2810">
        <f t="shared" si="0"/>
        <v>0.22624434389140272</v>
      </c>
      <c r="G66" s="2792">
        <v>33</v>
      </c>
      <c r="H66" s="2793">
        <v>216</v>
      </c>
      <c r="I66" s="2810">
        <f t="shared" si="1"/>
        <v>0.15277777777777779</v>
      </c>
      <c r="K66" s="2792">
        <v>38</v>
      </c>
      <c r="L66" s="2793">
        <v>224</v>
      </c>
      <c r="M66" s="2810">
        <f t="shared" si="2"/>
        <v>0.16964285714285715</v>
      </c>
      <c r="O66" s="2792">
        <v>35</v>
      </c>
      <c r="P66" s="2793">
        <v>151</v>
      </c>
      <c r="Q66" s="2810">
        <f t="shared" si="3"/>
        <v>0.23178807947019867</v>
      </c>
      <c r="S66" s="2792">
        <v>51</v>
      </c>
      <c r="T66" s="2793">
        <v>252</v>
      </c>
      <c r="U66" s="2810">
        <f t="shared" si="4"/>
        <v>0.20238095238095238</v>
      </c>
      <c r="W66" s="2792">
        <v>46</v>
      </c>
      <c r="X66" s="2793">
        <v>217</v>
      </c>
      <c r="Y66" s="2810">
        <f t="shared" si="11"/>
        <v>0.2119815668202765</v>
      </c>
      <c r="AA66" s="2792">
        <v>48</v>
      </c>
      <c r="AB66" s="2793">
        <v>204</v>
      </c>
      <c r="AC66" s="2810">
        <f t="shared" si="12"/>
        <v>0.23529411764705882</v>
      </c>
      <c r="AE66" s="2792">
        <v>45</v>
      </c>
      <c r="AF66" s="2793">
        <v>228</v>
      </c>
      <c r="AG66" s="2810">
        <f t="shared" si="13"/>
        <v>0.19736842105263158</v>
      </c>
      <c r="AI66" s="2792">
        <v>43</v>
      </c>
      <c r="AJ66" s="2793">
        <v>208</v>
      </c>
      <c r="AK66" s="2810">
        <f t="shared" si="14"/>
        <v>0.20673076923076922</v>
      </c>
      <c r="AL66" s="2549"/>
      <c r="AM66" s="2792">
        <v>84</v>
      </c>
      <c r="AN66" s="2793">
        <v>277</v>
      </c>
      <c r="AO66" s="2810">
        <f t="shared" si="15"/>
        <v>0.30324909747292417</v>
      </c>
      <c r="AQ66" s="2792">
        <v>49</v>
      </c>
      <c r="AR66" s="2793">
        <v>181</v>
      </c>
      <c r="AS66" s="2810">
        <f t="shared" si="16"/>
        <v>0.27071823204419887</v>
      </c>
    </row>
    <row r="67" spans="1:45" ht="18">
      <c r="A67" s="2347"/>
      <c r="B67" s="2818" t="s">
        <v>1142</v>
      </c>
      <c r="C67" s="2792">
        <v>26</v>
      </c>
      <c r="D67" s="2793">
        <v>60</v>
      </c>
      <c r="E67" s="2810">
        <f t="shared" si="0"/>
        <v>0.43333333333333335</v>
      </c>
      <c r="G67" s="2792">
        <v>12</v>
      </c>
      <c r="H67" s="2793">
        <v>44</v>
      </c>
      <c r="I67" s="2810">
        <f t="shared" si="1"/>
        <v>0.27272727272727271</v>
      </c>
      <c r="K67" s="2792">
        <v>21</v>
      </c>
      <c r="L67" s="2793">
        <v>66</v>
      </c>
      <c r="M67" s="2810">
        <f t="shared" si="2"/>
        <v>0.31818181818181818</v>
      </c>
      <c r="O67" s="2792">
        <v>31</v>
      </c>
      <c r="P67" s="2793">
        <v>75</v>
      </c>
      <c r="Q67" s="2810">
        <f t="shared" si="3"/>
        <v>0.41333333333333333</v>
      </c>
      <c r="S67" s="2792">
        <v>24</v>
      </c>
      <c r="T67" s="2793">
        <v>96</v>
      </c>
      <c r="U67" s="2810">
        <f t="shared" si="4"/>
        <v>0.25</v>
      </c>
      <c r="W67" s="2792">
        <v>21</v>
      </c>
      <c r="X67" s="2793">
        <v>58</v>
      </c>
      <c r="Y67" s="2810">
        <f t="shared" si="11"/>
        <v>0.36206896551724138</v>
      </c>
      <c r="AA67" s="2792">
        <v>17</v>
      </c>
      <c r="AB67" s="2793">
        <v>83</v>
      </c>
      <c r="AC67" s="2810">
        <f t="shared" si="12"/>
        <v>0.20481927710843373</v>
      </c>
      <c r="AE67" s="2792">
        <v>22</v>
      </c>
      <c r="AF67" s="2793">
        <v>84</v>
      </c>
      <c r="AG67" s="2810">
        <f t="shared" si="13"/>
        <v>0.26190476190476192</v>
      </c>
      <c r="AI67" s="2792">
        <v>19</v>
      </c>
      <c r="AJ67" s="2793">
        <v>94</v>
      </c>
      <c r="AK67" s="2810">
        <f t="shared" si="14"/>
        <v>0.20212765957446807</v>
      </c>
      <c r="AL67" s="2549"/>
      <c r="AM67" s="2792">
        <v>21</v>
      </c>
      <c r="AN67" s="2793">
        <v>81</v>
      </c>
      <c r="AO67" s="2810">
        <f t="shared" si="15"/>
        <v>0.25925925925925924</v>
      </c>
      <c r="AQ67" s="2792">
        <v>9</v>
      </c>
      <c r="AR67" s="2793">
        <v>32</v>
      </c>
      <c r="AS67" s="2810">
        <f t="shared" si="16"/>
        <v>0.28125</v>
      </c>
    </row>
    <row r="68" spans="1:45" ht="18">
      <c r="A68" s="2347"/>
      <c r="B68" s="2818" t="s">
        <v>1143</v>
      </c>
      <c r="C68" s="2792">
        <v>73</v>
      </c>
      <c r="D68" s="2793">
        <v>157</v>
      </c>
      <c r="E68" s="2810">
        <f t="shared" si="0"/>
        <v>0.46496815286624205</v>
      </c>
      <c r="G68" s="2792">
        <v>74</v>
      </c>
      <c r="H68" s="2793">
        <v>147</v>
      </c>
      <c r="I68" s="2810">
        <f t="shared" si="1"/>
        <v>0.50340136054421769</v>
      </c>
      <c r="K68" s="2792">
        <v>84</v>
      </c>
      <c r="L68" s="2793">
        <v>189</v>
      </c>
      <c r="M68" s="2810">
        <f t="shared" si="2"/>
        <v>0.44444444444444442</v>
      </c>
      <c r="O68" s="2792">
        <v>86</v>
      </c>
      <c r="P68" s="2793">
        <v>177</v>
      </c>
      <c r="Q68" s="2810">
        <f t="shared" si="3"/>
        <v>0.48587570621468928</v>
      </c>
      <c r="S68" s="2792">
        <v>84</v>
      </c>
      <c r="T68" s="2793">
        <v>148</v>
      </c>
      <c r="U68" s="2810">
        <f t="shared" si="4"/>
        <v>0.56756756756756754</v>
      </c>
      <c r="W68" s="2792">
        <v>83</v>
      </c>
      <c r="X68" s="2793">
        <v>185</v>
      </c>
      <c r="Y68" s="2810">
        <f t="shared" si="11"/>
        <v>0.44864864864864867</v>
      </c>
      <c r="AA68" s="2792">
        <v>38</v>
      </c>
      <c r="AB68" s="2793">
        <v>87</v>
      </c>
      <c r="AC68" s="2810">
        <f t="shared" si="12"/>
        <v>0.43678160919540232</v>
      </c>
      <c r="AE68" s="2792">
        <v>64</v>
      </c>
      <c r="AF68" s="2793">
        <v>124</v>
      </c>
      <c r="AG68" s="2810">
        <f t="shared" si="13"/>
        <v>0.5161290322580645</v>
      </c>
      <c r="AI68" s="2792">
        <v>60</v>
      </c>
      <c r="AJ68" s="2793">
        <v>118</v>
      </c>
      <c r="AK68" s="2810">
        <f t="shared" si="14"/>
        <v>0.50847457627118642</v>
      </c>
      <c r="AL68" s="2549"/>
      <c r="AM68" s="2792">
        <v>64</v>
      </c>
      <c r="AN68" s="2793">
        <v>121</v>
      </c>
      <c r="AO68" s="2810">
        <f t="shared" si="15"/>
        <v>0.52892561983471076</v>
      </c>
      <c r="AQ68" s="2792">
        <v>59</v>
      </c>
      <c r="AR68" s="2793">
        <v>106</v>
      </c>
      <c r="AS68" s="2810">
        <f t="shared" si="16"/>
        <v>0.55660377358490565</v>
      </c>
    </row>
    <row r="69" spans="1:45" ht="18">
      <c r="A69" s="2347"/>
      <c r="B69" s="2818" t="s">
        <v>1144</v>
      </c>
      <c r="C69" s="2792">
        <v>49</v>
      </c>
      <c r="D69" s="2793">
        <v>86</v>
      </c>
      <c r="E69" s="2810">
        <f t="shared" ref="E69:E83" si="17">C69/D69</f>
        <v>0.56976744186046513</v>
      </c>
      <c r="G69" s="2792">
        <v>46</v>
      </c>
      <c r="H69" s="2793">
        <v>80</v>
      </c>
      <c r="I69" s="2810">
        <f t="shared" ref="I69:I83" si="18">G69/H69</f>
        <v>0.57499999999999996</v>
      </c>
      <c r="K69" s="2792">
        <v>58</v>
      </c>
      <c r="L69" s="2793">
        <v>118</v>
      </c>
      <c r="M69" s="2810">
        <f t="shared" ref="M69:M83" si="19">K69/L69</f>
        <v>0.49152542372881358</v>
      </c>
      <c r="O69" s="2792">
        <v>78</v>
      </c>
      <c r="P69" s="2793">
        <v>131</v>
      </c>
      <c r="Q69" s="2810">
        <f t="shared" ref="Q69:Q83" si="20">O69/P69</f>
        <v>0.59541984732824427</v>
      </c>
      <c r="S69" s="2792">
        <v>106</v>
      </c>
      <c r="T69" s="2793">
        <v>165</v>
      </c>
      <c r="U69" s="2810">
        <f t="shared" ref="U69:U83" si="21">S69/T69</f>
        <v>0.64242424242424245</v>
      </c>
      <c r="W69" s="2792">
        <v>77</v>
      </c>
      <c r="X69" s="2793">
        <v>136</v>
      </c>
      <c r="Y69" s="2810">
        <f t="shared" si="11"/>
        <v>0.56617647058823528</v>
      </c>
      <c r="AA69" s="2792">
        <v>59</v>
      </c>
      <c r="AB69" s="2793">
        <v>96</v>
      </c>
      <c r="AC69" s="2810">
        <f t="shared" si="12"/>
        <v>0.61458333333333337</v>
      </c>
      <c r="AE69" s="2792">
        <v>63</v>
      </c>
      <c r="AF69" s="2793">
        <v>123</v>
      </c>
      <c r="AG69" s="2810">
        <f t="shared" si="13"/>
        <v>0.51219512195121952</v>
      </c>
      <c r="AI69" s="2792">
        <v>79</v>
      </c>
      <c r="AJ69" s="2793">
        <v>117</v>
      </c>
      <c r="AK69" s="2810">
        <f t="shared" si="14"/>
        <v>0.67521367521367526</v>
      </c>
      <c r="AL69" s="2549"/>
      <c r="AM69" s="2792">
        <v>55</v>
      </c>
      <c r="AN69" s="2793">
        <v>98</v>
      </c>
      <c r="AO69" s="2810">
        <f t="shared" si="15"/>
        <v>0.56122448979591832</v>
      </c>
      <c r="AQ69" s="2792">
        <v>75</v>
      </c>
      <c r="AR69" s="2793">
        <v>104</v>
      </c>
      <c r="AS69" s="2810">
        <f t="shared" si="16"/>
        <v>0.72115384615384615</v>
      </c>
    </row>
    <row r="70" spans="1:45" ht="15" customHeight="1">
      <c r="A70" s="2347"/>
      <c r="B70" s="2316" t="s">
        <v>41</v>
      </c>
      <c r="C70" s="2791">
        <f>SUM(C66:C69)</f>
        <v>198</v>
      </c>
      <c r="D70" s="1135">
        <v>524</v>
      </c>
      <c r="E70" s="2809">
        <f t="shared" si="17"/>
        <v>0.37786259541984735</v>
      </c>
      <c r="G70" s="2791">
        <v>165</v>
      </c>
      <c r="H70" s="1135">
        <v>487</v>
      </c>
      <c r="I70" s="2809">
        <f t="shared" si="18"/>
        <v>0.33880903490759756</v>
      </c>
      <c r="K70" s="2791">
        <v>201</v>
      </c>
      <c r="L70" s="1135">
        <v>597</v>
      </c>
      <c r="M70" s="2809">
        <f t="shared" si="19"/>
        <v>0.33668341708542715</v>
      </c>
      <c r="O70" s="2791">
        <v>230</v>
      </c>
      <c r="P70" s="1135">
        <f>SUM(P66:P69)</f>
        <v>534</v>
      </c>
      <c r="Q70" s="2809">
        <f t="shared" si="20"/>
        <v>0.43071161048689138</v>
      </c>
      <c r="S70" s="2791">
        <f>SUM(S66:S69)</f>
        <v>265</v>
      </c>
      <c r="T70" s="1135">
        <f>SUM(T66:T69)</f>
        <v>661</v>
      </c>
      <c r="U70" s="2809">
        <f t="shared" si="21"/>
        <v>0.40090771558245081</v>
      </c>
      <c r="W70" s="2791">
        <v>227</v>
      </c>
      <c r="X70" s="1135">
        <v>596</v>
      </c>
      <c r="Y70" s="2809">
        <f t="shared" si="11"/>
        <v>0.38087248322147649</v>
      </c>
      <c r="AA70" s="2791">
        <v>162</v>
      </c>
      <c r="AB70" s="1135">
        <v>470</v>
      </c>
      <c r="AC70" s="2809">
        <f t="shared" si="12"/>
        <v>0.34468085106382979</v>
      </c>
      <c r="AE70" s="2791">
        <v>194</v>
      </c>
      <c r="AF70" s="1135">
        <v>559</v>
      </c>
      <c r="AG70" s="2809">
        <f t="shared" si="13"/>
        <v>0.34704830053667263</v>
      </c>
      <c r="AI70" s="2791">
        <v>201</v>
      </c>
      <c r="AJ70" s="1135">
        <v>537</v>
      </c>
      <c r="AK70" s="2809">
        <f t="shared" si="14"/>
        <v>0.37430167597765363</v>
      </c>
      <c r="AL70" s="2549"/>
      <c r="AM70" s="2791">
        <v>224</v>
      </c>
      <c r="AN70" s="1135">
        <v>577</v>
      </c>
      <c r="AO70" s="2809">
        <f t="shared" si="15"/>
        <v>0.38821490467937608</v>
      </c>
      <c r="AQ70" s="2791">
        <v>192</v>
      </c>
      <c r="AR70" s="1135">
        <v>423</v>
      </c>
      <c r="AS70" s="2809">
        <f t="shared" si="16"/>
        <v>0.45390070921985815</v>
      </c>
    </row>
    <row r="71" spans="1:45" ht="18">
      <c r="A71" s="2347"/>
      <c r="B71" s="2818" t="s">
        <v>1145</v>
      </c>
      <c r="C71" s="2792">
        <v>5</v>
      </c>
      <c r="D71" s="2793">
        <v>245</v>
      </c>
      <c r="E71" s="2810">
        <f t="shared" si="17"/>
        <v>2.0408163265306121E-2</v>
      </c>
      <c r="G71" s="2792"/>
      <c r="H71" s="2793">
        <v>210</v>
      </c>
      <c r="I71" s="2810">
        <f t="shared" si="18"/>
        <v>0</v>
      </c>
      <c r="K71" s="2792">
        <v>3</v>
      </c>
      <c r="L71" s="2793">
        <v>303</v>
      </c>
      <c r="M71" s="2810">
        <f t="shared" si="19"/>
        <v>9.9009900990099011E-3</v>
      </c>
      <c r="O71" s="2792">
        <v>1</v>
      </c>
      <c r="P71" s="2793">
        <v>219</v>
      </c>
      <c r="Q71" s="2810">
        <f t="shared" si="20"/>
        <v>4.5662100456621002E-3</v>
      </c>
      <c r="S71" s="2792">
        <v>4</v>
      </c>
      <c r="T71" s="2793">
        <v>233</v>
      </c>
      <c r="U71" s="2810">
        <f t="shared" si="21"/>
        <v>1.7167381974248927E-2</v>
      </c>
      <c r="W71" s="2792"/>
      <c r="X71" s="2793">
        <v>221</v>
      </c>
      <c r="Y71" s="2810">
        <f t="shared" si="11"/>
        <v>0</v>
      </c>
      <c r="AA71" s="2792">
        <v>3</v>
      </c>
      <c r="AB71" s="2793">
        <v>210</v>
      </c>
      <c r="AC71" s="2810">
        <f t="shared" si="12"/>
        <v>1.4285714285714285E-2</v>
      </c>
      <c r="AE71" s="2792"/>
      <c r="AF71" s="2793">
        <v>159</v>
      </c>
      <c r="AG71" s="2810">
        <f t="shared" si="13"/>
        <v>0</v>
      </c>
      <c r="AI71" s="2792">
        <v>5</v>
      </c>
      <c r="AJ71" s="2793">
        <v>142</v>
      </c>
      <c r="AK71" s="2810">
        <f t="shared" si="14"/>
        <v>3.5211267605633804E-2</v>
      </c>
      <c r="AL71" s="2549"/>
      <c r="AM71" s="2792">
        <v>6</v>
      </c>
      <c r="AN71" s="2793">
        <v>132</v>
      </c>
      <c r="AO71" s="2810">
        <f t="shared" si="15"/>
        <v>4.5454545454545456E-2</v>
      </c>
      <c r="AQ71" s="2792">
        <v>3</v>
      </c>
      <c r="AR71" s="2793">
        <v>78</v>
      </c>
      <c r="AS71" s="2810">
        <f t="shared" si="16"/>
        <v>3.8461538461538464E-2</v>
      </c>
    </row>
    <row r="72" spans="1:45" ht="18">
      <c r="A72" s="2347"/>
      <c r="B72" s="2818" t="s">
        <v>1146</v>
      </c>
      <c r="C72" s="2792"/>
      <c r="D72" s="2793">
        <v>151</v>
      </c>
      <c r="E72" s="2810">
        <f t="shared" si="17"/>
        <v>0</v>
      </c>
      <c r="G72" s="2792"/>
      <c r="H72" s="2793">
        <v>162</v>
      </c>
      <c r="I72" s="2810">
        <f t="shared" si="18"/>
        <v>0</v>
      </c>
      <c r="K72" s="2792">
        <v>1</v>
      </c>
      <c r="L72" s="2793">
        <v>229</v>
      </c>
      <c r="M72" s="2810">
        <f t="shared" si="19"/>
        <v>4.3668122270742356E-3</v>
      </c>
      <c r="O72" s="2792"/>
      <c r="P72" s="2793">
        <v>174</v>
      </c>
      <c r="Q72" s="2810">
        <f t="shared" si="20"/>
        <v>0</v>
      </c>
      <c r="S72" s="2792">
        <v>4</v>
      </c>
      <c r="T72" s="2793">
        <v>220</v>
      </c>
      <c r="U72" s="2810">
        <f t="shared" si="21"/>
        <v>1.8181818181818181E-2</v>
      </c>
      <c r="W72" s="2792">
        <v>1</v>
      </c>
      <c r="X72" s="2793">
        <v>170</v>
      </c>
      <c r="Y72" s="2810">
        <f t="shared" si="11"/>
        <v>5.8823529411764705E-3</v>
      </c>
      <c r="AA72" s="2792"/>
      <c r="AB72" s="2793">
        <v>139</v>
      </c>
      <c r="AC72" s="2810">
        <f t="shared" si="12"/>
        <v>0</v>
      </c>
      <c r="AE72" s="2792">
        <v>1</v>
      </c>
      <c r="AF72" s="2793">
        <v>142</v>
      </c>
      <c r="AG72" s="2810">
        <f t="shared" si="13"/>
        <v>7.0422535211267607E-3</v>
      </c>
      <c r="AI72" s="2792">
        <v>2</v>
      </c>
      <c r="AJ72" s="2793">
        <v>207</v>
      </c>
      <c r="AK72" s="2810">
        <f t="shared" si="14"/>
        <v>9.6618357487922701E-3</v>
      </c>
      <c r="AL72" s="2549"/>
      <c r="AM72" s="2792">
        <v>0</v>
      </c>
      <c r="AN72" s="2793">
        <v>186</v>
      </c>
      <c r="AO72" s="2810">
        <f t="shared" si="15"/>
        <v>0</v>
      </c>
      <c r="AQ72" s="2792">
        <v>1</v>
      </c>
      <c r="AR72" s="2793">
        <v>99</v>
      </c>
      <c r="AS72" s="2810">
        <f t="shared" si="16"/>
        <v>1.0101010101010102E-2</v>
      </c>
    </row>
    <row r="73" spans="1:45" ht="18">
      <c r="A73" s="2347"/>
      <c r="B73" s="2818" t="s">
        <v>1147</v>
      </c>
      <c r="C73" s="2792">
        <v>1</v>
      </c>
      <c r="D73" s="2793">
        <v>160</v>
      </c>
      <c r="E73" s="2810">
        <f t="shared" si="17"/>
        <v>6.2500000000000003E-3</v>
      </c>
      <c r="G73" s="2792">
        <v>4</v>
      </c>
      <c r="H73" s="2793">
        <v>153</v>
      </c>
      <c r="I73" s="2810">
        <f t="shared" si="18"/>
        <v>2.6143790849673203E-2</v>
      </c>
      <c r="K73" s="2792">
        <v>41</v>
      </c>
      <c r="L73" s="2793">
        <v>286</v>
      </c>
      <c r="M73" s="2810">
        <f t="shared" si="19"/>
        <v>0.14335664335664336</v>
      </c>
      <c r="O73" s="2792">
        <v>20</v>
      </c>
      <c r="P73" s="2793">
        <v>122</v>
      </c>
      <c r="Q73" s="2810">
        <f t="shared" si="20"/>
        <v>0.16393442622950818</v>
      </c>
      <c r="S73" s="2792">
        <v>1</v>
      </c>
      <c r="T73" s="2793">
        <v>143</v>
      </c>
      <c r="U73" s="2810">
        <f t="shared" si="21"/>
        <v>6.993006993006993E-3</v>
      </c>
      <c r="W73" s="2792">
        <v>1</v>
      </c>
      <c r="X73" s="2793">
        <v>153</v>
      </c>
      <c r="Y73" s="2810">
        <f t="shared" si="11"/>
        <v>6.5359477124183009E-3</v>
      </c>
      <c r="AA73" s="2792">
        <v>2</v>
      </c>
      <c r="AB73" s="2793">
        <v>119</v>
      </c>
      <c r="AC73" s="2810">
        <f t="shared" si="12"/>
        <v>1.680672268907563E-2</v>
      </c>
      <c r="AE73" s="2792">
        <v>5</v>
      </c>
      <c r="AF73" s="2793">
        <v>159</v>
      </c>
      <c r="AG73" s="2810">
        <f t="shared" si="13"/>
        <v>3.1446540880503145E-2</v>
      </c>
      <c r="AI73" s="2792">
        <v>3</v>
      </c>
      <c r="AJ73" s="2793">
        <v>161</v>
      </c>
      <c r="AK73" s="2810">
        <f t="shared" si="14"/>
        <v>1.8633540372670808E-2</v>
      </c>
      <c r="AL73" s="2549"/>
      <c r="AM73" s="2792">
        <v>3</v>
      </c>
      <c r="AN73" s="2793">
        <v>109</v>
      </c>
      <c r="AO73" s="2810">
        <f t="shared" si="15"/>
        <v>2.7522935779816515E-2</v>
      </c>
      <c r="AQ73" s="2792">
        <v>3</v>
      </c>
      <c r="AR73" s="2793">
        <v>56</v>
      </c>
      <c r="AS73" s="2810">
        <f t="shared" si="16"/>
        <v>5.3571428571428568E-2</v>
      </c>
    </row>
    <row r="74" spans="1:45" ht="18">
      <c r="A74" s="2347"/>
      <c r="B74" s="2818" t="s">
        <v>1148</v>
      </c>
      <c r="C74" s="2792"/>
      <c r="D74" s="2793">
        <v>94</v>
      </c>
      <c r="E74" s="2810">
        <f t="shared" si="17"/>
        <v>0</v>
      </c>
      <c r="G74" s="2792">
        <v>1</v>
      </c>
      <c r="H74" s="2793">
        <v>105</v>
      </c>
      <c r="I74" s="2810">
        <f t="shared" si="18"/>
        <v>9.5238095238095247E-3</v>
      </c>
      <c r="K74" s="2792">
        <v>1</v>
      </c>
      <c r="L74" s="2793">
        <v>84</v>
      </c>
      <c r="M74" s="2810">
        <f t="shared" si="19"/>
        <v>1.1904761904761904E-2</v>
      </c>
      <c r="O74" s="2792">
        <v>1</v>
      </c>
      <c r="P74" s="2793">
        <v>97</v>
      </c>
      <c r="Q74" s="2810">
        <f t="shared" si="20"/>
        <v>1.0309278350515464E-2</v>
      </c>
      <c r="S74" s="2792">
        <v>0</v>
      </c>
      <c r="T74" s="2793">
        <v>117</v>
      </c>
      <c r="U74" s="2810">
        <f t="shared" si="21"/>
        <v>0</v>
      </c>
      <c r="W74" s="2792">
        <v>2</v>
      </c>
      <c r="X74" s="2793">
        <v>71</v>
      </c>
      <c r="Y74" s="2810">
        <f t="shared" si="11"/>
        <v>2.8169014084507043E-2</v>
      </c>
      <c r="AA74" s="2792">
        <v>1</v>
      </c>
      <c r="AB74" s="2793">
        <v>62</v>
      </c>
      <c r="AC74" s="2810">
        <f t="shared" si="12"/>
        <v>1.6129032258064516E-2</v>
      </c>
      <c r="AE74" s="2792">
        <v>1</v>
      </c>
      <c r="AF74" s="2793">
        <v>52</v>
      </c>
      <c r="AG74" s="2810">
        <f t="shared" si="13"/>
        <v>1.9230769230769232E-2</v>
      </c>
      <c r="AI74" s="2792">
        <v>1</v>
      </c>
      <c r="AJ74" s="2793">
        <v>97</v>
      </c>
      <c r="AK74" s="2810">
        <f t="shared" si="14"/>
        <v>1.0309278350515464E-2</v>
      </c>
      <c r="AL74" s="2549"/>
      <c r="AM74" s="2792">
        <v>0</v>
      </c>
      <c r="AN74" s="2793">
        <v>76</v>
      </c>
      <c r="AO74" s="2810">
        <f t="shared" si="15"/>
        <v>0</v>
      </c>
      <c r="AQ74" s="2792">
        <v>0</v>
      </c>
      <c r="AR74" s="2793">
        <v>33</v>
      </c>
      <c r="AS74" s="2810">
        <f t="shared" si="16"/>
        <v>0</v>
      </c>
    </row>
    <row r="75" spans="1:45" ht="15" customHeight="1">
      <c r="A75" s="2347"/>
      <c r="B75" s="2316" t="s">
        <v>16</v>
      </c>
      <c r="C75" s="2791">
        <f>SUM(C71:C74)</f>
        <v>6</v>
      </c>
      <c r="D75" s="1135">
        <v>650</v>
      </c>
      <c r="E75" s="2809">
        <f t="shared" si="17"/>
        <v>9.2307692307692316E-3</v>
      </c>
      <c r="G75" s="2791">
        <v>5</v>
      </c>
      <c r="H75" s="1135">
        <v>630</v>
      </c>
      <c r="I75" s="2809">
        <f t="shared" si="18"/>
        <v>7.9365079365079361E-3</v>
      </c>
      <c r="K75" s="2791">
        <v>46</v>
      </c>
      <c r="L75" s="1135">
        <v>902</v>
      </c>
      <c r="M75" s="2809">
        <f t="shared" si="19"/>
        <v>5.0997782705099776E-2</v>
      </c>
      <c r="O75" s="2791">
        <v>22</v>
      </c>
      <c r="P75" s="1135">
        <f>SUM(P71:P74)</f>
        <v>612</v>
      </c>
      <c r="Q75" s="2809">
        <f t="shared" si="20"/>
        <v>3.5947712418300651E-2</v>
      </c>
      <c r="S75" s="2791">
        <f>SUM(S71:S74)</f>
        <v>9</v>
      </c>
      <c r="T75" s="1135">
        <f>SUM(T71:T74)</f>
        <v>713</v>
      </c>
      <c r="U75" s="2809">
        <f t="shared" si="21"/>
        <v>1.2622720897615708E-2</v>
      </c>
      <c r="W75" s="2791">
        <v>4</v>
      </c>
      <c r="X75" s="1135">
        <v>615</v>
      </c>
      <c r="Y75" s="2809">
        <f t="shared" si="11"/>
        <v>6.5040650406504065E-3</v>
      </c>
      <c r="AA75" s="2791">
        <v>6</v>
      </c>
      <c r="AB75" s="1135">
        <v>530</v>
      </c>
      <c r="AC75" s="2809">
        <f t="shared" si="12"/>
        <v>1.1320754716981131E-2</v>
      </c>
      <c r="AE75" s="2791">
        <v>7</v>
      </c>
      <c r="AF75" s="1135">
        <v>512</v>
      </c>
      <c r="AG75" s="2809">
        <f t="shared" si="13"/>
        <v>1.3671875E-2</v>
      </c>
      <c r="AI75" s="2791">
        <v>11</v>
      </c>
      <c r="AJ75" s="1135">
        <v>607</v>
      </c>
      <c r="AK75" s="2809">
        <f t="shared" si="14"/>
        <v>1.8121911037891267E-2</v>
      </c>
      <c r="AL75" s="2549"/>
      <c r="AM75" s="2791">
        <v>9</v>
      </c>
      <c r="AN75" s="1135">
        <v>503</v>
      </c>
      <c r="AO75" s="2809">
        <f t="shared" si="15"/>
        <v>1.7892644135188866E-2</v>
      </c>
      <c r="AQ75" s="2791">
        <v>7</v>
      </c>
      <c r="AR75" s="1135">
        <v>266</v>
      </c>
      <c r="AS75" s="2809">
        <f t="shared" si="16"/>
        <v>2.6315789473684209E-2</v>
      </c>
    </row>
    <row r="76" spans="1:45" ht="18">
      <c r="A76" s="2347"/>
      <c r="B76" s="2818" t="s">
        <v>1149</v>
      </c>
      <c r="C76" s="2792">
        <v>2</v>
      </c>
      <c r="D76" s="2793">
        <v>24</v>
      </c>
      <c r="E76" s="2810">
        <f t="shared" si="17"/>
        <v>8.3333333333333329E-2</v>
      </c>
      <c r="G76" s="2792">
        <v>2</v>
      </c>
      <c r="H76" s="2793">
        <v>37</v>
      </c>
      <c r="I76" s="2810">
        <f t="shared" si="18"/>
        <v>5.4054054054054057E-2</v>
      </c>
      <c r="K76" s="2792">
        <v>3</v>
      </c>
      <c r="L76" s="2793">
        <v>29</v>
      </c>
      <c r="M76" s="2810">
        <f t="shared" si="19"/>
        <v>0.10344827586206896</v>
      </c>
      <c r="O76" s="2792"/>
      <c r="P76" s="2793">
        <v>14</v>
      </c>
      <c r="Q76" s="2810">
        <f t="shared" si="20"/>
        <v>0</v>
      </c>
      <c r="S76" s="2792">
        <v>5</v>
      </c>
      <c r="T76" s="2793">
        <v>42</v>
      </c>
      <c r="U76" s="2810">
        <f t="shared" si="21"/>
        <v>0.11904761904761904</v>
      </c>
      <c r="W76" s="2792"/>
      <c r="X76" s="2793">
        <v>34</v>
      </c>
      <c r="Y76" s="2810">
        <f t="shared" si="11"/>
        <v>0</v>
      </c>
      <c r="AA76" s="2792"/>
      <c r="AB76" s="2793">
        <v>21</v>
      </c>
      <c r="AC76" s="2810">
        <f t="shared" si="12"/>
        <v>0</v>
      </c>
      <c r="AE76" s="2792"/>
      <c r="AF76" s="2793">
        <v>32</v>
      </c>
      <c r="AG76" s="2810">
        <f t="shared" si="13"/>
        <v>0</v>
      </c>
      <c r="AI76" s="2792">
        <v>1</v>
      </c>
      <c r="AJ76" s="2793">
        <v>12</v>
      </c>
      <c r="AK76" s="2810">
        <f t="shared" si="14"/>
        <v>8.3333333333333329E-2</v>
      </c>
      <c r="AL76" s="2549"/>
      <c r="AM76" s="2792">
        <v>1</v>
      </c>
      <c r="AN76" s="2793">
        <v>11</v>
      </c>
      <c r="AO76" s="2810">
        <f t="shared" si="15"/>
        <v>9.0909090909090912E-2</v>
      </c>
      <c r="AQ76" s="2792">
        <v>0</v>
      </c>
      <c r="AR76" s="2793">
        <v>5</v>
      </c>
      <c r="AS76" s="2810">
        <f t="shared" si="16"/>
        <v>0</v>
      </c>
    </row>
    <row r="77" spans="1:45" ht="18">
      <c r="A77" s="2347"/>
      <c r="B77" s="2818" t="s">
        <v>1150</v>
      </c>
      <c r="C77" s="2792"/>
      <c r="D77" s="2793">
        <v>34</v>
      </c>
      <c r="E77" s="2810">
        <f t="shared" si="17"/>
        <v>0</v>
      </c>
      <c r="G77" s="2792"/>
      <c r="H77" s="2793">
        <v>35</v>
      </c>
      <c r="I77" s="2810">
        <f t="shared" si="18"/>
        <v>0</v>
      </c>
      <c r="K77" s="2792"/>
      <c r="L77" s="2793">
        <v>50</v>
      </c>
      <c r="M77" s="2810">
        <f t="shared" si="19"/>
        <v>0</v>
      </c>
      <c r="O77" s="2792">
        <v>3</v>
      </c>
      <c r="P77" s="2793">
        <v>25</v>
      </c>
      <c r="Q77" s="2810">
        <f t="shared" si="20"/>
        <v>0.12</v>
      </c>
      <c r="S77" s="2792">
        <v>9</v>
      </c>
      <c r="T77" s="2793">
        <v>45</v>
      </c>
      <c r="U77" s="2810">
        <f t="shared" si="21"/>
        <v>0.2</v>
      </c>
      <c r="W77" s="2792">
        <v>3</v>
      </c>
      <c r="X77" s="2793">
        <v>37</v>
      </c>
      <c r="Y77" s="2810">
        <f t="shared" si="11"/>
        <v>8.1081081081081086E-2</v>
      </c>
      <c r="AA77" s="2792">
        <v>3</v>
      </c>
      <c r="AB77" s="2793">
        <v>43</v>
      </c>
      <c r="AC77" s="2810">
        <f t="shared" si="12"/>
        <v>6.9767441860465115E-2</v>
      </c>
      <c r="AE77" s="2792">
        <v>4</v>
      </c>
      <c r="AF77" s="2793">
        <v>42</v>
      </c>
      <c r="AG77" s="2810">
        <f t="shared" si="13"/>
        <v>9.5238095238095233E-2</v>
      </c>
      <c r="AI77" s="2792">
        <v>5</v>
      </c>
      <c r="AJ77" s="2793">
        <v>33</v>
      </c>
      <c r="AK77" s="2810">
        <f t="shared" si="14"/>
        <v>0.15151515151515152</v>
      </c>
      <c r="AL77" s="2549"/>
      <c r="AM77" s="2792">
        <v>17</v>
      </c>
      <c r="AN77" s="2793">
        <v>41</v>
      </c>
      <c r="AO77" s="2810">
        <f t="shared" si="15"/>
        <v>0.41463414634146339</v>
      </c>
      <c r="AQ77" s="2792">
        <v>14</v>
      </c>
      <c r="AR77" s="2793">
        <v>31</v>
      </c>
      <c r="AS77" s="2810">
        <f t="shared" si="16"/>
        <v>0.45161290322580644</v>
      </c>
    </row>
    <row r="78" spans="1:45" ht="18">
      <c r="A78" s="2347"/>
      <c r="B78" s="2818" t="s">
        <v>1151</v>
      </c>
      <c r="C78" s="2792"/>
      <c r="D78" s="2793">
        <v>10</v>
      </c>
      <c r="E78" s="2810">
        <f t="shared" si="17"/>
        <v>0</v>
      </c>
      <c r="G78" s="2792">
        <v>3</v>
      </c>
      <c r="H78" s="2793">
        <v>29</v>
      </c>
      <c r="I78" s="2810">
        <f t="shared" si="18"/>
        <v>0.10344827586206896</v>
      </c>
      <c r="K78" s="2792">
        <v>3</v>
      </c>
      <c r="L78" s="2793">
        <v>28</v>
      </c>
      <c r="M78" s="2810">
        <f t="shared" si="19"/>
        <v>0.10714285714285714</v>
      </c>
      <c r="O78" s="2792">
        <v>2</v>
      </c>
      <c r="P78" s="2793">
        <v>12</v>
      </c>
      <c r="Q78" s="2810">
        <f t="shared" si="20"/>
        <v>0.16666666666666666</v>
      </c>
      <c r="S78" s="2792">
        <v>4</v>
      </c>
      <c r="T78" s="2793">
        <v>19</v>
      </c>
      <c r="U78" s="2810">
        <f t="shared" si="21"/>
        <v>0.21052631578947367</v>
      </c>
      <c r="W78" s="2792"/>
      <c r="X78" s="2793">
        <v>33</v>
      </c>
      <c r="Y78" s="2810">
        <f t="shared" si="11"/>
        <v>0</v>
      </c>
      <c r="AA78" s="2792">
        <v>2</v>
      </c>
      <c r="AB78" s="2793">
        <v>16</v>
      </c>
      <c r="AC78" s="2810">
        <f t="shared" si="12"/>
        <v>0.125</v>
      </c>
      <c r="AE78" s="2792"/>
      <c r="AF78" s="2793">
        <v>15</v>
      </c>
      <c r="AG78" s="2810">
        <f t="shared" si="13"/>
        <v>0</v>
      </c>
      <c r="AI78" s="2792">
        <v>1</v>
      </c>
      <c r="AJ78" s="2793">
        <v>19</v>
      </c>
      <c r="AK78" s="2810">
        <f t="shared" si="14"/>
        <v>5.2631578947368418E-2</v>
      </c>
      <c r="AL78" s="2549"/>
      <c r="AM78" s="2792">
        <v>1</v>
      </c>
      <c r="AN78" s="2793">
        <v>6</v>
      </c>
      <c r="AO78" s="2810">
        <f t="shared" si="15"/>
        <v>0.16666666666666666</v>
      </c>
      <c r="AQ78" s="2792">
        <v>3</v>
      </c>
      <c r="AR78" s="2793">
        <v>10</v>
      </c>
      <c r="AS78" s="2810">
        <f t="shared" si="16"/>
        <v>0.3</v>
      </c>
    </row>
    <row r="79" spans="1:45" ht="18">
      <c r="A79" s="2347"/>
      <c r="B79" s="2818" t="s">
        <v>1152</v>
      </c>
      <c r="C79" s="2792">
        <v>10</v>
      </c>
      <c r="D79" s="2793">
        <v>47</v>
      </c>
      <c r="E79" s="2810">
        <f t="shared" si="17"/>
        <v>0.21276595744680851</v>
      </c>
      <c r="G79" s="2792">
        <v>5</v>
      </c>
      <c r="H79" s="2793">
        <v>53</v>
      </c>
      <c r="I79" s="2810">
        <f t="shared" si="18"/>
        <v>9.4339622641509441E-2</v>
      </c>
      <c r="K79" s="2792">
        <v>16</v>
      </c>
      <c r="L79" s="2793">
        <v>67</v>
      </c>
      <c r="M79" s="2810">
        <f t="shared" si="19"/>
        <v>0.23880597014925373</v>
      </c>
      <c r="O79" s="2792"/>
      <c r="P79" s="2793">
        <v>34</v>
      </c>
      <c r="Q79" s="2810">
        <f t="shared" si="20"/>
        <v>0</v>
      </c>
      <c r="S79" s="2792">
        <v>2</v>
      </c>
      <c r="T79" s="2793">
        <v>47</v>
      </c>
      <c r="U79" s="2810">
        <f t="shared" si="21"/>
        <v>4.2553191489361701E-2</v>
      </c>
      <c r="W79" s="2792">
        <v>5</v>
      </c>
      <c r="X79" s="2793">
        <v>37</v>
      </c>
      <c r="Y79" s="2810">
        <f t="shared" si="11"/>
        <v>0.13513513513513514</v>
      </c>
      <c r="AA79" s="2792">
        <v>2</v>
      </c>
      <c r="AB79" s="2793">
        <v>39</v>
      </c>
      <c r="AC79" s="2810">
        <f t="shared" si="12"/>
        <v>5.128205128205128E-2</v>
      </c>
      <c r="AE79" s="2792"/>
      <c r="AF79" s="2793">
        <v>29</v>
      </c>
      <c r="AG79" s="2810">
        <f t="shared" si="13"/>
        <v>0</v>
      </c>
      <c r="AI79" s="2792">
        <v>5</v>
      </c>
      <c r="AJ79" s="2793">
        <v>27</v>
      </c>
      <c r="AK79" s="2810">
        <f t="shared" si="14"/>
        <v>0.18518518518518517</v>
      </c>
      <c r="AL79" s="2549"/>
      <c r="AM79" s="2792">
        <v>5</v>
      </c>
      <c r="AN79" s="2793">
        <v>22</v>
      </c>
      <c r="AO79" s="2810">
        <f t="shared" si="15"/>
        <v>0.22727272727272727</v>
      </c>
      <c r="AQ79" s="2792">
        <v>2</v>
      </c>
      <c r="AR79" s="2793">
        <v>19</v>
      </c>
      <c r="AS79" s="2810">
        <f t="shared" si="16"/>
        <v>0.10526315789473684</v>
      </c>
    </row>
    <row r="80" spans="1:45" ht="15" customHeight="1">
      <c r="A80" s="2347"/>
      <c r="B80" s="2348" t="s">
        <v>21</v>
      </c>
      <c r="C80" s="2796">
        <f>SUM(C76:C79)</f>
        <v>12</v>
      </c>
      <c r="D80" s="2349">
        <v>115</v>
      </c>
      <c r="E80" s="2812">
        <f t="shared" si="17"/>
        <v>0.10434782608695652</v>
      </c>
      <c r="G80" s="2796">
        <v>10</v>
      </c>
      <c r="H80" s="2349">
        <v>154</v>
      </c>
      <c r="I80" s="2812">
        <f t="shared" si="18"/>
        <v>6.4935064935064929E-2</v>
      </c>
      <c r="K80" s="2796">
        <v>22</v>
      </c>
      <c r="L80" s="2349">
        <v>174</v>
      </c>
      <c r="M80" s="2812">
        <f t="shared" si="19"/>
        <v>0.12643678160919541</v>
      </c>
      <c r="O80" s="2796">
        <v>5</v>
      </c>
      <c r="P80" s="2349">
        <f>SUM(P76:P79)</f>
        <v>85</v>
      </c>
      <c r="Q80" s="2812">
        <f t="shared" si="20"/>
        <v>5.8823529411764705E-2</v>
      </c>
      <c r="S80" s="2796">
        <f>SUM(S76:S79)</f>
        <v>20</v>
      </c>
      <c r="T80" s="2349">
        <f>SUM(T76:T79)</f>
        <v>153</v>
      </c>
      <c r="U80" s="2812">
        <f t="shared" si="21"/>
        <v>0.13071895424836602</v>
      </c>
      <c r="W80" s="2796">
        <v>8</v>
      </c>
      <c r="X80" s="2349">
        <f>SUM(X76:X79)</f>
        <v>141</v>
      </c>
      <c r="Y80" s="2812">
        <f t="shared" si="11"/>
        <v>5.6737588652482268E-2</v>
      </c>
      <c r="AA80" s="2796">
        <v>7</v>
      </c>
      <c r="AB80" s="2349">
        <v>119</v>
      </c>
      <c r="AC80" s="2812">
        <f t="shared" si="12"/>
        <v>5.8823529411764705E-2</v>
      </c>
      <c r="AE80" s="2796">
        <v>4</v>
      </c>
      <c r="AF80" s="2349">
        <v>118</v>
      </c>
      <c r="AG80" s="2812">
        <f t="shared" si="13"/>
        <v>3.3898305084745763E-2</v>
      </c>
      <c r="AI80" s="2796">
        <v>12</v>
      </c>
      <c r="AJ80" s="2349">
        <v>91</v>
      </c>
      <c r="AK80" s="2812">
        <f t="shared" si="14"/>
        <v>0.13186813186813187</v>
      </c>
      <c r="AL80" s="2549"/>
      <c r="AM80" s="2796">
        <v>24</v>
      </c>
      <c r="AN80" s="2349">
        <v>80</v>
      </c>
      <c r="AO80" s="2812">
        <f t="shared" si="15"/>
        <v>0.3</v>
      </c>
      <c r="AQ80" s="2796">
        <v>19</v>
      </c>
      <c r="AR80" s="2349">
        <v>65</v>
      </c>
      <c r="AS80" s="2812">
        <f t="shared" si="16"/>
        <v>0.29230769230769232</v>
      </c>
    </row>
    <row r="81" spans="1:45" ht="15" customHeight="1">
      <c r="A81" s="2347"/>
      <c r="B81" s="2601" t="s">
        <v>355</v>
      </c>
      <c r="C81" s="2616">
        <f>SUM(C80,C75,C70)</f>
        <v>216</v>
      </c>
      <c r="D81" s="2617">
        <v>1289</v>
      </c>
      <c r="E81" s="2817">
        <f t="shared" si="17"/>
        <v>0.16757176105508145</v>
      </c>
      <c r="G81" s="2616">
        <v>180</v>
      </c>
      <c r="H81" s="2617">
        <v>1271</v>
      </c>
      <c r="I81" s="2817">
        <f t="shared" si="18"/>
        <v>0.14162077104642015</v>
      </c>
      <c r="K81" s="2616">
        <v>269</v>
      </c>
      <c r="L81" s="2617">
        <v>1673</v>
      </c>
      <c r="M81" s="2817">
        <f t="shared" si="19"/>
        <v>0.16078900179318589</v>
      </c>
      <c r="O81" s="2616">
        <v>257</v>
      </c>
      <c r="P81" s="2617">
        <f>SUM(P80,P75,P70)</f>
        <v>1231</v>
      </c>
      <c r="Q81" s="2817">
        <f t="shared" si="20"/>
        <v>0.20877335499593827</v>
      </c>
      <c r="S81" s="2616">
        <f>SUM(S70,S75,S80)</f>
        <v>294</v>
      </c>
      <c r="T81" s="2617">
        <f>SUM(T80,T75,T70)</f>
        <v>1527</v>
      </c>
      <c r="U81" s="2817">
        <f t="shared" si="21"/>
        <v>0.1925343811394892</v>
      </c>
      <c r="W81" s="2616">
        <v>239</v>
      </c>
      <c r="X81" s="2617">
        <f>SUM(X80,X75,X70)</f>
        <v>1352</v>
      </c>
      <c r="Y81" s="2817">
        <f t="shared" si="11"/>
        <v>0.17677514792899407</v>
      </c>
      <c r="AA81" s="2616">
        <v>175</v>
      </c>
      <c r="AB81" s="2617">
        <v>1119</v>
      </c>
      <c r="AC81" s="2817">
        <f t="shared" si="12"/>
        <v>0.15638963360142985</v>
      </c>
      <c r="AE81" s="2616">
        <v>205</v>
      </c>
      <c r="AF81" s="2617">
        <v>1189</v>
      </c>
      <c r="AG81" s="2817">
        <f t="shared" si="13"/>
        <v>0.17241379310344829</v>
      </c>
      <c r="AI81" s="2616">
        <v>224</v>
      </c>
      <c r="AJ81" s="2617">
        <v>1235</v>
      </c>
      <c r="AK81" s="2817">
        <f t="shared" si="14"/>
        <v>0.18137651821862349</v>
      </c>
      <c r="AL81" s="2549"/>
      <c r="AM81" s="2616">
        <v>257</v>
      </c>
      <c r="AN81" s="2617">
        <v>1160</v>
      </c>
      <c r="AO81" s="2817">
        <f t="shared" si="15"/>
        <v>0.22155172413793103</v>
      </c>
      <c r="AP81" s="2549"/>
      <c r="AQ81" s="2616">
        <v>218</v>
      </c>
      <c r="AR81" s="2617">
        <v>754</v>
      </c>
      <c r="AS81" s="2817">
        <f t="shared" si="16"/>
        <v>0.28912466843501328</v>
      </c>
    </row>
    <row r="82" spans="1:45" s="2549" customFormat="1" ht="15" customHeight="1">
      <c r="A82" s="2347"/>
      <c r="B82" s="2827"/>
      <c r="C82" s="2827"/>
      <c r="D82" s="2827"/>
      <c r="E82" s="2827"/>
      <c r="F82" s="2827"/>
      <c r="G82" s="2827"/>
      <c r="H82" s="2827"/>
      <c r="I82" s="2827"/>
      <c r="J82" s="2827"/>
      <c r="K82" s="2827"/>
      <c r="L82" s="2827"/>
      <c r="M82" s="2827"/>
      <c r="N82" s="2827"/>
      <c r="O82" s="2827"/>
      <c r="P82" s="2827"/>
      <c r="Q82" s="2827"/>
      <c r="R82" s="2827"/>
      <c r="S82" s="2827"/>
      <c r="T82" s="2827"/>
      <c r="U82" s="2827"/>
      <c r="V82" s="2827"/>
      <c r="W82" s="2827"/>
      <c r="X82" s="2827"/>
      <c r="Y82" s="2827"/>
      <c r="Z82" s="2827"/>
      <c r="AA82" s="2827"/>
      <c r="AB82" s="2827"/>
      <c r="AC82" s="2827"/>
      <c r="AD82" s="2827"/>
      <c r="AE82" s="2827"/>
      <c r="AF82" s="2827"/>
      <c r="AG82" s="2827"/>
      <c r="AH82" s="2827"/>
      <c r="AI82" s="2827"/>
      <c r="AJ82" s="2827"/>
      <c r="AK82" s="2827"/>
      <c r="AL82" s="2827"/>
      <c r="AM82" s="2827"/>
      <c r="AN82" s="2827"/>
      <c r="AO82" s="2827"/>
      <c r="AP82" s="2827"/>
      <c r="AQ82" s="2827"/>
      <c r="AR82" s="2827"/>
      <c r="AS82" s="2827"/>
    </row>
    <row r="83" spans="1:45" ht="20.100000000000001" customHeight="1">
      <c r="A83" s="2347"/>
      <c r="B83" s="2828" t="s">
        <v>67</v>
      </c>
      <c r="C83" s="2829">
        <f>SUM(C21,C34,C52,C65,C81)</f>
        <v>853</v>
      </c>
      <c r="D83" s="2603">
        <f>SUM(D21,D34,D52,D65,D81)</f>
        <v>4004</v>
      </c>
      <c r="E83" s="2830">
        <f t="shared" si="17"/>
        <v>0.21303696303696304</v>
      </c>
      <c r="F83" s="2559"/>
      <c r="G83" s="2829">
        <f>SUM(G21,G34,G52,G65,G81)</f>
        <v>831</v>
      </c>
      <c r="H83" s="2603">
        <f>SUM(H21,H34,H52,H65,H81)</f>
        <v>4143</v>
      </c>
      <c r="I83" s="2830">
        <f t="shared" si="18"/>
        <v>0.20057929036929761</v>
      </c>
      <c r="J83" s="2559"/>
      <c r="K83" s="2829">
        <f>SUM(K21,K34,K52,K65,K81)</f>
        <v>982</v>
      </c>
      <c r="L83" s="2603">
        <f>SUM(L21,L34,L52,L65,L81)</f>
        <v>4328</v>
      </c>
      <c r="M83" s="2830">
        <f t="shared" si="19"/>
        <v>0.22689463955637709</v>
      </c>
      <c r="N83" s="2559"/>
      <c r="O83" s="2603">
        <f>SUM(O21,O34,O52,O65,O81)</f>
        <v>1087</v>
      </c>
      <c r="P83" s="2603">
        <f>SUM(P21,P34,P52,P65,P81)</f>
        <v>4346</v>
      </c>
      <c r="Q83" s="2830">
        <f t="shared" si="20"/>
        <v>0.25011504832029452</v>
      </c>
      <c r="R83" s="2559"/>
      <c r="S83" s="2603">
        <f>SUM(S21,S34,S52,S65,S81)</f>
        <v>1145</v>
      </c>
      <c r="T83" s="2603">
        <f>SUM(T21,T34,T52,T65,T81)</f>
        <v>4334</v>
      </c>
      <c r="U83" s="2830">
        <f t="shared" si="21"/>
        <v>0.26419012459621599</v>
      </c>
      <c r="V83" s="2559"/>
      <c r="W83" s="2603">
        <v>1121</v>
      </c>
      <c r="X83" s="2603">
        <f>SUM(X21,X34,X52,X65,X81)</f>
        <v>4634</v>
      </c>
      <c r="Y83" s="2830">
        <f t="shared" si="11"/>
        <v>0.24190763918860594</v>
      </c>
      <c r="Z83" s="2559"/>
      <c r="AA83" s="2829">
        <v>996</v>
      </c>
      <c r="AB83" s="2603">
        <v>4112</v>
      </c>
      <c r="AC83" s="2830">
        <f t="shared" si="12"/>
        <v>0.24221789883268482</v>
      </c>
      <c r="AD83" s="2559"/>
      <c r="AE83" s="2603">
        <f>SUM(AE21,AE34,AE52,AE65,AE81)</f>
        <v>1151</v>
      </c>
      <c r="AF83" s="2603">
        <f>SUM(AF21,AF34,AF52,AF65,AF81)</f>
        <v>4311</v>
      </c>
      <c r="AG83" s="2830">
        <f t="shared" si="13"/>
        <v>0.26699141730456971</v>
      </c>
      <c r="AH83" s="2559"/>
      <c r="AI83" s="2603">
        <f>SUM(AI21,AI34,AI52,AI65,AI81)</f>
        <v>1228</v>
      </c>
      <c r="AJ83" s="2603">
        <f>SUM(AJ21,AJ34,AJ52,AJ65,AJ81)</f>
        <v>4667</v>
      </c>
      <c r="AK83" s="2830">
        <f t="shared" si="14"/>
        <v>0.26312406256695953</v>
      </c>
      <c r="AL83" s="2559"/>
      <c r="AM83" s="2603">
        <f>SUM(AM21,AM34,AM52,AM65,AM81)</f>
        <v>1261</v>
      </c>
      <c r="AN83" s="2603">
        <f>SUM(AN21,AN34,AN52,AN65,AN81)</f>
        <v>4140</v>
      </c>
      <c r="AO83" s="2830">
        <f>AM83/AN83</f>
        <v>0.30458937198067632</v>
      </c>
      <c r="AP83" s="2559"/>
      <c r="AQ83" s="2603">
        <f>SUM(AQ21,AQ34,AQ52,AQ65,AQ81)</f>
        <v>1170</v>
      </c>
      <c r="AR83" s="2603">
        <f>SUM(AR21,AR34,AR52,AR65,AR81)</f>
        <v>3157</v>
      </c>
      <c r="AS83" s="2830">
        <f>AQ83/AR83</f>
        <v>0.37060500475134622</v>
      </c>
    </row>
    <row r="84" spans="1:45" ht="11.25" customHeight="1">
      <c r="A84" s="2347"/>
      <c r="S84" s="324"/>
    </row>
    <row r="85" spans="1:45" ht="15" customHeight="1">
      <c r="A85" s="2347"/>
      <c r="B85" s="2346" t="s">
        <v>1095</v>
      </c>
    </row>
    <row r="86" spans="1:45" ht="18">
      <c r="A86" s="2347"/>
      <c r="B86" s="2346" t="s">
        <v>222</v>
      </c>
    </row>
    <row r="87" spans="1:45" ht="18">
      <c r="A87" s="2347"/>
    </row>
    <row r="88" spans="1:45" ht="21.75" customHeight="1">
      <c r="A88" s="2347"/>
    </row>
    <row r="89" spans="1:45" ht="18">
      <c r="A89" s="2347"/>
    </row>
  </sheetData>
  <sheetProtection algorithmName="SHA-512" hashValue="ae0+HOY+h6+9gk1DXSYL0SkXri9AXFHw31/+4SyS3orY/J1wDsMqfzdVJpwtpSvY0ujzboj6aGfeWdYrhYHn6w==" saltValue="RgcBdp7udHB4M98OC9a9Wg==" spinCount="100000" sheet="1" objects="1" scenarios="1"/>
  <mergeCells count="11">
    <mergeCell ref="AQ2:AS2"/>
    <mergeCell ref="AM2:AO2"/>
    <mergeCell ref="AI2:AK2"/>
    <mergeCell ref="C2:E2"/>
    <mergeCell ref="G2:I2"/>
    <mergeCell ref="K2:M2"/>
    <mergeCell ref="O2:Q2"/>
    <mergeCell ref="W2:Y2"/>
    <mergeCell ref="S2:U2"/>
    <mergeCell ref="AE2:AG2"/>
    <mergeCell ref="AA2:AC2"/>
  </mergeCells>
  <printOptions horizontalCentered="1" verticalCentered="1"/>
  <pageMargins left="0.19685039370078741" right="0.19685039370078741" top="0.19685039370078741" bottom="0.19685039370078741" header="0.31496062992125984" footer="0.31496062992125984"/>
  <pageSetup scale="50" orientation="portrait" r:id="rId1"/>
  <ignoredErrors>
    <ignoredError sqref="W70:X79 W83:X83 W80 E83 AG83 Q83 S83:U83 S70:U81 Q70:Q81 W81:X81" formula="1"/>
    <ignoredError sqref="X80" formula="1"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tint="-0.499984740745262"/>
  </sheetPr>
  <dimension ref="A1:AO90"/>
  <sheetViews>
    <sheetView showGridLines="0" zoomScale="130" zoomScaleNormal="130" workbookViewId="0">
      <pane xSplit="2" ySplit="4" topLeftCell="AG5" activePane="bottomRight" state="frozen"/>
      <selection pane="topRight"/>
      <selection pane="bottomLeft"/>
      <selection pane="bottomRight" activeCell="AQ87" sqref="AQ87"/>
    </sheetView>
  </sheetViews>
  <sheetFormatPr baseColWidth="10" defaultRowHeight="14.4"/>
  <cols>
    <col min="1" max="1" width="2.77734375" style="167" customWidth="1"/>
    <col min="2" max="2" width="37.5546875" bestFit="1" customWidth="1"/>
    <col min="3" max="3" width="9.44140625" bestFit="1" customWidth="1"/>
    <col min="4" max="5" width="12.77734375" customWidth="1"/>
    <col min="6" max="6" width="1.77734375" style="2549" customWidth="1"/>
    <col min="7" max="7" width="9.44140625" bestFit="1" customWidth="1"/>
    <col min="8" max="9" width="12.77734375" customWidth="1"/>
    <col min="10" max="10" width="1.77734375" style="2549" customWidth="1"/>
    <col min="11" max="11" width="9.44140625" bestFit="1" customWidth="1"/>
    <col min="12" max="13" width="12.77734375" customWidth="1"/>
    <col min="14" max="14" width="1.77734375" style="2549" customWidth="1"/>
    <col min="15" max="15" width="9.44140625" bestFit="1" customWidth="1"/>
    <col min="16" max="17" width="12.77734375" customWidth="1"/>
    <col min="18" max="18" width="1.77734375" style="2549" customWidth="1"/>
    <col min="19" max="19" width="9.44140625" bestFit="1" customWidth="1"/>
    <col min="20" max="20" width="12" bestFit="1" customWidth="1"/>
    <col min="22" max="22" width="1.77734375" style="2549" customWidth="1"/>
    <col min="23" max="23" width="9.44140625" bestFit="1" customWidth="1"/>
    <col min="24" max="24" width="12" bestFit="1" customWidth="1"/>
    <col min="26" max="26" width="1.77734375" style="2549" customWidth="1"/>
    <col min="27" max="27" width="9.44140625" bestFit="1" customWidth="1"/>
    <col min="28" max="28" width="12" bestFit="1" customWidth="1"/>
    <col min="29" max="29" width="11.44140625" customWidth="1"/>
    <col min="30" max="30" width="1.77734375" style="2549" customWidth="1"/>
    <col min="31" max="31" width="9.44140625" bestFit="1" customWidth="1"/>
    <col min="32" max="32" width="12" bestFit="1" customWidth="1"/>
    <col min="34" max="34" width="1.77734375" customWidth="1"/>
    <col min="36" max="36" width="12" bestFit="1" customWidth="1"/>
    <col min="38" max="38" width="1.77734375" customWidth="1"/>
  </cols>
  <sheetData>
    <row r="1" spans="2:41" ht="19.5" customHeight="1">
      <c r="B1" s="3606" t="s">
        <v>2755</v>
      </c>
      <c r="C1" s="322"/>
      <c r="D1" s="68"/>
      <c r="N1" s="2904"/>
      <c r="V1" s="30"/>
      <c r="AD1" s="30"/>
    </row>
    <row r="2" spans="2:41" ht="15.6">
      <c r="C2" s="322"/>
      <c r="D2" s="68"/>
      <c r="N2" s="2904"/>
      <c r="R2" s="2904"/>
      <c r="V2" s="30"/>
      <c r="Z2" s="2904"/>
      <c r="AD2" s="30"/>
    </row>
    <row r="3" spans="2:41">
      <c r="B3" s="6024" t="s">
        <v>2665</v>
      </c>
      <c r="C3" s="6026">
        <v>2011</v>
      </c>
      <c r="D3" s="6027"/>
      <c r="E3" s="6028"/>
      <c r="G3" s="6026">
        <v>2012</v>
      </c>
      <c r="H3" s="6027"/>
      <c r="I3" s="6028"/>
      <c r="J3" s="2904"/>
      <c r="K3" s="6026">
        <v>2013</v>
      </c>
      <c r="L3" s="6027"/>
      <c r="M3" s="6028"/>
      <c r="N3" s="2904"/>
      <c r="O3" s="6026">
        <v>2014</v>
      </c>
      <c r="P3" s="6027"/>
      <c r="Q3" s="6028"/>
      <c r="R3" s="2904"/>
      <c r="S3" s="6026">
        <v>2015</v>
      </c>
      <c r="T3" s="6027"/>
      <c r="U3" s="6028"/>
      <c r="V3" s="30"/>
      <c r="W3" s="6026">
        <v>2016</v>
      </c>
      <c r="X3" s="6027"/>
      <c r="Y3" s="6028"/>
      <c r="Z3" s="2904"/>
      <c r="AA3" s="6026">
        <v>2017</v>
      </c>
      <c r="AB3" s="6027"/>
      <c r="AC3" s="6028"/>
      <c r="AD3" s="30"/>
      <c r="AE3" s="6026">
        <v>2018</v>
      </c>
      <c r="AF3" s="6027"/>
      <c r="AG3" s="6028"/>
      <c r="AH3" s="2549"/>
      <c r="AI3" s="6026">
        <v>2019</v>
      </c>
      <c r="AJ3" s="6027"/>
      <c r="AK3" s="6028"/>
      <c r="AM3" s="6026">
        <v>2020</v>
      </c>
      <c r="AN3" s="6027"/>
      <c r="AO3" s="6028"/>
    </row>
    <row r="4" spans="2:41" ht="15" thickBot="1">
      <c r="B4" s="6025"/>
      <c r="C4" s="2833" t="s">
        <v>1153</v>
      </c>
      <c r="D4" s="2833" t="s">
        <v>1154</v>
      </c>
      <c r="E4" s="2833" t="s">
        <v>1155</v>
      </c>
      <c r="G4" s="2833" t="s">
        <v>1153</v>
      </c>
      <c r="H4" s="2833" t="s">
        <v>1154</v>
      </c>
      <c r="I4" s="2833" t="s">
        <v>1155</v>
      </c>
      <c r="J4" s="2904"/>
      <c r="K4" s="2833" t="s">
        <v>1153</v>
      </c>
      <c r="L4" s="2833" t="s">
        <v>1154</v>
      </c>
      <c r="M4" s="2833" t="s">
        <v>1155</v>
      </c>
      <c r="N4" s="2904"/>
      <c r="O4" s="2833" t="s">
        <v>1153</v>
      </c>
      <c r="P4" s="2833" t="s">
        <v>1154</v>
      </c>
      <c r="Q4" s="2833" t="s">
        <v>1155</v>
      </c>
      <c r="R4" s="2904"/>
      <c r="S4" s="2833" t="s">
        <v>1153</v>
      </c>
      <c r="T4" s="2833" t="s">
        <v>1154</v>
      </c>
      <c r="U4" s="2833" t="s">
        <v>1155</v>
      </c>
      <c r="V4" s="30"/>
      <c r="W4" s="2833" t="s">
        <v>1153</v>
      </c>
      <c r="X4" s="2833" t="s">
        <v>1154</v>
      </c>
      <c r="Y4" s="2833" t="s">
        <v>1155</v>
      </c>
      <c r="Z4" s="2904"/>
      <c r="AA4" s="2833" t="s">
        <v>1153</v>
      </c>
      <c r="AB4" s="2833" t="s">
        <v>1154</v>
      </c>
      <c r="AC4" s="2833" t="s">
        <v>1155</v>
      </c>
      <c r="AD4" s="30"/>
      <c r="AE4" s="2833" t="s">
        <v>1153</v>
      </c>
      <c r="AF4" s="2833" t="s">
        <v>1154</v>
      </c>
      <c r="AG4" s="2833" t="s">
        <v>1155</v>
      </c>
      <c r="AH4" s="2549"/>
      <c r="AI4" s="2833" t="s">
        <v>1153</v>
      </c>
      <c r="AJ4" s="2833" t="s">
        <v>1154</v>
      </c>
      <c r="AK4" s="2833" t="s">
        <v>1155</v>
      </c>
      <c r="AM4" s="2833" t="s">
        <v>1153</v>
      </c>
      <c r="AN4" s="2833" t="s">
        <v>1154</v>
      </c>
      <c r="AO4" s="2833" t="s">
        <v>1155</v>
      </c>
    </row>
    <row r="5" spans="2:41">
      <c r="B5" s="2834" t="s">
        <v>1097</v>
      </c>
      <c r="C5" s="2835">
        <v>142</v>
      </c>
      <c r="D5" s="2835">
        <v>14247494.111421233</v>
      </c>
      <c r="E5" s="2835">
        <v>100334.46557338897</v>
      </c>
      <c r="G5" s="2835">
        <v>144</v>
      </c>
      <c r="H5" s="2835">
        <v>15181948.111421233</v>
      </c>
      <c r="I5" s="2835">
        <v>105430.19521820301</v>
      </c>
      <c r="J5" s="2904"/>
      <c r="K5" s="2835">
        <v>145</v>
      </c>
      <c r="L5" s="2835">
        <v>16356799.711421233</v>
      </c>
      <c r="M5" s="2835">
        <v>112805.51525118091</v>
      </c>
      <c r="N5" s="2904"/>
      <c r="O5" s="2835">
        <v>146</v>
      </c>
      <c r="P5" s="2835">
        <v>17494167.31142123</v>
      </c>
      <c r="Q5" s="2835">
        <v>119823.06377685774</v>
      </c>
      <c r="R5" s="2904"/>
      <c r="S5" s="2835">
        <v>140</v>
      </c>
      <c r="T5" s="2835">
        <v>18059619.913476028</v>
      </c>
      <c r="U5" s="2835">
        <v>128997.28509625734</v>
      </c>
      <c r="V5" s="30"/>
      <c r="W5" s="2835">
        <v>138</v>
      </c>
      <c r="X5" s="2835">
        <v>18831011.611421242</v>
      </c>
      <c r="Y5" s="2835">
        <v>136456.60587986407</v>
      </c>
      <c r="Z5" s="2904"/>
      <c r="AA5" s="2835">
        <v>138</v>
      </c>
      <c r="AB5" s="2835">
        <v>19600430.513476044</v>
      </c>
      <c r="AC5" s="2835">
        <v>142032.10517011627</v>
      </c>
      <c r="AD5" s="30"/>
      <c r="AE5" s="2835">
        <v>133</v>
      </c>
      <c r="AF5" s="2835">
        <v>20362870.706626717</v>
      </c>
      <c r="AG5" s="2835">
        <v>153104.29102726854</v>
      </c>
      <c r="AH5" s="2549"/>
      <c r="AI5" s="2835">
        <v>133</v>
      </c>
      <c r="AJ5" s="2835">
        <v>21272718.104982879</v>
      </c>
      <c r="AK5" s="2835">
        <v>159945.24890964571</v>
      </c>
      <c r="AM5" s="2835">
        <v>136</v>
      </c>
      <c r="AN5" s="2835">
        <v>22088416.506352723</v>
      </c>
      <c r="AO5" s="2835">
        <v>162414.82725259356</v>
      </c>
    </row>
    <row r="6" spans="2:41">
      <c r="B6" s="2836" t="s">
        <v>1098</v>
      </c>
      <c r="C6" s="2837">
        <v>52</v>
      </c>
      <c r="D6" s="2837">
        <v>3415614.17</v>
      </c>
      <c r="E6" s="2837">
        <v>65684.887884615382</v>
      </c>
      <c r="G6" s="2837">
        <v>52</v>
      </c>
      <c r="H6" s="2837">
        <v>3491777.5699999989</v>
      </c>
      <c r="I6" s="2837">
        <v>67149.56865384613</v>
      </c>
      <c r="J6" s="2904"/>
      <c r="K6" s="2837">
        <v>52</v>
      </c>
      <c r="L6" s="2837">
        <v>3738814.7699999986</v>
      </c>
      <c r="M6" s="2837">
        <v>71900.284038461512</v>
      </c>
      <c r="N6" s="2904"/>
      <c r="O6" s="2837">
        <v>52</v>
      </c>
      <c r="P6" s="2837">
        <v>3908506.3699999996</v>
      </c>
      <c r="Q6" s="2837">
        <v>75163.584038461529</v>
      </c>
      <c r="R6" s="2904"/>
      <c r="S6" s="2837">
        <v>54</v>
      </c>
      <c r="T6" s="2837">
        <v>4295795.7699999996</v>
      </c>
      <c r="U6" s="2837">
        <v>79551.773518518516</v>
      </c>
      <c r="V6" s="30"/>
      <c r="W6" s="2837">
        <v>53</v>
      </c>
      <c r="X6" s="2837">
        <v>4290980.37</v>
      </c>
      <c r="Y6" s="2837">
        <v>80961.893773584903</v>
      </c>
      <c r="Z6" s="2904"/>
      <c r="AA6" s="2837">
        <v>54</v>
      </c>
      <c r="AB6" s="2837">
        <v>4630274.7699999996</v>
      </c>
      <c r="AC6" s="2837">
        <v>85745.829074074063</v>
      </c>
      <c r="AD6" s="30"/>
      <c r="AE6" s="2837">
        <v>51</v>
      </c>
      <c r="AF6" s="2837">
        <v>4742545.5699999984</v>
      </c>
      <c r="AG6" s="2837">
        <v>92991.089607843111</v>
      </c>
      <c r="AH6" s="2549"/>
      <c r="AI6" s="2837">
        <v>49</v>
      </c>
      <c r="AJ6" s="2837">
        <v>4640553.67</v>
      </c>
      <c r="AK6" s="2837">
        <v>94705.176938775505</v>
      </c>
      <c r="AM6" s="2837">
        <v>48</v>
      </c>
      <c r="AN6" s="2837">
        <v>4698419.0699999919</v>
      </c>
      <c r="AO6" s="2837">
        <v>97883.730624999836</v>
      </c>
    </row>
    <row r="7" spans="2:41">
      <c r="B7" s="2836" t="s">
        <v>1099</v>
      </c>
      <c r="C7" s="2837">
        <v>59</v>
      </c>
      <c r="D7" s="2837">
        <v>6273035.9300000006</v>
      </c>
      <c r="E7" s="2837">
        <v>106322.64288135595</v>
      </c>
      <c r="G7" s="2837">
        <v>60</v>
      </c>
      <c r="H7" s="2837">
        <v>6766543.2299999986</v>
      </c>
      <c r="I7" s="2837">
        <v>112775.72049999998</v>
      </c>
      <c r="J7" s="2904"/>
      <c r="K7" s="2837">
        <v>60</v>
      </c>
      <c r="L7" s="2837">
        <v>7090054.9299999969</v>
      </c>
      <c r="M7" s="2837">
        <v>118167.58216666662</v>
      </c>
      <c r="N7" s="2904"/>
      <c r="O7" s="2837">
        <v>62</v>
      </c>
      <c r="P7" s="2837">
        <v>7648683.3299999982</v>
      </c>
      <c r="Q7" s="2837">
        <v>123365.8601612903</v>
      </c>
      <c r="R7" s="2904"/>
      <c r="S7" s="2837">
        <v>60</v>
      </c>
      <c r="T7" s="2837">
        <v>7994132.6299999999</v>
      </c>
      <c r="U7" s="2837">
        <v>133235.54383333333</v>
      </c>
      <c r="V7" s="30"/>
      <c r="W7" s="2837">
        <v>59</v>
      </c>
      <c r="X7" s="2837">
        <v>8681998.3796575367</v>
      </c>
      <c r="Y7" s="2837">
        <v>147152.51490944976</v>
      </c>
      <c r="Z7" s="2904"/>
      <c r="AA7" s="2837">
        <v>58</v>
      </c>
      <c r="AB7" s="2837">
        <v>9225403.1796575375</v>
      </c>
      <c r="AC7" s="2837">
        <v>159058.67551133686</v>
      </c>
      <c r="AD7" s="30"/>
      <c r="AE7" s="2837">
        <v>58</v>
      </c>
      <c r="AF7" s="2837">
        <v>9819958.7796575371</v>
      </c>
      <c r="AG7" s="2837">
        <v>169309.63413202649</v>
      </c>
      <c r="AH7" s="2549"/>
      <c r="AI7" s="2837">
        <v>56</v>
      </c>
      <c r="AJ7" s="2837">
        <v>9972705.579657536</v>
      </c>
      <c r="AK7" s="2837">
        <v>178084.02820817029</v>
      </c>
      <c r="AM7" s="2837">
        <v>53</v>
      </c>
      <c r="AN7" s="2837">
        <v>10172211.729999989</v>
      </c>
      <c r="AO7" s="2837">
        <v>191928.52320754697</v>
      </c>
    </row>
    <row r="8" spans="2:41">
      <c r="B8" s="2836" t="s">
        <v>1100</v>
      </c>
      <c r="C8" s="2837">
        <v>45</v>
      </c>
      <c r="D8" s="2837">
        <v>4802476.5299999993</v>
      </c>
      <c r="E8" s="2837">
        <v>106721.70066666664</v>
      </c>
      <c r="G8" s="2837">
        <v>45</v>
      </c>
      <c r="H8" s="2837">
        <v>4997866.83</v>
      </c>
      <c r="I8" s="2837">
        <v>111063.70733333334</v>
      </c>
      <c r="J8" s="2904"/>
      <c r="K8" s="2837">
        <v>47</v>
      </c>
      <c r="L8" s="2837">
        <v>5288444.2300000014</v>
      </c>
      <c r="M8" s="2837">
        <v>112520.09000000003</v>
      </c>
      <c r="N8" s="2904"/>
      <c r="O8" s="2837">
        <v>47</v>
      </c>
      <c r="P8" s="2837">
        <v>5632340.0299999993</v>
      </c>
      <c r="Q8" s="2837">
        <v>119837.0219148936</v>
      </c>
      <c r="R8" s="2904"/>
      <c r="S8" s="2837">
        <v>49</v>
      </c>
      <c r="T8" s="2837">
        <v>6249443.2300000023</v>
      </c>
      <c r="U8" s="2837">
        <v>127539.65775510209</v>
      </c>
      <c r="V8" s="30"/>
      <c r="W8" s="2837">
        <v>46</v>
      </c>
      <c r="X8" s="2837">
        <v>6482990.7300000014</v>
      </c>
      <c r="Y8" s="2837">
        <v>140934.58108695655</v>
      </c>
      <c r="Z8" s="2904"/>
      <c r="AA8" s="2837">
        <v>46</v>
      </c>
      <c r="AB8" s="2837">
        <v>6879105.1300000018</v>
      </c>
      <c r="AC8" s="2837">
        <v>149545.76369565222</v>
      </c>
      <c r="AD8" s="30"/>
      <c r="AE8" s="2837">
        <v>45</v>
      </c>
      <c r="AF8" s="2837">
        <v>7237145.8300000019</v>
      </c>
      <c r="AG8" s="2837">
        <v>160825.46288888893</v>
      </c>
      <c r="AH8" s="2549"/>
      <c r="AI8" s="2837">
        <v>44</v>
      </c>
      <c r="AJ8" s="2837">
        <v>7645900.7800000012</v>
      </c>
      <c r="AK8" s="2837">
        <v>173770.47227272729</v>
      </c>
      <c r="AM8" s="2837">
        <v>48</v>
      </c>
      <c r="AN8" s="2837">
        <v>8093583.9299999904</v>
      </c>
      <c r="AO8" s="2837">
        <v>168616.3318749998</v>
      </c>
    </row>
    <row r="9" spans="2:41">
      <c r="B9" s="2836" t="s">
        <v>1101</v>
      </c>
      <c r="C9" s="2837">
        <v>40</v>
      </c>
      <c r="D9" s="2837">
        <v>3211010.8496575332</v>
      </c>
      <c r="E9" s="2837">
        <v>80275.271241438328</v>
      </c>
      <c r="G9" s="2837">
        <v>41</v>
      </c>
      <c r="H9" s="2837">
        <v>3435580.1496575344</v>
      </c>
      <c r="I9" s="2837">
        <v>83794.637796525232</v>
      </c>
      <c r="J9" s="2904"/>
      <c r="K9" s="2837">
        <v>41</v>
      </c>
      <c r="L9" s="2837">
        <v>3575720.4496575338</v>
      </c>
      <c r="M9" s="2837">
        <v>87212.693894086187</v>
      </c>
      <c r="N9" s="2904"/>
      <c r="O9" s="2837">
        <v>41</v>
      </c>
      <c r="P9" s="2837">
        <v>3683897.2496575355</v>
      </c>
      <c r="Q9" s="2837">
        <v>89851.152430671602</v>
      </c>
      <c r="R9" s="2904"/>
      <c r="S9" s="2837">
        <v>42</v>
      </c>
      <c r="T9" s="2837">
        <v>3948730.8496575342</v>
      </c>
      <c r="U9" s="2837">
        <v>94017.401182322239</v>
      </c>
      <c r="V9" s="30"/>
      <c r="W9" s="2837">
        <v>40</v>
      </c>
      <c r="X9" s="2837">
        <v>4045595.5496575339</v>
      </c>
      <c r="Y9" s="2837">
        <v>101139.88874143835</v>
      </c>
      <c r="Z9" s="2904"/>
      <c r="AA9" s="2837">
        <v>39</v>
      </c>
      <c r="AB9" s="2837">
        <v>4199299.5496575339</v>
      </c>
      <c r="AC9" s="2837">
        <v>107674.34742711626</v>
      </c>
      <c r="AD9" s="30"/>
      <c r="AE9" s="2837">
        <v>36</v>
      </c>
      <c r="AF9" s="2837">
        <v>4151253.1496575335</v>
      </c>
      <c r="AG9" s="2837">
        <v>115312.58749048704</v>
      </c>
      <c r="AH9" s="2549"/>
      <c r="AI9" s="2837">
        <v>35</v>
      </c>
      <c r="AJ9" s="2837">
        <v>4146415.5496575334</v>
      </c>
      <c r="AK9" s="2837">
        <v>118469.01570450095</v>
      </c>
      <c r="AM9" s="2837">
        <v>40</v>
      </c>
      <c r="AN9" s="2837">
        <v>4618969.4496575277</v>
      </c>
      <c r="AO9" s="2837">
        <v>115474.23624143819</v>
      </c>
    </row>
    <row r="10" spans="2:41">
      <c r="B10" s="2838" t="s">
        <v>544</v>
      </c>
      <c r="C10" s="2839">
        <f>SUM(C5:C9)</f>
        <v>338</v>
      </c>
      <c r="D10" s="2839">
        <f>SUM(D5:D9)</f>
        <v>31949631.591078762</v>
      </c>
      <c r="E10" s="2839">
        <f>+D10/C10</f>
        <v>94525.537251712318</v>
      </c>
      <c r="G10" s="2839">
        <f>SUM(G5:G9)</f>
        <v>342</v>
      </c>
      <c r="H10" s="2839">
        <f>SUM(H5:H9)</f>
        <v>33873715.891078763</v>
      </c>
      <c r="I10" s="2839">
        <f>+H10/G10</f>
        <v>99045.952897891126</v>
      </c>
      <c r="J10" s="2904"/>
      <c r="K10" s="2839">
        <f>SUM(K5:K9)</f>
        <v>345</v>
      </c>
      <c r="L10" s="2839">
        <f>SUM(L5:L9)</f>
        <v>36049834.091078766</v>
      </c>
      <c r="M10" s="2839">
        <f>+L10/K10</f>
        <v>104492.27272776453</v>
      </c>
      <c r="N10" s="2904"/>
      <c r="O10" s="2839">
        <f>SUM(O5:O9)</f>
        <v>348</v>
      </c>
      <c r="P10" s="2839">
        <f>SUM(P5:P9)</f>
        <v>38367594.291078761</v>
      </c>
      <c r="Q10" s="2839">
        <f>+P10/O10</f>
        <v>110251.70773298494</v>
      </c>
      <c r="R10" s="2904"/>
      <c r="S10" s="2839">
        <f>SUM(S5:S9)</f>
        <v>345</v>
      </c>
      <c r="T10" s="2839">
        <f>SUM(T5:T9)</f>
        <v>40547722.393133566</v>
      </c>
      <c r="U10" s="2839">
        <f>+T10/S10</f>
        <v>117529.63012502482</v>
      </c>
      <c r="V10" s="30"/>
      <c r="W10" s="2839">
        <v>336</v>
      </c>
      <c r="X10" s="2839">
        <v>42332576.640736312</v>
      </c>
      <c r="Y10" s="2839">
        <v>125989.81143076283</v>
      </c>
      <c r="Z10" s="2904"/>
      <c r="AA10" s="2839">
        <v>335</v>
      </c>
      <c r="AB10" s="2839">
        <v>44534513.142791115</v>
      </c>
      <c r="AC10" s="2839">
        <v>132938.84520236152</v>
      </c>
      <c r="AD10" s="30"/>
      <c r="AE10" s="2839">
        <v>323</v>
      </c>
      <c r="AF10" s="2839">
        <v>46313774.03594178</v>
      </c>
      <c r="AG10" s="2839">
        <v>143386.29732489714</v>
      </c>
      <c r="AH10" s="2549"/>
      <c r="AI10" s="2839">
        <v>317</v>
      </c>
      <c r="AJ10" s="2839">
        <v>47678293.684297942</v>
      </c>
      <c r="AK10" s="2839">
        <v>150404.71193784839</v>
      </c>
      <c r="AM10" s="2839">
        <v>325</v>
      </c>
      <c r="AN10" s="2839">
        <v>49671600.686010227</v>
      </c>
      <c r="AO10" s="2839">
        <v>152835.69441849302</v>
      </c>
    </row>
    <row r="11" spans="2:41">
      <c r="B11" s="2836" t="s">
        <v>1102</v>
      </c>
      <c r="C11" s="2837">
        <v>43</v>
      </c>
      <c r="D11" s="2837">
        <v>4789945.1450000005</v>
      </c>
      <c r="E11" s="2837">
        <v>111394.07313953488</v>
      </c>
      <c r="G11" s="2837">
        <v>45</v>
      </c>
      <c r="H11" s="2837">
        <v>5126329.3450000016</v>
      </c>
      <c r="I11" s="2837">
        <v>113918.42988888892</v>
      </c>
      <c r="J11" s="2904"/>
      <c r="K11" s="2837">
        <v>46</v>
      </c>
      <c r="L11" s="2837">
        <v>5462126.9449999994</v>
      </c>
      <c r="M11" s="2837">
        <v>118741.89010869565</v>
      </c>
      <c r="N11" s="2904"/>
      <c r="O11" s="2837">
        <v>47</v>
      </c>
      <c r="P11" s="2837">
        <v>5767336.8450000007</v>
      </c>
      <c r="Q11" s="2837">
        <v>122709.29457446811</v>
      </c>
      <c r="R11" s="2904"/>
      <c r="S11" s="2837">
        <v>46</v>
      </c>
      <c r="T11" s="2837">
        <v>5653287.5450000009</v>
      </c>
      <c r="U11" s="2837">
        <v>122897.55532608698</v>
      </c>
      <c r="V11" s="30"/>
      <c r="W11" s="2837">
        <v>46</v>
      </c>
      <c r="X11" s="2837">
        <v>5870398.1450000023</v>
      </c>
      <c r="Y11" s="2837">
        <v>127617.35097826092</v>
      </c>
      <c r="Z11" s="2904"/>
      <c r="AA11" s="2837">
        <v>45</v>
      </c>
      <c r="AB11" s="2837">
        <v>5945569.5950000025</v>
      </c>
      <c r="AC11" s="2837">
        <v>132123.76877777785</v>
      </c>
      <c r="AD11" s="30"/>
      <c r="AE11" s="2837">
        <v>45</v>
      </c>
      <c r="AF11" s="2837">
        <v>6379822.0700000003</v>
      </c>
      <c r="AG11" s="2837">
        <v>141773.82377777778</v>
      </c>
      <c r="AH11" s="2549"/>
      <c r="AI11" s="2837">
        <v>46</v>
      </c>
      <c r="AJ11" s="2837">
        <v>6782014.870000002</v>
      </c>
      <c r="AK11" s="2837">
        <v>147435.10586956525</v>
      </c>
      <c r="AM11" s="2837">
        <v>46</v>
      </c>
      <c r="AN11" s="2837">
        <v>6986322.0480821803</v>
      </c>
      <c r="AO11" s="2837">
        <v>151876.5662626561</v>
      </c>
    </row>
    <row r="12" spans="2:41">
      <c r="B12" s="2836" t="s">
        <v>1103</v>
      </c>
      <c r="C12" s="2837">
        <v>75</v>
      </c>
      <c r="D12" s="2837">
        <v>7723520.0157534229</v>
      </c>
      <c r="E12" s="2837">
        <v>102980.26687671231</v>
      </c>
      <c r="G12" s="2837">
        <v>75</v>
      </c>
      <c r="H12" s="2837">
        <v>8087839.7482876685</v>
      </c>
      <c r="I12" s="2837">
        <v>107837.86331050225</v>
      </c>
      <c r="J12" s="2904"/>
      <c r="K12" s="2837">
        <v>76</v>
      </c>
      <c r="L12" s="2837">
        <v>8506525.3921232894</v>
      </c>
      <c r="M12" s="2837">
        <v>111927.96568583275</v>
      </c>
      <c r="N12" s="2904"/>
      <c r="O12" s="2837">
        <v>78</v>
      </c>
      <c r="P12" s="2837">
        <v>8804409.5921232868</v>
      </c>
      <c r="Q12" s="2837">
        <v>112877.04605286264</v>
      </c>
      <c r="R12" s="2904"/>
      <c r="S12" s="2837">
        <v>78</v>
      </c>
      <c r="T12" s="2837">
        <v>8825957.5921232887</v>
      </c>
      <c r="U12" s="2837">
        <v>113153.30246311908</v>
      </c>
      <c r="V12" s="30"/>
      <c r="W12" s="2837">
        <v>76</v>
      </c>
      <c r="X12" s="2837">
        <v>9184236.5921232887</v>
      </c>
      <c r="Y12" s="2837">
        <v>120845.21831741169</v>
      </c>
      <c r="Z12" s="2904"/>
      <c r="AA12" s="2837">
        <v>77</v>
      </c>
      <c r="AB12" s="2837">
        <v>9551246.3436301369</v>
      </c>
      <c r="AC12" s="2837">
        <v>124042.16030688489</v>
      </c>
      <c r="AD12" s="30"/>
      <c r="AE12" s="2837">
        <v>75</v>
      </c>
      <c r="AF12" s="2837">
        <v>9774056.6686301362</v>
      </c>
      <c r="AG12" s="2837">
        <v>130320.75558173515</v>
      </c>
      <c r="AH12" s="2549"/>
      <c r="AI12" s="2837">
        <v>71</v>
      </c>
      <c r="AJ12" s="2837">
        <v>9680547.1186301373</v>
      </c>
      <c r="AK12" s="2837">
        <v>136345.73406521321</v>
      </c>
      <c r="AM12" s="2837">
        <v>69</v>
      </c>
      <c r="AN12" s="2837">
        <v>9558979.8193150572</v>
      </c>
      <c r="AO12" s="2837">
        <v>138535.93941036315</v>
      </c>
    </row>
    <row r="13" spans="2:41">
      <c r="B13" s="2836" t="s">
        <v>1104</v>
      </c>
      <c r="C13" s="2837">
        <v>68</v>
      </c>
      <c r="D13" s="2837">
        <v>8878128.5737500004</v>
      </c>
      <c r="E13" s="2837">
        <v>130560.71431985295</v>
      </c>
      <c r="G13" s="2837">
        <v>70</v>
      </c>
      <c r="H13" s="2837">
        <v>9359077.6737500001</v>
      </c>
      <c r="I13" s="2837">
        <v>133701.10962500001</v>
      </c>
      <c r="J13" s="2904"/>
      <c r="K13" s="2837">
        <v>72</v>
      </c>
      <c r="L13" s="2837">
        <v>9812803.7737499997</v>
      </c>
      <c r="M13" s="2837">
        <v>136288.94130208332</v>
      </c>
      <c r="N13" s="2904"/>
      <c r="O13" s="2837">
        <v>73</v>
      </c>
      <c r="P13" s="2837">
        <v>10217201.873750001</v>
      </c>
      <c r="Q13" s="2837">
        <v>139961.66950342467</v>
      </c>
      <c r="R13" s="2904"/>
      <c r="S13" s="2837">
        <v>72</v>
      </c>
      <c r="T13" s="2837">
        <v>10440132.373749999</v>
      </c>
      <c r="U13" s="2837">
        <v>145001.83852430555</v>
      </c>
      <c r="V13" s="30"/>
      <c r="W13" s="2837">
        <v>71</v>
      </c>
      <c r="X13" s="2837">
        <v>10836190.373749997</v>
      </c>
      <c r="Y13" s="2837">
        <v>152622.39963028167</v>
      </c>
      <c r="Z13" s="2904"/>
      <c r="AA13" s="2837">
        <v>71</v>
      </c>
      <c r="AB13" s="2837">
        <v>11243882.573750002</v>
      </c>
      <c r="AC13" s="2837">
        <v>158364.54329225354</v>
      </c>
      <c r="AD13" s="30"/>
      <c r="AE13" s="2837">
        <v>67</v>
      </c>
      <c r="AF13" s="2837">
        <v>11315346.473750003</v>
      </c>
      <c r="AG13" s="2837">
        <v>168885.76826492543</v>
      </c>
      <c r="AH13" s="2549"/>
      <c r="AI13" s="2837">
        <v>68</v>
      </c>
      <c r="AJ13" s="2837">
        <v>11731234.173750002</v>
      </c>
      <c r="AK13" s="2837">
        <v>172518.14961397063</v>
      </c>
      <c r="AM13" s="2837">
        <v>67</v>
      </c>
      <c r="AN13" s="2837">
        <v>11611458.573749978</v>
      </c>
      <c r="AO13" s="2837">
        <v>173305.35184701459</v>
      </c>
    </row>
    <row r="14" spans="2:41">
      <c r="B14" s="2836" t="s">
        <v>813</v>
      </c>
      <c r="C14" s="2837">
        <v>57</v>
      </c>
      <c r="D14" s="2837">
        <v>9293285.5020547919</v>
      </c>
      <c r="E14" s="2837">
        <v>163040.09652727706</v>
      </c>
      <c r="G14" s="2837">
        <v>57</v>
      </c>
      <c r="H14" s="2837">
        <v>9766865.5020547975</v>
      </c>
      <c r="I14" s="2837">
        <v>171348.51757990872</v>
      </c>
      <c r="J14" s="2904"/>
      <c r="K14" s="2837">
        <v>58</v>
      </c>
      <c r="L14" s="2837">
        <v>10149941.1</v>
      </c>
      <c r="M14" s="2837">
        <v>174998.98448275862</v>
      </c>
      <c r="N14" s="2904"/>
      <c r="O14" s="2837">
        <v>59</v>
      </c>
      <c r="P14" s="2837">
        <v>10540251.5</v>
      </c>
      <c r="Q14" s="2837">
        <v>178648.33050847458</v>
      </c>
      <c r="R14" s="2904"/>
      <c r="S14" s="2837">
        <v>57</v>
      </c>
      <c r="T14" s="2837">
        <v>10854115.399999997</v>
      </c>
      <c r="U14" s="2837">
        <v>190423.0771929824</v>
      </c>
      <c r="V14" s="30"/>
      <c r="W14" s="2837">
        <v>59</v>
      </c>
      <c r="X14" s="2837">
        <v>11238468.599999994</v>
      </c>
      <c r="Y14" s="2837">
        <v>190482.51864406769</v>
      </c>
      <c r="Z14" s="2904"/>
      <c r="AA14" s="2837">
        <v>60</v>
      </c>
      <c r="AB14" s="2837">
        <v>11244568.599999998</v>
      </c>
      <c r="AC14" s="2837">
        <v>187409.47666666663</v>
      </c>
      <c r="AD14" s="30"/>
      <c r="AE14" s="2837">
        <v>60</v>
      </c>
      <c r="AF14" s="2837">
        <v>11568369.799999997</v>
      </c>
      <c r="AG14" s="2837">
        <v>192806.16333333327</v>
      </c>
      <c r="AH14" s="2549"/>
      <c r="AI14" s="2837">
        <v>60</v>
      </c>
      <c r="AJ14" s="2837">
        <v>11707603.699999999</v>
      </c>
      <c r="AK14" s="2837">
        <v>195126.72833333333</v>
      </c>
      <c r="AM14" s="2837">
        <v>58</v>
      </c>
      <c r="AN14" s="2837">
        <v>11382824.899999978</v>
      </c>
      <c r="AO14" s="2837">
        <v>196255.60172413755</v>
      </c>
    </row>
    <row r="15" spans="2:41">
      <c r="B15" s="2836" t="s">
        <v>1105</v>
      </c>
      <c r="C15" s="2837">
        <v>69</v>
      </c>
      <c r="D15" s="2837">
        <v>7929565.5349999964</v>
      </c>
      <c r="E15" s="2837">
        <v>114921.23963768111</v>
      </c>
      <c r="G15" s="2837">
        <v>70</v>
      </c>
      <c r="H15" s="2837">
        <v>8358472.1399999978</v>
      </c>
      <c r="I15" s="2837">
        <v>119406.74485714282</v>
      </c>
      <c r="J15" s="2904"/>
      <c r="K15" s="2837">
        <v>71</v>
      </c>
      <c r="L15" s="2837">
        <v>8887471.9399999995</v>
      </c>
      <c r="M15" s="2837">
        <v>125175.66112676056</v>
      </c>
      <c r="N15" s="2904"/>
      <c r="O15" s="2837">
        <v>72</v>
      </c>
      <c r="P15" s="2837">
        <v>9259929.9399999995</v>
      </c>
      <c r="Q15" s="2837">
        <v>128610.13805555554</v>
      </c>
      <c r="R15" s="2904"/>
      <c r="S15" s="2837">
        <v>72</v>
      </c>
      <c r="T15" s="2837">
        <v>9642433.5399999972</v>
      </c>
      <c r="U15" s="2837">
        <v>133922.68805555551</v>
      </c>
      <c r="V15" s="30"/>
      <c r="W15" s="2837">
        <v>70</v>
      </c>
      <c r="X15" s="2837">
        <v>9569236.839999998</v>
      </c>
      <c r="Y15" s="2837">
        <v>136703.3834285714</v>
      </c>
      <c r="Z15" s="2904"/>
      <c r="AA15" s="2837">
        <v>69</v>
      </c>
      <c r="AB15" s="2837">
        <v>9898665.6399999969</v>
      </c>
      <c r="AC15" s="2837">
        <v>143458.92231884054</v>
      </c>
      <c r="AD15" s="30"/>
      <c r="AE15" s="2837">
        <v>66</v>
      </c>
      <c r="AF15" s="2837">
        <v>9936155.1399999969</v>
      </c>
      <c r="AG15" s="2837">
        <v>150547.80515151512</v>
      </c>
      <c r="AH15" s="2549"/>
      <c r="AI15" s="2837">
        <v>66</v>
      </c>
      <c r="AJ15" s="2837">
        <v>9998636.9399999939</v>
      </c>
      <c r="AK15" s="2837">
        <v>151494.499090909</v>
      </c>
      <c r="AM15" s="2837">
        <v>66</v>
      </c>
      <c r="AN15" s="2837">
        <v>10113719.63999998</v>
      </c>
      <c r="AO15" s="2837">
        <v>153238.17636363607</v>
      </c>
    </row>
    <row r="16" spans="2:41">
      <c r="B16" s="2838" t="s">
        <v>545</v>
      </c>
      <c r="C16" s="2839">
        <f>SUM(C11:C15)</f>
        <v>312</v>
      </c>
      <c r="D16" s="2839">
        <f>SUM(D11:D15)</f>
        <v>38614444.77155821</v>
      </c>
      <c r="E16" s="2839">
        <f>+D16/C16</f>
        <v>123764.24606268656</v>
      </c>
      <c r="G16" s="2839">
        <f>SUM(G11:G15)</f>
        <v>317</v>
      </c>
      <c r="H16" s="2839">
        <f>SUM(H11:H15)</f>
        <v>40698584.409092464</v>
      </c>
      <c r="I16" s="2839">
        <f>+H16/G16</f>
        <v>128386.70160596992</v>
      </c>
      <c r="J16" s="2904"/>
      <c r="K16" s="2839">
        <f>SUM(K11:K15)</f>
        <v>323</v>
      </c>
      <c r="L16" s="2839">
        <f>SUM(L11:L15)</f>
        <v>42818869.150873289</v>
      </c>
      <c r="M16" s="2839">
        <f>+L16/K16</f>
        <v>132566.1583618368</v>
      </c>
      <c r="N16" s="2904"/>
      <c r="O16" s="2839">
        <f>SUM(O11:O15)</f>
        <v>329</v>
      </c>
      <c r="P16" s="2839">
        <f>SUM(P11:P15)</f>
        <v>44589129.750873283</v>
      </c>
      <c r="Q16" s="2839">
        <f>+P16/O16</f>
        <v>135529.26975949327</v>
      </c>
      <c r="R16" s="2904"/>
      <c r="S16" s="2839">
        <f>SUM(S11:S15)</f>
        <v>325</v>
      </c>
      <c r="T16" s="2839">
        <f>SUM(T11:T15)</f>
        <v>45415926.450873286</v>
      </c>
      <c r="U16" s="2839">
        <f>+T16/S16</f>
        <v>139741.31215653318</v>
      </c>
      <c r="V16" s="30"/>
      <c r="W16" s="2839">
        <v>322</v>
      </c>
      <c r="X16" s="2839">
        <v>46698530.55087328</v>
      </c>
      <c r="Y16" s="2839">
        <v>145026.49239401639</v>
      </c>
      <c r="Z16" s="2904"/>
      <c r="AA16" s="2839">
        <v>322</v>
      </c>
      <c r="AB16" s="2839">
        <v>47883932.752380133</v>
      </c>
      <c r="AC16" s="2839">
        <v>148707.86569062152</v>
      </c>
      <c r="AD16" s="30"/>
      <c r="AE16" s="2839">
        <v>313</v>
      </c>
      <c r="AF16" s="2839">
        <v>48973750.152380139</v>
      </c>
      <c r="AG16" s="2839">
        <v>156465.65543891417</v>
      </c>
      <c r="AH16" s="2549"/>
      <c r="AI16" s="2839">
        <v>311</v>
      </c>
      <c r="AJ16" s="2839">
        <v>49900036.80238013</v>
      </c>
      <c r="AK16" s="2839">
        <v>160450.27910733162</v>
      </c>
      <c r="AM16" s="2839">
        <v>306</v>
      </c>
      <c r="AN16" s="2839">
        <v>49653304.98114717</v>
      </c>
      <c r="AO16" s="2839">
        <v>162265.70255276852</v>
      </c>
    </row>
    <row r="17" spans="2:41">
      <c r="B17" s="2836" t="s">
        <v>1156</v>
      </c>
      <c r="C17" s="2837">
        <v>2</v>
      </c>
      <c r="D17" s="2837">
        <v>67173.8</v>
      </c>
      <c r="E17" s="2837">
        <v>33586.9</v>
      </c>
      <c r="G17" s="2837">
        <v>2</v>
      </c>
      <c r="H17" s="2837">
        <v>67173.8</v>
      </c>
      <c r="I17" s="2837">
        <v>33586.9</v>
      </c>
      <c r="J17" s="2904"/>
      <c r="K17" s="2837">
        <v>2</v>
      </c>
      <c r="L17" s="2837">
        <v>67173.8</v>
      </c>
      <c r="M17" s="2837">
        <v>33586.9</v>
      </c>
      <c r="N17" s="2904"/>
      <c r="O17" s="2837">
        <v>2</v>
      </c>
      <c r="P17" s="2837">
        <v>67173.8</v>
      </c>
      <c r="Q17" s="2837">
        <v>33586.9</v>
      </c>
      <c r="R17" s="2904"/>
      <c r="S17" s="2837">
        <v>2</v>
      </c>
      <c r="T17" s="2837">
        <v>67173.8</v>
      </c>
      <c r="U17" s="2837">
        <v>33586.9</v>
      </c>
      <c r="V17" s="30"/>
      <c r="W17" s="2837">
        <v>1</v>
      </c>
      <c r="X17" s="2837">
        <v>15257</v>
      </c>
      <c r="Y17" s="2837">
        <v>15257</v>
      </c>
      <c r="Z17" s="2904"/>
      <c r="AA17" s="2837">
        <v>1</v>
      </c>
      <c r="AB17" s="2837">
        <v>15257</v>
      </c>
      <c r="AC17" s="2837">
        <v>15257</v>
      </c>
      <c r="AD17" s="30"/>
      <c r="AE17" s="2837">
        <v>1</v>
      </c>
      <c r="AF17" s="2837">
        <v>35240.800000000003</v>
      </c>
      <c r="AG17" s="2837">
        <v>35240.800000000003</v>
      </c>
      <c r="AH17" s="2549"/>
      <c r="AI17" s="2837">
        <v>1</v>
      </c>
      <c r="AJ17" s="2837">
        <v>35240.800000000003</v>
      </c>
      <c r="AK17" s="2837">
        <v>35240.800000000003</v>
      </c>
      <c r="AM17" s="2837">
        <v>1</v>
      </c>
      <c r="AN17" s="2837">
        <v>35240.800000000003</v>
      </c>
      <c r="AO17" s="2837">
        <v>35240.800000000003</v>
      </c>
    </row>
    <row r="18" spans="2:41">
      <c r="B18" s="2836" t="s">
        <v>1107</v>
      </c>
      <c r="C18" s="2837">
        <v>60</v>
      </c>
      <c r="D18" s="2837">
        <v>7121847.0025000013</v>
      </c>
      <c r="E18" s="2837">
        <v>118697.45004166669</v>
      </c>
      <c r="G18" s="2837">
        <v>62</v>
      </c>
      <c r="H18" s="2837">
        <v>7589209.4024999999</v>
      </c>
      <c r="I18" s="2837">
        <v>122406.60326612904</v>
      </c>
      <c r="J18" s="2904"/>
      <c r="K18" s="2837">
        <v>62</v>
      </c>
      <c r="L18" s="2837">
        <v>7980358.7024999997</v>
      </c>
      <c r="M18" s="2837">
        <v>128715.46294354838</v>
      </c>
      <c r="N18" s="2904"/>
      <c r="O18" s="2837">
        <v>63</v>
      </c>
      <c r="P18" s="2837">
        <v>8688301.8024999965</v>
      </c>
      <c r="Q18" s="2837">
        <v>137909.55242063486</v>
      </c>
      <c r="R18" s="2904"/>
      <c r="S18" s="2837">
        <v>65</v>
      </c>
      <c r="T18" s="2837">
        <v>9250343.7025000006</v>
      </c>
      <c r="U18" s="2837">
        <v>142312.98003846154</v>
      </c>
      <c r="V18" s="30"/>
      <c r="W18" s="2837">
        <v>65</v>
      </c>
      <c r="X18" s="2837">
        <v>9672470.4025000017</v>
      </c>
      <c r="Y18" s="2837">
        <v>148807.2369615385</v>
      </c>
      <c r="Z18" s="2904"/>
      <c r="AA18" s="2837">
        <v>63</v>
      </c>
      <c r="AB18" s="2837">
        <v>9112837.2024999987</v>
      </c>
      <c r="AC18" s="2837">
        <v>144648.20956349204</v>
      </c>
      <c r="AD18" s="30"/>
      <c r="AE18" s="2837">
        <v>62</v>
      </c>
      <c r="AF18" s="2837">
        <v>9734341.5025000013</v>
      </c>
      <c r="AG18" s="2837">
        <v>157005.50810483872</v>
      </c>
      <c r="AH18" s="2549"/>
      <c r="AI18" s="2837">
        <v>60</v>
      </c>
      <c r="AJ18" s="2837">
        <v>9686320.8024999984</v>
      </c>
      <c r="AK18" s="2837">
        <v>161438.68004166664</v>
      </c>
      <c r="AM18" s="2837">
        <v>62</v>
      </c>
      <c r="AN18" s="2837">
        <v>10144019.302499985</v>
      </c>
      <c r="AO18" s="2837">
        <v>163613.21455645136</v>
      </c>
    </row>
    <row r="19" spans="2:41">
      <c r="B19" s="2836" t="s">
        <v>1108</v>
      </c>
      <c r="C19" s="2837">
        <v>42</v>
      </c>
      <c r="D19" s="2837">
        <v>4249708.55</v>
      </c>
      <c r="E19" s="2837">
        <v>101183.5369047619</v>
      </c>
      <c r="G19" s="2837">
        <v>42</v>
      </c>
      <c r="H19" s="2837">
        <v>4658432.450000002</v>
      </c>
      <c r="I19" s="2837">
        <v>110915.05833333338</v>
      </c>
      <c r="J19" s="2904"/>
      <c r="K19" s="2837">
        <v>43</v>
      </c>
      <c r="L19" s="2837">
        <v>4958230.6500000013</v>
      </c>
      <c r="M19" s="2837">
        <v>115307.68953488374</v>
      </c>
      <c r="N19" s="2904"/>
      <c r="O19" s="2837">
        <v>44</v>
      </c>
      <c r="P19" s="2837">
        <v>5406654.6500000032</v>
      </c>
      <c r="Q19" s="2837">
        <v>122878.51477272734</v>
      </c>
      <c r="R19" s="2904"/>
      <c r="S19" s="2837">
        <v>43</v>
      </c>
      <c r="T19" s="2837">
        <v>5563799.8499999987</v>
      </c>
      <c r="U19" s="2837">
        <v>129390.69418604649</v>
      </c>
      <c r="V19" s="30"/>
      <c r="W19" s="2837">
        <v>40</v>
      </c>
      <c r="X19" s="2837">
        <v>5769628.3500000006</v>
      </c>
      <c r="Y19" s="2837">
        <v>144240.70875000002</v>
      </c>
      <c r="Z19" s="2904"/>
      <c r="AA19" s="2837">
        <v>37</v>
      </c>
      <c r="AB19" s="2837">
        <v>5660735.0500000007</v>
      </c>
      <c r="AC19" s="2837">
        <v>152992.8391891892</v>
      </c>
      <c r="AD19" s="30"/>
      <c r="AE19" s="2837">
        <v>36</v>
      </c>
      <c r="AF19" s="2837">
        <v>5768336.25</v>
      </c>
      <c r="AG19" s="2837">
        <v>160231.5625</v>
      </c>
      <c r="AH19" s="2549"/>
      <c r="AI19" s="2837">
        <v>39</v>
      </c>
      <c r="AJ19" s="2837">
        <v>6111547.5500000017</v>
      </c>
      <c r="AK19" s="2837">
        <v>156706.34743589748</v>
      </c>
      <c r="AM19" s="2837">
        <v>36</v>
      </c>
      <c r="AN19" s="2837">
        <v>5587888.3499999931</v>
      </c>
      <c r="AO19" s="2837">
        <v>155219.12083333315</v>
      </c>
    </row>
    <row r="20" spans="2:41">
      <c r="B20" s="2836" t="s">
        <v>1109</v>
      </c>
      <c r="C20" s="2837">
        <v>36</v>
      </c>
      <c r="D20" s="2837">
        <v>4415410.1100000013</v>
      </c>
      <c r="E20" s="2837">
        <v>122650.28083333337</v>
      </c>
      <c r="G20" s="2837">
        <v>37</v>
      </c>
      <c r="H20" s="2837">
        <v>4662735.3099999977</v>
      </c>
      <c r="I20" s="2837">
        <v>126019.87324324319</v>
      </c>
      <c r="J20" s="2904"/>
      <c r="K20" s="2837">
        <v>38</v>
      </c>
      <c r="L20" s="2837">
        <v>5059262.7100000009</v>
      </c>
      <c r="M20" s="2837">
        <v>133138.49236842108</v>
      </c>
      <c r="N20" s="2904"/>
      <c r="O20" s="2837">
        <v>39</v>
      </c>
      <c r="P20" s="2837">
        <v>5353192.9100000011</v>
      </c>
      <c r="Q20" s="2837">
        <v>137261.35666666669</v>
      </c>
      <c r="R20" s="2904"/>
      <c r="S20" s="2837">
        <v>39</v>
      </c>
      <c r="T20" s="2837">
        <v>5567814.209999999</v>
      </c>
      <c r="U20" s="2837">
        <v>142764.46692307689</v>
      </c>
      <c r="V20" s="30"/>
      <c r="W20" s="2837">
        <v>39</v>
      </c>
      <c r="X20" s="2837">
        <v>5893959.9100000001</v>
      </c>
      <c r="Y20" s="2837">
        <v>151127.17717948719</v>
      </c>
      <c r="Z20" s="2904"/>
      <c r="AA20" s="2837">
        <v>38</v>
      </c>
      <c r="AB20" s="2837">
        <v>5984858.5099999998</v>
      </c>
      <c r="AC20" s="2837">
        <v>157496.27657894735</v>
      </c>
      <c r="AD20" s="30"/>
      <c r="AE20" s="2837">
        <v>39</v>
      </c>
      <c r="AF20" s="2837">
        <v>6513074.5100000007</v>
      </c>
      <c r="AG20" s="2837">
        <v>167001.91051282053</v>
      </c>
      <c r="AH20" s="2549"/>
      <c r="AI20" s="2837">
        <v>39</v>
      </c>
      <c r="AJ20" s="2837">
        <v>7097838.3100000015</v>
      </c>
      <c r="AK20" s="2837">
        <v>181995.85410256413</v>
      </c>
      <c r="AM20" s="2837">
        <v>39</v>
      </c>
      <c r="AN20" s="2837">
        <v>7285980.4899999937</v>
      </c>
      <c r="AO20" s="2837">
        <v>186820.01256410239</v>
      </c>
    </row>
    <row r="21" spans="2:41">
      <c r="B21" s="2836" t="s">
        <v>1110</v>
      </c>
      <c r="C21" s="2837">
        <v>76</v>
      </c>
      <c r="D21" s="2837">
        <v>8484226.7750000022</v>
      </c>
      <c r="E21" s="2837">
        <v>111634.5628289474</v>
      </c>
      <c r="G21" s="2837">
        <v>76</v>
      </c>
      <c r="H21" s="2837">
        <v>8966179.2750000022</v>
      </c>
      <c r="I21" s="2837">
        <v>117976.04309210529</v>
      </c>
      <c r="J21" s="2904"/>
      <c r="K21" s="2837">
        <v>77</v>
      </c>
      <c r="L21" s="2837">
        <v>9411854.875</v>
      </c>
      <c r="M21" s="2837">
        <v>122231.8814935065</v>
      </c>
      <c r="N21" s="2904"/>
      <c r="O21" s="2837">
        <v>78</v>
      </c>
      <c r="P21" s="2837">
        <v>10008102.574999997</v>
      </c>
      <c r="Q21" s="2837">
        <v>128309.00737179484</v>
      </c>
      <c r="R21" s="2904"/>
      <c r="S21" s="2837">
        <v>75</v>
      </c>
      <c r="T21" s="2837">
        <v>10276926.475</v>
      </c>
      <c r="U21" s="2837">
        <v>137025.68633333332</v>
      </c>
      <c r="V21" s="30"/>
      <c r="W21" s="2837">
        <v>73</v>
      </c>
      <c r="X21" s="2837">
        <v>10486977.425000004</v>
      </c>
      <c r="Y21" s="2837">
        <v>143657.22500000006</v>
      </c>
      <c r="Z21" s="2904"/>
      <c r="AA21" s="2837">
        <v>72</v>
      </c>
      <c r="AB21" s="2837">
        <v>10809551.725000005</v>
      </c>
      <c r="AC21" s="2837">
        <v>150132.66284722229</v>
      </c>
      <c r="AD21" s="30"/>
      <c r="AE21" s="2837">
        <v>71</v>
      </c>
      <c r="AF21" s="2837">
        <v>11262304.425000001</v>
      </c>
      <c r="AG21" s="2837">
        <v>158624.00598591552</v>
      </c>
      <c r="AH21" s="2549"/>
      <c r="AI21" s="2837">
        <v>72</v>
      </c>
      <c r="AJ21" s="2837">
        <v>11853308.325000001</v>
      </c>
      <c r="AK21" s="2837">
        <v>164629.28229166669</v>
      </c>
      <c r="AM21" s="2837">
        <v>74</v>
      </c>
      <c r="AN21" s="2837">
        <v>12707966.624999974</v>
      </c>
      <c r="AO21" s="2837">
        <v>171729.27871621586</v>
      </c>
    </row>
    <row r="22" spans="2:41">
      <c r="B22" s="2838" t="s">
        <v>546</v>
      </c>
      <c r="C22" s="2839">
        <f>SUM(C17:C21)</f>
        <v>216</v>
      </c>
      <c r="D22" s="2839">
        <f>SUM(D17:D21)</f>
        <v>24338366.237500004</v>
      </c>
      <c r="E22" s="2839">
        <f>+D22/C22</f>
        <v>112677.62146990743</v>
      </c>
      <c r="G22" s="2839">
        <f>SUM(G17:G21)</f>
        <v>219</v>
      </c>
      <c r="H22" s="2839">
        <f>SUM(H17:H21)</f>
        <v>25943730.237500001</v>
      </c>
      <c r="I22" s="2839">
        <f>+H22/G22</f>
        <v>118464.52163242009</v>
      </c>
      <c r="J22" s="2904"/>
      <c r="K22" s="2839">
        <f>SUM(K17:K21)</f>
        <v>222</v>
      </c>
      <c r="L22" s="2839">
        <f>SUM(L17:L21)</f>
        <v>27476880.737500001</v>
      </c>
      <c r="M22" s="2839">
        <f>+L22/K22</f>
        <v>123769.7330518018</v>
      </c>
      <c r="N22" s="2904"/>
      <c r="O22" s="2839">
        <f>SUM(O17:O21)</f>
        <v>226</v>
      </c>
      <c r="P22" s="2839">
        <f>SUM(P17:P21)</f>
        <v>29523425.737499997</v>
      </c>
      <c r="Q22" s="2839">
        <f>+P22/O22</f>
        <v>130634.62715707964</v>
      </c>
      <c r="R22" s="2904"/>
      <c r="S22" s="2839">
        <f>SUM(S17:S21)</f>
        <v>224</v>
      </c>
      <c r="T22" s="2839">
        <f>SUM(T17:T21)</f>
        <v>30726058.037500001</v>
      </c>
      <c r="U22" s="2839">
        <f>+T22/S22</f>
        <v>137169.90195312499</v>
      </c>
      <c r="V22" s="30"/>
      <c r="W22" s="2839">
        <v>218</v>
      </c>
      <c r="X22" s="2839">
        <v>31838293.087500006</v>
      </c>
      <c r="Y22" s="2839">
        <v>146047.21599770646</v>
      </c>
      <c r="Z22" s="2904"/>
      <c r="AA22" s="2839">
        <v>211</v>
      </c>
      <c r="AB22" s="2839">
        <v>31583239.487500004</v>
      </c>
      <c r="AC22" s="2839">
        <v>149683.59946682467</v>
      </c>
      <c r="AD22" s="30"/>
      <c r="AE22" s="2839">
        <v>209</v>
      </c>
      <c r="AF22" s="2839">
        <v>33313297.487500004</v>
      </c>
      <c r="AG22" s="2839">
        <v>159393.76788277514</v>
      </c>
      <c r="AH22" s="2549"/>
      <c r="AI22" s="2839">
        <v>211</v>
      </c>
      <c r="AJ22" s="2839">
        <v>34784255.787500001</v>
      </c>
      <c r="AK22" s="2839">
        <v>164854.29283175356</v>
      </c>
      <c r="AM22" s="2839">
        <v>212</v>
      </c>
      <c r="AN22" s="2839">
        <v>35761095.567499951</v>
      </c>
      <c r="AO22" s="2839">
        <v>168684.41305424506</v>
      </c>
    </row>
    <row r="23" spans="2:41">
      <c r="B23" s="2847" t="s">
        <v>106</v>
      </c>
      <c r="C23" s="2848">
        <f>SUM(C22,C16,C10)</f>
        <v>866</v>
      </c>
      <c r="D23" s="2848">
        <f>SUM(D22,D16,D10)</f>
        <v>94902442.60013698</v>
      </c>
      <c r="E23" s="2848">
        <f>+D23/C23</f>
        <v>109587.11616643993</v>
      </c>
      <c r="G23" s="2848">
        <f>SUM(G22,G16,G10)</f>
        <v>878</v>
      </c>
      <c r="H23" s="2848">
        <f>SUM(H22,H16,H10)</f>
        <v>100516030.53767124</v>
      </c>
      <c r="I23" s="2848">
        <f>+H23/G23</f>
        <v>114482.95049848661</v>
      </c>
      <c r="J23" s="2904"/>
      <c r="K23" s="2848">
        <f>SUM(K22,K16,K10)</f>
        <v>890</v>
      </c>
      <c r="L23" s="2848">
        <f>SUM(L22,L16,L10)</f>
        <v>106345583.97945204</v>
      </c>
      <c r="M23" s="2848">
        <f>+L23/K23</f>
        <v>119489.42020163151</v>
      </c>
      <c r="N23" s="2904"/>
      <c r="O23" s="2848">
        <f>SUM(O22,O16,O10)</f>
        <v>903</v>
      </c>
      <c r="P23" s="2848">
        <f>SUM(P22,P16,P10)</f>
        <v>112480149.77945204</v>
      </c>
      <c r="Q23" s="2848">
        <f>+P23/O23</f>
        <v>124562.73508244965</v>
      </c>
      <c r="R23" s="2904"/>
      <c r="S23" s="2848">
        <f>SUM(S22,S16,S10)</f>
        <v>894</v>
      </c>
      <c r="T23" s="2848">
        <f>SUM(T22,T16,T10)</f>
        <v>116689706.88150685</v>
      </c>
      <c r="U23" s="2848">
        <f>+T23/S23</f>
        <v>130525.39919631639</v>
      </c>
      <c r="V23" s="30"/>
      <c r="W23" s="2848">
        <v>876</v>
      </c>
      <c r="X23" s="2848">
        <v>120869400.2791096</v>
      </c>
      <c r="Y23" s="2848">
        <v>137978.76744190592</v>
      </c>
      <c r="Z23" s="2904"/>
      <c r="AA23" s="2848">
        <v>868</v>
      </c>
      <c r="AB23" s="2848">
        <v>124001685.38267127</v>
      </c>
      <c r="AC23" s="2848">
        <v>142859.08454224799</v>
      </c>
      <c r="AD23" s="30"/>
      <c r="AE23" s="2848">
        <v>845</v>
      </c>
      <c r="AF23" s="2848">
        <v>128600821.67582193</v>
      </c>
      <c r="AG23" s="2848">
        <v>152190.32150984844</v>
      </c>
      <c r="AH23" s="2549"/>
      <c r="AI23" s="2848">
        <v>839</v>
      </c>
      <c r="AJ23" s="2848">
        <v>132362586.27417809</v>
      </c>
      <c r="AK23" s="2848">
        <v>157762.31975468187</v>
      </c>
      <c r="AM23" s="2848">
        <v>843</v>
      </c>
      <c r="AN23" s="2848">
        <v>135086001.23465735</v>
      </c>
      <c r="AO23" s="2848">
        <v>160244.36682640255</v>
      </c>
    </row>
    <row r="24" spans="2:41">
      <c r="B24" s="2834" t="s">
        <v>1112</v>
      </c>
      <c r="C24" s="2835">
        <v>15</v>
      </c>
      <c r="D24" s="2835">
        <v>1105961.49</v>
      </c>
      <c r="E24" s="2835">
        <v>73730.766000000003</v>
      </c>
      <c r="G24" s="2835">
        <v>20</v>
      </c>
      <c r="H24" s="2835">
        <v>1470966.99</v>
      </c>
      <c r="I24" s="2835">
        <v>73548.349499999997</v>
      </c>
      <c r="J24" s="2904"/>
      <c r="K24" s="2835">
        <v>21</v>
      </c>
      <c r="L24" s="2835">
        <v>1810778.6900000002</v>
      </c>
      <c r="M24" s="2835">
        <v>86227.556666666671</v>
      </c>
      <c r="N24" s="2904"/>
      <c r="O24" s="2835">
        <v>21</v>
      </c>
      <c r="P24" s="2835">
        <v>1971440.4900000005</v>
      </c>
      <c r="Q24" s="2835">
        <v>93878.118571428597</v>
      </c>
      <c r="R24" s="2904"/>
      <c r="S24" s="2835">
        <v>21</v>
      </c>
      <c r="T24" s="2835">
        <v>2106186.69</v>
      </c>
      <c r="U24" s="2835">
        <v>100294.60428571429</v>
      </c>
      <c r="V24" s="30"/>
      <c r="W24" s="2835">
        <v>22</v>
      </c>
      <c r="X24" s="2835">
        <v>2291744.39</v>
      </c>
      <c r="Y24" s="2835">
        <v>104170.19954545455</v>
      </c>
      <c r="Z24" s="2904"/>
      <c r="AA24" s="2835">
        <v>22</v>
      </c>
      <c r="AB24" s="2835">
        <v>2518623.5900000003</v>
      </c>
      <c r="AC24" s="2835">
        <v>114482.89045454547</v>
      </c>
      <c r="AD24" s="30"/>
      <c r="AE24" s="2835">
        <v>22</v>
      </c>
      <c r="AF24" s="2835">
        <v>2663278.09</v>
      </c>
      <c r="AG24" s="2835">
        <v>121058.09499999999</v>
      </c>
      <c r="AH24" s="2549"/>
      <c r="AI24" s="2835">
        <v>22</v>
      </c>
      <c r="AJ24" s="2835">
        <v>2761289.0899999994</v>
      </c>
      <c r="AK24" s="2835">
        <v>125513.14045454543</v>
      </c>
      <c r="AM24" s="2835">
        <v>22</v>
      </c>
      <c r="AN24" s="2835">
        <v>2944876.2899999907</v>
      </c>
      <c r="AO24" s="2835">
        <v>133858.01318181775</v>
      </c>
    </row>
    <row r="25" spans="2:41">
      <c r="B25" s="2836" t="s">
        <v>1113</v>
      </c>
      <c r="C25" s="2837">
        <v>5</v>
      </c>
      <c r="D25" s="2837">
        <v>297268.30000000005</v>
      </c>
      <c r="E25" s="2837">
        <v>59453.66</v>
      </c>
      <c r="G25" s="2837">
        <v>8</v>
      </c>
      <c r="H25" s="2837">
        <v>490724.2</v>
      </c>
      <c r="I25" s="2837">
        <v>61340.525000000001</v>
      </c>
      <c r="J25" s="2904"/>
      <c r="K25" s="2837">
        <v>9.9999999999999982</v>
      </c>
      <c r="L25" s="2837">
        <v>602984.69999999995</v>
      </c>
      <c r="M25" s="2837">
        <v>60298.47</v>
      </c>
      <c r="N25" s="2904"/>
      <c r="O25" s="2837">
        <v>10</v>
      </c>
      <c r="P25" s="2837">
        <v>650621.1</v>
      </c>
      <c r="Q25" s="2837">
        <v>65062.11</v>
      </c>
      <c r="R25" s="2904"/>
      <c r="S25" s="2837">
        <v>11</v>
      </c>
      <c r="T25" s="2837">
        <v>749404.2</v>
      </c>
      <c r="U25" s="2837">
        <v>68127.654545454541</v>
      </c>
      <c r="V25" s="30"/>
      <c r="W25" s="2837">
        <v>12</v>
      </c>
      <c r="X25" s="2837">
        <v>917595.09999999986</v>
      </c>
      <c r="Y25" s="2837">
        <v>76466.258333333317</v>
      </c>
      <c r="Z25" s="2904"/>
      <c r="AA25" s="2837">
        <v>13</v>
      </c>
      <c r="AB25" s="2837">
        <v>1191625.4000000001</v>
      </c>
      <c r="AC25" s="2837">
        <v>91663.492307692315</v>
      </c>
      <c r="AD25" s="30"/>
      <c r="AE25" s="2837">
        <v>14</v>
      </c>
      <c r="AF25" s="2837">
        <v>1388237.4</v>
      </c>
      <c r="AG25" s="2837">
        <v>99159.814285714281</v>
      </c>
      <c r="AH25" s="2549"/>
      <c r="AI25" s="2837">
        <v>14</v>
      </c>
      <c r="AJ25" s="2837">
        <v>1636386.1999999997</v>
      </c>
      <c r="AK25" s="2837">
        <v>116884.72857142855</v>
      </c>
      <c r="AM25" s="2837">
        <v>14</v>
      </c>
      <c r="AN25" s="2837">
        <v>1835625.249999997</v>
      </c>
      <c r="AO25" s="2837">
        <v>131116.08928571406</v>
      </c>
    </row>
    <row r="26" spans="2:41">
      <c r="B26" s="2836" t="s">
        <v>1114</v>
      </c>
      <c r="C26" s="2837">
        <v>13</v>
      </c>
      <c r="D26" s="2837">
        <v>1516940.3</v>
      </c>
      <c r="E26" s="2837">
        <v>116687.71538461538</v>
      </c>
      <c r="G26" s="2837">
        <v>15</v>
      </c>
      <c r="H26" s="2837">
        <v>1739194.9</v>
      </c>
      <c r="I26" s="2837">
        <v>115946.32666666666</v>
      </c>
      <c r="J26" s="2904"/>
      <c r="K26" s="2837">
        <v>18</v>
      </c>
      <c r="L26" s="2837">
        <v>2032280</v>
      </c>
      <c r="M26" s="2837">
        <v>112904.44444444444</v>
      </c>
      <c r="N26" s="2904"/>
      <c r="O26" s="2837">
        <v>18</v>
      </c>
      <c r="P26" s="2837">
        <v>2160433.9999999995</v>
      </c>
      <c r="Q26" s="2837">
        <v>120024.11111111109</v>
      </c>
      <c r="R26" s="2904"/>
      <c r="S26" s="2837">
        <v>18</v>
      </c>
      <c r="T26" s="2837">
        <v>2463953.9999999995</v>
      </c>
      <c r="U26" s="2837">
        <v>136886.33333333331</v>
      </c>
      <c r="V26" s="30"/>
      <c r="W26" s="2837">
        <v>19</v>
      </c>
      <c r="X26" s="2837">
        <v>2787399.9</v>
      </c>
      <c r="Y26" s="2837">
        <v>146705.25789473683</v>
      </c>
      <c r="Z26" s="2904"/>
      <c r="AA26" s="2837">
        <v>18</v>
      </c>
      <c r="AB26" s="2837">
        <v>2886410.5</v>
      </c>
      <c r="AC26" s="2837">
        <v>160356.13888888888</v>
      </c>
      <c r="AD26" s="30"/>
      <c r="AE26" s="2837">
        <v>19</v>
      </c>
      <c r="AF26" s="2837">
        <v>3150837.4000000004</v>
      </c>
      <c r="AG26" s="2837">
        <v>165833.54736842107</v>
      </c>
      <c r="AH26" s="2549"/>
      <c r="AI26" s="2837">
        <v>20</v>
      </c>
      <c r="AJ26" s="2837">
        <v>3440984.8000000003</v>
      </c>
      <c r="AK26" s="2837">
        <v>172049.24000000002</v>
      </c>
      <c r="AM26" s="2837">
        <v>21</v>
      </c>
      <c r="AN26" s="2837">
        <v>3764024.5369862956</v>
      </c>
      <c r="AO26" s="2837">
        <v>179239.26366601407</v>
      </c>
    </row>
    <row r="27" spans="2:41">
      <c r="B27" s="2838" t="s">
        <v>548</v>
      </c>
      <c r="C27" s="2839">
        <f>SUM(C24:C26)</f>
        <v>33</v>
      </c>
      <c r="D27" s="2839">
        <f>SUM(D24:D26)</f>
        <v>2920170.09</v>
      </c>
      <c r="E27" s="2839">
        <f>+D27/C27</f>
        <v>88490.002727272717</v>
      </c>
      <c r="G27" s="2839">
        <f>SUM(G24:G26)</f>
        <v>43</v>
      </c>
      <c r="H27" s="2839">
        <f>SUM(H24:H26)</f>
        <v>3700886.09</v>
      </c>
      <c r="I27" s="2839">
        <f>+H27/G27</f>
        <v>86067.118372093013</v>
      </c>
      <c r="J27" s="2904"/>
      <c r="K27" s="2839">
        <f>SUM(K24:K26)</f>
        <v>49</v>
      </c>
      <c r="L27" s="2839">
        <f>SUM(L24:L26)</f>
        <v>4446043.3900000006</v>
      </c>
      <c r="M27" s="2839">
        <f>+L27/K27</f>
        <v>90735.579387755119</v>
      </c>
      <c r="N27" s="2904"/>
      <c r="O27" s="2839">
        <f>SUM(O24:O26)</f>
        <v>49</v>
      </c>
      <c r="P27" s="2839">
        <f>SUM(P24:P26)</f>
        <v>4782495.59</v>
      </c>
      <c r="Q27" s="2839">
        <f>+P27/O27</f>
        <v>97601.950816326527</v>
      </c>
      <c r="R27" s="2904"/>
      <c r="S27" s="2839">
        <f>SUM(S24:S26)</f>
        <v>50</v>
      </c>
      <c r="T27" s="2839">
        <f>SUM(T24:T26)</f>
        <v>5319544.8899999987</v>
      </c>
      <c r="U27" s="2839">
        <f>+T27/S27</f>
        <v>106390.89779999998</v>
      </c>
      <c r="V27" s="30"/>
      <c r="W27" s="2839">
        <v>53</v>
      </c>
      <c r="X27" s="2839">
        <v>5996739.3900000006</v>
      </c>
      <c r="Y27" s="2839">
        <v>113146.02622641511</v>
      </c>
      <c r="Z27" s="2904"/>
      <c r="AA27" s="2839">
        <v>53</v>
      </c>
      <c r="AB27" s="2839">
        <v>6596659.4900000002</v>
      </c>
      <c r="AC27" s="2839">
        <v>124465.27339622642</v>
      </c>
      <c r="AD27" s="30"/>
      <c r="AE27" s="2839">
        <v>55</v>
      </c>
      <c r="AF27" s="2839">
        <v>7202352.8900000006</v>
      </c>
      <c r="AG27" s="2839">
        <v>130951.87072727273</v>
      </c>
      <c r="AH27" s="2549"/>
      <c r="AI27" s="2839">
        <v>56</v>
      </c>
      <c r="AJ27" s="2839">
        <v>7838660.0899999999</v>
      </c>
      <c r="AK27" s="2839">
        <v>139976.07303571427</v>
      </c>
      <c r="AM27" s="2839">
        <v>57</v>
      </c>
      <c r="AN27" s="2839">
        <v>8544526.0769862831</v>
      </c>
      <c r="AO27" s="2839">
        <v>149903.96626291724</v>
      </c>
    </row>
    <row r="28" spans="2:41">
      <c r="B28" s="2836" t="s">
        <v>1115</v>
      </c>
      <c r="C28" s="2837">
        <v>3</v>
      </c>
      <c r="D28" s="2837">
        <v>551933.65164383606</v>
      </c>
      <c r="E28" s="2837">
        <v>183977.88388127869</v>
      </c>
      <c r="G28" s="2837">
        <v>7</v>
      </c>
      <c r="H28" s="2837">
        <v>775621.42164383607</v>
      </c>
      <c r="I28" s="2837">
        <v>110803.06023483373</v>
      </c>
      <c r="J28" s="2904"/>
      <c r="K28" s="2837">
        <v>8</v>
      </c>
      <c r="L28" s="2837">
        <v>867109.92164383596</v>
      </c>
      <c r="M28" s="2837">
        <v>108388.74020547949</v>
      </c>
      <c r="N28" s="2904"/>
      <c r="O28" s="2837">
        <v>8</v>
      </c>
      <c r="P28" s="2837">
        <v>961743.92164383607</v>
      </c>
      <c r="Q28" s="2837">
        <v>120217.99020547951</v>
      </c>
      <c r="R28" s="2904"/>
      <c r="S28" s="2837">
        <v>9</v>
      </c>
      <c r="T28" s="2837">
        <v>1152062.921643836</v>
      </c>
      <c r="U28" s="2837">
        <v>128006.99129375955</v>
      </c>
      <c r="V28" s="30"/>
      <c r="W28" s="2837">
        <v>9</v>
      </c>
      <c r="X28" s="2837">
        <v>1228634.0216438361</v>
      </c>
      <c r="Y28" s="2837">
        <v>136514.89129375957</v>
      </c>
      <c r="Z28" s="2904"/>
      <c r="AA28" s="2837">
        <v>9</v>
      </c>
      <c r="AB28" s="2837">
        <v>1381688.921643836</v>
      </c>
      <c r="AC28" s="2837">
        <v>153520.99129375955</v>
      </c>
      <c r="AD28" s="30"/>
      <c r="AE28" s="2837">
        <v>10</v>
      </c>
      <c r="AF28" s="2837">
        <v>1387404.46</v>
      </c>
      <c r="AG28" s="2837">
        <v>138740.446</v>
      </c>
      <c r="AH28" s="2549"/>
      <c r="AI28" s="2837">
        <v>11</v>
      </c>
      <c r="AJ28" s="2837">
        <v>1553792.5599999998</v>
      </c>
      <c r="AK28" s="2837">
        <v>141253.86909090908</v>
      </c>
      <c r="AM28" s="2837">
        <v>11</v>
      </c>
      <c r="AN28" s="2837">
        <v>1693059.559999998</v>
      </c>
      <c r="AO28" s="2837">
        <v>153914.50545454526</v>
      </c>
    </row>
    <row r="29" spans="2:41">
      <c r="B29" s="2836" t="s">
        <v>1116</v>
      </c>
      <c r="C29" s="2837">
        <v>5</v>
      </c>
      <c r="D29" s="2837">
        <v>242943.40000000002</v>
      </c>
      <c r="E29" s="2837">
        <v>48588.680000000008</v>
      </c>
      <c r="G29" s="2837">
        <v>8</v>
      </c>
      <c r="H29" s="2837">
        <v>428015.30000000005</v>
      </c>
      <c r="I29" s="2837">
        <v>53501.912500000006</v>
      </c>
      <c r="J29" s="2904"/>
      <c r="K29" s="2837">
        <v>8</v>
      </c>
      <c r="L29" s="2837">
        <v>475083.09999999992</v>
      </c>
      <c r="M29" s="2837">
        <v>59385.38749999999</v>
      </c>
      <c r="N29" s="2904"/>
      <c r="O29" s="2837">
        <v>8</v>
      </c>
      <c r="P29" s="2837">
        <v>642166.19999999995</v>
      </c>
      <c r="Q29" s="2837">
        <v>80270.774999999994</v>
      </c>
      <c r="R29" s="2904"/>
      <c r="S29" s="2837">
        <v>9</v>
      </c>
      <c r="T29" s="2837">
        <v>857304.1</v>
      </c>
      <c r="U29" s="2837">
        <v>95256.011111111104</v>
      </c>
      <c r="V29" s="30"/>
      <c r="W29" s="2837">
        <v>9</v>
      </c>
      <c r="X29" s="2837">
        <v>931025.2</v>
      </c>
      <c r="Y29" s="2837">
        <v>103447.24444444444</v>
      </c>
      <c r="Z29" s="2904"/>
      <c r="AA29" s="2837">
        <v>11</v>
      </c>
      <c r="AB29" s="2837">
        <v>1196265.5999999999</v>
      </c>
      <c r="AC29" s="2837">
        <v>108751.41818181817</v>
      </c>
      <c r="AD29" s="30"/>
      <c r="AE29" s="2837">
        <v>12</v>
      </c>
      <c r="AF29" s="2837">
        <v>1362918.9999999998</v>
      </c>
      <c r="AG29" s="2837">
        <v>113576.58333333331</v>
      </c>
      <c r="AH29" s="2549"/>
      <c r="AI29" s="2837">
        <v>12</v>
      </c>
      <c r="AJ29" s="2837">
        <v>1564232.2</v>
      </c>
      <c r="AK29" s="2837">
        <v>130352.68333333333</v>
      </c>
      <c r="AM29" s="2837">
        <v>12</v>
      </c>
      <c r="AN29" s="2837">
        <v>1741854.8999999959</v>
      </c>
      <c r="AO29" s="2837">
        <v>145154.57499999966</v>
      </c>
    </row>
    <row r="30" spans="2:41">
      <c r="B30" s="2836" t="s">
        <v>1117</v>
      </c>
      <c r="C30" s="2837">
        <v>14</v>
      </c>
      <c r="D30" s="2837">
        <v>1981952.145890411</v>
      </c>
      <c r="E30" s="2837">
        <v>141568.01042074364</v>
      </c>
      <c r="G30" s="2837">
        <v>14</v>
      </c>
      <c r="H30" s="2837">
        <v>2082955.3458904107</v>
      </c>
      <c r="I30" s="2837">
        <v>148782.52470645792</v>
      </c>
      <c r="J30" s="2904"/>
      <c r="K30" s="2837">
        <v>14</v>
      </c>
      <c r="L30" s="2837">
        <v>2269658.4458904113</v>
      </c>
      <c r="M30" s="2837">
        <v>162118.46042074365</v>
      </c>
      <c r="N30" s="2904"/>
      <c r="O30" s="2837">
        <v>15</v>
      </c>
      <c r="P30" s="2837">
        <v>2411990.5458904114</v>
      </c>
      <c r="Q30" s="2837">
        <v>160799.36972602742</v>
      </c>
      <c r="R30" s="2904"/>
      <c r="S30" s="2837">
        <v>16</v>
      </c>
      <c r="T30" s="2837">
        <v>2517200.3458904107</v>
      </c>
      <c r="U30" s="2837">
        <v>157325.02161815067</v>
      </c>
      <c r="V30" s="30"/>
      <c r="W30" s="2837">
        <v>16</v>
      </c>
      <c r="X30" s="2837">
        <v>2728818.9458904108</v>
      </c>
      <c r="Y30" s="2837">
        <v>170551.18411815068</v>
      </c>
      <c r="Z30" s="2904"/>
      <c r="AA30" s="2837">
        <v>17</v>
      </c>
      <c r="AB30" s="2837">
        <v>3026368.5458904114</v>
      </c>
      <c r="AC30" s="2837">
        <v>178021.6791700242</v>
      </c>
      <c r="AD30" s="30"/>
      <c r="AE30" s="2837">
        <v>18</v>
      </c>
      <c r="AF30" s="2837">
        <v>3251459.8458904116</v>
      </c>
      <c r="AG30" s="2837">
        <v>180636.65810502286</v>
      </c>
      <c r="AH30" s="2549"/>
      <c r="AI30" s="2837">
        <v>19</v>
      </c>
      <c r="AJ30" s="2837">
        <v>3477381.9458904108</v>
      </c>
      <c r="AK30" s="2837">
        <v>183020.10241528478</v>
      </c>
      <c r="AM30" s="2837">
        <v>19</v>
      </c>
      <c r="AN30" s="2837">
        <v>3624759.5458904007</v>
      </c>
      <c r="AO30" s="2837">
        <v>190776.81820475793</v>
      </c>
    </row>
    <row r="31" spans="2:41">
      <c r="B31" s="2838" t="s">
        <v>549</v>
      </c>
      <c r="C31" s="2839">
        <f>SUM(C28:C30)</f>
        <v>22</v>
      </c>
      <c r="D31" s="2839">
        <f>SUM(D28:D30)</f>
        <v>2776829.1975342473</v>
      </c>
      <c r="E31" s="2839">
        <f>+D31/C31</f>
        <v>126219.50897882943</v>
      </c>
      <c r="G31" s="2839">
        <f>SUM(G28:G30)</f>
        <v>29</v>
      </c>
      <c r="H31" s="2839">
        <f>SUM(H28:H30)</f>
        <v>3286592.0675342469</v>
      </c>
      <c r="I31" s="2839">
        <f>+H31/G31</f>
        <v>113330.76094945679</v>
      </c>
      <c r="J31" s="2904"/>
      <c r="K31" s="2839">
        <f>SUM(K28:K30)</f>
        <v>30</v>
      </c>
      <c r="L31" s="2839">
        <f>SUM(L28:L30)</f>
        <v>3611851.4675342469</v>
      </c>
      <c r="M31" s="2839">
        <f>+L31/K31</f>
        <v>120395.04891780824</v>
      </c>
      <c r="N31" s="2904"/>
      <c r="O31" s="2839">
        <f>SUM(O28:O30)</f>
        <v>31</v>
      </c>
      <c r="P31" s="2839">
        <f>SUM(P28:P30)</f>
        <v>4015900.6675342475</v>
      </c>
      <c r="Q31" s="2839">
        <f>+P31/O31</f>
        <v>129545.18282368541</v>
      </c>
      <c r="R31" s="2904"/>
      <c r="S31" s="2839">
        <f>SUM(S28:S30)</f>
        <v>34</v>
      </c>
      <c r="T31" s="2839">
        <f>SUM(T28:T30)</f>
        <v>4526567.3675342463</v>
      </c>
      <c r="U31" s="2839">
        <f>+T31/S31</f>
        <v>133134.33433924254</v>
      </c>
      <c r="V31" s="30"/>
      <c r="W31" s="2839">
        <v>34</v>
      </c>
      <c r="X31" s="2839">
        <v>4888478.167534247</v>
      </c>
      <c r="Y31" s="2839">
        <v>143778.76963336021</v>
      </c>
      <c r="Z31" s="2904"/>
      <c r="AA31" s="2839">
        <v>37</v>
      </c>
      <c r="AB31" s="2839">
        <v>5604323.0675342474</v>
      </c>
      <c r="AC31" s="2839">
        <v>151468.19101443913</v>
      </c>
      <c r="AD31" s="30"/>
      <c r="AE31" s="2839">
        <v>40</v>
      </c>
      <c r="AF31" s="2839">
        <v>6001783.3058904111</v>
      </c>
      <c r="AG31" s="2839">
        <v>150044.58264726028</v>
      </c>
      <c r="AH31" s="2549"/>
      <c r="AI31" s="2839">
        <v>42</v>
      </c>
      <c r="AJ31" s="2839">
        <v>6595406.7058904106</v>
      </c>
      <c r="AK31" s="2839">
        <v>157033.49299739074</v>
      </c>
      <c r="AM31" s="2839">
        <v>42</v>
      </c>
      <c r="AN31" s="2839">
        <v>7059674.0058903946</v>
      </c>
      <c r="AO31" s="2839">
        <v>168087.47633072367</v>
      </c>
    </row>
    <row r="32" spans="2:41">
      <c r="B32" s="2836" t="s">
        <v>1118</v>
      </c>
      <c r="C32" s="2837">
        <v>13</v>
      </c>
      <c r="D32" s="2837">
        <v>1310215.0000000002</v>
      </c>
      <c r="E32" s="2837">
        <v>100785.76923076925</v>
      </c>
      <c r="G32" s="2837">
        <v>13</v>
      </c>
      <c r="H32" s="2837">
        <v>1433263.5</v>
      </c>
      <c r="I32" s="2837">
        <v>110251.03846153847</v>
      </c>
      <c r="J32" s="2904"/>
      <c r="K32" s="2837">
        <v>15</v>
      </c>
      <c r="L32" s="2837">
        <v>1633282.5000000002</v>
      </c>
      <c r="M32" s="2837">
        <v>108885.50000000001</v>
      </c>
      <c r="N32" s="2904"/>
      <c r="O32" s="2837">
        <v>15</v>
      </c>
      <c r="P32" s="2837">
        <v>1717838.3</v>
      </c>
      <c r="Q32" s="2837">
        <v>114522.55333333333</v>
      </c>
      <c r="R32" s="2904"/>
      <c r="S32" s="2837">
        <v>15</v>
      </c>
      <c r="T32" s="2837">
        <v>1822768.0000000002</v>
      </c>
      <c r="U32" s="2837">
        <v>121517.86666666668</v>
      </c>
      <c r="V32" s="30"/>
      <c r="W32" s="2837">
        <v>15</v>
      </c>
      <c r="X32" s="2837">
        <v>1920089.5000000002</v>
      </c>
      <c r="Y32" s="2837">
        <v>128005.96666666669</v>
      </c>
      <c r="Z32" s="2904"/>
      <c r="AA32" s="2837">
        <v>16</v>
      </c>
      <c r="AB32" s="2837">
        <v>1839926.8</v>
      </c>
      <c r="AC32" s="2837">
        <v>114995.425</v>
      </c>
      <c r="AD32" s="30"/>
      <c r="AE32" s="2837">
        <v>19</v>
      </c>
      <c r="AF32" s="2837">
        <v>2173920.1999999993</v>
      </c>
      <c r="AG32" s="2837">
        <v>114416.85263157891</v>
      </c>
      <c r="AH32" s="2549"/>
      <c r="AI32" s="2837">
        <v>18</v>
      </c>
      <c r="AJ32" s="2837">
        <v>2178829.1000000006</v>
      </c>
      <c r="AK32" s="2837">
        <v>121046.06111111114</v>
      </c>
      <c r="AM32" s="2837">
        <v>19</v>
      </c>
      <c r="AN32" s="2837">
        <v>2329348.3999999966</v>
      </c>
      <c r="AO32" s="2837">
        <v>122597.28421052614</v>
      </c>
    </row>
    <row r="33" spans="2:41">
      <c r="B33" s="2836" t="s">
        <v>1119</v>
      </c>
      <c r="C33" s="2837">
        <v>9</v>
      </c>
      <c r="D33" s="2837">
        <v>641392.6</v>
      </c>
      <c r="E33" s="2837">
        <v>71265.844444444447</v>
      </c>
      <c r="G33" s="2837">
        <v>11</v>
      </c>
      <c r="H33" s="2837">
        <v>851653.05</v>
      </c>
      <c r="I33" s="2837">
        <v>77423.004545454547</v>
      </c>
      <c r="J33" s="2904"/>
      <c r="K33" s="2837">
        <v>12</v>
      </c>
      <c r="L33" s="2837">
        <v>1036590.65</v>
      </c>
      <c r="M33" s="2837">
        <v>86382.554166666669</v>
      </c>
      <c r="N33" s="2904"/>
      <c r="O33" s="2837">
        <v>12</v>
      </c>
      <c r="P33" s="2837">
        <v>1145128.6499999999</v>
      </c>
      <c r="Q33" s="2837">
        <v>95427.387499999997</v>
      </c>
      <c r="R33" s="2904"/>
      <c r="S33" s="2837">
        <v>14</v>
      </c>
      <c r="T33" s="2837">
        <v>1272191.7500000002</v>
      </c>
      <c r="U33" s="2837">
        <v>90870.839285714304</v>
      </c>
      <c r="V33" s="30"/>
      <c r="W33" s="2837">
        <v>16</v>
      </c>
      <c r="X33" s="2837">
        <v>1602834.8499999996</v>
      </c>
      <c r="Y33" s="2837">
        <v>100177.17812499998</v>
      </c>
      <c r="Z33" s="2904"/>
      <c r="AA33" s="2837">
        <v>19</v>
      </c>
      <c r="AB33" s="2837">
        <v>2044080.75</v>
      </c>
      <c r="AC33" s="2837">
        <v>107583.19736842105</v>
      </c>
      <c r="AD33" s="30"/>
      <c r="AE33" s="2837">
        <v>20</v>
      </c>
      <c r="AF33" s="2837">
        <v>2274326.6499999994</v>
      </c>
      <c r="AG33" s="2837">
        <v>113716.33249999997</v>
      </c>
      <c r="AH33" s="2549"/>
      <c r="AI33" s="2837">
        <v>20</v>
      </c>
      <c r="AJ33" s="2837">
        <v>2438221.0499999998</v>
      </c>
      <c r="AK33" s="2837">
        <v>121911.05249999999</v>
      </c>
      <c r="AM33" s="2837">
        <v>19</v>
      </c>
      <c r="AN33" s="2837">
        <v>2494043.8499999959</v>
      </c>
      <c r="AO33" s="2837">
        <v>131265.46578947347</v>
      </c>
    </row>
    <row r="34" spans="2:41">
      <c r="B34" s="2836" t="s">
        <v>813</v>
      </c>
      <c r="C34" s="2837">
        <v>15</v>
      </c>
      <c r="D34" s="2837">
        <v>1579596.2299999997</v>
      </c>
      <c r="E34" s="2837">
        <v>105306.41533333332</v>
      </c>
      <c r="G34" s="2837">
        <v>16</v>
      </c>
      <c r="H34" s="2837">
        <v>1797482.8299999998</v>
      </c>
      <c r="I34" s="2837">
        <v>112342.67687499999</v>
      </c>
      <c r="J34" s="2904"/>
      <c r="K34" s="2837">
        <v>17</v>
      </c>
      <c r="L34" s="2837">
        <v>2021735.0300000003</v>
      </c>
      <c r="M34" s="2837">
        <v>118925.59000000001</v>
      </c>
      <c r="N34" s="2904"/>
      <c r="O34" s="2837">
        <v>18</v>
      </c>
      <c r="P34" s="2837">
        <v>2152240.8299999996</v>
      </c>
      <c r="Q34" s="2837">
        <v>119568.93499999998</v>
      </c>
      <c r="R34" s="2904"/>
      <c r="S34" s="2837">
        <v>19</v>
      </c>
      <c r="T34" s="2837">
        <v>2439796.9299999997</v>
      </c>
      <c r="U34" s="2837">
        <v>128410.36473684209</v>
      </c>
      <c r="V34" s="30"/>
      <c r="W34" s="2837">
        <v>19</v>
      </c>
      <c r="X34" s="2837">
        <v>2583899.1300000004</v>
      </c>
      <c r="Y34" s="2837">
        <v>135994.69105263159</v>
      </c>
      <c r="Z34" s="2904"/>
      <c r="AA34" s="2837">
        <v>22</v>
      </c>
      <c r="AB34" s="2837">
        <v>3184277.45</v>
      </c>
      <c r="AC34" s="2837">
        <v>144739.88409090909</v>
      </c>
      <c r="AD34" s="30"/>
      <c r="AE34" s="2837">
        <v>22</v>
      </c>
      <c r="AF34" s="2837">
        <v>3351345.1500000004</v>
      </c>
      <c r="AG34" s="2837">
        <v>152333.87045454548</v>
      </c>
      <c r="AH34" s="2549"/>
      <c r="AI34" s="2837">
        <v>22</v>
      </c>
      <c r="AJ34" s="2837">
        <v>3610970.9499999997</v>
      </c>
      <c r="AK34" s="2837">
        <v>164135.04318181818</v>
      </c>
      <c r="AM34" s="2837">
        <v>23</v>
      </c>
      <c r="AN34" s="2837">
        <v>3838495.749999993</v>
      </c>
      <c r="AO34" s="2837">
        <v>166891.11956521709</v>
      </c>
    </row>
    <row r="35" spans="2:41">
      <c r="B35" s="2838" t="s">
        <v>545</v>
      </c>
      <c r="C35" s="2839">
        <f>SUM(C32:C34)</f>
        <v>37</v>
      </c>
      <c r="D35" s="2839">
        <f>SUM(D32:D34)</f>
        <v>3531203.83</v>
      </c>
      <c r="E35" s="2839">
        <f>+D35/C35</f>
        <v>95437.941351351357</v>
      </c>
      <c r="G35" s="2839">
        <f>SUM(G32:G34)</f>
        <v>40</v>
      </c>
      <c r="H35" s="2839">
        <f>SUM(H32:H34)</f>
        <v>4082399.38</v>
      </c>
      <c r="I35" s="2839">
        <f>+H35/G35</f>
        <v>102059.98449999999</v>
      </c>
      <c r="J35" s="2904"/>
      <c r="K35" s="2839">
        <f>SUM(K32:K34)</f>
        <v>44</v>
      </c>
      <c r="L35" s="2839">
        <f>SUM(L32:L34)</f>
        <v>4691608.1800000006</v>
      </c>
      <c r="M35" s="2839">
        <f>+L35/K35</f>
        <v>106627.45863636365</v>
      </c>
      <c r="N35" s="2904"/>
      <c r="O35" s="2839">
        <f>SUM(O32:O34)</f>
        <v>45</v>
      </c>
      <c r="P35" s="2839">
        <f>SUM(P32:P34)</f>
        <v>5015207.7799999993</v>
      </c>
      <c r="Q35" s="2839">
        <f>+P35/O35</f>
        <v>111449.06177777777</v>
      </c>
      <c r="R35" s="2904"/>
      <c r="S35" s="2839">
        <f>SUM(S32:S34)</f>
        <v>48</v>
      </c>
      <c r="T35" s="2839">
        <f>SUM(T32:T34)</f>
        <v>5534756.6799999997</v>
      </c>
      <c r="U35" s="2839">
        <f>+T35/S35</f>
        <v>115307.43083333333</v>
      </c>
      <c r="V35" s="30"/>
      <c r="W35" s="2839">
        <v>50</v>
      </c>
      <c r="X35" s="2839">
        <v>6106823.4800000004</v>
      </c>
      <c r="Y35" s="2839">
        <v>122136.46960000001</v>
      </c>
      <c r="Z35" s="2904"/>
      <c r="AA35" s="2839">
        <v>57</v>
      </c>
      <c r="AB35" s="2839">
        <v>7068285</v>
      </c>
      <c r="AC35" s="2839">
        <v>124005</v>
      </c>
      <c r="AD35" s="30"/>
      <c r="AE35" s="2839">
        <v>61</v>
      </c>
      <c r="AF35" s="2839">
        <v>7799591.9999999991</v>
      </c>
      <c r="AG35" s="2839">
        <v>127862.16393442621</v>
      </c>
      <c r="AH35" s="2549"/>
      <c r="AI35" s="2839">
        <v>60</v>
      </c>
      <c r="AJ35" s="2839">
        <v>8228021.0999999996</v>
      </c>
      <c r="AK35" s="2839">
        <v>137133.685</v>
      </c>
      <c r="AM35" s="2839">
        <v>61</v>
      </c>
      <c r="AN35" s="2839">
        <v>8661887.9999999851</v>
      </c>
      <c r="AO35" s="2839">
        <v>141998.16393442597</v>
      </c>
    </row>
    <row r="36" spans="2:41">
      <c r="B36" s="2845" t="s">
        <v>260</v>
      </c>
      <c r="C36" s="2846">
        <f>SUM(C35,C31,C27)</f>
        <v>92</v>
      </c>
      <c r="D36" s="2846">
        <f>SUM(D35,D31,D27)</f>
        <v>9228203.1175342463</v>
      </c>
      <c r="E36" s="2846">
        <f>+D36/C36</f>
        <v>100306.55562537225</v>
      </c>
      <c r="G36" s="2846">
        <f>SUM(G35,G31,G27)</f>
        <v>112</v>
      </c>
      <c r="H36" s="2846">
        <f>SUM(H35,H31,H27)</f>
        <v>11069877.537534246</v>
      </c>
      <c r="I36" s="2846">
        <f>+H36/G36</f>
        <v>98838.192299412913</v>
      </c>
      <c r="J36" s="2904"/>
      <c r="K36" s="2846">
        <f>SUM(K35,K31,K27)</f>
        <v>123</v>
      </c>
      <c r="L36" s="2846">
        <f>SUM(L35,L31,L27)</f>
        <v>12749503.037534248</v>
      </c>
      <c r="M36" s="2846">
        <f>+L36/K36</f>
        <v>103654.49624011584</v>
      </c>
      <c r="N36" s="2904"/>
      <c r="O36" s="2846">
        <f>SUM(O35,O31,O27)</f>
        <v>125</v>
      </c>
      <c r="P36" s="2846">
        <f>SUM(P35,P31,P27)</f>
        <v>13813604.037534246</v>
      </c>
      <c r="Q36" s="2846">
        <f>+P36/O36</f>
        <v>110508.83230027396</v>
      </c>
      <c r="R36" s="2904"/>
      <c r="S36" s="2846">
        <f>SUM(S35,S31,S27)</f>
        <v>132</v>
      </c>
      <c r="T36" s="2846">
        <f>SUM(T35,T31,T27)</f>
        <v>15380868.937534245</v>
      </c>
      <c r="U36" s="2846">
        <f>+T36/S36</f>
        <v>116521.73437525943</v>
      </c>
      <c r="V36" s="30"/>
      <c r="W36" s="2846">
        <v>137</v>
      </c>
      <c r="X36" s="2846">
        <v>16992041.037534248</v>
      </c>
      <c r="Y36" s="2846">
        <v>124029.49662433758</v>
      </c>
      <c r="Z36" s="2904"/>
      <c r="AA36" s="2846">
        <v>147</v>
      </c>
      <c r="AB36" s="2846">
        <v>19269267.557534248</v>
      </c>
      <c r="AC36" s="2846">
        <v>131083.45277234181</v>
      </c>
      <c r="AD36" s="30"/>
      <c r="AE36" s="2846">
        <v>156</v>
      </c>
      <c r="AF36" s="2846">
        <v>21003728.195890412</v>
      </c>
      <c r="AG36" s="2846">
        <v>134639.28330698982</v>
      </c>
      <c r="AH36" s="2549"/>
      <c r="AI36" s="2846">
        <v>158</v>
      </c>
      <c r="AJ36" s="2846">
        <v>22662087.895890411</v>
      </c>
      <c r="AK36" s="2846">
        <v>143430.93604993931</v>
      </c>
      <c r="AM36" s="2846">
        <v>160</v>
      </c>
      <c r="AN36" s="2846">
        <v>24266088.082876664</v>
      </c>
      <c r="AO36" s="2846">
        <v>151663.05051797914</v>
      </c>
    </row>
    <row r="37" spans="2:41">
      <c r="B37" s="2834" t="s">
        <v>1120</v>
      </c>
      <c r="C37" s="2844">
        <v>53</v>
      </c>
      <c r="D37" s="2844">
        <v>10239646.082191782</v>
      </c>
      <c r="E37" s="2844">
        <v>193200.86947531663</v>
      </c>
      <c r="G37" s="2844">
        <v>53</v>
      </c>
      <c r="H37" s="2844">
        <v>10803795.582191782</v>
      </c>
      <c r="I37" s="2844">
        <v>203845.19966399588</v>
      </c>
      <c r="J37" s="2904"/>
      <c r="K37" s="2844">
        <v>53.000000000000007</v>
      </c>
      <c r="L37" s="2844">
        <v>11236289.68219178</v>
      </c>
      <c r="M37" s="2844">
        <v>212005.46570173168</v>
      </c>
      <c r="N37" s="2904"/>
      <c r="O37" s="2844">
        <v>54</v>
      </c>
      <c r="P37" s="2844">
        <v>11743254.58219178</v>
      </c>
      <c r="Q37" s="2844">
        <v>217467.67744799593</v>
      </c>
      <c r="R37" s="2904"/>
      <c r="S37" s="2844">
        <v>55</v>
      </c>
      <c r="T37" s="2844">
        <v>12256895.882191783</v>
      </c>
      <c r="U37" s="2844">
        <v>222852.65240348695</v>
      </c>
      <c r="V37" s="30"/>
      <c r="W37" s="2844">
        <v>56</v>
      </c>
      <c r="X37" s="2844">
        <v>12628986.08219178</v>
      </c>
      <c r="Y37" s="2844">
        <v>229617.92876712329</v>
      </c>
      <c r="Z37" s="2904"/>
      <c r="AA37" s="2844">
        <v>56</v>
      </c>
      <c r="AB37" s="2844">
        <v>13000086.08219178</v>
      </c>
      <c r="AC37" s="2844">
        <v>232144.39432485323</v>
      </c>
      <c r="AD37" s="30"/>
      <c r="AE37" s="2844">
        <v>50</v>
      </c>
      <c r="AF37" s="2844">
        <v>12463519.982191781</v>
      </c>
      <c r="AG37" s="2844">
        <v>249270.39964383561</v>
      </c>
      <c r="AH37" s="2549"/>
      <c r="AI37" s="2844">
        <v>50</v>
      </c>
      <c r="AJ37" s="2844">
        <v>12747766.482191781</v>
      </c>
      <c r="AK37" s="2844">
        <v>254955.3296438356</v>
      </c>
      <c r="AM37" s="2844">
        <v>48</v>
      </c>
      <c r="AN37" s="2844">
        <v>12793921.72999998</v>
      </c>
      <c r="AO37" s="2844">
        <v>266540.03604166623</v>
      </c>
    </row>
    <row r="38" spans="2:41">
      <c r="B38" s="2836" t="s">
        <v>1121</v>
      </c>
      <c r="C38" s="2840">
        <v>41</v>
      </c>
      <c r="D38" s="2840">
        <v>8806692.5999999996</v>
      </c>
      <c r="E38" s="2840">
        <v>214797.38048780488</v>
      </c>
      <c r="G38" s="2840">
        <v>42.000000000000007</v>
      </c>
      <c r="H38" s="2840">
        <v>9345817.3000000007</v>
      </c>
      <c r="I38" s="2840">
        <v>222519.45952380952</v>
      </c>
      <c r="J38" s="2904"/>
      <c r="K38" s="2840">
        <v>42.000000000000007</v>
      </c>
      <c r="L38" s="2840">
        <v>9798547.1000000015</v>
      </c>
      <c r="M38" s="2840">
        <v>233298.74047619049</v>
      </c>
      <c r="N38" s="2904"/>
      <c r="O38" s="2840">
        <v>44</v>
      </c>
      <c r="P38" s="2840">
        <v>10431587.300000001</v>
      </c>
      <c r="Q38" s="2840">
        <v>237081.52954545451</v>
      </c>
      <c r="R38" s="2904"/>
      <c r="S38" s="2840">
        <v>45</v>
      </c>
      <c r="T38" s="2840">
        <v>11013411.900000002</v>
      </c>
      <c r="U38" s="2840">
        <v>244742.48666666672</v>
      </c>
      <c r="V38" s="30"/>
      <c r="W38" s="2840">
        <v>43</v>
      </c>
      <c r="X38" s="2840">
        <v>11453091.9</v>
      </c>
      <c r="Y38" s="2840">
        <v>266350.97441860469</v>
      </c>
      <c r="Z38" s="2904"/>
      <c r="AA38" s="2840">
        <v>41</v>
      </c>
      <c r="AB38" s="2840">
        <v>11942037.6</v>
      </c>
      <c r="AC38" s="2840">
        <v>291269.20975609752</v>
      </c>
      <c r="AD38" s="30"/>
      <c r="AE38" s="2840">
        <v>42</v>
      </c>
      <c r="AF38" s="2840">
        <v>12509361.100000003</v>
      </c>
      <c r="AG38" s="2840">
        <v>297841.93095238105</v>
      </c>
      <c r="AH38" s="2549"/>
      <c r="AI38" s="2840">
        <v>42</v>
      </c>
      <c r="AJ38" s="2840">
        <v>12990827</v>
      </c>
      <c r="AK38" s="2840">
        <v>309305.40476190473</v>
      </c>
      <c r="AM38" s="2840">
        <v>42</v>
      </c>
      <c r="AN38" s="2840">
        <v>13389057.749999987</v>
      </c>
      <c r="AO38" s="2840">
        <v>318787.08928571397</v>
      </c>
    </row>
    <row r="39" spans="2:41">
      <c r="B39" s="2836" t="s">
        <v>1122</v>
      </c>
      <c r="C39" s="2840">
        <v>61</v>
      </c>
      <c r="D39" s="2840">
        <v>6474026.4723561639</v>
      </c>
      <c r="E39" s="2840">
        <v>106131.58151403547</v>
      </c>
      <c r="G39" s="2840">
        <v>61.000000000000007</v>
      </c>
      <c r="H39" s="2840">
        <v>6795048.8723561652</v>
      </c>
      <c r="I39" s="2840">
        <v>111394.24380911746</v>
      </c>
      <c r="J39" s="2904"/>
      <c r="K39" s="2840">
        <v>60.999999999999993</v>
      </c>
      <c r="L39" s="2840">
        <v>7403774.5723561626</v>
      </c>
      <c r="M39" s="2840">
        <v>121373.353645183</v>
      </c>
      <c r="N39" s="2904"/>
      <c r="O39" s="2840">
        <v>61</v>
      </c>
      <c r="P39" s="2840">
        <v>7888181.4683561642</v>
      </c>
      <c r="Q39" s="2840">
        <v>129314.45030092073</v>
      </c>
      <c r="R39" s="2904"/>
      <c r="S39" s="2840">
        <v>61</v>
      </c>
      <c r="T39" s="2840">
        <v>8192857.5683561629</v>
      </c>
      <c r="U39" s="2840">
        <v>134309.14046485513</v>
      </c>
      <c r="V39" s="30"/>
      <c r="W39" s="2840">
        <v>60</v>
      </c>
      <c r="X39" s="2840">
        <v>8594495.1703561656</v>
      </c>
      <c r="Y39" s="2840">
        <v>143241.58617260275</v>
      </c>
      <c r="Z39" s="2904"/>
      <c r="AA39" s="2840">
        <v>59</v>
      </c>
      <c r="AB39" s="2840">
        <v>8989599.9703561664</v>
      </c>
      <c r="AC39" s="2840">
        <v>152366.10119247739</v>
      </c>
      <c r="AD39" s="30"/>
      <c r="AE39" s="2840">
        <v>57</v>
      </c>
      <c r="AF39" s="2840">
        <v>9207256.9703561664</v>
      </c>
      <c r="AG39" s="2840">
        <v>161530.82404133625</v>
      </c>
      <c r="AH39" s="2549"/>
      <c r="AI39" s="2840">
        <v>57</v>
      </c>
      <c r="AJ39" s="2840">
        <v>9572771.4703561664</v>
      </c>
      <c r="AK39" s="2840">
        <v>167943.35912905555</v>
      </c>
      <c r="AM39" s="2840">
        <v>59</v>
      </c>
      <c r="AN39" s="2840">
        <v>9956858.5683561414</v>
      </c>
      <c r="AO39" s="2840">
        <v>168760.31471790071</v>
      </c>
    </row>
    <row r="40" spans="2:41">
      <c r="B40" s="2836" t="s">
        <v>1123</v>
      </c>
      <c r="C40" s="2840">
        <v>57</v>
      </c>
      <c r="D40" s="2840">
        <v>8243204.129999998</v>
      </c>
      <c r="E40" s="2840">
        <v>144617.61631578943</v>
      </c>
      <c r="G40" s="2840">
        <v>57</v>
      </c>
      <c r="H40" s="2840">
        <v>8553891.9299999997</v>
      </c>
      <c r="I40" s="2840">
        <v>150068.2794736842</v>
      </c>
      <c r="J40" s="2904"/>
      <c r="K40" s="2840">
        <v>57</v>
      </c>
      <c r="L40" s="2840">
        <v>9106629.6299999971</v>
      </c>
      <c r="M40" s="2840">
        <v>159765.43210526311</v>
      </c>
      <c r="N40" s="2904"/>
      <c r="O40" s="2840">
        <v>57</v>
      </c>
      <c r="P40" s="2840">
        <v>9440570.7300000004</v>
      </c>
      <c r="Q40" s="2840">
        <v>165624.04789473684</v>
      </c>
      <c r="R40" s="2904"/>
      <c r="S40" s="2840">
        <v>56</v>
      </c>
      <c r="T40" s="2840">
        <v>9589245.1300000027</v>
      </c>
      <c r="U40" s="2840">
        <v>171236.52017857149</v>
      </c>
      <c r="V40" s="30"/>
      <c r="W40" s="2840">
        <v>55</v>
      </c>
      <c r="X40" s="2840">
        <v>9884776.0299999993</v>
      </c>
      <c r="Y40" s="2840">
        <v>179723.20054545454</v>
      </c>
      <c r="Z40" s="2904"/>
      <c r="AA40" s="2840">
        <v>55</v>
      </c>
      <c r="AB40" s="2840">
        <v>10341666.730000002</v>
      </c>
      <c r="AC40" s="2840">
        <v>188030.30418181821</v>
      </c>
      <c r="AD40" s="30"/>
      <c r="AE40" s="2840">
        <v>53</v>
      </c>
      <c r="AF40" s="2840">
        <v>10348906.030000003</v>
      </c>
      <c r="AG40" s="2840">
        <v>195262.37792452835</v>
      </c>
      <c r="AH40" s="2549"/>
      <c r="AI40" s="2840">
        <v>53</v>
      </c>
      <c r="AJ40" s="2840">
        <v>10622202.43</v>
      </c>
      <c r="AK40" s="2840">
        <v>200418.91377358491</v>
      </c>
      <c r="AM40" s="2840">
        <v>55</v>
      </c>
      <c r="AN40" s="2840">
        <v>11021927.329999987</v>
      </c>
      <c r="AO40" s="2840">
        <v>200398.67872727249</v>
      </c>
    </row>
    <row r="41" spans="2:41">
      <c r="B41" s="2836" t="s">
        <v>1124</v>
      </c>
      <c r="C41" s="2840">
        <v>55</v>
      </c>
      <c r="D41" s="2840">
        <v>11285438.47349315</v>
      </c>
      <c r="E41" s="2840">
        <v>205189.79042714817</v>
      </c>
      <c r="G41" s="2840">
        <v>56</v>
      </c>
      <c r="H41" s="2840">
        <v>12045455.673493154</v>
      </c>
      <c r="I41" s="2840">
        <v>215097.42274094917</v>
      </c>
      <c r="J41" s="2904"/>
      <c r="K41" s="2840">
        <v>56</v>
      </c>
      <c r="L41" s="2840">
        <v>12810061.973493151</v>
      </c>
      <c r="M41" s="2840">
        <v>228751.10666952055</v>
      </c>
      <c r="N41" s="2904"/>
      <c r="O41" s="2840">
        <v>56</v>
      </c>
      <c r="P41" s="2840">
        <v>13319734.97349315</v>
      </c>
      <c r="Q41" s="2840">
        <v>237852.4102409491</v>
      </c>
      <c r="R41" s="2904"/>
      <c r="S41" s="2840">
        <v>56</v>
      </c>
      <c r="T41" s="2840">
        <v>13970427.699999997</v>
      </c>
      <c r="U41" s="2840">
        <v>249471.92321428566</v>
      </c>
      <c r="V41" s="30"/>
      <c r="W41" s="2840">
        <v>55</v>
      </c>
      <c r="X41" s="2840">
        <v>14237495.000000002</v>
      </c>
      <c r="Y41" s="2840">
        <v>258863.5454545455</v>
      </c>
      <c r="Z41" s="2904"/>
      <c r="AA41" s="2840">
        <v>55</v>
      </c>
      <c r="AB41" s="2840">
        <v>14794698.100000001</v>
      </c>
      <c r="AC41" s="2840">
        <v>268994.51090909092</v>
      </c>
      <c r="AD41" s="30"/>
      <c r="AE41" s="2840">
        <v>53</v>
      </c>
      <c r="AF41" s="2840">
        <v>15085246.100000005</v>
      </c>
      <c r="AG41" s="2840">
        <v>284627.28490566049</v>
      </c>
      <c r="AH41" s="2549"/>
      <c r="AI41" s="2840">
        <v>51</v>
      </c>
      <c r="AJ41" s="2840">
        <v>15364082.350000005</v>
      </c>
      <c r="AK41" s="2840">
        <v>301256.51666666678</v>
      </c>
      <c r="AM41" s="2840">
        <v>52</v>
      </c>
      <c r="AN41" s="2840">
        <v>15783317.149999989</v>
      </c>
      <c r="AO41" s="2840">
        <v>303525.32980769209</v>
      </c>
    </row>
    <row r="42" spans="2:41">
      <c r="B42" s="2838" t="s">
        <v>544</v>
      </c>
      <c r="C42" s="2839">
        <f>SUM(C37:C41)</f>
        <v>267</v>
      </c>
      <c r="D42" s="2839">
        <f>SUM(D37:D41)</f>
        <v>45049007.758041091</v>
      </c>
      <c r="E42" s="2839">
        <f>+D42/C42</f>
        <v>168722.87549828124</v>
      </c>
      <c r="G42" s="2839">
        <f>SUM(G37:G41)</f>
        <v>269</v>
      </c>
      <c r="H42" s="2839">
        <f>SUM(H37:H41)</f>
        <v>47544009.3580411</v>
      </c>
      <c r="I42" s="2839">
        <f>+H42/G42</f>
        <v>176743.52921204871</v>
      </c>
      <c r="J42" s="2904"/>
      <c r="K42" s="2839">
        <f>SUM(K37:K41)</f>
        <v>269</v>
      </c>
      <c r="L42" s="2839">
        <f>SUM(L37:L41)</f>
        <v>50355302.958041094</v>
      </c>
      <c r="M42" s="2839">
        <f>+L42/K42</f>
        <v>187194.43478825685</v>
      </c>
      <c r="N42" s="2904"/>
      <c r="O42" s="2839">
        <f>SUM(O37:O41)</f>
        <v>272</v>
      </c>
      <c r="P42" s="2839">
        <f>SUM(P37:P41)</f>
        <v>52823329.054041095</v>
      </c>
      <c r="Q42" s="2839">
        <f>+P42/O42</f>
        <v>194203.41563985698</v>
      </c>
      <c r="R42" s="2904"/>
      <c r="S42" s="2839">
        <f>SUM(S37:S41)</f>
        <v>273</v>
      </c>
      <c r="T42" s="2839">
        <f>SUM(T37:T41)</f>
        <v>55022838.180547945</v>
      </c>
      <c r="U42" s="2839">
        <f>+T42/S42</f>
        <v>201548.85780420492</v>
      </c>
      <c r="V42" s="30"/>
      <c r="W42" s="2839">
        <v>269</v>
      </c>
      <c r="X42" s="2839">
        <v>56798844.182547942</v>
      </c>
      <c r="Y42" s="2839">
        <v>211148.11963772468</v>
      </c>
      <c r="Z42" s="2904"/>
      <c r="AA42" s="2839">
        <v>266</v>
      </c>
      <c r="AB42" s="2839">
        <v>59068088.482547954</v>
      </c>
      <c r="AC42" s="2839">
        <v>222060.48301709758</v>
      </c>
      <c r="AD42" s="30"/>
      <c r="AE42" s="2839">
        <v>255</v>
      </c>
      <c r="AF42" s="2839">
        <v>59614290.182547957</v>
      </c>
      <c r="AG42" s="2839">
        <v>233781.53012763904</v>
      </c>
      <c r="AH42" s="2549"/>
      <c r="AI42" s="2839">
        <v>253</v>
      </c>
      <c r="AJ42" s="2839">
        <v>61297649.732547954</v>
      </c>
      <c r="AK42" s="2839">
        <v>242283.20052390496</v>
      </c>
      <c r="AM42" s="2839">
        <v>256</v>
      </c>
      <c r="AN42" s="2839">
        <v>62945082.52835609</v>
      </c>
      <c r="AO42" s="2839">
        <v>245879.22862639098</v>
      </c>
    </row>
    <row r="43" spans="2:41">
      <c r="B43" s="2836" t="s">
        <v>1125</v>
      </c>
      <c r="C43" s="2837">
        <v>41</v>
      </c>
      <c r="D43" s="2840">
        <v>7118820.825000003</v>
      </c>
      <c r="E43" s="2840">
        <v>173629.77621951228</v>
      </c>
      <c r="G43" s="2837">
        <v>43</v>
      </c>
      <c r="H43" s="2840">
        <v>7682166.8249999993</v>
      </c>
      <c r="I43" s="2840">
        <v>178655.04244186045</v>
      </c>
      <c r="J43" s="2904"/>
      <c r="K43" s="2837">
        <v>44</v>
      </c>
      <c r="L43" s="2840">
        <v>8175467.7249999996</v>
      </c>
      <c r="M43" s="2840">
        <v>185806.08465909091</v>
      </c>
      <c r="N43" s="2904"/>
      <c r="O43" s="2837">
        <v>46</v>
      </c>
      <c r="P43" s="2840">
        <v>8640850.9249999989</v>
      </c>
      <c r="Q43" s="2840">
        <v>187844.58532608693</v>
      </c>
      <c r="R43" s="2904"/>
      <c r="S43" s="2837">
        <v>49</v>
      </c>
      <c r="T43" s="2840">
        <v>9391869.3250000011</v>
      </c>
      <c r="U43" s="2840">
        <v>191670.80255102043</v>
      </c>
      <c r="V43" s="30"/>
      <c r="W43" s="2837">
        <v>49</v>
      </c>
      <c r="X43" s="2840">
        <v>9626959.0299999993</v>
      </c>
      <c r="Y43" s="2840">
        <v>200561.64645833333</v>
      </c>
      <c r="Z43" s="2904"/>
      <c r="AA43" s="2837">
        <v>49</v>
      </c>
      <c r="AB43" s="2840">
        <v>10137434.83</v>
      </c>
      <c r="AC43" s="2840">
        <v>206886.42510204081</v>
      </c>
      <c r="AD43" s="30"/>
      <c r="AE43" s="2837">
        <v>47</v>
      </c>
      <c r="AF43" s="2840">
        <v>10339655.730000004</v>
      </c>
      <c r="AG43" s="2840">
        <v>219992.67510638307</v>
      </c>
      <c r="AH43" s="2549"/>
      <c r="AI43" s="2837">
        <v>47</v>
      </c>
      <c r="AJ43" s="2840">
        <v>10905865.630000003</v>
      </c>
      <c r="AK43" s="2840">
        <v>232039.69425531922</v>
      </c>
      <c r="AM43" s="2837">
        <v>46</v>
      </c>
      <c r="AN43" s="2840">
        <v>11181480.329999985</v>
      </c>
      <c r="AO43" s="2840">
        <v>243075.65934782577</v>
      </c>
    </row>
    <row r="44" spans="2:41">
      <c r="B44" s="2836" t="s">
        <v>1157</v>
      </c>
      <c r="C44" s="2837">
        <v>30</v>
      </c>
      <c r="D44" s="2840">
        <v>4810637.0999999996</v>
      </c>
      <c r="E44" s="2840">
        <v>160354.56999999998</v>
      </c>
      <c r="G44" s="2837">
        <v>31</v>
      </c>
      <c r="H44" s="2840">
        <v>5163014.0000000009</v>
      </c>
      <c r="I44" s="2840">
        <v>166548.83870967745</v>
      </c>
      <c r="J44" s="2904"/>
      <c r="K44" s="2837">
        <v>32</v>
      </c>
      <c r="L44" s="2840">
        <v>5529614.8000000007</v>
      </c>
      <c r="M44" s="2840">
        <v>172800.46250000002</v>
      </c>
      <c r="N44" s="2904"/>
      <c r="O44" s="2837">
        <v>33</v>
      </c>
      <c r="P44" s="2840">
        <v>5801306.9999999991</v>
      </c>
      <c r="Q44" s="2840">
        <v>175797.18181818179</v>
      </c>
      <c r="R44" s="2904"/>
      <c r="S44" s="2837">
        <v>37</v>
      </c>
      <c r="T44" s="2840">
        <v>6424790.7999999998</v>
      </c>
      <c r="U44" s="2840">
        <v>173642.99459459458</v>
      </c>
      <c r="V44" s="30"/>
      <c r="W44" s="2837">
        <v>37</v>
      </c>
      <c r="X44" s="2840">
        <v>6575882.4999999991</v>
      </c>
      <c r="Y44" s="2840">
        <v>177726.55405405402</v>
      </c>
      <c r="Z44" s="2904"/>
      <c r="AA44" s="2837">
        <v>37</v>
      </c>
      <c r="AB44" s="2840">
        <v>6962674.8999999994</v>
      </c>
      <c r="AC44" s="2840">
        <v>188180.40270270268</v>
      </c>
      <c r="AD44" s="30"/>
      <c r="AE44" s="2837">
        <v>38</v>
      </c>
      <c r="AF44" s="2840">
        <v>7346726.9999999981</v>
      </c>
      <c r="AG44" s="2840">
        <v>193334.92105263154</v>
      </c>
      <c r="AH44" s="2549"/>
      <c r="AI44" s="2837">
        <v>37</v>
      </c>
      <c r="AJ44" s="2840">
        <v>7589541.0999999978</v>
      </c>
      <c r="AK44" s="2840">
        <v>205122.73243243239</v>
      </c>
      <c r="AM44" s="2837">
        <v>38</v>
      </c>
      <c r="AN44" s="2840">
        <v>7883065.3999999883</v>
      </c>
      <c r="AO44" s="2840">
        <v>207449.08947368391</v>
      </c>
    </row>
    <row r="45" spans="2:41">
      <c r="B45" s="2836" t="s">
        <v>1127</v>
      </c>
      <c r="C45" s="2837">
        <v>55</v>
      </c>
      <c r="D45" s="2840">
        <v>10762752.594999999</v>
      </c>
      <c r="E45" s="2840">
        <v>195686.41081818179</v>
      </c>
      <c r="G45" s="2837">
        <v>56</v>
      </c>
      <c r="H45" s="2840">
        <v>11603741.294999998</v>
      </c>
      <c r="I45" s="2840">
        <v>207209.66598214282</v>
      </c>
      <c r="J45" s="2904"/>
      <c r="K45" s="2837">
        <v>56</v>
      </c>
      <c r="L45" s="2840">
        <v>12242142.094999999</v>
      </c>
      <c r="M45" s="2840">
        <v>218609.68026785713</v>
      </c>
      <c r="N45" s="2904"/>
      <c r="O45" s="2837">
        <v>57</v>
      </c>
      <c r="P45" s="2840">
        <v>12924074.894999998</v>
      </c>
      <c r="Q45" s="2840">
        <v>226738.15605263153</v>
      </c>
      <c r="R45" s="2904"/>
      <c r="S45" s="2837">
        <v>57</v>
      </c>
      <c r="T45" s="2840">
        <v>13626042.399999997</v>
      </c>
      <c r="U45" s="2840">
        <v>239053.37543859644</v>
      </c>
      <c r="V45" s="30"/>
      <c r="W45" s="2837">
        <v>56</v>
      </c>
      <c r="X45" s="2840">
        <v>14152159.299999999</v>
      </c>
      <c r="Y45" s="2840">
        <v>252717.13035714283</v>
      </c>
      <c r="Z45" s="2904"/>
      <c r="AA45" s="2837">
        <v>55</v>
      </c>
      <c r="AB45" s="2840">
        <v>14574426.899999999</v>
      </c>
      <c r="AC45" s="2840">
        <v>264989.57999999996</v>
      </c>
      <c r="AD45" s="30"/>
      <c r="AE45" s="2837">
        <v>55</v>
      </c>
      <c r="AF45" s="2840">
        <v>14931284.399999997</v>
      </c>
      <c r="AG45" s="2840">
        <v>271477.89818181813</v>
      </c>
      <c r="AH45" s="2549"/>
      <c r="AI45" s="2837">
        <v>55</v>
      </c>
      <c r="AJ45" s="2840">
        <v>15520512.699999996</v>
      </c>
      <c r="AK45" s="2840">
        <v>282191.1399999999</v>
      </c>
      <c r="AM45" s="2837">
        <v>53</v>
      </c>
      <c r="AN45" s="2840">
        <v>15645802.499999989</v>
      </c>
      <c r="AO45" s="2840">
        <v>295203.82075471675</v>
      </c>
    </row>
    <row r="46" spans="2:41">
      <c r="B46" s="2836" t="s">
        <v>1128</v>
      </c>
      <c r="C46" s="2837">
        <v>48</v>
      </c>
      <c r="D46" s="2840">
        <v>8384543.2300000004</v>
      </c>
      <c r="E46" s="2840">
        <v>174677.98395833335</v>
      </c>
      <c r="G46" s="2837">
        <v>49</v>
      </c>
      <c r="H46" s="2840">
        <v>8895927.4300000034</v>
      </c>
      <c r="I46" s="2840">
        <v>181549.53938775515</v>
      </c>
      <c r="J46" s="2904"/>
      <c r="K46" s="2837">
        <v>49</v>
      </c>
      <c r="L46" s="2840">
        <v>9513266.6300000008</v>
      </c>
      <c r="M46" s="2840">
        <v>194148.2985714286</v>
      </c>
      <c r="N46" s="2904"/>
      <c r="O46" s="2837">
        <v>51</v>
      </c>
      <c r="P46" s="2840">
        <v>10180227.029999999</v>
      </c>
      <c r="Q46" s="2840">
        <v>199612.29470588235</v>
      </c>
      <c r="R46" s="2904"/>
      <c r="S46" s="2837">
        <v>55</v>
      </c>
      <c r="T46" s="2840">
        <v>10871901.329999998</v>
      </c>
      <c r="U46" s="2840">
        <v>197670.93327272724</v>
      </c>
      <c r="V46" s="30"/>
      <c r="W46" s="2837">
        <v>57</v>
      </c>
      <c r="X46" s="2840">
        <v>11648381.629999999</v>
      </c>
      <c r="Y46" s="2840">
        <v>204357.57245614033</v>
      </c>
      <c r="Z46" s="2904"/>
      <c r="AA46" s="2837">
        <v>57</v>
      </c>
      <c r="AB46" s="2840">
        <v>12368244.23</v>
      </c>
      <c r="AC46" s="2840">
        <v>216986.74087719299</v>
      </c>
      <c r="AD46" s="30"/>
      <c r="AE46" s="2837">
        <v>55</v>
      </c>
      <c r="AF46" s="2840">
        <v>12762350.93</v>
      </c>
      <c r="AG46" s="2840">
        <v>232042.74418181818</v>
      </c>
      <c r="AH46" s="2549"/>
      <c r="AI46" s="2837">
        <v>54</v>
      </c>
      <c r="AJ46" s="2840">
        <v>13196642.33</v>
      </c>
      <c r="AK46" s="2840">
        <v>244382.26537037038</v>
      </c>
      <c r="AM46" s="2837">
        <v>57</v>
      </c>
      <c r="AN46" s="2840">
        <v>14015639.779999977</v>
      </c>
      <c r="AO46" s="2840">
        <v>245888.41719298204</v>
      </c>
    </row>
    <row r="47" spans="2:41">
      <c r="B47" s="2836" t="s">
        <v>1129</v>
      </c>
      <c r="C47" s="2837">
        <v>35</v>
      </c>
      <c r="D47" s="2840">
        <v>4159472.8250000007</v>
      </c>
      <c r="E47" s="2840">
        <v>118842.08071428574</v>
      </c>
      <c r="G47" s="2837">
        <v>35</v>
      </c>
      <c r="H47" s="2840">
        <v>4376083.9249999998</v>
      </c>
      <c r="I47" s="2840">
        <v>125030.96928571428</v>
      </c>
      <c r="J47" s="2904"/>
      <c r="K47" s="2837">
        <v>37</v>
      </c>
      <c r="L47" s="2840">
        <v>4828696.9299999978</v>
      </c>
      <c r="M47" s="2840">
        <v>130505.32243243237</v>
      </c>
      <c r="N47" s="2904"/>
      <c r="O47" s="2837">
        <v>38</v>
      </c>
      <c r="P47" s="2840">
        <v>5295742.3249999993</v>
      </c>
      <c r="Q47" s="2840">
        <v>139361.64013157893</v>
      </c>
      <c r="R47" s="2904"/>
      <c r="S47" s="2837">
        <v>39</v>
      </c>
      <c r="T47" s="2840">
        <v>5725140.4250000007</v>
      </c>
      <c r="U47" s="2840">
        <v>146798.47243589745</v>
      </c>
      <c r="V47" s="30"/>
      <c r="W47" s="2837">
        <v>38</v>
      </c>
      <c r="X47" s="2840">
        <v>6095312.8250000002</v>
      </c>
      <c r="Y47" s="2840">
        <v>160402.96907894738</v>
      </c>
      <c r="Z47" s="2904"/>
      <c r="AA47" s="2837">
        <v>37</v>
      </c>
      <c r="AB47" s="2840">
        <v>6400524.9250000007</v>
      </c>
      <c r="AC47" s="2840">
        <v>172987.16013513514</v>
      </c>
      <c r="AD47" s="30"/>
      <c r="AE47" s="2837">
        <v>35</v>
      </c>
      <c r="AF47" s="2840">
        <v>6428166.7249999987</v>
      </c>
      <c r="AG47" s="2840">
        <v>183661.90642857138</v>
      </c>
      <c r="AH47" s="2549"/>
      <c r="AI47" s="2837">
        <v>33</v>
      </c>
      <c r="AJ47" s="2840">
        <v>6489286.1500000004</v>
      </c>
      <c r="AK47" s="2840">
        <v>196645.03484848485</v>
      </c>
      <c r="AM47" s="2837">
        <v>32</v>
      </c>
      <c r="AN47" s="2840">
        <v>6518004.8499999912</v>
      </c>
      <c r="AO47" s="2840">
        <v>203687.65156249973</v>
      </c>
    </row>
    <row r="48" spans="2:41">
      <c r="B48" s="2838" t="s">
        <v>547</v>
      </c>
      <c r="C48" s="2839">
        <f>SUM(C43:C47)</f>
        <v>209</v>
      </c>
      <c r="D48" s="2839">
        <f>SUM(D43:D47)</f>
        <v>35236226.575000003</v>
      </c>
      <c r="E48" s="2839">
        <f>+D48/C48</f>
        <v>168594.3855263158</v>
      </c>
      <c r="G48" s="2839">
        <f>SUM(G43:G47)</f>
        <v>214</v>
      </c>
      <c r="H48" s="2839">
        <f>SUM(H43:H47)</f>
        <v>37720933.475000001</v>
      </c>
      <c r="I48" s="2839">
        <f>+H48/G48</f>
        <v>176266.04427570093</v>
      </c>
      <c r="J48" s="2904"/>
      <c r="K48" s="2839">
        <f>SUM(K43:K47)</f>
        <v>218</v>
      </c>
      <c r="L48" s="2839">
        <f>SUM(L43:L47)</f>
        <v>40289188.18</v>
      </c>
      <c r="M48" s="2839">
        <f>+L48/K48</f>
        <v>184812.78981651377</v>
      </c>
      <c r="N48" s="2904"/>
      <c r="O48" s="2839">
        <f>SUM(O43:O47)</f>
        <v>225</v>
      </c>
      <c r="P48" s="2839">
        <f>SUM(P43:P47)</f>
        <v>42842202.174999997</v>
      </c>
      <c r="Q48" s="2839">
        <f>+P48/O48</f>
        <v>190409.78744444443</v>
      </c>
      <c r="R48" s="2904"/>
      <c r="S48" s="2839">
        <f>SUM(S43:S47)</f>
        <v>237</v>
      </c>
      <c r="T48" s="2839">
        <f>SUM(T43:T47)</f>
        <v>46039744.280000001</v>
      </c>
      <c r="U48" s="2839">
        <f>+T48/S48</f>
        <v>194260.52438818567</v>
      </c>
      <c r="V48" s="30"/>
      <c r="W48" s="2839">
        <v>237</v>
      </c>
      <c r="X48" s="2839">
        <v>48098695.284999996</v>
      </c>
      <c r="Y48" s="2839">
        <v>202948.08137130801</v>
      </c>
      <c r="Z48" s="2904"/>
      <c r="AA48" s="2839">
        <v>235</v>
      </c>
      <c r="AB48" s="2839">
        <v>50443305.784999996</v>
      </c>
      <c r="AC48" s="2839">
        <v>214652.36504255317</v>
      </c>
      <c r="AD48" s="30"/>
      <c r="AE48" s="2839">
        <v>230</v>
      </c>
      <c r="AF48" s="2839">
        <v>51808184.785000004</v>
      </c>
      <c r="AG48" s="2839">
        <v>225252.97732608698</v>
      </c>
      <c r="AH48" s="2549"/>
      <c r="AI48" s="2839">
        <v>226</v>
      </c>
      <c r="AJ48" s="2839">
        <v>53701847.909999989</v>
      </c>
      <c r="AK48" s="2839">
        <v>237618.79606194686</v>
      </c>
      <c r="AM48" s="2839">
        <v>226</v>
      </c>
      <c r="AN48" s="2839">
        <v>55243992.859999932</v>
      </c>
      <c r="AO48" s="2839">
        <v>244442.44628318553</v>
      </c>
    </row>
    <row r="49" spans="2:41">
      <c r="B49" s="2836" t="s">
        <v>1130</v>
      </c>
      <c r="C49" s="2837">
        <v>25</v>
      </c>
      <c r="D49" s="2840">
        <v>4513713.4249999998</v>
      </c>
      <c r="E49" s="2840">
        <v>180548.53699999998</v>
      </c>
      <c r="G49" s="2837">
        <v>25</v>
      </c>
      <c r="H49" s="2840">
        <v>4640848.9249999989</v>
      </c>
      <c r="I49" s="2840">
        <v>185633.95699999997</v>
      </c>
      <c r="J49" s="2904"/>
      <c r="K49" s="2837">
        <v>25</v>
      </c>
      <c r="L49" s="2840">
        <v>4924007.8</v>
      </c>
      <c r="M49" s="2840">
        <v>196960.31199999998</v>
      </c>
      <c r="N49" s="2904"/>
      <c r="O49" s="2837">
        <v>25</v>
      </c>
      <c r="P49" s="2840">
        <v>5066492.7</v>
      </c>
      <c r="Q49" s="2840">
        <v>202659.70800000001</v>
      </c>
      <c r="R49" s="2904"/>
      <c r="S49" s="2837">
        <v>25</v>
      </c>
      <c r="T49" s="2840">
        <v>5302364.5999999996</v>
      </c>
      <c r="U49" s="2840">
        <v>212094.58399999997</v>
      </c>
      <c r="V49" s="30"/>
      <c r="W49" s="2837">
        <v>25</v>
      </c>
      <c r="X49" s="2840">
        <v>5402363</v>
      </c>
      <c r="Y49" s="2840">
        <v>216094.52</v>
      </c>
      <c r="Z49" s="2904"/>
      <c r="AA49" s="2837">
        <v>25</v>
      </c>
      <c r="AB49" s="2840">
        <v>5577782.5</v>
      </c>
      <c r="AC49" s="2840">
        <v>223111.3</v>
      </c>
      <c r="AD49" s="30"/>
      <c r="AE49" s="2837">
        <v>24</v>
      </c>
      <c r="AF49" s="2840">
        <v>5589381.0000000009</v>
      </c>
      <c r="AG49" s="2840">
        <v>232890.87500000003</v>
      </c>
      <c r="AH49" s="2549"/>
      <c r="AI49" s="2837">
        <v>23</v>
      </c>
      <c r="AJ49" s="2840">
        <v>5425485.2000000011</v>
      </c>
      <c r="AK49" s="2840">
        <v>235890.66086956527</v>
      </c>
      <c r="AM49" s="2837">
        <v>24</v>
      </c>
      <c r="AN49" s="2840">
        <v>5737167.4999999888</v>
      </c>
      <c r="AO49" s="2840">
        <v>239048.64583333288</v>
      </c>
    </row>
    <row r="50" spans="2:41">
      <c r="B50" s="2836" t="s">
        <v>1104</v>
      </c>
      <c r="C50" s="2837">
        <v>91</v>
      </c>
      <c r="D50" s="2840">
        <v>13535693.456027398</v>
      </c>
      <c r="E50" s="2840">
        <v>148743.88413216922</v>
      </c>
      <c r="G50" s="2837">
        <v>91</v>
      </c>
      <c r="H50" s="2840">
        <v>14219164.060000002</v>
      </c>
      <c r="I50" s="2840">
        <v>156254.55010989014</v>
      </c>
      <c r="J50" s="2904"/>
      <c r="K50" s="2837">
        <v>92</v>
      </c>
      <c r="L50" s="2840">
        <v>14994289.760000009</v>
      </c>
      <c r="M50" s="2840">
        <v>162981.41043478271</v>
      </c>
      <c r="N50" s="2904"/>
      <c r="O50" s="2837">
        <v>93</v>
      </c>
      <c r="P50" s="2840">
        <v>15494463.359999999</v>
      </c>
      <c r="Q50" s="2840">
        <v>166607.13290322581</v>
      </c>
      <c r="R50" s="2904"/>
      <c r="S50" s="2837">
        <v>92</v>
      </c>
      <c r="T50" s="2840">
        <v>15869539.960000001</v>
      </c>
      <c r="U50" s="2840">
        <v>172494.99956521741</v>
      </c>
      <c r="V50" s="30"/>
      <c r="W50" s="2837">
        <v>88</v>
      </c>
      <c r="X50" s="2840">
        <v>15858752.937054792</v>
      </c>
      <c r="Y50" s="2840">
        <v>180213.10155744082</v>
      </c>
      <c r="Z50" s="2904"/>
      <c r="AA50" s="2837">
        <v>91</v>
      </c>
      <c r="AB50" s="2840">
        <v>16747038.037054792</v>
      </c>
      <c r="AC50" s="2840">
        <v>184033.38502258013</v>
      </c>
      <c r="AD50" s="30"/>
      <c r="AE50" s="2837">
        <v>91</v>
      </c>
      <c r="AF50" s="2840">
        <v>17246582.237054795</v>
      </c>
      <c r="AG50" s="2840">
        <v>189522.88172587685</v>
      </c>
      <c r="AH50" s="2549"/>
      <c r="AI50" s="2837">
        <v>90</v>
      </c>
      <c r="AJ50" s="2840">
        <v>17290276.937054794</v>
      </c>
      <c r="AK50" s="2840">
        <v>192114.18818949771</v>
      </c>
      <c r="AM50" s="2837">
        <v>87</v>
      </c>
      <c r="AN50" s="2840">
        <v>17100799.55999998</v>
      </c>
      <c r="AO50" s="2840">
        <v>196560.91448275838</v>
      </c>
    </row>
    <row r="51" spans="2:41">
      <c r="B51" s="2836" t="s">
        <v>1131</v>
      </c>
      <c r="C51" s="2837">
        <v>122</v>
      </c>
      <c r="D51" s="2840">
        <v>18525811.463424653</v>
      </c>
      <c r="E51" s="2840">
        <v>151850.91363462829</v>
      </c>
      <c r="G51" s="2837">
        <v>122</v>
      </c>
      <c r="H51" s="2840">
        <v>19481275.963424664</v>
      </c>
      <c r="I51" s="2840">
        <v>159682.58986413659</v>
      </c>
      <c r="J51" s="2904"/>
      <c r="K51" s="2837">
        <v>123</v>
      </c>
      <c r="L51" s="2840">
        <v>20470545.962739725</v>
      </c>
      <c r="M51" s="2840">
        <v>166427.20294910346</v>
      </c>
      <c r="N51" s="2904"/>
      <c r="O51" s="2837">
        <v>125.99999999999999</v>
      </c>
      <c r="P51" s="2840">
        <v>21297457.662739728</v>
      </c>
      <c r="Q51" s="2840">
        <v>169027.44176777563</v>
      </c>
      <c r="R51" s="2904"/>
      <c r="S51" s="2837">
        <v>126</v>
      </c>
      <c r="T51" s="2840">
        <v>21915382.162739724</v>
      </c>
      <c r="U51" s="2840">
        <v>173931.60446618829</v>
      </c>
      <c r="V51" s="30"/>
      <c r="W51" s="2837">
        <v>126</v>
      </c>
      <c r="X51" s="2840">
        <v>22266915.362739723</v>
      </c>
      <c r="Y51" s="2840">
        <v>176721.55049793431</v>
      </c>
      <c r="Z51" s="2904"/>
      <c r="AA51" s="2837">
        <v>121</v>
      </c>
      <c r="AB51" s="2840">
        <v>22488524.974246569</v>
      </c>
      <c r="AC51" s="2840">
        <v>185855.57829955843</v>
      </c>
      <c r="AD51" s="30"/>
      <c r="AE51" s="2837">
        <v>113</v>
      </c>
      <c r="AF51" s="2840">
        <v>22373066.093835622</v>
      </c>
      <c r="AG51" s="2840">
        <v>197991.73534367807</v>
      </c>
      <c r="AH51" s="2549"/>
      <c r="AI51" s="2837">
        <v>107</v>
      </c>
      <c r="AJ51" s="2840">
        <v>21296963.79383561</v>
      </c>
      <c r="AK51" s="2840">
        <v>199037.04480220197</v>
      </c>
      <c r="AM51" s="2837">
        <v>106</v>
      </c>
      <c r="AN51" s="2840">
        <v>21757435.49383558</v>
      </c>
      <c r="AO51" s="2840">
        <v>205258.82541354321</v>
      </c>
    </row>
    <row r="52" spans="2:41">
      <c r="B52" s="2836" t="s">
        <v>1105</v>
      </c>
      <c r="C52" s="2837">
        <v>85</v>
      </c>
      <c r="D52" s="2840">
        <v>10728337.579434931</v>
      </c>
      <c r="E52" s="2840">
        <v>126215.73622864626</v>
      </c>
      <c r="G52" s="2837">
        <v>88</v>
      </c>
      <c r="H52" s="2840">
        <v>11326066.179434936</v>
      </c>
      <c r="I52" s="2840">
        <v>128705.29749357882</v>
      </c>
      <c r="J52" s="2904"/>
      <c r="K52" s="2837">
        <v>89</v>
      </c>
      <c r="L52" s="2840">
        <v>11963958.984434931</v>
      </c>
      <c r="M52" s="2840">
        <v>134426.50544308912</v>
      </c>
      <c r="N52" s="2904"/>
      <c r="O52" s="2837">
        <v>91</v>
      </c>
      <c r="P52" s="2840">
        <v>12572124.084434925</v>
      </c>
      <c r="Q52" s="2840">
        <v>138155.20971906511</v>
      </c>
      <c r="R52" s="2904"/>
      <c r="S52" s="2837">
        <v>92</v>
      </c>
      <c r="T52" s="2840">
        <v>13135864.784434935</v>
      </c>
      <c r="U52" s="2840">
        <v>142781.13896124929</v>
      </c>
      <c r="V52" s="30"/>
      <c r="W52" s="2837">
        <v>95</v>
      </c>
      <c r="X52" s="2840">
        <v>13722660.084434932</v>
      </c>
      <c r="Y52" s="2840">
        <v>144449.05352036771</v>
      </c>
      <c r="Z52" s="2904"/>
      <c r="AA52" s="2837">
        <v>94</v>
      </c>
      <c r="AB52" s="2840">
        <v>14211851.984434934</v>
      </c>
      <c r="AC52" s="2840">
        <v>151189.9147280312</v>
      </c>
      <c r="AD52" s="30"/>
      <c r="AE52" s="2837">
        <v>90</v>
      </c>
      <c r="AF52" s="2840">
        <v>14436494.704434935</v>
      </c>
      <c r="AG52" s="2840">
        <v>160405.49671594374</v>
      </c>
      <c r="AH52" s="2549"/>
      <c r="AI52" s="2837">
        <v>86</v>
      </c>
      <c r="AJ52" s="2840">
        <v>13990117.204434929</v>
      </c>
      <c r="AK52" s="2840">
        <v>162675.7814469178</v>
      </c>
      <c r="AM52" s="2837">
        <v>86</v>
      </c>
      <c r="AN52" s="2840">
        <v>14065549.904982854</v>
      </c>
      <c r="AO52" s="2840">
        <v>163552.90587189366</v>
      </c>
    </row>
    <row r="53" spans="2:41">
      <c r="B53" s="2838" t="s">
        <v>545</v>
      </c>
      <c r="C53" s="2839">
        <f>SUM(C49:C52)</f>
        <v>323</v>
      </c>
      <c r="D53" s="2839">
        <f>SUM(D49:D52)</f>
        <v>47303555.923886985</v>
      </c>
      <c r="E53" s="2839">
        <f t="shared" ref="E53:E58" si="0">+D53/C53</f>
        <v>146450.63753525383</v>
      </c>
      <c r="G53" s="2839">
        <f>SUM(G49:G52)</f>
        <v>326</v>
      </c>
      <c r="H53" s="2839">
        <f>SUM(H49:H52)</f>
        <v>49667355.127859607</v>
      </c>
      <c r="I53" s="2839">
        <f>+H53/G53</f>
        <v>152353.85008545892</v>
      </c>
      <c r="J53" s="2904"/>
      <c r="K53" s="2839">
        <f>SUM(K49:K52)</f>
        <v>329</v>
      </c>
      <c r="L53" s="2839">
        <f>SUM(L49:L52)</f>
        <v>52352802.507174671</v>
      </c>
      <c r="M53" s="2839">
        <f>+L53/K53</f>
        <v>159127.05929232424</v>
      </c>
      <c r="N53" s="2904"/>
      <c r="O53" s="2839">
        <f>SUM(O49:O52)</f>
        <v>335</v>
      </c>
      <c r="P53" s="2839">
        <f>SUM(P49:P52)</f>
        <v>54430537.807174653</v>
      </c>
      <c r="Q53" s="2839">
        <f>+P53/O53</f>
        <v>162479.2173348497</v>
      </c>
      <c r="R53" s="2904"/>
      <c r="S53" s="2839">
        <f>SUM(S49:S52)</f>
        <v>335</v>
      </c>
      <c r="T53" s="2839">
        <f>SUM(T49:T52)</f>
        <v>56223151.507174663</v>
      </c>
      <c r="U53" s="2839">
        <f>+T53/S53</f>
        <v>167830.30300649154</v>
      </c>
      <c r="V53" s="30"/>
      <c r="W53" s="2839">
        <v>334</v>
      </c>
      <c r="X53" s="2839">
        <v>57250691.384229444</v>
      </c>
      <c r="Y53" s="2839">
        <v>171409.25564140553</v>
      </c>
      <c r="Z53" s="2904"/>
      <c r="AA53" s="2839">
        <v>331</v>
      </c>
      <c r="AB53" s="2839">
        <v>59025197.495736293</v>
      </c>
      <c r="AC53" s="2839">
        <v>178323.85950373503</v>
      </c>
      <c r="AD53" s="30"/>
      <c r="AE53" s="2839">
        <v>318</v>
      </c>
      <c r="AF53" s="2839">
        <v>59645524.035325348</v>
      </c>
      <c r="AG53" s="2839">
        <v>187564.54099158914</v>
      </c>
      <c r="AH53" s="2549"/>
      <c r="AI53" s="2839">
        <v>306</v>
      </c>
      <c r="AJ53" s="2839">
        <v>58002843.135325335</v>
      </c>
      <c r="AK53" s="2839">
        <v>189551.77495204358</v>
      </c>
      <c r="AM53" s="2839">
        <v>303</v>
      </c>
      <c r="AN53" s="2839">
        <v>58660952.458818406</v>
      </c>
      <c r="AO53" s="2839">
        <v>193600.50316441717</v>
      </c>
    </row>
    <row r="54" spans="2:41">
      <c r="B54" s="2851" t="s">
        <v>110</v>
      </c>
      <c r="C54" s="2852">
        <f>SUM(C53,C48,C42)</f>
        <v>799</v>
      </c>
      <c r="D54" s="2852">
        <f>SUM(D53,D48,D42)</f>
        <v>127588790.25692809</v>
      </c>
      <c r="E54" s="2852">
        <f t="shared" si="0"/>
        <v>159685.59481467845</v>
      </c>
      <c r="G54" s="2852">
        <f>SUM(G53,G48,G42)</f>
        <v>809</v>
      </c>
      <c r="H54" s="2852">
        <f>SUM(H53,H48,H42)</f>
        <v>134932297.96090072</v>
      </c>
      <c r="I54" s="2852">
        <f>+H54/G54</f>
        <v>166788.99624338778</v>
      </c>
      <c r="J54" s="2904"/>
      <c r="K54" s="2852">
        <f>SUM(K53,K48,K42)</f>
        <v>816</v>
      </c>
      <c r="L54" s="2852">
        <f>SUM(L53,L48,L42)</f>
        <v>142997293.64521578</v>
      </c>
      <c r="M54" s="2852">
        <f>+L54/K54</f>
        <v>175241.78142796052</v>
      </c>
      <c r="N54" s="2904"/>
      <c r="O54" s="2852">
        <f>SUM(O53,O48,O42)</f>
        <v>832</v>
      </c>
      <c r="P54" s="2852">
        <f>SUM(P53,P48,P42)</f>
        <v>150096069.03621575</v>
      </c>
      <c r="Q54" s="2852">
        <f>+P54/O54</f>
        <v>180403.929130067</v>
      </c>
      <c r="R54" s="2904"/>
      <c r="S54" s="2852">
        <f>SUM(S53,S48,S42)</f>
        <v>845</v>
      </c>
      <c r="T54" s="2852">
        <f>SUM(T53,T48,T42)</f>
        <v>157285733.96772262</v>
      </c>
      <c r="U54" s="2852">
        <f>+T54/S54</f>
        <v>186136.9632754114</v>
      </c>
      <c r="V54" s="30"/>
      <c r="W54" s="2852">
        <v>840</v>
      </c>
      <c r="X54" s="2852">
        <v>162148230.85177737</v>
      </c>
      <c r="Y54" s="2852">
        <v>193033.60815687783</v>
      </c>
      <c r="Z54" s="2904"/>
      <c r="AA54" s="2852">
        <v>832</v>
      </c>
      <c r="AB54" s="2852">
        <v>168536591.76328427</v>
      </c>
      <c r="AC54" s="2852">
        <v>202568.01894625512</v>
      </c>
      <c r="AD54" s="30"/>
      <c r="AE54" s="2852">
        <v>803</v>
      </c>
      <c r="AF54" s="2852">
        <v>171067999.0028733</v>
      </c>
      <c r="AG54" s="2852">
        <v>213036.11332860935</v>
      </c>
      <c r="AH54" s="2549"/>
      <c r="AI54" s="2852">
        <v>785</v>
      </c>
      <c r="AJ54" s="2852">
        <v>173002340.77787328</v>
      </c>
      <c r="AK54" s="2852">
        <v>220385.14748773666</v>
      </c>
      <c r="AM54" s="2852">
        <v>785</v>
      </c>
      <c r="AN54" s="2852">
        <v>176850027.84717441</v>
      </c>
      <c r="AO54" s="2852">
        <v>225286.65967792919</v>
      </c>
    </row>
    <row r="55" spans="2:41">
      <c r="B55" s="2849" t="s">
        <v>1133</v>
      </c>
      <c r="C55" s="2850"/>
      <c r="D55" s="2850"/>
      <c r="E55" s="2850"/>
      <c r="G55" s="2850"/>
      <c r="H55" s="2850"/>
      <c r="I55" s="2850"/>
      <c r="J55" s="2904"/>
      <c r="K55" s="2850"/>
      <c r="L55" s="2850"/>
      <c r="M55" s="2850"/>
      <c r="N55" s="2904"/>
      <c r="O55" s="2850"/>
      <c r="P55" s="2850"/>
      <c r="Q55" s="2850"/>
      <c r="R55" s="2904"/>
      <c r="S55" s="2850">
        <v>1</v>
      </c>
      <c r="T55" s="2850">
        <v>115089.1</v>
      </c>
      <c r="U55" s="2850">
        <v>115089.1</v>
      </c>
      <c r="V55" s="30"/>
      <c r="W55" s="2850">
        <v>3</v>
      </c>
      <c r="X55" s="2850">
        <v>319930.60000000003</v>
      </c>
      <c r="Y55" s="2850">
        <v>106643.53333333334</v>
      </c>
      <c r="Z55" s="2904"/>
      <c r="AA55" s="2850">
        <v>3</v>
      </c>
      <c r="AB55" s="2850">
        <v>319930.60000000003</v>
      </c>
      <c r="AC55" s="2850">
        <v>106643.53333333334</v>
      </c>
      <c r="AD55" s="30"/>
      <c r="AE55" s="2850">
        <v>3</v>
      </c>
      <c r="AF55" s="2850">
        <v>319930.60000000003</v>
      </c>
      <c r="AG55" s="2850">
        <v>106643.53333333334</v>
      </c>
      <c r="AH55" s="2549"/>
      <c r="AI55" s="2850">
        <v>3</v>
      </c>
      <c r="AJ55" s="2850">
        <v>373158.10000000003</v>
      </c>
      <c r="AK55" s="2850">
        <v>124386.03333333334</v>
      </c>
      <c r="AM55" s="2840">
        <v>2</v>
      </c>
      <c r="AN55" s="2840">
        <v>206995.29999999888</v>
      </c>
      <c r="AO55" s="2840">
        <v>103497.64999999944</v>
      </c>
    </row>
    <row r="56" spans="2:41">
      <c r="B56" s="2836" t="s">
        <v>1134</v>
      </c>
      <c r="C56" s="2840">
        <v>2</v>
      </c>
      <c r="D56" s="2840">
        <v>127471.6</v>
      </c>
      <c r="E56" s="2840">
        <v>63735.8</v>
      </c>
      <c r="G56" s="2840">
        <v>2</v>
      </c>
      <c r="H56" s="2840">
        <v>139067.9</v>
      </c>
      <c r="I56" s="2840">
        <v>69533.95</v>
      </c>
      <c r="J56" s="2904"/>
      <c r="K56" s="2840">
        <v>2</v>
      </c>
      <c r="L56" s="2840">
        <v>154357.5</v>
      </c>
      <c r="M56" s="2840">
        <v>77178.75</v>
      </c>
      <c r="N56" s="2904"/>
      <c r="O56" s="2840">
        <v>3</v>
      </c>
      <c r="P56" s="2840">
        <v>209687.5</v>
      </c>
      <c r="Q56" s="2840">
        <v>69895.833333333328</v>
      </c>
      <c r="R56" s="2904"/>
      <c r="S56" s="2840">
        <v>4</v>
      </c>
      <c r="T56" s="2840">
        <v>419140.10000000003</v>
      </c>
      <c r="U56" s="2840">
        <v>104785.02500000001</v>
      </c>
      <c r="V56" s="30"/>
      <c r="W56" s="2840">
        <v>4</v>
      </c>
      <c r="X56" s="2840">
        <v>456336.10000000003</v>
      </c>
      <c r="Y56" s="2840">
        <v>114084.02500000001</v>
      </c>
      <c r="Z56" s="2904"/>
      <c r="AA56" s="2840">
        <v>5</v>
      </c>
      <c r="AB56" s="2840">
        <v>544990</v>
      </c>
      <c r="AC56" s="2840">
        <v>108998</v>
      </c>
      <c r="AD56" s="30"/>
      <c r="AE56" s="2840">
        <v>6</v>
      </c>
      <c r="AF56" s="2840">
        <v>634626.20000000007</v>
      </c>
      <c r="AG56" s="2840">
        <v>105771.03333333334</v>
      </c>
      <c r="AH56" s="2549"/>
      <c r="AI56" s="2840">
        <v>6</v>
      </c>
      <c r="AJ56" s="2840">
        <v>646284.20000000007</v>
      </c>
      <c r="AK56" s="2840">
        <v>107714.03333333334</v>
      </c>
      <c r="AM56" s="2840">
        <v>7</v>
      </c>
      <c r="AN56" s="2840">
        <v>691704.39999999874</v>
      </c>
      <c r="AO56" s="2840">
        <v>98814.914285714112</v>
      </c>
    </row>
    <row r="57" spans="2:41" ht="28.8">
      <c r="B57" s="2841" t="s">
        <v>2096</v>
      </c>
      <c r="C57" s="2840"/>
      <c r="D57" s="2840"/>
      <c r="E57" s="2840"/>
      <c r="G57" s="2840"/>
      <c r="H57" s="2840"/>
      <c r="I57" s="2840"/>
      <c r="J57" s="2904"/>
      <c r="K57" s="2840"/>
      <c r="L57" s="2840"/>
      <c r="M57" s="2840"/>
      <c r="N57" s="2904"/>
      <c r="O57" s="2840"/>
      <c r="P57" s="2840"/>
      <c r="Q57" s="2840"/>
      <c r="R57" s="2904"/>
      <c r="S57" s="2840"/>
      <c r="T57" s="2840"/>
      <c r="U57" s="2840"/>
      <c r="V57" s="30"/>
      <c r="W57" s="2840">
        <v>1</v>
      </c>
      <c r="X57" s="2840">
        <v>40012</v>
      </c>
      <c r="Y57" s="2840">
        <v>40012</v>
      </c>
      <c r="Z57" s="2904"/>
      <c r="AA57" s="2840">
        <v>2</v>
      </c>
      <c r="AB57" s="2840">
        <v>120545.7</v>
      </c>
      <c r="AC57" s="2840">
        <v>60272.85</v>
      </c>
      <c r="AD57" s="30"/>
      <c r="AE57" s="2840">
        <v>3</v>
      </c>
      <c r="AF57" s="2840">
        <v>214278.7</v>
      </c>
      <c r="AG57" s="2840">
        <v>71426.233333333337</v>
      </c>
      <c r="AH57" s="2549"/>
      <c r="AI57" s="2840">
        <v>4</v>
      </c>
      <c r="AJ57" s="2840">
        <v>268015.2</v>
      </c>
      <c r="AK57" s="2840">
        <v>67003.8</v>
      </c>
      <c r="AM57" s="2840">
        <v>4</v>
      </c>
      <c r="AN57" s="2840">
        <v>400041.19999999984</v>
      </c>
      <c r="AO57" s="2840">
        <v>100010.29999999996</v>
      </c>
    </row>
    <row r="58" spans="2:41">
      <c r="B58" s="2838" t="s">
        <v>544</v>
      </c>
      <c r="C58" s="2839">
        <f>SUM(C56)</f>
        <v>2</v>
      </c>
      <c r="D58" s="2839">
        <f>SUM(D56)</f>
        <v>127471.6</v>
      </c>
      <c r="E58" s="2839">
        <f t="shared" si="0"/>
        <v>63735.8</v>
      </c>
      <c r="G58" s="2839">
        <f>SUM(G56)</f>
        <v>2</v>
      </c>
      <c r="H58" s="2839">
        <f>SUM(H56)</f>
        <v>139067.9</v>
      </c>
      <c r="I58" s="2839">
        <f>+H58/G58</f>
        <v>69533.95</v>
      </c>
      <c r="J58" s="2904"/>
      <c r="K58" s="2839">
        <f>SUM(K56)</f>
        <v>2</v>
      </c>
      <c r="L58" s="2839">
        <f>SUM(L56)</f>
        <v>154357.5</v>
      </c>
      <c r="M58" s="2839">
        <f>+L58/K58</f>
        <v>77178.75</v>
      </c>
      <c r="N58" s="2904"/>
      <c r="O58" s="2839">
        <f>SUM(O56)</f>
        <v>3</v>
      </c>
      <c r="P58" s="2839">
        <f>SUM(P56)</f>
        <v>209687.5</v>
      </c>
      <c r="Q58" s="2839">
        <f>+P58/O58</f>
        <v>69895.833333333328</v>
      </c>
      <c r="R58" s="2904"/>
      <c r="S58" s="2839">
        <v>5</v>
      </c>
      <c r="T58" s="2839">
        <v>534229.20000000007</v>
      </c>
      <c r="U58" s="2839">
        <v>106845.84000000001</v>
      </c>
      <c r="V58" s="30"/>
      <c r="W58" s="2839">
        <v>8</v>
      </c>
      <c r="X58" s="2839">
        <v>816278.70000000007</v>
      </c>
      <c r="Y58" s="2839">
        <v>102034.83750000001</v>
      </c>
      <c r="Z58" s="2904"/>
      <c r="AA58" s="2839">
        <v>10</v>
      </c>
      <c r="AB58" s="2839">
        <v>985466.3</v>
      </c>
      <c r="AC58" s="2839">
        <v>98546.63</v>
      </c>
      <c r="AD58" s="30"/>
      <c r="AE58" s="2839">
        <v>12</v>
      </c>
      <c r="AF58" s="2839">
        <v>1168835.5</v>
      </c>
      <c r="AG58" s="2839">
        <v>97402.958333333328</v>
      </c>
      <c r="AH58" s="2549"/>
      <c r="AI58" s="2839">
        <v>13</v>
      </c>
      <c r="AJ58" s="2839">
        <v>1287457.5</v>
      </c>
      <c r="AK58" s="2839">
        <v>99035.192307692312</v>
      </c>
      <c r="AM58" s="2839">
        <v>13</v>
      </c>
      <c r="AN58" s="2839">
        <v>1298740.8999999976</v>
      </c>
      <c r="AO58" s="2839">
        <v>99903.14615384597</v>
      </c>
    </row>
    <row r="59" spans="2:41">
      <c r="B59" s="2836" t="s">
        <v>1136</v>
      </c>
      <c r="C59" s="2840">
        <v>2</v>
      </c>
      <c r="D59" s="2840">
        <v>449666.35</v>
      </c>
      <c r="E59" s="2840">
        <v>224833.17499999999</v>
      </c>
      <c r="G59" s="2840">
        <v>2</v>
      </c>
      <c r="H59" s="2840">
        <v>449666.35</v>
      </c>
      <c r="I59" s="2840">
        <v>224833.17499999999</v>
      </c>
      <c r="J59" s="2904"/>
      <c r="K59" s="2840">
        <v>2</v>
      </c>
      <c r="L59" s="2840">
        <v>449666.35</v>
      </c>
      <c r="M59" s="2840">
        <v>224833.17499999999</v>
      </c>
      <c r="N59" s="2904"/>
      <c r="O59" s="2840">
        <v>5</v>
      </c>
      <c r="P59" s="2840">
        <v>606671.65</v>
      </c>
      <c r="Q59" s="2840">
        <v>121334.33</v>
      </c>
      <c r="R59" s="2904"/>
      <c r="S59" s="2840">
        <v>4</v>
      </c>
      <c r="T59" s="2840">
        <v>499267.65</v>
      </c>
      <c r="U59" s="2840">
        <v>124816.91250000001</v>
      </c>
      <c r="V59" s="30"/>
      <c r="W59" s="2840">
        <v>4</v>
      </c>
      <c r="X59" s="2840">
        <v>522547.35</v>
      </c>
      <c r="Y59" s="2840">
        <v>130636.83749999999</v>
      </c>
      <c r="Z59" s="2904"/>
      <c r="AA59" s="2840">
        <v>6</v>
      </c>
      <c r="AB59" s="2840">
        <v>793801.75000000012</v>
      </c>
      <c r="AC59" s="2840">
        <v>132300.29166666669</v>
      </c>
      <c r="AD59" s="30"/>
      <c r="AE59" s="2840">
        <v>9</v>
      </c>
      <c r="AF59" s="2840">
        <v>1100936.45</v>
      </c>
      <c r="AG59" s="2840">
        <v>122326.27222222222</v>
      </c>
      <c r="AH59" s="2549"/>
      <c r="AI59" s="2840">
        <v>10</v>
      </c>
      <c r="AJ59" s="2840">
        <v>1250633.8500000001</v>
      </c>
      <c r="AK59" s="2840">
        <v>125063.38500000001</v>
      </c>
      <c r="AM59" s="2840">
        <v>10</v>
      </c>
      <c r="AN59" s="2840">
        <v>1287576.1499999997</v>
      </c>
      <c r="AO59" s="2840">
        <v>128757.61499999996</v>
      </c>
    </row>
    <row r="60" spans="2:41">
      <c r="B60" s="2836" t="s">
        <v>1137</v>
      </c>
      <c r="C60" s="2840">
        <v>1</v>
      </c>
      <c r="D60" s="2840">
        <v>103378.25</v>
      </c>
      <c r="E60" s="2840">
        <v>103378.25</v>
      </c>
      <c r="G60" s="2840">
        <v>1</v>
      </c>
      <c r="H60" s="2840">
        <v>114910.75</v>
      </c>
      <c r="I60" s="2840">
        <v>114910.75</v>
      </c>
      <c r="J60" s="2904"/>
      <c r="K60" s="2840">
        <v>1</v>
      </c>
      <c r="L60" s="2840">
        <v>114910.75</v>
      </c>
      <c r="M60" s="2840">
        <v>114910.75</v>
      </c>
      <c r="N60" s="2904"/>
      <c r="O60" s="2840">
        <v>1</v>
      </c>
      <c r="P60" s="2840">
        <v>138253.15</v>
      </c>
      <c r="Q60" s="2840">
        <v>138253.15</v>
      </c>
      <c r="R60" s="2904"/>
      <c r="S60" s="2840">
        <v>1</v>
      </c>
      <c r="T60" s="2840">
        <v>138253.15</v>
      </c>
      <c r="U60" s="2840">
        <v>138253.15</v>
      </c>
      <c r="V60" s="30"/>
      <c r="W60" s="2840">
        <v>1</v>
      </c>
      <c r="X60" s="2840">
        <v>146460.65</v>
      </c>
      <c r="Y60" s="2840">
        <v>146460.65</v>
      </c>
      <c r="Z60" s="2904"/>
      <c r="AA60" s="2840">
        <v>2</v>
      </c>
      <c r="AB60" s="2840">
        <v>252306.15</v>
      </c>
      <c r="AC60" s="2840">
        <v>126153.075</v>
      </c>
      <c r="AD60" s="30"/>
      <c r="AE60" s="2840">
        <v>4</v>
      </c>
      <c r="AF60" s="2840">
        <v>508961.45</v>
      </c>
      <c r="AG60" s="2840">
        <v>127240.3625</v>
      </c>
      <c r="AH60" s="2549"/>
      <c r="AI60" s="2840">
        <v>4</v>
      </c>
      <c r="AJ60" s="2840">
        <v>541159.15</v>
      </c>
      <c r="AK60" s="2840">
        <v>135289.78750000001</v>
      </c>
      <c r="AM60" s="2840">
        <v>5</v>
      </c>
      <c r="AN60" s="2840">
        <v>835715.74999999895</v>
      </c>
      <c r="AO60" s="2840">
        <v>167143.14999999979</v>
      </c>
    </row>
    <row r="61" spans="2:41">
      <c r="B61" s="2836" t="s">
        <v>1128</v>
      </c>
      <c r="C61" s="2840"/>
      <c r="D61" s="2840"/>
      <c r="E61" s="2840"/>
      <c r="G61" s="2840"/>
      <c r="H61" s="2840"/>
      <c r="I61" s="2840"/>
      <c r="J61" s="2904"/>
      <c r="K61" s="2840"/>
      <c r="L61" s="2840"/>
      <c r="M61" s="2840"/>
      <c r="N61" s="2904"/>
      <c r="O61" s="2840"/>
      <c r="P61" s="2840"/>
      <c r="Q61" s="2840"/>
      <c r="R61" s="2904"/>
      <c r="S61" s="2840">
        <v>1</v>
      </c>
      <c r="T61" s="2840">
        <v>56272.1</v>
      </c>
      <c r="U61" s="2840">
        <v>56272.1</v>
      </c>
      <c r="V61" s="30"/>
      <c r="W61" s="2840">
        <v>1</v>
      </c>
      <c r="X61" s="2840">
        <v>56272.1</v>
      </c>
      <c r="Y61" s="2840">
        <v>56272.1</v>
      </c>
      <c r="Z61" s="2904"/>
      <c r="AA61" s="2840">
        <v>3</v>
      </c>
      <c r="AB61" s="2840">
        <v>265677.3</v>
      </c>
      <c r="AC61" s="2840">
        <v>88559.099999999991</v>
      </c>
      <c r="AD61" s="30"/>
      <c r="AE61" s="2840">
        <v>3</v>
      </c>
      <c r="AF61" s="2840">
        <v>289077.5</v>
      </c>
      <c r="AG61" s="2840">
        <v>96359.166666666672</v>
      </c>
      <c r="AH61" s="2549"/>
      <c r="AI61" s="2840">
        <v>4</v>
      </c>
      <c r="AJ61" s="2840">
        <v>347452.3</v>
      </c>
      <c r="AK61" s="2840">
        <v>86863.074999999997</v>
      </c>
      <c r="AM61" s="2840">
        <v>4</v>
      </c>
      <c r="AN61" s="2840">
        <v>407317.8</v>
      </c>
      <c r="AO61" s="2840">
        <v>101829.45</v>
      </c>
    </row>
    <row r="62" spans="2:41">
      <c r="B62" s="2838" t="s">
        <v>547</v>
      </c>
      <c r="C62" s="2839">
        <f>SUM(C59:C60)</f>
        <v>3</v>
      </c>
      <c r="D62" s="2839">
        <f>SUM(D59:D60)</f>
        <v>553044.6</v>
      </c>
      <c r="E62" s="2839">
        <f>+D62/C62</f>
        <v>184348.19999999998</v>
      </c>
      <c r="G62" s="2839">
        <f>SUM(G59:G60)</f>
        <v>3</v>
      </c>
      <c r="H62" s="2839">
        <f>SUM(H59:H60)</f>
        <v>564577.1</v>
      </c>
      <c r="I62" s="2839">
        <f>+H62/G62</f>
        <v>188192.36666666667</v>
      </c>
      <c r="J62" s="2904"/>
      <c r="K62" s="2839">
        <f>SUM(K59:K60)</f>
        <v>3</v>
      </c>
      <c r="L62" s="2839">
        <f>SUM(L59:L60)</f>
        <v>564577.1</v>
      </c>
      <c r="M62" s="2839">
        <f>+L62/K62</f>
        <v>188192.36666666667</v>
      </c>
      <c r="N62" s="2904"/>
      <c r="O62" s="2839">
        <f>SUM(O59:O60)</f>
        <v>6</v>
      </c>
      <c r="P62" s="2839">
        <f>SUM(P59:P60)</f>
        <v>744924.8</v>
      </c>
      <c r="Q62" s="2839">
        <f>+P62/O62</f>
        <v>124154.13333333335</v>
      </c>
      <c r="R62" s="2904"/>
      <c r="S62" s="2839">
        <v>6</v>
      </c>
      <c r="T62" s="2839">
        <v>693792.9</v>
      </c>
      <c r="U62" s="2839">
        <v>115632.15000000001</v>
      </c>
      <c r="V62" s="30"/>
      <c r="W62" s="2839">
        <v>6</v>
      </c>
      <c r="X62" s="2839">
        <v>725280.1</v>
      </c>
      <c r="Y62" s="2839">
        <v>120880.01666666666</v>
      </c>
      <c r="Z62" s="2904"/>
      <c r="AA62" s="2839">
        <v>11</v>
      </c>
      <c r="AB62" s="2839">
        <v>1311785.2000000002</v>
      </c>
      <c r="AC62" s="2839">
        <v>119253.20000000001</v>
      </c>
      <c r="AD62" s="30"/>
      <c r="AE62" s="2839">
        <v>16</v>
      </c>
      <c r="AF62" s="2839">
        <v>1898975.4</v>
      </c>
      <c r="AG62" s="2839">
        <v>118685.96249999999</v>
      </c>
      <c r="AH62" s="2549"/>
      <c r="AI62" s="2839">
        <v>18</v>
      </c>
      <c r="AJ62" s="2839">
        <v>2139245.2999999998</v>
      </c>
      <c r="AK62" s="2839">
        <v>118846.9611111111</v>
      </c>
      <c r="AM62" s="2839">
        <v>19</v>
      </c>
      <c r="AN62" s="2839">
        <v>2530609.6999999983</v>
      </c>
      <c r="AO62" s="2839">
        <v>133189.98421052622</v>
      </c>
    </row>
    <row r="63" spans="2:41">
      <c r="B63" s="1870" t="s">
        <v>1138</v>
      </c>
      <c r="C63" s="1870"/>
      <c r="D63" s="1870"/>
      <c r="E63" s="1870"/>
      <c r="G63" s="1870"/>
      <c r="H63" s="1870"/>
      <c r="I63" s="1870"/>
      <c r="J63" s="2904"/>
      <c r="K63" s="1870"/>
      <c r="L63" s="1870"/>
      <c r="M63" s="1870"/>
      <c r="N63" s="2904"/>
      <c r="O63" s="1870"/>
      <c r="P63" s="1870"/>
      <c r="Q63" s="1870"/>
      <c r="R63" s="2904"/>
      <c r="S63" s="1870"/>
      <c r="T63" s="1870"/>
      <c r="U63" s="1870"/>
      <c r="V63" s="30"/>
      <c r="W63" s="1870">
        <v>3</v>
      </c>
      <c r="X63" s="1870">
        <v>201046.59999999998</v>
      </c>
      <c r="Y63" s="1870">
        <v>67015.533333333326</v>
      </c>
      <c r="Z63" s="2904"/>
      <c r="AA63" s="1870">
        <v>5</v>
      </c>
      <c r="AB63" s="1870">
        <v>370079.69999999995</v>
      </c>
      <c r="AC63" s="1870">
        <v>74015.939999999988</v>
      </c>
      <c r="AD63" s="30"/>
      <c r="AE63" s="1870">
        <v>5</v>
      </c>
      <c r="AF63" s="1870">
        <v>402054.5</v>
      </c>
      <c r="AG63" s="1870">
        <v>80410.899999999994</v>
      </c>
      <c r="AH63" s="2549"/>
      <c r="AI63" s="1870">
        <v>6</v>
      </c>
      <c r="AJ63" s="1870">
        <v>532833</v>
      </c>
      <c r="AK63" s="1870">
        <v>88805.5</v>
      </c>
      <c r="AM63" s="5505">
        <v>10</v>
      </c>
      <c r="AN63" s="5505">
        <v>881583.99999999884</v>
      </c>
      <c r="AO63" s="5505">
        <v>88158.399999999878</v>
      </c>
    </row>
    <row r="64" spans="2:41">
      <c r="B64" s="1870" t="s">
        <v>1139</v>
      </c>
      <c r="C64" s="1870"/>
      <c r="D64" s="1870"/>
      <c r="E64" s="1870"/>
      <c r="G64" s="1870"/>
      <c r="H64" s="1870"/>
      <c r="I64" s="1870"/>
      <c r="J64" s="2904"/>
      <c r="K64" s="1870"/>
      <c r="L64" s="1870"/>
      <c r="M64" s="1870"/>
      <c r="N64" s="2904"/>
      <c r="O64" s="1870"/>
      <c r="P64" s="1870"/>
      <c r="Q64" s="1870"/>
      <c r="R64" s="2904"/>
      <c r="S64" s="1870"/>
      <c r="T64" s="1870"/>
      <c r="U64" s="1870"/>
      <c r="V64" s="30"/>
      <c r="W64" s="1870"/>
      <c r="X64" s="1870"/>
      <c r="Y64" s="1870"/>
      <c r="Z64" s="2904"/>
      <c r="AA64" s="1870"/>
      <c r="AB64" s="1870"/>
      <c r="AC64" s="1870"/>
      <c r="AD64" s="30"/>
      <c r="AE64" s="1870">
        <v>2</v>
      </c>
      <c r="AF64" s="1870">
        <v>144584.4</v>
      </c>
      <c r="AG64" s="1870">
        <v>72292.2</v>
      </c>
      <c r="AH64" s="2549"/>
      <c r="AI64" s="1870">
        <v>2</v>
      </c>
      <c r="AJ64" s="1870">
        <v>161267.4</v>
      </c>
      <c r="AK64" s="1870">
        <v>80633.7</v>
      </c>
      <c r="AM64" s="5505">
        <v>4</v>
      </c>
      <c r="AN64" s="5505">
        <v>291166.42499999993</v>
      </c>
      <c r="AO64" s="5505">
        <v>72791.606249999983</v>
      </c>
    </row>
    <row r="65" spans="2:41">
      <c r="B65" s="2836" t="s">
        <v>1140</v>
      </c>
      <c r="C65" s="2840">
        <v>1</v>
      </c>
      <c r="D65" s="2840">
        <v>256056.9</v>
      </c>
      <c r="E65" s="2840">
        <v>256056.9</v>
      </c>
      <c r="G65" s="2840">
        <v>1</v>
      </c>
      <c r="H65" s="2840">
        <v>280030.40000000002</v>
      </c>
      <c r="I65" s="2840">
        <v>280030.40000000002</v>
      </c>
      <c r="J65" s="2904"/>
      <c r="K65" s="2840">
        <v>1</v>
      </c>
      <c r="L65" s="2840">
        <v>300526.90000000002</v>
      </c>
      <c r="M65" s="2840">
        <v>300526.90000000002</v>
      </c>
      <c r="N65" s="2904"/>
      <c r="O65" s="2840">
        <v>1</v>
      </c>
      <c r="P65" s="2840">
        <v>318797.40000000002</v>
      </c>
      <c r="Q65" s="2840">
        <v>318797.40000000002</v>
      </c>
      <c r="R65" s="2904"/>
      <c r="S65" s="2840">
        <v>3</v>
      </c>
      <c r="T65" s="2840">
        <v>401010.9</v>
      </c>
      <c r="U65" s="2840">
        <v>133670.30000000002</v>
      </c>
      <c r="V65" s="30"/>
      <c r="W65" s="2840">
        <v>5</v>
      </c>
      <c r="X65" s="2840">
        <v>500027.6</v>
      </c>
      <c r="Y65" s="2840">
        <v>100005.51999999999</v>
      </c>
      <c r="Z65" s="2904"/>
      <c r="AA65" s="2840">
        <v>10</v>
      </c>
      <c r="AB65" s="2840">
        <v>888657.10000000009</v>
      </c>
      <c r="AC65" s="2840">
        <v>88865.71</v>
      </c>
      <c r="AD65" s="30"/>
      <c r="AE65" s="2840">
        <v>11</v>
      </c>
      <c r="AF65" s="2840">
        <v>1039987.1000000001</v>
      </c>
      <c r="AG65" s="2840">
        <v>94544.281818181829</v>
      </c>
      <c r="AH65" s="2549"/>
      <c r="AI65" s="2840">
        <v>11</v>
      </c>
      <c r="AJ65" s="2840">
        <v>1083411.1000000001</v>
      </c>
      <c r="AK65" s="2840">
        <v>98491.918181818197</v>
      </c>
      <c r="AM65" s="2840">
        <v>11</v>
      </c>
      <c r="AN65" s="2840">
        <v>1125602.0999999985</v>
      </c>
      <c r="AO65" s="2840">
        <v>102327.46363636349</v>
      </c>
    </row>
    <row r="66" spans="2:41">
      <c r="B66" s="2838" t="s">
        <v>545</v>
      </c>
      <c r="C66" s="2839">
        <f>SUM(C65)</f>
        <v>1</v>
      </c>
      <c r="D66" s="2839">
        <f>SUM(D65)</f>
        <v>256056.9</v>
      </c>
      <c r="E66" s="2839">
        <f>+D66/C66</f>
        <v>256056.9</v>
      </c>
      <c r="G66" s="2839">
        <f>SUM(G65)</f>
        <v>1</v>
      </c>
      <c r="H66" s="2839">
        <f>SUM(H65)</f>
        <v>280030.40000000002</v>
      </c>
      <c r="I66" s="2839">
        <f>+H66/G66</f>
        <v>280030.40000000002</v>
      </c>
      <c r="J66" s="2904"/>
      <c r="K66" s="2839">
        <f>SUM(K65)</f>
        <v>1</v>
      </c>
      <c r="L66" s="2839">
        <f>SUM(L65)</f>
        <v>300526.90000000002</v>
      </c>
      <c r="M66" s="2839">
        <f>+L66/K66</f>
        <v>300526.90000000002</v>
      </c>
      <c r="N66" s="2904"/>
      <c r="O66" s="2839">
        <f>SUM(O65)</f>
        <v>1</v>
      </c>
      <c r="P66" s="2839">
        <f>SUM(P65)</f>
        <v>318797.40000000002</v>
      </c>
      <c r="Q66" s="2839">
        <f>+P66/O66</f>
        <v>318797.40000000002</v>
      </c>
      <c r="R66" s="2904"/>
      <c r="S66" s="2839">
        <v>3</v>
      </c>
      <c r="T66" s="2839">
        <v>401010.9</v>
      </c>
      <c r="U66" s="2839">
        <v>133670.30000000002</v>
      </c>
      <c r="V66" s="30"/>
      <c r="W66" s="2839">
        <v>8</v>
      </c>
      <c r="X66" s="2839">
        <v>701074.2</v>
      </c>
      <c r="Y66" s="2839">
        <v>87634.274999999994</v>
      </c>
      <c r="Z66" s="2904"/>
      <c r="AA66" s="2839">
        <v>15</v>
      </c>
      <c r="AB66" s="2839">
        <v>1258736.8</v>
      </c>
      <c r="AC66" s="2839">
        <v>83915.786666666667</v>
      </c>
      <c r="AD66" s="30"/>
      <c r="AE66" s="2839">
        <v>18</v>
      </c>
      <c r="AF66" s="2839">
        <v>1586626</v>
      </c>
      <c r="AG66" s="2839">
        <v>88145.888888888891</v>
      </c>
      <c r="AH66" s="2549"/>
      <c r="AI66" s="2839">
        <v>19</v>
      </c>
      <c r="AJ66" s="2839">
        <v>1777511.5</v>
      </c>
      <c r="AK66" s="2839">
        <v>93553.236842105267</v>
      </c>
      <c r="AM66" s="2839">
        <v>25</v>
      </c>
      <c r="AN66" s="2839">
        <v>2298352.5249999976</v>
      </c>
      <c r="AO66" s="2839">
        <v>91934.100999999908</v>
      </c>
    </row>
    <row r="67" spans="2:41">
      <c r="B67" s="2853" t="s">
        <v>1158</v>
      </c>
      <c r="C67" s="2854">
        <f>SUM(C66,C62,C58)</f>
        <v>6</v>
      </c>
      <c r="D67" s="2854">
        <f>SUM(D66,D62,D58)</f>
        <v>936573.1</v>
      </c>
      <c r="E67" s="2854">
        <f>+D67/C67</f>
        <v>156095.51666666666</v>
      </c>
      <c r="G67" s="2854">
        <f>SUM(G66,G62,G58)</f>
        <v>6</v>
      </c>
      <c r="H67" s="2854">
        <f>SUM(H66,H62,H58)</f>
        <v>983675.4</v>
      </c>
      <c r="I67" s="2854">
        <f>+H67/G67</f>
        <v>163945.9</v>
      </c>
      <c r="J67" s="2904"/>
      <c r="K67" s="2854">
        <f>SUM(K66,K62,K58)</f>
        <v>6</v>
      </c>
      <c r="L67" s="2854">
        <f>SUM(L66,L62,L58)</f>
        <v>1019461.5</v>
      </c>
      <c r="M67" s="2854">
        <f>+L67/K67</f>
        <v>169910.25</v>
      </c>
      <c r="N67" s="2904"/>
      <c r="O67" s="2854">
        <f>SUM(O66,O62,O58)</f>
        <v>10</v>
      </c>
      <c r="P67" s="2854">
        <f>SUM(P66,P62,P58)</f>
        <v>1273409.7000000002</v>
      </c>
      <c r="Q67" s="2854">
        <f>+P67/O67</f>
        <v>127340.97000000002</v>
      </c>
      <c r="R67" s="2904"/>
      <c r="S67" s="2854">
        <v>14</v>
      </c>
      <c r="T67" s="2854">
        <v>1629033</v>
      </c>
      <c r="U67" s="2854">
        <v>116359.5</v>
      </c>
      <c r="V67" s="30"/>
      <c r="W67" s="2854">
        <v>22</v>
      </c>
      <c r="X67" s="2854">
        <v>2242633</v>
      </c>
      <c r="Y67" s="2854">
        <v>101937.86363636363</v>
      </c>
      <c r="Z67" s="2904"/>
      <c r="AA67" s="2854">
        <v>36</v>
      </c>
      <c r="AB67" s="2854">
        <v>3555988.3</v>
      </c>
      <c r="AC67" s="2854">
        <v>98777.452777777769</v>
      </c>
      <c r="AD67" s="30"/>
      <c r="AE67" s="2854">
        <v>46</v>
      </c>
      <c r="AF67" s="2854">
        <v>4654436.9000000004</v>
      </c>
      <c r="AG67" s="2854">
        <v>101183.41086956522</v>
      </c>
      <c r="AH67" s="2549"/>
      <c r="AI67" s="2854">
        <v>50</v>
      </c>
      <c r="AJ67" s="2854">
        <v>5204214.3</v>
      </c>
      <c r="AK67" s="2854">
        <v>104084.28599999999</v>
      </c>
      <c r="AM67" s="2854">
        <v>57</v>
      </c>
      <c r="AN67" s="2854">
        <v>6127703.1249999935</v>
      </c>
      <c r="AO67" s="2854">
        <v>107503.56359649112</v>
      </c>
    </row>
    <row r="68" spans="2:41">
      <c r="B68" s="2834" t="s">
        <v>1141</v>
      </c>
      <c r="C68" s="2835">
        <v>141</v>
      </c>
      <c r="D68" s="2844">
        <v>17705311.57643836</v>
      </c>
      <c r="E68" s="2844">
        <v>125569.58564849901</v>
      </c>
      <c r="G68" s="2835">
        <v>142</v>
      </c>
      <c r="H68" s="2844">
        <v>18700150.281438343</v>
      </c>
      <c r="I68" s="2844">
        <v>131691.19916505876</v>
      </c>
      <c r="J68" s="2904"/>
      <c r="K68" s="2835">
        <v>142</v>
      </c>
      <c r="L68" s="2844">
        <v>19489107.283356167</v>
      </c>
      <c r="M68" s="2844">
        <v>137247.23438983216</v>
      </c>
      <c r="N68" s="2904"/>
      <c r="O68" s="2835">
        <v>145</v>
      </c>
      <c r="P68" s="2844">
        <v>20661935.846506845</v>
      </c>
      <c r="Q68" s="2844">
        <v>142496.1092862541</v>
      </c>
      <c r="R68" s="2904"/>
      <c r="S68" s="2835">
        <v>145</v>
      </c>
      <c r="T68" s="2844">
        <v>21730972.44650685</v>
      </c>
      <c r="U68" s="2844">
        <v>149868.77549315069</v>
      </c>
      <c r="V68" s="30"/>
      <c r="W68" s="2835">
        <v>138</v>
      </c>
      <c r="X68" s="2844">
        <v>21957098.771339726</v>
      </c>
      <c r="Y68" s="2844">
        <v>160270.79395138487</v>
      </c>
      <c r="Z68" s="2904"/>
      <c r="AA68" s="2835">
        <v>137</v>
      </c>
      <c r="AB68" s="2844">
        <v>22516031.771339733</v>
      </c>
      <c r="AC68" s="2844">
        <v>164350.59687109294</v>
      </c>
      <c r="AD68" s="30"/>
      <c r="AE68" s="2835">
        <v>133</v>
      </c>
      <c r="AF68" s="2844">
        <v>23218916.971339729</v>
      </c>
      <c r="AG68" s="2844">
        <v>174578.3230927799</v>
      </c>
      <c r="AH68" s="2549"/>
      <c r="AI68" s="2835">
        <v>129</v>
      </c>
      <c r="AJ68" s="2844">
        <v>23747376.071339726</v>
      </c>
      <c r="AK68" s="2844">
        <v>184088.18659953275</v>
      </c>
      <c r="AM68" s="2835">
        <v>125</v>
      </c>
      <c r="AN68" s="2844">
        <v>23544371.376956142</v>
      </c>
      <c r="AO68" s="2844">
        <v>188354.97101564915</v>
      </c>
    </row>
    <row r="69" spans="2:41">
      <c r="B69" s="2836" t="s">
        <v>1142</v>
      </c>
      <c r="C69" s="2837">
        <v>46</v>
      </c>
      <c r="D69" s="2840">
        <v>5119595.7149999999</v>
      </c>
      <c r="E69" s="2840">
        <v>111295.55902173913</v>
      </c>
      <c r="G69" s="2837">
        <v>47</v>
      </c>
      <c r="H69" s="2840">
        <v>5464873.8149999995</v>
      </c>
      <c r="I69" s="2840">
        <v>116273.9109574468</v>
      </c>
      <c r="J69" s="2904"/>
      <c r="K69" s="2837">
        <v>47</v>
      </c>
      <c r="L69" s="2840">
        <v>5784046.6149999984</v>
      </c>
      <c r="M69" s="2840">
        <v>123064.82159574465</v>
      </c>
      <c r="N69" s="2904"/>
      <c r="O69" s="2837">
        <v>49</v>
      </c>
      <c r="P69" s="2840">
        <v>6187249.0150000015</v>
      </c>
      <c r="Q69" s="2840">
        <v>126270.38806122453</v>
      </c>
      <c r="R69" s="2904"/>
      <c r="S69" s="2837">
        <v>49</v>
      </c>
      <c r="T69" s="2840">
        <v>6448820.9150000019</v>
      </c>
      <c r="U69" s="2840">
        <v>131608.59010204085</v>
      </c>
      <c r="V69" s="30"/>
      <c r="W69" s="2837">
        <v>49</v>
      </c>
      <c r="X69" s="2840">
        <v>6953648.1149999993</v>
      </c>
      <c r="Y69" s="2840">
        <v>141911.18602040815</v>
      </c>
      <c r="Z69" s="2904"/>
      <c r="AA69" s="2837">
        <v>48</v>
      </c>
      <c r="AB69" s="2840">
        <v>7171722.9650000017</v>
      </c>
      <c r="AC69" s="2840">
        <v>149410.8951041667</v>
      </c>
      <c r="AD69" s="30"/>
      <c r="AE69" s="2837">
        <v>49</v>
      </c>
      <c r="AF69" s="2840">
        <v>7529284.4649999999</v>
      </c>
      <c r="AG69" s="2840">
        <v>153658.86663265305</v>
      </c>
      <c r="AH69" s="2549"/>
      <c r="AI69" s="2837">
        <v>49</v>
      </c>
      <c r="AJ69" s="2840">
        <v>7879284.7650000015</v>
      </c>
      <c r="AK69" s="2840">
        <v>160801.72989795922</v>
      </c>
      <c r="AM69" s="2837">
        <v>49</v>
      </c>
      <c r="AN69" s="2840">
        <v>8071697.4649999859</v>
      </c>
      <c r="AO69" s="2840">
        <v>164728.51969387726</v>
      </c>
    </row>
    <row r="70" spans="2:41">
      <c r="B70" s="2836" t="s">
        <v>1143</v>
      </c>
      <c r="C70" s="2837">
        <v>81</v>
      </c>
      <c r="D70" s="2840">
        <v>11904433.805000003</v>
      </c>
      <c r="E70" s="2840">
        <v>146968.31858024697</v>
      </c>
      <c r="G70" s="2837">
        <v>82</v>
      </c>
      <c r="H70" s="2840">
        <v>12621762.880000003</v>
      </c>
      <c r="I70" s="2840">
        <v>153923.93756097564</v>
      </c>
      <c r="J70" s="2904"/>
      <c r="K70" s="2837">
        <v>85</v>
      </c>
      <c r="L70" s="2840">
        <v>13520323.580000004</v>
      </c>
      <c r="M70" s="2840">
        <v>159062.63035294123</v>
      </c>
      <c r="N70" s="2904"/>
      <c r="O70" s="2837">
        <v>86</v>
      </c>
      <c r="P70" s="2840">
        <v>14338137.380000001</v>
      </c>
      <c r="Q70" s="2840">
        <v>166722.52767441861</v>
      </c>
      <c r="R70" s="2904"/>
      <c r="S70" s="2837">
        <v>88</v>
      </c>
      <c r="T70" s="2840">
        <v>15288830.48</v>
      </c>
      <c r="U70" s="2840">
        <v>173736.71</v>
      </c>
      <c r="V70" s="30"/>
      <c r="W70" s="2837">
        <v>91</v>
      </c>
      <c r="X70" s="2840">
        <v>16013987.279999999</v>
      </c>
      <c r="Y70" s="2840">
        <v>175977.88219780219</v>
      </c>
      <c r="Z70" s="2904"/>
      <c r="AA70" s="2837">
        <v>89</v>
      </c>
      <c r="AB70" s="2840">
        <v>16321457.079999994</v>
      </c>
      <c r="AC70" s="2840">
        <v>183387.15820224714</v>
      </c>
      <c r="AD70" s="30"/>
      <c r="AE70" s="2837">
        <v>89</v>
      </c>
      <c r="AF70" s="2840">
        <v>16743771.379999993</v>
      </c>
      <c r="AG70" s="2840">
        <v>188132.26269662913</v>
      </c>
      <c r="AH70" s="2549"/>
      <c r="AI70" s="2837">
        <v>85</v>
      </c>
      <c r="AJ70" s="2840">
        <v>16454548.079999996</v>
      </c>
      <c r="AK70" s="2840">
        <v>193582.91858823525</v>
      </c>
      <c r="AM70" s="2837">
        <v>82</v>
      </c>
      <c r="AN70" s="2840">
        <v>16487393.929999972</v>
      </c>
      <c r="AO70" s="2840">
        <v>201065.77963414599</v>
      </c>
    </row>
    <row r="71" spans="2:41">
      <c r="B71" s="2836" t="s">
        <v>1144</v>
      </c>
      <c r="C71" s="2837">
        <v>68</v>
      </c>
      <c r="D71" s="2840">
        <v>9853319.5600000024</v>
      </c>
      <c r="E71" s="2840">
        <v>144901.75823529414</v>
      </c>
      <c r="G71" s="2837">
        <v>70</v>
      </c>
      <c r="H71" s="2840">
        <v>10480712.02</v>
      </c>
      <c r="I71" s="2840">
        <v>149724.45742857142</v>
      </c>
      <c r="J71" s="2904"/>
      <c r="K71" s="2837">
        <v>71</v>
      </c>
      <c r="L71" s="2840">
        <v>11091493.620000003</v>
      </c>
      <c r="M71" s="2840">
        <v>156218.22000000003</v>
      </c>
      <c r="N71" s="2904"/>
      <c r="O71" s="2837">
        <v>75</v>
      </c>
      <c r="P71" s="2840">
        <v>11938856.020000001</v>
      </c>
      <c r="Q71" s="2840">
        <v>159184.74693333334</v>
      </c>
      <c r="R71" s="2904"/>
      <c r="S71" s="2837">
        <v>72</v>
      </c>
      <c r="T71" s="2840">
        <v>11915624.120000003</v>
      </c>
      <c r="U71" s="2840">
        <v>165494.77944444449</v>
      </c>
      <c r="V71" s="30"/>
      <c r="W71" s="2837">
        <v>73</v>
      </c>
      <c r="X71" s="2840">
        <v>12445513.970000001</v>
      </c>
      <c r="Y71" s="2840">
        <v>170486.49273972603</v>
      </c>
      <c r="Z71" s="2904"/>
      <c r="AA71" s="2837">
        <v>69</v>
      </c>
      <c r="AB71" s="2840">
        <v>12375825.620000003</v>
      </c>
      <c r="AC71" s="2840">
        <v>179359.79159420295</v>
      </c>
      <c r="AD71" s="30"/>
      <c r="AE71" s="2837">
        <v>67</v>
      </c>
      <c r="AF71" s="2840">
        <v>12502507.320000008</v>
      </c>
      <c r="AG71" s="2840">
        <v>186604.58686567176</v>
      </c>
      <c r="AH71" s="2549"/>
      <c r="AI71" s="2837">
        <v>66</v>
      </c>
      <c r="AJ71" s="2840">
        <v>12428010.120000005</v>
      </c>
      <c r="AK71" s="2840">
        <v>188303.18363636371</v>
      </c>
      <c r="AM71" s="2837">
        <v>63</v>
      </c>
      <c r="AN71" s="2840">
        <v>11754800.219999984</v>
      </c>
      <c r="AO71" s="2840">
        <v>186584.13047619021</v>
      </c>
    </row>
    <row r="72" spans="2:41">
      <c r="B72" s="2838" t="s">
        <v>547</v>
      </c>
      <c r="C72" s="2839">
        <f>SUM(C68:C71)</f>
        <v>336</v>
      </c>
      <c r="D72" s="2839">
        <f>SUM(D68:D71)</f>
        <v>44582660.656438366</v>
      </c>
      <c r="E72" s="2839">
        <f>+D72/C72</f>
        <v>132686.4900489237</v>
      </c>
      <c r="G72" s="2839">
        <f>SUM(G68:G71)</f>
        <v>341</v>
      </c>
      <c r="H72" s="2839">
        <f>SUM(H68:H71)</f>
        <v>47267498.996438339</v>
      </c>
      <c r="I72" s="2839">
        <f>+H72/G72</f>
        <v>138614.36655847021</v>
      </c>
      <c r="J72" s="2904"/>
      <c r="K72" s="2839">
        <f>SUM(K68:K71)</f>
        <v>345</v>
      </c>
      <c r="L72" s="2839">
        <f>SUM(L68:L71)</f>
        <v>49884971.098356172</v>
      </c>
      <c r="M72" s="2839">
        <f>+L72/K72</f>
        <v>144594.11912567005</v>
      </c>
      <c r="N72" s="2904"/>
      <c r="O72" s="2839">
        <f>SUM(O68:O71)</f>
        <v>355</v>
      </c>
      <c r="P72" s="2839">
        <f>SUM(P68:P71)</f>
        <v>53126178.261506848</v>
      </c>
      <c r="Q72" s="2839">
        <f>+P72/O72</f>
        <v>149651.20637044183</v>
      </c>
      <c r="R72" s="2904"/>
      <c r="S72" s="2839">
        <f>SUM(S68:S71)</f>
        <v>354</v>
      </c>
      <c r="T72" s="2839">
        <f>SUM(T68:T71)</f>
        <v>55384247.961506858</v>
      </c>
      <c r="U72" s="2839">
        <f>+T72/S72</f>
        <v>156452.677857364</v>
      </c>
      <c r="V72" s="30"/>
      <c r="W72" s="2839">
        <v>351</v>
      </c>
      <c r="X72" s="2839">
        <v>57370248.136339724</v>
      </c>
      <c r="Y72" s="2839">
        <v>163448.00038843227</v>
      </c>
      <c r="Z72" s="2904"/>
      <c r="AA72" s="2839">
        <v>343</v>
      </c>
      <c r="AB72" s="2839">
        <v>58385037.436339736</v>
      </c>
      <c r="AC72" s="2839">
        <v>170218.7680359759</v>
      </c>
      <c r="AD72" s="30"/>
      <c r="AE72" s="2839">
        <v>338</v>
      </c>
      <c r="AF72" s="2839">
        <v>59994480.136339732</v>
      </c>
      <c r="AG72" s="2839">
        <v>177498.46194183352</v>
      </c>
      <c r="AH72" s="2549"/>
      <c r="AI72" s="2839">
        <v>329</v>
      </c>
      <c r="AJ72" s="2839">
        <v>60509219.03633973</v>
      </c>
      <c r="AK72" s="2839">
        <v>183918.59889464962</v>
      </c>
      <c r="AM72" s="2839">
        <v>319</v>
      </c>
      <c r="AN72" s="2839">
        <v>59858262.991956085</v>
      </c>
      <c r="AO72" s="2839">
        <v>187643.45765503476</v>
      </c>
    </row>
    <row r="73" spans="2:41">
      <c r="B73" s="2836" t="s">
        <v>1145</v>
      </c>
      <c r="C73" s="2837">
        <v>137</v>
      </c>
      <c r="D73" s="2840">
        <v>19722460.058818497</v>
      </c>
      <c r="E73" s="2840">
        <v>143959.56247312771</v>
      </c>
      <c r="G73" s="2837">
        <v>140</v>
      </c>
      <c r="H73" s="2840">
        <v>20946604.161695205</v>
      </c>
      <c r="I73" s="2840">
        <v>149618.60115496576</v>
      </c>
      <c r="J73" s="2904"/>
      <c r="K73" s="2837">
        <v>143</v>
      </c>
      <c r="L73" s="2840">
        <v>22186027.663476035</v>
      </c>
      <c r="M73" s="2840">
        <v>155147.0465977345</v>
      </c>
      <c r="N73" s="2904"/>
      <c r="O73" s="2837">
        <v>145</v>
      </c>
      <c r="P73" s="2840">
        <v>23398286.763476018</v>
      </c>
      <c r="Q73" s="2840">
        <v>161367.49492052427</v>
      </c>
      <c r="R73" s="2904"/>
      <c r="S73" s="2837">
        <v>144</v>
      </c>
      <c r="T73" s="2840">
        <v>24197367.463476039</v>
      </c>
      <c r="U73" s="2840">
        <v>168037.27405191693</v>
      </c>
      <c r="V73" s="30"/>
      <c r="W73" s="2837">
        <v>143</v>
      </c>
      <c r="X73" s="2840">
        <v>24720364.363476049</v>
      </c>
      <c r="Y73" s="2840">
        <v>172869.68086346888</v>
      </c>
      <c r="Z73" s="2904"/>
      <c r="AA73" s="2837">
        <v>136</v>
      </c>
      <c r="AB73" s="2840">
        <v>24285781.560976043</v>
      </c>
      <c r="AC73" s="2840">
        <v>178571.92324247092</v>
      </c>
      <c r="AD73" s="30"/>
      <c r="AE73" s="2837">
        <v>136</v>
      </c>
      <c r="AF73" s="2840">
        <v>25109645.746866453</v>
      </c>
      <c r="AG73" s="2840">
        <v>184629.74813872392</v>
      </c>
      <c r="AH73" s="2549"/>
      <c r="AI73" s="2837">
        <v>130</v>
      </c>
      <c r="AJ73" s="2840">
        <v>24027714.876866445</v>
      </c>
      <c r="AK73" s="2840">
        <v>184828.57597589574</v>
      </c>
      <c r="AM73" s="2837">
        <v>131</v>
      </c>
      <c r="AN73" s="2840">
        <v>24865143.836866405</v>
      </c>
      <c r="AO73" s="2840">
        <v>189810.25829669012</v>
      </c>
    </row>
    <row r="74" spans="2:41">
      <c r="B74" s="2836" t="s">
        <v>1146</v>
      </c>
      <c r="C74" s="2837">
        <v>87</v>
      </c>
      <c r="D74" s="2840">
        <v>11270000.125000002</v>
      </c>
      <c r="E74" s="2840">
        <v>129540.23132183909</v>
      </c>
      <c r="F74" s="2904"/>
      <c r="G74" s="2837">
        <v>91</v>
      </c>
      <c r="H74" s="2840">
        <v>12070575.725000001</v>
      </c>
      <c r="I74" s="2840">
        <v>132643.6892857143</v>
      </c>
      <c r="J74" s="2904"/>
      <c r="K74" s="2837">
        <v>95</v>
      </c>
      <c r="L74" s="2840">
        <v>12860091.520000001</v>
      </c>
      <c r="M74" s="2840">
        <v>135369.38442105264</v>
      </c>
      <c r="N74" s="2904"/>
      <c r="O74" s="2837">
        <v>95</v>
      </c>
      <c r="P74" s="2840">
        <v>13721708.220000001</v>
      </c>
      <c r="Q74" s="2840">
        <v>144439.03389473684</v>
      </c>
      <c r="R74" s="2904"/>
      <c r="S74" s="2837">
        <v>96</v>
      </c>
      <c r="T74" s="2840">
        <v>14438349.420000009</v>
      </c>
      <c r="U74" s="2840">
        <v>150399.47312500011</v>
      </c>
      <c r="V74" s="30"/>
      <c r="W74" s="2837">
        <v>95</v>
      </c>
      <c r="X74" s="2840">
        <v>15047555.320000008</v>
      </c>
      <c r="Y74" s="2840">
        <v>158395.31915789482</v>
      </c>
      <c r="Z74" s="2904"/>
      <c r="AA74" s="2837">
        <v>93</v>
      </c>
      <c r="AB74" s="2840">
        <v>15524865.020000007</v>
      </c>
      <c r="AC74" s="2840">
        <v>166934.03247311836</v>
      </c>
      <c r="AD74" s="30"/>
      <c r="AE74" s="2837">
        <v>94</v>
      </c>
      <c r="AF74" s="2840">
        <v>16173882.719999999</v>
      </c>
      <c r="AG74" s="2840">
        <v>172062.58212765955</v>
      </c>
      <c r="AH74" s="2549"/>
      <c r="AI74" s="2837">
        <v>89</v>
      </c>
      <c r="AJ74" s="2840">
        <v>15786001.520000001</v>
      </c>
      <c r="AK74" s="2840">
        <v>177370.80359550563</v>
      </c>
      <c r="AM74" s="2837">
        <v>88</v>
      </c>
      <c r="AN74" s="2840">
        <v>16124639.319999967</v>
      </c>
      <c r="AO74" s="2840">
        <v>183234.53772727234</v>
      </c>
    </row>
    <row r="75" spans="2:41">
      <c r="B75" s="2836" t="s">
        <v>1147</v>
      </c>
      <c r="C75" s="2837">
        <v>68</v>
      </c>
      <c r="D75" s="2840">
        <v>11343433.489999993</v>
      </c>
      <c r="E75" s="2840">
        <v>166815.19838235283</v>
      </c>
      <c r="F75" s="2904"/>
      <c r="G75" s="2837">
        <v>70</v>
      </c>
      <c r="H75" s="2840">
        <v>12136492.690000003</v>
      </c>
      <c r="I75" s="2840">
        <v>173378.46700000003</v>
      </c>
      <c r="J75" s="2904"/>
      <c r="K75" s="2837">
        <v>73</v>
      </c>
      <c r="L75" s="2840">
        <v>12794947.790000003</v>
      </c>
      <c r="M75" s="2840">
        <v>175273.25739726031</v>
      </c>
      <c r="N75" s="2904"/>
      <c r="O75" s="2837">
        <v>75</v>
      </c>
      <c r="P75" s="2840">
        <v>13308154.189999998</v>
      </c>
      <c r="Q75" s="2840">
        <v>177442.05586666663</v>
      </c>
      <c r="R75" s="2904"/>
      <c r="S75" s="2837">
        <v>72</v>
      </c>
      <c r="T75" s="2840">
        <v>13398522.189999992</v>
      </c>
      <c r="U75" s="2840">
        <v>186090.58597222212</v>
      </c>
      <c r="V75" s="30"/>
      <c r="W75" s="2837">
        <v>75</v>
      </c>
      <c r="X75" s="2840">
        <v>14251394.99</v>
      </c>
      <c r="Y75" s="2840">
        <v>190018.59986666666</v>
      </c>
      <c r="Z75" s="2904"/>
      <c r="AA75" s="2837">
        <v>75</v>
      </c>
      <c r="AB75" s="2840">
        <v>14878919.290000001</v>
      </c>
      <c r="AC75" s="2840">
        <v>198385.59053333334</v>
      </c>
      <c r="AD75" s="30"/>
      <c r="AE75" s="2837">
        <v>73</v>
      </c>
      <c r="AF75" s="2840">
        <v>14599798.989999993</v>
      </c>
      <c r="AG75" s="2840">
        <v>199997.24643835606</v>
      </c>
      <c r="AH75" s="2549"/>
      <c r="AI75" s="2837">
        <v>69</v>
      </c>
      <c r="AJ75" s="2840">
        <v>14540421.18999999</v>
      </c>
      <c r="AK75" s="2840">
        <v>210730.74188405782</v>
      </c>
      <c r="AM75" s="2837">
        <v>69</v>
      </c>
      <c r="AN75" s="2840">
        <v>14909043.440684903</v>
      </c>
      <c r="AO75" s="2840">
        <v>216073.09334325948</v>
      </c>
    </row>
    <row r="76" spans="2:41">
      <c r="B76" s="2836" t="s">
        <v>1148</v>
      </c>
      <c r="C76" s="2837">
        <v>59</v>
      </c>
      <c r="D76" s="2840">
        <v>7004724.8400000008</v>
      </c>
      <c r="E76" s="2840">
        <v>118724.14983050848</v>
      </c>
      <c r="F76" s="2904"/>
      <c r="G76" s="2837">
        <v>59</v>
      </c>
      <c r="H76" s="2840">
        <v>7315226.665000001</v>
      </c>
      <c r="I76" s="2840">
        <v>123986.89262711866</v>
      </c>
      <c r="J76" s="2904"/>
      <c r="K76" s="2837">
        <v>60</v>
      </c>
      <c r="L76" s="2840">
        <v>7760827.8650000002</v>
      </c>
      <c r="M76" s="2840">
        <v>129347.13108333334</v>
      </c>
      <c r="N76" s="2904"/>
      <c r="O76" s="2837">
        <v>60</v>
      </c>
      <c r="P76" s="2840">
        <v>8201240.5649999958</v>
      </c>
      <c r="Q76" s="2840">
        <v>136687.34274999992</v>
      </c>
      <c r="R76" s="2904"/>
      <c r="S76" s="2837">
        <v>59</v>
      </c>
      <c r="T76" s="2840">
        <v>8355082.4649999999</v>
      </c>
      <c r="U76" s="2840">
        <v>141611.56720338983</v>
      </c>
      <c r="V76" s="30"/>
      <c r="W76" s="2837">
        <v>55</v>
      </c>
      <c r="X76" s="2840">
        <v>8192375.4622602724</v>
      </c>
      <c r="Y76" s="2840">
        <v>148952.28113200495</v>
      </c>
      <c r="Z76" s="2904"/>
      <c r="AA76" s="2837">
        <v>56</v>
      </c>
      <c r="AB76" s="2840">
        <v>8761807.262260275</v>
      </c>
      <c r="AC76" s="2840">
        <v>156460.84396893348</v>
      </c>
      <c r="AD76" s="30"/>
      <c r="AE76" s="2837">
        <v>55</v>
      </c>
      <c r="AF76" s="2840">
        <v>9083422.3622602727</v>
      </c>
      <c r="AG76" s="2840">
        <v>165153.13385927767</v>
      </c>
      <c r="AH76" s="2549"/>
      <c r="AI76" s="2837">
        <v>52</v>
      </c>
      <c r="AJ76" s="2840">
        <v>9219091.3622602746</v>
      </c>
      <c r="AK76" s="2840">
        <v>177290.21850500529</v>
      </c>
      <c r="AM76" s="2837">
        <v>53</v>
      </c>
      <c r="AN76" s="2840">
        <v>9260405.5649999902</v>
      </c>
      <c r="AO76" s="2840">
        <v>174724.63330188661</v>
      </c>
    </row>
    <row r="77" spans="2:41">
      <c r="B77" s="2838" t="s">
        <v>545</v>
      </c>
      <c r="C77" s="2839">
        <f>SUM(C73:C76)</f>
        <v>351</v>
      </c>
      <c r="D77" s="2839">
        <f>SUM(D73:D76)</f>
        <v>49340618.513818495</v>
      </c>
      <c r="E77" s="2839">
        <f>+D77/C77</f>
        <v>140571.5627174316</v>
      </c>
      <c r="F77" s="2904"/>
      <c r="G77" s="2839">
        <f>SUM(G73:G76)</f>
        <v>360</v>
      </c>
      <c r="H77" s="2839">
        <f>SUM(H73:H76)</f>
        <v>52468899.24169521</v>
      </c>
      <c r="I77" s="2839">
        <f>+H77/G77</f>
        <v>145746.94233804225</v>
      </c>
      <c r="J77" s="2904"/>
      <c r="K77" s="2839">
        <f>SUM(K73:K76)</f>
        <v>371</v>
      </c>
      <c r="L77" s="2839">
        <f>SUM(L73:L76)</f>
        <v>55601894.838476039</v>
      </c>
      <c r="M77" s="2839">
        <f>+L77/K77</f>
        <v>149870.33649184916</v>
      </c>
      <c r="N77" s="2904"/>
      <c r="O77" s="2839">
        <f>SUM(O73:O76)</f>
        <v>375</v>
      </c>
      <c r="P77" s="2839">
        <f>SUM(P73:P76)</f>
        <v>58629389.738476016</v>
      </c>
      <c r="Q77" s="2839">
        <f>+P77/O77</f>
        <v>156345.0393026027</v>
      </c>
      <c r="R77" s="2904"/>
      <c r="S77" s="2839">
        <f>SUM(S73:S76)</f>
        <v>371</v>
      </c>
      <c r="T77" s="2839">
        <f>SUM(T73:T76)</f>
        <v>60389321.538476035</v>
      </c>
      <c r="U77" s="2839">
        <f>+T77/S77</f>
        <v>162774.45158618878</v>
      </c>
      <c r="V77" s="30"/>
      <c r="W77" s="2839">
        <v>368</v>
      </c>
      <c r="X77" s="2839">
        <v>62211690.135736331</v>
      </c>
      <c r="Y77" s="2839">
        <v>169053.50580363133</v>
      </c>
      <c r="Z77" s="2904"/>
      <c r="AA77" s="2839">
        <v>360</v>
      </c>
      <c r="AB77" s="2839">
        <v>63451373.133236326</v>
      </c>
      <c r="AC77" s="2839">
        <v>176253.81425898979</v>
      </c>
      <c r="AD77" s="30"/>
      <c r="AE77" s="2839">
        <v>358</v>
      </c>
      <c r="AF77" s="2839">
        <v>64966749.819126718</v>
      </c>
      <c r="AG77" s="2839">
        <v>181471.36820985118</v>
      </c>
      <c r="AH77" s="2549"/>
      <c r="AI77" s="2839">
        <v>340</v>
      </c>
      <c r="AJ77" s="2839">
        <v>63573228.949126713</v>
      </c>
      <c r="AK77" s="2839">
        <v>186980.08514449032</v>
      </c>
      <c r="AM77" s="2839">
        <v>341</v>
      </c>
      <c r="AN77" s="2839">
        <v>65159232.162551261</v>
      </c>
      <c r="AO77" s="2839">
        <v>191082.79226554622</v>
      </c>
    </row>
    <row r="78" spans="2:41">
      <c r="B78" s="2836" t="s">
        <v>1149</v>
      </c>
      <c r="C78" s="2837">
        <v>32</v>
      </c>
      <c r="D78" s="2837">
        <v>5102996.7431506841</v>
      </c>
      <c r="E78" s="2837">
        <v>159468.64822345888</v>
      </c>
      <c r="F78" s="2904"/>
      <c r="G78" s="2837">
        <v>32</v>
      </c>
      <c r="H78" s="2837">
        <v>5381605.8431506855</v>
      </c>
      <c r="I78" s="2837">
        <v>168175.18259845892</v>
      </c>
      <c r="J78" s="2904"/>
      <c r="K78" s="2837">
        <v>32</v>
      </c>
      <c r="L78" s="2837">
        <v>5610612.1499999994</v>
      </c>
      <c r="M78" s="2837">
        <v>175331.62968749998</v>
      </c>
      <c r="N78" s="2904"/>
      <c r="O78" s="2837">
        <v>32</v>
      </c>
      <c r="P78" s="2837">
        <v>5905182.75</v>
      </c>
      <c r="Q78" s="2837">
        <v>184536.9609375</v>
      </c>
      <c r="R78" s="2904"/>
      <c r="S78" s="2837">
        <v>32</v>
      </c>
      <c r="T78" s="2837">
        <v>6633867.6000000015</v>
      </c>
      <c r="U78" s="2837">
        <v>207308.36250000005</v>
      </c>
      <c r="V78" s="30"/>
      <c r="W78" s="2837">
        <v>31</v>
      </c>
      <c r="X78" s="2837">
        <v>6586272.8000000007</v>
      </c>
      <c r="Y78" s="2837">
        <v>212460.41290322584</v>
      </c>
      <c r="Z78" s="2904"/>
      <c r="AA78" s="2837">
        <v>31</v>
      </c>
      <c r="AB78" s="2837">
        <v>6311810.6699999999</v>
      </c>
      <c r="AC78" s="2837">
        <v>203606.79580645161</v>
      </c>
      <c r="AD78" s="30"/>
      <c r="AE78" s="2837">
        <v>31</v>
      </c>
      <c r="AF78" s="2837">
        <v>6537723.2699999996</v>
      </c>
      <c r="AG78" s="2837">
        <v>210894.29903225804</v>
      </c>
      <c r="AH78" s="2549"/>
      <c r="AI78" s="2837">
        <v>32</v>
      </c>
      <c r="AJ78" s="2837">
        <v>6729473.0700000003</v>
      </c>
      <c r="AK78" s="2837">
        <v>210296.03343750001</v>
      </c>
      <c r="AM78" s="2837">
        <v>31</v>
      </c>
      <c r="AN78" s="2837">
        <v>6419684.4199999906</v>
      </c>
      <c r="AO78" s="2837">
        <v>207086.59419354808</v>
      </c>
    </row>
    <row r="79" spans="2:41">
      <c r="B79" s="2836" t="s">
        <v>1150</v>
      </c>
      <c r="C79" s="2837">
        <v>40</v>
      </c>
      <c r="D79" s="2837">
        <v>6050772.1799999997</v>
      </c>
      <c r="E79" s="2837">
        <v>151269.3045</v>
      </c>
      <c r="F79" s="2904"/>
      <c r="G79" s="2837">
        <v>40</v>
      </c>
      <c r="H79" s="2837">
        <v>6272357.5799999991</v>
      </c>
      <c r="I79" s="2837">
        <v>156808.93949999998</v>
      </c>
      <c r="J79" s="2904"/>
      <c r="K79" s="2837">
        <v>41</v>
      </c>
      <c r="L79" s="2837">
        <v>6536919.6799999997</v>
      </c>
      <c r="M79" s="2837">
        <v>159437.06536585366</v>
      </c>
      <c r="N79" s="2904"/>
      <c r="O79" s="2837">
        <v>41</v>
      </c>
      <c r="P79" s="2837">
        <v>6803959.6799999978</v>
      </c>
      <c r="Q79" s="2837">
        <v>165950.23609756093</v>
      </c>
      <c r="R79" s="2904"/>
      <c r="S79" s="2837">
        <v>42</v>
      </c>
      <c r="T79" s="2837">
        <v>6609664.3300000001</v>
      </c>
      <c r="U79" s="2837">
        <v>157372.96023809523</v>
      </c>
      <c r="V79" s="30"/>
      <c r="W79" s="2837">
        <v>40</v>
      </c>
      <c r="X79" s="2837">
        <v>6759661.5299999993</v>
      </c>
      <c r="Y79" s="2837">
        <v>168991.53824999998</v>
      </c>
      <c r="Z79" s="2904"/>
      <c r="AA79" s="2837">
        <v>37</v>
      </c>
      <c r="AB79" s="2837">
        <v>6644656.8300000001</v>
      </c>
      <c r="AC79" s="2837">
        <v>179585.31972972973</v>
      </c>
      <c r="AD79" s="30"/>
      <c r="AE79" s="2837">
        <v>37</v>
      </c>
      <c r="AF79" s="2837">
        <v>6864462.5300000003</v>
      </c>
      <c r="AG79" s="2837">
        <v>185526.01432432432</v>
      </c>
      <c r="AH79" s="2549"/>
      <c r="AI79" s="2837">
        <v>36</v>
      </c>
      <c r="AJ79" s="2837">
        <v>7354634.2300000014</v>
      </c>
      <c r="AK79" s="2837">
        <v>204295.3952777778</v>
      </c>
      <c r="AM79" s="2837">
        <v>38</v>
      </c>
      <c r="AN79" s="2837">
        <v>7823488.0049999887</v>
      </c>
      <c r="AO79" s="2837">
        <v>205881.2632894734</v>
      </c>
    </row>
    <row r="80" spans="2:41">
      <c r="B80" s="2836" t="s">
        <v>1151</v>
      </c>
      <c r="C80" s="2837">
        <v>38</v>
      </c>
      <c r="D80" s="2837">
        <v>3518174.09</v>
      </c>
      <c r="E80" s="2837">
        <v>92583.528684210527</v>
      </c>
      <c r="F80" s="2904"/>
      <c r="G80" s="2837">
        <v>39</v>
      </c>
      <c r="H80" s="2837">
        <v>3765969.9900000012</v>
      </c>
      <c r="I80" s="2837">
        <v>96563.333076923111</v>
      </c>
      <c r="J80" s="2904"/>
      <c r="K80" s="2837">
        <v>40</v>
      </c>
      <c r="L80" s="2837">
        <v>4014913.09</v>
      </c>
      <c r="M80" s="2837">
        <v>100372.82725</v>
      </c>
      <c r="N80" s="2904"/>
      <c r="O80" s="2837">
        <v>40</v>
      </c>
      <c r="P80" s="2837">
        <v>4115205.1900000004</v>
      </c>
      <c r="Q80" s="2837">
        <v>102880.12975000001</v>
      </c>
      <c r="R80" s="2904"/>
      <c r="S80" s="2837">
        <v>39</v>
      </c>
      <c r="T80" s="2837">
        <v>4286988.1899999995</v>
      </c>
      <c r="U80" s="2837">
        <v>109922.77410256409</v>
      </c>
      <c r="V80" s="30"/>
      <c r="W80" s="2837">
        <v>40</v>
      </c>
      <c r="X80" s="2837">
        <v>4239396.59</v>
      </c>
      <c r="Y80" s="2837">
        <v>105984.91475</v>
      </c>
      <c r="Z80" s="2904"/>
      <c r="AA80" s="2837">
        <v>33</v>
      </c>
      <c r="AB80" s="2837">
        <v>3674195.2899999996</v>
      </c>
      <c r="AC80" s="2837">
        <v>111339.25121212121</v>
      </c>
      <c r="AD80" s="30"/>
      <c r="AE80" s="2837">
        <v>34</v>
      </c>
      <c r="AF80" s="2837">
        <v>3938789.79</v>
      </c>
      <c r="AG80" s="2837">
        <v>115846.75852941176</v>
      </c>
      <c r="AH80" s="2549"/>
      <c r="AI80" s="2837">
        <v>35</v>
      </c>
      <c r="AJ80" s="2837">
        <v>4203887.1899999995</v>
      </c>
      <c r="AK80" s="2837">
        <v>120111.06257142856</v>
      </c>
      <c r="AM80" s="2837">
        <v>36</v>
      </c>
      <c r="AN80" s="2837">
        <v>4553049.9899999946</v>
      </c>
      <c r="AO80" s="2837">
        <v>126473.61083333318</v>
      </c>
    </row>
    <row r="81" spans="2:41">
      <c r="B81" s="2836" t="s">
        <v>1152</v>
      </c>
      <c r="C81" s="2837">
        <v>44</v>
      </c>
      <c r="D81" s="2837">
        <v>7428954.091575346</v>
      </c>
      <c r="E81" s="2837">
        <v>168839.86571762149</v>
      </c>
      <c r="F81" s="2904"/>
      <c r="G81" s="2837">
        <v>46</v>
      </c>
      <c r="H81" s="2837">
        <v>7897182.1415753439</v>
      </c>
      <c r="I81" s="2837">
        <v>171677.87264294227</v>
      </c>
      <c r="J81" s="2904"/>
      <c r="K81" s="2837">
        <v>46</v>
      </c>
      <c r="L81" s="2837">
        <v>8240953.636575344</v>
      </c>
      <c r="M81" s="2837">
        <v>179151.16601250748</v>
      </c>
      <c r="N81" s="2904"/>
      <c r="O81" s="2837">
        <v>46</v>
      </c>
      <c r="P81" s="2837">
        <v>8663139.0365753397</v>
      </c>
      <c r="Q81" s="2837">
        <v>188329.10949076826</v>
      </c>
      <c r="R81" s="2904"/>
      <c r="S81" s="2837">
        <v>46</v>
      </c>
      <c r="T81" s="2837">
        <v>9089484.9365753401</v>
      </c>
      <c r="U81" s="2837">
        <v>197597.49862120303</v>
      </c>
      <c r="V81" s="30"/>
      <c r="W81" s="2837">
        <v>47</v>
      </c>
      <c r="X81" s="2837">
        <v>9113602.436575342</v>
      </c>
      <c r="Y81" s="2837">
        <v>193906.43482075195</v>
      </c>
      <c r="Z81" s="2904"/>
      <c r="AA81" s="2837">
        <v>44</v>
      </c>
      <c r="AB81" s="2837">
        <v>8812643.5365753435</v>
      </c>
      <c r="AC81" s="2837">
        <v>200287.35310398508</v>
      </c>
      <c r="AD81" s="30"/>
      <c r="AE81" s="2837">
        <v>39</v>
      </c>
      <c r="AF81" s="2837">
        <v>8545480.6365753431</v>
      </c>
      <c r="AG81" s="2837">
        <v>219114.8881173165</v>
      </c>
      <c r="AH81" s="2549"/>
      <c r="AI81" s="2837">
        <v>37</v>
      </c>
      <c r="AJ81" s="2837">
        <v>8336039.8365753433</v>
      </c>
      <c r="AK81" s="2837">
        <v>225298.37396149576</v>
      </c>
      <c r="AM81" s="2837">
        <v>37</v>
      </c>
      <c r="AN81" s="2837">
        <v>8461137.2365753334</v>
      </c>
      <c r="AO81" s="2837">
        <v>228679.38477230631</v>
      </c>
    </row>
    <row r="82" spans="2:41">
      <c r="B82" s="2842" t="s">
        <v>546</v>
      </c>
      <c r="C82" s="2843">
        <f>SUM(C78:C81)</f>
        <v>154</v>
      </c>
      <c r="D82" s="2843">
        <f>SUM(D78:D81)</f>
        <v>22100897.104726031</v>
      </c>
      <c r="E82" s="2843">
        <f>+D82/C82</f>
        <v>143512.31886185735</v>
      </c>
      <c r="F82" s="2904"/>
      <c r="G82" s="2843">
        <f>SUM(G78:G81)</f>
        <v>157</v>
      </c>
      <c r="H82" s="2843">
        <f>SUM(H78:H81)</f>
        <v>23317115.554726031</v>
      </c>
      <c r="I82" s="2843">
        <f>+H82/G82</f>
        <v>148516.65958424224</v>
      </c>
      <c r="J82" s="2904"/>
      <c r="K82" s="2843">
        <f>SUM(K78:K81)</f>
        <v>159</v>
      </c>
      <c r="L82" s="2843">
        <f>SUM(L78:L81)</f>
        <v>24403398.556575343</v>
      </c>
      <c r="M82" s="2843">
        <f>+L82/K82</f>
        <v>153480.4940665116</v>
      </c>
      <c r="N82" s="2904"/>
      <c r="O82" s="2843">
        <f>SUM(O78:O81)</f>
        <v>159</v>
      </c>
      <c r="P82" s="2843">
        <f>SUM(P78:P81)</f>
        <v>25487486.656575337</v>
      </c>
      <c r="Q82" s="2843">
        <f>+P82/O82</f>
        <v>160298.65821745494</v>
      </c>
      <c r="R82" s="2904"/>
      <c r="S82" s="2843">
        <f>SUM(S78:S81)</f>
        <v>159</v>
      </c>
      <c r="T82" s="2843">
        <f>SUM(T78:T81)</f>
        <v>26620005.056575343</v>
      </c>
      <c r="U82" s="2843">
        <f>+T82/S82</f>
        <v>167421.4154501594</v>
      </c>
      <c r="V82" s="30"/>
      <c r="W82" s="2843">
        <v>158</v>
      </c>
      <c r="X82" s="2843">
        <v>26698933.356575344</v>
      </c>
      <c r="Y82" s="2843">
        <v>168980.5908644009</v>
      </c>
      <c r="Z82" s="2904"/>
      <c r="AA82" s="2843">
        <v>145</v>
      </c>
      <c r="AB82" s="2843">
        <v>25443306.326575343</v>
      </c>
      <c r="AC82" s="2843">
        <v>175471.0781143127</v>
      </c>
      <c r="AD82" s="30"/>
      <c r="AE82" s="2843">
        <v>141</v>
      </c>
      <c r="AF82" s="2843">
        <v>25886456.226575345</v>
      </c>
      <c r="AG82" s="2843">
        <v>183591.88813174004</v>
      </c>
      <c r="AH82" s="2549"/>
      <c r="AI82" s="2843">
        <v>140</v>
      </c>
      <c r="AJ82" s="2843">
        <v>26624034.326575346</v>
      </c>
      <c r="AK82" s="2843">
        <v>190171.67376125246</v>
      </c>
      <c r="AM82" s="2843">
        <v>142</v>
      </c>
      <c r="AN82" s="2843">
        <v>27257359.651575305</v>
      </c>
      <c r="AO82" s="2839">
        <v>191953.23698292469</v>
      </c>
    </row>
    <row r="83" spans="2:41">
      <c r="B83" s="2855" t="s">
        <v>442</v>
      </c>
      <c r="C83" s="2831">
        <f>SUM(C82,C77,C72)</f>
        <v>841</v>
      </c>
      <c r="D83" s="2831">
        <f>SUM(D82,D77,D72)</f>
        <v>116024176.27498288</v>
      </c>
      <c r="E83" s="2831">
        <f>+D83/C83</f>
        <v>137959.78153981318</v>
      </c>
      <c r="F83" s="2904"/>
      <c r="G83" s="2831">
        <f>SUM(G82,G77,G72)</f>
        <v>858</v>
      </c>
      <c r="H83" s="2831">
        <f>SUM(H82,H77,H72)</f>
        <v>123053513.79285958</v>
      </c>
      <c r="I83" s="2831">
        <f>+H83/G83</f>
        <v>143419.01374459159</v>
      </c>
      <c r="J83" s="2904"/>
      <c r="K83" s="2831">
        <f>SUM(K82,K77,K72)</f>
        <v>875</v>
      </c>
      <c r="L83" s="2831">
        <f>SUM(L82,L77,L72)</f>
        <v>129890264.49340756</v>
      </c>
      <c r="M83" s="2831">
        <f>+L83/K83</f>
        <v>148446.01656389434</v>
      </c>
      <c r="N83" s="2904"/>
      <c r="O83" s="2831">
        <f>SUM(O82,O77,O72)</f>
        <v>889</v>
      </c>
      <c r="P83" s="2831">
        <f>SUM(P82,P77,P72)</f>
        <v>137243054.65655822</v>
      </c>
      <c r="Q83" s="2831">
        <f>+P83/O83</f>
        <v>154379.13909624095</v>
      </c>
      <c r="R83" s="2904"/>
      <c r="S83" s="2831">
        <f>SUM(S82,S77,S72)</f>
        <v>884</v>
      </c>
      <c r="T83" s="2831">
        <f>SUM(T82,T77,T72)</f>
        <v>142393574.55655825</v>
      </c>
      <c r="U83" s="2831">
        <f>+T83/S83</f>
        <v>161078.7042495003</v>
      </c>
      <c r="V83" s="30"/>
      <c r="W83" s="2831">
        <v>877</v>
      </c>
      <c r="X83" s="2831">
        <v>146280871.62865138</v>
      </c>
      <c r="Y83" s="2831">
        <v>166796.88897223645</v>
      </c>
      <c r="Z83" s="2904"/>
      <c r="AA83" s="2831">
        <v>848</v>
      </c>
      <c r="AB83" s="2831">
        <v>147279716.89615142</v>
      </c>
      <c r="AC83" s="2831">
        <v>173678.91143414084</v>
      </c>
      <c r="AD83" s="30"/>
      <c r="AE83" s="2831">
        <v>837</v>
      </c>
      <c r="AF83" s="2831">
        <v>150847686.18204179</v>
      </c>
      <c r="AG83" s="2831">
        <v>180224.23677663296</v>
      </c>
      <c r="AH83" s="2549"/>
      <c r="AI83" s="2831">
        <f>SUM(AI82,AI77,AI72)</f>
        <v>809</v>
      </c>
      <c r="AJ83" s="2831">
        <f>SUM(AJ82,AJ77,AJ72)</f>
        <v>150706482.31204179</v>
      </c>
      <c r="AK83" s="2831">
        <f>+AJ83/AI83</f>
        <v>186287.36997780195</v>
      </c>
      <c r="AM83" s="5506">
        <v>802</v>
      </c>
      <c r="AN83" s="5506">
        <v>152274854.80608267</v>
      </c>
      <c r="AO83" s="5506">
        <v>189868.896266936</v>
      </c>
    </row>
    <row r="84" spans="2:41">
      <c r="B84" s="99"/>
      <c r="C84" s="2832"/>
      <c r="D84" s="2832"/>
      <c r="E84" s="2832"/>
      <c r="F84" s="2904"/>
      <c r="G84" s="2832"/>
      <c r="H84" s="2832"/>
      <c r="I84" s="2832"/>
      <c r="J84" s="2904"/>
      <c r="K84" s="2832"/>
      <c r="L84" s="2832"/>
      <c r="M84" s="2832"/>
      <c r="N84" s="2904"/>
      <c r="O84" s="2832"/>
      <c r="P84" s="2832"/>
      <c r="Q84" s="2832"/>
      <c r="R84" s="2904"/>
      <c r="S84" s="2832"/>
      <c r="T84" s="2832"/>
      <c r="U84" s="2832"/>
      <c r="V84" s="30"/>
      <c r="W84" s="2832"/>
      <c r="X84" s="2832"/>
      <c r="Y84" s="2832"/>
      <c r="Z84" s="2904"/>
      <c r="AA84" s="2832"/>
      <c r="AB84" s="2832"/>
      <c r="AC84" s="2832"/>
      <c r="AD84" s="30"/>
      <c r="AE84" s="2832"/>
      <c r="AF84" s="2832"/>
      <c r="AG84" s="2832"/>
      <c r="AH84" s="2549"/>
      <c r="AI84" s="2832"/>
      <c r="AJ84" s="2832"/>
      <c r="AK84" s="2832"/>
      <c r="AM84" s="5507"/>
      <c r="AN84" s="5507"/>
      <c r="AO84" s="5507"/>
    </row>
    <row r="85" spans="2:41" ht="15" thickBot="1">
      <c r="B85" s="2046" t="s">
        <v>113</v>
      </c>
      <c r="C85" s="2047">
        <f>SUM(C83,C67,C54,C36,C23)</f>
        <v>2604</v>
      </c>
      <c r="D85" s="2047">
        <f>SUM(D83,D67,D54,D36,D23)</f>
        <v>348680185.3495822</v>
      </c>
      <c r="E85" s="2047">
        <f>+D85/C85</f>
        <v>133901.76088693633</v>
      </c>
      <c r="F85" s="2904"/>
      <c r="G85" s="2047">
        <f>SUM(G83,G67,G54,G36,G23)</f>
        <v>2663</v>
      </c>
      <c r="H85" s="2047">
        <f>SUM(H83,H67,H54,H36,H23)</f>
        <v>370555395.22896576</v>
      </c>
      <c r="I85" s="2047">
        <f>+H85/G85</f>
        <v>139149.603916247</v>
      </c>
      <c r="J85" s="2904"/>
      <c r="K85" s="2047">
        <f>SUM(K83,K67,K54,K36,K23)</f>
        <v>2710</v>
      </c>
      <c r="L85" s="2047">
        <f>SUM(L83,L67,L54,L36,L23)</f>
        <v>393002106.65560961</v>
      </c>
      <c r="M85" s="2047">
        <f>+L85/K85</f>
        <v>145019.22754819543</v>
      </c>
      <c r="N85" s="2904"/>
      <c r="O85" s="2047">
        <f>SUM(O83,O67,O54,O36,O23)</f>
        <v>2759</v>
      </c>
      <c r="P85" s="2047">
        <f>SUM(P83,P67,P54,P36,P23)</f>
        <v>414906287.20976025</v>
      </c>
      <c r="Q85" s="2047">
        <f>+P85/O85</f>
        <v>150382.85147146077</v>
      </c>
      <c r="R85" s="2904"/>
      <c r="S85" s="2047">
        <f>SUM(S83,S67,S54,S36,S23)</f>
        <v>2769</v>
      </c>
      <c r="T85" s="2047">
        <f>SUM(T83,T67,T54,T36,T23)</f>
        <v>433378917.34332204</v>
      </c>
      <c r="U85" s="2047">
        <f>+T85/S85</f>
        <v>156510.98495605707</v>
      </c>
      <c r="V85" s="30"/>
      <c r="W85" s="2047">
        <v>2752</v>
      </c>
      <c r="X85" s="2047">
        <v>448533176.79707259</v>
      </c>
      <c r="Y85" s="2047">
        <v>162984.4392431223</v>
      </c>
      <c r="Z85" s="2904"/>
      <c r="AA85" s="2047">
        <v>2731</v>
      </c>
      <c r="AB85" s="2047">
        <v>462643249.89964116</v>
      </c>
      <c r="AC85" s="2047">
        <v>169404.33903318972</v>
      </c>
      <c r="AD85" s="30"/>
      <c r="AE85" s="2047">
        <v>2687</v>
      </c>
      <c r="AF85" s="2047">
        <v>476174671.95662749</v>
      </c>
      <c r="AG85" s="2047">
        <v>177214.24337797821</v>
      </c>
      <c r="AH85" s="2549"/>
      <c r="AI85" s="2047">
        <f>SUM(AI83,AI67,AI54,AI36,AI23)</f>
        <v>2641</v>
      </c>
      <c r="AJ85" s="2047">
        <f>SUM(AJ83,AJ67,AJ54,AJ36,AJ23)</f>
        <v>483937711.55998361</v>
      </c>
      <c r="AK85" s="2047">
        <f>+AJ85/AI85</f>
        <v>183240.33001135313</v>
      </c>
      <c r="AM85" s="2047">
        <f>SUM(AM83,AM67,AM54,AM36,AM23)</f>
        <v>2647</v>
      </c>
      <c r="AN85" s="2047">
        <f>SUM(AN83,AN67,AN54,AN36,AN23)</f>
        <v>494604675.0957911</v>
      </c>
      <c r="AO85" s="2047">
        <f>+AN85/AM85</f>
        <v>186854.8073652403</v>
      </c>
    </row>
    <row r="86" spans="2:41">
      <c r="B86" s="99"/>
      <c r="C86" s="99"/>
      <c r="D86" s="99"/>
      <c r="E86" s="99"/>
      <c r="G86" s="99"/>
      <c r="H86" s="99"/>
      <c r="I86" s="99"/>
      <c r="J86" s="2904"/>
      <c r="K86" s="99"/>
      <c r="L86" s="99"/>
      <c r="M86" s="99"/>
      <c r="N86" s="2904"/>
      <c r="O86" s="99"/>
      <c r="P86" s="99"/>
      <c r="Q86" s="99"/>
      <c r="R86" s="2904"/>
      <c r="S86" s="99"/>
      <c r="T86" s="99"/>
      <c r="U86" s="99"/>
      <c r="V86" s="30"/>
      <c r="W86" s="99"/>
      <c r="X86" s="99"/>
      <c r="Y86" s="99"/>
      <c r="Z86" s="2904"/>
      <c r="AA86" s="99"/>
      <c r="AB86" s="99"/>
      <c r="AC86" s="99"/>
      <c r="AD86" s="30"/>
      <c r="AE86" s="99"/>
      <c r="AF86" s="99"/>
      <c r="AG86" s="99"/>
      <c r="AH86" s="2549"/>
      <c r="AI86" s="99"/>
      <c r="AJ86" s="99"/>
      <c r="AK86" s="99"/>
      <c r="AM86" s="99"/>
      <c r="AN86" s="99"/>
      <c r="AO86" s="99"/>
    </row>
    <row r="87" spans="2:41">
      <c r="B87" s="2045" t="s">
        <v>1159</v>
      </c>
      <c r="C87" s="99"/>
      <c r="D87" s="99"/>
      <c r="E87" s="99"/>
      <c r="G87" s="99"/>
      <c r="H87" s="99"/>
      <c r="I87" s="2048">
        <f>I85/E85-1</f>
        <v>3.919174023216776E-2</v>
      </c>
      <c r="J87" s="2904"/>
      <c r="K87" s="99"/>
      <c r="L87" s="99"/>
      <c r="M87" s="2048">
        <f>M85/I85-1</f>
        <v>4.218210808189804E-2</v>
      </c>
      <c r="N87" s="2904"/>
      <c r="O87" s="99"/>
      <c r="P87" s="99"/>
      <c r="Q87" s="2048">
        <f>Q85/M85-1</f>
        <v>3.6985605384519227E-2</v>
      </c>
      <c r="R87" s="2904"/>
      <c r="S87" s="99"/>
      <c r="T87" s="99"/>
      <c r="U87" s="2048">
        <f>U85/Q85-1</f>
        <v>4.0750214699574849E-2</v>
      </c>
      <c r="V87" s="30"/>
      <c r="W87" s="99"/>
      <c r="X87" s="99"/>
      <c r="Y87" s="2048">
        <f>Y85/U85-1</f>
        <v>4.1361021968411738E-2</v>
      </c>
      <c r="Z87" s="2904"/>
      <c r="AA87" s="99"/>
      <c r="AB87" s="99"/>
      <c r="AC87" s="2048">
        <f>AC85/Y85-1</f>
        <v>3.9389648606213967E-2</v>
      </c>
      <c r="AD87" s="30"/>
      <c r="AE87" s="99"/>
      <c r="AF87" s="99"/>
      <c r="AG87" s="2048">
        <f>AG85/AC85-1</f>
        <v>4.6102150566865729E-2</v>
      </c>
      <c r="AH87" s="2549"/>
      <c r="AI87" s="99"/>
      <c r="AJ87" s="99"/>
      <c r="AK87" s="2048">
        <f>AK85/AG85-1</f>
        <v>3.400452761870798E-2</v>
      </c>
      <c r="AM87" s="99"/>
      <c r="AN87" s="99"/>
      <c r="AO87" s="2048">
        <f>AO85/AK85-1</f>
        <v>1.9725337504375995E-2</v>
      </c>
    </row>
    <row r="88" spans="2:41">
      <c r="J88" s="2904"/>
      <c r="R88" s="2904"/>
      <c r="V88" s="30"/>
      <c r="Z88" s="2904"/>
      <c r="AD88" s="30"/>
    </row>
    <row r="89" spans="2:41">
      <c r="J89" s="2904"/>
      <c r="R89" s="2904"/>
      <c r="U89" s="30"/>
      <c r="V89" s="30"/>
      <c r="Y89" s="30"/>
      <c r="Z89" s="2904"/>
      <c r="AC89" s="30"/>
      <c r="AD89" s="30"/>
    </row>
    <row r="90" spans="2:41">
      <c r="J90" s="2904"/>
      <c r="R90" s="2904"/>
      <c r="Z90" s="2904"/>
    </row>
  </sheetData>
  <sheetProtection algorithmName="SHA-512" hashValue="6/r/7nSdJcYxPXzrjnKPVXOjBHqf/bC7WnEPYpWC0HivwTPI/MoZ0BNcmiMZeJggPQ0F/bBpMkVIIE7EZq37Mw==" saltValue="QPDFE0LY5wgTtkPe3ea9Pg==" spinCount="100000" sheet="1" objects="1" scenarios="1"/>
  <mergeCells count="11">
    <mergeCell ref="AM3:AO3"/>
    <mergeCell ref="AI3:AK3"/>
    <mergeCell ref="AE3:AG3"/>
    <mergeCell ref="AA3:AC3"/>
    <mergeCell ref="W3:Y3"/>
    <mergeCell ref="B3:B4"/>
    <mergeCell ref="S3:U3"/>
    <mergeCell ref="C3:E3"/>
    <mergeCell ref="G3:I3"/>
    <mergeCell ref="K3:M3"/>
    <mergeCell ref="O3:Q3"/>
  </mergeCells>
  <pageMargins left="0.7" right="0.7" top="0.75" bottom="0.75" header="0.3" footer="0.3"/>
  <pageSetup orientation="portrait" r:id="rId1"/>
  <ignoredErrors>
    <ignoredError sqref="O10:Q54 O85:Q87 O56:Q56 O58:Q60 O62:Q62 O66:Q83 E66:E83 E62 E58:E60 E56 E85:E87 E10:E54 G66:I83 G62:I62 G58:I60 G56:I56 G85:I87 G10:I54 K66:M83 K62:M62 K58:M60 K56:M56 K85:M87 K10:M54" formula="1"/>
    <ignoredError sqref="S72:T72"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499984740745262"/>
  </sheetPr>
  <dimension ref="A1:BO125"/>
  <sheetViews>
    <sheetView showGridLines="0" zoomScale="120" zoomScaleNormal="120" workbookViewId="0">
      <pane xSplit="2" ySplit="4" topLeftCell="AX5" activePane="bottomRight" state="frozen"/>
      <selection pane="topRight" activeCell="C1" sqref="C1"/>
      <selection pane="bottomLeft" activeCell="A5" sqref="A5"/>
      <selection pane="bottomRight" activeCell="BR39" sqref="BR39"/>
    </sheetView>
  </sheetViews>
  <sheetFormatPr baseColWidth="10" defaultColWidth="11.44140625" defaultRowHeight="14.4"/>
  <cols>
    <col min="1" max="1" width="16.44140625" style="329" customWidth="1"/>
    <col min="2" max="2" width="1.77734375" style="329" customWidth="1"/>
    <col min="3" max="4" width="6.77734375" style="327" customWidth="1"/>
    <col min="5" max="5" width="7.5546875" style="327" customWidth="1"/>
    <col min="6" max="7" width="7.77734375" style="327" customWidth="1"/>
    <col min="8" max="8" width="1.77734375" style="327" customWidth="1"/>
    <col min="9" max="11" width="6.77734375" style="327" customWidth="1"/>
    <col min="12" max="13" width="7.77734375" style="327" customWidth="1"/>
    <col min="14" max="14" width="1.77734375" style="327" customWidth="1"/>
    <col min="15" max="17" width="6.77734375" style="327" customWidth="1"/>
    <col min="18" max="19" width="8" style="327" customWidth="1"/>
    <col min="20" max="20" width="1.77734375" style="327" customWidth="1"/>
    <col min="21" max="23" width="6.77734375" style="327" customWidth="1"/>
    <col min="24" max="24" width="8.21875" style="327" bestFit="1" customWidth="1"/>
    <col min="25" max="25" width="8.21875" style="327" customWidth="1"/>
    <col min="26" max="26" width="1.77734375" style="327" customWidth="1"/>
    <col min="27" max="30" width="6.77734375" style="327" customWidth="1"/>
    <col min="31" max="31" width="7.77734375" style="327" customWidth="1"/>
    <col min="32" max="32" width="1.77734375" style="327" customWidth="1"/>
    <col min="33" max="36" width="6.77734375" style="327" customWidth="1"/>
    <col min="37" max="37" width="7.77734375" style="327" customWidth="1"/>
    <col min="38" max="38" width="1.77734375" style="327" customWidth="1"/>
    <col min="39" max="43" width="6.77734375" style="327" customWidth="1"/>
    <col min="44" max="44" width="1.77734375" style="327" customWidth="1"/>
    <col min="45" max="49" width="6.77734375" style="327" customWidth="1"/>
    <col min="50" max="50" width="1.77734375" style="327" customWidth="1"/>
    <col min="51" max="55" width="6.77734375" style="327" customWidth="1"/>
    <col min="56" max="56" width="1.77734375" style="327" customWidth="1"/>
    <col min="57" max="61" width="6.77734375" style="327" customWidth="1"/>
    <col min="62" max="62" width="1.77734375" style="327" customWidth="1"/>
    <col min="63" max="103" width="6.77734375" style="327" customWidth="1"/>
    <col min="104" max="235" width="11.44140625" style="327"/>
    <col min="236" max="236" width="15.21875" style="327" customWidth="1"/>
    <col min="237" max="237" width="13" style="327" bestFit="1" customWidth="1"/>
    <col min="238" max="238" width="6.21875" style="327" customWidth="1"/>
    <col min="239" max="239" width="7.5546875" style="327" customWidth="1"/>
    <col min="240" max="240" width="8" style="327" customWidth="1"/>
    <col min="241" max="241" width="10.77734375" style="327" customWidth="1"/>
    <col min="242" max="242" width="6.21875" style="327" customWidth="1"/>
    <col min="243" max="243" width="7.5546875" style="327" customWidth="1"/>
    <col min="244" max="244" width="8.21875" style="327" customWidth="1"/>
    <col min="245" max="245" width="10.77734375" style="327" customWidth="1"/>
    <col min="246" max="246" width="6.21875" style="327" customWidth="1"/>
    <col min="247" max="247" width="7.5546875" style="327" customWidth="1"/>
    <col min="248" max="248" width="8.21875" style="327" customWidth="1"/>
    <col min="249" max="249" width="10.77734375" style="327" customWidth="1"/>
    <col min="250" max="250" width="6.77734375" style="327" customWidth="1"/>
    <col min="251" max="251" width="7.5546875" style="327" customWidth="1"/>
    <col min="252" max="252" width="8.21875" style="327" customWidth="1"/>
    <col min="253" max="253" width="10.77734375" style="327" customWidth="1"/>
    <col min="254" max="254" width="6.77734375" style="327" customWidth="1"/>
    <col min="255" max="255" width="7.5546875" style="327" customWidth="1"/>
    <col min="256" max="256" width="8.21875" style="327" customWidth="1"/>
    <col min="257" max="257" width="10.77734375" style="327" customWidth="1"/>
    <col min="258" max="260" width="6.77734375" style="327" customWidth="1"/>
    <col min="261" max="261" width="11.44140625" style="327" customWidth="1"/>
    <col min="262" max="264" width="6.77734375" style="327" customWidth="1"/>
    <col min="265" max="265" width="11.44140625" style="327"/>
    <col min="266" max="266" width="1.5546875" style="327" customWidth="1"/>
    <col min="267" max="491" width="11.44140625" style="327"/>
    <col min="492" max="492" width="15.21875" style="327" customWidth="1"/>
    <col min="493" max="493" width="13" style="327" bestFit="1" customWidth="1"/>
    <col min="494" max="494" width="6.21875" style="327" customWidth="1"/>
    <col min="495" max="495" width="7.5546875" style="327" customWidth="1"/>
    <col min="496" max="496" width="8" style="327" customWidth="1"/>
    <col min="497" max="497" width="10.77734375" style="327" customWidth="1"/>
    <col min="498" max="498" width="6.21875" style="327" customWidth="1"/>
    <col min="499" max="499" width="7.5546875" style="327" customWidth="1"/>
    <col min="500" max="500" width="8.21875" style="327" customWidth="1"/>
    <col min="501" max="501" width="10.77734375" style="327" customWidth="1"/>
    <col min="502" max="502" width="6.21875" style="327" customWidth="1"/>
    <col min="503" max="503" width="7.5546875" style="327" customWidth="1"/>
    <col min="504" max="504" width="8.21875" style="327" customWidth="1"/>
    <col min="505" max="505" width="10.77734375" style="327" customWidth="1"/>
    <col min="506" max="506" width="6.77734375" style="327" customWidth="1"/>
    <col min="507" max="507" width="7.5546875" style="327" customWidth="1"/>
    <col min="508" max="508" width="8.21875" style="327" customWidth="1"/>
    <col min="509" max="509" width="10.77734375" style="327" customWidth="1"/>
    <col min="510" max="510" width="6.77734375" style="327" customWidth="1"/>
    <col min="511" max="511" width="7.5546875" style="327" customWidth="1"/>
    <col min="512" max="512" width="8.21875" style="327" customWidth="1"/>
    <col min="513" max="513" width="10.77734375" style="327" customWidth="1"/>
    <col min="514" max="516" width="6.77734375" style="327" customWidth="1"/>
    <col min="517" max="517" width="11.44140625" style="327" customWidth="1"/>
    <col min="518" max="520" width="6.77734375" style="327" customWidth="1"/>
    <col min="521" max="521" width="11.44140625" style="327"/>
    <col min="522" max="522" width="1.5546875" style="327" customWidth="1"/>
    <col min="523" max="747" width="11.44140625" style="327"/>
    <col min="748" max="748" width="15.21875" style="327" customWidth="1"/>
    <col min="749" max="749" width="13" style="327" bestFit="1" customWidth="1"/>
    <col min="750" max="750" width="6.21875" style="327" customWidth="1"/>
    <col min="751" max="751" width="7.5546875" style="327" customWidth="1"/>
    <col min="752" max="752" width="8" style="327" customWidth="1"/>
    <col min="753" max="753" width="10.77734375" style="327" customWidth="1"/>
    <col min="754" max="754" width="6.21875" style="327" customWidth="1"/>
    <col min="755" max="755" width="7.5546875" style="327" customWidth="1"/>
    <col min="756" max="756" width="8.21875" style="327" customWidth="1"/>
    <col min="757" max="757" width="10.77734375" style="327" customWidth="1"/>
    <col min="758" max="758" width="6.21875" style="327" customWidth="1"/>
    <col min="759" max="759" width="7.5546875" style="327" customWidth="1"/>
    <col min="760" max="760" width="8.21875" style="327" customWidth="1"/>
    <col min="761" max="761" width="10.77734375" style="327" customWidth="1"/>
    <col min="762" max="762" width="6.77734375" style="327" customWidth="1"/>
    <col min="763" max="763" width="7.5546875" style="327" customWidth="1"/>
    <col min="764" max="764" width="8.21875" style="327" customWidth="1"/>
    <col min="765" max="765" width="10.77734375" style="327" customWidth="1"/>
    <col min="766" max="766" width="6.77734375" style="327" customWidth="1"/>
    <col min="767" max="767" width="7.5546875" style="327" customWidth="1"/>
    <col min="768" max="768" width="8.21875" style="327" customWidth="1"/>
    <col min="769" max="769" width="10.77734375" style="327" customWidth="1"/>
    <col min="770" max="772" width="6.77734375" style="327" customWidth="1"/>
    <col min="773" max="773" width="11.44140625" style="327" customWidth="1"/>
    <col min="774" max="776" width="6.77734375" style="327" customWidth="1"/>
    <col min="777" max="777" width="11.44140625" style="327"/>
    <col min="778" max="778" width="1.5546875" style="327" customWidth="1"/>
    <col min="779" max="1003" width="11.44140625" style="327"/>
    <col min="1004" max="1004" width="15.21875" style="327" customWidth="1"/>
    <col min="1005" max="1005" width="13" style="327" bestFit="1" customWidth="1"/>
    <col min="1006" max="1006" width="6.21875" style="327" customWidth="1"/>
    <col min="1007" max="1007" width="7.5546875" style="327" customWidth="1"/>
    <col min="1008" max="1008" width="8" style="327" customWidth="1"/>
    <col min="1009" max="1009" width="10.77734375" style="327" customWidth="1"/>
    <col min="1010" max="1010" width="6.21875" style="327" customWidth="1"/>
    <col min="1011" max="1011" width="7.5546875" style="327" customWidth="1"/>
    <col min="1012" max="1012" width="8.21875" style="327" customWidth="1"/>
    <col min="1013" max="1013" width="10.77734375" style="327" customWidth="1"/>
    <col min="1014" max="1014" width="6.21875" style="327" customWidth="1"/>
    <col min="1015" max="1015" width="7.5546875" style="327" customWidth="1"/>
    <col min="1016" max="1016" width="8.21875" style="327" customWidth="1"/>
    <col min="1017" max="1017" width="10.77734375" style="327" customWidth="1"/>
    <col min="1018" max="1018" width="6.77734375" style="327" customWidth="1"/>
    <col min="1019" max="1019" width="7.5546875" style="327" customWidth="1"/>
    <col min="1020" max="1020" width="8.21875" style="327" customWidth="1"/>
    <col min="1021" max="1021" width="10.77734375" style="327" customWidth="1"/>
    <col min="1022" max="1022" width="6.77734375" style="327" customWidth="1"/>
    <col min="1023" max="1023" width="7.5546875" style="327" customWidth="1"/>
    <col min="1024" max="1024" width="8.21875" style="327" customWidth="1"/>
    <col min="1025" max="1025" width="10.77734375" style="327" customWidth="1"/>
    <col min="1026" max="1028" width="6.77734375" style="327" customWidth="1"/>
    <col min="1029" max="1029" width="11.44140625" style="327" customWidth="1"/>
    <col min="1030" max="1032" width="6.77734375" style="327" customWidth="1"/>
    <col min="1033" max="1033" width="11.44140625" style="327"/>
    <col min="1034" max="1034" width="1.5546875" style="327" customWidth="1"/>
    <col min="1035" max="1259" width="11.44140625" style="327"/>
    <col min="1260" max="1260" width="15.21875" style="327" customWidth="1"/>
    <col min="1261" max="1261" width="13" style="327" bestFit="1" customWidth="1"/>
    <col min="1262" max="1262" width="6.21875" style="327" customWidth="1"/>
    <col min="1263" max="1263" width="7.5546875" style="327" customWidth="1"/>
    <col min="1264" max="1264" width="8" style="327" customWidth="1"/>
    <col min="1265" max="1265" width="10.77734375" style="327" customWidth="1"/>
    <col min="1266" max="1266" width="6.21875" style="327" customWidth="1"/>
    <col min="1267" max="1267" width="7.5546875" style="327" customWidth="1"/>
    <col min="1268" max="1268" width="8.21875" style="327" customWidth="1"/>
    <col min="1269" max="1269" width="10.77734375" style="327" customWidth="1"/>
    <col min="1270" max="1270" width="6.21875" style="327" customWidth="1"/>
    <col min="1271" max="1271" width="7.5546875" style="327" customWidth="1"/>
    <col min="1272" max="1272" width="8.21875" style="327" customWidth="1"/>
    <col min="1273" max="1273" width="10.77734375" style="327" customWidth="1"/>
    <col min="1274" max="1274" width="6.77734375" style="327" customWidth="1"/>
    <col min="1275" max="1275" width="7.5546875" style="327" customWidth="1"/>
    <col min="1276" max="1276" width="8.21875" style="327" customWidth="1"/>
    <col min="1277" max="1277" width="10.77734375" style="327" customWidth="1"/>
    <col min="1278" max="1278" width="6.77734375" style="327" customWidth="1"/>
    <col min="1279" max="1279" width="7.5546875" style="327" customWidth="1"/>
    <col min="1280" max="1280" width="8.21875" style="327" customWidth="1"/>
    <col min="1281" max="1281" width="10.77734375" style="327" customWidth="1"/>
    <col min="1282" max="1284" width="6.77734375" style="327" customWidth="1"/>
    <col min="1285" max="1285" width="11.44140625" style="327" customWidth="1"/>
    <col min="1286" max="1288" width="6.77734375" style="327" customWidth="1"/>
    <col min="1289" max="1289" width="11.44140625" style="327"/>
    <col min="1290" max="1290" width="1.5546875" style="327" customWidth="1"/>
    <col min="1291" max="1515" width="11.44140625" style="327"/>
    <col min="1516" max="1516" width="15.21875" style="327" customWidth="1"/>
    <col min="1517" max="1517" width="13" style="327" bestFit="1" customWidth="1"/>
    <col min="1518" max="1518" width="6.21875" style="327" customWidth="1"/>
    <col min="1519" max="1519" width="7.5546875" style="327" customWidth="1"/>
    <col min="1520" max="1520" width="8" style="327" customWidth="1"/>
    <col min="1521" max="1521" width="10.77734375" style="327" customWidth="1"/>
    <col min="1522" max="1522" width="6.21875" style="327" customWidth="1"/>
    <col min="1523" max="1523" width="7.5546875" style="327" customWidth="1"/>
    <col min="1524" max="1524" width="8.21875" style="327" customWidth="1"/>
    <col min="1525" max="1525" width="10.77734375" style="327" customWidth="1"/>
    <col min="1526" max="1526" width="6.21875" style="327" customWidth="1"/>
    <col min="1527" max="1527" width="7.5546875" style="327" customWidth="1"/>
    <col min="1528" max="1528" width="8.21875" style="327" customWidth="1"/>
    <col min="1529" max="1529" width="10.77734375" style="327" customWidth="1"/>
    <col min="1530" max="1530" width="6.77734375" style="327" customWidth="1"/>
    <col min="1531" max="1531" width="7.5546875" style="327" customWidth="1"/>
    <col min="1532" max="1532" width="8.21875" style="327" customWidth="1"/>
    <col min="1533" max="1533" width="10.77734375" style="327" customWidth="1"/>
    <col min="1534" max="1534" width="6.77734375" style="327" customWidth="1"/>
    <col min="1535" max="1535" width="7.5546875" style="327" customWidth="1"/>
    <col min="1536" max="1536" width="8.21875" style="327" customWidth="1"/>
    <col min="1537" max="1537" width="10.77734375" style="327" customWidth="1"/>
    <col min="1538" max="1540" width="6.77734375" style="327" customWidth="1"/>
    <col min="1541" max="1541" width="11.44140625" style="327" customWidth="1"/>
    <col min="1542" max="1544" width="6.77734375" style="327" customWidth="1"/>
    <col min="1545" max="1545" width="11.44140625" style="327"/>
    <col min="1546" max="1546" width="1.5546875" style="327" customWidth="1"/>
    <col min="1547" max="1771" width="11.44140625" style="327"/>
    <col min="1772" max="1772" width="15.21875" style="327" customWidth="1"/>
    <col min="1773" max="1773" width="13" style="327" bestFit="1" customWidth="1"/>
    <col min="1774" max="1774" width="6.21875" style="327" customWidth="1"/>
    <col min="1775" max="1775" width="7.5546875" style="327" customWidth="1"/>
    <col min="1776" max="1776" width="8" style="327" customWidth="1"/>
    <col min="1777" max="1777" width="10.77734375" style="327" customWidth="1"/>
    <col min="1778" max="1778" width="6.21875" style="327" customWidth="1"/>
    <col min="1779" max="1779" width="7.5546875" style="327" customWidth="1"/>
    <col min="1780" max="1780" width="8.21875" style="327" customWidth="1"/>
    <col min="1781" max="1781" width="10.77734375" style="327" customWidth="1"/>
    <col min="1782" max="1782" width="6.21875" style="327" customWidth="1"/>
    <col min="1783" max="1783" width="7.5546875" style="327" customWidth="1"/>
    <col min="1784" max="1784" width="8.21875" style="327" customWidth="1"/>
    <col min="1785" max="1785" width="10.77734375" style="327" customWidth="1"/>
    <col min="1786" max="1786" width="6.77734375" style="327" customWidth="1"/>
    <col min="1787" max="1787" width="7.5546875" style="327" customWidth="1"/>
    <col min="1788" max="1788" width="8.21875" style="327" customWidth="1"/>
    <col min="1789" max="1789" width="10.77734375" style="327" customWidth="1"/>
    <col min="1790" max="1790" width="6.77734375" style="327" customWidth="1"/>
    <col min="1791" max="1791" width="7.5546875" style="327" customWidth="1"/>
    <col min="1792" max="1792" width="8.21875" style="327" customWidth="1"/>
    <col min="1793" max="1793" width="10.77734375" style="327" customWidth="1"/>
    <col min="1794" max="1796" width="6.77734375" style="327" customWidth="1"/>
    <col min="1797" max="1797" width="11.44140625" style="327" customWidth="1"/>
    <col min="1798" max="1800" width="6.77734375" style="327" customWidth="1"/>
    <col min="1801" max="1801" width="11.44140625" style="327"/>
    <col min="1802" max="1802" width="1.5546875" style="327" customWidth="1"/>
    <col min="1803" max="2027" width="11.44140625" style="327"/>
    <col min="2028" max="2028" width="15.21875" style="327" customWidth="1"/>
    <col min="2029" max="2029" width="13" style="327" bestFit="1" customWidth="1"/>
    <col min="2030" max="2030" width="6.21875" style="327" customWidth="1"/>
    <col min="2031" max="2031" width="7.5546875" style="327" customWidth="1"/>
    <col min="2032" max="2032" width="8" style="327" customWidth="1"/>
    <col min="2033" max="2033" width="10.77734375" style="327" customWidth="1"/>
    <col min="2034" max="2034" width="6.21875" style="327" customWidth="1"/>
    <col min="2035" max="2035" width="7.5546875" style="327" customWidth="1"/>
    <col min="2036" max="2036" width="8.21875" style="327" customWidth="1"/>
    <col min="2037" max="2037" width="10.77734375" style="327" customWidth="1"/>
    <col min="2038" max="2038" width="6.21875" style="327" customWidth="1"/>
    <col min="2039" max="2039" width="7.5546875" style="327" customWidth="1"/>
    <col min="2040" max="2040" width="8.21875" style="327" customWidth="1"/>
    <col min="2041" max="2041" width="10.77734375" style="327" customWidth="1"/>
    <col min="2042" max="2042" width="6.77734375" style="327" customWidth="1"/>
    <col min="2043" max="2043" width="7.5546875" style="327" customWidth="1"/>
    <col min="2044" max="2044" width="8.21875" style="327" customWidth="1"/>
    <col min="2045" max="2045" width="10.77734375" style="327" customWidth="1"/>
    <col min="2046" max="2046" width="6.77734375" style="327" customWidth="1"/>
    <col min="2047" max="2047" width="7.5546875" style="327" customWidth="1"/>
    <col min="2048" max="2048" width="8.21875" style="327" customWidth="1"/>
    <col min="2049" max="2049" width="10.77734375" style="327" customWidth="1"/>
    <col min="2050" max="2052" width="6.77734375" style="327" customWidth="1"/>
    <col min="2053" max="2053" width="11.44140625" style="327" customWidth="1"/>
    <col min="2054" max="2056" width="6.77734375" style="327" customWidth="1"/>
    <col min="2057" max="2057" width="11.44140625" style="327"/>
    <col min="2058" max="2058" width="1.5546875" style="327" customWidth="1"/>
    <col min="2059" max="2283" width="11.44140625" style="327"/>
    <col min="2284" max="2284" width="15.21875" style="327" customWidth="1"/>
    <col min="2285" max="2285" width="13" style="327" bestFit="1" customWidth="1"/>
    <col min="2286" max="2286" width="6.21875" style="327" customWidth="1"/>
    <col min="2287" max="2287" width="7.5546875" style="327" customWidth="1"/>
    <col min="2288" max="2288" width="8" style="327" customWidth="1"/>
    <col min="2289" max="2289" width="10.77734375" style="327" customWidth="1"/>
    <col min="2290" max="2290" width="6.21875" style="327" customWidth="1"/>
    <col min="2291" max="2291" width="7.5546875" style="327" customWidth="1"/>
    <col min="2292" max="2292" width="8.21875" style="327" customWidth="1"/>
    <col min="2293" max="2293" width="10.77734375" style="327" customWidth="1"/>
    <col min="2294" max="2294" width="6.21875" style="327" customWidth="1"/>
    <col min="2295" max="2295" width="7.5546875" style="327" customWidth="1"/>
    <col min="2296" max="2296" width="8.21875" style="327" customWidth="1"/>
    <col min="2297" max="2297" width="10.77734375" style="327" customWidth="1"/>
    <col min="2298" max="2298" width="6.77734375" style="327" customWidth="1"/>
    <col min="2299" max="2299" width="7.5546875" style="327" customWidth="1"/>
    <col min="2300" max="2300" width="8.21875" style="327" customWidth="1"/>
    <col min="2301" max="2301" width="10.77734375" style="327" customWidth="1"/>
    <col min="2302" max="2302" width="6.77734375" style="327" customWidth="1"/>
    <col min="2303" max="2303" width="7.5546875" style="327" customWidth="1"/>
    <col min="2304" max="2304" width="8.21875" style="327" customWidth="1"/>
    <col min="2305" max="2305" width="10.77734375" style="327" customWidth="1"/>
    <col min="2306" max="2308" width="6.77734375" style="327" customWidth="1"/>
    <col min="2309" max="2309" width="11.44140625" style="327" customWidth="1"/>
    <col min="2310" max="2312" width="6.77734375" style="327" customWidth="1"/>
    <col min="2313" max="2313" width="11.44140625" style="327"/>
    <col min="2314" max="2314" width="1.5546875" style="327" customWidth="1"/>
    <col min="2315" max="2539" width="11.44140625" style="327"/>
    <col min="2540" max="2540" width="15.21875" style="327" customWidth="1"/>
    <col min="2541" max="2541" width="13" style="327" bestFit="1" customWidth="1"/>
    <col min="2542" max="2542" width="6.21875" style="327" customWidth="1"/>
    <col min="2543" max="2543" width="7.5546875" style="327" customWidth="1"/>
    <col min="2544" max="2544" width="8" style="327" customWidth="1"/>
    <col min="2545" max="2545" width="10.77734375" style="327" customWidth="1"/>
    <col min="2546" max="2546" width="6.21875" style="327" customWidth="1"/>
    <col min="2547" max="2547" width="7.5546875" style="327" customWidth="1"/>
    <col min="2548" max="2548" width="8.21875" style="327" customWidth="1"/>
    <col min="2549" max="2549" width="10.77734375" style="327" customWidth="1"/>
    <col min="2550" max="2550" width="6.21875" style="327" customWidth="1"/>
    <col min="2551" max="2551" width="7.5546875" style="327" customWidth="1"/>
    <col min="2552" max="2552" width="8.21875" style="327" customWidth="1"/>
    <col min="2553" max="2553" width="10.77734375" style="327" customWidth="1"/>
    <col min="2554" max="2554" width="6.77734375" style="327" customWidth="1"/>
    <col min="2555" max="2555" width="7.5546875" style="327" customWidth="1"/>
    <col min="2556" max="2556" width="8.21875" style="327" customWidth="1"/>
    <col min="2557" max="2557" width="10.77734375" style="327" customWidth="1"/>
    <col min="2558" max="2558" width="6.77734375" style="327" customWidth="1"/>
    <col min="2559" max="2559" width="7.5546875" style="327" customWidth="1"/>
    <col min="2560" max="2560" width="8.21875" style="327" customWidth="1"/>
    <col min="2561" max="2561" width="10.77734375" style="327" customWidth="1"/>
    <col min="2562" max="2564" width="6.77734375" style="327" customWidth="1"/>
    <col min="2565" max="2565" width="11.44140625" style="327" customWidth="1"/>
    <col min="2566" max="2568" width="6.77734375" style="327" customWidth="1"/>
    <col min="2569" max="2569" width="11.44140625" style="327"/>
    <col min="2570" max="2570" width="1.5546875" style="327" customWidth="1"/>
    <col min="2571" max="2795" width="11.44140625" style="327"/>
    <col min="2796" max="2796" width="15.21875" style="327" customWidth="1"/>
    <col min="2797" max="2797" width="13" style="327" bestFit="1" customWidth="1"/>
    <col min="2798" max="2798" width="6.21875" style="327" customWidth="1"/>
    <col min="2799" max="2799" width="7.5546875" style="327" customWidth="1"/>
    <col min="2800" max="2800" width="8" style="327" customWidth="1"/>
    <col min="2801" max="2801" width="10.77734375" style="327" customWidth="1"/>
    <col min="2802" max="2802" width="6.21875" style="327" customWidth="1"/>
    <col min="2803" max="2803" width="7.5546875" style="327" customWidth="1"/>
    <col min="2804" max="2804" width="8.21875" style="327" customWidth="1"/>
    <col min="2805" max="2805" width="10.77734375" style="327" customWidth="1"/>
    <col min="2806" max="2806" width="6.21875" style="327" customWidth="1"/>
    <col min="2807" max="2807" width="7.5546875" style="327" customWidth="1"/>
    <col min="2808" max="2808" width="8.21875" style="327" customWidth="1"/>
    <col min="2809" max="2809" width="10.77734375" style="327" customWidth="1"/>
    <col min="2810" max="2810" width="6.77734375" style="327" customWidth="1"/>
    <col min="2811" max="2811" width="7.5546875" style="327" customWidth="1"/>
    <col min="2812" max="2812" width="8.21875" style="327" customWidth="1"/>
    <col min="2813" max="2813" width="10.77734375" style="327" customWidth="1"/>
    <col min="2814" max="2814" width="6.77734375" style="327" customWidth="1"/>
    <col min="2815" max="2815" width="7.5546875" style="327" customWidth="1"/>
    <col min="2816" max="2816" width="8.21875" style="327" customWidth="1"/>
    <col min="2817" max="2817" width="10.77734375" style="327" customWidth="1"/>
    <col min="2818" max="2820" width="6.77734375" style="327" customWidth="1"/>
    <col min="2821" max="2821" width="11.44140625" style="327" customWidth="1"/>
    <col min="2822" max="2824" width="6.77734375" style="327" customWidth="1"/>
    <col min="2825" max="2825" width="11.44140625" style="327"/>
    <col min="2826" max="2826" width="1.5546875" style="327" customWidth="1"/>
    <col min="2827" max="3051" width="11.44140625" style="327"/>
    <col min="3052" max="3052" width="15.21875" style="327" customWidth="1"/>
    <col min="3053" max="3053" width="13" style="327" bestFit="1" customWidth="1"/>
    <col min="3054" max="3054" width="6.21875" style="327" customWidth="1"/>
    <col min="3055" max="3055" width="7.5546875" style="327" customWidth="1"/>
    <col min="3056" max="3056" width="8" style="327" customWidth="1"/>
    <col min="3057" max="3057" width="10.77734375" style="327" customWidth="1"/>
    <col min="3058" max="3058" width="6.21875" style="327" customWidth="1"/>
    <col min="3059" max="3059" width="7.5546875" style="327" customWidth="1"/>
    <col min="3060" max="3060" width="8.21875" style="327" customWidth="1"/>
    <col min="3061" max="3061" width="10.77734375" style="327" customWidth="1"/>
    <col min="3062" max="3062" width="6.21875" style="327" customWidth="1"/>
    <col min="3063" max="3063" width="7.5546875" style="327" customWidth="1"/>
    <col min="3064" max="3064" width="8.21875" style="327" customWidth="1"/>
    <col min="3065" max="3065" width="10.77734375" style="327" customWidth="1"/>
    <col min="3066" max="3066" width="6.77734375" style="327" customWidth="1"/>
    <col min="3067" max="3067" width="7.5546875" style="327" customWidth="1"/>
    <col min="3068" max="3068" width="8.21875" style="327" customWidth="1"/>
    <col min="3069" max="3069" width="10.77734375" style="327" customWidth="1"/>
    <col min="3070" max="3070" width="6.77734375" style="327" customWidth="1"/>
    <col min="3071" max="3071" width="7.5546875" style="327" customWidth="1"/>
    <col min="3072" max="3072" width="8.21875" style="327" customWidth="1"/>
    <col min="3073" max="3073" width="10.77734375" style="327" customWidth="1"/>
    <col min="3074" max="3076" width="6.77734375" style="327" customWidth="1"/>
    <col min="3077" max="3077" width="11.44140625" style="327" customWidth="1"/>
    <col min="3078" max="3080" width="6.77734375" style="327" customWidth="1"/>
    <col min="3081" max="3081" width="11.44140625" style="327"/>
    <col min="3082" max="3082" width="1.5546875" style="327" customWidth="1"/>
    <col min="3083" max="3307" width="11.44140625" style="327"/>
    <col min="3308" max="3308" width="15.21875" style="327" customWidth="1"/>
    <col min="3309" max="3309" width="13" style="327" bestFit="1" customWidth="1"/>
    <col min="3310" max="3310" width="6.21875" style="327" customWidth="1"/>
    <col min="3311" max="3311" width="7.5546875" style="327" customWidth="1"/>
    <col min="3312" max="3312" width="8" style="327" customWidth="1"/>
    <col min="3313" max="3313" width="10.77734375" style="327" customWidth="1"/>
    <col min="3314" max="3314" width="6.21875" style="327" customWidth="1"/>
    <col min="3315" max="3315" width="7.5546875" style="327" customWidth="1"/>
    <col min="3316" max="3316" width="8.21875" style="327" customWidth="1"/>
    <col min="3317" max="3317" width="10.77734375" style="327" customWidth="1"/>
    <col min="3318" max="3318" width="6.21875" style="327" customWidth="1"/>
    <col min="3319" max="3319" width="7.5546875" style="327" customWidth="1"/>
    <col min="3320" max="3320" width="8.21875" style="327" customWidth="1"/>
    <col min="3321" max="3321" width="10.77734375" style="327" customWidth="1"/>
    <col min="3322" max="3322" width="6.77734375" style="327" customWidth="1"/>
    <col min="3323" max="3323" width="7.5546875" style="327" customWidth="1"/>
    <col min="3324" max="3324" width="8.21875" style="327" customWidth="1"/>
    <col min="3325" max="3325" width="10.77734375" style="327" customWidth="1"/>
    <col min="3326" max="3326" width="6.77734375" style="327" customWidth="1"/>
    <col min="3327" max="3327" width="7.5546875" style="327" customWidth="1"/>
    <col min="3328" max="3328" width="8.21875" style="327" customWidth="1"/>
    <col min="3329" max="3329" width="10.77734375" style="327" customWidth="1"/>
    <col min="3330" max="3332" width="6.77734375" style="327" customWidth="1"/>
    <col min="3333" max="3333" width="11.44140625" style="327" customWidth="1"/>
    <col min="3334" max="3336" width="6.77734375" style="327" customWidth="1"/>
    <col min="3337" max="3337" width="11.44140625" style="327"/>
    <col min="3338" max="3338" width="1.5546875" style="327" customWidth="1"/>
    <col min="3339" max="3563" width="11.44140625" style="327"/>
    <col min="3564" max="3564" width="15.21875" style="327" customWidth="1"/>
    <col min="3565" max="3565" width="13" style="327" bestFit="1" customWidth="1"/>
    <col min="3566" max="3566" width="6.21875" style="327" customWidth="1"/>
    <col min="3567" max="3567" width="7.5546875" style="327" customWidth="1"/>
    <col min="3568" max="3568" width="8" style="327" customWidth="1"/>
    <col min="3569" max="3569" width="10.77734375" style="327" customWidth="1"/>
    <col min="3570" max="3570" width="6.21875" style="327" customWidth="1"/>
    <col min="3571" max="3571" width="7.5546875" style="327" customWidth="1"/>
    <col min="3572" max="3572" width="8.21875" style="327" customWidth="1"/>
    <col min="3573" max="3573" width="10.77734375" style="327" customWidth="1"/>
    <col min="3574" max="3574" width="6.21875" style="327" customWidth="1"/>
    <col min="3575" max="3575" width="7.5546875" style="327" customWidth="1"/>
    <col min="3576" max="3576" width="8.21875" style="327" customWidth="1"/>
    <col min="3577" max="3577" width="10.77734375" style="327" customWidth="1"/>
    <col min="3578" max="3578" width="6.77734375" style="327" customWidth="1"/>
    <col min="3579" max="3579" width="7.5546875" style="327" customWidth="1"/>
    <col min="3580" max="3580" width="8.21875" style="327" customWidth="1"/>
    <col min="3581" max="3581" width="10.77734375" style="327" customWidth="1"/>
    <col min="3582" max="3582" width="6.77734375" style="327" customWidth="1"/>
    <col min="3583" max="3583" width="7.5546875" style="327" customWidth="1"/>
    <col min="3584" max="3584" width="8.21875" style="327" customWidth="1"/>
    <col min="3585" max="3585" width="10.77734375" style="327" customWidth="1"/>
    <col min="3586" max="3588" width="6.77734375" style="327" customWidth="1"/>
    <col min="3589" max="3589" width="11.44140625" style="327" customWidth="1"/>
    <col min="3590" max="3592" width="6.77734375" style="327" customWidth="1"/>
    <col min="3593" max="3593" width="11.44140625" style="327"/>
    <col min="3594" max="3594" width="1.5546875" style="327" customWidth="1"/>
    <col min="3595" max="3819" width="11.44140625" style="327"/>
    <col min="3820" max="3820" width="15.21875" style="327" customWidth="1"/>
    <col min="3821" max="3821" width="13" style="327" bestFit="1" customWidth="1"/>
    <col min="3822" max="3822" width="6.21875" style="327" customWidth="1"/>
    <col min="3823" max="3823" width="7.5546875" style="327" customWidth="1"/>
    <col min="3824" max="3824" width="8" style="327" customWidth="1"/>
    <col min="3825" max="3825" width="10.77734375" style="327" customWidth="1"/>
    <col min="3826" max="3826" width="6.21875" style="327" customWidth="1"/>
    <col min="3827" max="3827" width="7.5546875" style="327" customWidth="1"/>
    <col min="3828" max="3828" width="8.21875" style="327" customWidth="1"/>
    <col min="3829" max="3829" width="10.77734375" style="327" customWidth="1"/>
    <col min="3830" max="3830" width="6.21875" style="327" customWidth="1"/>
    <col min="3831" max="3831" width="7.5546875" style="327" customWidth="1"/>
    <col min="3832" max="3832" width="8.21875" style="327" customWidth="1"/>
    <col min="3833" max="3833" width="10.77734375" style="327" customWidth="1"/>
    <col min="3834" max="3834" width="6.77734375" style="327" customWidth="1"/>
    <col min="3835" max="3835" width="7.5546875" style="327" customWidth="1"/>
    <col min="3836" max="3836" width="8.21875" style="327" customWidth="1"/>
    <col min="3837" max="3837" width="10.77734375" style="327" customWidth="1"/>
    <col min="3838" max="3838" width="6.77734375" style="327" customWidth="1"/>
    <col min="3839" max="3839" width="7.5546875" style="327" customWidth="1"/>
    <col min="3840" max="3840" width="8.21875" style="327" customWidth="1"/>
    <col min="3841" max="3841" width="10.77734375" style="327" customWidth="1"/>
    <col min="3842" max="3844" width="6.77734375" style="327" customWidth="1"/>
    <col min="3845" max="3845" width="11.44140625" style="327" customWidth="1"/>
    <col min="3846" max="3848" width="6.77734375" style="327" customWidth="1"/>
    <col min="3849" max="3849" width="11.44140625" style="327"/>
    <col min="3850" max="3850" width="1.5546875" style="327" customWidth="1"/>
    <col min="3851" max="4075" width="11.44140625" style="327"/>
    <col min="4076" max="4076" width="15.21875" style="327" customWidth="1"/>
    <col min="4077" max="4077" width="13" style="327" bestFit="1" customWidth="1"/>
    <col min="4078" max="4078" width="6.21875" style="327" customWidth="1"/>
    <col min="4079" max="4079" width="7.5546875" style="327" customWidth="1"/>
    <col min="4080" max="4080" width="8" style="327" customWidth="1"/>
    <col min="4081" max="4081" width="10.77734375" style="327" customWidth="1"/>
    <col min="4082" max="4082" width="6.21875" style="327" customWidth="1"/>
    <col min="4083" max="4083" width="7.5546875" style="327" customWidth="1"/>
    <col min="4084" max="4084" width="8.21875" style="327" customWidth="1"/>
    <col min="4085" max="4085" width="10.77734375" style="327" customWidth="1"/>
    <col min="4086" max="4086" width="6.21875" style="327" customWidth="1"/>
    <col min="4087" max="4087" width="7.5546875" style="327" customWidth="1"/>
    <col min="4088" max="4088" width="8.21875" style="327" customWidth="1"/>
    <col min="4089" max="4089" width="10.77734375" style="327" customWidth="1"/>
    <col min="4090" max="4090" width="6.77734375" style="327" customWidth="1"/>
    <col min="4091" max="4091" width="7.5546875" style="327" customWidth="1"/>
    <col min="4092" max="4092" width="8.21875" style="327" customWidth="1"/>
    <col min="4093" max="4093" width="10.77734375" style="327" customWidth="1"/>
    <col min="4094" max="4094" width="6.77734375" style="327" customWidth="1"/>
    <col min="4095" max="4095" width="7.5546875" style="327" customWidth="1"/>
    <col min="4096" max="4096" width="8.21875" style="327" customWidth="1"/>
    <col min="4097" max="4097" width="10.77734375" style="327" customWidth="1"/>
    <col min="4098" max="4100" width="6.77734375" style="327" customWidth="1"/>
    <col min="4101" max="4101" width="11.44140625" style="327" customWidth="1"/>
    <col min="4102" max="4104" width="6.77734375" style="327" customWidth="1"/>
    <col min="4105" max="4105" width="11.44140625" style="327"/>
    <col min="4106" max="4106" width="1.5546875" style="327" customWidth="1"/>
    <col min="4107" max="4331" width="11.44140625" style="327"/>
    <col min="4332" max="4332" width="15.21875" style="327" customWidth="1"/>
    <col min="4333" max="4333" width="13" style="327" bestFit="1" customWidth="1"/>
    <col min="4334" max="4334" width="6.21875" style="327" customWidth="1"/>
    <col min="4335" max="4335" width="7.5546875" style="327" customWidth="1"/>
    <col min="4336" max="4336" width="8" style="327" customWidth="1"/>
    <col min="4337" max="4337" width="10.77734375" style="327" customWidth="1"/>
    <col min="4338" max="4338" width="6.21875" style="327" customWidth="1"/>
    <col min="4339" max="4339" width="7.5546875" style="327" customWidth="1"/>
    <col min="4340" max="4340" width="8.21875" style="327" customWidth="1"/>
    <col min="4341" max="4341" width="10.77734375" style="327" customWidth="1"/>
    <col min="4342" max="4342" width="6.21875" style="327" customWidth="1"/>
    <col min="4343" max="4343" width="7.5546875" style="327" customWidth="1"/>
    <col min="4344" max="4344" width="8.21875" style="327" customWidth="1"/>
    <col min="4345" max="4345" width="10.77734375" style="327" customWidth="1"/>
    <col min="4346" max="4346" width="6.77734375" style="327" customWidth="1"/>
    <col min="4347" max="4347" width="7.5546875" style="327" customWidth="1"/>
    <col min="4348" max="4348" width="8.21875" style="327" customWidth="1"/>
    <col min="4349" max="4349" width="10.77734375" style="327" customWidth="1"/>
    <col min="4350" max="4350" width="6.77734375" style="327" customWidth="1"/>
    <col min="4351" max="4351" width="7.5546875" style="327" customWidth="1"/>
    <col min="4352" max="4352" width="8.21875" style="327" customWidth="1"/>
    <col min="4353" max="4353" width="10.77734375" style="327" customWidth="1"/>
    <col min="4354" max="4356" width="6.77734375" style="327" customWidth="1"/>
    <col min="4357" max="4357" width="11.44140625" style="327" customWidth="1"/>
    <col min="4358" max="4360" width="6.77734375" style="327" customWidth="1"/>
    <col min="4361" max="4361" width="11.44140625" style="327"/>
    <col min="4362" max="4362" width="1.5546875" style="327" customWidth="1"/>
    <col min="4363" max="4587" width="11.44140625" style="327"/>
    <col min="4588" max="4588" width="15.21875" style="327" customWidth="1"/>
    <col min="4589" max="4589" width="13" style="327" bestFit="1" customWidth="1"/>
    <col min="4590" max="4590" width="6.21875" style="327" customWidth="1"/>
    <col min="4591" max="4591" width="7.5546875" style="327" customWidth="1"/>
    <col min="4592" max="4592" width="8" style="327" customWidth="1"/>
    <col min="4593" max="4593" width="10.77734375" style="327" customWidth="1"/>
    <col min="4594" max="4594" width="6.21875" style="327" customWidth="1"/>
    <col min="4595" max="4595" width="7.5546875" style="327" customWidth="1"/>
    <col min="4596" max="4596" width="8.21875" style="327" customWidth="1"/>
    <col min="4597" max="4597" width="10.77734375" style="327" customWidth="1"/>
    <col min="4598" max="4598" width="6.21875" style="327" customWidth="1"/>
    <col min="4599" max="4599" width="7.5546875" style="327" customWidth="1"/>
    <col min="4600" max="4600" width="8.21875" style="327" customWidth="1"/>
    <col min="4601" max="4601" width="10.77734375" style="327" customWidth="1"/>
    <col min="4602" max="4602" width="6.77734375" style="327" customWidth="1"/>
    <col min="4603" max="4603" width="7.5546875" style="327" customWidth="1"/>
    <col min="4604" max="4604" width="8.21875" style="327" customWidth="1"/>
    <col min="4605" max="4605" width="10.77734375" style="327" customWidth="1"/>
    <col min="4606" max="4606" width="6.77734375" style="327" customWidth="1"/>
    <col min="4607" max="4607" width="7.5546875" style="327" customWidth="1"/>
    <col min="4608" max="4608" width="8.21875" style="327" customWidth="1"/>
    <col min="4609" max="4609" width="10.77734375" style="327" customWidth="1"/>
    <col min="4610" max="4612" width="6.77734375" style="327" customWidth="1"/>
    <col min="4613" max="4613" width="11.44140625" style="327" customWidth="1"/>
    <col min="4614" max="4616" width="6.77734375" style="327" customWidth="1"/>
    <col min="4617" max="4617" width="11.44140625" style="327"/>
    <col min="4618" max="4618" width="1.5546875" style="327" customWidth="1"/>
    <col min="4619" max="4843" width="11.44140625" style="327"/>
    <col min="4844" max="4844" width="15.21875" style="327" customWidth="1"/>
    <col min="4845" max="4845" width="13" style="327" bestFit="1" customWidth="1"/>
    <col min="4846" max="4846" width="6.21875" style="327" customWidth="1"/>
    <col min="4847" max="4847" width="7.5546875" style="327" customWidth="1"/>
    <col min="4848" max="4848" width="8" style="327" customWidth="1"/>
    <col min="4849" max="4849" width="10.77734375" style="327" customWidth="1"/>
    <col min="4850" max="4850" width="6.21875" style="327" customWidth="1"/>
    <col min="4851" max="4851" width="7.5546875" style="327" customWidth="1"/>
    <col min="4852" max="4852" width="8.21875" style="327" customWidth="1"/>
    <col min="4853" max="4853" width="10.77734375" style="327" customWidth="1"/>
    <col min="4854" max="4854" width="6.21875" style="327" customWidth="1"/>
    <col min="4855" max="4855" width="7.5546875" style="327" customWidth="1"/>
    <col min="4856" max="4856" width="8.21875" style="327" customWidth="1"/>
    <col min="4857" max="4857" width="10.77734375" style="327" customWidth="1"/>
    <col min="4858" max="4858" width="6.77734375" style="327" customWidth="1"/>
    <col min="4859" max="4859" width="7.5546875" style="327" customWidth="1"/>
    <col min="4860" max="4860" width="8.21875" style="327" customWidth="1"/>
    <col min="4861" max="4861" width="10.77734375" style="327" customWidth="1"/>
    <col min="4862" max="4862" width="6.77734375" style="327" customWidth="1"/>
    <col min="4863" max="4863" width="7.5546875" style="327" customWidth="1"/>
    <col min="4864" max="4864" width="8.21875" style="327" customWidth="1"/>
    <col min="4865" max="4865" width="10.77734375" style="327" customWidth="1"/>
    <col min="4866" max="4868" width="6.77734375" style="327" customWidth="1"/>
    <col min="4869" max="4869" width="11.44140625" style="327" customWidth="1"/>
    <col min="4870" max="4872" width="6.77734375" style="327" customWidth="1"/>
    <col min="4873" max="4873" width="11.44140625" style="327"/>
    <col min="4874" max="4874" width="1.5546875" style="327" customWidth="1"/>
    <col min="4875" max="5099" width="11.44140625" style="327"/>
    <col min="5100" max="5100" width="15.21875" style="327" customWidth="1"/>
    <col min="5101" max="5101" width="13" style="327" bestFit="1" customWidth="1"/>
    <col min="5102" max="5102" width="6.21875" style="327" customWidth="1"/>
    <col min="5103" max="5103" width="7.5546875" style="327" customWidth="1"/>
    <col min="5104" max="5104" width="8" style="327" customWidth="1"/>
    <col min="5105" max="5105" width="10.77734375" style="327" customWidth="1"/>
    <col min="5106" max="5106" width="6.21875" style="327" customWidth="1"/>
    <col min="5107" max="5107" width="7.5546875" style="327" customWidth="1"/>
    <col min="5108" max="5108" width="8.21875" style="327" customWidth="1"/>
    <col min="5109" max="5109" width="10.77734375" style="327" customWidth="1"/>
    <col min="5110" max="5110" width="6.21875" style="327" customWidth="1"/>
    <col min="5111" max="5111" width="7.5546875" style="327" customWidth="1"/>
    <col min="5112" max="5112" width="8.21875" style="327" customWidth="1"/>
    <col min="5113" max="5113" width="10.77734375" style="327" customWidth="1"/>
    <col min="5114" max="5114" width="6.77734375" style="327" customWidth="1"/>
    <col min="5115" max="5115" width="7.5546875" style="327" customWidth="1"/>
    <col min="5116" max="5116" width="8.21875" style="327" customWidth="1"/>
    <col min="5117" max="5117" width="10.77734375" style="327" customWidth="1"/>
    <col min="5118" max="5118" width="6.77734375" style="327" customWidth="1"/>
    <col min="5119" max="5119" width="7.5546875" style="327" customWidth="1"/>
    <col min="5120" max="5120" width="8.21875" style="327" customWidth="1"/>
    <col min="5121" max="5121" width="10.77734375" style="327" customWidth="1"/>
    <col min="5122" max="5124" width="6.77734375" style="327" customWidth="1"/>
    <col min="5125" max="5125" width="11.44140625" style="327" customWidth="1"/>
    <col min="5126" max="5128" width="6.77734375" style="327" customWidth="1"/>
    <col min="5129" max="5129" width="11.44140625" style="327"/>
    <col min="5130" max="5130" width="1.5546875" style="327" customWidth="1"/>
    <col min="5131" max="5355" width="11.44140625" style="327"/>
    <col min="5356" max="5356" width="15.21875" style="327" customWidth="1"/>
    <col min="5357" max="5357" width="13" style="327" bestFit="1" customWidth="1"/>
    <col min="5358" max="5358" width="6.21875" style="327" customWidth="1"/>
    <col min="5359" max="5359" width="7.5546875" style="327" customWidth="1"/>
    <col min="5360" max="5360" width="8" style="327" customWidth="1"/>
    <col min="5361" max="5361" width="10.77734375" style="327" customWidth="1"/>
    <col min="5362" max="5362" width="6.21875" style="327" customWidth="1"/>
    <col min="5363" max="5363" width="7.5546875" style="327" customWidth="1"/>
    <col min="5364" max="5364" width="8.21875" style="327" customWidth="1"/>
    <col min="5365" max="5365" width="10.77734375" style="327" customWidth="1"/>
    <col min="5366" max="5366" width="6.21875" style="327" customWidth="1"/>
    <col min="5367" max="5367" width="7.5546875" style="327" customWidth="1"/>
    <col min="5368" max="5368" width="8.21875" style="327" customWidth="1"/>
    <col min="5369" max="5369" width="10.77734375" style="327" customWidth="1"/>
    <col min="5370" max="5370" width="6.77734375" style="327" customWidth="1"/>
    <col min="5371" max="5371" width="7.5546875" style="327" customWidth="1"/>
    <col min="5372" max="5372" width="8.21875" style="327" customWidth="1"/>
    <col min="5373" max="5373" width="10.77734375" style="327" customWidth="1"/>
    <col min="5374" max="5374" width="6.77734375" style="327" customWidth="1"/>
    <col min="5375" max="5375" width="7.5546875" style="327" customWidth="1"/>
    <col min="5376" max="5376" width="8.21875" style="327" customWidth="1"/>
    <col min="5377" max="5377" width="10.77734375" style="327" customWidth="1"/>
    <col min="5378" max="5380" width="6.77734375" style="327" customWidth="1"/>
    <col min="5381" max="5381" width="11.44140625" style="327" customWidth="1"/>
    <col min="5382" max="5384" width="6.77734375" style="327" customWidth="1"/>
    <col min="5385" max="5385" width="11.44140625" style="327"/>
    <col min="5386" max="5386" width="1.5546875" style="327" customWidth="1"/>
    <col min="5387" max="5611" width="11.44140625" style="327"/>
    <col min="5612" max="5612" width="15.21875" style="327" customWidth="1"/>
    <col min="5613" max="5613" width="13" style="327" bestFit="1" customWidth="1"/>
    <col min="5614" max="5614" width="6.21875" style="327" customWidth="1"/>
    <col min="5615" max="5615" width="7.5546875" style="327" customWidth="1"/>
    <col min="5616" max="5616" width="8" style="327" customWidth="1"/>
    <col min="5617" max="5617" width="10.77734375" style="327" customWidth="1"/>
    <col min="5618" max="5618" width="6.21875" style="327" customWidth="1"/>
    <col min="5619" max="5619" width="7.5546875" style="327" customWidth="1"/>
    <col min="5620" max="5620" width="8.21875" style="327" customWidth="1"/>
    <col min="5621" max="5621" width="10.77734375" style="327" customWidth="1"/>
    <col min="5622" max="5622" width="6.21875" style="327" customWidth="1"/>
    <col min="5623" max="5623" width="7.5546875" style="327" customWidth="1"/>
    <col min="5624" max="5624" width="8.21875" style="327" customWidth="1"/>
    <col min="5625" max="5625" width="10.77734375" style="327" customWidth="1"/>
    <col min="5626" max="5626" width="6.77734375" style="327" customWidth="1"/>
    <col min="5627" max="5627" width="7.5546875" style="327" customWidth="1"/>
    <col min="5628" max="5628" width="8.21875" style="327" customWidth="1"/>
    <col min="5629" max="5629" width="10.77734375" style="327" customWidth="1"/>
    <col min="5630" max="5630" width="6.77734375" style="327" customWidth="1"/>
    <col min="5631" max="5631" width="7.5546875" style="327" customWidth="1"/>
    <col min="5632" max="5632" width="8.21875" style="327" customWidth="1"/>
    <col min="5633" max="5633" width="10.77734375" style="327" customWidth="1"/>
    <col min="5634" max="5636" width="6.77734375" style="327" customWidth="1"/>
    <col min="5637" max="5637" width="11.44140625" style="327" customWidth="1"/>
    <col min="5638" max="5640" width="6.77734375" style="327" customWidth="1"/>
    <col min="5641" max="5641" width="11.44140625" style="327"/>
    <col min="5642" max="5642" width="1.5546875" style="327" customWidth="1"/>
    <col min="5643" max="5867" width="11.44140625" style="327"/>
    <col min="5868" max="5868" width="15.21875" style="327" customWidth="1"/>
    <col min="5869" max="5869" width="13" style="327" bestFit="1" customWidth="1"/>
    <col min="5870" max="5870" width="6.21875" style="327" customWidth="1"/>
    <col min="5871" max="5871" width="7.5546875" style="327" customWidth="1"/>
    <col min="5872" max="5872" width="8" style="327" customWidth="1"/>
    <col min="5873" max="5873" width="10.77734375" style="327" customWidth="1"/>
    <col min="5874" max="5874" width="6.21875" style="327" customWidth="1"/>
    <col min="5875" max="5875" width="7.5546875" style="327" customWidth="1"/>
    <col min="5876" max="5876" width="8.21875" style="327" customWidth="1"/>
    <col min="5877" max="5877" width="10.77734375" style="327" customWidth="1"/>
    <col min="5878" max="5878" width="6.21875" style="327" customWidth="1"/>
    <col min="5879" max="5879" width="7.5546875" style="327" customWidth="1"/>
    <col min="5880" max="5880" width="8.21875" style="327" customWidth="1"/>
    <col min="5881" max="5881" width="10.77734375" style="327" customWidth="1"/>
    <col min="5882" max="5882" width="6.77734375" style="327" customWidth="1"/>
    <col min="5883" max="5883" width="7.5546875" style="327" customWidth="1"/>
    <col min="5884" max="5884" width="8.21875" style="327" customWidth="1"/>
    <col min="5885" max="5885" width="10.77734375" style="327" customWidth="1"/>
    <col min="5886" max="5886" width="6.77734375" style="327" customWidth="1"/>
    <col min="5887" max="5887" width="7.5546875" style="327" customWidth="1"/>
    <col min="5888" max="5888" width="8.21875" style="327" customWidth="1"/>
    <col min="5889" max="5889" width="10.77734375" style="327" customWidth="1"/>
    <col min="5890" max="5892" width="6.77734375" style="327" customWidth="1"/>
    <col min="5893" max="5893" width="11.44140625" style="327" customWidth="1"/>
    <col min="5894" max="5896" width="6.77734375" style="327" customWidth="1"/>
    <col min="5897" max="5897" width="11.44140625" style="327"/>
    <col min="5898" max="5898" width="1.5546875" style="327" customWidth="1"/>
    <col min="5899" max="6123" width="11.44140625" style="327"/>
    <col min="6124" max="6124" width="15.21875" style="327" customWidth="1"/>
    <col min="6125" max="6125" width="13" style="327" bestFit="1" customWidth="1"/>
    <col min="6126" max="6126" width="6.21875" style="327" customWidth="1"/>
    <col min="6127" max="6127" width="7.5546875" style="327" customWidth="1"/>
    <col min="6128" max="6128" width="8" style="327" customWidth="1"/>
    <col min="6129" max="6129" width="10.77734375" style="327" customWidth="1"/>
    <col min="6130" max="6130" width="6.21875" style="327" customWidth="1"/>
    <col min="6131" max="6131" width="7.5546875" style="327" customWidth="1"/>
    <col min="6132" max="6132" width="8.21875" style="327" customWidth="1"/>
    <col min="6133" max="6133" width="10.77734375" style="327" customWidth="1"/>
    <col min="6134" max="6134" width="6.21875" style="327" customWidth="1"/>
    <col min="6135" max="6135" width="7.5546875" style="327" customWidth="1"/>
    <col min="6136" max="6136" width="8.21875" style="327" customWidth="1"/>
    <col min="6137" max="6137" width="10.77734375" style="327" customWidth="1"/>
    <col min="6138" max="6138" width="6.77734375" style="327" customWidth="1"/>
    <col min="6139" max="6139" width="7.5546875" style="327" customWidth="1"/>
    <col min="6140" max="6140" width="8.21875" style="327" customWidth="1"/>
    <col min="6141" max="6141" width="10.77734375" style="327" customWidth="1"/>
    <col min="6142" max="6142" width="6.77734375" style="327" customWidth="1"/>
    <col min="6143" max="6143" width="7.5546875" style="327" customWidth="1"/>
    <col min="6144" max="6144" width="8.21875" style="327" customWidth="1"/>
    <col min="6145" max="6145" width="10.77734375" style="327" customWidth="1"/>
    <col min="6146" max="6148" width="6.77734375" style="327" customWidth="1"/>
    <col min="6149" max="6149" width="11.44140625" style="327" customWidth="1"/>
    <col min="6150" max="6152" width="6.77734375" style="327" customWidth="1"/>
    <col min="6153" max="6153" width="11.44140625" style="327"/>
    <col min="6154" max="6154" width="1.5546875" style="327" customWidth="1"/>
    <col min="6155" max="6379" width="11.44140625" style="327"/>
    <col min="6380" max="6380" width="15.21875" style="327" customWidth="1"/>
    <col min="6381" max="6381" width="13" style="327" bestFit="1" customWidth="1"/>
    <col min="6382" max="6382" width="6.21875" style="327" customWidth="1"/>
    <col min="6383" max="6383" width="7.5546875" style="327" customWidth="1"/>
    <col min="6384" max="6384" width="8" style="327" customWidth="1"/>
    <col min="6385" max="6385" width="10.77734375" style="327" customWidth="1"/>
    <col min="6386" max="6386" width="6.21875" style="327" customWidth="1"/>
    <col min="6387" max="6387" width="7.5546875" style="327" customWidth="1"/>
    <col min="6388" max="6388" width="8.21875" style="327" customWidth="1"/>
    <col min="6389" max="6389" width="10.77734375" style="327" customWidth="1"/>
    <col min="6390" max="6390" width="6.21875" style="327" customWidth="1"/>
    <col min="6391" max="6391" width="7.5546875" style="327" customWidth="1"/>
    <col min="6392" max="6392" width="8.21875" style="327" customWidth="1"/>
    <col min="6393" max="6393" width="10.77734375" style="327" customWidth="1"/>
    <col min="6394" max="6394" width="6.77734375" style="327" customWidth="1"/>
    <col min="6395" max="6395" width="7.5546875" style="327" customWidth="1"/>
    <col min="6396" max="6396" width="8.21875" style="327" customWidth="1"/>
    <col min="6397" max="6397" width="10.77734375" style="327" customWidth="1"/>
    <col min="6398" max="6398" width="6.77734375" style="327" customWidth="1"/>
    <col min="6399" max="6399" width="7.5546875" style="327" customWidth="1"/>
    <col min="6400" max="6400" width="8.21875" style="327" customWidth="1"/>
    <col min="6401" max="6401" width="10.77734375" style="327" customWidth="1"/>
    <col min="6402" max="6404" width="6.77734375" style="327" customWidth="1"/>
    <col min="6405" max="6405" width="11.44140625" style="327" customWidth="1"/>
    <col min="6406" max="6408" width="6.77734375" style="327" customWidth="1"/>
    <col min="6409" max="6409" width="11.44140625" style="327"/>
    <col min="6410" max="6410" width="1.5546875" style="327" customWidth="1"/>
    <col min="6411" max="6635" width="11.44140625" style="327"/>
    <col min="6636" max="6636" width="15.21875" style="327" customWidth="1"/>
    <col min="6637" max="6637" width="13" style="327" bestFit="1" customWidth="1"/>
    <col min="6638" max="6638" width="6.21875" style="327" customWidth="1"/>
    <col min="6639" max="6639" width="7.5546875" style="327" customWidth="1"/>
    <col min="6640" max="6640" width="8" style="327" customWidth="1"/>
    <col min="6641" max="6641" width="10.77734375" style="327" customWidth="1"/>
    <col min="6642" max="6642" width="6.21875" style="327" customWidth="1"/>
    <col min="6643" max="6643" width="7.5546875" style="327" customWidth="1"/>
    <col min="6644" max="6644" width="8.21875" style="327" customWidth="1"/>
    <col min="6645" max="6645" width="10.77734375" style="327" customWidth="1"/>
    <col min="6646" max="6646" width="6.21875" style="327" customWidth="1"/>
    <col min="6647" max="6647" width="7.5546875" style="327" customWidth="1"/>
    <col min="6648" max="6648" width="8.21875" style="327" customWidth="1"/>
    <col min="6649" max="6649" width="10.77734375" style="327" customWidth="1"/>
    <col min="6650" max="6650" width="6.77734375" style="327" customWidth="1"/>
    <col min="6651" max="6651" width="7.5546875" style="327" customWidth="1"/>
    <col min="6652" max="6652" width="8.21875" style="327" customWidth="1"/>
    <col min="6653" max="6653" width="10.77734375" style="327" customWidth="1"/>
    <col min="6654" max="6654" width="6.77734375" style="327" customWidth="1"/>
    <col min="6655" max="6655" width="7.5546875" style="327" customWidth="1"/>
    <col min="6656" max="6656" width="8.21875" style="327" customWidth="1"/>
    <col min="6657" max="6657" width="10.77734375" style="327" customWidth="1"/>
    <col min="6658" max="6660" width="6.77734375" style="327" customWidth="1"/>
    <col min="6661" max="6661" width="11.44140625" style="327" customWidth="1"/>
    <col min="6662" max="6664" width="6.77734375" style="327" customWidth="1"/>
    <col min="6665" max="6665" width="11.44140625" style="327"/>
    <col min="6666" max="6666" width="1.5546875" style="327" customWidth="1"/>
    <col min="6667" max="6891" width="11.44140625" style="327"/>
    <col min="6892" max="6892" width="15.21875" style="327" customWidth="1"/>
    <col min="6893" max="6893" width="13" style="327" bestFit="1" customWidth="1"/>
    <col min="6894" max="6894" width="6.21875" style="327" customWidth="1"/>
    <col min="6895" max="6895" width="7.5546875" style="327" customWidth="1"/>
    <col min="6896" max="6896" width="8" style="327" customWidth="1"/>
    <col min="6897" max="6897" width="10.77734375" style="327" customWidth="1"/>
    <col min="6898" max="6898" width="6.21875" style="327" customWidth="1"/>
    <col min="6899" max="6899" width="7.5546875" style="327" customWidth="1"/>
    <col min="6900" max="6900" width="8.21875" style="327" customWidth="1"/>
    <col min="6901" max="6901" width="10.77734375" style="327" customWidth="1"/>
    <col min="6902" max="6902" width="6.21875" style="327" customWidth="1"/>
    <col min="6903" max="6903" width="7.5546875" style="327" customWidth="1"/>
    <col min="6904" max="6904" width="8.21875" style="327" customWidth="1"/>
    <col min="6905" max="6905" width="10.77734375" style="327" customWidth="1"/>
    <col min="6906" max="6906" width="6.77734375" style="327" customWidth="1"/>
    <col min="6907" max="6907" width="7.5546875" style="327" customWidth="1"/>
    <col min="6908" max="6908" width="8.21875" style="327" customWidth="1"/>
    <col min="6909" max="6909" width="10.77734375" style="327" customWidth="1"/>
    <col min="6910" max="6910" width="6.77734375" style="327" customWidth="1"/>
    <col min="6911" max="6911" width="7.5546875" style="327" customWidth="1"/>
    <col min="6912" max="6912" width="8.21875" style="327" customWidth="1"/>
    <col min="6913" max="6913" width="10.77734375" style="327" customWidth="1"/>
    <col min="6914" max="6916" width="6.77734375" style="327" customWidth="1"/>
    <col min="6917" max="6917" width="11.44140625" style="327" customWidth="1"/>
    <col min="6918" max="6920" width="6.77734375" style="327" customWidth="1"/>
    <col min="6921" max="6921" width="11.44140625" style="327"/>
    <col min="6922" max="6922" width="1.5546875" style="327" customWidth="1"/>
    <col min="6923" max="7147" width="11.44140625" style="327"/>
    <col min="7148" max="7148" width="15.21875" style="327" customWidth="1"/>
    <col min="7149" max="7149" width="13" style="327" bestFit="1" customWidth="1"/>
    <col min="7150" max="7150" width="6.21875" style="327" customWidth="1"/>
    <col min="7151" max="7151" width="7.5546875" style="327" customWidth="1"/>
    <col min="7152" max="7152" width="8" style="327" customWidth="1"/>
    <col min="7153" max="7153" width="10.77734375" style="327" customWidth="1"/>
    <col min="7154" max="7154" width="6.21875" style="327" customWidth="1"/>
    <col min="7155" max="7155" width="7.5546875" style="327" customWidth="1"/>
    <col min="7156" max="7156" width="8.21875" style="327" customWidth="1"/>
    <col min="7157" max="7157" width="10.77734375" style="327" customWidth="1"/>
    <col min="7158" max="7158" width="6.21875" style="327" customWidth="1"/>
    <col min="7159" max="7159" width="7.5546875" style="327" customWidth="1"/>
    <col min="7160" max="7160" width="8.21875" style="327" customWidth="1"/>
    <col min="7161" max="7161" width="10.77734375" style="327" customWidth="1"/>
    <col min="7162" max="7162" width="6.77734375" style="327" customWidth="1"/>
    <col min="7163" max="7163" width="7.5546875" style="327" customWidth="1"/>
    <col min="7164" max="7164" width="8.21875" style="327" customWidth="1"/>
    <col min="7165" max="7165" width="10.77734375" style="327" customWidth="1"/>
    <col min="7166" max="7166" width="6.77734375" style="327" customWidth="1"/>
    <col min="7167" max="7167" width="7.5546875" style="327" customWidth="1"/>
    <col min="7168" max="7168" width="8.21875" style="327" customWidth="1"/>
    <col min="7169" max="7169" width="10.77734375" style="327" customWidth="1"/>
    <col min="7170" max="7172" width="6.77734375" style="327" customWidth="1"/>
    <col min="7173" max="7173" width="11.44140625" style="327" customWidth="1"/>
    <col min="7174" max="7176" width="6.77734375" style="327" customWidth="1"/>
    <col min="7177" max="7177" width="11.44140625" style="327"/>
    <col min="7178" max="7178" width="1.5546875" style="327" customWidth="1"/>
    <col min="7179" max="7403" width="11.44140625" style="327"/>
    <col min="7404" max="7404" width="15.21875" style="327" customWidth="1"/>
    <col min="7405" max="7405" width="13" style="327" bestFit="1" customWidth="1"/>
    <col min="7406" max="7406" width="6.21875" style="327" customWidth="1"/>
    <col min="7407" max="7407" width="7.5546875" style="327" customWidth="1"/>
    <col min="7408" max="7408" width="8" style="327" customWidth="1"/>
    <col min="7409" max="7409" width="10.77734375" style="327" customWidth="1"/>
    <col min="7410" max="7410" width="6.21875" style="327" customWidth="1"/>
    <col min="7411" max="7411" width="7.5546875" style="327" customWidth="1"/>
    <col min="7412" max="7412" width="8.21875" style="327" customWidth="1"/>
    <col min="7413" max="7413" width="10.77734375" style="327" customWidth="1"/>
    <col min="7414" max="7414" width="6.21875" style="327" customWidth="1"/>
    <col min="7415" max="7415" width="7.5546875" style="327" customWidth="1"/>
    <col min="7416" max="7416" width="8.21875" style="327" customWidth="1"/>
    <col min="7417" max="7417" width="10.77734375" style="327" customWidth="1"/>
    <col min="7418" max="7418" width="6.77734375" style="327" customWidth="1"/>
    <col min="7419" max="7419" width="7.5546875" style="327" customWidth="1"/>
    <col min="7420" max="7420" width="8.21875" style="327" customWidth="1"/>
    <col min="7421" max="7421" width="10.77734375" style="327" customWidth="1"/>
    <col min="7422" max="7422" width="6.77734375" style="327" customWidth="1"/>
    <col min="7423" max="7423" width="7.5546875" style="327" customWidth="1"/>
    <col min="7424" max="7424" width="8.21875" style="327" customWidth="1"/>
    <col min="7425" max="7425" width="10.77734375" style="327" customWidth="1"/>
    <col min="7426" max="7428" width="6.77734375" style="327" customWidth="1"/>
    <col min="7429" max="7429" width="11.44140625" style="327" customWidth="1"/>
    <col min="7430" max="7432" width="6.77734375" style="327" customWidth="1"/>
    <col min="7433" max="7433" width="11.44140625" style="327"/>
    <col min="7434" max="7434" width="1.5546875" style="327" customWidth="1"/>
    <col min="7435" max="7659" width="11.44140625" style="327"/>
    <col min="7660" max="7660" width="15.21875" style="327" customWidth="1"/>
    <col min="7661" max="7661" width="13" style="327" bestFit="1" customWidth="1"/>
    <col min="7662" max="7662" width="6.21875" style="327" customWidth="1"/>
    <col min="7663" max="7663" width="7.5546875" style="327" customWidth="1"/>
    <col min="7664" max="7664" width="8" style="327" customWidth="1"/>
    <col min="7665" max="7665" width="10.77734375" style="327" customWidth="1"/>
    <col min="7666" max="7666" width="6.21875" style="327" customWidth="1"/>
    <col min="7667" max="7667" width="7.5546875" style="327" customWidth="1"/>
    <col min="7668" max="7668" width="8.21875" style="327" customWidth="1"/>
    <col min="7669" max="7669" width="10.77734375" style="327" customWidth="1"/>
    <col min="7670" max="7670" width="6.21875" style="327" customWidth="1"/>
    <col min="7671" max="7671" width="7.5546875" style="327" customWidth="1"/>
    <col min="7672" max="7672" width="8.21875" style="327" customWidth="1"/>
    <col min="7673" max="7673" width="10.77734375" style="327" customWidth="1"/>
    <col min="7674" max="7674" width="6.77734375" style="327" customWidth="1"/>
    <col min="7675" max="7675" width="7.5546875" style="327" customWidth="1"/>
    <col min="7676" max="7676" width="8.21875" style="327" customWidth="1"/>
    <col min="7677" max="7677" width="10.77734375" style="327" customWidth="1"/>
    <col min="7678" max="7678" width="6.77734375" style="327" customWidth="1"/>
    <col min="7679" max="7679" width="7.5546875" style="327" customWidth="1"/>
    <col min="7680" max="7680" width="8.21875" style="327" customWidth="1"/>
    <col min="7681" max="7681" width="10.77734375" style="327" customWidth="1"/>
    <col min="7682" max="7684" width="6.77734375" style="327" customWidth="1"/>
    <col min="7685" max="7685" width="11.44140625" style="327" customWidth="1"/>
    <col min="7686" max="7688" width="6.77734375" style="327" customWidth="1"/>
    <col min="7689" max="7689" width="11.44140625" style="327"/>
    <col min="7690" max="7690" width="1.5546875" style="327" customWidth="1"/>
    <col min="7691" max="7915" width="11.44140625" style="327"/>
    <col min="7916" max="7916" width="15.21875" style="327" customWidth="1"/>
    <col min="7917" max="7917" width="13" style="327" bestFit="1" customWidth="1"/>
    <col min="7918" max="7918" width="6.21875" style="327" customWidth="1"/>
    <col min="7919" max="7919" width="7.5546875" style="327" customWidth="1"/>
    <col min="7920" max="7920" width="8" style="327" customWidth="1"/>
    <col min="7921" max="7921" width="10.77734375" style="327" customWidth="1"/>
    <col min="7922" max="7922" width="6.21875" style="327" customWidth="1"/>
    <col min="7923" max="7923" width="7.5546875" style="327" customWidth="1"/>
    <col min="7924" max="7924" width="8.21875" style="327" customWidth="1"/>
    <col min="7925" max="7925" width="10.77734375" style="327" customWidth="1"/>
    <col min="7926" max="7926" width="6.21875" style="327" customWidth="1"/>
    <col min="7927" max="7927" width="7.5546875" style="327" customWidth="1"/>
    <col min="7928" max="7928" width="8.21875" style="327" customWidth="1"/>
    <col min="7929" max="7929" width="10.77734375" style="327" customWidth="1"/>
    <col min="7930" max="7930" width="6.77734375" style="327" customWidth="1"/>
    <col min="7931" max="7931" width="7.5546875" style="327" customWidth="1"/>
    <col min="7932" max="7932" width="8.21875" style="327" customWidth="1"/>
    <col min="7933" max="7933" width="10.77734375" style="327" customWidth="1"/>
    <col min="7934" max="7934" width="6.77734375" style="327" customWidth="1"/>
    <col min="7935" max="7935" width="7.5546875" style="327" customWidth="1"/>
    <col min="7936" max="7936" width="8.21875" style="327" customWidth="1"/>
    <col min="7937" max="7937" width="10.77734375" style="327" customWidth="1"/>
    <col min="7938" max="7940" width="6.77734375" style="327" customWidth="1"/>
    <col min="7941" max="7941" width="11.44140625" style="327" customWidth="1"/>
    <col min="7942" max="7944" width="6.77734375" style="327" customWidth="1"/>
    <col min="7945" max="7945" width="11.44140625" style="327"/>
    <col min="7946" max="7946" width="1.5546875" style="327" customWidth="1"/>
    <col min="7947" max="8171" width="11.44140625" style="327"/>
    <col min="8172" max="8172" width="15.21875" style="327" customWidth="1"/>
    <col min="8173" max="8173" width="13" style="327" bestFit="1" customWidth="1"/>
    <col min="8174" max="8174" width="6.21875" style="327" customWidth="1"/>
    <col min="8175" max="8175" width="7.5546875" style="327" customWidth="1"/>
    <col min="8176" max="8176" width="8" style="327" customWidth="1"/>
    <col min="8177" max="8177" width="10.77734375" style="327" customWidth="1"/>
    <col min="8178" max="8178" width="6.21875" style="327" customWidth="1"/>
    <col min="8179" max="8179" width="7.5546875" style="327" customWidth="1"/>
    <col min="8180" max="8180" width="8.21875" style="327" customWidth="1"/>
    <col min="8181" max="8181" width="10.77734375" style="327" customWidth="1"/>
    <col min="8182" max="8182" width="6.21875" style="327" customWidth="1"/>
    <col min="8183" max="8183" width="7.5546875" style="327" customWidth="1"/>
    <col min="8184" max="8184" width="8.21875" style="327" customWidth="1"/>
    <col min="8185" max="8185" width="10.77734375" style="327" customWidth="1"/>
    <col min="8186" max="8186" width="6.77734375" style="327" customWidth="1"/>
    <col min="8187" max="8187" width="7.5546875" style="327" customWidth="1"/>
    <col min="8188" max="8188" width="8.21875" style="327" customWidth="1"/>
    <col min="8189" max="8189" width="10.77734375" style="327" customWidth="1"/>
    <col min="8190" max="8190" width="6.77734375" style="327" customWidth="1"/>
    <col min="8191" max="8191" width="7.5546875" style="327" customWidth="1"/>
    <col min="8192" max="8192" width="8.21875" style="327" customWidth="1"/>
    <col min="8193" max="8193" width="10.77734375" style="327" customWidth="1"/>
    <col min="8194" max="8196" width="6.77734375" style="327" customWidth="1"/>
    <col min="8197" max="8197" width="11.44140625" style="327" customWidth="1"/>
    <col min="8198" max="8200" width="6.77734375" style="327" customWidth="1"/>
    <col min="8201" max="8201" width="11.44140625" style="327"/>
    <col min="8202" max="8202" width="1.5546875" style="327" customWidth="1"/>
    <col min="8203" max="8427" width="11.44140625" style="327"/>
    <col min="8428" max="8428" width="15.21875" style="327" customWidth="1"/>
    <col min="8429" max="8429" width="13" style="327" bestFit="1" customWidth="1"/>
    <col min="8430" max="8430" width="6.21875" style="327" customWidth="1"/>
    <col min="8431" max="8431" width="7.5546875" style="327" customWidth="1"/>
    <col min="8432" max="8432" width="8" style="327" customWidth="1"/>
    <col min="8433" max="8433" width="10.77734375" style="327" customWidth="1"/>
    <col min="8434" max="8434" width="6.21875" style="327" customWidth="1"/>
    <col min="8435" max="8435" width="7.5546875" style="327" customWidth="1"/>
    <col min="8436" max="8436" width="8.21875" style="327" customWidth="1"/>
    <col min="8437" max="8437" width="10.77734375" style="327" customWidth="1"/>
    <col min="8438" max="8438" width="6.21875" style="327" customWidth="1"/>
    <col min="8439" max="8439" width="7.5546875" style="327" customWidth="1"/>
    <col min="8440" max="8440" width="8.21875" style="327" customWidth="1"/>
    <col min="8441" max="8441" width="10.77734375" style="327" customWidth="1"/>
    <col min="8442" max="8442" width="6.77734375" style="327" customWidth="1"/>
    <col min="8443" max="8443" width="7.5546875" style="327" customWidth="1"/>
    <col min="8444" max="8444" width="8.21875" style="327" customWidth="1"/>
    <col min="8445" max="8445" width="10.77734375" style="327" customWidth="1"/>
    <col min="8446" max="8446" width="6.77734375" style="327" customWidth="1"/>
    <col min="8447" max="8447" width="7.5546875" style="327" customWidth="1"/>
    <col min="8448" max="8448" width="8.21875" style="327" customWidth="1"/>
    <col min="8449" max="8449" width="10.77734375" style="327" customWidth="1"/>
    <col min="8450" max="8452" width="6.77734375" style="327" customWidth="1"/>
    <col min="8453" max="8453" width="11.44140625" style="327" customWidth="1"/>
    <col min="8454" max="8456" width="6.77734375" style="327" customWidth="1"/>
    <col min="8457" max="8457" width="11.44140625" style="327"/>
    <col min="8458" max="8458" width="1.5546875" style="327" customWidth="1"/>
    <col min="8459" max="8683" width="11.44140625" style="327"/>
    <col min="8684" max="8684" width="15.21875" style="327" customWidth="1"/>
    <col min="8685" max="8685" width="13" style="327" bestFit="1" customWidth="1"/>
    <col min="8686" max="8686" width="6.21875" style="327" customWidth="1"/>
    <col min="8687" max="8687" width="7.5546875" style="327" customWidth="1"/>
    <col min="8688" max="8688" width="8" style="327" customWidth="1"/>
    <col min="8689" max="8689" width="10.77734375" style="327" customWidth="1"/>
    <col min="8690" max="8690" width="6.21875" style="327" customWidth="1"/>
    <col min="8691" max="8691" width="7.5546875" style="327" customWidth="1"/>
    <col min="8692" max="8692" width="8.21875" style="327" customWidth="1"/>
    <col min="8693" max="8693" width="10.77734375" style="327" customWidth="1"/>
    <col min="8694" max="8694" width="6.21875" style="327" customWidth="1"/>
    <col min="8695" max="8695" width="7.5546875" style="327" customWidth="1"/>
    <col min="8696" max="8696" width="8.21875" style="327" customWidth="1"/>
    <col min="8697" max="8697" width="10.77734375" style="327" customWidth="1"/>
    <col min="8698" max="8698" width="6.77734375" style="327" customWidth="1"/>
    <col min="8699" max="8699" width="7.5546875" style="327" customWidth="1"/>
    <col min="8700" max="8700" width="8.21875" style="327" customWidth="1"/>
    <col min="8701" max="8701" width="10.77734375" style="327" customWidth="1"/>
    <col min="8702" max="8702" width="6.77734375" style="327" customWidth="1"/>
    <col min="8703" max="8703" width="7.5546875" style="327" customWidth="1"/>
    <col min="8704" max="8704" width="8.21875" style="327" customWidth="1"/>
    <col min="8705" max="8705" width="10.77734375" style="327" customWidth="1"/>
    <col min="8706" max="8708" width="6.77734375" style="327" customWidth="1"/>
    <col min="8709" max="8709" width="11.44140625" style="327" customWidth="1"/>
    <col min="8710" max="8712" width="6.77734375" style="327" customWidth="1"/>
    <col min="8713" max="8713" width="11.44140625" style="327"/>
    <col min="8714" max="8714" width="1.5546875" style="327" customWidth="1"/>
    <col min="8715" max="8939" width="11.44140625" style="327"/>
    <col min="8940" max="8940" width="15.21875" style="327" customWidth="1"/>
    <col min="8941" max="8941" width="13" style="327" bestFit="1" customWidth="1"/>
    <col min="8942" max="8942" width="6.21875" style="327" customWidth="1"/>
    <col min="8943" max="8943" width="7.5546875" style="327" customWidth="1"/>
    <col min="8944" max="8944" width="8" style="327" customWidth="1"/>
    <col min="8945" max="8945" width="10.77734375" style="327" customWidth="1"/>
    <col min="8946" max="8946" width="6.21875" style="327" customWidth="1"/>
    <col min="8947" max="8947" width="7.5546875" style="327" customWidth="1"/>
    <col min="8948" max="8948" width="8.21875" style="327" customWidth="1"/>
    <col min="8949" max="8949" width="10.77734375" style="327" customWidth="1"/>
    <col min="8950" max="8950" width="6.21875" style="327" customWidth="1"/>
    <col min="8951" max="8951" width="7.5546875" style="327" customWidth="1"/>
    <col min="8952" max="8952" width="8.21875" style="327" customWidth="1"/>
    <col min="8953" max="8953" width="10.77734375" style="327" customWidth="1"/>
    <col min="8954" max="8954" width="6.77734375" style="327" customWidth="1"/>
    <col min="8955" max="8955" width="7.5546875" style="327" customWidth="1"/>
    <col min="8956" max="8956" width="8.21875" style="327" customWidth="1"/>
    <col min="8957" max="8957" width="10.77734375" style="327" customWidth="1"/>
    <col min="8958" max="8958" width="6.77734375" style="327" customWidth="1"/>
    <col min="8959" max="8959" width="7.5546875" style="327" customWidth="1"/>
    <col min="8960" max="8960" width="8.21875" style="327" customWidth="1"/>
    <col min="8961" max="8961" width="10.77734375" style="327" customWidth="1"/>
    <col min="8962" max="8964" width="6.77734375" style="327" customWidth="1"/>
    <col min="8965" max="8965" width="11.44140625" style="327" customWidth="1"/>
    <col min="8966" max="8968" width="6.77734375" style="327" customWidth="1"/>
    <col min="8969" max="8969" width="11.44140625" style="327"/>
    <col min="8970" max="8970" width="1.5546875" style="327" customWidth="1"/>
    <col min="8971" max="9195" width="11.44140625" style="327"/>
    <col min="9196" max="9196" width="15.21875" style="327" customWidth="1"/>
    <col min="9197" max="9197" width="13" style="327" bestFit="1" customWidth="1"/>
    <col min="9198" max="9198" width="6.21875" style="327" customWidth="1"/>
    <col min="9199" max="9199" width="7.5546875" style="327" customWidth="1"/>
    <col min="9200" max="9200" width="8" style="327" customWidth="1"/>
    <col min="9201" max="9201" width="10.77734375" style="327" customWidth="1"/>
    <col min="9202" max="9202" width="6.21875" style="327" customWidth="1"/>
    <col min="9203" max="9203" width="7.5546875" style="327" customWidth="1"/>
    <col min="9204" max="9204" width="8.21875" style="327" customWidth="1"/>
    <col min="9205" max="9205" width="10.77734375" style="327" customWidth="1"/>
    <col min="9206" max="9206" width="6.21875" style="327" customWidth="1"/>
    <col min="9207" max="9207" width="7.5546875" style="327" customWidth="1"/>
    <col min="9208" max="9208" width="8.21875" style="327" customWidth="1"/>
    <col min="9209" max="9209" width="10.77734375" style="327" customWidth="1"/>
    <col min="9210" max="9210" width="6.77734375" style="327" customWidth="1"/>
    <col min="9211" max="9211" width="7.5546875" style="327" customWidth="1"/>
    <col min="9212" max="9212" width="8.21875" style="327" customWidth="1"/>
    <col min="9213" max="9213" width="10.77734375" style="327" customWidth="1"/>
    <col min="9214" max="9214" width="6.77734375" style="327" customWidth="1"/>
    <col min="9215" max="9215" width="7.5546875" style="327" customWidth="1"/>
    <col min="9216" max="9216" width="8.21875" style="327" customWidth="1"/>
    <col min="9217" max="9217" width="10.77734375" style="327" customWidth="1"/>
    <col min="9218" max="9220" width="6.77734375" style="327" customWidth="1"/>
    <col min="9221" max="9221" width="11.44140625" style="327" customWidth="1"/>
    <col min="9222" max="9224" width="6.77734375" style="327" customWidth="1"/>
    <col min="9225" max="9225" width="11.44140625" style="327"/>
    <col min="9226" max="9226" width="1.5546875" style="327" customWidth="1"/>
    <col min="9227" max="9451" width="11.44140625" style="327"/>
    <col min="9452" max="9452" width="15.21875" style="327" customWidth="1"/>
    <col min="9453" max="9453" width="13" style="327" bestFit="1" customWidth="1"/>
    <col min="9454" max="9454" width="6.21875" style="327" customWidth="1"/>
    <col min="9455" max="9455" width="7.5546875" style="327" customWidth="1"/>
    <col min="9456" max="9456" width="8" style="327" customWidth="1"/>
    <col min="9457" max="9457" width="10.77734375" style="327" customWidth="1"/>
    <col min="9458" max="9458" width="6.21875" style="327" customWidth="1"/>
    <col min="9459" max="9459" width="7.5546875" style="327" customWidth="1"/>
    <col min="9460" max="9460" width="8.21875" style="327" customWidth="1"/>
    <col min="9461" max="9461" width="10.77734375" style="327" customWidth="1"/>
    <col min="9462" max="9462" width="6.21875" style="327" customWidth="1"/>
    <col min="9463" max="9463" width="7.5546875" style="327" customWidth="1"/>
    <col min="9464" max="9464" width="8.21875" style="327" customWidth="1"/>
    <col min="9465" max="9465" width="10.77734375" style="327" customWidth="1"/>
    <col min="9466" max="9466" width="6.77734375" style="327" customWidth="1"/>
    <col min="9467" max="9467" width="7.5546875" style="327" customWidth="1"/>
    <col min="9468" max="9468" width="8.21875" style="327" customWidth="1"/>
    <col min="9469" max="9469" width="10.77734375" style="327" customWidth="1"/>
    <col min="9470" max="9470" width="6.77734375" style="327" customWidth="1"/>
    <col min="9471" max="9471" width="7.5546875" style="327" customWidth="1"/>
    <col min="9472" max="9472" width="8.21875" style="327" customWidth="1"/>
    <col min="9473" max="9473" width="10.77734375" style="327" customWidth="1"/>
    <col min="9474" max="9476" width="6.77734375" style="327" customWidth="1"/>
    <col min="9477" max="9477" width="11.44140625" style="327" customWidth="1"/>
    <col min="9478" max="9480" width="6.77734375" style="327" customWidth="1"/>
    <col min="9481" max="9481" width="11.44140625" style="327"/>
    <col min="9482" max="9482" width="1.5546875" style="327" customWidth="1"/>
    <col min="9483" max="9707" width="11.44140625" style="327"/>
    <col min="9708" max="9708" width="15.21875" style="327" customWidth="1"/>
    <col min="9709" max="9709" width="13" style="327" bestFit="1" customWidth="1"/>
    <col min="9710" max="9710" width="6.21875" style="327" customWidth="1"/>
    <col min="9711" max="9711" width="7.5546875" style="327" customWidth="1"/>
    <col min="9712" max="9712" width="8" style="327" customWidth="1"/>
    <col min="9713" max="9713" width="10.77734375" style="327" customWidth="1"/>
    <col min="9714" max="9714" width="6.21875" style="327" customWidth="1"/>
    <col min="9715" max="9715" width="7.5546875" style="327" customWidth="1"/>
    <col min="9716" max="9716" width="8.21875" style="327" customWidth="1"/>
    <col min="9717" max="9717" width="10.77734375" style="327" customWidth="1"/>
    <col min="9718" max="9718" width="6.21875" style="327" customWidth="1"/>
    <col min="9719" max="9719" width="7.5546875" style="327" customWidth="1"/>
    <col min="9720" max="9720" width="8.21875" style="327" customWidth="1"/>
    <col min="9721" max="9721" width="10.77734375" style="327" customWidth="1"/>
    <col min="9722" max="9722" width="6.77734375" style="327" customWidth="1"/>
    <col min="9723" max="9723" width="7.5546875" style="327" customWidth="1"/>
    <col min="9724" max="9724" width="8.21875" style="327" customWidth="1"/>
    <col min="9725" max="9725" width="10.77734375" style="327" customWidth="1"/>
    <col min="9726" max="9726" width="6.77734375" style="327" customWidth="1"/>
    <col min="9727" max="9727" width="7.5546875" style="327" customWidth="1"/>
    <col min="9728" max="9728" width="8.21875" style="327" customWidth="1"/>
    <col min="9729" max="9729" width="10.77734375" style="327" customWidth="1"/>
    <col min="9730" max="9732" width="6.77734375" style="327" customWidth="1"/>
    <col min="9733" max="9733" width="11.44140625" style="327" customWidth="1"/>
    <col min="9734" max="9736" width="6.77734375" style="327" customWidth="1"/>
    <col min="9737" max="9737" width="11.44140625" style="327"/>
    <col min="9738" max="9738" width="1.5546875" style="327" customWidth="1"/>
    <col min="9739" max="9963" width="11.44140625" style="327"/>
    <col min="9964" max="9964" width="15.21875" style="327" customWidth="1"/>
    <col min="9965" max="9965" width="13" style="327" bestFit="1" customWidth="1"/>
    <col min="9966" max="9966" width="6.21875" style="327" customWidth="1"/>
    <col min="9967" max="9967" width="7.5546875" style="327" customWidth="1"/>
    <col min="9968" max="9968" width="8" style="327" customWidth="1"/>
    <col min="9969" max="9969" width="10.77734375" style="327" customWidth="1"/>
    <col min="9970" max="9970" width="6.21875" style="327" customWidth="1"/>
    <col min="9971" max="9971" width="7.5546875" style="327" customWidth="1"/>
    <col min="9972" max="9972" width="8.21875" style="327" customWidth="1"/>
    <col min="9973" max="9973" width="10.77734375" style="327" customWidth="1"/>
    <col min="9974" max="9974" width="6.21875" style="327" customWidth="1"/>
    <col min="9975" max="9975" width="7.5546875" style="327" customWidth="1"/>
    <col min="9976" max="9976" width="8.21875" style="327" customWidth="1"/>
    <col min="9977" max="9977" width="10.77734375" style="327" customWidth="1"/>
    <col min="9978" max="9978" width="6.77734375" style="327" customWidth="1"/>
    <col min="9979" max="9979" width="7.5546875" style="327" customWidth="1"/>
    <col min="9980" max="9980" width="8.21875" style="327" customWidth="1"/>
    <col min="9981" max="9981" width="10.77734375" style="327" customWidth="1"/>
    <col min="9982" max="9982" width="6.77734375" style="327" customWidth="1"/>
    <col min="9983" max="9983" width="7.5546875" style="327" customWidth="1"/>
    <col min="9984" max="9984" width="8.21875" style="327" customWidth="1"/>
    <col min="9985" max="9985" width="10.77734375" style="327" customWidth="1"/>
    <col min="9986" max="9988" width="6.77734375" style="327" customWidth="1"/>
    <col min="9989" max="9989" width="11.44140625" style="327" customWidth="1"/>
    <col min="9990" max="9992" width="6.77734375" style="327" customWidth="1"/>
    <col min="9993" max="9993" width="11.44140625" style="327"/>
    <col min="9994" max="9994" width="1.5546875" style="327" customWidth="1"/>
    <col min="9995" max="10219" width="11.44140625" style="327"/>
    <col min="10220" max="10220" width="15.21875" style="327" customWidth="1"/>
    <col min="10221" max="10221" width="13" style="327" bestFit="1" customWidth="1"/>
    <col min="10222" max="10222" width="6.21875" style="327" customWidth="1"/>
    <col min="10223" max="10223" width="7.5546875" style="327" customWidth="1"/>
    <col min="10224" max="10224" width="8" style="327" customWidth="1"/>
    <col min="10225" max="10225" width="10.77734375" style="327" customWidth="1"/>
    <col min="10226" max="10226" width="6.21875" style="327" customWidth="1"/>
    <col min="10227" max="10227" width="7.5546875" style="327" customWidth="1"/>
    <col min="10228" max="10228" width="8.21875" style="327" customWidth="1"/>
    <col min="10229" max="10229" width="10.77734375" style="327" customWidth="1"/>
    <col min="10230" max="10230" width="6.21875" style="327" customWidth="1"/>
    <col min="10231" max="10231" width="7.5546875" style="327" customWidth="1"/>
    <col min="10232" max="10232" width="8.21875" style="327" customWidth="1"/>
    <col min="10233" max="10233" width="10.77734375" style="327" customWidth="1"/>
    <col min="10234" max="10234" width="6.77734375" style="327" customWidth="1"/>
    <col min="10235" max="10235" width="7.5546875" style="327" customWidth="1"/>
    <col min="10236" max="10236" width="8.21875" style="327" customWidth="1"/>
    <col min="10237" max="10237" width="10.77734375" style="327" customWidth="1"/>
    <col min="10238" max="10238" width="6.77734375" style="327" customWidth="1"/>
    <col min="10239" max="10239" width="7.5546875" style="327" customWidth="1"/>
    <col min="10240" max="10240" width="8.21875" style="327" customWidth="1"/>
    <col min="10241" max="10241" width="10.77734375" style="327" customWidth="1"/>
    <col min="10242" max="10244" width="6.77734375" style="327" customWidth="1"/>
    <col min="10245" max="10245" width="11.44140625" style="327" customWidth="1"/>
    <col min="10246" max="10248" width="6.77734375" style="327" customWidth="1"/>
    <col min="10249" max="10249" width="11.44140625" style="327"/>
    <col min="10250" max="10250" width="1.5546875" style="327" customWidth="1"/>
    <col min="10251" max="10475" width="11.44140625" style="327"/>
    <col min="10476" max="10476" width="15.21875" style="327" customWidth="1"/>
    <col min="10477" max="10477" width="13" style="327" bestFit="1" customWidth="1"/>
    <col min="10478" max="10478" width="6.21875" style="327" customWidth="1"/>
    <col min="10479" max="10479" width="7.5546875" style="327" customWidth="1"/>
    <col min="10480" max="10480" width="8" style="327" customWidth="1"/>
    <col min="10481" max="10481" width="10.77734375" style="327" customWidth="1"/>
    <col min="10482" max="10482" width="6.21875" style="327" customWidth="1"/>
    <col min="10483" max="10483" width="7.5546875" style="327" customWidth="1"/>
    <col min="10484" max="10484" width="8.21875" style="327" customWidth="1"/>
    <col min="10485" max="10485" width="10.77734375" style="327" customWidth="1"/>
    <col min="10486" max="10486" width="6.21875" style="327" customWidth="1"/>
    <col min="10487" max="10487" width="7.5546875" style="327" customWidth="1"/>
    <col min="10488" max="10488" width="8.21875" style="327" customWidth="1"/>
    <col min="10489" max="10489" width="10.77734375" style="327" customWidth="1"/>
    <col min="10490" max="10490" width="6.77734375" style="327" customWidth="1"/>
    <col min="10491" max="10491" width="7.5546875" style="327" customWidth="1"/>
    <col min="10492" max="10492" width="8.21875" style="327" customWidth="1"/>
    <col min="10493" max="10493" width="10.77734375" style="327" customWidth="1"/>
    <col min="10494" max="10494" width="6.77734375" style="327" customWidth="1"/>
    <col min="10495" max="10495" width="7.5546875" style="327" customWidth="1"/>
    <col min="10496" max="10496" width="8.21875" style="327" customWidth="1"/>
    <col min="10497" max="10497" width="10.77734375" style="327" customWidth="1"/>
    <col min="10498" max="10500" width="6.77734375" style="327" customWidth="1"/>
    <col min="10501" max="10501" width="11.44140625" style="327" customWidth="1"/>
    <col min="10502" max="10504" width="6.77734375" style="327" customWidth="1"/>
    <col min="10505" max="10505" width="11.44140625" style="327"/>
    <col min="10506" max="10506" width="1.5546875" style="327" customWidth="1"/>
    <col min="10507" max="10731" width="11.44140625" style="327"/>
    <col min="10732" max="10732" width="15.21875" style="327" customWidth="1"/>
    <col min="10733" max="10733" width="13" style="327" bestFit="1" customWidth="1"/>
    <col min="10734" max="10734" width="6.21875" style="327" customWidth="1"/>
    <col min="10735" max="10735" width="7.5546875" style="327" customWidth="1"/>
    <col min="10736" max="10736" width="8" style="327" customWidth="1"/>
    <col min="10737" max="10737" width="10.77734375" style="327" customWidth="1"/>
    <col min="10738" max="10738" width="6.21875" style="327" customWidth="1"/>
    <col min="10739" max="10739" width="7.5546875" style="327" customWidth="1"/>
    <col min="10740" max="10740" width="8.21875" style="327" customWidth="1"/>
    <col min="10741" max="10741" width="10.77734375" style="327" customWidth="1"/>
    <col min="10742" max="10742" width="6.21875" style="327" customWidth="1"/>
    <col min="10743" max="10743" width="7.5546875" style="327" customWidth="1"/>
    <col min="10744" max="10744" width="8.21875" style="327" customWidth="1"/>
    <col min="10745" max="10745" width="10.77734375" style="327" customWidth="1"/>
    <col min="10746" max="10746" width="6.77734375" style="327" customWidth="1"/>
    <col min="10747" max="10747" width="7.5546875" style="327" customWidth="1"/>
    <col min="10748" max="10748" width="8.21875" style="327" customWidth="1"/>
    <col min="10749" max="10749" width="10.77734375" style="327" customWidth="1"/>
    <col min="10750" max="10750" width="6.77734375" style="327" customWidth="1"/>
    <col min="10751" max="10751" width="7.5546875" style="327" customWidth="1"/>
    <col min="10752" max="10752" width="8.21875" style="327" customWidth="1"/>
    <col min="10753" max="10753" width="10.77734375" style="327" customWidth="1"/>
    <col min="10754" max="10756" width="6.77734375" style="327" customWidth="1"/>
    <col min="10757" max="10757" width="11.44140625" style="327" customWidth="1"/>
    <col min="10758" max="10760" width="6.77734375" style="327" customWidth="1"/>
    <col min="10761" max="10761" width="11.44140625" style="327"/>
    <col min="10762" max="10762" width="1.5546875" style="327" customWidth="1"/>
    <col min="10763" max="10987" width="11.44140625" style="327"/>
    <col min="10988" max="10988" width="15.21875" style="327" customWidth="1"/>
    <col min="10989" max="10989" width="13" style="327" bestFit="1" customWidth="1"/>
    <col min="10990" max="10990" width="6.21875" style="327" customWidth="1"/>
    <col min="10991" max="10991" width="7.5546875" style="327" customWidth="1"/>
    <col min="10992" max="10992" width="8" style="327" customWidth="1"/>
    <col min="10993" max="10993" width="10.77734375" style="327" customWidth="1"/>
    <col min="10994" max="10994" width="6.21875" style="327" customWidth="1"/>
    <col min="10995" max="10995" width="7.5546875" style="327" customWidth="1"/>
    <col min="10996" max="10996" width="8.21875" style="327" customWidth="1"/>
    <col min="10997" max="10997" width="10.77734375" style="327" customWidth="1"/>
    <col min="10998" max="10998" width="6.21875" style="327" customWidth="1"/>
    <col min="10999" max="10999" width="7.5546875" style="327" customWidth="1"/>
    <col min="11000" max="11000" width="8.21875" style="327" customWidth="1"/>
    <col min="11001" max="11001" width="10.77734375" style="327" customWidth="1"/>
    <col min="11002" max="11002" width="6.77734375" style="327" customWidth="1"/>
    <col min="11003" max="11003" width="7.5546875" style="327" customWidth="1"/>
    <col min="11004" max="11004" width="8.21875" style="327" customWidth="1"/>
    <col min="11005" max="11005" width="10.77734375" style="327" customWidth="1"/>
    <col min="11006" max="11006" width="6.77734375" style="327" customWidth="1"/>
    <col min="11007" max="11007" width="7.5546875" style="327" customWidth="1"/>
    <col min="11008" max="11008" width="8.21875" style="327" customWidth="1"/>
    <col min="11009" max="11009" width="10.77734375" style="327" customWidth="1"/>
    <col min="11010" max="11012" width="6.77734375" style="327" customWidth="1"/>
    <col min="11013" max="11013" width="11.44140625" style="327" customWidth="1"/>
    <col min="11014" max="11016" width="6.77734375" style="327" customWidth="1"/>
    <col min="11017" max="11017" width="11.44140625" style="327"/>
    <col min="11018" max="11018" width="1.5546875" style="327" customWidth="1"/>
    <col min="11019" max="11243" width="11.44140625" style="327"/>
    <col min="11244" max="11244" width="15.21875" style="327" customWidth="1"/>
    <col min="11245" max="11245" width="13" style="327" bestFit="1" customWidth="1"/>
    <col min="11246" max="11246" width="6.21875" style="327" customWidth="1"/>
    <col min="11247" max="11247" width="7.5546875" style="327" customWidth="1"/>
    <col min="11248" max="11248" width="8" style="327" customWidth="1"/>
    <col min="11249" max="11249" width="10.77734375" style="327" customWidth="1"/>
    <col min="11250" max="11250" width="6.21875" style="327" customWidth="1"/>
    <col min="11251" max="11251" width="7.5546875" style="327" customWidth="1"/>
    <col min="11252" max="11252" width="8.21875" style="327" customWidth="1"/>
    <col min="11253" max="11253" width="10.77734375" style="327" customWidth="1"/>
    <col min="11254" max="11254" width="6.21875" style="327" customWidth="1"/>
    <col min="11255" max="11255" width="7.5546875" style="327" customWidth="1"/>
    <col min="11256" max="11256" width="8.21875" style="327" customWidth="1"/>
    <col min="11257" max="11257" width="10.77734375" style="327" customWidth="1"/>
    <col min="11258" max="11258" width="6.77734375" style="327" customWidth="1"/>
    <col min="11259" max="11259" width="7.5546875" style="327" customWidth="1"/>
    <col min="11260" max="11260" width="8.21875" style="327" customWidth="1"/>
    <col min="11261" max="11261" width="10.77734375" style="327" customWidth="1"/>
    <col min="11262" max="11262" width="6.77734375" style="327" customWidth="1"/>
    <col min="11263" max="11263" width="7.5546875" style="327" customWidth="1"/>
    <col min="11264" max="11264" width="8.21875" style="327" customWidth="1"/>
    <col min="11265" max="11265" width="10.77734375" style="327" customWidth="1"/>
    <col min="11266" max="11268" width="6.77734375" style="327" customWidth="1"/>
    <col min="11269" max="11269" width="11.44140625" style="327" customWidth="1"/>
    <col min="11270" max="11272" width="6.77734375" style="327" customWidth="1"/>
    <col min="11273" max="11273" width="11.44140625" style="327"/>
    <col min="11274" max="11274" width="1.5546875" style="327" customWidth="1"/>
    <col min="11275" max="11499" width="11.44140625" style="327"/>
    <col min="11500" max="11500" width="15.21875" style="327" customWidth="1"/>
    <col min="11501" max="11501" width="13" style="327" bestFit="1" customWidth="1"/>
    <col min="11502" max="11502" width="6.21875" style="327" customWidth="1"/>
    <col min="11503" max="11503" width="7.5546875" style="327" customWidth="1"/>
    <col min="11504" max="11504" width="8" style="327" customWidth="1"/>
    <col min="11505" max="11505" width="10.77734375" style="327" customWidth="1"/>
    <col min="11506" max="11506" width="6.21875" style="327" customWidth="1"/>
    <col min="11507" max="11507" width="7.5546875" style="327" customWidth="1"/>
    <col min="11508" max="11508" width="8.21875" style="327" customWidth="1"/>
    <col min="11509" max="11509" width="10.77734375" style="327" customWidth="1"/>
    <col min="11510" max="11510" width="6.21875" style="327" customWidth="1"/>
    <col min="11511" max="11511" width="7.5546875" style="327" customWidth="1"/>
    <col min="11512" max="11512" width="8.21875" style="327" customWidth="1"/>
    <col min="11513" max="11513" width="10.77734375" style="327" customWidth="1"/>
    <col min="11514" max="11514" width="6.77734375" style="327" customWidth="1"/>
    <col min="11515" max="11515" width="7.5546875" style="327" customWidth="1"/>
    <col min="11516" max="11516" width="8.21875" style="327" customWidth="1"/>
    <col min="11517" max="11517" width="10.77734375" style="327" customWidth="1"/>
    <col min="11518" max="11518" width="6.77734375" style="327" customWidth="1"/>
    <col min="11519" max="11519" width="7.5546875" style="327" customWidth="1"/>
    <col min="11520" max="11520" width="8.21875" style="327" customWidth="1"/>
    <col min="11521" max="11521" width="10.77734375" style="327" customWidth="1"/>
    <col min="11522" max="11524" width="6.77734375" style="327" customWidth="1"/>
    <col min="11525" max="11525" width="11.44140625" style="327" customWidth="1"/>
    <col min="11526" max="11528" width="6.77734375" style="327" customWidth="1"/>
    <col min="11529" max="11529" width="11.44140625" style="327"/>
    <col min="11530" max="11530" width="1.5546875" style="327" customWidth="1"/>
    <col min="11531" max="11755" width="11.44140625" style="327"/>
    <col min="11756" max="11756" width="15.21875" style="327" customWidth="1"/>
    <col min="11757" max="11757" width="13" style="327" bestFit="1" customWidth="1"/>
    <col min="11758" max="11758" width="6.21875" style="327" customWidth="1"/>
    <col min="11759" max="11759" width="7.5546875" style="327" customWidth="1"/>
    <col min="11760" max="11760" width="8" style="327" customWidth="1"/>
    <col min="11761" max="11761" width="10.77734375" style="327" customWidth="1"/>
    <col min="11762" max="11762" width="6.21875" style="327" customWidth="1"/>
    <col min="11763" max="11763" width="7.5546875" style="327" customWidth="1"/>
    <col min="11764" max="11764" width="8.21875" style="327" customWidth="1"/>
    <col min="11765" max="11765" width="10.77734375" style="327" customWidth="1"/>
    <col min="11766" max="11766" width="6.21875" style="327" customWidth="1"/>
    <col min="11767" max="11767" width="7.5546875" style="327" customWidth="1"/>
    <col min="11768" max="11768" width="8.21875" style="327" customWidth="1"/>
    <col min="11769" max="11769" width="10.77734375" style="327" customWidth="1"/>
    <col min="11770" max="11770" width="6.77734375" style="327" customWidth="1"/>
    <col min="11771" max="11771" width="7.5546875" style="327" customWidth="1"/>
    <col min="11772" max="11772" width="8.21875" style="327" customWidth="1"/>
    <col min="11773" max="11773" width="10.77734375" style="327" customWidth="1"/>
    <col min="11774" max="11774" width="6.77734375" style="327" customWidth="1"/>
    <col min="11775" max="11775" width="7.5546875" style="327" customWidth="1"/>
    <col min="11776" max="11776" width="8.21875" style="327" customWidth="1"/>
    <col min="11777" max="11777" width="10.77734375" style="327" customWidth="1"/>
    <col min="11778" max="11780" width="6.77734375" style="327" customWidth="1"/>
    <col min="11781" max="11781" width="11.44140625" style="327" customWidth="1"/>
    <col min="11782" max="11784" width="6.77734375" style="327" customWidth="1"/>
    <col min="11785" max="11785" width="11.44140625" style="327"/>
    <col min="11786" max="11786" width="1.5546875" style="327" customWidth="1"/>
    <col min="11787" max="12011" width="11.44140625" style="327"/>
    <col min="12012" max="12012" width="15.21875" style="327" customWidth="1"/>
    <col min="12013" max="12013" width="13" style="327" bestFit="1" customWidth="1"/>
    <col min="12014" max="12014" width="6.21875" style="327" customWidth="1"/>
    <col min="12015" max="12015" width="7.5546875" style="327" customWidth="1"/>
    <col min="12016" max="12016" width="8" style="327" customWidth="1"/>
    <col min="12017" max="12017" width="10.77734375" style="327" customWidth="1"/>
    <col min="12018" max="12018" width="6.21875" style="327" customWidth="1"/>
    <col min="12019" max="12019" width="7.5546875" style="327" customWidth="1"/>
    <col min="12020" max="12020" width="8.21875" style="327" customWidth="1"/>
    <col min="12021" max="12021" width="10.77734375" style="327" customWidth="1"/>
    <col min="12022" max="12022" width="6.21875" style="327" customWidth="1"/>
    <col min="12023" max="12023" width="7.5546875" style="327" customWidth="1"/>
    <col min="12024" max="12024" width="8.21875" style="327" customWidth="1"/>
    <col min="12025" max="12025" width="10.77734375" style="327" customWidth="1"/>
    <col min="12026" max="12026" width="6.77734375" style="327" customWidth="1"/>
    <col min="12027" max="12027" width="7.5546875" style="327" customWidth="1"/>
    <col min="12028" max="12028" width="8.21875" style="327" customWidth="1"/>
    <col min="12029" max="12029" width="10.77734375" style="327" customWidth="1"/>
    <col min="12030" max="12030" width="6.77734375" style="327" customWidth="1"/>
    <col min="12031" max="12031" width="7.5546875" style="327" customWidth="1"/>
    <col min="12032" max="12032" width="8.21875" style="327" customWidth="1"/>
    <col min="12033" max="12033" width="10.77734375" style="327" customWidth="1"/>
    <col min="12034" max="12036" width="6.77734375" style="327" customWidth="1"/>
    <col min="12037" max="12037" width="11.44140625" style="327" customWidth="1"/>
    <col min="12038" max="12040" width="6.77734375" style="327" customWidth="1"/>
    <col min="12041" max="12041" width="11.44140625" style="327"/>
    <col min="12042" max="12042" width="1.5546875" style="327" customWidth="1"/>
    <col min="12043" max="12267" width="11.44140625" style="327"/>
    <col min="12268" max="12268" width="15.21875" style="327" customWidth="1"/>
    <col min="12269" max="12269" width="13" style="327" bestFit="1" customWidth="1"/>
    <col min="12270" max="12270" width="6.21875" style="327" customWidth="1"/>
    <col min="12271" max="12271" width="7.5546875" style="327" customWidth="1"/>
    <col min="12272" max="12272" width="8" style="327" customWidth="1"/>
    <col min="12273" max="12273" width="10.77734375" style="327" customWidth="1"/>
    <col min="12274" max="12274" width="6.21875" style="327" customWidth="1"/>
    <col min="12275" max="12275" width="7.5546875" style="327" customWidth="1"/>
    <col min="12276" max="12276" width="8.21875" style="327" customWidth="1"/>
    <col min="12277" max="12277" width="10.77734375" style="327" customWidth="1"/>
    <col min="12278" max="12278" width="6.21875" style="327" customWidth="1"/>
    <col min="12279" max="12279" width="7.5546875" style="327" customWidth="1"/>
    <col min="12280" max="12280" width="8.21875" style="327" customWidth="1"/>
    <col min="12281" max="12281" width="10.77734375" style="327" customWidth="1"/>
    <col min="12282" max="12282" width="6.77734375" style="327" customWidth="1"/>
    <col min="12283" max="12283" width="7.5546875" style="327" customWidth="1"/>
    <col min="12284" max="12284" width="8.21875" style="327" customWidth="1"/>
    <col min="12285" max="12285" width="10.77734375" style="327" customWidth="1"/>
    <col min="12286" max="12286" width="6.77734375" style="327" customWidth="1"/>
    <col min="12287" max="12287" width="7.5546875" style="327" customWidth="1"/>
    <col min="12288" max="12288" width="8.21875" style="327" customWidth="1"/>
    <col min="12289" max="12289" width="10.77734375" style="327" customWidth="1"/>
    <col min="12290" max="12292" width="6.77734375" style="327" customWidth="1"/>
    <col min="12293" max="12293" width="11.44140625" style="327" customWidth="1"/>
    <col min="12294" max="12296" width="6.77734375" style="327" customWidth="1"/>
    <col min="12297" max="12297" width="11.44140625" style="327"/>
    <col min="12298" max="12298" width="1.5546875" style="327" customWidth="1"/>
    <col min="12299" max="12523" width="11.44140625" style="327"/>
    <col min="12524" max="12524" width="15.21875" style="327" customWidth="1"/>
    <col min="12525" max="12525" width="13" style="327" bestFit="1" customWidth="1"/>
    <col min="12526" max="12526" width="6.21875" style="327" customWidth="1"/>
    <col min="12527" max="12527" width="7.5546875" style="327" customWidth="1"/>
    <col min="12528" max="12528" width="8" style="327" customWidth="1"/>
    <col min="12529" max="12529" width="10.77734375" style="327" customWidth="1"/>
    <col min="12530" max="12530" width="6.21875" style="327" customWidth="1"/>
    <col min="12531" max="12531" width="7.5546875" style="327" customWidth="1"/>
    <col min="12532" max="12532" width="8.21875" style="327" customWidth="1"/>
    <col min="12533" max="12533" width="10.77734375" style="327" customWidth="1"/>
    <col min="12534" max="12534" width="6.21875" style="327" customWidth="1"/>
    <col min="12535" max="12535" width="7.5546875" style="327" customWidth="1"/>
    <col min="12536" max="12536" width="8.21875" style="327" customWidth="1"/>
    <col min="12537" max="12537" width="10.77734375" style="327" customWidth="1"/>
    <col min="12538" max="12538" width="6.77734375" style="327" customWidth="1"/>
    <col min="12539" max="12539" width="7.5546875" style="327" customWidth="1"/>
    <col min="12540" max="12540" width="8.21875" style="327" customWidth="1"/>
    <col min="12541" max="12541" width="10.77734375" style="327" customWidth="1"/>
    <col min="12542" max="12542" width="6.77734375" style="327" customWidth="1"/>
    <col min="12543" max="12543" width="7.5546875" style="327" customWidth="1"/>
    <col min="12544" max="12544" width="8.21875" style="327" customWidth="1"/>
    <col min="12545" max="12545" width="10.77734375" style="327" customWidth="1"/>
    <col min="12546" max="12548" width="6.77734375" style="327" customWidth="1"/>
    <col min="12549" max="12549" width="11.44140625" style="327" customWidth="1"/>
    <col min="12550" max="12552" width="6.77734375" style="327" customWidth="1"/>
    <col min="12553" max="12553" width="11.44140625" style="327"/>
    <col min="12554" max="12554" width="1.5546875" style="327" customWidth="1"/>
    <col min="12555" max="12779" width="11.44140625" style="327"/>
    <col min="12780" max="12780" width="15.21875" style="327" customWidth="1"/>
    <col min="12781" max="12781" width="13" style="327" bestFit="1" customWidth="1"/>
    <col min="12782" max="12782" width="6.21875" style="327" customWidth="1"/>
    <col min="12783" max="12783" width="7.5546875" style="327" customWidth="1"/>
    <col min="12784" max="12784" width="8" style="327" customWidth="1"/>
    <col min="12785" max="12785" width="10.77734375" style="327" customWidth="1"/>
    <col min="12786" max="12786" width="6.21875" style="327" customWidth="1"/>
    <col min="12787" max="12787" width="7.5546875" style="327" customWidth="1"/>
    <col min="12788" max="12788" width="8.21875" style="327" customWidth="1"/>
    <col min="12789" max="12789" width="10.77734375" style="327" customWidth="1"/>
    <col min="12790" max="12790" width="6.21875" style="327" customWidth="1"/>
    <col min="12791" max="12791" width="7.5546875" style="327" customWidth="1"/>
    <col min="12792" max="12792" width="8.21875" style="327" customWidth="1"/>
    <col min="12793" max="12793" width="10.77734375" style="327" customWidth="1"/>
    <col min="12794" max="12794" width="6.77734375" style="327" customWidth="1"/>
    <col min="12795" max="12795" width="7.5546875" style="327" customWidth="1"/>
    <col min="12796" max="12796" width="8.21875" style="327" customWidth="1"/>
    <col min="12797" max="12797" width="10.77734375" style="327" customWidth="1"/>
    <col min="12798" max="12798" width="6.77734375" style="327" customWidth="1"/>
    <col min="12799" max="12799" width="7.5546875" style="327" customWidth="1"/>
    <col min="12800" max="12800" width="8.21875" style="327" customWidth="1"/>
    <col min="12801" max="12801" width="10.77734375" style="327" customWidth="1"/>
    <col min="12802" max="12804" width="6.77734375" style="327" customWidth="1"/>
    <col min="12805" max="12805" width="11.44140625" style="327" customWidth="1"/>
    <col min="12806" max="12808" width="6.77734375" style="327" customWidth="1"/>
    <col min="12809" max="12809" width="11.44140625" style="327"/>
    <col min="12810" max="12810" width="1.5546875" style="327" customWidth="1"/>
    <col min="12811" max="13035" width="11.44140625" style="327"/>
    <col min="13036" max="13036" width="15.21875" style="327" customWidth="1"/>
    <col min="13037" max="13037" width="13" style="327" bestFit="1" customWidth="1"/>
    <col min="13038" max="13038" width="6.21875" style="327" customWidth="1"/>
    <col min="13039" max="13039" width="7.5546875" style="327" customWidth="1"/>
    <col min="13040" max="13040" width="8" style="327" customWidth="1"/>
    <col min="13041" max="13041" width="10.77734375" style="327" customWidth="1"/>
    <col min="13042" max="13042" width="6.21875" style="327" customWidth="1"/>
    <col min="13043" max="13043" width="7.5546875" style="327" customWidth="1"/>
    <col min="13044" max="13044" width="8.21875" style="327" customWidth="1"/>
    <col min="13045" max="13045" width="10.77734375" style="327" customWidth="1"/>
    <col min="13046" max="13046" width="6.21875" style="327" customWidth="1"/>
    <col min="13047" max="13047" width="7.5546875" style="327" customWidth="1"/>
    <col min="13048" max="13048" width="8.21875" style="327" customWidth="1"/>
    <col min="13049" max="13049" width="10.77734375" style="327" customWidth="1"/>
    <col min="13050" max="13050" width="6.77734375" style="327" customWidth="1"/>
    <col min="13051" max="13051" width="7.5546875" style="327" customWidth="1"/>
    <col min="13052" max="13052" width="8.21875" style="327" customWidth="1"/>
    <col min="13053" max="13053" width="10.77734375" style="327" customWidth="1"/>
    <col min="13054" max="13054" width="6.77734375" style="327" customWidth="1"/>
    <col min="13055" max="13055" width="7.5546875" style="327" customWidth="1"/>
    <col min="13056" max="13056" width="8.21875" style="327" customWidth="1"/>
    <col min="13057" max="13057" width="10.77734375" style="327" customWidth="1"/>
    <col min="13058" max="13060" width="6.77734375" style="327" customWidth="1"/>
    <col min="13061" max="13061" width="11.44140625" style="327" customWidth="1"/>
    <col min="13062" max="13064" width="6.77734375" style="327" customWidth="1"/>
    <col min="13065" max="13065" width="11.44140625" style="327"/>
    <col min="13066" max="13066" width="1.5546875" style="327" customWidth="1"/>
    <col min="13067" max="13291" width="11.44140625" style="327"/>
    <col min="13292" max="13292" width="15.21875" style="327" customWidth="1"/>
    <col min="13293" max="13293" width="13" style="327" bestFit="1" customWidth="1"/>
    <col min="13294" max="13294" width="6.21875" style="327" customWidth="1"/>
    <col min="13295" max="13295" width="7.5546875" style="327" customWidth="1"/>
    <col min="13296" max="13296" width="8" style="327" customWidth="1"/>
    <col min="13297" max="13297" width="10.77734375" style="327" customWidth="1"/>
    <col min="13298" max="13298" width="6.21875" style="327" customWidth="1"/>
    <col min="13299" max="13299" width="7.5546875" style="327" customWidth="1"/>
    <col min="13300" max="13300" width="8.21875" style="327" customWidth="1"/>
    <col min="13301" max="13301" width="10.77734375" style="327" customWidth="1"/>
    <col min="13302" max="13302" width="6.21875" style="327" customWidth="1"/>
    <col min="13303" max="13303" width="7.5546875" style="327" customWidth="1"/>
    <col min="13304" max="13304" width="8.21875" style="327" customWidth="1"/>
    <col min="13305" max="13305" width="10.77734375" style="327" customWidth="1"/>
    <col min="13306" max="13306" width="6.77734375" style="327" customWidth="1"/>
    <col min="13307" max="13307" width="7.5546875" style="327" customWidth="1"/>
    <col min="13308" max="13308" width="8.21875" style="327" customWidth="1"/>
    <col min="13309" max="13309" width="10.77734375" style="327" customWidth="1"/>
    <col min="13310" max="13310" width="6.77734375" style="327" customWidth="1"/>
    <col min="13311" max="13311" width="7.5546875" style="327" customWidth="1"/>
    <col min="13312" max="13312" width="8.21875" style="327" customWidth="1"/>
    <col min="13313" max="13313" width="10.77734375" style="327" customWidth="1"/>
    <col min="13314" max="13316" width="6.77734375" style="327" customWidth="1"/>
    <col min="13317" max="13317" width="11.44140625" style="327" customWidth="1"/>
    <col min="13318" max="13320" width="6.77734375" style="327" customWidth="1"/>
    <col min="13321" max="13321" width="11.44140625" style="327"/>
    <col min="13322" max="13322" width="1.5546875" style="327" customWidth="1"/>
    <col min="13323" max="13547" width="11.44140625" style="327"/>
    <col min="13548" max="13548" width="15.21875" style="327" customWidth="1"/>
    <col min="13549" max="13549" width="13" style="327" bestFit="1" customWidth="1"/>
    <col min="13550" max="13550" width="6.21875" style="327" customWidth="1"/>
    <col min="13551" max="13551" width="7.5546875" style="327" customWidth="1"/>
    <col min="13552" max="13552" width="8" style="327" customWidth="1"/>
    <col min="13553" max="13553" width="10.77734375" style="327" customWidth="1"/>
    <col min="13554" max="13554" width="6.21875" style="327" customWidth="1"/>
    <col min="13555" max="13555" width="7.5546875" style="327" customWidth="1"/>
    <col min="13556" max="13556" width="8.21875" style="327" customWidth="1"/>
    <col min="13557" max="13557" width="10.77734375" style="327" customWidth="1"/>
    <col min="13558" max="13558" width="6.21875" style="327" customWidth="1"/>
    <col min="13559" max="13559" width="7.5546875" style="327" customWidth="1"/>
    <col min="13560" max="13560" width="8.21875" style="327" customWidth="1"/>
    <col min="13561" max="13561" width="10.77734375" style="327" customWidth="1"/>
    <col min="13562" max="13562" width="6.77734375" style="327" customWidth="1"/>
    <col min="13563" max="13563" width="7.5546875" style="327" customWidth="1"/>
    <col min="13564" max="13564" width="8.21875" style="327" customWidth="1"/>
    <col min="13565" max="13565" width="10.77734375" style="327" customWidth="1"/>
    <col min="13566" max="13566" width="6.77734375" style="327" customWidth="1"/>
    <col min="13567" max="13567" width="7.5546875" style="327" customWidth="1"/>
    <col min="13568" max="13568" width="8.21875" style="327" customWidth="1"/>
    <col min="13569" max="13569" width="10.77734375" style="327" customWidth="1"/>
    <col min="13570" max="13572" width="6.77734375" style="327" customWidth="1"/>
    <col min="13573" max="13573" width="11.44140625" style="327" customWidth="1"/>
    <col min="13574" max="13576" width="6.77734375" style="327" customWidth="1"/>
    <col min="13577" max="13577" width="11.44140625" style="327"/>
    <col min="13578" max="13578" width="1.5546875" style="327" customWidth="1"/>
    <col min="13579" max="13803" width="11.44140625" style="327"/>
    <col min="13804" max="13804" width="15.21875" style="327" customWidth="1"/>
    <col min="13805" max="13805" width="13" style="327" bestFit="1" customWidth="1"/>
    <col min="13806" max="13806" width="6.21875" style="327" customWidth="1"/>
    <col min="13807" max="13807" width="7.5546875" style="327" customWidth="1"/>
    <col min="13808" max="13808" width="8" style="327" customWidth="1"/>
    <col min="13809" max="13809" width="10.77734375" style="327" customWidth="1"/>
    <col min="13810" max="13810" width="6.21875" style="327" customWidth="1"/>
    <col min="13811" max="13811" width="7.5546875" style="327" customWidth="1"/>
    <col min="13812" max="13812" width="8.21875" style="327" customWidth="1"/>
    <col min="13813" max="13813" width="10.77734375" style="327" customWidth="1"/>
    <col min="13814" max="13814" width="6.21875" style="327" customWidth="1"/>
    <col min="13815" max="13815" width="7.5546875" style="327" customWidth="1"/>
    <col min="13816" max="13816" width="8.21875" style="327" customWidth="1"/>
    <col min="13817" max="13817" width="10.77734375" style="327" customWidth="1"/>
    <col min="13818" max="13818" width="6.77734375" style="327" customWidth="1"/>
    <col min="13819" max="13819" width="7.5546875" style="327" customWidth="1"/>
    <col min="13820" max="13820" width="8.21875" style="327" customWidth="1"/>
    <col min="13821" max="13821" width="10.77734375" style="327" customWidth="1"/>
    <col min="13822" max="13822" width="6.77734375" style="327" customWidth="1"/>
    <col min="13823" max="13823" width="7.5546875" style="327" customWidth="1"/>
    <col min="13824" max="13824" width="8.21875" style="327" customWidth="1"/>
    <col min="13825" max="13825" width="10.77734375" style="327" customWidth="1"/>
    <col min="13826" max="13828" width="6.77734375" style="327" customWidth="1"/>
    <col min="13829" max="13829" width="11.44140625" style="327" customWidth="1"/>
    <col min="13830" max="13832" width="6.77734375" style="327" customWidth="1"/>
    <col min="13833" max="13833" width="11.44140625" style="327"/>
    <col min="13834" max="13834" width="1.5546875" style="327" customWidth="1"/>
    <col min="13835" max="14059" width="11.44140625" style="327"/>
    <col min="14060" max="14060" width="15.21875" style="327" customWidth="1"/>
    <col min="14061" max="14061" width="13" style="327" bestFit="1" customWidth="1"/>
    <col min="14062" max="14062" width="6.21875" style="327" customWidth="1"/>
    <col min="14063" max="14063" width="7.5546875" style="327" customWidth="1"/>
    <col min="14064" max="14064" width="8" style="327" customWidth="1"/>
    <col min="14065" max="14065" width="10.77734375" style="327" customWidth="1"/>
    <col min="14066" max="14066" width="6.21875" style="327" customWidth="1"/>
    <col min="14067" max="14067" width="7.5546875" style="327" customWidth="1"/>
    <col min="14068" max="14068" width="8.21875" style="327" customWidth="1"/>
    <col min="14069" max="14069" width="10.77734375" style="327" customWidth="1"/>
    <col min="14070" max="14070" width="6.21875" style="327" customWidth="1"/>
    <col min="14071" max="14071" width="7.5546875" style="327" customWidth="1"/>
    <col min="14072" max="14072" width="8.21875" style="327" customWidth="1"/>
    <col min="14073" max="14073" width="10.77734375" style="327" customWidth="1"/>
    <col min="14074" max="14074" width="6.77734375" style="327" customWidth="1"/>
    <col min="14075" max="14075" width="7.5546875" style="327" customWidth="1"/>
    <col min="14076" max="14076" width="8.21875" style="327" customWidth="1"/>
    <col min="14077" max="14077" width="10.77734375" style="327" customWidth="1"/>
    <col min="14078" max="14078" width="6.77734375" style="327" customWidth="1"/>
    <col min="14079" max="14079" width="7.5546875" style="327" customWidth="1"/>
    <col min="14080" max="14080" width="8.21875" style="327" customWidth="1"/>
    <col min="14081" max="14081" width="10.77734375" style="327" customWidth="1"/>
    <col min="14082" max="14084" width="6.77734375" style="327" customWidth="1"/>
    <col min="14085" max="14085" width="11.44140625" style="327" customWidth="1"/>
    <col min="14086" max="14088" width="6.77734375" style="327" customWidth="1"/>
    <col min="14089" max="14089" width="11.44140625" style="327"/>
    <col min="14090" max="14090" width="1.5546875" style="327" customWidth="1"/>
    <col min="14091" max="14315" width="11.44140625" style="327"/>
    <col min="14316" max="14316" width="15.21875" style="327" customWidth="1"/>
    <col min="14317" max="14317" width="13" style="327" bestFit="1" customWidth="1"/>
    <col min="14318" max="14318" width="6.21875" style="327" customWidth="1"/>
    <col min="14319" max="14319" width="7.5546875" style="327" customWidth="1"/>
    <col min="14320" max="14320" width="8" style="327" customWidth="1"/>
    <col min="14321" max="14321" width="10.77734375" style="327" customWidth="1"/>
    <col min="14322" max="14322" width="6.21875" style="327" customWidth="1"/>
    <col min="14323" max="14323" width="7.5546875" style="327" customWidth="1"/>
    <col min="14324" max="14324" width="8.21875" style="327" customWidth="1"/>
    <col min="14325" max="14325" width="10.77734375" style="327" customWidth="1"/>
    <col min="14326" max="14326" width="6.21875" style="327" customWidth="1"/>
    <col min="14327" max="14327" width="7.5546875" style="327" customWidth="1"/>
    <col min="14328" max="14328" width="8.21875" style="327" customWidth="1"/>
    <col min="14329" max="14329" width="10.77734375" style="327" customWidth="1"/>
    <col min="14330" max="14330" width="6.77734375" style="327" customWidth="1"/>
    <col min="14331" max="14331" width="7.5546875" style="327" customWidth="1"/>
    <col min="14332" max="14332" width="8.21875" style="327" customWidth="1"/>
    <col min="14333" max="14333" width="10.77734375" style="327" customWidth="1"/>
    <col min="14334" max="14334" width="6.77734375" style="327" customWidth="1"/>
    <col min="14335" max="14335" width="7.5546875" style="327" customWidth="1"/>
    <col min="14336" max="14336" width="8.21875" style="327" customWidth="1"/>
    <col min="14337" max="14337" width="10.77734375" style="327" customWidth="1"/>
    <col min="14338" max="14340" width="6.77734375" style="327" customWidth="1"/>
    <col min="14341" max="14341" width="11.44140625" style="327" customWidth="1"/>
    <col min="14342" max="14344" width="6.77734375" style="327" customWidth="1"/>
    <col min="14345" max="14345" width="11.44140625" style="327"/>
    <col min="14346" max="14346" width="1.5546875" style="327" customWidth="1"/>
    <col min="14347" max="14571" width="11.44140625" style="327"/>
    <col min="14572" max="14572" width="15.21875" style="327" customWidth="1"/>
    <col min="14573" max="14573" width="13" style="327" bestFit="1" customWidth="1"/>
    <col min="14574" max="14574" width="6.21875" style="327" customWidth="1"/>
    <col min="14575" max="14575" width="7.5546875" style="327" customWidth="1"/>
    <col min="14576" max="14576" width="8" style="327" customWidth="1"/>
    <col min="14577" max="14577" width="10.77734375" style="327" customWidth="1"/>
    <col min="14578" max="14578" width="6.21875" style="327" customWidth="1"/>
    <col min="14579" max="14579" width="7.5546875" style="327" customWidth="1"/>
    <col min="14580" max="14580" width="8.21875" style="327" customWidth="1"/>
    <col min="14581" max="14581" width="10.77734375" style="327" customWidth="1"/>
    <col min="14582" max="14582" width="6.21875" style="327" customWidth="1"/>
    <col min="14583" max="14583" width="7.5546875" style="327" customWidth="1"/>
    <col min="14584" max="14584" width="8.21875" style="327" customWidth="1"/>
    <col min="14585" max="14585" width="10.77734375" style="327" customWidth="1"/>
    <col min="14586" max="14586" width="6.77734375" style="327" customWidth="1"/>
    <col min="14587" max="14587" width="7.5546875" style="327" customWidth="1"/>
    <col min="14588" max="14588" width="8.21875" style="327" customWidth="1"/>
    <col min="14589" max="14589" width="10.77734375" style="327" customWidth="1"/>
    <col min="14590" max="14590" width="6.77734375" style="327" customWidth="1"/>
    <col min="14591" max="14591" width="7.5546875" style="327" customWidth="1"/>
    <col min="14592" max="14592" width="8.21875" style="327" customWidth="1"/>
    <col min="14593" max="14593" width="10.77734375" style="327" customWidth="1"/>
    <col min="14594" max="14596" width="6.77734375" style="327" customWidth="1"/>
    <col min="14597" max="14597" width="11.44140625" style="327" customWidth="1"/>
    <col min="14598" max="14600" width="6.77734375" style="327" customWidth="1"/>
    <col min="14601" max="14601" width="11.44140625" style="327"/>
    <col min="14602" max="14602" width="1.5546875" style="327" customWidth="1"/>
    <col min="14603" max="14827" width="11.44140625" style="327"/>
    <col min="14828" max="14828" width="15.21875" style="327" customWidth="1"/>
    <col min="14829" max="14829" width="13" style="327" bestFit="1" customWidth="1"/>
    <col min="14830" max="14830" width="6.21875" style="327" customWidth="1"/>
    <col min="14831" max="14831" width="7.5546875" style="327" customWidth="1"/>
    <col min="14832" max="14832" width="8" style="327" customWidth="1"/>
    <col min="14833" max="14833" width="10.77734375" style="327" customWidth="1"/>
    <col min="14834" max="14834" width="6.21875" style="327" customWidth="1"/>
    <col min="14835" max="14835" width="7.5546875" style="327" customWidth="1"/>
    <col min="14836" max="14836" width="8.21875" style="327" customWidth="1"/>
    <col min="14837" max="14837" width="10.77734375" style="327" customWidth="1"/>
    <col min="14838" max="14838" width="6.21875" style="327" customWidth="1"/>
    <col min="14839" max="14839" width="7.5546875" style="327" customWidth="1"/>
    <col min="14840" max="14840" width="8.21875" style="327" customWidth="1"/>
    <col min="14841" max="14841" width="10.77734375" style="327" customWidth="1"/>
    <col min="14842" max="14842" width="6.77734375" style="327" customWidth="1"/>
    <col min="14843" max="14843" width="7.5546875" style="327" customWidth="1"/>
    <col min="14844" max="14844" width="8.21875" style="327" customWidth="1"/>
    <col min="14845" max="14845" width="10.77734375" style="327" customWidth="1"/>
    <col min="14846" max="14846" width="6.77734375" style="327" customWidth="1"/>
    <col min="14847" max="14847" width="7.5546875" style="327" customWidth="1"/>
    <col min="14848" max="14848" width="8.21875" style="327" customWidth="1"/>
    <col min="14849" max="14849" width="10.77734375" style="327" customWidth="1"/>
    <col min="14850" max="14852" width="6.77734375" style="327" customWidth="1"/>
    <col min="14853" max="14853" width="11.44140625" style="327" customWidth="1"/>
    <col min="14854" max="14856" width="6.77734375" style="327" customWidth="1"/>
    <col min="14857" max="14857" width="11.44140625" style="327"/>
    <col min="14858" max="14858" width="1.5546875" style="327" customWidth="1"/>
    <col min="14859" max="15083" width="11.44140625" style="327"/>
    <col min="15084" max="15084" width="15.21875" style="327" customWidth="1"/>
    <col min="15085" max="15085" width="13" style="327" bestFit="1" customWidth="1"/>
    <col min="15086" max="15086" width="6.21875" style="327" customWidth="1"/>
    <col min="15087" max="15087" width="7.5546875" style="327" customWidth="1"/>
    <col min="15088" max="15088" width="8" style="327" customWidth="1"/>
    <col min="15089" max="15089" width="10.77734375" style="327" customWidth="1"/>
    <col min="15090" max="15090" width="6.21875" style="327" customWidth="1"/>
    <col min="15091" max="15091" width="7.5546875" style="327" customWidth="1"/>
    <col min="15092" max="15092" width="8.21875" style="327" customWidth="1"/>
    <col min="15093" max="15093" width="10.77734375" style="327" customWidth="1"/>
    <col min="15094" max="15094" width="6.21875" style="327" customWidth="1"/>
    <col min="15095" max="15095" width="7.5546875" style="327" customWidth="1"/>
    <col min="15096" max="15096" width="8.21875" style="327" customWidth="1"/>
    <col min="15097" max="15097" width="10.77734375" style="327" customWidth="1"/>
    <col min="15098" max="15098" width="6.77734375" style="327" customWidth="1"/>
    <col min="15099" max="15099" width="7.5546875" style="327" customWidth="1"/>
    <col min="15100" max="15100" width="8.21875" style="327" customWidth="1"/>
    <col min="15101" max="15101" width="10.77734375" style="327" customWidth="1"/>
    <col min="15102" max="15102" width="6.77734375" style="327" customWidth="1"/>
    <col min="15103" max="15103" width="7.5546875" style="327" customWidth="1"/>
    <col min="15104" max="15104" width="8.21875" style="327" customWidth="1"/>
    <col min="15105" max="15105" width="10.77734375" style="327" customWidth="1"/>
    <col min="15106" max="15108" width="6.77734375" style="327" customWidth="1"/>
    <col min="15109" max="15109" width="11.44140625" style="327" customWidth="1"/>
    <col min="15110" max="15112" width="6.77734375" style="327" customWidth="1"/>
    <col min="15113" max="15113" width="11.44140625" style="327"/>
    <col min="15114" max="15114" width="1.5546875" style="327" customWidth="1"/>
    <col min="15115" max="15339" width="11.44140625" style="327"/>
    <col min="15340" max="15340" width="15.21875" style="327" customWidth="1"/>
    <col min="15341" max="15341" width="13" style="327" bestFit="1" customWidth="1"/>
    <col min="15342" max="15342" width="6.21875" style="327" customWidth="1"/>
    <col min="15343" max="15343" width="7.5546875" style="327" customWidth="1"/>
    <col min="15344" max="15344" width="8" style="327" customWidth="1"/>
    <col min="15345" max="15345" width="10.77734375" style="327" customWidth="1"/>
    <col min="15346" max="15346" width="6.21875" style="327" customWidth="1"/>
    <col min="15347" max="15347" width="7.5546875" style="327" customWidth="1"/>
    <col min="15348" max="15348" width="8.21875" style="327" customWidth="1"/>
    <col min="15349" max="15349" width="10.77734375" style="327" customWidth="1"/>
    <col min="15350" max="15350" width="6.21875" style="327" customWidth="1"/>
    <col min="15351" max="15351" width="7.5546875" style="327" customWidth="1"/>
    <col min="15352" max="15352" width="8.21875" style="327" customWidth="1"/>
    <col min="15353" max="15353" width="10.77734375" style="327" customWidth="1"/>
    <col min="15354" max="15354" width="6.77734375" style="327" customWidth="1"/>
    <col min="15355" max="15355" width="7.5546875" style="327" customWidth="1"/>
    <col min="15356" max="15356" width="8.21875" style="327" customWidth="1"/>
    <col min="15357" max="15357" width="10.77734375" style="327" customWidth="1"/>
    <col min="15358" max="15358" width="6.77734375" style="327" customWidth="1"/>
    <col min="15359" max="15359" width="7.5546875" style="327" customWidth="1"/>
    <col min="15360" max="15360" width="8.21875" style="327" customWidth="1"/>
    <col min="15361" max="15361" width="10.77734375" style="327" customWidth="1"/>
    <col min="15362" max="15364" width="6.77734375" style="327" customWidth="1"/>
    <col min="15365" max="15365" width="11.44140625" style="327" customWidth="1"/>
    <col min="15366" max="15368" width="6.77734375" style="327" customWidth="1"/>
    <col min="15369" max="15369" width="11.44140625" style="327"/>
    <col min="15370" max="15370" width="1.5546875" style="327" customWidth="1"/>
    <col min="15371" max="15595" width="11.44140625" style="327"/>
    <col min="15596" max="15596" width="15.21875" style="327" customWidth="1"/>
    <col min="15597" max="15597" width="13" style="327" bestFit="1" customWidth="1"/>
    <col min="15598" max="15598" width="6.21875" style="327" customWidth="1"/>
    <col min="15599" max="15599" width="7.5546875" style="327" customWidth="1"/>
    <col min="15600" max="15600" width="8" style="327" customWidth="1"/>
    <col min="15601" max="15601" width="10.77734375" style="327" customWidth="1"/>
    <col min="15602" max="15602" width="6.21875" style="327" customWidth="1"/>
    <col min="15603" max="15603" width="7.5546875" style="327" customWidth="1"/>
    <col min="15604" max="15604" width="8.21875" style="327" customWidth="1"/>
    <col min="15605" max="15605" width="10.77734375" style="327" customWidth="1"/>
    <col min="15606" max="15606" width="6.21875" style="327" customWidth="1"/>
    <col min="15607" max="15607" width="7.5546875" style="327" customWidth="1"/>
    <col min="15608" max="15608" width="8.21875" style="327" customWidth="1"/>
    <col min="15609" max="15609" width="10.77734375" style="327" customWidth="1"/>
    <col min="15610" max="15610" width="6.77734375" style="327" customWidth="1"/>
    <col min="15611" max="15611" width="7.5546875" style="327" customWidth="1"/>
    <col min="15612" max="15612" width="8.21875" style="327" customWidth="1"/>
    <col min="15613" max="15613" width="10.77734375" style="327" customWidth="1"/>
    <col min="15614" max="15614" width="6.77734375" style="327" customWidth="1"/>
    <col min="15615" max="15615" width="7.5546875" style="327" customWidth="1"/>
    <col min="15616" max="15616" width="8.21875" style="327" customWidth="1"/>
    <col min="15617" max="15617" width="10.77734375" style="327" customWidth="1"/>
    <col min="15618" max="15620" width="6.77734375" style="327" customWidth="1"/>
    <col min="15621" max="15621" width="11.44140625" style="327" customWidth="1"/>
    <col min="15622" max="15624" width="6.77734375" style="327" customWidth="1"/>
    <col min="15625" max="15625" width="11.44140625" style="327"/>
    <col min="15626" max="15626" width="1.5546875" style="327" customWidth="1"/>
    <col min="15627" max="15851" width="11.44140625" style="327"/>
    <col min="15852" max="15852" width="15.21875" style="327" customWidth="1"/>
    <col min="15853" max="15853" width="13" style="327" bestFit="1" customWidth="1"/>
    <col min="15854" max="15854" width="6.21875" style="327" customWidth="1"/>
    <col min="15855" max="15855" width="7.5546875" style="327" customWidth="1"/>
    <col min="15856" max="15856" width="8" style="327" customWidth="1"/>
    <col min="15857" max="15857" width="10.77734375" style="327" customWidth="1"/>
    <col min="15858" max="15858" width="6.21875" style="327" customWidth="1"/>
    <col min="15859" max="15859" width="7.5546875" style="327" customWidth="1"/>
    <col min="15860" max="15860" width="8.21875" style="327" customWidth="1"/>
    <col min="15861" max="15861" width="10.77734375" style="327" customWidth="1"/>
    <col min="15862" max="15862" width="6.21875" style="327" customWidth="1"/>
    <col min="15863" max="15863" width="7.5546875" style="327" customWidth="1"/>
    <col min="15864" max="15864" width="8.21875" style="327" customWidth="1"/>
    <col min="15865" max="15865" width="10.77734375" style="327" customWidth="1"/>
    <col min="15866" max="15866" width="6.77734375" style="327" customWidth="1"/>
    <col min="15867" max="15867" width="7.5546875" style="327" customWidth="1"/>
    <col min="15868" max="15868" width="8.21875" style="327" customWidth="1"/>
    <col min="15869" max="15869" width="10.77734375" style="327" customWidth="1"/>
    <col min="15870" max="15870" width="6.77734375" style="327" customWidth="1"/>
    <col min="15871" max="15871" width="7.5546875" style="327" customWidth="1"/>
    <col min="15872" max="15872" width="8.21875" style="327" customWidth="1"/>
    <col min="15873" max="15873" width="10.77734375" style="327" customWidth="1"/>
    <col min="15874" max="15876" width="6.77734375" style="327" customWidth="1"/>
    <col min="15877" max="15877" width="11.44140625" style="327" customWidth="1"/>
    <col min="15878" max="15880" width="6.77734375" style="327" customWidth="1"/>
    <col min="15881" max="15881" width="11.44140625" style="327"/>
    <col min="15882" max="15882" width="1.5546875" style="327" customWidth="1"/>
    <col min="15883" max="16107" width="11.44140625" style="327"/>
    <col min="16108" max="16108" width="15.21875" style="327" customWidth="1"/>
    <col min="16109" max="16109" width="13" style="327" bestFit="1" customWidth="1"/>
    <col min="16110" max="16110" width="6.21875" style="327" customWidth="1"/>
    <col min="16111" max="16111" width="7.5546875" style="327" customWidth="1"/>
    <col min="16112" max="16112" width="8" style="327" customWidth="1"/>
    <col min="16113" max="16113" width="10.77734375" style="327" customWidth="1"/>
    <col min="16114" max="16114" width="6.21875" style="327" customWidth="1"/>
    <col min="16115" max="16115" width="7.5546875" style="327" customWidth="1"/>
    <col min="16116" max="16116" width="8.21875" style="327" customWidth="1"/>
    <col min="16117" max="16117" width="10.77734375" style="327" customWidth="1"/>
    <col min="16118" max="16118" width="6.21875" style="327" customWidth="1"/>
    <col min="16119" max="16119" width="7.5546875" style="327" customWidth="1"/>
    <col min="16120" max="16120" width="8.21875" style="327" customWidth="1"/>
    <col min="16121" max="16121" width="10.77734375" style="327" customWidth="1"/>
    <col min="16122" max="16122" width="6.77734375" style="327" customWidth="1"/>
    <col min="16123" max="16123" width="7.5546875" style="327" customWidth="1"/>
    <col min="16124" max="16124" width="8.21875" style="327" customWidth="1"/>
    <col min="16125" max="16125" width="10.77734375" style="327" customWidth="1"/>
    <col min="16126" max="16126" width="6.77734375" style="327" customWidth="1"/>
    <col min="16127" max="16127" width="7.5546875" style="327" customWidth="1"/>
    <col min="16128" max="16128" width="8.21875" style="327" customWidth="1"/>
    <col min="16129" max="16129" width="10.77734375" style="327" customWidth="1"/>
    <col min="16130" max="16132" width="6.77734375" style="327" customWidth="1"/>
    <col min="16133" max="16133" width="11.44140625" style="327" customWidth="1"/>
    <col min="16134" max="16136" width="6.77734375" style="327" customWidth="1"/>
    <col min="16137" max="16137" width="11.44140625" style="327"/>
    <col min="16138" max="16138" width="1.5546875" style="327" customWidth="1"/>
    <col min="16139" max="16384" width="11.44140625" style="327"/>
  </cols>
  <sheetData>
    <row r="1" spans="1:67" ht="37.5" customHeight="1">
      <c r="A1" s="3607" t="s">
        <v>2756</v>
      </c>
      <c r="B1" s="325"/>
      <c r="C1" s="326"/>
      <c r="AA1" s="322"/>
    </row>
    <row r="2" spans="1:67" ht="15" customHeight="1">
      <c r="A2" s="328"/>
      <c r="B2" s="325"/>
    </row>
    <row r="3" spans="1:67" ht="17.399999999999999">
      <c r="A3" s="6030" t="s">
        <v>1081</v>
      </c>
      <c r="B3" s="325"/>
      <c r="C3" s="6029">
        <v>2010</v>
      </c>
      <c r="D3" s="6029"/>
      <c r="E3" s="6029"/>
      <c r="F3" s="6029"/>
      <c r="G3" s="6029"/>
      <c r="H3" s="2626"/>
      <c r="I3" s="6029">
        <v>2011</v>
      </c>
      <c r="J3" s="6029"/>
      <c r="K3" s="6029"/>
      <c r="L3" s="6029"/>
      <c r="M3" s="6029"/>
      <c r="O3" s="6029">
        <v>2012</v>
      </c>
      <c r="P3" s="6029"/>
      <c r="Q3" s="6029"/>
      <c r="R3" s="6029"/>
      <c r="S3" s="6029"/>
      <c r="U3" s="6029">
        <v>2013</v>
      </c>
      <c r="V3" s="6029"/>
      <c r="W3" s="6029"/>
      <c r="X3" s="6029"/>
      <c r="Y3" s="6029"/>
      <c r="AA3" s="6029">
        <v>2014</v>
      </c>
      <c r="AB3" s="6029"/>
      <c r="AC3" s="6029"/>
      <c r="AD3" s="6029"/>
      <c r="AE3" s="6029"/>
      <c r="AG3" s="6029">
        <v>2015</v>
      </c>
      <c r="AH3" s="6029"/>
      <c r="AI3" s="6029"/>
      <c r="AJ3" s="6029"/>
      <c r="AK3" s="6029"/>
      <c r="AM3" s="6029">
        <v>2016</v>
      </c>
      <c r="AN3" s="6029"/>
      <c r="AO3" s="6029"/>
      <c r="AP3" s="6029"/>
      <c r="AQ3" s="6029"/>
      <c r="AS3" s="6029">
        <v>2017</v>
      </c>
      <c r="AT3" s="6029"/>
      <c r="AU3" s="6029"/>
      <c r="AV3" s="6029"/>
      <c r="AW3" s="6029"/>
      <c r="AY3" s="6029">
        <v>2018</v>
      </c>
      <c r="AZ3" s="6029"/>
      <c r="BA3" s="6029"/>
      <c r="BB3" s="6029"/>
      <c r="BC3" s="6029"/>
      <c r="BE3" s="6029">
        <v>2019</v>
      </c>
      <c r="BF3" s="6029"/>
      <c r="BG3" s="6029"/>
      <c r="BH3" s="6029"/>
      <c r="BI3" s="6029"/>
      <c r="BK3" s="6029">
        <v>2020</v>
      </c>
      <c r="BL3" s="6029"/>
      <c r="BM3" s="6029"/>
      <c r="BN3" s="6029"/>
      <c r="BO3" s="6029"/>
    </row>
    <row r="4" spans="1:67" ht="29.4" thickBot="1">
      <c r="A4" s="6031"/>
      <c r="B4" s="325"/>
      <c r="C4" s="3910" t="s">
        <v>1160</v>
      </c>
      <c r="D4" s="3910" t="s">
        <v>1161</v>
      </c>
      <c r="E4" s="3910" t="s">
        <v>1162</v>
      </c>
      <c r="F4" s="3598" t="s">
        <v>15</v>
      </c>
      <c r="G4" s="3910" t="s">
        <v>1495</v>
      </c>
      <c r="H4" s="2626"/>
      <c r="I4" s="3910" t="s">
        <v>1160</v>
      </c>
      <c r="J4" s="3910" t="s">
        <v>1161</v>
      </c>
      <c r="K4" s="3910" t="s">
        <v>1162</v>
      </c>
      <c r="L4" s="3598" t="s">
        <v>15</v>
      </c>
      <c r="M4" s="3910" t="s">
        <v>1495</v>
      </c>
      <c r="O4" s="3910" t="s">
        <v>1160</v>
      </c>
      <c r="P4" s="3910" t="s">
        <v>1161</v>
      </c>
      <c r="Q4" s="3910" t="s">
        <v>1162</v>
      </c>
      <c r="R4" s="3598" t="s">
        <v>15</v>
      </c>
      <c r="S4" s="3910" t="s">
        <v>1495</v>
      </c>
      <c r="U4" s="3910" t="s">
        <v>1160</v>
      </c>
      <c r="V4" s="3910" t="s">
        <v>1161</v>
      </c>
      <c r="W4" s="3910" t="s">
        <v>1162</v>
      </c>
      <c r="X4" s="3598" t="s">
        <v>15</v>
      </c>
      <c r="Y4" s="3910" t="s">
        <v>1495</v>
      </c>
      <c r="AA4" s="3910" t="s">
        <v>1160</v>
      </c>
      <c r="AB4" s="3910" t="s">
        <v>1161</v>
      </c>
      <c r="AC4" s="3910" t="s">
        <v>1162</v>
      </c>
      <c r="AD4" s="3598" t="s">
        <v>15</v>
      </c>
      <c r="AE4" s="3910" t="s">
        <v>1495</v>
      </c>
      <c r="AG4" s="3910" t="s">
        <v>1160</v>
      </c>
      <c r="AH4" s="3910" t="s">
        <v>1161</v>
      </c>
      <c r="AI4" s="3910" t="s">
        <v>1162</v>
      </c>
      <c r="AJ4" s="3598" t="s">
        <v>15</v>
      </c>
      <c r="AK4" s="3910" t="s">
        <v>1495</v>
      </c>
      <c r="AM4" s="3910" t="s">
        <v>1160</v>
      </c>
      <c r="AN4" s="3910" t="s">
        <v>1161</v>
      </c>
      <c r="AO4" s="3910" t="s">
        <v>1162</v>
      </c>
      <c r="AP4" s="3598" t="s">
        <v>15</v>
      </c>
      <c r="AQ4" s="3910" t="s">
        <v>1495</v>
      </c>
      <c r="AS4" s="3910" t="s">
        <v>1160</v>
      </c>
      <c r="AT4" s="3910" t="s">
        <v>1161</v>
      </c>
      <c r="AU4" s="3910" t="s">
        <v>1162</v>
      </c>
      <c r="AV4" s="3598" t="s">
        <v>15</v>
      </c>
      <c r="AW4" s="3910" t="s">
        <v>1495</v>
      </c>
      <c r="AY4" s="3910" t="s">
        <v>1160</v>
      </c>
      <c r="AZ4" s="3910" t="s">
        <v>1161</v>
      </c>
      <c r="BA4" s="3910" t="s">
        <v>1162</v>
      </c>
      <c r="BB4" s="3598" t="s">
        <v>15</v>
      </c>
      <c r="BC4" s="3910" t="s">
        <v>1495</v>
      </c>
      <c r="BE4" s="3910" t="s">
        <v>1160</v>
      </c>
      <c r="BF4" s="3910" t="s">
        <v>1161</v>
      </c>
      <c r="BG4" s="3910" t="s">
        <v>1162</v>
      </c>
      <c r="BH4" s="3598" t="s">
        <v>15</v>
      </c>
      <c r="BI4" s="3910" t="s">
        <v>1495</v>
      </c>
      <c r="BK4" s="3910" t="s">
        <v>1160</v>
      </c>
      <c r="BL4" s="3910" t="s">
        <v>1161</v>
      </c>
      <c r="BM4" s="3910" t="s">
        <v>1162</v>
      </c>
      <c r="BN4" s="5004" t="s">
        <v>15</v>
      </c>
      <c r="BO4" s="3910" t="s">
        <v>1495</v>
      </c>
    </row>
    <row r="5" spans="1:67" ht="17.399999999999999">
      <c r="B5" s="325"/>
      <c r="H5" s="2626"/>
    </row>
    <row r="6" spans="1:67" ht="15" customHeight="1">
      <c r="A6" s="2520" t="s">
        <v>4</v>
      </c>
      <c r="B6" s="2656"/>
      <c r="C6" s="2657">
        <v>6</v>
      </c>
      <c r="D6" s="2657">
        <v>12</v>
      </c>
      <c r="E6" s="2658">
        <v>12</v>
      </c>
      <c r="F6" s="2659">
        <f>SUM(C6:E6)</f>
        <v>30</v>
      </c>
      <c r="G6" s="2660">
        <f>C6/F6</f>
        <v>0.2</v>
      </c>
      <c r="H6" s="2626"/>
      <c r="I6" s="2657">
        <v>8</v>
      </c>
      <c r="J6" s="2657">
        <v>9</v>
      </c>
      <c r="K6" s="2658">
        <v>10</v>
      </c>
      <c r="L6" s="2659">
        <f>SUM(I6:K6)</f>
        <v>27</v>
      </c>
      <c r="M6" s="2660">
        <f>I6/L6</f>
        <v>0.29629629629629628</v>
      </c>
      <c r="O6" s="2657">
        <v>8</v>
      </c>
      <c r="P6" s="2657">
        <v>11</v>
      </c>
      <c r="Q6" s="2658">
        <v>9</v>
      </c>
      <c r="R6" s="2659">
        <f>SUM(O6:Q6)</f>
        <v>28</v>
      </c>
      <c r="S6" s="2660">
        <f>O6/R6</f>
        <v>0.2857142857142857</v>
      </c>
      <c r="U6" s="2657">
        <v>8</v>
      </c>
      <c r="V6" s="2657">
        <v>11</v>
      </c>
      <c r="W6" s="2658">
        <v>9</v>
      </c>
      <c r="X6" s="2659">
        <f t="shared" ref="X6:X13" si="0">SUM(U6:W6)</f>
        <v>28</v>
      </c>
      <c r="Y6" s="2660">
        <f>U6/X6</f>
        <v>0.2857142857142857</v>
      </c>
      <c r="AA6" s="2657">
        <v>8</v>
      </c>
      <c r="AB6" s="2657">
        <v>10</v>
      </c>
      <c r="AC6" s="2658">
        <v>8</v>
      </c>
      <c r="AD6" s="2659">
        <f>SUM(AA6:AC6)</f>
        <v>26</v>
      </c>
      <c r="AE6" s="2660">
        <f>AA6/AD6</f>
        <v>0.30769230769230771</v>
      </c>
      <c r="AG6" s="2657">
        <v>11</v>
      </c>
      <c r="AH6" s="2657">
        <v>4</v>
      </c>
      <c r="AI6" s="2658">
        <v>12</v>
      </c>
      <c r="AJ6" s="2659">
        <f>SUM(AG6:AI6)</f>
        <v>27</v>
      </c>
      <c r="AK6" s="2660">
        <f>AG6/AJ6</f>
        <v>0.40740740740740738</v>
      </c>
      <c r="AM6" s="2657">
        <v>11</v>
      </c>
      <c r="AN6" s="2657">
        <v>3</v>
      </c>
      <c r="AO6" s="2658">
        <v>13</v>
      </c>
      <c r="AP6" s="2659">
        <f>SUM(AM6:AO6)</f>
        <v>27</v>
      </c>
      <c r="AQ6" s="2660">
        <f>AM6/AP6</f>
        <v>0.40740740740740738</v>
      </c>
      <c r="AS6" s="2657">
        <v>10</v>
      </c>
      <c r="AT6" s="2657">
        <v>4</v>
      </c>
      <c r="AU6" s="2658">
        <v>14</v>
      </c>
      <c r="AV6" s="2659">
        <f>SUM(AS6:AU6)</f>
        <v>28</v>
      </c>
      <c r="AW6" s="2660">
        <f>AS6/AV6</f>
        <v>0.35714285714285715</v>
      </c>
      <c r="AY6" s="2657">
        <v>14</v>
      </c>
      <c r="AZ6" s="2657">
        <v>3</v>
      </c>
      <c r="BA6" s="2658">
        <v>13</v>
      </c>
      <c r="BB6" s="2659">
        <f>SUM(AY6:BA6)</f>
        <v>30</v>
      </c>
      <c r="BC6" s="2660">
        <f>AY6/BB6</f>
        <v>0.46666666666666667</v>
      </c>
      <c r="BE6" s="2657">
        <v>11</v>
      </c>
      <c r="BF6" s="2657">
        <v>7</v>
      </c>
      <c r="BG6" s="2658">
        <v>11</v>
      </c>
      <c r="BH6" s="2659">
        <f>SUM(BE6:BG6)</f>
        <v>29</v>
      </c>
      <c r="BI6" s="2660">
        <f>BE6/BH6</f>
        <v>0.37931034482758619</v>
      </c>
      <c r="BK6" s="2657">
        <v>11</v>
      </c>
      <c r="BL6" s="2657">
        <v>7</v>
      </c>
      <c r="BM6" s="2658">
        <v>11</v>
      </c>
      <c r="BN6" s="2659">
        <f>SUM(BK6:BM6)</f>
        <v>29</v>
      </c>
      <c r="BO6" s="2660">
        <f>BK6/BN6</f>
        <v>0.37931034482758619</v>
      </c>
    </row>
    <row r="7" spans="1:67" ht="15" customHeight="1">
      <c r="A7" s="2521" t="s">
        <v>16</v>
      </c>
      <c r="B7" s="325"/>
      <c r="C7" s="330">
        <v>6</v>
      </c>
      <c r="D7" s="330">
        <v>16</v>
      </c>
      <c r="E7" s="2648">
        <v>12</v>
      </c>
      <c r="F7" s="2641">
        <f>SUM(C7:E7)</f>
        <v>34</v>
      </c>
      <c r="G7" s="2627">
        <f t="shared" ref="G7:G37" si="1">C7/F7</f>
        <v>0.17647058823529413</v>
      </c>
      <c r="H7" s="2626"/>
      <c r="I7" s="330">
        <v>6</v>
      </c>
      <c r="J7" s="330">
        <v>17</v>
      </c>
      <c r="K7" s="2648">
        <v>11</v>
      </c>
      <c r="L7" s="2641">
        <f>SUM(I7:K7)</f>
        <v>34</v>
      </c>
      <c r="M7" s="2627">
        <f t="shared" ref="M7:M37" si="2">I7/L7</f>
        <v>0.17647058823529413</v>
      </c>
      <c r="O7" s="330">
        <v>6</v>
      </c>
      <c r="P7" s="330">
        <v>15</v>
      </c>
      <c r="Q7" s="2648">
        <v>9</v>
      </c>
      <c r="R7" s="2641">
        <f>SUM(O7:Q7)</f>
        <v>30</v>
      </c>
      <c r="S7" s="2627">
        <f t="shared" ref="S7:S37" si="3">O7/R7</f>
        <v>0.2</v>
      </c>
      <c r="U7" s="330">
        <v>6</v>
      </c>
      <c r="V7" s="330">
        <v>15</v>
      </c>
      <c r="W7" s="2648">
        <v>10</v>
      </c>
      <c r="X7" s="2641">
        <f t="shared" si="0"/>
        <v>31</v>
      </c>
      <c r="Y7" s="2627">
        <f t="shared" ref="Y7:Y37" si="4">U7/X7</f>
        <v>0.19354838709677419</v>
      </c>
      <c r="AA7" s="330">
        <v>7</v>
      </c>
      <c r="AB7" s="330">
        <v>11</v>
      </c>
      <c r="AC7" s="2648">
        <v>12</v>
      </c>
      <c r="AD7" s="2641">
        <f>SUM(AA7:AC7)</f>
        <v>30</v>
      </c>
      <c r="AE7" s="2627">
        <f t="shared" ref="AE7:AE37" si="5">AA7/AD7</f>
        <v>0.23333333333333334</v>
      </c>
      <c r="AG7" s="330">
        <v>7</v>
      </c>
      <c r="AH7" s="330">
        <v>10</v>
      </c>
      <c r="AI7" s="2648">
        <v>13</v>
      </c>
      <c r="AJ7" s="2641">
        <f>SUM(AG7:AI7)</f>
        <v>30</v>
      </c>
      <c r="AK7" s="2627">
        <f t="shared" ref="AK7:AK37" si="6">AG7/AJ7</f>
        <v>0.23333333333333334</v>
      </c>
      <c r="AM7" s="330">
        <v>8</v>
      </c>
      <c r="AN7" s="330">
        <v>10</v>
      </c>
      <c r="AO7" s="2648">
        <v>8</v>
      </c>
      <c r="AP7" s="2641">
        <f>SUM(AM7:AO7)</f>
        <v>26</v>
      </c>
      <c r="AQ7" s="2627">
        <f>AM7/AP7</f>
        <v>0.30769230769230771</v>
      </c>
      <c r="AS7" s="330">
        <v>10</v>
      </c>
      <c r="AT7" s="330">
        <v>8</v>
      </c>
      <c r="AU7" s="2648">
        <v>6</v>
      </c>
      <c r="AV7" s="2641">
        <f t="shared" ref="AV7:AV37" si="7">SUM(AS7:AU7)</f>
        <v>24</v>
      </c>
      <c r="AW7" s="2627">
        <f t="shared" ref="AW7:AW36" si="8">AS7/AV7</f>
        <v>0.41666666666666669</v>
      </c>
      <c r="AY7" s="330">
        <v>10</v>
      </c>
      <c r="AZ7" s="330">
        <v>6</v>
      </c>
      <c r="BA7" s="2648">
        <v>8</v>
      </c>
      <c r="BB7" s="2641">
        <f>SUM(AY7:BA7)</f>
        <v>24</v>
      </c>
      <c r="BC7" s="2627">
        <f>AY7/BB7</f>
        <v>0.41666666666666669</v>
      </c>
      <c r="BE7" s="330">
        <v>11</v>
      </c>
      <c r="BF7" s="330">
        <v>4</v>
      </c>
      <c r="BG7" s="2648">
        <v>9</v>
      </c>
      <c r="BH7" s="2641">
        <f>SUM(BE7:BG7)</f>
        <v>24</v>
      </c>
      <c r="BI7" s="2627">
        <f>BE7/BH7</f>
        <v>0.45833333333333331</v>
      </c>
      <c r="BK7" s="330">
        <v>11</v>
      </c>
      <c r="BL7" s="330">
        <v>4</v>
      </c>
      <c r="BM7" s="2648">
        <v>9</v>
      </c>
      <c r="BN7" s="2641">
        <f>SUM(BK7:BM7)</f>
        <v>24</v>
      </c>
      <c r="BO7" s="2627">
        <f>BK7/BN7</f>
        <v>0.45833333333333331</v>
      </c>
    </row>
    <row r="8" spans="1:67" ht="15" customHeight="1">
      <c r="A8" s="2521" t="s">
        <v>21</v>
      </c>
      <c r="B8" s="325"/>
      <c r="C8" s="330">
        <v>1</v>
      </c>
      <c r="D8" s="330">
        <v>4</v>
      </c>
      <c r="E8" s="2648">
        <v>12</v>
      </c>
      <c r="F8" s="2641">
        <f>SUM(C8:E8)</f>
        <v>17</v>
      </c>
      <c r="G8" s="2627">
        <f t="shared" si="1"/>
        <v>5.8823529411764705E-2</v>
      </c>
      <c r="H8" s="2626"/>
      <c r="I8" s="330">
        <v>1</v>
      </c>
      <c r="J8" s="330">
        <v>3</v>
      </c>
      <c r="K8" s="2648">
        <v>15</v>
      </c>
      <c r="L8" s="2641">
        <f>SUM(I8:K8)</f>
        <v>19</v>
      </c>
      <c r="M8" s="2627">
        <f t="shared" si="2"/>
        <v>5.2631578947368418E-2</v>
      </c>
      <c r="O8" s="330">
        <v>1</v>
      </c>
      <c r="P8" s="330">
        <v>3</v>
      </c>
      <c r="Q8" s="2648">
        <v>16</v>
      </c>
      <c r="R8" s="2641">
        <f>SUM(O8:Q8)</f>
        <v>20</v>
      </c>
      <c r="S8" s="2627">
        <f t="shared" si="3"/>
        <v>0.05</v>
      </c>
      <c r="U8" s="330">
        <v>1</v>
      </c>
      <c r="V8" s="330">
        <v>3</v>
      </c>
      <c r="W8" s="2648">
        <v>16</v>
      </c>
      <c r="X8" s="2641">
        <f t="shared" si="0"/>
        <v>20</v>
      </c>
      <c r="Y8" s="2627">
        <f t="shared" si="4"/>
        <v>0.05</v>
      </c>
      <c r="AA8" s="330">
        <v>1</v>
      </c>
      <c r="AB8" s="330">
        <v>3</v>
      </c>
      <c r="AC8" s="2648">
        <v>16</v>
      </c>
      <c r="AD8" s="2641">
        <f>SUM(AA8:AC8)</f>
        <v>20</v>
      </c>
      <c r="AE8" s="2627">
        <f t="shared" si="5"/>
        <v>0.05</v>
      </c>
      <c r="AG8" s="330">
        <v>1</v>
      </c>
      <c r="AH8" s="330">
        <v>6</v>
      </c>
      <c r="AI8" s="2648">
        <v>19</v>
      </c>
      <c r="AJ8" s="2641">
        <f>SUM(AG8:AI8)</f>
        <v>26</v>
      </c>
      <c r="AK8" s="2627">
        <f t="shared" si="6"/>
        <v>3.8461538461538464E-2</v>
      </c>
      <c r="AM8" s="330">
        <v>1</v>
      </c>
      <c r="AN8" s="330">
        <v>7</v>
      </c>
      <c r="AO8" s="2648">
        <v>17</v>
      </c>
      <c r="AP8" s="2641">
        <f>SUM(AM8:AO8)</f>
        <v>25</v>
      </c>
      <c r="AQ8" s="2627">
        <f>AM8/AP8</f>
        <v>0.04</v>
      </c>
      <c r="AS8" s="330">
        <v>2</v>
      </c>
      <c r="AT8" s="330">
        <v>5</v>
      </c>
      <c r="AU8" s="2648">
        <v>16</v>
      </c>
      <c r="AV8" s="2641">
        <f t="shared" si="7"/>
        <v>23</v>
      </c>
      <c r="AW8" s="2627">
        <f t="shared" si="8"/>
        <v>8.6956521739130432E-2</v>
      </c>
      <c r="AY8" s="330">
        <v>2</v>
      </c>
      <c r="AZ8" s="330">
        <v>5</v>
      </c>
      <c r="BA8" s="2648">
        <v>19</v>
      </c>
      <c r="BB8" s="2641">
        <f>SUM(AY8:BA8)</f>
        <v>26</v>
      </c>
      <c r="BC8" s="2627">
        <f>AY8/BB8</f>
        <v>7.6923076923076927E-2</v>
      </c>
      <c r="BE8" s="330">
        <v>2</v>
      </c>
      <c r="BF8" s="330">
        <v>5</v>
      </c>
      <c r="BG8" s="2648">
        <v>17</v>
      </c>
      <c r="BH8" s="2641">
        <f>SUM(BE8:BG8)</f>
        <v>24</v>
      </c>
      <c r="BI8" s="2627">
        <f>BE8/BH8</f>
        <v>8.3333333333333329E-2</v>
      </c>
      <c r="BK8" s="330">
        <v>2</v>
      </c>
      <c r="BL8" s="330">
        <v>5</v>
      </c>
      <c r="BM8" s="2648">
        <v>16</v>
      </c>
      <c r="BN8" s="2641">
        <f>SUM(BK8:BM8)</f>
        <v>23</v>
      </c>
      <c r="BO8" s="2627">
        <f>BK8/BN8</f>
        <v>8.6956521739130432E-2</v>
      </c>
    </row>
    <row r="9" spans="1:67" ht="15" customHeight="1">
      <c r="A9" s="2618" t="s">
        <v>3</v>
      </c>
      <c r="B9" s="325"/>
      <c r="C9" s="2628">
        <f>SUM(C6:C8)</f>
        <v>13</v>
      </c>
      <c r="D9" s="2628">
        <f>SUM(D6:D8)</f>
        <v>32</v>
      </c>
      <c r="E9" s="2649">
        <f>SUM(E6:E8)</f>
        <v>36</v>
      </c>
      <c r="F9" s="2642">
        <f>SUM(C9:E9)</f>
        <v>81</v>
      </c>
      <c r="G9" s="2629">
        <f t="shared" si="1"/>
        <v>0.16049382716049382</v>
      </c>
      <c r="H9" s="2626"/>
      <c r="I9" s="2628">
        <f>SUM(I6:I8)</f>
        <v>15</v>
      </c>
      <c r="J9" s="2628">
        <f>SUM(J6:J8)</f>
        <v>29</v>
      </c>
      <c r="K9" s="2649">
        <f>SUM(K6:K8)</f>
        <v>36</v>
      </c>
      <c r="L9" s="2642">
        <f>SUM(I9:K9)</f>
        <v>80</v>
      </c>
      <c r="M9" s="2629">
        <f t="shared" si="2"/>
        <v>0.1875</v>
      </c>
      <c r="O9" s="2628">
        <f>SUM(O6:O8)</f>
        <v>15</v>
      </c>
      <c r="P9" s="2628">
        <f>SUM(P6:P8)</f>
        <v>29</v>
      </c>
      <c r="Q9" s="2649">
        <f>SUM(Q6:Q8)</f>
        <v>34</v>
      </c>
      <c r="R9" s="2642">
        <f>SUM(O9:Q9)</f>
        <v>78</v>
      </c>
      <c r="S9" s="2629">
        <f t="shared" si="3"/>
        <v>0.19230769230769232</v>
      </c>
      <c r="U9" s="2628">
        <f>SUM(U6:U8)</f>
        <v>15</v>
      </c>
      <c r="V9" s="2628">
        <f>SUM(V6:V8)</f>
        <v>29</v>
      </c>
      <c r="W9" s="2649">
        <f>SUM(W6:W8)</f>
        <v>35</v>
      </c>
      <c r="X9" s="2642">
        <f t="shared" si="0"/>
        <v>79</v>
      </c>
      <c r="Y9" s="2629">
        <f t="shared" si="4"/>
        <v>0.189873417721519</v>
      </c>
      <c r="AA9" s="2628">
        <f>SUM(AA6:AA8)</f>
        <v>16</v>
      </c>
      <c r="AB9" s="2628">
        <f>SUM(AB6:AB8)</f>
        <v>24</v>
      </c>
      <c r="AC9" s="2649">
        <f>SUM(AC6:AC8)</f>
        <v>36</v>
      </c>
      <c r="AD9" s="2642">
        <f>SUM(AA9:AC9)</f>
        <v>76</v>
      </c>
      <c r="AE9" s="2629">
        <f t="shared" si="5"/>
        <v>0.21052631578947367</v>
      </c>
      <c r="AG9" s="2628">
        <f>SUM(AG6:AG8)</f>
        <v>19</v>
      </c>
      <c r="AH9" s="2628">
        <f>SUM(AH6:AH8)</f>
        <v>20</v>
      </c>
      <c r="AI9" s="2649">
        <f>SUM(AI6:AI8)</f>
        <v>44</v>
      </c>
      <c r="AJ9" s="2642">
        <f>SUM(AG9:AI9)</f>
        <v>83</v>
      </c>
      <c r="AK9" s="2629">
        <f t="shared" si="6"/>
        <v>0.2289156626506024</v>
      </c>
      <c r="AM9" s="2628">
        <f>SUM(AM6:AM8)</f>
        <v>20</v>
      </c>
      <c r="AN9" s="2628">
        <f>SUM(AN6:AN8)</f>
        <v>20</v>
      </c>
      <c r="AO9" s="2649">
        <f>SUM(AO6:AO8)</f>
        <v>38</v>
      </c>
      <c r="AP9" s="2642">
        <f>SUM(AM9:AO9)</f>
        <v>78</v>
      </c>
      <c r="AQ9" s="2629">
        <f>AM9/AP9</f>
        <v>0.25641025641025639</v>
      </c>
      <c r="AS9" s="2628">
        <f>SUM(AS6:AS8)</f>
        <v>22</v>
      </c>
      <c r="AT9" s="2628">
        <f>SUM(AT6:AT8)</f>
        <v>17</v>
      </c>
      <c r="AU9" s="2649">
        <f>SUM(AU6:AU8)</f>
        <v>36</v>
      </c>
      <c r="AV9" s="2642">
        <f t="shared" si="7"/>
        <v>75</v>
      </c>
      <c r="AW9" s="2629">
        <f t="shared" si="8"/>
        <v>0.29333333333333333</v>
      </c>
      <c r="AY9" s="2628">
        <f>SUM(AY6:AY8)</f>
        <v>26</v>
      </c>
      <c r="AZ9" s="2628">
        <f>SUM(AZ6:AZ8)</f>
        <v>14</v>
      </c>
      <c r="BA9" s="2649">
        <f>SUM(BA6:BA8)</f>
        <v>40</v>
      </c>
      <c r="BB9" s="2642">
        <f>SUM(AY9:BA9)</f>
        <v>80</v>
      </c>
      <c r="BC9" s="2629">
        <f>AY9/BB9</f>
        <v>0.32500000000000001</v>
      </c>
      <c r="BE9" s="2628">
        <f>SUM(BE6:BE8)</f>
        <v>24</v>
      </c>
      <c r="BF9" s="2628">
        <f>SUM(BF6:BF8)</f>
        <v>16</v>
      </c>
      <c r="BG9" s="2649">
        <f>SUM(BG6:BG8)</f>
        <v>37</v>
      </c>
      <c r="BH9" s="2642">
        <f>SUM(BE9:BG9)</f>
        <v>77</v>
      </c>
      <c r="BI9" s="2629">
        <f>BE9/BH9</f>
        <v>0.31168831168831168</v>
      </c>
      <c r="BK9" s="2628">
        <f>SUM(BK6:BK8)</f>
        <v>24</v>
      </c>
      <c r="BL9" s="2628">
        <f>SUM(BL6:BL8)</f>
        <v>16</v>
      </c>
      <c r="BM9" s="2649">
        <f>SUM(BM6:BM8)</f>
        <v>36</v>
      </c>
      <c r="BN9" s="2642">
        <f>SUM(BK9:BM9)</f>
        <v>76</v>
      </c>
      <c r="BO9" s="2629">
        <f>BK9/BN9</f>
        <v>0.31578947368421051</v>
      </c>
    </row>
    <row r="10" spans="1:67" ht="15" customHeight="1">
      <c r="A10" s="2582"/>
      <c r="B10" s="325"/>
      <c r="C10" s="2621"/>
      <c r="D10" s="2621"/>
      <c r="E10" s="2650"/>
      <c r="F10" s="2621"/>
      <c r="G10" s="2630"/>
      <c r="H10" s="2626"/>
      <c r="I10" s="2621"/>
      <c r="J10" s="2621"/>
      <c r="K10" s="2650"/>
      <c r="L10" s="2621"/>
      <c r="M10" s="2630"/>
      <c r="O10" s="2621"/>
      <c r="P10" s="2621"/>
      <c r="Q10" s="2650"/>
      <c r="R10" s="2621"/>
      <c r="S10" s="2630"/>
      <c r="U10" s="2621"/>
      <c r="V10" s="2621"/>
      <c r="W10" s="2650"/>
      <c r="X10" s="2621"/>
      <c r="Y10" s="2630"/>
      <c r="AA10" s="2621"/>
      <c r="AB10" s="2621"/>
      <c r="AC10" s="2650"/>
      <c r="AD10" s="2621"/>
      <c r="AE10" s="2630"/>
      <c r="AG10" s="2621"/>
      <c r="AH10" s="2621"/>
      <c r="AI10" s="2650"/>
      <c r="AJ10" s="2621"/>
      <c r="AK10" s="2630"/>
      <c r="AM10" s="2621"/>
      <c r="AN10" s="2621"/>
      <c r="AO10" s="2650"/>
      <c r="AP10" s="2621"/>
      <c r="AQ10" s="2630"/>
      <c r="AS10" s="2621"/>
      <c r="AT10" s="2621"/>
      <c r="AU10" s="2650"/>
      <c r="AV10" s="2621"/>
      <c r="AW10" s="2630"/>
      <c r="AY10" s="2621"/>
      <c r="AZ10" s="2621"/>
      <c r="BA10" s="2650"/>
      <c r="BB10" s="2621"/>
      <c r="BC10" s="2630"/>
      <c r="BE10" s="2621"/>
      <c r="BF10" s="2621"/>
      <c r="BG10" s="2650"/>
      <c r="BH10" s="2621"/>
      <c r="BI10" s="2630"/>
      <c r="BK10" s="2621"/>
      <c r="BL10" s="2621"/>
      <c r="BM10" s="2650"/>
      <c r="BN10" s="2621"/>
      <c r="BO10" s="2630"/>
    </row>
    <row r="11" spans="1:67" ht="15" customHeight="1">
      <c r="A11" s="2520" t="s">
        <v>16</v>
      </c>
      <c r="B11" s="2656"/>
      <c r="C11" s="2657">
        <v>1</v>
      </c>
      <c r="D11" s="2657">
        <v>4</v>
      </c>
      <c r="E11" s="2658">
        <v>5</v>
      </c>
      <c r="F11" s="2659">
        <f>SUM(C11:E11)</f>
        <v>10</v>
      </c>
      <c r="G11" s="2660">
        <f t="shared" si="1"/>
        <v>0.1</v>
      </c>
      <c r="H11" s="2626"/>
      <c r="I11" s="2657">
        <v>1</v>
      </c>
      <c r="J11" s="2657">
        <v>4</v>
      </c>
      <c r="K11" s="2658">
        <v>6</v>
      </c>
      <c r="L11" s="2659">
        <f>SUM(I11:K11)</f>
        <v>11</v>
      </c>
      <c r="M11" s="2660">
        <f t="shared" si="2"/>
        <v>9.0909090909090912E-2</v>
      </c>
      <c r="O11" s="2657">
        <v>2</v>
      </c>
      <c r="P11" s="2657">
        <v>3</v>
      </c>
      <c r="Q11" s="2658">
        <v>7</v>
      </c>
      <c r="R11" s="2659">
        <f>SUM(O11:Q11)</f>
        <v>12</v>
      </c>
      <c r="S11" s="2660">
        <f t="shared" si="3"/>
        <v>0.16666666666666666</v>
      </c>
      <c r="T11" s="2621"/>
      <c r="U11" s="2657">
        <v>2</v>
      </c>
      <c r="V11" s="2657">
        <v>3</v>
      </c>
      <c r="W11" s="2658">
        <v>7</v>
      </c>
      <c r="X11" s="2659">
        <f t="shared" si="0"/>
        <v>12</v>
      </c>
      <c r="Y11" s="2660">
        <f t="shared" si="4"/>
        <v>0.16666666666666666</v>
      </c>
      <c r="Z11" s="2621"/>
      <c r="AA11" s="2657">
        <v>3</v>
      </c>
      <c r="AB11" s="2657">
        <v>2</v>
      </c>
      <c r="AC11" s="2658">
        <v>5</v>
      </c>
      <c r="AD11" s="2659">
        <f>SUM(AA11:AC11)</f>
        <v>10</v>
      </c>
      <c r="AE11" s="2660">
        <f t="shared" si="5"/>
        <v>0.3</v>
      </c>
      <c r="AF11" s="2621"/>
      <c r="AG11" s="2657">
        <v>3</v>
      </c>
      <c r="AH11" s="2657">
        <v>4</v>
      </c>
      <c r="AI11" s="2658">
        <v>3</v>
      </c>
      <c r="AJ11" s="2659">
        <f>SUM(AG11:AI11)</f>
        <v>10</v>
      </c>
      <c r="AK11" s="2660">
        <f t="shared" si="6"/>
        <v>0.3</v>
      </c>
      <c r="AL11" s="2621"/>
      <c r="AM11" s="2657">
        <v>3</v>
      </c>
      <c r="AN11" s="2657">
        <v>4</v>
      </c>
      <c r="AO11" s="2658">
        <v>4</v>
      </c>
      <c r="AP11" s="2659">
        <f>SUM(AM11:AO11)</f>
        <v>11</v>
      </c>
      <c r="AQ11" s="2660">
        <f>AM11/AP11</f>
        <v>0.27272727272727271</v>
      </c>
      <c r="AR11" s="2621"/>
      <c r="AS11" s="2657">
        <v>2</v>
      </c>
      <c r="AT11" s="2657">
        <v>3</v>
      </c>
      <c r="AU11" s="2658">
        <v>5</v>
      </c>
      <c r="AV11" s="2659">
        <f t="shared" si="7"/>
        <v>10</v>
      </c>
      <c r="AW11" s="2660">
        <f t="shared" si="8"/>
        <v>0.2</v>
      </c>
      <c r="AX11" s="2621"/>
      <c r="AY11" s="2657">
        <v>1</v>
      </c>
      <c r="AZ11" s="2657">
        <v>4</v>
      </c>
      <c r="BA11" s="2658">
        <v>3</v>
      </c>
      <c r="BB11" s="2659">
        <f>SUM(AY11:BA11)</f>
        <v>8</v>
      </c>
      <c r="BC11" s="2660">
        <f>AY11/BB11</f>
        <v>0.125</v>
      </c>
      <c r="BE11" s="2657">
        <v>2</v>
      </c>
      <c r="BF11" s="2657">
        <v>3</v>
      </c>
      <c r="BG11" s="2658">
        <v>4</v>
      </c>
      <c r="BH11" s="2659">
        <f>SUM(BE11:BG11)</f>
        <v>9</v>
      </c>
      <c r="BI11" s="2660">
        <f>BE11/BH11</f>
        <v>0.22222222222222221</v>
      </c>
      <c r="BK11" s="2657">
        <v>2</v>
      </c>
      <c r="BL11" s="2657">
        <v>2</v>
      </c>
      <c r="BM11" s="2658">
        <v>4</v>
      </c>
      <c r="BN11" s="2659">
        <f>SUM(BK11:BM11)</f>
        <v>8</v>
      </c>
      <c r="BO11" s="2660">
        <f>BK11/BN11</f>
        <v>0.25</v>
      </c>
    </row>
    <row r="12" spans="1:67" ht="15" customHeight="1">
      <c r="A12" s="2521" t="s">
        <v>61</v>
      </c>
      <c r="B12" s="325"/>
      <c r="C12" s="330">
        <v>1</v>
      </c>
      <c r="D12" s="330"/>
      <c r="E12" s="2648">
        <v>4</v>
      </c>
      <c r="F12" s="2641">
        <f>SUM(C12:E12)</f>
        <v>5</v>
      </c>
      <c r="G12" s="2627">
        <f t="shared" si="1"/>
        <v>0.2</v>
      </c>
      <c r="H12" s="2626"/>
      <c r="I12" s="330">
        <v>1</v>
      </c>
      <c r="J12" s="330"/>
      <c r="K12" s="2648">
        <v>8</v>
      </c>
      <c r="L12" s="2641">
        <f>SUM(I12:K12)</f>
        <v>9</v>
      </c>
      <c r="M12" s="2627">
        <f t="shared" si="2"/>
        <v>0.1111111111111111</v>
      </c>
      <c r="O12" s="330">
        <v>1</v>
      </c>
      <c r="P12" s="330"/>
      <c r="Q12" s="2648">
        <v>9</v>
      </c>
      <c r="R12" s="2641">
        <f>SUM(O12:Q12)</f>
        <v>10</v>
      </c>
      <c r="S12" s="2627">
        <f t="shared" si="3"/>
        <v>0.1</v>
      </c>
      <c r="U12" s="330">
        <v>1</v>
      </c>
      <c r="V12" s="330"/>
      <c r="W12" s="2648">
        <v>8</v>
      </c>
      <c r="X12" s="2641">
        <f t="shared" si="0"/>
        <v>9</v>
      </c>
      <c r="Y12" s="2627">
        <f t="shared" si="4"/>
        <v>0.1111111111111111</v>
      </c>
      <c r="AA12" s="330">
        <v>1</v>
      </c>
      <c r="AB12" s="330">
        <v>1</v>
      </c>
      <c r="AC12" s="2648">
        <v>7</v>
      </c>
      <c r="AD12" s="2641">
        <f>SUM(AA12:AC12)</f>
        <v>9</v>
      </c>
      <c r="AE12" s="2627">
        <f t="shared" si="5"/>
        <v>0.1111111111111111</v>
      </c>
      <c r="AG12" s="330">
        <v>1</v>
      </c>
      <c r="AH12" s="330">
        <v>1</v>
      </c>
      <c r="AI12" s="2648">
        <v>8</v>
      </c>
      <c r="AJ12" s="2641">
        <f>SUM(AG12:AI12)</f>
        <v>10</v>
      </c>
      <c r="AK12" s="2627">
        <f t="shared" si="6"/>
        <v>0.1</v>
      </c>
      <c r="AM12" s="330">
        <v>1</v>
      </c>
      <c r="AN12" s="330">
        <v>1</v>
      </c>
      <c r="AO12" s="2648">
        <v>8</v>
      </c>
      <c r="AP12" s="2641">
        <f>SUM(AM12:AO12)</f>
        <v>10</v>
      </c>
      <c r="AQ12" s="2627">
        <f>AM12/AP12</f>
        <v>0.1</v>
      </c>
      <c r="AS12" s="330">
        <v>1</v>
      </c>
      <c r="AT12" s="330">
        <v>1</v>
      </c>
      <c r="AU12" s="2648">
        <v>6</v>
      </c>
      <c r="AV12" s="2641">
        <f t="shared" si="7"/>
        <v>8</v>
      </c>
      <c r="AW12" s="2627">
        <f t="shared" si="8"/>
        <v>0.125</v>
      </c>
      <c r="AY12" s="330">
        <v>1</v>
      </c>
      <c r="AZ12" s="330">
        <v>1</v>
      </c>
      <c r="BA12" s="2648">
        <v>6</v>
      </c>
      <c r="BB12" s="2641">
        <f>SUM(AY12:BA12)</f>
        <v>8</v>
      </c>
      <c r="BC12" s="2627">
        <f>AY12/BB12</f>
        <v>0.125</v>
      </c>
      <c r="BE12" s="330">
        <v>1</v>
      </c>
      <c r="BF12" s="330">
        <v>1</v>
      </c>
      <c r="BG12" s="2648">
        <v>4</v>
      </c>
      <c r="BH12" s="2641">
        <f>SUM(BE12:BG12)</f>
        <v>6</v>
      </c>
      <c r="BI12" s="2627">
        <f>BE12/BH12</f>
        <v>0.16666666666666666</v>
      </c>
      <c r="BK12" s="330">
        <v>1</v>
      </c>
      <c r="BL12" s="330">
        <v>1</v>
      </c>
      <c r="BM12" s="2648">
        <v>4</v>
      </c>
      <c r="BN12" s="2641">
        <f>SUM(BK12:BM12)</f>
        <v>6</v>
      </c>
      <c r="BO12" s="2627">
        <f>BK12/BN12</f>
        <v>0.16666666666666666</v>
      </c>
    </row>
    <row r="13" spans="1:67" ht="15" customHeight="1">
      <c r="A13" s="2521" t="s">
        <v>64</v>
      </c>
      <c r="B13" s="325"/>
      <c r="C13" s="330"/>
      <c r="D13" s="330"/>
      <c r="E13" s="2648">
        <v>5</v>
      </c>
      <c r="F13" s="2641">
        <f>SUM(C13:E13)</f>
        <v>5</v>
      </c>
      <c r="G13" s="2627">
        <f t="shared" si="1"/>
        <v>0</v>
      </c>
      <c r="H13" s="2626"/>
      <c r="I13" s="330">
        <v>1</v>
      </c>
      <c r="J13" s="330">
        <v>1</v>
      </c>
      <c r="K13" s="2648">
        <v>5</v>
      </c>
      <c r="L13" s="2641">
        <f>SUM(I13:K13)</f>
        <v>7</v>
      </c>
      <c r="M13" s="2627">
        <f t="shared" si="2"/>
        <v>0.14285714285714285</v>
      </c>
      <c r="O13" s="330">
        <v>1</v>
      </c>
      <c r="P13" s="330">
        <v>2</v>
      </c>
      <c r="Q13" s="2648">
        <v>5</v>
      </c>
      <c r="R13" s="2641">
        <f>SUM(O13:Q13)</f>
        <v>8</v>
      </c>
      <c r="S13" s="2627">
        <f t="shared" si="3"/>
        <v>0.125</v>
      </c>
      <c r="U13" s="330">
        <v>1</v>
      </c>
      <c r="V13" s="330">
        <v>2</v>
      </c>
      <c r="W13" s="2648">
        <v>5</v>
      </c>
      <c r="X13" s="2641">
        <f t="shared" si="0"/>
        <v>8</v>
      </c>
      <c r="Y13" s="2627">
        <f t="shared" si="4"/>
        <v>0.125</v>
      </c>
      <c r="AA13" s="330">
        <v>1</v>
      </c>
      <c r="AB13" s="330">
        <v>4</v>
      </c>
      <c r="AC13" s="2648">
        <v>4</v>
      </c>
      <c r="AD13" s="2641">
        <f>SUM(AA13:AC13)</f>
        <v>9</v>
      </c>
      <c r="AE13" s="2627">
        <f t="shared" si="5"/>
        <v>0.1111111111111111</v>
      </c>
      <c r="AG13" s="330">
        <v>1</v>
      </c>
      <c r="AH13" s="330">
        <v>6</v>
      </c>
      <c r="AI13" s="2648">
        <v>4</v>
      </c>
      <c r="AJ13" s="2641">
        <f>SUM(AG13:AI13)</f>
        <v>11</v>
      </c>
      <c r="AK13" s="2627">
        <f t="shared" si="6"/>
        <v>9.0909090909090912E-2</v>
      </c>
      <c r="AM13" s="330">
        <v>2</v>
      </c>
      <c r="AN13" s="330">
        <v>5</v>
      </c>
      <c r="AO13" s="2648">
        <v>4</v>
      </c>
      <c r="AP13" s="2641">
        <f>SUM(AM13:AO13)</f>
        <v>11</v>
      </c>
      <c r="AQ13" s="2627">
        <f>AM13/AP13</f>
        <v>0.18181818181818182</v>
      </c>
      <c r="AS13" s="330">
        <v>3</v>
      </c>
      <c r="AT13" s="330">
        <v>5</v>
      </c>
      <c r="AU13" s="2648">
        <v>2</v>
      </c>
      <c r="AV13" s="2641">
        <f t="shared" si="7"/>
        <v>10</v>
      </c>
      <c r="AW13" s="2627">
        <f t="shared" si="8"/>
        <v>0.3</v>
      </c>
      <c r="AY13" s="330">
        <v>3</v>
      </c>
      <c r="AZ13" s="330">
        <v>5</v>
      </c>
      <c r="BA13" s="2648">
        <v>3</v>
      </c>
      <c r="BB13" s="2641">
        <f>SUM(AY13:BA13)</f>
        <v>11</v>
      </c>
      <c r="BC13" s="2627">
        <f>AY13/BB13</f>
        <v>0.27272727272727271</v>
      </c>
      <c r="BE13" s="330">
        <v>4</v>
      </c>
      <c r="BF13" s="330">
        <v>4</v>
      </c>
      <c r="BG13" s="2648">
        <v>3</v>
      </c>
      <c r="BH13" s="2641">
        <f>SUM(BE13:BG13)</f>
        <v>11</v>
      </c>
      <c r="BI13" s="2627">
        <f>BE13/BH13</f>
        <v>0.36363636363636365</v>
      </c>
      <c r="BK13" s="330">
        <v>4</v>
      </c>
      <c r="BL13" s="330">
        <v>4</v>
      </c>
      <c r="BM13" s="2648">
        <v>3</v>
      </c>
      <c r="BN13" s="2641">
        <f>SUM(BK13:BM13)</f>
        <v>11</v>
      </c>
      <c r="BO13" s="2627">
        <f>BK13/BN13</f>
        <v>0.36363636363636365</v>
      </c>
    </row>
    <row r="14" spans="1:67" ht="15" customHeight="1">
      <c r="A14" s="2619" t="s">
        <v>59</v>
      </c>
      <c r="B14" s="325"/>
      <c r="C14" s="2631">
        <f t="shared" ref="C14:X14" si="9">SUM(C11:C13)</f>
        <v>2</v>
      </c>
      <c r="D14" s="2631">
        <f t="shared" si="9"/>
        <v>4</v>
      </c>
      <c r="E14" s="2651">
        <f t="shared" si="9"/>
        <v>14</v>
      </c>
      <c r="F14" s="2643">
        <f t="shared" si="9"/>
        <v>20</v>
      </c>
      <c r="G14" s="2632">
        <f t="shared" si="1"/>
        <v>0.1</v>
      </c>
      <c r="H14" s="2626"/>
      <c r="I14" s="2631">
        <f t="shared" si="9"/>
        <v>3</v>
      </c>
      <c r="J14" s="2631">
        <f t="shared" si="9"/>
        <v>5</v>
      </c>
      <c r="K14" s="2651">
        <f t="shared" si="9"/>
        <v>19</v>
      </c>
      <c r="L14" s="2643">
        <f t="shared" si="9"/>
        <v>27</v>
      </c>
      <c r="M14" s="2632">
        <f t="shared" si="2"/>
        <v>0.1111111111111111</v>
      </c>
      <c r="O14" s="2631">
        <f t="shared" si="9"/>
        <v>4</v>
      </c>
      <c r="P14" s="2631">
        <f t="shared" si="9"/>
        <v>5</v>
      </c>
      <c r="Q14" s="2651">
        <f t="shared" si="9"/>
        <v>21</v>
      </c>
      <c r="R14" s="2643">
        <f t="shared" si="9"/>
        <v>30</v>
      </c>
      <c r="S14" s="2632">
        <f t="shared" si="3"/>
        <v>0.13333333333333333</v>
      </c>
      <c r="U14" s="2631">
        <f t="shared" si="9"/>
        <v>4</v>
      </c>
      <c r="V14" s="2631">
        <f t="shared" si="9"/>
        <v>5</v>
      </c>
      <c r="W14" s="2651">
        <f t="shared" si="9"/>
        <v>20</v>
      </c>
      <c r="X14" s="2643">
        <f t="shared" si="9"/>
        <v>29</v>
      </c>
      <c r="Y14" s="2632">
        <f t="shared" si="4"/>
        <v>0.13793103448275862</v>
      </c>
      <c r="AA14" s="2631">
        <f>SUM(AA11:AA13)</f>
        <v>5</v>
      </c>
      <c r="AB14" s="2631">
        <f>SUM(AB11:AB13)</f>
        <v>7</v>
      </c>
      <c r="AC14" s="2651">
        <f>SUM(AC11:AC13)</f>
        <v>16</v>
      </c>
      <c r="AD14" s="2643">
        <f>SUM(AD11:AD13)</f>
        <v>28</v>
      </c>
      <c r="AE14" s="2632">
        <f t="shared" si="5"/>
        <v>0.17857142857142858</v>
      </c>
      <c r="AG14" s="2631">
        <f>SUM(AG11:AG13)</f>
        <v>5</v>
      </c>
      <c r="AH14" s="2631">
        <f>SUM(AH11:AH13)</f>
        <v>11</v>
      </c>
      <c r="AI14" s="2651">
        <f>SUM(AI11:AI13)</f>
        <v>15</v>
      </c>
      <c r="AJ14" s="2643">
        <f>SUM(AJ11:AJ13)</f>
        <v>31</v>
      </c>
      <c r="AK14" s="2632">
        <f t="shared" si="6"/>
        <v>0.16129032258064516</v>
      </c>
      <c r="AM14" s="2631">
        <f t="shared" ref="AM14:AU14" si="10">SUM(AM11:AM13)</f>
        <v>6</v>
      </c>
      <c r="AN14" s="2631">
        <f t="shared" si="10"/>
        <v>10</v>
      </c>
      <c r="AO14" s="2651">
        <f t="shared" si="10"/>
        <v>16</v>
      </c>
      <c r="AP14" s="2643">
        <f t="shared" si="10"/>
        <v>32</v>
      </c>
      <c r="AQ14" s="2632">
        <f>AM14/AP14</f>
        <v>0.1875</v>
      </c>
      <c r="AS14" s="2631">
        <f t="shared" si="10"/>
        <v>6</v>
      </c>
      <c r="AT14" s="2631">
        <f t="shared" si="10"/>
        <v>9</v>
      </c>
      <c r="AU14" s="2651">
        <f t="shared" si="10"/>
        <v>13</v>
      </c>
      <c r="AV14" s="2643">
        <f t="shared" si="7"/>
        <v>28</v>
      </c>
      <c r="AW14" s="2632">
        <f t="shared" si="8"/>
        <v>0.21428571428571427</v>
      </c>
      <c r="AY14" s="2631">
        <f>SUM(AY11:AY13)</f>
        <v>5</v>
      </c>
      <c r="AZ14" s="2631">
        <f>SUM(AZ11:AZ13)</f>
        <v>10</v>
      </c>
      <c r="BA14" s="2651">
        <f>SUM(BA11:BA13)</f>
        <v>12</v>
      </c>
      <c r="BB14" s="2643">
        <f>SUM(AY14:BA14)</f>
        <v>27</v>
      </c>
      <c r="BC14" s="2632">
        <f>AY14/BB14</f>
        <v>0.18518518518518517</v>
      </c>
      <c r="BE14" s="2631">
        <f>SUM(BE11:BE13)</f>
        <v>7</v>
      </c>
      <c r="BF14" s="2631">
        <f>SUM(BF11:BF13)</f>
        <v>8</v>
      </c>
      <c r="BG14" s="2651">
        <f>SUM(BG11:BG13)</f>
        <v>11</v>
      </c>
      <c r="BH14" s="2643">
        <f>SUM(BE14:BG14)</f>
        <v>26</v>
      </c>
      <c r="BI14" s="2632">
        <f>BE14/BH14</f>
        <v>0.26923076923076922</v>
      </c>
      <c r="BK14" s="2631">
        <f>SUM(BK11:BK13)</f>
        <v>7</v>
      </c>
      <c r="BL14" s="2631">
        <f>SUM(BL11:BL13)</f>
        <v>7</v>
      </c>
      <c r="BM14" s="2651">
        <f>SUM(BM11:BM13)</f>
        <v>11</v>
      </c>
      <c r="BN14" s="2643">
        <f>SUM(BK14:BM14)</f>
        <v>25</v>
      </c>
      <c r="BO14" s="2632">
        <f>BK14/BN14</f>
        <v>0.28000000000000003</v>
      </c>
    </row>
    <row r="15" spans="1:67" ht="17.399999999999999">
      <c r="A15" s="2587"/>
      <c r="B15" s="325"/>
      <c r="C15" s="2621"/>
      <c r="D15" s="2621"/>
      <c r="E15" s="2650"/>
      <c r="F15" s="2621"/>
      <c r="G15" s="2630"/>
      <c r="H15" s="2626"/>
      <c r="I15" s="2621"/>
      <c r="J15" s="2621"/>
      <c r="K15" s="2650"/>
      <c r="L15" s="2621"/>
      <c r="M15" s="2630"/>
      <c r="O15" s="2621"/>
      <c r="P15" s="2621"/>
      <c r="Q15" s="2650"/>
      <c r="R15" s="2621"/>
      <c r="S15" s="2630"/>
      <c r="U15" s="2621"/>
      <c r="V15" s="2621"/>
      <c r="W15" s="2650"/>
      <c r="X15" s="2621"/>
      <c r="Y15" s="2630"/>
      <c r="AA15" s="2621"/>
      <c r="AB15" s="2621"/>
      <c r="AC15" s="2650"/>
      <c r="AD15" s="2621"/>
      <c r="AE15" s="2630"/>
      <c r="AG15" s="2621"/>
      <c r="AH15" s="2621"/>
      <c r="AI15" s="2650"/>
      <c r="AJ15" s="2621"/>
      <c r="AK15" s="2630"/>
      <c r="AM15" s="2621"/>
      <c r="AN15" s="2621"/>
      <c r="AO15" s="2650"/>
      <c r="AP15" s="2621"/>
      <c r="AQ15" s="2630"/>
      <c r="AS15" s="2621"/>
      <c r="AT15" s="2621"/>
      <c r="AU15" s="2650"/>
      <c r="AV15" s="2621"/>
      <c r="AW15" s="2630"/>
      <c r="AY15" s="2621"/>
      <c r="AZ15" s="2621"/>
      <c r="BA15" s="2650"/>
      <c r="BB15" s="2621"/>
      <c r="BC15" s="2630"/>
      <c r="BE15" s="2621"/>
      <c r="BF15" s="2621"/>
      <c r="BG15" s="2650"/>
      <c r="BH15" s="2621"/>
      <c r="BI15" s="2630"/>
      <c r="BK15" s="2621"/>
      <c r="BL15" s="2621"/>
      <c r="BM15" s="2650"/>
      <c r="BN15" s="2621"/>
      <c r="BO15" s="2630"/>
    </row>
    <row r="16" spans="1:67" ht="15" customHeight="1">
      <c r="A16" s="2520" t="s">
        <v>4</v>
      </c>
      <c r="B16" s="2656"/>
      <c r="C16" s="2657">
        <v>16</v>
      </c>
      <c r="D16" s="2657">
        <v>18</v>
      </c>
      <c r="E16" s="2658">
        <v>3</v>
      </c>
      <c r="F16" s="2659">
        <f>SUM(C16:E16)</f>
        <v>37</v>
      </c>
      <c r="G16" s="2660">
        <f t="shared" si="1"/>
        <v>0.43243243243243246</v>
      </c>
      <c r="H16" s="2626"/>
      <c r="I16" s="2657">
        <v>16</v>
      </c>
      <c r="J16" s="2657">
        <v>19</v>
      </c>
      <c r="K16" s="2658">
        <v>4</v>
      </c>
      <c r="L16" s="2659">
        <f>SUM(I16:K16)</f>
        <v>39</v>
      </c>
      <c r="M16" s="2660">
        <f t="shared" si="2"/>
        <v>0.41025641025641024</v>
      </c>
      <c r="O16" s="2657">
        <v>17</v>
      </c>
      <c r="P16" s="2657">
        <v>17</v>
      </c>
      <c r="Q16" s="2658">
        <v>3</v>
      </c>
      <c r="R16" s="2659">
        <f>SUM(O16:Q16)</f>
        <v>37</v>
      </c>
      <c r="S16" s="2660">
        <f t="shared" si="3"/>
        <v>0.45945945945945948</v>
      </c>
      <c r="T16" s="2621"/>
      <c r="U16" s="2657">
        <v>17</v>
      </c>
      <c r="V16" s="2657">
        <v>16</v>
      </c>
      <c r="W16" s="2658">
        <v>3</v>
      </c>
      <c r="X16" s="2659">
        <f>SUM(U16:W16)</f>
        <v>36</v>
      </c>
      <c r="Y16" s="2660">
        <f t="shared" si="4"/>
        <v>0.47222222222222221</v>
      </c>
      <c r="Z16" s="2621"/>
      <c r="AA16" s="2657">
        <v>18</v>
      </c>
      <c r="AB16" s="2657">
        <v>16</v>
      </c>
      <c r="AC16" s="2658">
        <v>3</v>
      </c>
      <c r="AD16" s="2659">
        <f>SUM(AA16:AC16)</f>
        <v>37</v>
      </c>
      <c r="AE16" s="2660">
        <f t="shared" si="5"/>
        <v>0.48648648648648651</v>
      </c>
      <c r="AF16" s="2621"/>
      <c r="AG16" s="2657">
        <v>17</v>
      </c>
      <c r="AH16" s="2657">
        <v>14</v>
      </c>
      <c r="AI16" s="2658">
        <v>5</v>
      </c>
      <c r="AJ16" s="2659">
        <f>SUM(AG16:AI16)</f>
        <v>36</v>
      </c>
      <c r="AK16" s="2660">
        <f t="shared" si="6"/>
        <v>0.47222222222222221</v>
      </c>
      <c r="AL16" s="2621"/>
      <c r="AM16" s="2657">
        <v>14</v>
      </c>
      <c r="AN16" s="2657">
        <v>16</v>
      </c>
      <c r="AO16" s="2658">
        <v>7</v>
      </c>
      <c r="AP16" s="2659">
        <f>SUM(AM16:AO16)</f>
        <v>37</v>
      </c>
      <c r="AQ16" s="2660">
        <f>AM16/AP16</f>
        <v>0.3783783783783784</v>
      </c>
      <c r="AR16" s="2621"/>
      <c r="AS16" s="2657">
        <v>14</v>
      </c>
      <c r="AT16" s="2657">
        <v>16</v>
      </c>
      <c r="AU16" s="2658">
        <v>4</v>
      </c>
      <c r="AV16" s="2659">
        <f t="shared" si="7"/>
        <v>34</v>
      </c>
      <c r="AW16" s="2660">
        <f t="shared" si="8"/>
        <v>0.41176470588235292</v>
      </c>
      <c r="AX16" s="2621"/>
      <c r="AY16" s="2657">
        <v>14</v>
      </c>
      <c r="AZ16" s="2657">
        <v>15</v>
      </c>
      <c r="BA16" s="2658">
        <v>5</v>
      </c>
      <c r="BB16" s="2659">
        <f>SUM(AY16:BA16)</f>
        <v>34</v>
      </c>
      <c r="BC16" s="2660">
        <f>AY16/BB16</f>
        <v>0.41176470588235292</v>
      </c>
      <c r="BE16" s="2657">
        <v>15</v>
      </c>
      <c r="BF16" s="2657">
        <v>13</v>
      </c>
      <c r="BG16" s="2658">
        <v>5</v>
      </c>
      <c r="BH16" s="2659">
        <f>SUM(BE16:BG16)</f>
        <v>33</v>
      </c>
      <c r="BI16" s="2660">
        <f>BE16/BH16</f>
        <v>0.45454545454545453</v>
      </c>
      <c r="BK16" s="2657">
        <v>15</v>
      </c>
      <c r="BL16" s="2657">
        <v>13</v>
      </c>
      <c r="BM16" s="2658">
        <v>5</v>
      </c>
      <c r="BN16" s="2659">
        <f>SUM(BK16:BM16)</f>
        <v>33</v>
      </c>
      <c r="BO16" s="2660">
        <f>BK16/BN16</f>
        <v>0.45454545454545453</v>
      </c>
    </row>
    <row r="17" spans="1:67" ht="15" customHeight="1">
      <c r="A17" s="2521" t="s">
        <v>16</v>
      </c>
      <c r="B17" s="325"/>
      <c r="C17" s="330">
        <v>17</v>
      </c>
      <c r="D17" s="330">
        <v>12</v>
      </c>
      <c r="E17" s="2648">
        <v>3</v>
      </c>
      <c r="F17" s="2641">
        <f>SUM(C17:E17)</f>
        <v>32</v>
      </c>
      <c r="G17" s="2627">
        <f t="shared" si="1"/>
        <v>0.53125</v>
      </c>
      <c r="H17" s="2626"/>
      <c r="I17" s="330">
        <v>12</v>
      </c>
      <c r="J17" s="330">
        <v>14</v>
      </c>
      <c r="K17" s="2648">
        <v>10</v>
      </c>
      <c r="L17" s="2641">
        <f>SUM(I17:K17)</f>
        <v>36</v>
      </c>
      <c r="M17" s="2627">
        <f t="shared" si="2"/>
        <v>0.33333333333333331</v>
      </c>
      <c r="O17" s="330">
        <v>16</v>
      </c>
      <c r="P17" s="330">
        <v>11</v>
      </c>
      <c r="Q17" s="2648">
        <v>9</v>
      </c>
      <c r="R17" s="2641">
        <f>SUM(O17:Q17)</f>
        <v>36</v>
      </c>
      <c r="S17" s="2627">
        <f t="shared" si="3"/>
        <v>0.44444444444444442</v>
      </c>
      <c r="U17" s="330">
        <v>16</v>
      </c>
      <c r="V17" s="330">
        <v>12</v>
      </c>
      <c r="W17" s="2648">
        <v>9</v>
      </c>
      <c r="X17" s="2641">
        <f>SUM(U17:W17)</f>
        <v>37</v>
      </c>
      <c r="Y17" s="2627">
        <f t="shared" si="4"/>
        <v>0.43243243243243246</v>
      </c>
      <c r="AA17" s="330">
        <v>16</v>
      </c>
      <c r="AB17" s="330">
        <v>11</v>
      </c>
      <c r="AC17" s="2648">
        <v>7</v>
      </c>
      <c r="AD17" s="2641">
        <f>SUM(AA17:AC17)</f>
        <v>34</v>
      </c>
      <c r="AE17" s="2627">
        <f t="shared" si="5"/>
        <v>0.47058823529411764</v>
      </c>
      <c r="AG17" s="330">
        <v>15</v>
      </c>
      <c r="AH17" s="330">
        <v>8</v>
      </c>
      <c r="AI17" s="2648">
        <v>6</v>
      </c>
      <c r="AJ17" s="2641">
        <f>SUM(AG17:AI17)</f>
        <v>29</v>
      </c>
      <c r="AK17" s="2627">
        <f t="shared" si="6"/>
        <v>0.51724137931034486</v>
      </c>
      <c r="AM17" s="330">
        <v>12</v>
      </c>
      <c r="AN17" s="330">
        <v>10</v>
      </c>
      <c r="AO17" s="2648">
        <v>7</v>
      </c>
      <c r="AP17" s="2641">
        <f>SUM(AM17:AO17)</f>
        <v>29</v>
      </c>
      <c r="AQ17" s="2627">
        <f>AM17/AP17</f>
        <v>0.41379310344827586</v>
      </c>
      <c r="AS17" s="330">
        <v>10</v>
      </c>
      <c r="AT17" s="330">
        <v>9</v>
      </c>
      <c r="AU17" s="2648">
        <v>8</v>
      </c>
      <c r="AV17" s="2641">
        <f t="shared" si="7"/>
        <v>27</v>
      </c>
      <c r="AW17" s="2627">
        <f t="shared" si="8"/>
        <v>0.37037037037037035</v>
      </c>
      <c r="AY17" s="330">
        <v>10</v>
      </c>
      <c r="AZ17" s="330">
        <v>6</v>
      </c>
      <c r="BA17" s="2648">
        <v>10</v>
      </c>
      <c r="BB17" s="2641">
        <f>SUM(AY17:BA17)</f>
        <v>26</v>
      </c>
      <c r="BC17" s="2627">
        <f>AY17/BB17</f>
        <v>0.38461538461538464</v>
      </c>
      <c r="BE17" s="330">
        <v>10</v>
      </c>
      <c r="BF17" s="330">
        <v>6</v>
      </c>
      <c r="BG17" s="2648">
        <v>11</v>
      </c>
      <c r="BH17" s="2641">
        <f>SUM(BE17:BG17)</f>
        <v>27</v>
      </c>
      <c r="BI17" s="2627">
        <f>BE17/BH17</f>
        <v>0.37037037037037035</v>
      </c>
      <c r="BK17" s="330">
        <v>10</v>
      </c>
      <c r="BL17" s="330">
        <v>6</v>
      </c>
      <c r="BM17" s="2648">
        <v>11</v>
      </c>
      <c r="BN17" s="2641">
        <f>SUM(BK17:BM17)</f>
        <v>27</v>
      </c>
      <c r="BO17" s="2627">
        <f>BK17/BN17</f>
        <v>0.37037037037037035</v>
      </c>
    </row>
    <row r="18" spans="1:67" ht="15" customHeight="1">
      <c r="A18" s="2521" t="s">
        <v>41</v>
      </c>
      <c r="B18" s="325"/>
      <c r="C18" s="330">
        <v>14</v>
      </c>
      <c r="D18" s="330">
        <v>15</v>
      </c>
      <c r="E18" s="2648">
        <v>10</v>
      </c>
      <c r="F18" s="2641">
        <f>SUM(C18:E18)</f>
        <v>39</v>
      </c>
      <c r="G18" s="2627">
        <f t="shared" si="1"/>
        <v>0.35897435897435898</v>
      </c>
      <c r="H18" s="2626"/>
      <c r="I18" s="330">
        <v>15</v>
      </c>
      <c r="J18" s="330">
        <v>13</v>
      </c>
      <c r="K18" s="2648">
        <v>4</v>
      </c>
      <c r="L18" s="2641">
        <f>SUM(I18:K18)</f>
        <v>32</v>
      </c>
      <c r="M18" s="2627">
        <f t="shared" si="2"/>
        <v>0.46875</v>
      </c>
      <c r="O18" s="330">
        <v>15</v>
      </c>
      <c r="P18" s="330">
        <v>9</v>
      </c>
      <c r="Q18" s="2648">
        <v>8</v>
      </c>
      <c r="R18" s="2641">
        <f>SUM(O18:Q18)</f>
        <v>32</v>
      </c>
      <c r="S18" s="2627">
        <f t="shared" si="3"/>
        <v>0.46875</v>
      </c>
      <c r="U18" s="330">
        <v>15</v>
      </c>
      <c r="V18" s="330">
        <v>8</v>
      </c>
      <c r="W18" s="2648">
        <v>8</v>
      </c>
      <c r="X18" s="2641">
        <f>SUM(U18:W18)</f>
        <v>31</v>
      </c>
      <c r="Y18" s="2627">
        <f t="shared" si="4"/>
        <v>0.4838709677419355</v>
      </c>
      <c r="AA18" s="330">
        <v>15</v>
      </c>
      <c r="AB18" s="330">
        <v>8</v>
      </c>
      <c r="AC18" s="2648">
        <v>8</v>
      </c>
      <c r="AD18" s="2641">
        <f>SUM(AA18:AC18)</f>
        <v>31</v>
      </c>
      <c r="AE18" s="2627">
        <f t="shared" si="5"/>
        <v>0.4838709677419355</v>
      </c>
      <c r="AG18" s="330">
        <v>16</v>
      </c>
      <c r="AH18" s="330">
        <v>7</v>
      </c>
      <c r="AI18" s="2648">
        <v>9</v>
      </c>
      <c r="AJ18" s="2641">
        <f>SUM(AG18:AI18)</f>
        <v>32</v>
      </c>
      <c r="AK18" s="2627">
        <f t="shared" si="6"/>
        <v>0.5</v>
      </c>
      <c r="AM18" s="330">
        <v>15</v>
      </c>
      <c r="AN18" s="330">
        <v>8</v>
      </c>
      <c r="AO18" s="2648">
        <v>9</v>
      </c>
      <c r="AP18" s="2641">
        <f>SUM(AM18:AO18)</f>
        <v>32</v>
      </c>
      <c r="AQ18" s="2627">
        <f>AM18/AP18</f>
        <v>0.46875</v>
      </c>
      <c r="AS18" s="330">
        <v>15</v>
      </c>
      <c r="AT18" s="330">
        <v>8</v>
      </c>
      <c r="AU18" s="2648">
        <v>11</v>
      </c>
      <c r="AV18" s="2641">
        <f t="shared" si="7"/>
        <v>34</v>
      </c>
      <c r="AW18" s="2627">
        <f t="shared" si="8"/>
        <v>0.44117647058823528</v>
      </c>
      <c r="AY18" s="330">
        <v>14</v>
      </c>
      <c r="AZ18" s="330">
        <v>13</v>
      </c>
      <c r="BA18" s="2648">
        <v>7</v>
      </c>
      <c r="BB18" s="2641">
        <f>SUM(AY18:BA18)</f>
        <v>34</v>
      </c>
      <c r="BC18" s="2627">
        <f>AY18/BB18</f>
        <v>0.41176470588235292</v>
      </c>
      <c r="BE18" s="330">
        <v>13</v>
      </c>
      <c r="BF18" s="330">
        <v>13</v>
      </c>
      <c r="BG18" s="2648">
        <v>9</v>
      </c>
      <c r="BH18" s="2641">
        <f>SUM(BE18:BG18)</f>
        <v>35</v>
      </c>
      <c r="BI18" s="2627">
        <f>BE18/BH18</f>
        <v>0.37142857142857144</v>
      </c>
      <c r="BK18" s="330">
        <v>13</v>
      </c>
      <c r="BL18" s="330">
        <v>13</v>
      </c>
      <c r="BM18" s="2648">
        <v>9</v>
      </c>
      <c r="BN18" s="2641">
        <f>SUM(BK18:BM18)</f>
        <v>35</v>
      </c>
      <c r="BO18" s="2627">
        <f>BK18/BN18</f>
        <v>0.37142857142857144</v>
      </c>
    </row>
    <row r="19" spans="1:67" ht="15" customHeight="1">
      <c r="A19" s="2620" t="s">
        <v>25</v>
      </c>
      <c r="B19" s="325"/>
      <c r="C19" s="2633">
        <f t="shared" ref="C19:X19" si="11">SUM(C16:C18)</f>
        <v>47</v>
      </c>
      <c r="D19" s="2633">
        <f t="shared" si="11"/>
        <v>45</v>
      </c>
      <c r="E19" s="2652">
        <f t="shared" si="11"/>
        <v>16</v>
      </c>
      <c r="F19" s="2644">
        <f t="shared" si="11"/>
        <v>108</v>
      </c>
      <c r="G19" s="2634">
        <f t="shared" si="1"/>
        <v>0.43518518518518517</v>
      </c>
      <c r="H19" s="2626"/>
      <c r="I19" s="2633">
        <f t="shared" si="11"/>
        <v>43</v>
      </c>
      <c r="J19" s="2633">
        <f t="shared" si="11"/>
        <v>46</v>
      </c>
      <c r="K19" s="2652">
        <f t="shared" si="11"/>
        <v>18</v>
      </c>
      <c r="L19" s="2644">
        <f t="shared" si="11"/>
        <v>107</v>
      </c>
      <c r="M19" s="2634">
        <f t="shared" si="2"/>
        <v>0.40186915887850466</v>
      </c>
      <c r="O19" s="2633">
        <f t="shared" si="11"/>
        <v>48</v>
      </c>
      <c r="P19" s="2633">
        <f t="shared" si="11"/>
        <v>37</v>
      </c>
      <c r="Q19" s="2652">
        <f t="shared" si="11"/>
        <v>20</v>
      </c>
      <c r="R19" s="2644">
        <f t="shared" si="11"/>
        <v>105</v>
      </c>
      <c r="S19" s="2634">
        <f t="shared" si="3"/>
        <v>0.45714285714285713</v>
      </c>
      <c r="U19" s="2633">
        <f t="shared" si="11"/>
        <v>48</v>
      </c>
      <c r="V19" s="2633">
        <f t="shared" si="11"/>
        <v>36</v>
      </c>
      <c r="W19" s="2652">
        <f t="shared" si="11"/>
        <v>20</v>
      </c>
      <c r="X19" s="2644">
        <f t="shared" si="11"/>
        <v>104</v>
      </c>
      <c r="Y19" s="2634">
        <f t="shared" si="4"/>
        <v>0.46153846153846156</v>
      </c>
      <c r="AA19" s="2633">
        <f>SUM(AA16:AA18)</f>
        <v>49</v>
      </c>
      <c r="AB19" s="2633">
        <f>SUM(AB16:AB18)</f>
        <v>35</v>
      </c>
      <c r="AC19" s="2652">
        <f>SUM(AC16:AC18)</f>
        <v>18</v>
      </c>
      <c r="AD19" s="2644">
        <f>SUM(AD16:AD18)</f>
        <v>102</v>
      </c>
      <c r="AE19" s="2634">
        <f t="shared" si="5"/>
        <v>0.48039215686274511</v>
      </c>
      <c r="AG19" s="2633">
        <f>SUM(AG16:AG18)</f>
        <v>48</v>
      </c>
      <c r="AH19" s="2633">
        <f>SUM(AH16:AH18)</f>
        <v>29</v>
      </c>
      <c r="AI19" s="2652">
        <f>SUM(AI16:AI18)</f>
        <v>20</v>
      </c>
      <c r="AJ19" s="2644">
        <f>SUM(AJ16:AJ18)</f>
        <v>97</v>
      </c>
      <c r="AK19" s="2634">
        <f t="shared" si="6"/>
        <v>0.49484536082474229</v>
      </c>
      <c r="AM19" s="2633">
        <f t="shared" ref="AM19:AU19" si="12">SUM(AM16:AM18)</f>
        <v>41</v>
      </c>
      <c r="AN19" s="2633">
        <f t="shared" si="12"/>
        <v>34</v>
      </c>
      <c r="AO19" s="2652">
        <f t="shared" si="12"/>
        <v>23</v>
      </c>
      <c r="AP19" s="2644">
        <f t="shared" si="12"/>
        <v>98</v>
      </c>
      <c r="AQ19" s="2634">
        <f>AM19/AP19</f>
        <v>0.41836734693877553</v>
      </c>
      <c r="AS19" s="2633">
        <f t="shared" si="12"/>
        <v>39</v>
      </c>
      <c r="AT19" s="2633">
        <f t="shared" si="12"/>
        <v>33</v>
      </c>
      <c r="AU19" s="2652">
        <f t="shared" si="12"/>
        <v>23</v>
      </c>
      <c r="AV19" s="2644">
        <f t="shared" si="7"/>
        <v>95</v>
      </c>
      <c r="AW19" s="2634">
        <f t="shared" si="8"/>
        <v>0.41052631578947368</v>
      </c>
      <c r="AY19" s="2633">
        <f>SUM(AY16:AY18)</f>
        <v>38</v>
      </c>
      <c r="AZ19" s="2633">
        <f>SUM(AZ16:AZ18)</f>
        <v>34</v>
      </c>
      <c r="BA19" s="2652">
        <f>SUM(BA16:BA18)</f>
        <v>22</v>
      </c>
      <c r="BB19" s="2644">
        <f>SUM(AY19:BA19)</f>
        <v>94</v>
      </c>
      <c r="BC19" s="2634">
        <f>AY19/BB19</f>
        <v>0.40425531914893614</v>
      </c>
      <c r="BE19" s="2633">
        <f>SUM(BE16:BE18)</f>
        <v>38</v>
      </c>
      <c r="BF19" s="2633">
        <f>SUM(BF16:BF18)</f>
        <v>32</v>
      </c>
      <c r="BG19" s="2652">
        <f>SUM(BG16:BG18)</f>
        <v>25</v>
      </c>
      <c r="BH19" s="2644">
        <f>SUM(BE19:BG19)</f>
        <v>95</v>
      </c>
      <c r="BI19" s="2634">
        <f>BE19/BH19</f>
        <v>0.4</v>
      </c>
      <c r="BK19" s="2633">
        <f>SUM(BK16:BK18)</f>
        <v>38</v>
      </c>
      <c r="BL19" s="2633">
        <f>SUM(BL16:BL18)</f>
        <v>32</v>
      </c>
      <c r="BM19" s="2652">
        <f>SUM(BM16:BM18)</f>
        <v>25</v>
      </c>
      <c r="BN19" s="2644">
        <f>SUM(BK19:BM19)</f>
        <v>95</v>
      </c>
      <c r="BO19" s="2634">
        <f>BK19/BN19</f>
        <v>0.4</v>
      </c>
    </row>
    <row r="20" spans="1:67" ht="15" customHeight="1">
      <c r="A20" s="2621"/>
      <c r="B20" s="325"/>
      <c r="C20" s="2621"/>
      <c r="D20" s="2621"/>
      <c r="E20" s="2650"/>
      <c r="F20" s="2621"/>
      <c r="G20" s="2621"/>
      <c r="H20" s="2626"/>
      <c r="I20" s="2621"/>
      <c r="J20" s="2621"/>
      <c r="K20" s="2650"/>
      <c r="L20" s="2621"/>
      <c r="M20" s="2621"/>
      <c r="O20" s="2621"/>
      <c r="P20" s="2621"/>
      <c r="Q20" s="2650"/>
      <c r="R20" s="2621"/>
      <c r="S20" s="2621"/>
      <c r="U20" s="2621"/>
      <c r="V20" s="2621"/>
      <c r="W20" s="2650"/>
      <c r="X20" s="2621"/>
      <c r="Y20" s="2621"/>
      <c r="AA20" s="2621"/>
      <c r="AB20" s="2621"/>
      <c r="AC20" s="2650"/>
      <c r="AD20" s="2621"/>
      <c r="AE20" s="2621"/>
      <c r="AG20" s="2621"/>
      <c r="AH20" s="2621"/>
      <c r="AI20" s="2650"/>
      <c r="AJ20" s="2621"/>
      <c r="AK20" s="2621"/>
      <c r="AM20" s="2621"/>
      <c r="AN20" s="2621"/>
      <c r="AO20" s="2650"/>
      <c r="AP20" s="2621"/>
      <c r="AQ20" s="2621"/>
      <c r="AS20" s="2621"/>
      <c r="AT20" s="2621"/>
      <c r="AU20" s="2650"/>
      <c r="AV20" s="2621"/>
      <c r="AW20" s="2621"/>
      <c r="AY20" s="2621"/>
      <c r="AZ20" s="2621"/>
      <c r="BA20" s="2650"/>
      <c r="BB20" s="2621"/>
      <c r="BC20" s="2621"/>
      <c r="BE20" s="2621"/>
      <c r="BF20" s="2621"/>
      <c r="BG20" s="2650"/>
      <c r="BH20" s="2621"/>
      <c r="BI20" s="2621"/>
      <c r="BK20" s="2621"/>
      <c r="BL20" s="2621"/>
      <c r="BM20" s="2650"/>
      <c r="BN20" s="2621"/>
      <c r="BO20" s="2621"/>
    </row>
    <row r="21" spans="1:67" ht="15" customHeight="1">
      <c r="A21" s="2520" t="s">
        <v>4</v>
      </c>
      <c r="B21" s="2656"/>
      <c r="C21" s="2657"/>
      <c r="D21" s="2657"/>
      <c r="E21" s="2658"/>
      <c r="F21" s="2659"/>
      <c r="G21" s="2660"/>
      <c r="H21" s="2626"/>
      <c r="I21" s="2657"/>
      <c r="J21" s="2657"/>
      <c r="K21" s="2658"/>
      <c r="L21" s="2659"/>
      <c r="M21" s="2660"/>
      <c r="O21" s="2657"/>
      <c r="P21" s="2657"/>
      <c r="Q21" s="2658"/>
      <c r="R21" s="2659"/>
      <c r="S21" s="2660"/>
      <c r="T21" s="2621"/>
      <c r="U21" s="2657"/>
      <c r="V21" s="2657"/>
      <c r="W21" s="2658"/>
      <c r="X21" s="2659"/>
      <c r="Y21" s="2660"/>
      <c r="Z21" s="2621"/>
      <c r="AA21" s="2657"/>
      <c r="AB21" s="2657"/>
      <c r="AC21" s="2658"/>
      <c r="AD21" s="2659"/>
      <c r="AE21" s="2660"/>
      <c r="AF21" s="2621"/>
      <c r="AG21" s="2657"/>
      <c r="AH21" s="2657"/>
      <c r="AI21" s="2658">
        <v>2</v>
      </c>
      <c r="AJ21" s="2659">
        <f>SUM(AG21:AI21)</f>
        <v>2</v>
      </c>
      <c r="AK21" s="2660">
        <f>AG21/AJ21</f>
        <v>0</v>
      </c>
      <c r="AL21" s="2621"/>
      <c r="AM21" s="2657"/>
      <c r="AN21" s="2657"/>
      <c r="AO21" s="2658">
        <v>2</v>
      </c>
      <c r="AP21" s="2659">
        <f>SUM(AM21:AO21)</f>
        <v>2</v>
      </c>
      <c r="AQ21" s="2660">
        <f>AM21/AP21</f>
        <v>0</v>
      </c>
      <c r="AR21" s="2621"/>
      <c r="AS21" s="2657"/>
      <c r="AT21" s="2657"/>
      <c r="AU21" s="2658">
        <v>2</v>
      </c>
      <c r="AV21" s="2659">
        <f t="shared" si="7"/>
        <v>2</v>
      </c>
      <c r="AW21" s="2660">
        <f t="shared" si="8"/>
        <v>0</v>
      </c>
      <c r="AX21" s="2621"/>
      <c r="AY21" s="2657"/>
      <c r="AZ21" s="2657"/>
      <c r="BA21" s="2658">
        <v>3</v>
      </c>
      <c r="BB21" s="2659">
        <f>SUM(AY21:BA21)</f>
        <v>3</v>
      </c>
      <c r="BC21" s="2660">
        <f>AY21/BB21</f>
        <v>0</v>
      </c>
      <c r="BE21" s="2657"/>
      <c r="BF21" s="2657"/>
      <c r="BG21" s="2658">
        <v>3</v>
      </c>
      <c r="BH21" s="2659">
        <f>SUM(BE21:BG21)</f>
        <v>3</v>
      </c>
      <c r="BI21" s="2660">
        <f>BE21/BH21</f>
        <v>0</v>
      </c>
      <c r="BK21" s="2657"/>
      <c r="BL21" s="2657"/>
      <c r="BM21" s="2658">
        <v>2</v>
      </c>
      <c r="BN21" s="2659">
        <f>SUM(BK21:BM21)</f>
        <v>2</v>
      </c>
      <c r="BO21" s="2660">
        <f>BK21/BN21</f>
        <v>0</v>
      </c>
    </row>
    <row r="22" spans="1:67" ht="15" customHeight="1">
      <c r="A22" s="2521" t="s">
        <v>16</v>
      </c>
      <c r="B22" s="325"/>
      <c r="C22" s="330"/>
      <c r="D22" s="330"/>
      <c r="E22" s="2648"/>
      <c r="F22" s="2641"/>
      <c r="G22" s="2627"/>
      <c r="H22" s="2626"/>
      <c r="I22" s="330"/>
      <c r="J22" s="330"/>
      <c r="K22" s="2648"/>
      <c r="L22" s="2641"/>
      <c r="M22" s="2627"/>
      <c r="O22" s="330"/>
      <c r="P22" s="330"/>
      <c r="Q22" s="2648"/>
      <c r="R22" s="2641"/>
      <c r="S22" s="2627"/>
      <c r="U22" s="330"/>
      <c r="V22" s="330"/>
      <c r="W22" s="2648"/>
      <c r="X22" s="2641"/>
      <c r="Y22" s="2627"/>
      <c r="AA22" s="330"/>
      <c r="AB22" s="330"/>
      <c r="AC22" s="2648"/>
      <c r="AD22" s="2641"/>
      <c r="AE22" s="2627"/>
      <c r="AG22" s="330"/>
      <c r="AH22" s="330"/>
      <c r="AI22" s="2648">
        <v>2</v>
      </c>
      <c r="AJ22" s="2641">
        <f>SUM(AG22:AI22)</f>
        <v>2</v>
      </c>
      <c r="AK22" s="2627">
        <f>AG22/AJ22</f>
        <v>0</v>
      </c>
      <c r="AM22" s="330"/>
      <c r="AN22" s="330"/>
      <c r="AO22" s="2648">
        <v>2</v>
      </c>
      <c r="AP22" s="2641">
        <f>SUM(AM22:AO22)</f>
        <v>2</v>
      </c>
      <c r="AQ22" s="2627">
        <f>AM22/AP22</f>
        <v>0</v>
      </c>
      <c r="AS22" s="330"/>
      <c r="AT22" s="330"/>
      <c r="AU22" s="2648">
        <v>3</v>
      </c>
      <c r="AV22" s="2641">
        <f t="shared" si="7"/>
        <v>3</v>
      </c>
      <c r="AW22" s="2627">
        <f t="shared" si="8"/>
        <v>0</v>
      </c>
      <c r="AY22" s="330">
        <v>1</v>
      </c>
      <c r="AZ22" s="330"/>
      <c r="BA22" s="2648">
        <v>2</v>
      </c>
      <c r="BB22" s="2641">
        <f>SUM(AY22:BA22)</f>
        <v>3</v>
      </c>
      <c r="BC22" s="2627">
        <f>AY22/BB22</f>
        <v>0.33333333333333331</v>
      </c>
      <c r="BE22" s="330">
        <v>1</v>
      </c>
      <c r="BF22" s="330"/>
      <c r="BG22" s="2648">
        <v>2</v>
      </c>
      <c r="BH22" s="2641">
        <f>SUM(BE22:BG22)</f>
        <v>3</v>
      </c>
      <c r="BI22" s="2627">
        <f>BE22/BH22</f>
        <v>0.33333333333333331</v>
      </c>
      <c r="BK22" s="330">
        <v>1</v>
      </c>
      <c r="BL22" s="330"/>
      <c r="BM22" s="2648">
        <v>2</v>
      </c>
      <c r="BN22" s="2641">
        <f>SUM(BK22:BM22)</f>
        <v>3</v>
      </c>
      <c r="BO22" s="2627">
        <f>BK22/BN22</f>
        <v>0.33333333333333331</v>
      </c>
    </row>
    <row r="23" spans="1:67" ht="15" customHeight="1">
      <c r="A23" s="2521" t="s">
        <v>41</v>
      </c>
      <c r="B23" s="325"/>
      <c r="C23" s="330"/>
      <c r="D23" s="330"/>
      <c r="E23" s="2648"/>
      <c r="F23" s="2641"/>
      <c r="G23" s="2627"/>
      <c r="H23" s="2626"/>
      <c r="I23" s="330"/>
      <c r="J23" s="330"/>
      <c r="K23" s="2648"/>
      <c r="L23" s="2641"/>
      <c r="M23" s="2627"/>
      <c r="O23" s="330"/>
      <c r="P23" s="330"/>
      <c r="Q23" s="2648"/>
      <c r="R23" s="2641"/>
      <c r="S23" s="2627"/>
      <c r="U23" s="330"/>
      <c r="V23" s="330"/>
      <c r="W23" s="2648"/>
      <c r="X23" s="2641"/>
      <c r="Y23" s="2627"/>
      <c r="AA23" s="330"/>
      <c r="AB23" s="330"/>
      <c r="AC23" s="2648"/>
      <c r="AD23" s="2641"/>
      <c r="AE23" s="2627"/>
      <c r="AG23" s="330"/>
      <c r="AH23" s="330"/>
      <c r="AI23" s="2648"/>
      <c r="AJ23" s="2641">
        <f>SUM(AG23:AI23)</f>
        <v>0</v>
      </c>
      <c r="AK23" s="2627"/>
      <c r="AM23" s="330">
        <v>1</v>
      </c>
      <c r="AN23" s="330">
        <v>1</v>
      </c>
      <c r="AO23" s="2648"/>
      <c r="AP23" s="2641">
        <f>SUM(AM23:AO23)</f>
        <v>2</v>
      </c>
      <c r="AQ23" s="2627"/>
      <c r="AS23" s="330">
        <v>1</v>
      </c>
      <c r="AT23" s="330">
        <v>1</v>
      </c>
      <c r="AU23" s="2648"/>
      <c r="AV23" s="2641">
        <f t="shared" si="7"/>
        <v>2</v>
      </c>
      <c r="AW23" s="2627">
        <f t="shared" si="8"/>
        <v>0.5</v>
      </c>
      <c r="AY23" s="330">
        <v>1</v>
      </c>
      <c r="AZ23" s="330">
        <v>2</v>
      </c>
      <c r="BA23" s="2648"/>
      <c r="BB23" s="2641">
        <f>SUM(AY23:BA23)</f>
        <v>3</v>
      </c>
      <c r="BC23" s="2627">
        <f>AY23/BB23</f>
        <v>0.33333333333333331</v>
      </c>
      <c r="BE23" s="330">
        <v>1</v>
      </c>
      <c r="BF23" s="330">
        <v>2</v>
      </c>
      <c r="BG23" s="2648"/>
      <c r="BH23" s="2641">
        <f>SUM(BE23:BG23)</f>
        <v>3</v>
      </c>
      <c r="BI23" s="2627">
        <f>BE23/BH23</f>
        <v>0.33333333333333331</v>
      </c>
      <c r="BK23" s="330">
        <v>1</v>
      </c>
      <c r="BL23" s="330">
        <v>2</v>
      </c>
      <c r="BM23" s="2648"/>
      <c r="BN23" s="2641">
        <f>SUM(BK23:BM23)</f>
        <v>3</v>
      </c>
      <c r="BO23" s="2627">
        <f>BK23/BN23</f>
        <v>0.33333333333333331</v>
      </c>
    </row>
    <row r="24" spans="1:67" s="1252" customFormat="1" ht="15" customHeight="1">
      <c r="A24" s="2622" t="s">
        <v>25</v>
      </c>
      <c r="B24" s="325"/>
      <c r="C24" s="2635"/>
      <c r="D24" s="2635"/>
      <c r="E24" s="2653"/>
      <c r="F24" s="2645"/>
      <c r="G24" s="2636"/>
      <c r="H24" s="2626"/>
      <c r="I24" s="2635"/>
      <c r="J24" s="2635"/>
      <c r="K24" s="2653"/>
      <c r="L24" s="2645"/>
      <c r="M24" s="2636"/>
      <c r="N24" s="327"/>
      <c r="O24" s="2635"/>
      <c r="P24" s="2635"/>
      <c r="Q24" s="2653"/>
      <c r="R24" s="2645"/>
      <c r="S24" s="2636"/>
      <c r="T24" s="327"/>
      <c r="U24" s="2635"/>
      <c r="V24" s="2635"/>
      <c r="W24" s="2653"/>
      <c r="X24" s="2645"/>
      <c r="Y24" s="2636"/>
      <c r="Z24" s="327"/>
      <c r="AA24" s="2635"/>
      <c r="AB24" s="2635"/>
      <c r="AC24" s="2653"/>
      <c r="AD24" s="2645"/>
      <c r="AE24" s="2636"/>
      <c r="AF24" s="327"/>
      <c r="AG24" s="2635">
        <f>SUM(AG21:AG23)</f>
        <v>0</v>
      </c>
      <c r="AH24" s="2635">
        <f>SUM(AH21:AH23)</f>
        <v>0</v>
      </c>
      <c r="AI24" s="2653">
        <f>SUM(AI21:AI23)</f>
        <v>4</v>
      </c>
      <c r="AJ24" s="2645">
        <f>SUM(AJ21:AJ23)</f>
        <v>4</v>
      </c>
      <c r="AK24" s="2636">
        <f>AG24/AJ24</f>
        <v>0</v>
      </c>
      <c r="AL24" s="327"/>
      <c r="AM24" s="2635">
        <f t="shared" ref="AM24:AU24" si="13">SUM(AM21:AM23)</f>
        <v>1</v>
      </c>
      <c r="AN24" s="2635">
        <f t="shared" si="13"/>
        <v>1</v>
      </c>
      <c r="AO24" s="2653">
        <f t="shared" si="13"/>
        <v>4</v>
      </c>
      <c r="AP24" s="2645">
        <f t="shared" si="13"/>
        <v>6</v>
      </c>
      <c r="AQ24" s="2636">
        <f>AM24/AP24</f>
        <v>0.16666666666666666</v>
      </c>
      <c r="AR24" s="327"/>
      <c r="AS24" s="2635">
        <f t="shared" si="13"/>
        <v>1</v>
      </c>
      <c r="AT24" s="2635">
        <f t="shared" si="13"/>
        <v>1</v>
      </c>
      <c r="AU24" s="2653">
        <f t="shared" si="13"/>
        <v>5</v>
      </c>
      <c r="AV24" s="2645">
        <f t="shared" si="7"/>
        <v>7</v>
      </c>
      <c r="AW24" s="2636">
        <f t="shared" si="8"/>
        <v>0.14285714285714285</v>
      </c>
      <c r="AX24" s="327"/>
      <c r="AY24" s="2635">
        <f>SUM(AY21:AY23)</f>
        <v>2</v>
      </c>
      <c r="AZ24" s="2635">
        <f>SUM(AZ21:AZ23)</f>
        <v>2</v>
      </c>
      <c r="BA24" s="2653">
        <f>SUM(BA21:BA23)</f>
        <v>5</v>
      </c>
      <c r="BB24" s="2645">
        <f>SUM(AY24:BA24)</f>
        <v>9</v>
      </c>
      <c r="BC24" s="2636">
        <f>AY24/BB24</f>
        <v>0.22222222222222221</v>
      </c>
      <c r="BD24" s="327"/>
      <c r="BE24" s="2635">
        <f>SUM(BE21:BE23)</f>
        <v>2</v>
      </c>
      <c r="BF24" s="2635">
        <f>SUM(BF21:BF23)</f>
        <v>2</v>
      </c>
      <c r="BG24" s="2653">
        <f>SUM(BG21:BG23)</f>
        <v>5</v>
      </c>
      <c r="BH24" s="2645">
        <f>SUM(BE24:BG24)</f>
        <v>9</v>
      </c>
      <c r="BI24" s="2636">
        <f>BE24/BH24</f>
        <v>0.22222222222222221</v>
      </c>
      <c r="BK24" s="2635">
        <f>SUM(BK21:BK23)</f>
        <v>2</v>
      </c>
      <c r="BL24" s="2635">
        <f>SUM(BL21:BL23)</f>
        <v>2</v>
      </c>
      <c r="BM24" s="2653">
        <f>SUM(BM21:BM23)</f>
        <v>4</v>
      </c>
      <c r="BN24" s="2645">
        <f>SUM(BK24:BM24)</f>
        <v>8</v>
      </c>
      <c r="BO24" s="2636">
        <f>BK24/BN24</f>
        <v>0.25</v>
      </c>
    </row>
    <row r="25" spans="1:67" ht="17.399999999999999">
      <c r="A25" s="2623"/>
      <c r="B25" s="325"/>
      <c r="C25" s="2621"/>
      <c r="D25" s="2621"/>
      <c r="E25" s="2650"/>
      <c r="F25" s="2621"/>
      <c r="G25" s="2630"/>
      <c r="H25" s="2626"/>
      <c r="I25" s="2621"/>
      <c r="J25" s="2621"/>
      <c r="K25" s="2650"/>
      <c r="L25" s="2621"/>
      <c r="M25" s="2630"/>
      <c r="O25" s="2621"/>
      <c r="P25" s="2621"/>
      <c r="Q25" s="2650"/>
      <c r="R25" s="2621"/>
      <c r="S25" s="2630"/>
      <c r="U25" s="2621"/>
      <c r="V25" s="2621"/>
      <c r="W25" s="2650"/>
      <c r="X25" s="2621"/>
      <c r="Y25" s="2630"/>
      <c r="AA25" s="2621"/>
      <c r="AB25" s="2621"/>
      <c r="AC25" s="2650"/>
      <c r="AD25" s="2621"/>
      <c r="AE25" s="2630"/>
      <c r="AG25" s="2621"/>
      <c r="AH25" s="2621"/>
      <c r="AI25" s="2650"/>
      <c r="AJ25" s="2621"/>
      <c r="AK25" s="2630"/>
      <c r="AM25" s="2621"/>
      <c r="AN25" s="2621"/>
      <c r="AO25" s="2650"/>
      <c r="AP25" s="2621"/>
      <c r="AQ25" s="2630"/>
      <c r="AS25" s="2621"/>
      <c r="AT25" s="2621"/>
      <c r="AU25" s="2650"/>
      <c r="AV25" s="2621"/>
      <c r="AW25" s="2630"/>
      <c r="AY25" s="2621"/>
      <c r="AZ25" s="2621"/>
      <c r="BA25" s="2650"/>
      <c r="BB25" s="2621"/>
      <c r="BC25" s="2630"/>
      <c r="BE25" s="2621"/>
      <c r="BF25" s="2621"/>
      <c r="BG25" s="2650"/>
      <c r="BH25" s="2621"/>
      <c r="BI25" s="2630"/>
      <c r="BK25" s="2621"/>
      <c r="BL25" s="2621"/>
      <c r="BM25" s="2650"/>
      <c r="BN25" s="2621"/>
      <c r="BO25" s="2630"/>
    </row>
    <row r="26" spans="1:67" ht="15" customHeight="1">
      <c r="A26" s="2520" t="s">
        <v>16</v>
      </c>
      <c r="B26" s="2656"/>
      <c r="C26" s="2657">
        <v>6</v>
      </c>
      <c r="D26" s="2657">
        <v>17</v>
      </c>
      <c r="E26" s="2658">
        <v>12</v>
      </c>
      <c r="F26" s="2659">
        <f>SUM(C26:E26)</f>
        <v>35</v>
      </c>
      <c r="G26" s="2660">
        <f t="shared" si="1"/>
        <v>0.17142857142857143</v>
      </c>
      <c r="H26" s="2626"/>
      <c r="I26" s="2657">
        <v>4</v>
      </c>
      <c r="J26" s="2657">
        <v>13</v>
      </c>
      <c r="K26" s="2658">
        <v>10</v>
      </c>
      <c r="L26" s="2659">
        <f>SUM(I26:K26)</f>
        <v>27</v>
      </c>
      <c r="M26" s="2660">
        <f t="shared" si="2"/>
        <v>0.14814814814814814</v>
      </c>
      <c r="N26" s="2621"/>
      <c r="O26" s="2657">
        <v>4</v>
      </c>
      <c r="P26" s="2657">
        <v>11</v>
      </c>
      <c r="Q26" s="2658">
        <v>13</v>
      </c>
      <c r="R26" s="2659">
        <f>SUM(O26:Q26)</f>
        <v>28</v>
      </c>
      <c r="S26" s="2660">
        <f t="shared" si="3"/>
        <v>0.14285714285714285</v>
      </c>
      <c r="T26" s="2621"/>
      <c r="U26" s="2657">
        <v>4</v>
      </c>
      <c r="V26" s="2657">
        <v>11</v>
      </c>
      <c r="W26" s="2658">
        <v>12</v>
      </c>
      <c r="X26" s="2659">
        <f>SUM(U26:W26)</f>
        <v>27</v>
      </c>
      <c r="Y26" s="2660">
        <f t="shared" si="4"/>
        <v>0.14814814814814814</v>
      </c>
      <c r="Z26" s="2621"/>
      <c r="AA26" s="2657">
        <v>4</v>
      </c>
      <c r="AB26" s="2657">
        <v>9</v>
      </c>
      <c r="AC26" s="2658">
        <v>13</v>
      </c>
      <c r="AD26" s="2659">
        <f>SUM(AA26:AC26)</f>
        <v>26</v>
      </c>
      <c r="AE26" s="2660">
        <f t="shared" si="5"/>
        <v>0.15384615384615385</v>
      </c>
      <c r="AF26" s="2621"/>
      <c r="AG26" s="2657">
        <v>5</v>
      </c>
      <c r="AH26" s="2657">
        <v>6</v>
      </c>
      <c r="AI26" s="2658">
        <v>12</v>
      </c>
      <c r="AJ26" s="2659">
        <f>SUM(AG26:AI26)</f>
        <v>23</v>
      </c>
      <c r="AK26" s="2660">
        <f t="shared" si="6"/>
        <v>0.21739130434782608</v>
      </c>
      <c r="AL26" s="2621"/>
      <c r="AM26" s="2657">
        <v>4</v>
      </c>
      <c r="AN26" s="2657">
        <v>6</v>
      </c>
      <c r="AO26" s="2658">
        <v>12</v>
      </c>
      <c r="AP26" s="2659">
        <f>SUM(AM26:AO26)</f>
        <v>22</v>
      </c>
      <c r="AQ26" s="2660">
        <f>AM26/AP26</f>
        <v>0.18181818181818182</v>
      </c>
      <c r="AR26" s="2621"/>
      <c r="AS26" s="2657">
        <v>4</v>
      </c>
      <c r="AT26" s="2657">
        <v>4</v>
      </c>
      <c r="AU26" s="2658">
        <v>13</v>
      </c>
      <c r="AV26" s="2659">
        <f t="shared" si="7"/>
        <v>21</v>
      </c>
      <c r="AW26" s="2660">
        <f t="shared" si="8"/>
        <v>0.19047619047619047</v>
      </c>
      <c r="AX26" s="2621"/>
      <c r="AY26" s="2657">
        <v>4</v>
      </c>
      <c r="AZ26" s="2657">
        <v>4</v>
      </c>
      <c r="BA26" s="2658">
        <v>13</v>
      </c>
      <c r="BB26" s="2659">
        <f>SUM(AY26:BA26)</f>
        <v>21</v>
      </c>
      <c r="BC26" s="2660">
        <f>AY26/BB26</f>
        <v>0.19047619047619047</v>
      </c>
      <c r="BE26" s="2657">
        <v>3</v>
      </c>
      <c r="BF26" s="2657">
        <v>5</v>
      </c>
      <c r="BG26" s="2658">
        <v>15</v>
      </c>
      <c r="BH26" s="2659">
        <f>SUM(BE26:BG26)</f>
        <v>23</v>
      </c>
      <c r="BI26" s="2660">
        <f>BE26/BH26</f>
        <v>0.13043478260869565</v>
      </c>
      <c r="BK26" s="5178">
        <v>3</v>
      </c>
      <c r="BL26" s="5178">
        <v>5</v>
      </c>
      <c r="BM26" s="5178">
        <v>15</v>
      </c>
      <c r="BN26" s="2659">
        <f>SUM(BK26:BM26)</f>
        <v>23</v>
      </c>
      <c r="BO26" s="2660">
        <f>BK26/BN26</f>
        <v>0.13043478260869565</v>
      </c>
    </row>
    <row r="27" spans="1:67" ht="15" customHeight="1">
      <c r="A27" s="2521" t="s">
        <v>41</v>
      </c>
      <c r="B27" s="325"/>
      <c r="C27" s="330">
        <v>5</v>
      </c>
      <c r="D27" s="330">
        <v>11</v>
      </c>
      <c r="E27" s="2648">
        <v>8</v>
      </c>
      <c r="F27" s="2641">
        <f>SUM(C27:E27)</f>
        <v>24</v>
      </c>
      <c r="G27" s="2627">
        <f t="shared" si="1"/>
        <v>0.20833333333333334</v>
      </c>
      <c r="H27" s="2626"/>
      <c r="I27" s="330">
        <v>7</v>
      </c>
      <c r="J27" s="330">
        <v>17</v>
      </c>
      <c r="K27" s="2648">
        <v>13</v>
      </c>
      <c r="L27" s="2641">
        <f>SUM(I27:K27)</f>
        <v>37</v>
      </c>
      <c r="M27" s="2627">
        <f t="shared" si="2"/>
        <v>0.1891891891891892</v>
      </c>
      <c r="O27" s="330">
        <v>8</v>
      </c>
      <c r="P27" s="330">
        <v>15</v>
      </c>
      <c r="Q27" s="2648">
        <v>14</v>
      </c>
      <c r="R27" s="2641">
        <f>SUM(O27:Q27)</f>
        <v>37</v>
      </c>
      <c r="S27" s="2627">
        <f t="shared" si="3"/>
        <v>0.21621621621621623</v>
      </c>
      <c r="U27" s="330">
        <v>9</v>
      </c>
      <c r="V27" s="330">
        <v>13</v>
      </c>
      <c r="W27" s="2648">
        <v>13</v>
      </c>
      <c r="X27" s="2641">
        <f>SUM(U27:W27)</f>
        <v>35</v>
      </c>
      <c r="Y27" s="2627">
        <f t="shared" si="4"/>
        <v>0.25714285714285712</v>
      </c>
      <c r="AA27" s="330">
        <v>9</v>
      </c>
      <c r="AB27" s="330">
        <v>15</v>
      </c>
      <c r="AC27" s="2648">
        <v>12</v>
      </c>
      <c r="AD27" s="2641">
        <f>SUM(AA27:AC27)</f>
        <v>36</v>
      </c>
      <c r="AE27" s="2627">
        <f t="shared" si="5"/>
        <v>0.25</v>
      </c>
      <c r="AG27" s="330">
        <v>9</v>
      </c>
      <c r="AH27" s="330">
        <v>13</v>
      </c>
      <c r="AI27" s="2648">
        <v>10</v>
      </c>
      <c r="AJ27" s="2641">
        <f>SUM(AG27:AI27)</f>
        <v>32</v>
      </c>
      <c r="AK27" s="2627">
        <f t="shared" si="6"/>
        <v>0.28125</v>
      </c>
      <c r="AM27" s="330">
        <v>9</v>
      </c>
      <c r="AN27" s="330">
        <v>10</v>
      </c>
      <c r="AO27" s="2648">
        <v>13</v>
      </c>
      <c r="AP27" s="2641">
        <f>SUM(AM27:AO27)</f>
        <v>32</v>
      </c>
      <c r="AQ27" s="2627">
        <f>AM27/AP27</f>
        <v>0.28125</v>
      </c>
      <c r="AS27" s="330">
        <v>8</v>
      </c>
      <c r="AT27" s="330">
        <v>12</v>
      </c>
      <c r="AU27" s="2648">
        <v>11</v>
      </c>
      <c r="AV27" s="2641">
        <f t="shared" si="7"/>
        <v>31</v>
      </c>
      <c r="AW27" s="2627">
        <f t="shared" si="8"/>
        <v>0.25806451612903225</v>
      </c>
      <c r="AY27" s="330">
        <v>8</v>
      </c>
      <c r="AZ27" s="330">
        <v>12</v>
      </c>
      <c r="BA27" s="2648">
        <v>10</v>
      </c>
      <c r="BB27" s="2641">
        <f>SUM(AY27:BA27)</f>
        <v>30</v>
      </c>
      <c r="BC27" s="2627">
        <f>AY27/BB27</f>
        <v>0.26666666666666666</v>
      </c>
      <c r="BE27" s="330">
        <v>9</v>
      </c>
      <c r="BF27" s="330">
        <v>10</v>
      </c>
      <c r="BG27" s="2648">
        <v>9</v>
      </c>
      <c r="BH27" s="2641">
        <f>SUM(BE27:BG27)</f>
        <v>28</v>
      </c>
      <c r="BI27" s="2627">
        <f>BE27/BH27</f>
        <v>0.32142857142857145</v>
      </c>
      <c r="BK27" s="4227">
        <v>9</v>
      </c>
      <c r="BL27" s="4227">
        <v>10</v>
      </c>
      <c r="BM27" s="4227">
        <v>9</v>
      </c>
      <c r="BN27" s="2641">
        <f>SUM(BK27:BM27)</f>
        <v>28</v>
      </c>
      <c r="BO27" s="2627">
        <f>BK27/BN27</f>
        <v>0.32142857142857145</v>
      </c>
    </row>
    <row r="28" spans="1:67" ht="15" customHeight="1">
      <c r="A28" s="2521" t="s">
        <v>21</v>
      </c>
      <c r="B28" s="325"/>
      <c r="C28" s="330"/>
      <c r="D28" s="330">
        <v>2</v>
      </c>
      <c r="E28" s="2648">
        <v>7</v>
      </c>
      <c r="F28" s="2641">
        <f>SUM(C28:E28)</f>
        <v>9</v>
      </c>
      <c r="G28" s="2627">
        <f t="shared" si="1"/>
        <v>0</v>
      </c>
      <c r="H28" s="2626"/>
      <c r="I28" s="330"/>
      <c r="J28" s="330">
        <v>2</v>
      </c>
      <c r="K28" s="2648">
        <v>6</v>
      </c>
      <c r="L28" s="2641">
        <f>SUM(I28:K28)</f>
        <v>8</v>
      </c>
      <c r="M28" s="2627">
        <f t="shared" si="2"/>
        <v>0</v>
      </c>
      <c r="O28" s="330">
        <v>1</v>
      </c>
      <c r="P28" s="330">
        <v>2</v>
      </c>
      <c r="Q28" s="2648">
        <v>5</v>
      </c>
      <c r="R28" s="2641">
        <f>SUM(O28:Q28)</f>
        <v>8</v>
      </c>
      <c r="S28" s="2627">
        <f t="shared" si="3"/>
        <v>0.125</v>
      </c>
      <c r="U28" s="330">
        <v>1</v>
      </c>
      <c r="V28" s="330">
        <v>2</v>
      </c>
      <c r="W28" s="2648">
        <v>5</v>
      </c>
      <c r="X28" s="2641">
        <f>SUM(U28:W28)</f>
        <v>8</v>
      </c>
      <c r="Y28" s="2627">
        <f t="shared" si="4"/>
        <v>0.125</v>
      </c>
      <c r="AA28" s="330">
        <v>1</v>
      </c>
      <c r="AB28" s="330">
        <v>2</v>
      </c>
      <c r="AC28" s="2648">
        <v>6</v>
      </c>
      <c r="AD28" s="2641">
        <f>SUM(AA28:AC28)</f>
        <v>9</v>
      </c>
      <c r="AE28" s="2627">
        <f t="shared" si="5"/>
        <v>0.1111111111111111</v>
      </c>
      <c r="AG28" s="330">
        <v>1</v>
      </c>
      <c r="AH28" s="330">
        <v>2</v>
      </c>
      <c r="AI28" s="2648">
        <v>6</v>
      </c>
      <c r="AJ28" s="2641">
        <f>SUM(AG28:AI28)</f>
        <v>9</v>
      </c>
      <c r="AK28" s="2627">
        <f t="shared" si="6"/>
        <v>0.1111111111111111</v>
      </c>
      <c r="AM28" s="330">
        <v>1</v>
      </c>
      <c r="AN28" s="330">
        <v>2</v>
      </c>
      <c r="AO28" s="2648">
        <v>6</v>
      </c>
      <c r="AP28" s="2641">
        <f>SUM(AM28:AO28)</f>
        <v>9</v>
      </c>
      <c r="AQ28" s="2627">
        <f>AM28/AP28</f>
        <v>0.1111111111111111</v>
      </c>
      <c r="AS28" s="330"/>
      <c r="AT28" s="330">
        <v>2</v>
      </c>
      <c r="AU28" s="2648">
        <v>5</v>
      </c>
      <c r="AV28" s="2641">
        <f t="shared" si="7"/>
        <v>7</v>
      </c>
      <c r="AW28" s="2627">
        <f t="shared" si="8"/>
        <v>0</v>
      </c>
      <c r="AY28" s="330"/>
      <c r="AZ28" s="330">
        <v>3</v>
      </c>
      <c r="BA28" s="2648">
        <v>2</v>
      </c>
      <c r="BB28" s="2641">
        <f>SUM(AY28:BA28)</f>
        <v>5</v>
      </c>
      <c r="BC28" s="2627">
        <f>AY28/BB28</f>
        <v>0</v>
      </c>
      <c r="BE28" s="330"/>
      <c r="BF28" s="330">
        <v>3</v>
      </c>
      <c r="BG28" s="2648">
        <v>1</v>
      </c>
      <c r="BH28" s="2641">
        <f>SUM(BE28:BG28)</f>
        <v>4</v>
      </c>
      <c r="BI28" s="2627">
        <f>BE28/BH28</f>
        <v>0</v>
      </c>
      <c r="BK28" s="4227"/>
      <c r="BL28" s="4227">
        <v>3</v>
      </c>
      <c r="BM28" s="4227">
        <v>1</v>
      </c>
      <c r="BN28" s="2641">
        <f>SUM(BK28:BM28)</f>
        <v>4</v>
      </c>
      <c r="BO28" s="2627">
        <f>BK28/BN28</f>
        <v>0</v>
      </c>
    </row>
    <row r="29" spans="1:67" ht="15" customHeight="1">
      <c r="A29" s="2624" t="s">
        <v>48</v>
      </c>
      <c r="B29" s="325"/>
      <c r="C29" s="2637">
        <f t="shared" ref="C29:X29" si="14">SUM(C26:C28)</f>
        <v>11</v>
      </c>
      <c r="D29" s="2637">
        <f t="shared" si="14"/>
        <v>30</v>
      </c>
      <c r="E29" s="2654">
        <f t="shared" si="14"/>
        <v>27</v>
      </c>
      <c r="F29" s="2646">
        <f t="shared" si="14"/>
        <v>68</v>
      </c>
      <c r="G29" s="2638">
        <f t="shared" si="1"/>
        <v>0.16176470588235295</v>
      </c>
      <c r="H29" s="2626"/>
      <c r="I29" s="2637">
        <f t="shared" si="14"/>
        <v>11</v>
      </c>
      <c r="J29" s="2637">
        <f t="shared" si="14"/>
        <v>32</v>
      </c>
      <c r="K29" s="2654">
        <f t="shared" si="14"/>
        <v>29</v>
      </c>
      <c r="L29" s="2646">
        <f t="shared" si="14"/>
        <v>72</v>
      </c>
      <c r="M29" s="2638">
        <f t="shared" si="2"/>
        <v>0.15277777777777779</v>
      </c>
      <c r="O29" s="2637">
        <f t="shared" si="14"/>
        <v>13</v>
      </c>
      <c r="P29" s="2637">
        <f t="shared" si="14"/>
        <v>28</v>
      </c>
      <c r="Q29" s="2654">
        <f t="shared" si="14"/>
        <v>32</v>
      </c>
      <c r="R29" s="2646">
        <f t="shared" si="14"/>
        <v>73</v>
      </c>
      <c r="S29" s="2638">
        <f t="shared" si="3"/>
        <v>0.17808219178082191</v>
      </c>
      <c r="U29" s="2637">
        <f t="shared" si="14"/>
        <v>14</v>
      </c>
      <c r="V29" s="2637">
        <f t="shared" si="14"/>
        <v>26</v>
      </c>
      <c r="W29" s="2654">
        <f t="shared" si="14"/>
        <v>30</v>
      </c>
      <c r="X29" s="2646">
        <f t="shared" si="14"/>
        <v>70</v>
      </c>
      <c r="Y29" s="2638">
        <f t="shared" si="4"/>
        <v>0.2</v>
      </c>
      <c r="AA29" s="2637">
        <f>SUM(AA26:AA28)</f>
        <v>14</v>
      </c>
      <c r="AB29" s="2637">
        <f>SUM(AB26:AB28)</f>
        <v>26</v>
      </c>
      <c r="AC29" s="2654">
        <f>SUM(AC26:AC28)</f>
        <v>31</v>
      </c>
      <c r="AD29" s="2646">
        <f>SUM(AD26:AD28)</f>
        <v>71</v>
      </c>
      <c r="AE29" s="2638">
        <f t="shared" si="5"/>
        <v>0.19718309859154928</v>
      </c>
      <c r="AG29" s="2637">
        <f>SUM(AG26:AG28)</f>
        <v>15</v>
      </c>
      <c r="AH29" s="2637">
        <f>SUM(AH26:AH28)</f>
        <v>21</v>
      </c>
      <c r="AI29" s="2654">
        <f>SUM(AI26:AI28)</f>
        <v>28</v>
      </c>
      <c r="AJ29" s="2646">
        <f>SUM(AJ26:AJ28)</f>
        <v>64</v>
      </c>
      <c r="AK29" s="2638">
        <f t="shared" si="6"/>
        <v>0.234375</v>
      </c>
      <c r="AM29" s="2637">
        <f t="shared" ref="AM29:AU29" si="15">SUM(AM26:AM28)</f>
        <v>14</v>
      </c>
      <c r="AN29" s="2637">
        <f t="shared" si="15"/>
        <v>18</v>
      </c>
      <c r="AO29" s="2654">
        <f t="shared" si="15"/>
        <v>31</v>
      </c>
      <c r="AP29" s="2646">
        <f t="shared" si="15"/>
        <v>63</v>
      </c>
      <c r="AQ29" s="2638">
        <f>AM29/AP29</f>
        <v>0.22222222222222221</v>
      </c>
      <c r="AS29" s="2637">
        <f t="shared" si="15"/>
        <v>12</v>
      </c>
      <c r="AT29" s="2637">
        <f t="shared" si="15"/>
        <v>18</v>
      </c>
      <c r="AU29" s="2654">
        <f t="shared" si="15"/>
        <v>29</v>
      </c>
      <c r="AV29" s="2646">
        <f t="shared" si="7"/>
        <v>59</v>
      </c>
      <c r="AW29" s="2638">
        <f t="shared" si="8"/>
        <v>0.20338983050847459</v>
      </c>
      <c r="AY29" s="2637">
        <f>SUM(AY26:AY28)</f>
        <v>12</v>
      </c>
      <c r="AZ29" s="2637">
        <f>SUM(AZ26:AZ28)</f>
        <v>19</v>
      </c>
      <c r="BA29" s="2654">
        <f>SUM(BA26:BA28)</f>
        <v>25</v>
      </c>
      <c r="BB29" s="2646">
        <f>SUM(AY29:BA29)</f>
        <v>56</v>
      </c>
      <c r="BC29" s="2638">
        <f>AY29/BB29</f>
        <v>0.21428571428571427</v>
      </c>
      <c r="BE29" s="2637">
        <f>SUM(BE26:BE28)</f>
        <v>12</v>
      </c>
      <c r="BF29" s="2637">
        <f>SUM(BF26:BF28)</f>
        <v>18</v>
      </c>
      <c r="BG29" s="2654">
        <f>SUM(BG26:BG28)</f>
        <v>25</v>
      </c>
      <c r="BH29" s="2646">
        <f>SUM(BE29:BG29)</f>
        <v>55</v>
      </c>
      <c r="BI29" s="2638">
        <f>BE29/BH29</f>
        <v>0.21818181818181817</v>
      </c>
      <c r="BK29" s="2637">
        <f>SUM(BK26:BK28)</f>
        <v>12</v>
      </c>
      <c r="BL29" s="2637">
        <f>SUM(BL26:BL28)</f>
        <v>18</v>
      </c>
      <c r="BM29" s="2654">
        <f>SUM(BM26:BM28)</f>
        <v>25</v>
      </c>
      <c r="BN29" s="2646">
        <f>SUM(BK29:BM29)</f>
        <v>55</v>
      </c>
      <c r="BO29" s="2638">
        <f>BK29/BN29</f>
        <v>0.21818181818181817</v>
      </c>
    </row>
    <row r="30" spans="1:67" ht="17.399999999999999">
      <c r="A30" s="2623"/>
      <c r="B30" s="325"/>
      <c r="C30" s="2621"/>
      <c r="D30" s="2621"/>
      <c r="E30" s="2650"/>
      <c r="F30" s="2621"/>
      <c r="G30" s="2630"/>
      <c r="H30" s="2626"/>
      <c r="I30" s="2621"/>
      <c r="J30" s="2621"/>
      <c r="K30" s="2650"/>
      <c r="L30" s="2621"/>
      <c r="M30" s="2630"/>
      <c r="O30" s="2621"/>
      <c r="P30" s="2621"/>
      <c r="Q30" s="2650"/>
      <c r="R30" s="2621"/>
      <c r="S30" s="2630"/>
      <c r="U30" s="2621"/>
      <c r="V30" s="2621"/>
      <c r="W30" s="2650"/>
      <c r="X30" s="2621"/>
      <c r="Y30" s="2630"/>
      <c r="AA30" s="2621"/>
      <c r="AB30" s="2621"/>
      <c r="AC30" s="2650"/>
      <c r="AD30" s="2621"/>
      <c r="AE30" s="2630"/>
      <c r="AG30" s="2621"/>
      <c r="AH30" s="2621"/>
      <c r="AI30" s="2650"/>
      <c r="AJ30" s="2621"/>
      <c r="AK30" s="2630"/>
      <c r="AM30" s="2621"/>
      <c r="AN30" s="2621"/>
      <c r="AO30" s="2650"/>
      <c r="AP30" s="2621"/>
      <c r="AQ30" s="2630"/>
      <c r="AS30" s="2621"/>
      <c r="AT30" s="2621"/>
      <c r="AU30" s="2650"/>
      <c r="AV30" s="2621"/>
      <c r="AW30" s="2630"/>
      <c r="AY30" s="2621"/>
      <c r="AZ30" s="2621"/>
      <c r="BA30" s="2650"/>
      <c r="BB30" s="2621"/>
      <c r="BC30" s="2630"/>
      <c r="BE30" s="2621"/>
      <c r="BF30" s="2621"/>
      <c r="BG30" s="2650"/>
      <c r="BH30" s="2621"/>
      <c r="BI30" s="2630"/>
      <c r="BK30" s="2621"/>
      <c r="BL30" s="2621"/>
      <c r="BM30" s="2650"/>
      <c r="BN30" s="2621"/>
      <c r="BO30" s="2630"/>
    </row>
    <row r="31" spans="1:67" ht="15" customHeight="1">
      <c r="A31" s="2520" t="s">
        <v>4</v>
      </c>
      <c r="B31" s="2656"/>
      <c r="C31" s="2657">
        <f>SUM(C6,C16)</f>
        <v>22</v>
      </c>
      <c r="D31" s="2657">
        <f>SUM(D6,D16)</f>
        <v>30</v>
      </c>
      <c r="E31" s="2658">
        <f>SUM(E6,E16)</f>
        <v>15</v>
      </c>
      <c r="F31" s="2659">
        <f>SUM(F6,F16)</f>
        <v>67</v>
      </c>
      <c r="G31" s="2660">
        <f t="shared" si="1"/>
        <v>0.32835820895522388</v>
      </c>
      <c r="H31" s="2626"/>
      <c r="I31" s="2657">
        <f>SUM(I6,I16)</f>
        <v>24</v>
      </c>
      <c r="J31" s="2657">
        <f>SUM(J6,J16)</f>
        <v>28</v>
      </c>
      <c r="K31" s="2658">
        <f>SUM(K6,K16)</f>
        <v>14</v>
      </c>
      <c r="L31" s="2659">
        <f>SUM(L6,L16)</f>
        <v>66</v>
      </c>
      <c r="M31" s="2660">
        <f t="shared" si="2"/>
        <v>0.36363636363636365</v>
      </c>
      <c r="N31" s="2621"/>
      <c r="O31" s="2657">
        <f>SUM(O6,O16)</f>
        <v>25</v>
      </c>
      <c r="P31" s="2657">
        <f>SUM(P6,P16)</f>
        <v>28</v>
      </c>
      <c r="Q31" s="2658">
        <f>SUM(Q6,Q16)</f>
        <v>12</v>
      </c>
      <c r="R31" s="2659">
        <f>SUM(R6,R16)</f>
        <v>65</v>
      </c>
      <c r="S31" s="2660">
        <f t="shared" si="3"/>
        <v>0.38461538461538464</v>
      </c>
      <c r="T31" s="2621"/>
      <c r="U31" s="2657">
        <f>SUM(U6,U16)</f>
        <v>25</v>
      </c>
      <c r="V31" s="2657">
        <f>SUM(V6,V16)</f>
        <v>27</v>
      </c>
      <c r="W31" s="2658">
        <f>SUM(W6,W16)</f>
        <v>12</v>
      </c>
      <c r="X31" s="2659">
        <f>SUM(X6,X16)</f>
        <v>64</v>
      </c>
      <c r="Y31" s="2660">
        <f t="shared" si="4"/>
        <v>0.390625</v>
      </c>
      <c r="Z31" s="2621"/>
      <c r="AA31" s="2657">
        <f>SUM(AA6,AA16)</f>
        <v>26</v>
      </c>
      <c r="AB31" s="2657">
        <f>SUM(AB6,AB16)</f>
        <v>26</v>
      </c>
      <c r="AC31" s="2658">
        <f>SUM(AC6,AC16)</f>
        <v>11</v>
      </c>
      <c r="AD31" s="2659">
        <f>SUM(AD6,AD16)</f>
        <v>63</v>
      </c>
      <c r="AE31" s="2660">
        <f t="shared" si="5"/>
        <v>0.41269841269841268</v>
      </c>
      <c r="AF31" s="2621"/>
      <c r="AG31" s="2657">
        <f>SUM(AG6,AG16,AG21)</f>
        <v>28</v>
      </c>
      <c r="AH31" s="2657">
        <f>SUM(AH6,AH16,AH21)</f>
        <v>18</v>
      </c>
      <c r="AI31" s="2658">
        <f>SUM(AI6,AI16,AI21)</f>
        <v>19</v>
      </c>
      <c r="AJ31" s="2659">
        <f t="shared" ref="AJ31:AJ36" si="16">SUM(AG31:AI31)</f>
        <v>65</v>
      </c>
      <c r="AK31" s="2660">
        <f t="shared" si="6"/>
        <v>0.43076923076923079</v>
      </c>
      <c r="AL31" s="2621"/>
      <c r="AM31" s="2657">
        <f>SUM(AM6,AM16,AM21)</f>
        <v>25</v>
      </c>
      <c r="AN31" s="2657">
        <f>SUM(AN6,AN16,AN21)</f>
        <v>19</v>
      </c>
      <c r="AO31" s="2658">
        <f>SUM(AO6,AO16,AO21)</f>
        <v>22</v>
      </c>
      <c r="AP31" s="2659">
        <f t="shared" ref="AP31:AP36" si="17">SUM(AM31:AO31)</f>
        <v>66</v>
      </c>
      <c r="AQ31" s="2660">
        <f t="shared" ref="AQ31:AQ37" si="18">AM31/AP31</f>
        <v>0.37878787878787878</v>
      </c>
      <c r="AR31" s="2621"/>
      <c r="AS31" s="2657">
        <f>SUM(AS6,AS16,AS21)</f>
        <v>24</v>
      </c>
      <c r="AT31" s="2657">
        <f>SUM(AT6,AT16,AT21)</f>
        <v>20</v>
      </c>
      <c r="AU31" s="2658">
        <f>SUM(AU6,AU16,AU21)</f>
        <v>20</v>
      </c>
      <c r="AV31" s="2659">
        <f t="shared" si="7"/>
        <v>64</v>
      </c>
      <c r="AW31" s="2660">
        <f t="shared" si="8"/>
        <v>0.375</v>
      </c>
      <c r="AX31" s="2621"/>
      <c r="AY31" s="2657">
        <f>SUM(AY6,AY16,AY21)</f>
        <v>28</v>
      </c>
      <c r="AZ31" s="2657">
        <f>SUM(AZ6,AZ16,AZ21)</f>
        <v>18</v>
      </c>
      <c r="BA31" s="2658">
        <f>SUM(BA6,BA16,BA21)</f>
        <v>21</v>
      </c>
      <c r="BB31" s="2659">
        <f t="shared" ref="BB31:BB37" si="19">SUM(AY31:BA31)</f>
        <v>67</v>
      </c>
      <c r="BC31" s="2660">
        <f t="shared" ref="BC31:BC36" si="20">AY31/BB31</f>
        <v>0.41791044776119401</v>
      </c>
      <c r="BE31" s="2657">
        <f>SUM(BE6,BE16,BE21)</f>
        <v>26</v>
      </c>
      <c r="BF31" s="2657">
        <f>SUM(BF6,BF16,BF21)</f>
        <v>20</v>
      </c>
      <c r="BG31" s="2658">
        <f>SUM(BG6,BG16,BG21)</f>
        <v>19</v>
      </c>
      <c r="BH31" s="2659">
        <f t="shared" ref="BH31:BH37" si="21">SUM(BE31:BG31)</f>
        <v>65</v>
      </c>
      <c r="BI31" s="2660">
        <f t="shared" ref="BI31:BI36" si="22">BE31/BH31</f>
        <v>0.4</v>
      </c>
      <c r="BK31" s="2657">
        <f>SUM(BK6,BK16,BK21)</f>
        <v>26</v>
      </c>
      <c r="BL31" s="2657">
        <f>SUM(BL6,BL16,BL21)</f>
        <v>20</v>
      </c>
      <c r="BM31" s="2658">
        <f>SUM(BM6,BM16,BM21)</f>
        <v>18</v>
      </c>
      <c r="BN31" s="2659">
        <f t="shared" ref="BN31:BN37" si="23">SUM(BK31:BM31)</f>
        <v>64</v>
      </c>
      <c r="BO31" s="2660">
        <f t="shared" ref="BO31:BO36" si="24">BK31/BN31</f>
        <v>0.40625</v>
      </c>
    </row>
    <row r="32" spans="1:67" ht="15" customHeight="1">
      <c r="A32" s="2521" t="s">
        <v>16</v>
      </c>
      <c r="B32" s="325"/>
      <c r="C32" s="330">
        <f>SUM(C7,C11,C17,C26)</f>
        <v>30</v>
      </c>
      <c r="D32" s="330">
        <f>SUM(D7,D11,D17,D26)</f>
        <v>49</v>
      </c>
      <c r="E32" s="2648">
        <f>SUM(E7,E11,E17,E26)</f>
        <v>32</v>
      </c>
      <c r="F32" s="2641">
        <f>SUM(F7,F11,F17,F26)</f>
        <v>111</v>
      </c>
      <c r="G32" s="2627">
        <f t="shared" si="1"/>
        <v>0.27027027027027029</v>
      </c>
      <c r="H32" s="2626"/>
      <c r="I32" s="330">
        <f>SUM(I7,I11,I17,I26)</f>
        <v>23</v>
      </c>
      <c r="J32" s="330">
        <f>SUM(J7,J11,J17,J26)</f>
        <v>48</v>
      </c>
      <c r="K32" s="2648">
        <f>SUM(K7,K11,K17,K26)</f>
        <v>37</v>
      </c>
      <c r="L32" s="2641">
        <f>SUM(L7,L11,L17,L26)</f>
        <v>108</v>
      </c>
      <c r="M32" s="2627">
        <f t="shared" si="2"/>
        <v>0.21296296296296297</v>
      </c>
      <c r="O32" s="330">
        <f>SUM(O7,O11,O17,O26)</f>
        <v>28</v>
      </c>
      <c r="P32" s="330">
        <f>SUM(P7,P11,P17,P26)</f>
        <v>40</v>
      </c>
      <c r="Q32" s="2648">
        <f>SUM(Q7,Q11,Q17,Q26)</f>
        <v>38</v>
      </c>
      <c r="R32" s="2641">
        <f>SUM(R7,R11,R17,R26)</f>
        <v>106</v>
      </c>
      <c r="S32" s="2627">
        <f t="shared" si="3"/>
        <v>0.26415094339622641</v>
      </c>
      <c r="U32" s="330">
        <f>SUM(U7,U11,U17,U26)</f>
        <v>28</v>
      </c>
      <c r="V32" s="330">
        <f>SUM(V7,V11,V17,V26)</f>
        <v>41</v>
      </c>
      <c r="W32" s="2648">
        <f>SUM(W7,W11,W17,W26)</f>
        <v>38</v>
      </c>
      <c r="X32" s="2641">
        <f>SUM(X7,X11,X17,X26)</f>
        <v>107</v>
      </c>
      <c r="Y32" s="2627">
        <f t="shared" si="4"/>
        <v>0.26168224299065418</v>
      </c>
      <c r="AA32" s="330">
        <f>SUM(AA7,AA11,AA17,AA26)</f>
        <v>30</v>
      </c>
      <c r="AB32" s="330">
        <f>SUM(AB7,AB11,AB17,AB26)</f>
        <v>33</v>
      </c>
      <c r="AC32" s="2648">
        <f>SUM(AC7,AC11,AC17,AC26)</f>
        <v>37</v>
      </c>
      <c r="AD32" s="2641">
        <f>SUM(AD7,AD11,AD17,AD26)</f>
        <v>100</v>
      </c>
      <c r="AE32" s="2627">
        <f t="shared" si="5"/>
        <v>0.3</v>
      </c>
      <c r="AG32" s="330">
        <f>SUM(AG7,AG11,AG17,AG22,AG26)</f>
        <v>30</v>
      </c>
      <c r="AH32" s="330">
        <f>SUM(AH7,AH11,AH17,AH22,AH26)</f>
        <v>28</v>
      </c>
      <c r="AI32" s="2648">
        <f>SUM(AI7,AI11,AI17,AI22,AI26)</f>
        <v>36</v>
      </c>
      <c r="AJ32" s="2641">
        <f t="shared" si="16"/>
        <v>94</v>
      </c>
      <c r="AK32" s="2627">
        <f t="shared" si="6"/>
        <v>0.31914893617021278</v>
      </c>
      <c r="AM32" s="330">
        <f>SUM(AM7,AM11,AM17,AM22,AM26)</f>
        <v>27</v>
      </c>
      <c r="AN32" s="330">
        <f>SUM(AN7,AN11,AN17,AN22,AN26)</f>
        <v>30</v>
      </c>
      <c r="AO32" s="2648">
        <f>SUM(AO7,AO11,AO17,AO22,AO26)</f>
        <v>33</v>
      </c>
      <c r="AP32" s="2641">
        <f t="shared" si="17"/>
        <v>90</v>
      </c>
      <c r="AQ32" s="2627">
        <f t="shared" si="18"/>
        <v>0.3</v>
      </c>
      <c r="AS32" s="330">
        <f>SUM(AS7,AS11,AS17,AS22,AS26)</f>
        <v>26</v>
      </c>
      <c r="AT32" s="330">
        <f>SUM(AT7,AT11,AT17,AT22,AT26)</f>
        <v>24</v>
      </c>
      <c r="AU32" s="2648">
        <f>SUM(AU7,AU11,AU17,AU22,AU26)</f>
        <v>35</v>
      </c>
      <c r="AV32" s="2641">
        <f t="shared" si="7"/>
        <v>85</v>
      </c>
      <c r="AW32" s="2627">
        <f t="shared" si="8"/>
        <v>0.30588235294117649</v>
      </c>
      <c r="AY32" s="330">
        <f>SUM(AY7,AY11,AY17,AY22,AY26)</f>
        <v>26</v>
      </c>
      <c r="AZ32" s="330">
        <f>SUM(AZ7,AZ11,AZ17,AZ22,AZ26)</f>
        <v>20</v>
      </c>
      <c r="BA32" s="2648">
        <f>SUM(BA7,BA11,BA17,BA22,BA26)</f>
        <v>36</v>
      </c>
      <c r="BB32" s="2641">
        <f t="shared" si="19"/>
        <v>82</v>
      </c>
      <c r="BC32" s="2627">
        <f t="shared" si="20"/>
        <v>0.31707317073170732</v>
      </c>
      <c r="BE32" s="330">
        <f>SUM(BE7,BE11,BE17,BE22,BE26)</f>
        <v>27</v>
      </c>
      <c r="BF32" s="330">
        <f>SUM(BF7,BF11,BF17,BF22,BF26)</f>
        <v>18</v>
      </c>
      <c r="BG32" s="2648">
        <f>SUM(BG7,BG11,BG17,BG22,BG26)</f>
        <v>41</v>
      </c>
      <c r="BH32" s="2641">
        <f t="shared" si="21"/>
        <v>86</v>
      </c>
      <c r="BI32" s="2627">
        <f t="shared" si="22"/>
        <v>0.31395348837209303</v>
      </c>
      <c r="BK32" s="330">
        <f>SUM(BK7,BK11,BK17,BK22,BK26)</f>
        <v>27</v>
      </c>
      <c r="BL32" s="330">
        <f>SUM(BL7,BL11,BL17,BL22,BL26)</f>
        <v>17</v>
      </c>
      <c r="BM32" s="2648">
        <f>SUM(BM7,BM11,BM17,BM22,BM26)</f>
        <v>41</v>
      </c>
      <c r="BN32" s="2641">
        <f t="shared" si="23"/>
        <v>85</v>
      </c>
      <c r="BO32" s="2627">
        <f t="shared" si="24"/>
        <v>0.31764705882352939</v>
      </c>
    </row>
    <row r="33" spans="1:67" ht="15" customHeight="1">
      <c r="A33" s="2521" t="s">
        <v>41</v>
      </c>
      <c r="B33" s="325"/>
      <c r="C33" s="330">
        <f>SUM(C18,C27)</f>
        <v>19</v>
      </c>
      <c r="D33" s="330">
        <f>SUM(D18,D27)</f>
        <v>26</v>
      </c>
      <c r="E33" s="2648">
        <f>SUM(E18,E27)</f>
        <v>18</v>
      </c>
      <c r="F33" s="2641">
        <f>SUM(F18,F27)</f>
        <v>63</v>
      </c>
      <c r="G33" s="2627">
        <f t="shared" si="1"/>
        <v>0.30158730158730157</v>
      </c>
      <c r="H33" s="2626"/>
      <c r="I33" s="330">
        <f>SUM(I18,I27)</f>
        <v>22</v>
      </c>
      <c r="J33" s="330">
        <f>SUM(J18,J27)</f>
        <v>30</v>
      </c>
      <c r="K33" s="2648">
        <f>SUM(K18,K27)</f>
        <v>17</v>
      </c>
      <c r="L33" s="2641">
        <f>SUM(L18,L27)</f>
        <v>69</v>
      </c>
      <c r="M33" s="2627">
        <f t="shared" si="2"/>
        <v>0.3188405797101449</v>
      </c>
      <c r="O33" s="330">
        <f>SUM(O18,O27)</f>
        <v>23</v>
      </c>
      <c r="P33" s="330">
        <f>SUM(P18,P27)</f>
        <v>24</v>
      </c>
      <c r="Q33" s="2648">
        <f>SUM(Q18,Q27)</f>
        <v>22</v>
      </c>
      <c r="R33" s="2641">
        <f>SUM(R18,R27)</f>
        <v>69</v>
      </c>
      <c r="S33" s="2627">
        <f t="shared" si="3"/>
        <v>0.33333333333333331</v>
      </c>
      <c r="U33" s="330">
        <f>SUM(U18,U27)</f>
        <v>24</v>
      </c>
      <c r="V33" s="330">
        <f>SUM(V18,V27)</f>
        <v>21</v>
      </c>
      <c r="W33" s="2648">
        <f>SUM(W18,W27)</f>
        <v>21</v>
      </c>
      <c r="X33" s="2641">
        <f>SUM(X18,X27)</f>
        <v>66</v>
      </c>
      <c r="Y33" s="2627">
        <f t="shared" si="4"/>
        <v>0.36363636363636365</v>
      </c>
      <c r="AA33" s="330">
        <f>SUM(AA18,AA27)</f>
        <v>24</v>
      </c>
      <c r="AB33" s="330">
        <f>SUM(AB18,AB27)</f>
        <v>23</v>
      </c>
      <c r="AC33" s="2648">
        <f>SUM(AC18,AC27)</f>
        <v>20</v>
      </c>
      <c r="AD33" s="2641">
        <f>SUM(AD18,AD27)</f>
        <v>67</v>
      </c>
      <c r="AE33" s="2627">
        <f t="shared" si="5"/>
        <v>0.35820895522388058</v>
      </c>
      <c r="AG33" s="330">
        <f>SUM(AG18,AG23,AG27)</f>
        <v>25</v>
      </c>
      <c r="AH33" s="330">
        <f>SUM(AH18,AH23,AH27)</f>
        <v>20</v>
      </c>
      <c r="AI33" s="2648">
        <f>SUM(AI18,AI23,AI27)</f>
        <v>19</v>
      </c>
      <c r="AJ33" s="2641">
        <f t="shared" si="16"/>
        <v>64</v>
      </c>
      <c r="AK33" s="2627">
        <f t="shared" si="6"/>
        <v>0.390625</v>
      </c>
      <c r="AM33" s="330">
        <f>SUM(AM18,AM23,AM27)</f>
        <v>25</v>
      </c>
      <c r="AN33" s="330">
        <f>SUM(AN18,AN23,AN27)</f>
        <v>19</v>
      </c>
      <c r="AO33" s="2648">
        <f>SUM(AO18,AO23,AO27)</f>
        <v>22</v>
      </c>
      <c r="AP33" s="2641">
        <f t="shared" si="17"/>
        <v>66</v>
      </c>
      <c r="AQ33" s="2627">
        <f t="shared" si="18"/>
        <v>0.37878787878787878</v>
      </c>
      <c r="AS33" s="330">
        <f>SUM(AS18,AS23,AS27)</f>
        <v>24</v>
      </c>
      <c r="AT33" s="330">
        <f>SUM(AT18,AT23,AT27)</f>
        <v>21</v>
      </c>
      <c r="AU33" s="2648">
        <f>SUM(AU18,AU23,AU27)</f>
        <v>22</v>
      </c>
      <c r="AV33" s="2641">
        <f t="shared" si="7"/>
        <v>67</v>
      </c>
      <c r="AW33" s="2627">
        <f t="shared" si="8"/>
        <v>0.35820895522388058</v>
      </c>
      <c r="AY33" s="330">
        <f>SUM(AY18,AY23,AY27)</f>
        <v>23</v>
      </c>
      <c r="AZ33" s="330">
        <f>SUM(AZ18,AZ23,AZ27)</f>
        <v>27</v>
      </c>
      <c r="BA33" s="2648">
        <f>SUM(BA18,BA23,BA27)</f>
        <v>17</v>
      </c>
      <c r="BB33" s="2641">
        <f t="shared" si="19"/>
        <v>67</v>
      </c>
      <c r="BC33" s="2627">
        <f t="shared" si="20"/>
        <v>0.34328358208955223</v>
      </c>
      <c r="BE33" s="330">
        <f>SUM(BE18,BE23,BE27)</f>
        <v>23</v>
      </c>
      <c r="BF33" s="330">
        <f>SUM(BF18,BF23,BF27)</f>
        <v>25</v>
      </c>
      <c r="BG33" s="2648">
        <f>SUM(BG18,BG23,BG27)</f>
        <v>18</v>
      </c>
      <c r="BH33" s="2641">
        <f t="shared" si="21"/>
        <v>66</v>
      </c>
      <c r="BI33" s="2627">
        <f t="shared" si="22"/>
        <v>0.34848484848484851</v>
      </c>
      <c r="BK33" s="330">
        <f>SUM(BK18,BK23,BK27)</f>
        <v>23</v>
      </c>
      <c r="BL33" s="330">
        <f>SUM(BL18,BL23,BL27)</f>
        <v>25</v>
      </c>
      <c r="BM33" s="2648">
        <f>SUM(BM18,BM23,BM27)</f>
        <v>18</v>
      </c>
      <c r="BN33" s="2641">
        <f t="shared" si="23"/>
        <v>66</v>
      </c>
      <c r="BO33" s="2627">
        <f t="shared" si="24"/>
        <v>0.34848484848484851</v>
      </c>
    </row>
    <row r="34" spans="1:67" ht="15" customHeight="1">
      <c r="A34" s="2521" t="s">
        <v>21</v>
      </c>
      <c r="B34" s="325"/>
      <c r="C34" s="330">
        <f>SUM(C8,C28)</f>
        <v>1</v>
      </c>
      <c r="D34" s="330">
        <f>SUM(D8,D28)</f>
        <v>6</v>
      </c>
      <c r="E34" s="2648">
        <f>SUM(E8,E28)</f>
        <v>19</v>
      </c>
      <c r="F34" s="2641">
        <f>SUM(F8,F28)</f>
        <v>26</v>
      </c>
      <c r="G34" s="2627">
        <f t="shared" si="1"/>
        <v>3.8461538461538464E-2</v>
      </c>
      <c r="H34" s="2626"/>
      <c r="I34" s="330">
        <f>SUM(I8,I28)</f>
        <v>1</v>
      </c>
      <c r="J34" s="330">
        <f>SUM(J8,J28)</f>
        <v>5</v>
      </c>
      <c r="K34" s="2648">
        <f>SUM(K8,K28)</f>
        <v>21</v>
      </c>
      <c r="L34" s="2641">
        <f>SUM(L8,L28)</f>
        <v>27</v>
      </c>
      <c r="M34" s="2627">
        <f t="shared" si="2"/>
        <v>3.7037037037037035E-2</v>
      </c>
      <c r="O34" s="330">
        <f>SUM(O8,O28)</f>
        <v>2</v>
      </c>
      <c r="P34" s="330">
        <f>SUM(P8,P28)</f>
        <v>5</v>
      </c>
      <c r="Q34" s="2648">
        <f>SUM(Q8,Q28)</f>
        <v>21</v>
      </c>
      <c r="R34" s="2641">
        <f>SUM(R8,R28)</f>
        <v>28</v>
      </c>
      <c r="S34" s="2627">
        <f t="shared" si="3"/>
        <v>7.1428571428571425E-2</v>
      </c>
      <c r="U34" s="330">
        <f>SUM(U8,U28)</f>
        <v>2</v>
      </c>
      <c r="V34" s="330">
        <f>SUM(V8,V28)</f>
        <v>5</v>
      </c>
      <c r="W34" s="2648">
        <f>SUM(W8,W28)</f>
        <v>21</v>
      </c>
      <c r="X34" s="2641">
        <f>SUM(X8,X28)</f>
        <v>28</v>
      </c>
      <c r="Y34" s="2627">
        <f t="shared" si="4"/>
        <v>7.1428571428571425E-2</v>
      </c>
      <c r="AA34" s="330">
        <f>SUM(AA8,AA28)</f>
        <v>2</v>
      </c>
      <c r="AB34" s="330">
        <f>SUM(AB8,AB28)</f>
        <v>5</v>
      </c>
      <c r="AC34" s="2648">
        <f>SUM(AC8,AC28)</f>
        <v>22</v>
      </c>
      <c r="AD34" s="2641">
        <f>SUM(AD8,AD28)</f>
        <v>29</v>
      </c>
      <c r="AE34" s="2627">
        <f t="shared" si="5"/>
        <v>6.8965517241379309E-2</v>
      </c>
      <c r="AG34" s="330">
        <f>SUM(AG8,AG28)</f>
        <v>2</v>
      </c>
      <c r="AH34" s="330">
        <f>SUM(AH8,AH28)</f>
        <v>8</v>
      </c>
      <c r="AI34" s="2648">
        <f>SUM(AI8,AI28)</f>
        <v>25</v>
      </c>
      <c r="AJ34" s="2641">
        <f t="shared" si="16"/>
        <v>35</v>
      </c>
      <c r="AK34" s="2627">
        <f t="shared" si="6"/>
        <v>5.7142857142857141E-2</v>
      </c>
      <c r="AM34" s="330">
        <f>SUM(AM8,AM28)</f>
        <v>2</v>
      </c>
      <c r="AN34" s="330">
        <f>SUM(AN8,AN28)</f>
        <v>9</v>
      </c>
      <c r="AO34" s="2648">
        <f>SUM(AO8,AO28)</f>
        <v>23</v>
      </c>
      <c r="AP34" s="2641">
        <f t="shared" si="17"/>
        <v>34</v>
      </c>
      <c r="AQ34" s="2627">
        <f t="shared" si="18"/>
        <v>5.8823529411764705E-2</v>
      </c>
      <c r="AS34" s="330">
        <f>SUM(AS8,AS28)</f>
        <v>2</v>
      </c>
      <c r="AT34" s="330">
        <f>SUM(AT8,AT28)</f>
        <v>7</v>
      </c>
      <c r="AU34" s="2648">
        <f>SUM(AU8,AU28)</f>
        <v>21</v>
      </c>
      <c r="AV34" s="2641">
        <f t="shared" si="7"/>
        <v>30</v>
      </c>
      <c r="AW34" s="2627">
        <f t="shared" si="8"/>
        <v>6.6666666666666666E-2</v>
      </c>
      <c r="AY34" s="330">
        <f>SUM(AY8,AY28)</f>
        <v>2</v>
      </c>
      <c r="AZ34" s="330">
        <f>SUM(AZ8,AZ28)</f>
        <v>8</v>
      </c>
      <c r="BA34" s="2648">
        <f>SUM(BA8,BA28)</f>
        <v>21</v>
      </c>
      <c r="BB34" s="2641">
        <f t="shared" si="19"/>
        <v>31</v>
      </c>
      <c r="BC34" s="2627">
        <f t="shared" si="20"/>
        <v>6.4516129032258063E-2</v>
      </c>
      <c r="BE34" s="330">
        <f>SUM(BE8,BE28)</f>
        <v>2</v>
      </c>
      <c r="BF34" s="330">
        <f>SUM(BF8,BF28)</f>
        <v>8</v>
      </c>
      <c r="BG34" s="2648">
        <f>SUM(BG8,BG28)</f>
        <v>18</v>
      </c>
      <c r="BH34" s="2641">
        <f t="shared" si="21"/>
        <v>28</v>
      </c>
      <c r="BI34" s="2627">
        <f t="shared" si="22"/>
        <v>7.1428571428571425E-2</v>
      </c>
      <c r="BK34" s="330">
        <f>SUM(BK8,BK28)</f>
        <v>2</v>
      </c>
      <c r="BL34" s="330">
        <f>SUM(BL8,BL28)</f>
        <v>8</v>
      </c>
      <c r="BM34" s="2648">
        <f>SUM(BM8,BM28)</f>
        <v>17</v>
      </c>
      <c r="BN34" s="2641">
        <f t="shared" si="23"/>
        <v>27</v>
      </c>
      <c r="BO34" s="2627">
        <f t="shared" si="24"/>
        <v>7.407407407407407E-2</v>
      </c>
    </row>
    <row r="35" spans="1:67" ht="15" customHeight="1">
      <c r="A35" s="2521" t="s">
        <v>61</v>
      </c>
      <c r="B35" s="325"/>
      <c r="C35" s="330">
        <f t="shared" ref="C35:F36" si="25">SUM(C12)</f>
        <v>1</v>
      </c>
      <c r="D35" s="330">
        <f t="shared" si="25"/>
        <v>0</v>
      </c>
      <c r="E35" s="2648">
        <f t="shared" si="25"/>
        <v>4</v>
      </c>
      <c r="F35" s="2641">
        <f t="shared" si="25"/>
        <v>5</v>
      </c>
      <c r="G35" s="2627">
        <f t="shared" si="1"/>
        <v>0.2</v>
      </c>
      <c r="H35" s="2626"/>
      <c r="I35" s="330">
        <f t="shared" ref="I35:L36" si="26">SUM(I12)</f>
        <v>1</v>
      </c>
      <c r="J35" s="330">
        <f t="shared" si="26"/>
        <v>0</v>
      </c>
      <c r="K35" s="2648">
        <f t="shared" si="26"/>
        <v>8</v>
      </c>
      <c r="L35" s="2641">
        <f t="shared" si="26"/>
        <v>9</v>
      </c>
      <c r="M35" s="2627">
        <f t="shared" si="2"/>
        <v>0.1111111111111111</v>
      </c>
      <c r="O35" s="330">
        <f t="shared" ref="O35:R36" si="27">SUM(O12)</f>
        <v>1</v>
      </c>
      <c r="P35" s="330">
        <f t="shared" si="27"/>
        <v>0</v>
      </c>
      <c r="Q35" s="2648">
        <f t="shared" si="27"/>
        <v>9</v>
      </c>
      <c r="R35" s="2641">
        <f t="shared" si="27"/>
        <v>10</v>
      </c>
      <c r="S35" s="2627">
        <f t="shared" si="3"/>
        <v>0.1</v>
      </c>
      <c r="U35" s="330">
        <f t="shared" ref="U35:X36" si="28">SUM(U12)</f>
        <v>1</v>
      </c>
      <c r="V35" s="330">
        <f t="shared" si="28"/>
        <v>0</v>
      </c>
      <c r="W35" s="2648">
        <f t="shared" si="28"/>
        <v>8</v>
      </c>
      <c r="X35" s="2641">
        <f t="shared" si="28"/>
        <v>9</v>
      </c>
      <c r="Y35" s="2627">
        <f t="shared" si="4"/>
        <v>0.1111111111111111</v>
      </c>
      <c r="AA35" s="330">
        <f t="shared" ref="AA35:AD36" si="29">SUM(AA12)</f>
        <v>1</v>
      </c>
      <c r="AB35" s="330">
        <f t="shared" si="29"/>
        <v>1</v>
      </c>
      <c r="AC35" s="2648">
        <f t="shared" si="29"/>
        <v>7</v>
      </c>
      <c r="AD35" s="2641">
        <f t="shared" si="29"/>
        <v>9</v>
      </c>
      <c r="AE35" s="2627">
        <f t="shared" si="5"/>
        <v>0.1111111111111111</v>
      </c>
      <c r="AG35" s="330">
        <f t="shared" ref="AG35:AI36" si="30">SUM(AG12)</f>
        <v>1</v>
      </c>
      <c r="AH35" s="330">
        <f t="shared" si="30"/>
        <v>1</v>
      </c>
      <c r="AI35" s="2648">
        <f t="shared" si="30"/>
        <v>8</v>
      </c>
      <c r="AJ35" s="2641">
        <f t="shared" si="16"/>
        <v>10</v>
      </c>
      <c r="AK35" s="2627">
        <f t="shared" si="6"/>
        <v>0.1</v>
      </c>
      <c r="AM35" s="330">
        <f t="shared" ref="AM35:AO36" si="31">SUM(AM12)</f>
        <v>1</v>
      </c>
      <c r="AN35" s="330">
        <f t="shared" si="31"/>
        <v>1</v>
      </c>
      <c r="AO35" s="2648">
        <f t="shared" si="31"/>
        <v>8</v>
      </c>
      <c r="AP35" s="2641">
        <f t="shared" si="17"/>
        <v>10</v>
      </c>
      <c r="AQ35" s="2627">
        <f t="shared" si="18"/>
        <v>0.1</v>
      </c>
      <c r="AS35" s="330">
        <f t="shared" ref="AS35:AU36" si="32">SUM(AS12)</f>
        <v>1</v>
      </c>
      <c r="AT35" s="330">
        <f t="shared" si="32"/>
        <v>1</v>
      </c>
      <c r="AU35" s="2648">
        <f t="shared" si="32"/>
        <v>6</v>
      </c>
      <c r="AV35" s="2641">
        <f t="shared" si="7"/>
        <v>8</v>
      </c>
      <c r="AW35" s="2627">
        <f t="shared" si="8"/>
        <v>0.125</v>
      </c>
      <c r="AY35" s="330">
        <f t="shared" ref="AY35:BA36" si="33">SUM(AY12)</f>
        <v>1</v>
      </c>
      <c r="AZ35" s="330">
        <f t="shared" si="33"/>
        <v>1</v>
      </c>
      <c r="BA35" s="2648">
        <f t="shared" si="33"/>
        <v>6</v>
      </c>
      <c r="BB35" s="2641">
        <f t="shared" si="19"/>
        <v>8</v>
      </c>
      <c r="BC35" s="2627">
        <f t="shared" si="20"/>
        <v>0.125</v>
      </c>
      <c r="BE35" s="330">
        <f t="shared" ref="BE35:BG36" si="34">SUM(BE12)</f>
        <v>1</v>
      </c>
      <c r="BF35" s="330">
        <f t="shared" si="34"/>
        <v>1</v>
      </c>
      <c r="BG35" s="2648">
        <f t="shared" si="34"/>
        <v>4</v>
      </c>
      <c r="BH35" s="2641">
        <f t="shared" si="21"/>
        <v>6</v>
      </c>
      <c r="BI35" s="2627">
        <f t="shared" si="22"/>
        <v>0.16666666666666666</v>
      </c>
      <c r="BK35" s="330">
        <f t="shared" ref="BK35:BM36" si="35">SUM(BK12)</f>
        <v>1</v>
      </c>
      <c r="BL35" s="330">
        <f t="shared" si="35"/>
        <v>1</v>
      </c>
      <c r="BM35" s="2648">
        <f t="shared" si="35"/>
        <v>4</v>
      </c>
      <c r="BN35" s="2641">
        <f t="shared" si="23"/>
        <v>6</v>
      </c>
      <c r="BO35" s="2627">
        <f t="shared" si="24"/>
        <v>0.16666666666666666</v>
      </c>
    </row>
    <row r="36" spans="1:67" ht="15" customHeight="1">
      <c r="A36" s="2521" t="s">
        <v>64</v>
      </c>
      <c r="B36" s="325"/>
      <c r="C36" s="330">
        <f t="shared" si="25"/>
        <v>0</v>
      </c>
      <c r="D36" s="330">
        <f t="shared" si="25"/>
        <v>0</v>
      </c>
      <c r="E36" s="2648">
        <f t="shared" si="25"/>
        <v>5</v>
      </c>
      <c r="F36" s="2641">
        <f t="shared" si="25"/>
        <v>5</v>
      </c>
      <c r="G36" s="2627">
        <f t="shared" si="1"/>
        <v>0</v>
      </c>
      <c r="H36" s="2626"/>
      <c r="I36" s="330">
        <f t="shared" si="26"/>
        <v>1</v>
      </c>
      <c r="J36" s="330">
        <f t="shared" si="26"/>
        <v>1</v>
      </c>
      <c r="K36" s="2648">
        <f t="shared" si="26"/>
        <v>5</v>
      </c>
      <c r="L36" s="2641">
        <f t="shared" si="26"/>
        <v>7</v>
      </c>
      <c r="M36" s="2627">
        <f t="shared" si="2"/>
        <v>0.14285714285714285</v>
      </c>
      <c r="O36" s="330">
        <f t="shared" si="27"/>
        <v>1</v>
      </c>
      <c r="P36" s="330">
        <f t="shared" si="27"/>
        <v>2</v>
      </c>
      <c r="Q36" s="2648">
        <f t="shared" si="27"/>
        <v>5</v>
      </c>
      <c r="R36" s="2641">
        <f t="shared" si="27"/>
        <v>8</v>
      </c>
      <c r="S36" s="2627">
        <f t="shared" si="3"/>
        <v>0.125</v>
      </c>
      <c r="U36" s="330">
        <f t="shared" si="28"/>
        <v>1</v>
      </c>
      <c r="V36" s="330">
        <f t="shared" si="28"/>
        <v>2</v>
      </c>
      <c r="W36" s="2648">
        <f t="shared" si="28"/>
        <v>5</v>
      </c>
      <c r="X36" s="2641">
        <f t="shared" si="28"/>
        <v>8</v>
      </c>
      <c r="Y36" s="2627">
        <f t="shared" si="4"/>
        <v>0.125</v>
      </c>
      <c r="AA36" s="330">
        <f t="shared" si="29"/>
        <v>1</v>
      </c>
      <c r="AB36" s="330">
        <f t="shared" si="29"/>
        <v>4</v>
      </c>
      <c r="AC36" s="2648">
        <f t="shared" si="29"/>
        <v>4</v>
      </c>
      <c r="AD36" s="2641">
        <f t="shared" si="29"/>
        <v>9</v>
      </c>
      <c r="AE36" s="2627">
        <f t="shared" si="5"/>
        <v>0.1111111111111111</v>
      </c>
      <c r="AG36" s="330">
        <f t="shared" si="30"/>
        <v>1</v>
      </c>
      <c r="AH36" s="330">
        <f t="shared" si="30"/>
        <v>6</v>
      </c>
      <c r="AI36" s="2648">
        <f t="shared" si="30"/>
        <v>4</v>
      </c>
      <c r="AJ36" s="2641">
        <f t="shared" si="16"/>
        <v>11</v>
      </c>
      <c r="AK36" s="2627">
        <f t="shared" si="6"/>
        <v>9.0909090909090912E-2</v>
      </c>
      <c r="AM36" s="330">
        <f t="shared" si="31"/>
        <v>2</v>
      </c>
      <c r="AN36" s="330">
        <f t="shared" si="31"/>
        <v>5</v>
      </c>
      <c r="AO36" s="2648">
        <f t="shared" si="31"/>
        <v>4</v>
      </c>
      <c r="AP36" s="2641">
        <f t="shared" si="17"/>
        <v>11</v>
      </c>
      <c r="AQ36" s="2627">
        <f t="shared" si="18"/>
        <v>0.18181818181818182</v>
      </c>
      <c r="AS36" s="330">
        <f t="shared" si="32"/>
        <v>3</v>
      </c>
      <c r="AT36" s="330">
        <f t="shared" si="32"/>
        <v>5</v>
      </c>
      <c r="AU36" s="2648">
        <f t="shared" si="32"/>
        <v>2</v>
      </c>
      <c r="AV36" s="2641">
        <f t="shared" si="7"/>
        <v>10</v>
      </c>
      <c r="AW36" s="2627">
        <f t="shared" si="8"/>
        <v>0.3</v>
      </c>
      <c r="AY36" s="330">
        <f t="shared" si="33"/>
        <v>3</v>
      </c>
      <c r="AZ36" s="330">
        <f t="shared" si="33"/>
        <v>5</v>
      </c>
      <c r="BA36" s="2648">
        <f t="shared" si="33"/>
        <v>3</v>
      </c>
      <c r="BB36" s="2641">
        <f t="shared" si="19"/>
        <v>11</v>
      </c>
      <c r="BC36" s="2627">
        <f t="shared" si="20"/>
        <v>0.27272727272727271</v>
      </c>
      <c r="BE36" s="330">
        <f t="shared" si="34"/>
        <v>4</v>
      </c>
      <c r="BF36" s="330">
        <f t="shared" si="34"/>
        <v>4</v>
      </c>
      <c r="BG36" s="2648">
        <f t="shared" si="34"/>
        <v>3</v>
      </c>
      <c r="BH36" s="2641">
        <f t="shared" si="21"/>
        <v>11</v>
      </c>
      <c r="BI36" s="2627">
        <f t="shared" si="22"/>
        <v>0.36363636363636365</v>
      </c>
      <c r="BK36" s="330">
        <f t="shared" si="35"/>
        <v>4</v>
      </c>
      <c r="BL36" s="330">
        <f t="shared" si="35"/>
        <v>4</v>
      </c>
      <c r="BM36" s="2648">
        <f t="shared" si="35"/>
        <v>3</v>
      </c>
      <c r="BN36" s="2641">
        <f t="shared" si="23"/>
        <v>11</v>
      </c>
      <c r="BO36" s="2627">
        <f t="shared" si="24"/>
        <v>0.36363636363636365</v>
      </c>
    </row>
    <row r="37" spans="1:67" ht="15" customHeight="1">
      <c r="A37" s="2625" t="s">
        <v>113</v>
      </c>
      <c r="B37" s="325"/>
      <c r="C37" s="2639">
        <f t="shared" ref="C37:L37" si="36">SUM(C31:C36)</f>
        <v>73</v>
      </c>
      <c r="D37" s="2639">
        <f t="shared" si="36"/>
        <v>111</v>
      </c>
      <c r="E37" s="2655">
        <f t="shared" si="36"/>
        <v>93</v>
      </c>
      <c r="F37" s="2647">
        <f t="shared" si="36"/>
        <v>277</v>
      </c>
      <c r="G37" s="2640">
        <f t="shared" si="1"/>
        <v>0.26353790613718414</v>
      </c>
      <c r="H37" s="2626"/>
      <c r="I37" s="2639">
        <f t="shared" si="36"/>
        <v>72</v>
      </c>
      <c r="J37" s="2639">
        <f t="shared" si="36"/>
        <v>112</v>
      </c>
      <c r="K37" s="2655">
        <f t="shared" si="36"/>
        <v>102</v>
      </c>
      <c r="L37" s="2647">
        <f t="shared" si="36"/>
        <v>286</v>
      </c>
      <c r="M37" s="2640">
        <f t="shared" si="2"/>
        <v>0.25174825174825177</v>
      </c>
      <c r="O37" s="2639">
        <f t="shared" ref="O37:X37" si="37">SUM(O31:O36)</f>
        <v>80</v>
      </c>
      <c r="P37" s="2639">
        <f t="shared" si="37"/>
        <v>99</v>
      </c>
      <c r="Q37" s="2655">
        <f t="shared" si="37"/>
        <v>107</v>
      </c>
      <c r="R37" s="2647">
        <f t="shared" si="37"/>
        <v>286</v>
      </c>
      <c r="S37" s="2640">
        <f t="shared" si="3"/>
        <v>0.27972027972027974</v>
      </c>
      <c r="U37" s="2639">
        <f t="shared" si="37"/>
        <v>81</v>
      </c>
      <c r="V37" s="2639">
        <f t="shared" si="37"/>
        <v>96</v>
      </c>
      <c r="W37" s="2655">
        <f t="shared" si="37"/>
        <v>105</v>
      </c>
      <c r="X37" s="2647">
        <f t="shared" si="37"/>
        <v>282</v>
      </c>
      <c r="Y37" s="2640">
        <f t="shared" si="4"/>
        <v>0.28723404255319152</v>
      </c>
      <c r="AA37" s="2639">
        <f>SUM(AA31:AA36)</f>
        <v>84</v>
      </c>
      <c r="AB37" s="2639">
        <f>SUM(AB31:AB36)</f>
        <v>92</v>
      </c>
      <c r="AC37" s="2655">
        <f>SUM(AC31:AC36)</f>
        <v>101</v>
      </c>
      <c r="AD37" s="2647">
        <f>SUM(AD31:AD36)</f>
        <v>277</v>
      </c>
      <c r="AE37" s="2640">
        <f t="shared" si="5"/>
        <v>0.30324909747292417</v>
      </c>
      <c r="AG37" s="2639">
        <f>SUM(AG31:AG36)</f>
        <v>87</v>
      </c>
      <c r="AH37" s="2639">
        <f>SUM(AH31:AH36)</f>
        <v>81</v>
      </c>
      <c r="AI37" s="2655">
        <f>SUM(AI31:AI36)</f>
        <v>111</v>
      </c>
      <c r="AJ37" s="2647">
        <f>SUM(AJ31:AJ36)</f>
        <v>279</v>
      </c>
      <c r="AK37" s="2640">
        <f t="shared" si="6"/>
        <v>0.31182795698924731</v>
      </c>
      <c r="AM37" s="2639">
        <f>SUM(AM31:AM36)</f>
        <v>82</v>
      </c>
      <c r="AN37" s="2639">
        <f>SUM(AN31:AN36)</f>
        <v>83</v>
      </c>
      <c r="AO37" s="2655">
        <f>SUM(AO31:AO36)</f>
        <v>112</v>
      </c>
      <c r="AP37" s="2647">
        <f>SUM(AP31:AP36)</f>
        <v>277</v>
      </c>
      <c r="AQ37" s="2640">
        <f t="shared" si="18"/>
        <v>0.29602888086642598</v>
      </c>
      <c r="AS37" s="2639">
        <f>SUM(AS31:AS36)</f>
        <v>80</v>
      </c>
      <c r="AT37" s="2639">
        <f>SUM(AT31:AT36)</f>
        <v>78</v>
      </c>
      <c r="AU37" s="2655">
        <f>SUM(AU31:AU36)</f>
        <v>106</v>
      </c>
      <c r="AV37" s="2647">
        <f t="shared" si="7"/>
        <v>264</v>
      </c>
      <c r="AW37" s="2640">
        <f>AS37/AV37</f>
        <v>0.30303030303030304</v>
      </c>
      <c r="AY37" s="2639">
        <f>SUM(AY31:AY36)</f>
        <v>83</v>
      </c>
      <c r="AZ37" s="2639">
        <f>SUM(AZ31:AZ36)</f>
        <v>79</v>
      </c>
      <c r="BA37" s="2655">
        <f>SUM(BA31:BA36)</f>
        <v>104</v>
      </c>
      <c r="BB37" s="2647">
        <f t="shared" si="19"/>
        <v>266</v>
      </c>
      <c r="BC37" s="2640">
        <f>AY37/BB37</f>
        <v>0.31203007518796994</v>
      </c>
      <c r="BE37" s="2639">
        <f>SUM(BE31:BE36)</f>
        <v>83</v>
      </c>
      <c r="BF37" s="2639">
        <f>SUM(BF31:BF36)</f>
        <v>76</v>
      </c>
      <c r="BG37" s="2655">
        <f>SUM(BG31:BG36)</f>
        <v>103</v>
      </c>
      <c r="BH37" s="2647">
        <f t="shared" si="21"/>
        <v>262</v>
      </c>
      <c r="BI37" s="2640">
        <f>BE37/BH37</f>
        <v>0.31679389312977096</v>
      </c>
      <c r="BK37" s="2639">
        <f>SUM(BK31:BK36)</f>
        <v>83</v>
      </c>
      <c r="BL37" s="2639">
        <f>SUM(BL31:BL36)</f>
        <v>75</v>
      </c>
      <c r="BM37" s="2655">
        <f>SUM(BM31:BM36)</f>
        <v>101</v>
      </c>
      <c r="BN37" s="2647">
        <f t="shared" si="23"/>
        <v>259</v>
      </c>
      <c r="BO37" s="2640">
        <f>BK37/BN37</f>
        <v>0.32046332046332049</v>
      </c>
    </row>
    <row r="38" spans="1:67" ht="13.05" customHeight="1">
      <c r="A38" s="331"/>
      <c r="B38" s="325"/>
      <c r="H38" s="2626"/>
    </row>
    <row r="39" spans="1:67" ht="13.05" customHeight="1">
      <c r="B39" s="325"/>
      <c r="C39" s="332" t="s">
        <v>1163</v>
      </c>
      <c r="H39" s="2626"/>
      <c r="BO39" s="2290" t="s">
        <v>1163</v>
      </c>
    </row>
    <row r="40" spans="1:67" ht="13.05" customHeight="1">
      <c r="B40" s="325"/>
      <c r="C40" s="332" t="s">
        <v>1164</v>
      </c>
      <c r="H40" s="2626"/>
      <c r="BO40" s="2290" t="s">
        <v>1164</v>
      </c>
    </row>
    <row r="41" spans="1:67" ht="17.399999999999999">
      <c r="B41" s="325"/>
      <c r="C41" s="332" t="s">
        <v>1165</v>
      </c>
      <c r="H41" s="2626"/>
      <c r="BO41" s="2290" t="s">
        <v>1165</v>
      </c>
    </row>
    <row r="42" spans="1:67" ht="17.399999999999999">
      <c r="A42" s="333"/>
      <c r="B42" s="325"/>
      <c r="H42" s="2626"/>
    </row>
    <row r="43" spans="1:67" ht="15" customHeight="1">
      <c r="A43" s="334"/>
      <c r="B43" s="325"/>
      <c r="H43" s="2626"/>
    </row>
    <row r="44" spans="1:67" ht="17.399999999999999">
      <c r="B44" s="325"/>
      <c r="H44" s="2626"/>
    </row>
    <row r="45" spans="1:67" ht="17.399999999999999">
      <c r="B45" s="325"/>
      <c r="H45" s="2626"/>
    </row>
    <row r="46" spans="1:67" ht="17.399999999999999">
      <c r="B46" s="325"/>
      <c r="H46" s="2626"/>
    </row>
    <row r="47" spans="1:67" ht="17.399999999999999">
      <c r="B47" s="325"/>
      <c r="H47" s="2626"/>
    </row>
    <row r="48" spans="1:67" ht="17.399999999999999">
      <c r="B48" s="325"/>
      <c r="H48" s="2626"/>
    </row>
    <row r="49" spans="2:8" ht="17.399999999999999">
      <c r="B49" s="325"/>
      <c r="H49" s="2626"/>
    </row>
    <row r="50" spans="2:8" ht="17.399999999999999">
      <c r="B50" s="325"/>
      <c r="H50" s="2626"/>
    </row>
    <row r="51" spans="2:8" ht="17.399999999999999">
      <c r="B51" s="325"/>
    </row>
    <row r="52" spans="2:8" ht="17.399999999999999">
      <c r="B52" s="325"/>
    </row>
    <row r="53" spans="2:8" ht="17.399999999999999">
      <c r="B53" s="325"/>
    </row>
    <row r="54" spans="2:8" ht="17.399999999999999">
      <c r="B54" s="325"/>
    </row>
    <row r="55" spans="2:8" ht="17.399999999999999">
      <c r="B55" s="325"/>
    </row>
    <row r="56" spans="2:8" ht="17.399999999999999">
      <c r="B56" s="325"/>
    </row>
    <row r="57" spans="2:8" ht="17.399999999999999">
      <c r="B57" s="325"/>
    </row>
    <row r="58" spans="2:8" ht="17.399999999999999">
      <c r="B58" s="325"/>
    </row>
    <row r="59" spans="2:8" ht="17.399999999999999">
      <c r="B59" s="325"/>
    </row>
    <row r="60" spans="2:8" ht="17.399999999999999">
      <c r="B60" s="325"/>
    </row>
    <row r="61" spans="2:8" ht="17.399999999999999">
      <c r="B61" s="325"/>
    </row>
    <row r="62" spans="2:8" ht="17.399999999999999">
      <c r="B62" s="325"/>
    </row>
    <row r="63" spans="2:8" ht="17.399999999999999">
      <c r="B63" s="325"/>
    </row>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sheetData>
  <sheetProtection algorithmName="SHA-512" hashValue="h+vmyiV3tXyEmmC56+3D9tlfVtQRuvyCcd1fsrtPOhFAtWDUL4cvEotqaWTXcIQvvazyMMhGPDBbUn5ZFEKLEg==" saltValue="IPjfFa+Sa6A/JQNR1KtQmA==" spinCount="100000" sheet="1" objects="1" scenarios="1"/>
  <mergeCells count="12">
    <mergeCell ref="BK3:BO3"/>
    <mergeCell ref="BE3:BI3"/>
    <mergeCell ref="A3:A4"/>
    <mergeCell ref="C3:G3"/>
    <mergeCell ref="I3:M3"/>
    <mergeCell ref="O3:S3"/>
    <mergeCell ref="U3:Y3"/>
    <mergeCell ref="AY3:BC3"/>
    <mergeCell ref="AS3:AW3"/>
    <mergeCell ref="AM3:AQ3"/>
    <mergeCell ref="AG3:AK3"/>
    <mergeCell ref="AA3:AE3"/>
  </mergeCells>
  <pageMargins left="0.7" right="0.7" top="0.75" bottom="0.75" header="0.3" footer="0.3"/>
  <pageSetup orientation="portrait" r:id="rId1"/>
  <ignoredErrors>
    <ignoredError sqref="AQ14:AQ29 AQ3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sheetPr>
  <dimension ref="B1:V106"/>
  <sheetViews>
    <sheetView showGridLines="0" zoomScale="120" zoomScaleNormal="120" workbookViewId="0">
      <pane xSplit="2" ySplit="4" topLeftCell="Q5" activePane="bottomRight" state="frozen"/>
      <selection activeCell="B35" sqref="B35"/>
      <selection pane="topRight" activeCell="B35" sqref="B35"/>
      <selection pane="bottomLeft" activeCell="B35" sqref="B35"/>
      <selection pane="bottomRight" activeCell="R5" sqref="R5"/>
    </sheetView>
  </sheetViews>
  <sheetFormatPr baseColWidth="10" defaultColWidth="11.44140625" defaultRowHeight="13.8"/>
  <cols>
    <col min="1" max="1" width="2.44140625" style="31" customWidth="1"/>
    <col min="2" max="2" width="35.44140625" style="31" bestFit="1" customWidth="1"/>
    <col min="3" max="12" width="10.77734375" style="31" customWidth="1"/>
    <col min="13" max="13" width="11.44140625" style="31" customWidth="1"/>
    <col min="14" max="16384" width="11.44140625" style="31"/>
  </cols>
  <sheetData>
    <row r="1" spans="2:22" ht="15.6">
      <c r="B1" s="22" t="s">
        <v>1294</v>
      </c>
    </row>
    <row r="2" spans="2:22">
      <c r="B2" s="446" t="s">
        <v>1288</v>
      </c>
    </row>
    <row r="4" spans="2:22" ht="15" thickBot="1">
      <c r="B4" s="2553" t="s">
        <v>2727</v>
      </c>
      <c r="C4" s="3602" t="s">
        <v>1000</v>
      </c>
      <c r="D4" s="3600" t="s">
        <v>1001</v>
      </c>
      <c r="E4" s="3602" t="s">
        <v>999</v>
      </c>
      <c r="F4" s="3600" t="s">
        <v>1002</v>
      </c>
      <c r="G4" s="3602" t="s">
        <v>1003</v>
      </c>
      <c r="H4" s="3600" t="s">
        <v>1004</v>
      </c>
      <c r="I4" s="3602" t="s">
        <v>1005</v>
      </c>
      <c r="J4" s="3600" t="s">
        <v>1006</v>
      </c>
      <c r="K4" s="3602" t="s">
        <v>1634</v>
      </c>
      <c r="L4" s="3600" t="s">
        <v>1635</v>
      </c>
      <c r="M4" s="3602" t="s">
        <v>1852</v>
      </c>
      <c r="N4" s="3600" t="s">
        <v>1853</v>
      </c>
      <c r="O4" s="3602" t="s">
        <v>2516</v>
      </c>
      <c r="P4" s="3600" t="s">
        <v>2517</v>
      </c>
      <c r="Q4" s="3603" t="s">
        <v>2690</v>
      </c>
      <c r="R4" s="3601" t="s">
        <v>2691</v>
      </c>
      <c r="S4" s="3603" t="s">
        <v>2762</v>
      </c>
      <c r="T4" s="3601" t="s">
        <v>2763</v>
      </c>
      <c r="U4" s="3603" t="s">
        <v>3858</v>
      </c>
      <c r="V4" s="3601" t="s">
        <v>3859</v>
      </c>
    </row>
    <row r="5" spans="2:22" ht="14.4">
      <c r="B5" s="2910" t="s">
        <v>5</v>
      </c>
      <c r="C5" s="3478">
        <v>0</v>
      </c>
      <c r="D5" s="3479">
        <v>0</v>
      </c>
      <c r="E5" s="3478">
        <v>0</v>
      </c>
      <c r="F5" s="3479">
        <v>0</v>
      </c>
      <c r="G5" s="3478">
        <v>0</v>
      </c>
      <c r="H5" s="3479">
        <v>1.0638297872340425E-2</v>
      </c>
      <c r="I5" s="3478">
        <v>0</v>
      </c>
      <c r="J5" s="3479">
        <v>8.5470085470085479E-3</v>
      </c>
      <c r="K5" s="3478">
        <v>0</v>
      </c>
      <c r="L5" s="3479">
        <v>0</v>
      </c>
      <c r="M5" s="3478">
        <v>0</v>
      </c>
      <c r="N5" s="3479">
        <v>0</v>
      </c>
      <c r="O5" s="3478">
        <v>1.8518518518518517E-2</v>
      </c>
      <c r="P5" s="3479">
        <v>1.8867924528301886E-2</v>
      </c>
      <c r="Q5" s="3478">
        <v>2.2222222222222223E-2</v>
      </c>
      <c r="R5" s="3479">
        <v>1.7543859649122806E-2</v>
      </c>
      <c r="S5" s="3478">
        <v>2.9411764705882353E-2</v>
      </c>
      <c r="T5" s="3479">
        <v>0</v>
      </c>
      <c r="U5" s="3478">
        <v>0</v>
      </c>
      <c r="V5" s="3619">
        <v>3.6363636363636362E-2</v>
      </c>
    </row>
    <row r="6" spans="2:22" ht="14.4">
      <c r="B6" s="2911" t="s">
        <v>6</v>
      </c>
      <c r="C6" s="3480">
        <v>0</v>
      </c>
      <c r="D6" s="3481">
        <v>0</v>
      </c>
      <c r="E6" s="3480">
        <v>0</v>
      </c>
      <c r="F6" s="3481">
        <v>0</v>
      </c>
      <c r="G6" s="3480">
        <v>0</v>
      </c>
      <c r="H6" s="3481">
        <v>1.1235955056179775E-2</v>
      </c>
      <c r="I6" s="3480">
        <v>0</v>
      </c>
      <c r="J6" s="3481">
        <v>2.9197080291970802E-2</v>
      </c>
      <c r="K6" s="3480">
        <v>9.8039215686274508E-3</v>
      </c>
      <c r="L6" s="3481">
        <v>0</v>
      </c>
      <c r="M6" s="3480">
        <v>0</v>
      </c>
      <c r="N6" s="3481">
        <v>0.02</v>
      </c>
      <c r="O6" s="3480">
        <v>1.6129032258064516E-2</v>
      </c>
      <c r="P6" s="3481">
        <v>0</v>
      </c>
      <c r="Q6" s="3480">
        <v>1.9607843137254902E-2</v>
      </c>
      <c r="R6" s="3481">
        <v>2.0408163265306121E-2</v>
      </c>
      <c r="S6" s="3480">
        <v>2.8571428571428571E-2</v>
      </c>
      <c r="T6" s="3481">
        <v>0</v>
      </c>
      <c r="U6" s="3480">
        <v>0</v>
      </c>
      <c r="V6" s="3620">
        <v>6.1538461538461542E-2</v>
      </c>
    </row>
    <row r="7" spans="2:22" ht="14.4">
      <c r="B7" s="2911" t="s">
        <v>7</v>
      </c>
      <c r="C7" s="3480">
        <v>0</v>
      </c>
      <c r="D7" s="3481">
        <v>0</v>
      </c>
      <c r="E7" s="3480">
        <v>0</v>
      </c>
      <c r="F7" s="3481">
        <v>2.0408163265306121E-2</v>
      </c>
      <c r="G7" s="3480">
        <v>0</v>
      </c>
      <c r="H7" s="3481">
        <v>0</v>
      </c>
      <c r="I7" s="3480">
        <v>0</v>
      </c>
      <c r="J7" s="3481">
        <v>0</v>
      </c>
      <c r="K7" s="3480">
        <v>0</v>
      </c>
      <c r="L7" s="3481">
        <v>0</v>
      </c>
      <c r="M7" s="3480">
        <v>0</v>
      </c>
      <c r="N7" s="3481">
        <v>0</v>
      </c>
      <c r="O7" s="3480">
        <v>0</v>
      </c>
      <c r="P7" s="3481">
        <v>0</v>
      </c>
      <c r="Q7" s="3480">
        <v>0</v>
      </c>
      <c r="R7" s="3481">
        <v>3.7037037037037035E-2</v>
      </c>
      <c r="S7" s="3480">
        <v>0</v>
      </c>
      <c r="T7" s="3481">
        <v>0</v>
      </c>
      <c r="U7" s="3480">
        <v>0</v>
      </c>
      <c r="V7" s="3620">
        <v>3.7037037037037035E-2</v>
      </c>
    </row>
    <row r="8" spans="2:22" ht="14.4">
      <c r="B8" s="2911" t="s">
        <v>8</v>
      </c>
      <c r="C8" s="3480">
        <v>0</v>
      </c>
      <c r="D8" s="3481">
        <v>0</v>
      </c>
      <c r="E8" s="3480">
        <v>0</v>
      </c>
      <c r="F8" s="3481">
        <v>0</v>
      </c>
      <c r="G8" s="3480">
        <v>0</v>
      </c>
      <c r="H8" s="3481">
        <v>0</v>
      </c>
      <c r="I8" s="3480">
        <v>0</v>
      </c>
      <c r="J8" s="3481">
        <v>1.7241379310344827E-2</v>
      </c>
      <c r="K8" s="3480">
        <v>0</v>
      </c>
      <c r="L8" s="3481">
        <v>0</v>
      </c>
      <c r="M8" s="3480">
        <v>0</v>
      </c>
      <c r="N8" s="3481">
        <v>0</v>
      </c>
      <c r="O8" s="3480">
        <v>0</v>
      </c>
      <c r="P8" s="3481">
        <v>0</v>
      </c>
      <c r="Q8" s="3480">
        <v>0</v>
      </c>
      <c r="R8" s="3481">
        <v>1.6129032258064516E-2</v>
      </c>
      <c r="S8" s="3480">
        <v>0</v>
      </c>
      <c r="T8" s="3481">
        <v>0</v>
      </c>
      <c r="U8" s="3480">
        <v>0</v>
      </c>
      <c r="V8" s="3620">
        <v>0</v>
      </c>
    </row>
    <row r="9" spans="2:22" ht="14.4">
      <c r="B9" s="2911" t="s">
        <v>9</v>
      </c>
      <c r="C9" s="3480">
        <v>0</v>
      </c>
      <c r="D9" s="3481">
        <v>0</v>
      </c>
      <c r="E9" s="3480">
        <v>0</v>
      </c>
      <c r="F9" s="3481">
        <v>0</v>
      </c>
      <c r="G9" s="3480">
        <v>0</v>
      </c>
      <c r="H9" s="3481">
        <v>2.6315789473684209E-2</v>
      </c>
      <c r="I9" s="3480">
        <v>0</v>
      </c>
      <c r="J9" s="3481">
        <v>2.1052631578947368E-2</v>
      </c>
      <c r="K9" s="3480">
        <v>9.7087378640776691E-3</v>
      </c>
      <c r="L9" s="3481">
        <v>0</v>
      </c>
      <c r="M9" s="3480">
        <v>0</v>
      </c>
      <c r="N9" s="3481">
        <v>3.5087719298245612E-2</v>
      </c>
      <c r="O9" s="3480">
        <v>0</v>
      </c>
      <c r="P9" s="3481">
        <v>0</v>
      </c>
      <c r="Q9" s="3480">
        <v>2.4390243902439025E-2</v>
      </c>
      <c r="R9" s="3481">
        <v>0</v>
      </c>
      <c r="S9" s="3480">
        <v>2.6315789473684209E-2</v>
      </c>
      <c r="T9" s="3481">
        <v>9.6774193548387094E-2</v>
      </c>
      <c r="U9" s="3480">
        <v>0</v>
      </c>
      <c r="V9" s="3620">
        <v>0</v>
      </c>
    </row>
    <row r="10" spans="2:22" ht="14.4">
      <c r="B10" s="2911" t="s">
        <v>10</v>
      </c>
      <c r="C10" s="3480">
        <v>3.6363636363636362E-2</v>
      </c>
      <c r="D10" s="3481">
        <v>0</v>
      </c>
      <c r="E10" s="3480">
        <v>0</v>
      </c>
      <c r="F10" s="3481">
        <v>0</v>
      </c>
      <c r="G10" s="3480">
        <v>0</v>
      </c>
      <c r="H10" s="3481">
        <v>1.5151515151515152E-2</v>
      </c>
      <c r="I10" s="3480">
        <v>0</v>
      </c>
      <c r="J10" s="3481">
        <v>0</v>
      </c>
      <c r="K10" s="3480">
        <v>1.9230769230769232E-2</v>
      </c>
      <c r="L10" s="3481">
        <v>1.8867924528301886E-2</v>
      </c>
      <c r="M10" s="3480">
        <v>0</v>
      </c>
      <c r="N10" s="3481">
        <v>0</v>
      </c>
      <c r="O10" s="3480">
        <v>0</v>
      </c>
      <c r="P10" s="3481">
        <v>1.6949152542372881E-2</v>
      </c>
      <c r="Q10" s="3480">
        <v>0</v>
      </c>
      <c r="R10" s="3481">
        <v>0</v>
      </c>
      <c r="S10" s="3480">
        <v>0</v>
      </c>
      <c r="T10" s="3481">
        <v>2.8571428571428571E-2</v>
      </c>
      <c r="U10" s="3480">
        <v>1.5873015873015872E-2</v>
      </c>
      <c r="V10" s="3620">
        <v>0</v>
      </c>
    </row>
    <row r="11" spans="2:22" ht="14.4">
      <c r="B11" s="2911" t="s">
        <v>11</v>
      </c>
      <c r="C11" s="3480">
        <v>0</v>
      </c>
      <c r="D11" s="3481">
        <v>0</v>
      </c>
      <c r="E11" s="3480">
        <v>0</v>
      </c>
      <c r="F11" s="3481">
        <v>0</v>
      </c>
      <c r="G11" s="3480">
        <v>0</v>
      </c>
      <c r="H11" s="3481">
        <v>0</v>
      </c>
      <c r="I11" s="3480">
        <v>0</v>
      </c>
      <c r="J11" s="3481">
        <v>0</v>
      </c>
      <c r="K11" s="3480">
        <v>0</v>
      </c>
      <c r="L11" s="3481">
        <v>0</v>
      </c>
      <c r="M11" s="3480">
        <v>0</v>
      </c>
      <c r="N11" s="3481">
        <v>0</v>
      </c>
      <c r="O11" s="3480">
        <v>0</v>
      </c>
      <c r="P11" s="3481">
        <v>0.02</v>
      </c>
      <c r="Q11" s="3480">
        <v>0</v>
      </c>
      <c r="R11" s="3481">
        <v>0</v>
      </c>
      <c r="S11" s="3480">
        <v>0</v>
      </c>
      <c r="T11" s="3481">
        <v>0</v>
      </c>
      <c r="U11" s="3480">
        <v>0</v>
      </c>
      <c r="V11" s="3620">
        <v>0</v>
      </c>
    </row>
    <row r="12" spans="2:22" ht="14.4">
      <c r="B12" s="2911" t="s">
        <v>12</v>
      </c>
      <c r="C12" s="3480">
        <v>5.8823529411764705E-2</v>
      </c>
      <c r="D12" s="3481">
        <v>9.3457943925233638E-3</v>
      </c>
      <c r="E12" s="3480">
        <v>0</v>
      </c>
      <c r="F12" s="3481">
        <v>4.0816326530612242E-2</v>
      </c>
      <c r="G12" s="3480">
        <v>2.8169014084507043E-2</v>
      </c>
      <c r="H12" s="3481">
        <v>1.1494252873563218E-2</v>
      </c>
      <c r="I12" s="3480">
        <v>9.7087378640776691E-3</v>
      </c>
      <c r="J12" s="3481">
        <v>2.3255813953488372E-2</v>
      </c>
      <c r="K12" s="3480">
        <v>0</v>
      </c>
      <c r="L12" s="3481">
        <v>0</v>
      </c>
      <c r="M12" s="3480">
        <v>0</v>
      </c>
      <c r="N12" s="3481">
        <v>0.02</v>
      </c>
      <c r="O12" s="3480">
        <v>5.4545454545454543E-2</v>
      </c>
      <c r="P12" s="3481">
        <v>1.9230769230769232E-2</v>
      </c>
      <c r="Q12" s="3480">
        <v>0</v>
      </c>
      <c r="R12" s="3481">
        <v>0</v>
      </c>
      <c r="S12" s="3480">
        <v>2.7777777777777776E-2</v>
      </c>
      <c r="T12" s="3481">
        <v>5.4054054054054057E-2</v>
      </c>
      <c r="U12" s="3480">
        <v>1.6129032258064516E-2</v>
      </c>
      <c r="V12" s="3620">
        <v>1.4285714285714285E-2</v>
      </c>
    </row>
    <row r="13" spans="2:22" ht="14.4">
      <c r="B13" s="2911" t="s">
        <v>13</v>
      </c>
      <c r="C13" s="3480">
        <v>0</v>
      </c>
      <c r="D13" s="3481">
        <v>0</v>
      </c>
      <c r="E13" s="3480">
        <v>1.4492753623188406E-2</v>
      </c>
      <c r="F13" s="3481">
        <v>0</v>
      </c>
      <c r="G13" s="3480">
        <v>0</v>
      </c>
      <c r="H13" s="3481">
        <v>9.5238095238095247E-3</v>
      </c>
      <c r="I13" s="3480">
        <v>0</v>
      </c>
      <c r="J13" s="3481">
        <v>1.5873015873015872E-2</v>
      </c>
      <c r="K13" s="3480">
        <v>0</v>
      </c>
      <c r="L13" s="3481">
        <v>1.5873015873015872E-2</v>
      </c>
      <c r="M13" s="3480">
        <v>0</v>
      </c>
      <c r="N13" s="3481">
        <v>0</v>
      </c>
      <c r="O13" s="3480">
        <v>0</v>
      </c>
      <c r="P13" s="3481">
        <v>0</v>
      </c>
      <c r="Q13" s="3480">
        <v>0</v>
      </c>
      <c r="R13" s="3481">
        <v>0</v>
      </c>
      <c r="S13" s="3480">
        <v>0</v>
      </c>
      <c r="T13" s="3481">
        <v>0</v>
      </c>
      <c r="U13" s="3480">
        <v>0</v>
      </c>
      <c r="V13" s="3620">
        <v>3.6363636363636362E-2</v>
      </c>
    </row>
    <row r="14" spans="2:22" ht="14.4">
      <c r="B14" s="2911" t="s">
        <v>14</v>
      </c>
      <c r="C14" s="3480">
        <v>0</v>
      </c>
      <c r="D14" s="3481">
        <v>0</v>
      </c>
      <c r="E14" s="3480">
        <v>6.6225165562913907E-3</v>
      </c>
      <c r="F14" s="3481">
        <v>1.3513513513513514E-2</v>
      </c>
      <c r="G14" s="3480">
        <v>7.874015748031496E-3</v>
      </c>
      <c r="H14" s="3481">
        <v>0</v>
      </c>
      <c r="I14" s="3480">
        <v>7.8125E-3</v>
      </c>
      <c r="J14" s="3481">
        <v>0</v>
      </c>
      <c r="K14" s="3480">
        <v>3.2608695652173912E-2</v>
      </c>
      <c r="L14" s="3481">
        <v>1.5151515151515152E-2</v>
      </c>
      <c r="M14" s="3480">
        <v>2.7777777777777776E-2</v>
      </c>
      <c r="N14" s="3481">
        <v>1.7857142857142856E-2</v>
      </c>
      <c r="O14" s="3480">
        <v>0</v>
      </c>
      <c r="P14" s="3481">
        <v>4.2553191489361701E-2</v>
      </c>
      <c r="Q14" s="3480">
        <v>2.3809523809523808E-2</v>
      </c>
      <c r="R14" s="3481">
        <v>3.0769230769230771E-2</v>
      </c>
      <c r="S14" s="3480">
        <v>0</v>
      </c>
      <c r="T14" s="3481">
        <v>0.02</v>
      </c>
      <c r="U14" s="3480">
        <v>1.4492753623188406E-2</v>
      </c>
      <c r="V14" s="3620">
        <v>1.0309278350515464E-2</v>
      </c>
    </row>
    <row r="15" spans="2:22" ht="14.4">
      <c r="B15" s="2912" t="s">
        <v>544</v>
      </c>
      <c r="C15" s="3482">
        <v>7.9239302694136295E-3</v>
      </c>
      <c r="D15" s="3483">
        <v>1.2804097311139564E-3</v>
      </c>
      <c r="E15" s="3482">
        <v>3.1201248049921998E-3</v>
      </c>
      <c r="F15" s="3483">
        <v>7.9365079365079361E-3</v>
      </c>
      <c r="G15" s="3482">
        <v>4.329004329004329E-3</v>
      </c>
      <c r="H15" s="3483">
        <v>9.2592592592592587E-3</v>
      </c>
      <c r="I15" s="3482">
        <v>2.3668639053254438E-3</v>
      </c>
      <c r="J15" s="3483">
        <v>1.3377926421404682E-2</v>
      </c>
      <c r="K15" s="3482">
        <v>7.829977628635347E-3</v>
      </c>
      <c r="L15" s="3483">
        <v>5.6497175141242938E-3</v>
      </c>
      <c r="M15" s="3482">
        <v>2.2779043280182231E-3</v>
      </c>
      <c r="N15" s="3483">
        <v>1.0101010101010102E-2</v>
      </c>
      <c r="O15" s="3482">
        <v>9.3109869646182501E-3</v>
      </c>
      <c r="P15" s="3483">
        <v>1.1627906976744186E-2</v>
      </c>
      <c r="Q15" s="3482">
        <v>9.6153846153846159E-3</v>
      </c>
      <c r="R15" s="3483">
        <v>1.2433392539964476E-2</v>
      </c>
      <c r="S15" s="3482">
        <v>1.1904761904761904E-2</v>
      </c>
      <c r="T15" s="3483">
        <v>1.6666666666666666E-2</v>
      </c>
      <c r="U15" s="3482">
        <v>5.6925996204933585E-3</v>
      </c>
      <c r="V15" s="3621">
        <v>1.9855595667870037E-2</v>
      </c>
    </row>
    <row r="16" spans="2:22" ht="14.4">
      <c r="B16" s="2911" t="s">
        <v>17</v>
      </c>
      <c r="C16" s="3480">
        <v>0.21875</v>
      </c>
      <c r="D16" s="3481">
        <v>0.19354838709677419</v>
      </c>
      <c r="E16" s="3480">
        <v>0.30434782608695654</v>
      </c>
      <c r="F16" s="3481">
        <v>0.22222222222222221</v>
      </c>
      <c r="G16" s="3480">
        <v>0.21897810218978103</v>
      </c>
      <c r="H16" s="3481">
        <v>0.18115942028985507</v>
      </c>
      <c r="I16" s="3480">
        <v>0.12977099236641221</v>
      </c>
      <c r="J16" s="3481">
        <v>0.37614678899082571</v>
      </c>
      <c r="K16" s="3480">
        <v>0.2265625</v>
      </c>
      <c r="L16" s="3481">
        <v>0.28947368421052633</v>
      </c>
      <c r="M16" s="3480">
        <v>0.18115942028985507</v>
      </c>
      <c r="N16" s="3481">
        <v>0.17037037037037037</v>
      </c>
      <c r="O16" s="3480">
        <v>0.11678832116788321</v>
      </c>
      <c r="P16" s="3481">
        <v>0.20567375886524822</v>
      </c>
      <c r="Q16" s="3480">
        <v>6.0150375939849621E-2</v>
      </c>
      <c r="R16" s="3481">
        <v>0.22302158273381295</v>
      </c>
      <c r="S16" s="3480">
        <v>9.4890510948905105E-2</v>
      </c>
      <c r="T16" s="3481">
        <v>0.31386861313868614</v>
      </c>
      <c r="U16" s="3480">
        <v>0.23846153846153847</v>
      </c>
      <c r="V16" s="3620">
        <v>0.24025974025974026</v>
      </c>
    </row>
    <row r="17" spans="2:22" ht="14.4">
      <c r="B17" s="2911" t="s">
        <v>18</v>
      </c>
      <c r="C17" s="3480">
        <v>5.8823529411764705E-2</v>
      </c>
      <c r="D17" s="3481">
        <v>0.18699186991869918</v>
      </c>
      <c r="E17" s="3480">
        <v>0.12206572769953052</v>
      </c>
      <c r="F17" s="3481">
        <v>0.15422885572139303</v>
      </c>
      <c r="G17" s="3480">
        <v>0.21505376344086022</v>
      </c>
      <c r="H17" s="3481">
        <v>0.25</v>
      </c>
      <c r="I17" s="3480">
        <v>0.16113744075829384</v>
      </c>
      <c r="J17" s="3481">
        <v>0.18716577540106952</v>
      </c>
      <c r="K17" s="3480">
        <v>8.4905660377358486E-2</v>
      </c>
      <c r="L17" s="3481">
        <v>0.11940298507462686</v>
      </c>
      <c r="M17" s="3480">
        <v>5.701754385964912E-2</v>
      </c>
      <c r="N17" s="3481">
        <v>0.14953271028037382</v>
      </c>
      <c r="O17" s="3480">
        <v>5.6872037914691941E-2</v>
      </c>
      <c r="P17" s="3481">
        <v>0.14018691588785046</v>
      </c>
      <c r="Q17" s="3480">
        <v>0.107981220657277</v>
      </c>
      <c r="R17" s="3481">
        <v>0.25</v>
      </c>
      <c r="S17" s="3480">
        <v>0.13333333333333333</v>
      </c>
      <c r="T17" s="3481">
        <v>0.16666666666666666</v>
      </c>
      <c r="U17" s="3480">
        <v>9.9009900990099015E-2</v>
      </c>
      <c r="V17" s="3620">
        <v>0.25396825396825395</v>
      </c>
    </row>
    <row r="18" spans="2:22" ht="14.4">
      <c r="B18" s="2911" t="s">
        <v>19</v>
      </c>
      <c r="C18" s="3480">
        <v>1.4492753623188406E-2</v>
      </c>
      <c r="D18" s="3481">
        <v>0</v>
      </c>
      <c r="E18" s="3480">
        <v>9.9009900990099011E-3</v>
      </c>
      <c r="F18" s="3481">
        <v>2.5000000000000001E-2</v>
      </c>
      <c r="G18" s="3480">
        <v>3.1578947368421054E-2</v>
      </c>
      <c r="H18" s="3481">
        <v>0</v>
      </c>
      <c r="I18" s="3480">
        <v>0</v>
      </c>
      <c r="J18" s="3481">
        <v>5.6179775280898875E-2</v>
      </c>
      <c r="K18" s="3480">
        <v>0</v>
      </c>
      <c r="L18" s="3481">
        <v>1.1764705882352941E-2</v>
      </c>
      <c r="M18" s="3480">
        <v>2.0618556701030927E-2</v>
      </c>
      <c r="N18" s="3481">
        <v>2.8846153846153848E-2</v>
      </c>
      <c r="O18" s="3480">
        <v>1.9607843137254902E-2</v>
      </c>
      <c r="P18" s="3481">
        <v>2.9702970297029702E-2</v>
      </c>
      <c r="Q18" s="3480">
        <v>0</v>
      </c>
      <c r="R18" s="3481">
        <v>1.1363636363636364E-2</v>
      </c>
      <c r="S18" s="3480">
        <v>0</v>
      </c>
      <c r="T18" s="3481">
        <v>2.0833333333333332E-2</v>
      </c>
      <c r="U18" s="3480">
        <v>8.6206896551724137E-3</v>
      </c>
      <c r="V18" s="3620">
        <v>6.0150375939849621E-2</v>
      </c>
    </row>
    <row r="19" spans="2:22" ht="14.4">
      <c r="B19" s="2911" t="s">
        <v>20</v>
      </c>
      <c r="C19" s="3480">
        <v>8.6419753086419748E-2</v>
      </c>
      <c r="D19" s="3481">
        <v>3.9473684210526314E-2</v>
      </c>
      <c r="E19" s="3480">
        <v>0</v>
      </c>
      <c r="F19" s="3481">
        <v>0.05</v>
      </c>
      <c r="G19" s="3480">
        <v>0.04</v>
      </c>
      <c r="H19" s="3481">
        <v>4.7619047619047616E-2</v>
      </c>
      <c r="I19" s="3480">
        <v>1.2048192771084338E-2</v>
      </c>
      <c r="J19" s="3481">
        <v>3.5714285714285712E-2</v>
      </c>
      <c r="K19" s="3480">
        <v>0</v>
      </c>
      <c r="L19" s="3481">
        <v>1.098901098901099E-2</v>
      </c>
      <c r="M19" s="3480">
        <v>2.8301886792452831E-2</v>
      </c>
      <c r="N19" s="3481">
        <v>2.6785714285714284E-2</v>
      </c>
      <c r="O19" s="3480">
        <v>0</v>
      </c>
      <c r="P19" s="3481">
        <v>1.0752688172043012E-2</v>
      </c>
      <c r="Q19" s="3480">
        <v>9.9009900990099011E-3</v>
      </c>
      <c r="R19" s="3481">
        <v>1.1904761904761904E-2</v>
      </c>
      <c r="S19" s="3480">
        <v>0</v>
      </c>
      <c r="T19" s="3481">
        <v>0.10204081632653061</v>
      </c>
      <c r="U19" s="3480">
        <v>4.5977011494252873E-2</v>
      </c>
      <c r="V19" s="3620">
        <v>9.5238095238095247E-3</v>
      </c>
    </row>
    <row r="20" spans="2:22" ht="14.4">
      <c r="B20" s="2912" t="s">
        <v>545</v>
      </c>
      <c r="C20" s="3482">
        <v>0.11041666666666666</v>
      </c>
      <c r="D20" s="3483">
        <v>0.11796246648793565</v>
      </c>
      <c r="E20" s="3482">
        <v>0.12</v>
      </c>
      <c r="F20" s="3483">
        <v>0.13333333333333333</v>
      </c>
      <c r="G20" s="3482">
        <v>0.14864864864864866</v>
      </c>
      <c r="H20" s="3483">
        <v>0.15722120658135283</v>
      </c>
      <c r="I20" s="3482">
        <v>9.9808061420345484E-2</v>
      </c>
      <c r="J20" s="3483">
        <v>0.17910447761194029</v>
      </c>
      <c r="K20" s="3482">
        <v>8.9184060721062622E-2</v>
      </c>
      <c r="L20" s="3483">
        <v>0.12016293279022404</v>
      </c>
      <c r="M20" s="3482">
        <v>7.5571177504393669E-2</v>
      </c>
      <c r="N20" s="3483">
        <v>0.1079646017699115</v>
      </c>
      <c r="O20" s="3482">
        <v>5.4054054054054057E-2</v>
      </c>
      <c r="P20" s="3483">
        <v>0.11475409836065574</v>
      </c>
      <c r="Q20" s="3482">
        <v>5.9701492537313432E-2</v>
      </c>
      <c r="R20" s="3483">
        <v>0.16635514018691588</v>
      </c>
      <c r="S20" s="3482">
        <v>7.7617328519855602E-2</v>
      </c>
      <c r="T20" s="3483">
        <v>0.16637478108581435</v>
      </c>
      <c r="U20" s="3482">
        <v>0.10467289719626169</v>
      </c>
      <c r="V20" s="3621">
        <v>0.17080745341614906</v>
      </c>
    </row>
    <row r="21" spans="2:22" ht="14.4">
      <c r="B21" s="2911" t="s">
        <v>22</v>
      </c>
      <c r="C21" s="3480">
        <v>7.1999999999999995E-2</v>
      </c>
      <c r="D21" s="3481">
        <v>0.11881188118811881</v>
      </c>
      <c r="E21" s="3480">
        <v>8.2644628099173556E-2</v>
      </c>
      <c r="F21" s="3481">
        <v>7.8947368421052627E-2</v>
      </c>
      <c r="G21" s="3480">
        <v>9.5238095238095233E-2</v>
      </c>
      <c r="H21" s="3481">
        <v>0.17525773195876287</v>
      </c>
      <c r="I21" s="3480">
        <v>1.9047619047619049E-2</v>
      </c>
      <c r="J21" s="3481">
        <v>0.11881188118811881</v>
      </c>
      <c r="K21" s="3480">
        <v>3.2967032967032968E-2</v>
      </c>
      <c r="L21" s="3481">
        <v>5.5555555555555552E-2</v>
      </c>
      <c r="M21" s="3480">
        <v>5.7471264367816091E-2</v>
      </c>
      <c r="N21" s="3481">
        <v>3.1914893617021274E-2</v>
      </c>
      <c r="O21" s="3480">
        <v>0</v>
      </c>
      <c r="P21" s="3481">
        <v>0.1111111111111111</v>
      </c>
      <c r="Q21" s="3480">
        <v>2.2727272727272728E-2</v>
      </c>
      <c r="R21" s="3481">
        <v>5.6179775280898875E-2</v>
      </c>
      <c r="S21" s="3480">
        <v>0.12903225806451613</v>
      </c>
      <c r="T21" s="3481">
        <v>0.14473684210526316</v>
      </c>
      <c r="U21" s="3480">
        <v>5.7142857142857141E-2</v>
      </c>
      <c r="V21" s="3620">
        <v>0.10588235294117647</v>
      </c>
    </row>
    <row r="22" spans="2:22" ht="14.4">
      <c r="B22" s="2911" t="s">
        <v>23</v>
      </c>
      <c r="C22" s="3480">
        <v>3.9473684210526314E-2</v>
      </c>
      <c r="D22" s="3481">
        <v>0.25</v>
      </c>
      <c r="E22" s="3480">
        <v>0.1728395061728395</v>
      </c>
      <c r="F22" s="3481">
        <v>0.13953488372093023</v>
      </c>
      <c r="G22" s="3480">
        <v>0.13253012048192772</v>
      </c>
      <c r="H22" s="3481">
        <v>0.36249999999999999</v>
      </c>
      <c r="I22" s="3480">
        <v>0.14457831325301204</v>
      </c>
      <c r="J22" s="3481">
        <v>0.36470588235294116</v>
      </c>
      <c r="K22" s="3480">
        <v>0.17647058823529413</v>
      </c>
      <c r="L22" s="3481">
        <v>0.20430107526881722</v>
      </c>
      <c r="M22" s="3480">
        <v>0.16494845360824742</v>
      </c>
      <c r="N22" s="3481">
        <v>0.25</v>
      </c>
      <c r="O22" s="3480">
        <v>0.15873015873015872</v>
      </c>
      <c r="P22" s="3481">
        <v>0.3135593220338983</v>
      </c>
      <c r="Q22" s="3480">
        <v>9.0909090909090912E-2</v>
      </c>
      <c r="R22" s="3481">
        <v>0.15178571428571427</v>
      </c>
      <c r="S22" s="3480">
        <v>0.19642857142857142</v>
      </c>
      <c r="T22" s="3481">
        <v>0.24812030075187969</v>
      </c>
      <c r="U22" s="3480">
        <v>0.27586206896551724</v>
      </c>
      <c r="V22" s="3620">
        <v>0.32666666666666666</v>
      </c>
    </row>
    <row r="23" spans="2:22" ht="14.4">
      <c r="B23" s="2911" t="s">
        <v>24</v>
      </c>
      <c r="C23" s="3480">
        <v>7.2727272727272724E-2</v>
      </c>
      <c r="D23" s="3481">
        <v>0.17307692307692307</v>
      </c>
      <c r="E23" s="3480">
        <v>5.2631578947368418E-2</v>
      </c>
      <c r="F23" s="3481">
        <v>0</v>
      </c>
      <c r="G23" s="3480">
        <v>0.1038961038961039</v>
      </c>
      <c r="H23" s="3481">
        <v>0.14285714285714285</v>
      </c>
      <c r="I23" s="3480">
        <v>5.7142857142857141E-2</v>
      </c>
      <c r="J23" s="3481">
        <v>0.14864864864864866</v>
      </c>
      <c r="K23" s="3480">
        <v>0.1044776119402985</v>
      </c>
      <c r="L23" s="3481">
        <v>6.4935064935064929E-2</v>
      </c>
      <c r="M23" s="3480">
        <v>0.1111111111111111</v>
      </c>
      <c r="N23" s="3481">
        <v>8.1081081081081086E-2</v>
      </c>
      <c r="O23" s="3480">
        <v>0.10256410256410256</v>
      </c>
      <c r="P23" s="3481">
        <v>0.17948717948717949</v>
      </c>
      <c r="Q23" s="3480">
        <v>5.6338028169014086E-2</v>
      </c>
      <c r="R23" s="3481">
        <v>0.15942028985507245</v>
      </c>
      <c r="S23" s="3480">
        <v>0.13333333333333333</v>
      </c>
      <c r="T23" s="3481">
        <v>0.15555555555555556</v>
      </c>
      <c r="U23" s="3480">
        <v>3.614457831325301E-2</v>
      </c>
      <c r="V23" s="3620">
        <v>0.2</v>
      </c>
    </row>
    <row r="24" spans="2:22" ht="14.4">
      <c r="B24" s="2912" t="s">
        <v>546</v>
      </c>
      <c r="C24" s="3482">
        <v>6.25E-2</v>
      </c>
      <c r="D24" s="3483">
        <v>0.17467248908296942</v>
      </c>
      <c r="E24" s="3482">
        <v>0.10424710424710425</v>
      </c>
      <c r="F24" s="3483">
        <v>8.1395348837209308E-2</v>
      </c>
      <c r="G24" s="3482">
        <v>0.10943396226415095</v>
      </c>
      <c r="H24" s="3483">
        <v>0.22440944881889763</v>
      </c>
      <c r="I24" s="3482">
        <v>6.9767441860465115E-2</v>
      </c>
      <c r="J24" s="3483">
        <v>0.2076923076923077</v>
      </c>
      <c r="K24" s="3482">
        <v>0.1076923076923077</v>
      </c>
      <c r="L24" s="3483">
        <v>0.11153846153846154</v>
      </c>
      <c r="M24" s="3482">
        <v>0.11328125</v>
      </c>
      <c r="N24" s="3483">
        <v>0.12686567164179105</v>
      </c>
      <c r="O24" s="3482">
        <v>9.5890410958904104E-2</v>
      </c>
      <c r="P24" s="3483">
        <v>0.21660649819494585</v>
      </c>
      <c r="Q24" s="3482">
        <v>5.9479553903345722E-2</v>
      </c>
      <c r="R24" s="3483">
        <v>0.12222222222222222</v>
      </c>
      <c r="S24" s="3482">
        <v>0.15714285714285714</v>
      </c>
      <c r="T24" s="3483">
        <v>0.1939799331103679</v>
      </c>
      <c r="U24" s="3482">
        <v>0.1449814126394052</v>
      </c>
      <c r="V24" s="3621">
        <v>0.2323529411764706</v>
      </c>
    </row>
    <row r="25" spans="2:22" ht="14.4">
      <c r="B25" s="2916" t="s">
        <v>106</v>
      </c>
      <c r="C25" s="3484">
        <v>5.4133138258961232E-2</v>
      </c>
      <c r="D25" s="3485">
        <v>6.146059291395517E-2</v>
      </c>
      <c r="E25" s="3484">
        <v>6.6440677966101688E-2</v>
      </c>
      <c r="F25" s="3485">
        <v>5.8858858858858859E-2</v>
      </c>
      <c r="G25" s="3484">
        <v>7.3848238482384823E-2</v>
      </c>
      <c r="H25" s="3485">
        <v>9.6339113680154145E-2</v>
      </c>
      <c r="I25" s="3484">
        <v>4.4334975369458129E-2</v>
      </c>
      <c r="J25" s="3485">
        <v>9.2250922509225092E-2</v>
      </c>
      <c r="K25" s="3484">
        <v>4.878048780487805E-2</v>
      </c>
      <c r="L25" s="3485">
        <v>7.0982839313572549E-2</v>
      </c>
      <c r="M25" s="3484">
        <v>5.7753164556962028E-2</v>
      </c>
      <c r="N25" s="3485">
        <v>7.5301204819277115E-2</v>
      </c>
      <c r="O25" s="3484">
        <v>4.552023121387283E-2</v>
      </c>
      <c r="P25" s="3485">
        <v>9.6125186289120715E-2</v>
      </c>
      <c r="Q25" s="3484">
        <v>4.2588042588042586E-2</v>
      </c>
      <c r="R25" s="3485">
        <v>9.4298245614035089E-2</v>
      </c>
      <c r="S25" s="3484">
        <v>7.7777777777777779E-2</v>
      </c>
      <c r="T25" s="3485">
        <v>0.12403100775193798</v>
      </c>
      <c r="U25" s="5446">
        <v>7.3628850488354616E-2</v>
      </c>
      <c r="V25" s="2385">
        <v>0.13003901170351106</v>
      </c>
    </row>
    <row r="26" spans="2:22" ht="14.4">
      <c r="B26" s="2915" t="s">
        <v>26</v>
      </c>
      <c r="C26" s="3486">
        <v>0</v>
      </c>
      <c r="D26" s="3487">
        <v>2.0408163265306121E-2</v>
      </c>
      <c r="E26" s="3486">
        <v>0</v>
      </c>
      <c r="F26" s="3487">
        <v>3.2786885245901641E-2</v>
      </c>
      <c r="G26" s="3486">
        <v>0</v>
      </c>
      <c r="H26" s="3487">
        <v>0</v>
      </c>
      <c r="I26" s="3486"/>
      <c r="J26" s="3487">
        <v>0</v>
      </c>
      <c r="K26" s="3486">
        <v>0</v>
      </c>
      <c r="L26" s="3487">
        <v>0</v>
      </c>
      <c r="M26" s="3486">
        <v>0</v>
      </c>
      <c r="N26" s="3487">
        <v>9.433962264150943E-3</v>
      </c>
      <c r="O26" s="3486">
        <v>0</v>
      </c>
      <c r="P26" s="3487">
        <v>1.6949152542372881E-2</v>
      </c>
      <c r="Q26" s="3486">
        <v>0</v>
      </c>
      <c r="R26" s="3487">
        <v>1.0526315789473684E-2</v>
      </c>
      <c r="S26" s="3486">
        <v>0</v>
      </c>
      <c r="T26" s="3487">
        <v>2.564102564102564E-2</v>
      </c>
      <c r="U26" s="3486"/>
      <c r="V26" s="3622">
        <v>0</v>
      </c>
    </row>
    <row r="27" spans="2:22" ht="14.4">
      <c r="B27" s="2911" t="s">
        <v>27</v>
      </c>
      <c r="C27" s="3480">
        <v>0</v>
      </c>
      <c r="D27" s="3481">
        <v>0</v>
      </c>
      <c r="E27" s="3480"/>
      <c r="F27" s="3481">
        <v>0</v>
      </c>
      <c r="G27" s="3480"/>
      <c r="H27" s="3481">
        <v>0</v>
      </c>
      <c r="I27" s="3480">
        <v>0</v>
      </c>
      <c r="J27" s="3481">
        <v>6.25E-2</v>
      </c>
      <c r="K27" s="3480"/>
      <c r="L27" s="3481">
        <v>0</v>
      </c>
      <c r="M27" s="3480"/>
      <c r="N27" s="3481">
        <v>0</v>
      </c>
      <c r="O27" s="3480">
        <v>0</v>
      </c>
      <c r="P27" s="3481">
        <v>0</v>
      </c>
      <c r="Q27" s="3480"/>
      <c r="R27" s="3481">
        <v>0</v>
      </c>
      <c r="S27" s="3480"/>
      <c r="T27" s="3481">
        <v>0</v>
      </c>
      <c r="U27" s="3480"/>
      <c r="V27" s="3620">
        <v>0</v>
      </c>
    </row>
    <row r="28" spans="2:22" ht="14.4">
      <c r="B28" s="2911" t="s">
        <v>12</v>
      </c>
      <c r="C28" s="3480">
        <v>0</v>
      </c>
      <c r="D28" s="3481">
        <v>0</v>
      </c>
      <c r="E28" s="3480">
        <v>0</v>
      </c>
      <c r="F28" s="3481">
        <v>3.9215686274509803E-2</v>
      </c>
      <c r="G28" s="3480">
        <v>0</v>
      </c>
      <c r="H28" s="3481">
        <v>0</v>
      </c>
      <c r="I28" s="3480">
        <v>0</v>
      </c>
      <c r="J28" s="3481">
        <v>1.3333333333333334E-2</v>
      </c>
      <c r="K28" s="3480">
        <v>0</v>
      </c>
      <c r="L28" s="3481">
        <v>3.1746031746031744E-2</v>
      </c>
      <c r="M28" s="3480">
        <v>0</v>
      </c>
      <c r="N28" s="3481">
        <v>0</v>
      </c>
      <c r="O28" s="3480">
        <v>0</v>
      </c>
      <c r="P28" s="3481">
        <v>0</v>
      </c>
      <c r="Q28" s="3480">
        <v>0</v>
      </c>
      <c r="R28" s="3481">
        <v>0.02</v>
      </c>
      <c r="S28" s="3480">
        <v>0</v>
      </c>
      <c r="T28" s="3481">
        <v>1.8518518518518517E-2</v>
      </c>
      <c r="U28" s="3480">
        <v>0</v>
      </c>
      <c r="V28" s="3620">
        <v>0.02</v>
      </c>
    </row>
    <row r="29" spans="2:22" ht="14.4">
      <c r="B29" s="2911" t="s">
        <v>28</v>
      </c>
      <c r="C29" s="3480">
        <v>0</v>
      </c>
      <c r="D29" s="3481">
        <v>0</v>
      </c>
      <c r="E29" s="3480">
        <v>0</v>
      </c>
      <c r="F29" s="3481">
        <v>0</v>
      </c>
      <c r="G29" s="3480">
        <v>0</v>
      </c>
      <c r="H29" s="3481">
        <v>2.3809523809523808E-2</v>
      </c>
      <c r="I29" s="3480">
        <v>0</v>
      </c>
      <c r="J29" s="3481">
        <v>1.9607843137254902E-2</v>
      </c>
      <c r="K29" s="3480">
        <v>0</v>
      </c>
      <c r="L29" s="3481">
        <v>2.1739130434782608E-2</v>
      </c>
      <c r="M29" s="3480">
        <v>0</v>
      </c>
      <c r="N29" s="3481">
        <v>0</v>
      </c>
      <c r="O29" s="3480">
        <v>2.8571428571428571E-2</v>
      </c>
      <c r="P29" s="3481">
        <v>0</v>
      </c>
      <c r="Q29" s="3480">
        <v>0</v>
      </c>
      <c r="R29" s="3481">
        <v>0</v>
      </c>
      <c r="S29" s="3480">
        <v>0</v>
      </c>
      <c r="T29" s="3481">
        <v>4.4444444444444446E-2</v>
      </c>
      <c r="U29" s="3480">
        <v>0</v>
      </c>
      <c r="V29" s="3620">
        <v>6.9767441860465115E-2</v>
      </c>
    </row>
    <row r="30" spans="2:22" ht="14.4">
      <c r="B30" s="2911" t="s">
        <v>29</v>
      </c>
      <c r="C30" s="3480">
        <v>6.6666666666666666E-2</v>
      </c>
      <c r="D30" s="3481">
        <v>5.5555555555555552E-2</v>
      </c>
      <c r="E30" s="3480">
        <v>0</v>
      </c>
      <c r="F30" s="3481">
        <v>0</v>
      </c>
      <c r="G30" s="3480">
        <v>0</v>
      </c>
      <c r="H30" s="3481">
        <v>0.10714285714285714</v>
      </c>
      <c r="I30" s="3480">
        <v>0</v>
      </c>
      <c r="J30" s="3481">
        <v>1.7857142857142856E-2</v>
      </c>
      <c r="K30" s="3480">
        <v>0</v>
      </c>
      <c r="L30" s="3481">
        <v>1.3157894736842105E-2</v>
      </c>
      <c r="M30" s="3480">
        <v>1.8181818181818181E-2</v>
      </c>
      <c r="N30" s="3481">
        <v>5.2631578947368418E-2</v>
      </c>
      <c r="O30" s="3480">
        <v>0</v>
      </c>
      <c r="P30" s="3481">
        <v>1.8867924528301886E-2</v>
      </c>
      <c r="Q30" s="3480">
        <v>0</v>
      </c>
      <c r="R30" s="3481">
        <v>5.4545454545454543E-2</v>
      </c>
      <c r="S30" s="3480">
        <v>4.7619047619047616E-2</v>
      </c>
      <c r="T30" s="3481">
        <v>0</v>
      </c>
      <c r="U30" s="3480">
        <v>0</v>
      </c>
      <c r="V30" s="3620">
        <v>3.1578947368421054E-2</v>
      </c>
    </row>
    <row r="31" spans="2:22" ht="14.4">
      <c r="B31" s="2911" t="s">
        <v>13</v>
      </c>
      <c r="C31" s="3480">
        <v>0</v>
      </c>
      <c r="D31" s="3481">
        <v>2.6315789473684209E-2</v>
      </c>
      <c r="E31" s="3480">
        <v>0</v>
      </c>
      <c r="F31" s="3481">
        <v>1.4925373134328358E-2</v>
      </c>
      <c r="G31" s="3480">
        <v>0</v>
      </c>
      <c r="H31" s="3481">
        <v>0</v>
      </c>
      <c r="I31" s="3480">
        <v>0</v>
      </c>
      <c r="J31" s="3481">
        <v>2.247191011235955E-2</v>
      </c>
      <c r="K31" s="3480">
        <v>0</v>
      </c>
      <c r="L31" s="3481">
        <v>1.2048192771084338E-2</v>
      </c>
      <c r="M31" s="3480">
        <v>0</v>
      </c>
      <c r="N31" s="3481">
        <v>0</v>
      </c>
      <c r="O31" s="3480">
        <v>0</v>
      </c>
      <c r="P31" s="3481">
        <v>0</v>
      </c>
      <c r="Q31" s="3480"/>
      <c r="R31" s="3481">
        <v>0</v>
      </c>
      <c r="S31" s="3480"/>
      <c r="T31" s="3481">
        <v>1.6129032258064516E-2</v>
      </c>
      <c r="V31" s="3620">
        <v>0</v>
      </c>
    </row>
    <row r="32" spans="2:22" ht="14.4">
      <c r="B32" s="2911" t="s">
        <v>30</v>
      </c>
      <c r="C32" s="3480">
        <v>0</v>
      </c>
      <c r="D32" s="3481">
        <v>0</v>
      </c>
      <c r="E32" s="3480">
        <v>0</v>
      </c>
      <c r="F32" s="3481">
        <v>0</v>
      </c>
      <c r="G32" s="3480">
        <v>0</v>
      </c>
      <c r="H32" s="3481">
        <v>0</v>
      </c>
      <c r="I32" s="3480">
        <v>0</v>
      </c>
      <c r="J32" s="3481">
        <v>1.5625E-2</v>
      </c>
      <c r="K32" s="3480">
        <v>0</v>
      </c>
      <c r="L32" s="3481">
        <v>2.3255813953488372E-2</v>
      </c>
      <c r="M32" s="3480"/>
      <c r="N32" s="3481">
        <v>0</v>
      </c>
      <c r="O32" s="3480">
        <v>0</v>
      </c>
      <c r="P32" s="3481">
        <v>2.4390243902439025E-2</v>
      </c>
      <c r="Q32" s="3480">
        <v>0</v>
      </c>
      <c r="R32" s="3481">
        <v>1.6129032258064516E-2</v>
      </c>
      <c r="S32" s="3480">
        <v>0</v>
      </c>
      <c r="T32" s="3481">
        <v>0</v>
      </c>
      <c r="U32" s="3480">
        <v>0</v>
      </c>
      <c r="V32" s="3620">
        <v>0</v>
      </c>
    </row>
    <row r="33" spans="2:22" ht="14.4">
      <c r="B33" s="2911" t="s">
        <v>31</v>
      </c>
      <c r="C33" s="3480">
        <v>0.13333333333333333</v>
      </c>
      <c r="D33" s="3481">
        <v>0.16666666666666666</v>
      </c>
      <c r="E33" s="3480">
        <v>0</v>
      </c>
      <c r="F33" s="3481">
        <v>3.125E-2</v>
      </c>
      <c r="G33" s="3480">
        <v>0</v>
      </c>
      <c r="H33" s="3481">
        <v>0</v>
      </c>
      <c r="I33" s="3480">
        <v>0</v>
      </c>
      <c r="J33" s="3481">
        <v>2.7777777777777776E-2</v>
      </c>
      <c r="K33" s="3480">
        <v>0</v>
      </c>
      <c r="L33" s="3481">
        <v>0</v>
      </c>
      <c r="M33" s="3480">
        <v>0.04</v>
      </c>
      <c r="N33" s="3481">
        <v>0</v>
      </c>
      <c r="O33" s="3480">
        <v>0</v>
      </c>
      <c r="P33" s="3481">
        <v>2.1276595744680851E-2</v>
      </c>
      <c r="Q33" s="3480">
        <v>0</v>
      </c>
      <c r="R33" s="3481">
        <v>0</v>
      </c>
      <c r="S33" s="3480">
        <v>0</v>
      </c>
      <c r="T33" s="3481">
        <v>2.1739130434782608E-2</v>
      </c>
      <c r="U33" s="3480">
        <v>0</v>
      </c>
      <c r="V33" s="3620">
        <v>2.6315789473684209E-2</v>
      </c>
    </row>
    <row r="34" spans="2:22" ht="14.4">
      <c r="B34" s="2911" t="s">
        <v>32</v>
      </c>
      <c r="C34" s="3480">
        <v>0</v>
      </c>
      <c r="D34" s="3481">
        <v>0</v>
      </c>
      <c r="E34" s="3480">
        <v>0</v>
      </c>
      <c r="F34" s="3481">
        <v>3.1746031746031744E-2</v>
      </c>
      <c r="G34" s="3480">
        <v>2.3809523809523808E-2</v>
      </c>
      <c r="H34" s="3481">
        <v>0</v>
      </c>
      <c r="I34" s="3480">
        <v>0</v>
      </c>
      <c r="J34" s="3481">
        <v>0</v>
      </c>
      <c r="K34" s="3480"/>
      <c r="L34" s="3481">
        <v>8.0645161290322578E-3</v>
      </c>
      <c r="M34" s="3480"/>
      <c r="N34" s="3481">
        <v>0</v>
      </c>
      <c r="O34" s="3480">
        <v>0</v>
      </c>
      <c r="P34" s="3481">
        <v>8.4033613445378148E-3</v>
      </c>
      <c r="Q34" s="3480"/>
      <c r="R34" s="3481">
        <v>0</v>
      </c>
      <c r="S34" s="3480">
        <v>0</v>
      </c>
      <c r="T34" s="3481">
        <v>0</v>
      </c>
      <c r="U34" s="3480"/>
      <c r="V34" s="3620">
        <v>1.1764705882352941E-2</v>
      </c>
    </row>
    <row r="35" spans="2:22" ht="14.4">
      <c r="B35" s="2911" t="s">
        <v>3860</v>
      </c>
      <c r="C35" s="3480"/>
      <c r="D35" s="3481"/>
      <c r="E35" s="3480"/>
      <c r="F35" s="3481"/>
      <c r="G35" s="3480"/>
      <c r="H35" s="3481"/>
      <c r="I35" s="3480"/>
      <c r="J35" s="3481"/>
      <c r="K35" s="3480"/>
      <c r="L35" s="3481"/>
      <c r="M35" s="3480"/>
      <c r="N35" s="3481"/>
      <c r="O35" s="3480"/>
      <c r="P35" s="3481"/>
      <c r="Q35" s="3480"/>
      <c r="R35" s="3481"/>
      <c r="S35" s="3480"/>
      <c r="T35" s="3481"/>
      <c r="U35" s="3480"/>
      <c r="V35" s="3620">
        <v>0</v>
      </c>
    </row>
    <row r="36" spans="2:22" ht="14.4">
      <c r="B36" s="2912" t="s">
        <v>544</v>
      </c>
      <c r="C36" s="3482">
        <v>1.4999999999999999E-2</v>
      </c>
      <c r="D36" s="3483">
        <v>1.8518518518518517E-2</v>
      </c>
      <c r="E36" s="3482">
        <v>0</v>
      </c>
      <c r="F36" s="3483">
        <v>1.9277108433734941E-2</v>
      </c>
      <c r="G36" s="3482">
        <v>5.4644808743169399E-3</v>
      </c>
      <c r="H36" s="3483">
        <v>1.1494252873563218E-2</v>
      </c>
      <c r="I36" s="3482">
        <v>0</v>
      </c>
      <c r="J36" s="3483">
        <v>1.3445378151260505E-2</v>
      </c>
      <c r="K36" s="3482">
        <v>0</v>
      </c>
      <c r="L36" s="3483">
        <v>1.2173913043478261E-2</v>
      </c>
      <c r="M36" s="3482">
        <v>1.2048192771084338E-2</v>
      </c>
      <c r="N36" s="3483">
        <v>6.6555740432612314E-3</v>
      </c>
      <c r="O36" s="3482">
        <v>9.7087378640776691E-3</v>
      </c>
      <c r="P36" s="3483">
        <v>1.0447761194029851E-2</v>
      </c>
      <c r="Q36" s="3482">
        <v>0</v>
      </c>
      <c r="R36" s="3483">
        <v>1.1560693641618497E-2</v>
      </c>
      <c r="S36" s="3482">
        <v>1.4492753623188406E-2</v>
      </c>
      <c r="T36" s="3483">
        <v>1.415929203539823E-2</v>
      </c>
      <c r="U36" s="3480">
        <v>0</v>
      </c>
      <c r="V36" s="3621">
        <v>1.4754098360655738E-2</v>
      </c>
    </row>
    <row r="37" spans="2:22" ht="14.4">
      <c r="B37" s="2911" t="s">
        <v>17</v>
      </c>
      <c r="C37" s="3480">
        <v>0.12598425196850394</v>
      </c>
      <c r="D37" s="3481">
        <v>6.569343065693431E-2</v>
      </c>
      <c r="E37" s="3480">
        <v>0.12612612612612611</v>
      </c>
      <c r="F37" s="3481">
        <v>0.15702479338842976</v>
      </c>
      <c r="G37" s="3480">
        <v>8.0357142857142863E-2</v>
      </c>
      <c r="H37" s="3481">
        <v>0.28971962616822428</v>
      </c>
      <c r="I37" s="3480">
        <v>0.24489795918367346</v>
      </c>
      <c r="J37" s="3481">
        <v>0.21052631578947367</v>
      </c>
      <c r="K37" s="3480">
        <v>0.2857142857142857</v>
      </c>
      <c r="L37" s="3481">
        <v>0.18103448275862069</v>
      </c>
      <c r="M37" s="3480">
        <v>9.5238095238095233E-2</v>
      </c>
      <c r="N37" s="3481">
        <v>0.29090909090909089</v>
      </c>
      <c r="O37" s="3480">
        <v>0.13636363636363635</v>
      </c>
      <c r="P37" s="3481">
        <v>0.20168067226890757</v>
      </c>
      <c r="Q37" s="3480">
        <v>5.8139534883720929E-2</v>
      </c>
      <c r="R37" s="3481">
        <v>0.21621621621621623</v>
      </c>
      <c r="S37" s="3480">
        <v>7.3529411764705885E-2</v>
      </c>
      <c r="T37" s="3481">
        <v>0.19587628865979381</v>
      </c>
      <c r="U37" s="3480">
        <v>8.4337349397590355E-2</v>
      </c>
      <c r="V37" s="3620">
        <v>0.32539682539682541</v>
      </c>
    </row>
    <row r="38" spans="2:22" ht="14.4">
      <c r="B38" s="2911" t="s">
        <v>33</v>
      </c>
      <c r="C38" s="3480">
        <v>0</v>
      </c>
      <c r="D38" s="3481">
        <v>5.4545454545454543E-2</v>
      </c>
      <c r="E38" s="3480"/>
      <c r="F38" s="3481">
        <v>5.3571428571428568E-2</v>
      </c>
      <c r="G38" s="3480">
        <v>0</v>
      </c>
      <c r="H38" s="3481">
        <v>0</v>
      </c>
      <c r="I38" s="3480">
        <v>0</v>
      </c>
      <c r="J38" s="3481">
        <v>7.3529411764705885E-2</v>
      </c>
      <c r="K38" s="3480">
        <v>0</v>
      </c>
      <c r="L38" s="3481">
        <v>1.8867924528301886E-2</v>
      </c>
      <c r="M38" s="3480"/>
      <c r="N38" s="3481">
        <v>0.14035087719298245</v>
      </c>
      <c r="O38" s="3480">
        <v>0</v>
      </c>
      <c r="P38" s="3481">
        <v>1.6949152542372881E-2</v>
      </c>
      <c r="Q38" s="3480"/>
      <c r="R38" s="3481">
        <v>0.06</v>
      </c>
      <c r="S38" s="3480"/>
      <c r="T38" s="3481">
        <v>5.3571428571428568E-2</v>
      </c>
      <c r="U38" s="3480">
        <v>0</v>
      </c>
      <c r="V38" s="3620">
        <v>0</v>
      </c>
    </row>
    <row r="39" spans="2:22" ht="14.4">
      <c r="B39" s="2911" t="s">
        <v>34</v>
      </c>
      <c r="C39" s="3488"/>
      <c r="D39" s="3481">
        <v>0</v>
      </c>
      <c r="E39" s="3488">
        <v>0</v>
      </c>
      <c r="F39" s="3481">
        <v>3.2786885245901641E-2</v>
      </c>
      <c r="G39" s="3488">
        <v>0</v>
      </c>
      <c r="H39" s="3481">
        <v>0.05</v>
      </c>
      <c r="I39" s="3488"/>
      <c r="J39" s="3481">
        <v>1.6393442622950821E-2</v>
      </c>
      <c r="K39" s="3488">
        <v>0</v>
      </c>
      <c r="L39" s="3481">
        <v>0</v>
      </c>
      <c r="M39" s="3488"/>
      <c r="N39" s="3481">
        <v>0</v>
      </c>
      <c r="O39" s="3488">
        <v>0</v>
      </c>
      <c r="P39" s="3481">
        <v>1.6949152542372881E-2</v>
      </c>
      <c r="Q39" s="3488"/>
      <c r="R39" s="3481">
        <v>5.4545454545454543E-2</v>
      </c>
      <c r="S39" s="3488">
        <v>0</v>
      </c>
      <c r="T39" s="3481">
        <v>0.13114754098360656</v>
      </c>
      <c r="U39" s="3488">
        <v>0</v>
      </c>
      <c r="V39" s="3620">
        <v>3.3333333333333333E-2</v>
      </c>
    </row>
    <row r="40" spans="2:22" ht="14.4">
      <c r="B40" s="2911" t="s">
        <v>35</v>
      </c>
      <c r="C40" s="3480">
        <v>0</v>
      </c>
      <c r="D40" s="3481">
        <v>0.1044776119402985</v>
      </c>
      <c r="E40" s="3480">
        <v>0</v>
      </c>
      <c r="F40" s="3481">
        <v>5.1948051948051951E-2</v>
      </c>
      <c r="G40" s="3480">
        <v>0</v>
      </c>
      <c r="H40" s="3481">
        <v>1.3698630136986301E-2</v>
      </c>
      <c r="I40" s="3480"/>
      <c r="J40" s="3481">
        <v>4.2253521126760563E-2</v>
      </c>
      <c r="K40" s="3480">
        <v>0</v>
      </c>
      <c r="L40" s="3481">
        <v>2.9850746268656716E-2</v>
      </c>
      <c r="M40" s="3480">
        <v>0</v>
      </c>
      <c r="N40" s="3481">
        <v>7.3529411764705885E-2</v>
      </c>
      <c r="O40" s="3480"/>
      <c r="P40" s="3481">
        <v>0</v>
      </c>
      <c r="Q40" s="3480">
        <v>0</v>
      </c>
      <c r="R40" s="3481">
        <v>4.6153846153846156E-2</v>
      </c>
      <c r="S40" s="3480"/>
      <c r="T40" s="3481">
        <v>4.3478260869565216E-2</v>
      </c>
      <c r="U40" s="3480">
        <v>0</v>
      </c>
      <c r="V40" s="3620">
        <v>2.8571428571428571E-2</v>
      </c>
    </row>
    <row r="41" spans="2:22" ht="14.4">
      <c r="B41" s="2911" t="s">
        <v>19</v>
      </c>
      <c r="C41" s="3480">
        <v>0</v>
      </c>
      <c r="D41" s="3481">
        <v>0.10666666666666667</v>
      </c>
      <c r="E41" s="3480">
        <v>0</v>
      </c>
      <c r="F41" s="3481">
        <v>5.8823529411764705E-2</v>
      </c>
      <c r="G41" s="3480">
        <v>0</v>
      </c>
      <c r="H41" s="3481">
        <v>0.10784313725490197</v>
      </c>
      <c r="I41" s="3480">
        <v>0</v>
      </c>
      <c r="J41" s="3481">
        <v>2.8571428571428571E-2</v>
      </c>
      <c r="K41" s="3480">
        <v>0</v>
      </c>
      <c r="L41" s="3481">
        <v>6.0606060606060608E-2</v>
      </c>
      <c r="M41" s="3480">
        <v>0</v>
      </c>
      <c r="N41" s="3481">
        <v>1.8181818181818181E-2</v>
      </c>
      <c r="O41" s="3480">
        <v>0</v>
      </c>
      <c r="P41" s="3481">
        <v>0.11764705882352941</v>
      </c>
      <c r="Q41" s="3480">
        <v>0</v>
      </c>
      <c r="R41" s="3481">
        <v>5.3571428571428568E-2</v>
      </c>
      <c r="S41" s="3480">
        <v>0</v>
      </c>
      <c r="T41" s="3481">
        <v>1.9230769230769232E-2</v>
      </c>
      <c r="U41" s="3480">
        <v>0</v>
      </c>
      <c r="V41" s="3620">
        <v>6.5040650406504072E-2</v>
      </c>
    </row>
    <row r="42" spans="2:22" ht="14.4">
      <c r="B42" s="2911" t="s">
        <v>20</v>
      </c>
      <c r="C42" s="3480">
        <v>0</v>
      </c>
      <c r="D42" s="3481">
        <v>0.10606060606060606</v>
      </c>
      <c r="E42" s="3480">
        <v>0</v>
      </c>
      <c r="F42" s="3481">
        <v>0</v>
      </c>
      <c r="G42" s="3480">
        <v>0</v>
      </c>
      <c r="H42" s="3481">
        <v>1.2345679012345678E-2</v>
      </c>
      <c r="I42" s="3480">
        <v>0</v>
      </c>
      <c r="J42" s="3481">
        <v>2.1052631578947368E-2</v>
      </c>
      <c r="K42" s="3480"/>
      <c r="L42" s="3481">
        <v>3.2258064516129031E-2</v>
      </c>
      <c r="M42" s="3480">
        <v>0</v>
      </c>
      <c r="N42" s="3481">
        <v>3.4883720930232558E-2</v>
      </c>
      <c r="O42" s="3480"/>
      <c r="P42" s="3481">
        <v>6.3157894736842107E-2</v>
      </c>
      <c r="Q42" s="3480">
        <v>0</v>
      </c>
      <c r="R42" s="3481">
        <v>0</v>
      </c>
      <c r="S42" s="3480">
        <v>0</v>
      </c>
      <c r="T42" s="3481">
        <v>3.614457831325301E-2</v>
      </c>
      <c r="U42" s="3480">
        <v>0</v>
      </c>
      <c r="V42" s="3620">
        <v>1.2345679012345678E-2</v>
      </c>
    </row>
    <row r="43" spans="2:22" ht="14.4">
      <c r="B43" s="2911" t="s">
        <v>36</v>
      </c>
      <c r="C43" s="3488"/>
      <c r="D43" s="3481">
        <v>1.6393442622950821E-2</v>
      </c>
      <c r="E43" s="3488">
        <v>0</v>
      </c>
      <c r="F43" s="3481">
        <v>5.7971014492753624E-2</v>
      </c>
      <c r="G43" s="3488">
        <v>0</v>
      </c>
      <c r="H43" s="3481">
        <v>0.05</v>
      </c>
      <c r="I43" s="3488">
        <v>0</v>
      </c>
      <c r="J43" s="3481">
        <v>4.2857142857142858E-2</v>
      </c>
      <c r="K43" s="3488">
        <v>0</v>
      </c>
      <c r="L43" s="3481">
        <v>5.8823529411764705E-2</v>
      </c>
      <c r="M43" s="3488">
        <v>0</v>
      </c>
      <c r="N43" s="3481">
        <v>2.564102564102564E-2</v>
      </c>
      <c r="O43" s="3488">
        <v>0</v>
      </c>
      <c r="P43" s="3481">
        <v>1.3157894736842105E-2</v>
      </c>
      <c r="Q43" s="3488"/>
      <c r="R43" s="3481">
        <v>0.04</v>
      </c>
      <c r="S43" s="3488"/>
      <c r="T43" s="3481">
        <v>1.4084507042253521E-2</v>
      </c>
      <c r="V43" s="3620">
        <v>0</v>
      </c>
    </row>
    <row r="44" spans="2:22" ht="14.4">
      <c r="B44" s="2911" t="s">
        <v>37</v>
      </c>
      <c r="C44" s="3488"/>
      <c r="D44" s="3481">
        <v>7.407407407407407E-2</v>
      </c>
      <c r="E44" s="3488">
        <v>0</v>
      </c>
      <c r="F44" s="3481">
        <v>0.13953488372093023</v>
      </c>
      <c r="G44" s="3488">
        <v>0</v>
      </c>
      <c r="H44" s="3481">
        <v>7.8947368421052627E-2</v>
      </c>
      <c r="I44" s="3488"/>
      <c r="J44" s="3481">
        <v>8.771929824561403E-2</v>
      </c>
      <c r="K44" s="3488"/>
      <c r="L44" s="3481">
        <v>0.06</v>
      </c>
      <c r="M44" s="3488">
        <v>0</v>
      </c>
      <c r="N44" s="3481">
        <v>0.125</v>
      </c>
      <c r="O44" s="3488">
        <v>0</v>
      </c>
      <c r="P44" s="3481">
        <v>2.3255813953488372E-2</v>
      </c>
      <c r="Q44" s="3488">
        <v>0</v>
      </c>
      <c r="R44" s="3481">
        <v>9.6153846153846159E-2</v>
      </c>
      <c r="S44" s="3488">
        <v>0</v>
      </c>
      <c r="T44" s="3481">
        <v>2.5000000000000001E-2</v>
      </c>
      <c r="U44" s="3488">
        <v>0</v>
      </c>
      <c r="V44" s="3620">
        <v>4.1666666666666664E-2</v>
      </c>
    </row>
    <row r="45" spans="2:22" ht="14.4">
      <c r="B45" s="2911" t="s">
        <v>38</v>
      </c>
      <c r="C45" s="3480">
        <v>0</v>
      </c>
      <c r="D45" s="3481">
        <v>6.7226890756302518E-2</v>
      </c>
      <c r="E45" s="3480"/>
      <c r="F45" s="3481">
        <v>3.9215686274509803E-2</v>
      </c>
      <c r="G45" s="3480">
        <v>0</v>
      </c>
      <c r="H45" s="3481">
        <v>0.16304347826086957</v>
      </c>
      <c r="I45" s="3480"/>
      <c r="J45" s="3481">
        <v>0.05</v>
      </c>
      <c r="K45" s="3480">
        <v>0</v>
      </c>
      <c r="L45" s="3481">
        <v>3.2967032967032968E-2</v>
      </c>
      <c r="M45" s="3480">
        <v>0</v>
      </c>
      <c r="N45" s="3481">
        <v>8.0808080808080815E-2</v>
      </c>
      <c r="O45" s="3480">
        <v>0</v>
      </c>
      <c r="P45" s="3481">
        <v>7.0707070707070704E-2</v>
      </c>
      <c r="Q45" s="3480"/>
      <c r="R45" s="3481">
        <v>2.3255813953488372E-2</v>
      </c>
      <c r="S45" s="3480">
        <v>0</v>
      </c>
      <c r="T45" s="3481">
        <v>0.1134020618556701</v>
      </c>
      <c r="U45" s="3488">
        <v>0</v>
      </c>
      <c r="V45" s="3620">
        <v>5.8823529411764705E-2</v>
      </c>
    </row>
    <row r="46" spans="2:22" ht="14.4">
      <c r="B46" s="2911" t="s">
        <v>39</v>
      </c>
      <c r="C46" s="3480">
        <v>0.3188405797101449</v>
      </c>
      <c r="D46" s="3481">
        <v>0.12244897959183673</v>
      </c>
      <c r="E46" s="3480">
        <v>0.33333333333333331</v>
      </c>
      <c r="F46" s="3481">
        <v>0.171875</v>
      </c>
      <c r="G46" s="3480">
        <v>0.15789473684210525</v>
      </c>
      <c r="H46" s="3481">
        <v>0.26446280991735538</v>
      </c>
      <c r="I46" s="3480">
        <v>0.21428571428571427</v>
      </c>
      <c r="J46" s="3481">
        <v>0.18852459016393441</v>
      </c>
      <c r="K46" s="3480">
        <v>5.8823529411764705E-2</v>
      </c>
      <c r="L46" s="3481">
        <v>8.4745762711864403E-2</v>
      </c>
      <c r="M46" s="3480">
        <v>0.05</v>
      </c>
      <c r="N46" s="3481">
        <v>0.30275229357798167</v>
      </c>
      <c r="O46" s="3480">
        <v>0.13461538461538461</v>
      </c>
      <c r="P46" s="3481">
        <v>0.27272727272727271</v>
      </c>
      <c r="Q46" s="3480">
        <v>0.11538461538461539</v>
      </c>
      <c r="R46" s="3481">
        <v>0.19130434782608696</v>
      </c>
      <c r="S46" s="3480">
        <v>0.10344827586206896</v>
      </c>
      <c r="T46" s="3481">
        <v>0.29310344827586204</v>
      </c>
      <c r="U46" s="3480">
        <v>0.17543859649122806</v>
      </c>
      <c r="V46" s="3620">
        <v>0.12195121951219512</v>
      </c>
    </row>
    <row r="47" spans="2:22" ht="14.4">
      <c r="B47" s="2911" t="s">
        <v>40</v>
      </c>
      <c r="C47" s="3488"/>
      <c r="D47" s="3481">
        <v>0</v>
      </c>
      <c r="E47" s="3488">
        <v>0</v>
      </c>
      <c r="F47" s="3481">
        <v>0</v>
      </c>
      <c r="G47" s="3488">
        <v>0</v>
      </c>
      <c r="H47" s="3481">
        <v>0</v>
      </c>
      <c r="I47" s="3488"/>
      <c r="J47" s="3481">
        <v>0</v>
      </c>
      <c r="K47" s="3488">
        <v>0</v>
      </c>
      <c r="L47" s="3481">
        <v>0</v>
      </c>
      <c r="M47" s="3488"/>
      <c r="N47" s="3481">
        <v>0</v>
      </c>
      <c r="O47" s="3488"/>
      <c r="P47" s="3481">
        <v>2.7027027027027029E-2</v>
      </c>
      <c r="Q47" s="3488">
        <v>0</v>
      </c>
      <c r="R47" s="3481">
        <v>0</v>
      </c>
      <c r="S47" s="3488"/>
      <c r="T47" s="3481">
        <v>0</v>
      </c>
      <c r="V47" s="3620">
        <v>2.5000000000000001E-2</v>
      </c>
    </row>
    <row r="48" spans="2:22" ht="14.4">
      <c r="B48" s="2912" t="s">
        <v>545</v>
      </c>
      <c r="C48" s="3482">
        <v>0.18181818181818182</v>
      </c>
      <c r="D48" s="3483">
        <v>7.4468085106382975E-2</v>
      </c>
      <c r="E48" s="3482">
        <v>0.19230769230769232</v>
      </c>
      <c r="F48" s="3483">
        <v>8.0183276059564726E-2</v>
      </c>
      <c r="G48" s="3482">
        <v>9.7826086956521743E-2</v>
      </c>
      <c r="H48" s="3483">
        <v>0.11854460093896714</v>
      </c>
      <c r="I48" s="3482">
        <v>0.22500000000000001</v>
      </c>
      <c r="J48" s="3483">
        <v>8.2681564245810052E-2</v>
      </c>
      <c r="K48" s="3482">
        <v>0.18954248366013071</v>
      </c>
      <c r="L48" s="3483">
        <v>6.1413673232908458E-2</v>
      </c>
      <c r="M48" s="3482">
        <v>7.4712643678160925E-2</v>
      </c>
      <c r="N48" s="3483">
        <v>0.11392405063291139</v>
      </c>
      <c r="O48" s="3482">
        <v>0.12337662337662338</v>
      </c>
      <c r="P48" s="3483">
        <v>9.578107183580388E-2</v>
      </c>
      <c r="Q48" s="3482">
        <v>7.5342465753424653E-2</v>
      </c>
      <c r="R48" s="3483">
        <v>8.4826762246117085E-2</v>
      </c>
      <c r="S48" s="3482">
        <v>7.9136690647482008E-2</v>
      </c>
      <c r="T48" s="3483">
        <v>0.10253317249698432</v>
      </c>
      <c r="U48" s="3482">
        <v>0.11258278145695365</v>
      </c>
      <c r="V48" s="3621">
        <v>8.5620197585071348E-2</v>
      </c>
    </row>
    <row r="49" spans="2:22" ht="14.4">
      <c r="B49" s="2911" t="s">
        <v>42</v>
      </c>
      <c r="C49" s="3480">
        <v>2.0833333333333332E-2</v>
      </c>
      <c r="D49" s="3481">
        <v>9.45945945945946E-2</v>
      </c>
      <c r="E49" s="3480">
        <v>1.5384615384615385E-2</v>
      </c>
      <c r="F49" s="3481">
        <v>0.12</v>
      </c>
      <c r="G49" s="3480">
        <v>1.2048192771084338E-2</v>
      </c>
      <c r="H49" s="3481">
        <v>1.4285714285714285E-2</v>
      </c>
      <c r="I49" s="3480">
        <v>3.0303030303030304E-2</v>
      </c>
      <c r="J49" s="3481">
        <v>5.2631578947368418E-2</v>
      </c>
      <c r="K49" s="3480">
        <v>2.7397260273972601E-2</v>
      </c>
      <c r="L49" s="3481">
        <v>4.0540540540540543E-2</v>
      </c>
      <c r="M49" s="3480">
        <v>0</v>
      </c>
      <c r="N49" s="3481">
        <v>3.0303030303030304E-2</v>
      </c>
      <c r="O49" s="3480">
        <v>0</v>
      </c>
      <c r="P49" s="3481">
        <v>0.1095890410958904</v>
      </c>
      <c r="Q49" s="3480">
        <v>3.5714285714285712E-2</v>
      </c>
      <c r="R49" s="3481">
        <v>3.5714285714285712E-2</v>
      </c>
      <c r="S49" s="3480">
        <v>7.1428571428571425E-2</v>
      </c>
      <c r="T49" s="3481">
        <v>0.13636363636363635</v>
      </c>
      <c r="U49" s="3480">
        <v>1.5151515151515152E-2</v>
      </c>
      <c r="V49" s="3620">
        <v>4.4776119402985072E-2</v>
      </c>
    </row>
    <row r="50" spans="2:22" ht="14.4">
      <c r="B50" s="2911" t="s">
        <v>43</v>
      </c>
      <c r="C50" s="3480">
        <v>3.5714285714285712E-2</v>
      </c>
      <c r="D50" s="3481">
        <v>7.0175438596491224E-2</v>
      </c>
      <c r="E50" s="3480">
        <v>2.4390243902439025E-2</v>
      </c>
      <c r="F50" s="3481">
        <v>5.5555555555555552E-2</v>
      </c>
      <c r="G50" s="3480">
        <v>5.8823529411764705E-2</v>
      </c>
      <c r="H50" s="3481">
        <v>6.25E-2</v>
      </c>
      <c r="I50" s="3480">
        <v>8.1081081081081086E-2</v>
      </c>
      <c r="J50" s="3481">
        <v>2.0408163265306121E-2</v>
      </c>
      <c r="K50" s="3480">
        <v>0</v>
      </c>
      <c r="L50" s="3481">
        <v>1.5873015873015872E-2</v>
      </c>
      <c r="M50" s="3480">
        <v>0</v>
      </c>
      <c r="N50" s="3481">
        <v>6.5573770491803282E-2</v>
      </c>
      <c r="O50" s="3480">
        <v>0</v>
      </c>
      <c r="P50" s="3481">
        <v>5.3571428571428568E-2</v>
      </c>
      <c r="Q50" s="3480">
        <v>0</v>
      </c>
      <c r="R50" s="3481">
        <v>1.7241379310344827E-2</v>
      </c>
      <c r="S50" s="3480">
        <v>0</v>
      </c>
      <c r="T50" s="3481">
        <v>7.2727272727272724E-2</v>
      </c>
      <c r="U50" s="3480">
        <v>0</v>
      </c>
      <c r="V50" s="3620">
        <v>3.1746031746031744E-2</v>
      </c>
    </row>
    <row r="51" spans="2:22" ht="14.4">
      <c r="B51" s="2911" t="s">
        <v>44</v>
      </c>
      <c r="C51" s="3480">
        <v>0</v>
      </c>
      <c r="D51" s="3481">
        <v>0</v>
      </c>
      <c r="E51" s="3480">
        <v>0</v>
      </c>
      <c r="F51" s="3481">
        <v>0.02</v>
      </c>
      <c r="G51" s="3480">
        <v>0</v>
      </c>
      <c r="H51" s="3481">
        <v>2.8571428571428571E-2</v>
      </c>
      <c r="I51" s="3480">
        <v>2.2222222222222223E-2</v>
      </c>
      <c r="J51" s="3481">
        <v>0</v>
      </c>
      <c r="K51" s="3480">
        <v>0</v>
      </c>
      <c r="L51" s="3481">
        <v>0</v>
      </c>
      <c r="M51" s="3480">
        <v>2.1739130434782608E-2</v>
      </c>
      <c r="N51" s="3481">
        <v>0</v>
      </c>
      <c r="O51" s="3480">
        <v>5.128205128205128E-2</v>
      </c>
      <c r="P51" s="3481">
        <v>1.9230769230769232E-2</v>
      </c>
      <c r="Q51" s="3480">
        <v>2.7027027027027029E-2</v>
      </c>
      <c r="R51" s="3481">
        <v>2.3255813953488372E-2</v>
      </c>
      <c r="S51" s="3480">
        <v>0</v>
      </c>
      <c r="T51" s="3481">
        <v>0</v>
      </c>
      <c r="U51" s="3480">
        <v>0</v>
      </c>
      <c r="V51" s="3620">
        <v>0</v>
      </c>
    </row>
    <row r="52" spans="2:22" ht="14.4">
      <c r="B52" s="2911" t="s">
        <v>45</v>
      </c>
      <c r="C52" s="3480">
        <v>0</v>
      </c>
      <c r="D52" s="3481">
        <v>0</v>
      </c>
      <c r="E52" s="3480"/>
      <c r="F52" s="3481">
        <v>7.6923076923076927E-2</v>
      </c>
      <c r="G52" s="3480">
        <v>0</v>
      </c>
      <c r="H52" s="3481">
        <v>9.375E-2</v>
      </c>
      <c r="I52" s="3480">
        <v>0</v>
      </c>
      <c r="J52" s="3481">
        <v>0</v>
      </c>
      <c r="K52" s="3480">
        <v>2.9411764705882353E-2</v>
      </c>
      <c r="L52" s="3481">
        <v>0</v>
      </c>
      <c r="M52" s="3480">
        <v>0</v>
      </c>
      <c r="N52" s="3481">
        <v>4.5454545454545456E-2</v>
      </c>
      <c r="O52" s="3480">
        <v>2.7027027027027029E-2</v>
      </c>
      <c r="P52" s="3481">
        <v>0</v>
      </c>
      <c r="Q52" s="3480">
        <v>0.21212121212121213</v>
      </c>
      <c r="R52" s="3481">
        <v>0.1388888888888889</v>
      </c>
      <c r="S52" s="3480">
        <v>0.11764705882352941</v>
      </c>
      <c r="T52" s="3481">
        <v>0.11764705882352941</v>
      </c>
      <c r="U52" s="3480">
        <v>5.8823529411764705E-2</v>
      </c>
      <c r="V52" s="3620">
        <v>0</v>
      </c>
    </row>
    <row r="53" spans="2:22" ht="14.4">
      <c r="B53" s="2911" t="s">
        <v>46</v>
      </c>
      <c r="C53" s="3480">
        <v>4.3478260869565216E-2</v>
      </c>
      <c r="D53" s="3481">
        <v>7.2289156626506021E-2</v>
      </c>
      <c r="E53" s="3480">
        <v>1.6949152542372881E-2</v>
      </c>
      <c r="F53" s="3481">
        <v>4.3010752688172046E-2</v>
      </c>
      <c r="G53" s="3480">
        <v>1.0309278350515464E-2</v>
      </c>
      <c r="H53" s="3481">
        <v>6.8627450980392163E-2</v>
      </c>
      <c r="I53" s="3480">
        <v>1.3157894736842105E-2</v>
      </c>
      <c r="J53" s="3481">
        <v>6.1224489795918366E-2</v>
      </c>
      <c r="K53" s="3480">
        <v>0</v>
      </c>
      <c r="L53" s="3481">
        <v>1.0752688172043012E-2</v>
      </c>
      <c r="M53" s="3480">
        <v>1.0416666666666666E-2</v>
      </c>
      <c r="N53" s="3481">
        <v>0</v>
      </c>
      <c r="O53" s="3480">
        <v>1.3698630136986301E-2</v>
      </c>
      <c r="P53" s="3481">
        <v>3.2258064516129031E-2</v>
      </c>
      <c r="Q53" s="3480">
        <v>1.4285714285714285E-2</v>
      </c>
      <c r="R53" s="3481">
        <v>3.7499999999999999E-2</v>
      </c>
      <c r="S53" s="3480">
        <v>3.2258064516129031E-2</v>
      </c>
      <c r="T53" s="3481">
        <v>3.8461538461538464E-2</v>
      </c>
      <c r="U53" s="3480">
        <v>0</v>
      </c>
      <c r="V53" s="3620">
        <v>0</v>
      </c>
    </row>
    <row r="54" spans="2:22" ht="14.4">
      <c r="B54" s="2911" t="s">
        <v>47</v>
      </c>
      <c r="C54" s="3480">
        <v>0</v>
      </c>
      <c r="D54" s="3481">
        <v>2.3255813953488372E-2</v>
      </c>
      <c r="E54" s="3480">
        <v>4.2857142857142858E-2</v>
      </c>
      <c r="F54" s="3481">
        <v>2.247191011235955E-2</v>
      </c>
      <c r="G54" s="3480">
        <v>0</v>
      </c>
      <c r="H54" s="3481">
        <v>3.3333333333333333E-2</v>
      </c>
      <c r="I54" s="3480">
        <v>0</v>
      </c>
      <c r="J54" s="3481">
        <v>2.0833333333333332E-2</v>
      </c>
      <c r="K54" s="3480">
        <v>0</v>
      </c>
      <c r="L54" s="3481">
        <v>8.8495575221238937E-3</v>
      </c>
      <c r="M54" s="3480">
        <v>0</v>
      </c>
      <c r="N54" s="3481">
        <v>0</v>
      </c>
      <c r="O54" s="3480">
        <v>1.3513513513513514E-2</v>
      </c>
      <c r="P54" s="3481">
        <v>0</v>
      </c>
      <c r="Q54" s="3480">
        <v>1.5384615384615385E-2</v>
      </c>
      <c r="R54" s="3481">
        <v>1.1904761904761904E-2</v>
      </c>
      <c r="S54" s="3480">
        <v>0</v>
      </c>
      <c r="T54" s="3481">
        <v>0</v>
      </c>
      <c r="U54" s="3480">
        <v>2.3255813953488372E-2</v>
      </c>
      <c r="V54" s="3620">
        <v>0</v>
      </c>
    </row>
    <row r="55" spans="2:22" ht="14.4">
      <c r="B55" s="2912" t="s">
        <v>547</v>
      </c>
      <c r="C55" s="3482">
        <v>2.1052631578947368E-2</v>
      </c>
      <c r="D55" s="3483">
        <v>5.2341597796143252E-2</v>
      </c>
      <c r="E55" s="3482">
        <v>2.5000000000000001E-2</v>
      </c>
      <c r="F55" s="3483">
        <v>5.4263565891472867E-2</v>
      </c>
      <c r="G55" s="3482">
        <v>1.483679525222552E-2</v>
      </c>
      <c r="H55" s="3483">
        <v>4.6116504854368932E-2</v>
      </c>
      <c r="I55" s="3482">
        <v>2.0588235294117647E-2</v>
      </c>
      <c r="J55" s="3483">
        <v>3.1100478468899521E-2</v>
      </c>
      <c r="K55" s="3482">
        <v>7.9575596816976128E-3</v>
      </c>
      <c r="L55" s="3483">
        <v>1.4457831325301205E-2</v>
      </c>
      <c r="M55" s="3482">
        <v>5.263157894736842E-3</v>
      </c>
      <c r="N55" s="3483">
        <v>1.9656019656019656E-2</v>
      </c>
      <c r="O55" s="3482">
        <v>1.3966480446927373E-2</v>
      </c>
      <c r="P55" s="3483">
        <v>3.6764705882352942E-2</v>
      </c>
      <c r="Q55" s="3482">
        <v>3.7854889589905363E-2</v>
      </c>
      <c r="R55" s="3483">
        <v>3.6414565826330535E-2</v>
      </c>
      <c r="S55" s="3482">
        <v>2.9411764705882353E-2</v>
      </c>
      <c r="T55" s="3483">
        <v>5.2631578947368418E-2</v>
      </c>
      <c r="U55" s="3482">
        <v>1.1029411764705883E-2</v>
      </c>
      <c r="V55" s="3621">
        <v>1.3089005235602094E-2</v>
      </c>
    </row>
    <row r="56" spans="2:22" ht="14.4">
      <c r="B56" s="2916" t="s">
        <v>110</v>
      </c>
      <c r="C56" s="3484">
        <v>7.512520868113523E-2</v>
      </c>
      <c r="D56" s="3485">
        <v>5.8823529411764705E-2</v>
      </c>
      <c r="E56" s="3484">
        <v>7.1874999999999994E-2</v>
      </c>
      <c r="F56" s="3485">
        <v>5.91044776119403E-2</v>
      </c>
      <c r="G56" s="3484">
        <v>3.4090909090909088E-2</v>
      </c>
      <c r="H56" s="3485">
        <v>7.6923076923076927E-2</v>
      </c>
      <c r="I56" s="3484">
        <v>7.0032573289902283E-2</v>
      </c>
      <c r="J56" s="3485">
        <v>4.979035639412998E-2</v>
      </c>
      <c r="K56" s="3484">
        <v>4.6309696092619389E-2</v>
      </c>
      <c r="L56" s="3485">
        <v>3.5617916891527254E-2</v>
      </c>
      <c r="M56" s="3484">
        <v>2.361111111111111E-2</v>
      </c>
      <c r="N56" s="3485">
        <v>5.913692061800746E-2</v>
      </c>
      <c r="O56" s="3484">
        <v>3.6211699164345405E-2</v>
      </c>
      <c r="P56" s="3485">
        <v>5.421994884910486E-2</v>
      </c>
      <c r="Q56" s="3484">
        <v>3.7337662337662336E-2</v>
      </c>
      <c r="R56" s="3485">
        <v>5.2539404553415062E-2</v>
      </c>
      <c r="S56" s="3484">
        <v>3.825136612021858E-2</v>
      </c>
      <c r="T56" s="3485">
        <v>6.3940092165898618E-2</v>
      </c>
      <c r="U56" s="5446">
        <v>3.6764705882352942E-2</v>
      </c>
      <c r="V56" s="2385">
        <v>4.8344718864950079E-2</v>
      </c>
    </row>
    <row r="57" spans="2:22" ht="14.4">
      <c r="B57" s="2915" t="s">
        <v>17</v>
      </c>
      <c r="C57" s="3486">
        <v>0.15748031496062992</v>
      </c>
      <c r="D57" s="3487">
        <v>0.12345679012345678</v>
      </c>
      <c r="E57" s="3486">
        <v>0.14285714285714285</v>
      </c>
      <c r="F57" s="3487">
        <v>0.19587628865979381</v>
      </c>
      <c r="G57" s="3486">
        <v>0.13829787234042554</v>
      </c>
      <c r="H57" s="3487">
        <v>0.41025641025641024</v>
      </c>
      <c r="I57" s="3486">
        <v>0.19801980198019803</v>
      </c>
      <c r="J57" s="3487">
        <v>0.20430107526881722</v>
      </c>
      <c r="K57" s="3486">
        <v>0.125</v>
      </c>
      <c r="L57" s="3487">
        <v>0.23595505617977527</v>
      </c>
      <c r="M57" s="3486">
        <v>0.13861386138613863</v>
      </c>
      <c r="N57" s="3487">
        <v>0.23</v>
      </c>
      <c r="O57" s="3486">
        <v>8.1632653061224483E-2</v>
      </c>
      <c r="P57" s="3487">
        <v>0.22857142857142856</v>
      </c>
      <c r="Q57" s="3486">
        <v>0.13461538461538461</v>
      </c>
      <c r="R57" s="3487">
        <v>0.14606741573033707</v>
      </c>
      <c r="S57" s="3486">
        <v>0.21359223300970873</v>
      </c>
      <c r="T57" s="3487">
        <v>0.34831460674157305</v>
      </c>
      <c r="U57" s="3486">
        <v>0.19791666666666666</v>
      </c>
      <c r="V57" s="3622">
        <v>0.28440366972477066</v>
      </c>
    </row>
    <row r="58" spans="2:22" ht="14.4">
      <c r="B58" s="2911" t="s">
        <v>49</v>
      </c>
      <c r="C58" s="3480">
        <v>0.23214285714285715</v>
      </c>
      <c r="D58" s="3481">
        <v>0.60396039603960394</v>
      </c>
      <c r="E58" s="3480">
        <v>0.43925233644859812</v>
      </c>
      <c r="F58" s="3481">
        <v>0.6</v>
      </c>
      <c r="G58" s="3480">
        <v>0.46788990825688076</v>
      </c>
      <c r="H58" s="3481">
        <v>0.60194174757281549</v>
      </c>
      <c r="I58" s="3480">
        <v>0.5714285714285714</v>
      </c>
      <c r="J58" s="3481">
        <v>0.52542372881355937</v>
      </c>
      <c r="K58" s="3480">
        <v>0.23364485981308411</v>
      </c>
      <c r="L58" s="3481">
        <v>0.59139784946236562</v>
      </c>
      <c r="M58" s="3480">
        <v>0.36363636363636365</v>
      </c>
      <c r="N58" s="3481">
        <v>0.56521739130434778</v>
      </c>
      <c r="O58" s="3480">
        <v>0.33333333333333331</v>
      </c>
      <c r="P58" s="3481">
        <v>0.49038461538461536</v>
      </c>
      <c r="Q58" s="3480">
        <v>0.26548672566371684</v>
      </c>
      <c r="R58" s="3481">
        <v>0.49019607843137253</v>
      </c>
      <c r="S58" s="3480">
        <v>0.33944954128440369</v>
      </c>
      <c r="T58" s="3481">
        <v>0.39285714285714285</v>
      </c>
      <c r="U58" s="3480">
        <v>0.20370370370370369</v>
      </c>
      <c r="V58" s="3620">
        <v>0.49166666666666664</v>
      </c>
    </row>
    <row r="59" spans="2:22" ht="14.4">
      <c r="B59" s="2911" t="s">
        <v>19</v>
      </c>
      <c r="C59" s="3480">
        <v>6.5934065934065936E-2</v>
      </c>
      <c r="D59" s="3481">
        <v>9.7222222222222224E-2</v>
      </c>
      <c r="E59" s="3480">
        <v>7.407407407407407E-2</v>
      </c>
      <c r="F59" s="3481">
        <v>0.19101123595505617</v>
      </c>
      <c r="G59" s="3480">
        <v>1.1111111111111112E-2</v>
      </c>
      <c r="H59" s="3481">
        <v>6.7567567567567571E-2</v>
      </c>
      <c r="I59" s="3480">
        <v>4.7619047619047616E-2</v>
      </c>
      <c r="J59" s="3481">
        <v>0.11627906976744186</v>
      </c>
      <c r="K59" s="3480">
        <v>5.6818181818181816E-2</v>
      </c>
      <c r="L59" s="3481">
        <v>7.5949367088607597E-2</v>
      </c>
      <c r="M59" s="3480">
        <v>4.1666666666666664E-2</v>
      </c>
      <c r="N59" s="3481">
        <v>0.16666666666666666</v>
      </c>
      <c r="O59" s="3480">
        <v>2.3529411764705882E-2</v>
      </c>
      <c r="P59" s="3481">
        <v>6.0240963855421686E-2</v>
      </c>
      <c r="Q59" s="3480">
        <v>8.8888888888888892E-2</v>
      </c>
      <c r="R59" s="3481">
        <v>0.18604651162790697</v>
      </c>
      <c r="S59" s="3480">
        <v>0.13414634146341464</v>
      </c>
      <c r="T59" s="3481">
        <v>0.10112359550561797</v>
      </c>
      <c r="U59" s="3480">
        <v>0.10989010989010989</v>
      </c>
      <c r="V59" s="3620">
        <v>0.15094339622641509</v>
      </c>
    </row>
    <row r="60" spans="2:22" ht="14.4">
      <c r="B60" s="2911" t="s">
        <v>50</v>
      </c>
      <c r="C60" s="3480">
        <v>0.41711229946524064</v>
      </c>
      <c r="D60" s="3481">
        <v>0.4785276073619632</v>
      </c>
      <c r="E60" s="3480">
        <v>0.375</v>
      </c>
      <c r="F60" s="3481">
        <v>0.510752688172043</v>
      </c>
      <c r="G60" s="3480">
        <v>0.51530612244897955</v>
      </c>
      <c r="H60" s="3481">
        <v>0.58378378378378382</v>
      </c>
      <c r="I60" s="3480">
        <v>0.52380952380952384</v>
      </c>
      <c r="J60" s="3481">
        <v>0.57837837837837835</v>
      </c>
      <c r="K60" s="3480">
        <v>0.52127659574468088</v>
      </c>
      <c r="L60" s="3481">
        <v>0.5357142857142857</v>
      </c>
      <c r="M60" s="3480">
        <v>0.55494505494505497</v>
      </c>
      <c r="N60" s="3481">
        <v>0.55737704918032782</v>
      </c>
      <c r="O60" s="3480">
        <v>0.39204545454545453</v>
      </c>
      <c r="P60" s="3481">
        <v>0.60588235294117643</v>
      </c>
      <c r="Q60" s="3480">
        <v>0.40828402366863903</v>
      </c>
      <c r="R60" s="3481">
        <v>0.61006289308176098</v>
      </c>
      <c r="S60" s="3480">
        <v>0.45238095238095238</v>
      </c>
      <c r="T60" s="3481">
        <v>0.52631578947368418</v>
      </c>
      <c r="U60" s="3480">
        <v>0.53614457831325302</v>
      </c>
      <c r="V60" s="3620">
        <v>0.51724137931034486</v>
      </c>
    </row>
    <row r="61" spans="2:22" ht="14.4">
      <c r="B61" s="2911" t="s">
        <v>20</v>
      </c>
      <c r="C61" s="3480">
        <v>0.26666666666666666</v>
      </c>
      <c r="D61" s="3481">
        <v>0.30769230769230771</v>
      </c>
      <c r="E61" s="3480">
        <v>0.21839080459770116</v>
      </c>
      <c r="F61" s="3481">
        <v>0.28865979381443296</v>
      </c>
      <c r="G61" s="3480">
        <v>0.32500000000000001</v>
      </c>
      <c r="H61" s="3481">
        <v>0.42499999999999999</v>
      </c>
      <c r="I61" s="3480">
        <v>0.29032258064516131</v>
      </c>
      <c r="J61" s="3481">
        <v>0.3258426966292135</v>
      </c>
      <c r="K61" s="3480">
        <v>0.23529411764705882</v>
      </c>
      <c r="L61" s="3481">
        <v>0.45555555555555555</v>
      </c>
      <c r="M61" s="3480">
        <v>0.29069767441860467</v>
      </c>
      <c r="N61" s="3481">
        <v>0.23255813953488372</v>
      </c>
      <c r="O61" s="3480">
        <v>0.30864197530864196</v>
      </c>
      <c r="P61" s="3481">
        <v>0.23749999999999999</v>
      </c>
      <c r="Q61" s="3480">
        <v>0.2247191011235955</v>
      </c>
      <c r="R61" s="3481">
        <v>0.35365853658536583</v>
      </c>
      <c r="S61" s="3480">
        <v>0.14814814814814814</v>
      </c>
      <c r="T61" s="3481">
        <v>0.32467532467532467</v>
      </c>
      <c r="U61" s="3480">
        <v>0.20253164556962025</v>
      </c>
      <c r="V61" s="3620">
        <v>0.2857142857142857</v>
      </c>
    </row>
    <row r="62" spans="2:22" ht="14.4">
      <c r="B62" s="2911" t="s">
        <v>51</v>
      </c>
      <c r="C62" s="3480">
        <v>0.29729729729729731</v>
      </c>
      <c r="D62" s="3481">
        <v>0.24390243902439024</v>
      </c>
      <c r="E62" s="3480">
        <v>0.22857142857142856</v>
      </c>
      <c r="F62" s="3481">
        <v>0.29411764705882354</v>
      </c>
      <c r="G62" s="3480">
        <v>0.3235294117647059</v>
      </c>
      <c r="H62" s="3481">
        <v>0.40625</v>
      </c>
      <c r="I62" s="3480">
        <v>0.3125</v>
      </c>
      <c r="J62" s="3481">
        <v>0.34375</v>
      </c>
      <c r="K62" s="3480">
        <v>0.27272727272727271</v>
      </c>
      <c r="L62" s="3481">
        <v>0.23333333333333334</v>
      </c>
      <c r="M62" s="3480">
        <v>0.22580645161290322</v>
      </c>
      <c r="N62" s="3481">
        <v>0.29411764705882354</v>
      </c>
      <c r="O62" s="3480">
        <v>0.23529411764705882</v>
      </c>
      <c r="P62" s="3481">
        <v>0.32432432432432434</v>
      </c>
      <c r="Q62" s="3480">
        <v>0.13559322033898305</v>
      </c>
      <c r="R62" s="3481">
        <v>0.34042553191489361</v>
      </c>
      <c r="S62" s="3480">
        <v>0.20967741935483872</v>
      </c>
      <c r="T62" s="3481">
        <v>0.27272727272727271</v>
      </c>
      <c r="U62" s="3480">
        <v>0.11475409836065574</v>
      </c>
      <c r="V62" s="3620">
        <v>0.18571428571428572</v>
      </c>
    </row>
    <row r="63" spans="2:22" ht="14.4">
      <c r="B63" s="2912" t="s">
        <v>545</v>
      </c>
      <c r="C63" s="3482">
        <v>0.25621118012422361</v>
      </c>
      <c r="D63" s="3483">
        <v>0.3533697632058288</v>
      </c>
      <c r="E63" s="3482">
        <v>0.27556325823223571</v>
      </c>
      <c r="F63" s="3483">
        <v>0.38336052202283849</v>
      </c>
      <c r="G63" s="3482">
        <v>0.33665008291873966</v>
      </c>
      <c r="H63" s="3483">
        <v>0.46014492753623187</v>
      </c>
      <c r="I63" s="3482">
        <v>0.36423841059602646</v>
      </c>
      <c r="J63" s="3483">
        <v>0.3946932006633499</v>
      </c>
      <c r="K63" s="3482">
        <v>0.28099173553719009</v>
      </c>
      <c r="L63" s="3483">
        <v>0.40072859744990891</v>
      </c>
      <c r="M63" s="3482">
        <v>0.31518151815181517</v>
      </c>
      <c r="N63" s="3483">
        <v>0.38651315789473684</v>
      </c>
      <c r="O63" s="3482">
        <v>0.25470085470085468</v>
      </c>
      <c r="P63" s="3483">
        <v>0.3696027633851468</v>
      </c>
      <c r="Q63" s="3482">
        <v>0.23878205128205129</v>
      </c>
      <c r="R63" s="3483">
        <v>0.39115044247787611</v>
      </c>
      <c r="S63" s="3482">
        <v>0.28264462809917357</v>
      </c>
      <c r="T63" s="3483">
        <v>0.35540069686411152</v>
      </c>
      <c r="U63" s="3482">
        <v>0.27121464226289516</v>
      </c>
      <c r="V63" s="3621">
        <v>0.35074626865671643</v>
      </c>
    </row>
    <row r="64" spans="2:22" ht="14.4">
      <c r="B64" s="2911" t="s">
        <v>42</v>
      </c>
      <c r="C64" s="3480">
        <v>0.17543859649122806</v>
      </c>
      <c r="D64" s="3481">
        <v>0.33333333333333331</v>
      </c>
      <c r="E64" s="3480">
        <v>0.29213483146067415</v>
      </c>
      <c r="F64" s="3481">
        <v>0.35227272727272729</v>
      </c>
      <c r="G64" s="3480">
        <v>0.36046511627906974</v>
      </c>
      <c r="H64" s="3481">
        <v>0.44705882352941179</v>
      </c>
      <c r="I64" s="3480">
        <v>0.32608695652173914</v>
      </c>
      <c r="J64" s="3481">
        <v>0.42268041237113402</v>
      </c>
      <c r="K64" s="3480">
        <v>0.25806451612903225</v>
      </c>
      <c r="L64" s="3481">
        <v>0.28735632183908044</v>
      </c>
      <c r="M64" s="3480">
        <v>0.32291666666666669</v>
      </c>
      <c r="N64" s="3481">
        <v>0.20212765957446807</v>
      </c>
      <c r="O64" s="3480">
        <v>0.22448979591836735</v>
      </c>
      <c r="P64" s="3481">
        <v>0.29032258064516131</v>
      </c>
      <c r="Q64" s="3480">
        <v>0.33</v>
      </c>
      <c r="R64" s="3481">
        <v>0.39361702127659576</v>
      </c>
      <c r="S64" s="3480">
        <v>0.24731182795698925</v>
      </c>
      <c r="T64" s="3481">
        <v>0.28125</v>
      </c>
      <c r="U64" s="3480">
        <v>0.14563106796116504</v>
      </c>
      <c r="V64" s="3620">
        <v>0.37735849056603776</v>
      </c>
    </row>
    <row r="65" spans="2:22" ht="14.4">
      <c r="B65" s="2911" t="s">
        <v>52</v>
      </c>
      <c r="C65" s="3480">
        <v>0.38028169014084506</v>
      </c>
      <c r="D65" s="3481">
        <v>0.34545454545454546</v>
      </c>
      <c r="E65" s="3480">
        <v>0.48571428571428571</v>
      </c>
      <c r="F65" s="3481">
        <v>0.5</v>
      </c>
      <c r="G65" s="3480">
        <v>0.4</v>
      </c>
      <c r="H65" s="3481">
        <v>0.46153846153846156</v>
      </c>
      <c r="I65" s="3480">
        <v>0.2361111111111111</v>
      </c>
      <c r="J65" s="3481">
        <v>0.53164556962025311</v>
      </c>
      <c r="K65" s="3480">
        <v>0.23376623376623376</v>
      </c>
      <c r="L65" s="3481">
        <v>0.4576271186440678</v>
      </c>
      <c r="M65" s="3480">
        <v>0.33333333333333331</v>
      </c>
      <c r="N65" s="3481">
        <v>0.4838709677419355</v>
      </c>
      <c r="O65" s="3480">
        <v>0.5625</v>
      </c>
      <c r="P65" s="3481">
        <v>0.48148148148148145</v>
      </c>
      <c r="Q65" s="3480">
        <v>0.43103448275862066</v>
      </c>
      <c r="R65" s="3481">
        <v>0.67307692307692313</v>
      </c>
      <c r="S65" s="3480">
        <v>0.23728813559322035</v>
      </c>
      <c r="T65" s="3481">
        <v>0.53333333333333333</v>
      </c>
      <c r="U65" s="3480">
        <v>0.4838709677419355</v>
      </c>
      <c r="V65" s="3620">
        <v>0.53030303030303028</v>
      </c>
    </row>
    <row r="66" spans="2:22" ht="14.4">
      <c r="B66" s="2911" t="s">
        <v>53</v>
      </c>
      <c r="C66" s="3480">
        <v>0.52439024390243905</v>
      </c>
      <c r="D66" s="3481">
        <v>0.52747252747252749</v>
      </c>
      <c r="E66" s="3480">
        <v>0.57692307692307687</v>
      </c>
      <c r="F66" s="3481">
        <v>0.52873563218390807</v>
      </c>
      <c r="G66" s="3480">
        <v>0.53424657534246578</v>
      </c>
      <c r="H66" s="3481">
        <v>0.51807228915662651</v>
      </c>
      <c r="I66" s="3480">
        <v>0.41666666666666669</v>
      </c>
      <c r="J66" s="3481">
        <v>0.46875</v>
      </c>
      <c r="K66" s="3480">
        <v>0.38043478260869568</v>
      </c>
      <c r="L66" s="3481">
        <v>0.33333333333333331</v>
      </c>
      <c r="M66" s="3480">
        <v>0.46913580246913578</v>
      </c>
      <c r="N66" s="3481">
        <v>0.50602409638554213</v>
      </c>
      <c r="O66" s="3480">
        <v>0.33333333333333331</v>
      </c>
      <c r="P66" s="3481">
        <v>0.54430379746835444</v>
      </c>
      <c r="Q66" s="3480">
        <v>0.44791666666666669</v>
      </c>
      <c r="R66" s="3481">
        <v>0.51111111111111107</v>
      </c>
      <c r="S66" s="3480">
        <v>0.26881720430107525</v>
      </c>
      <c r="T66" s="3481">
        <v>0.45333333333333331</v>
      </c>
      <c r="U66" s="3480">
        <v>0.42696629213483145</v>
      </c>
      <c r="V66" s="3620">
        <v>0.35454545454545455</v>
      </c>
    </row>
    <row r="67" spans="2:22" ht="14.4">
      <c r="B67" s="2911" t="s">
        <v>54</v>
      </c>
      <c r="C67" s="3480">
        <v>7.03125E-2</v>
      </c>
      <c r="D67" s="3481">
        <v>0.21495327102803738</v>
      </c>
      <c r="E67" s="3480">
        <v>0.17948717948717949</v>
      </c>
      <c r="F67" s="3481">
        <v>0.40517241379310343</v>
      </c>
      <c r="G67" s="3480">
        <v>0.19658119658119658</v>
      </c>
      <c r="H67" s="3481">
        <v>0.30973451327433627</v>
      </c>
      <c r="I67" s="3480">
        <v>0.11764705882352941</v>
      </c>
      <c r="J67" s="3481">
        <v>0.23214285714285715</v>
      </c>
      <c r="K67" s="3480">
        <v>0.14782608695652175</v>
      </c>
      <c r="L67" s="3481">
        <v>0.2767857142857143</v>
      </c>
      <c r="M67" s="3480">
        <v>9.4827586206896547E-2</v>
      </c>
      <c r="N67" s="3481">
        <v>0.20689655172413793</v>
      </c>
      <c r="O67" s="3480">
        <v>0.13076923076923078</v>
      </c>
      <c r="P67" s="3481">
        <v>0.19672131147540983</v>
      </c>
      <c r="Q67" s="3480">
        <v>0.12</v>
      </c>
      <c r="R67" s="3481">
        <v>0.30882352941176472</v>
      </c>
      <c r="S67" s="3480">
        <v>0.14084507042253522</v>
      </c>
      <c r="T67" s="3481">
        <v>0.34959349593495936</v>
      </c>
      <c r="U67" s="3480">
        <v>0.1111111111111111</v>
      </c>
      <c r="V67" s="3620">
        <v>0.17647058823529413</v>
      </c>
    </row>
    <row r="68" spans="2:22" ht="14.4">
      <c r="B68" s="2911" t="s">
        <v>55</v>
      </c>
      <c r="C68" s="3480">
        <v>8.9655172413793102E-2</v>
      </c>
      <c r="D68" s="3481">
        <v>0.16935483870967741</v>
      </c>
      <c r="E68" s="3480">
        <v>0.15463917525773196</v>
      </c>
      <c r="F68" s="3481">
        <v>0.19626168224299065</v>
      </c>
      <c r="G68" s="3480">
        <v>0.14529914529914531</v>
      </c>
      <c r="H68" s="3481">
        <v>0.1388888888888889</v>
      </c>
      <c r="I68" s="3480">
        <v>0.11304347826086956</v>
      </c>
      <c r="J68" s="3481">
        <v>0.21238938053097345</v>
      </c>
      <c r="K68" s="3480">
        <v>0.1092436974789916</v>
      </c>
      <c r="L68" s="3481">
        <v>0.16822429906542055</v>
      </c>
      <c r="M68" s="3480">
        <v>0.13385826771653545</v>
      </c>
      <c r="N68" s="3481">
        <v>0.2153846153846154</v>
      </c>
      <c r="O68" s="3480">
        <v>0.11023622047244094</v>
      </c>
      <c r="P68" s="3481">
        <v>8.0882352941176475E-2</v>
      </c>
      <c r="Q68" s="3480">
        <v>1.8018018018018018E-2</v>
      </c>
      <c r="R68" s="3481">
        <v>9.1743119266055051E-3</v>
      </c>
      <c r="S68" s="3480">
        <v>1.680672268907563E-2</v>
      </c>
      <c r="T68" s="3481">
        <v>0</v>
      </c>
      <c r="U68" s="3480">
        <v>0.16935483870967741</v>
      </c>
      <c r="V68" s="3620">
        <v>0.22222222222222221</v>
      </c>
    </row>
    <row r="69" spans="2:22" ht="14.4">
      <c r="B69" s="2911" t="s">
        <v>56</v>
      </c>
      <c r="C69" s="3480">
        <v>0.20833333333333334</v>
      </c>
      <c r="D69" s="3481">
        <v>0.15294117647058825</v>
      </c>
      <c r="E69" s="3480">
        <v>0.26582278481012656</v>
      </c>
      <c r="F69" s="3481">
        <v>0.25555555555555554</v>
      </c>
      <c r="G69" s="3480">
        <v>0.14864864864864866</v>
      </c>
      <c r="H69" s="3481">
        <v>0.22222222222222221</v>
      </c>
      <c r="I69" s="3480">
        <v>0.20454545454545456</v>
      </c>
      <c r="J69" s="3481">
        <v>0.20909090909090908</v>
      </c>
      <c r="K69" s="3480">
        <v>0.21276595744680851</v>
      </c>
      <c r="L69" s="3481">
        <v>0.37</v>
      </c>
      <c r="M69" s="3480">
        <v>0.25</v>
      </c>
      <c r="N69" s="3481">
        <v>0.20652173913043478</v>
      </c>
      <c r="O69" s="3480">
        <v>0.2</v>
      </c>
      <c r="P69" s="3481">
        <v>0.2857142857142857</v>
      </c>
      <c r="Q69" s="3480">
        <v>0.34375</v>
      </c>
      <c r="R69" s="3481">
        <v>0.25316455696202533</v>
      </c>
      <c r="S69" s="3480">
        <v>0.33333333333333331</v>
      </c>
      <c r="T69" s="3481">
        <v>0.31428571428571428</v>
      </c>
      <c r="U69" s="3480">
        <v>0.28235294117647058</v>
      </c>
      <c r="V69" s="3620">
        <v>0.20238095238095238</v>
      </c>
    </row>
    <row r="70" spans="2:22" ht="14.4">
      <c r="B70" s="2913" t="s">
        <v>589</v>
      </c>
      <c r="C70" s="3480">
        <v>2.5210084033613446E-2</v>
      </c>
      <c r="D70" s="3481">
        <v>0</v>
      </c>
      <c r="E70" s="3480">
        <v>2.0618556701030927E-2</v>
      </c>
      <c r="F70" s="3481">
        <v>1.4285714285714285E-2</v>
      </c>
      <c r="G70" s="3480">
        <v>1.7391304347826087E-2</v>
      </c>
      <c r="H70" s="3481">
        <v>0</v>
      </c>
      <c r="I70" s="3480">
        <v>1.8867924528301886E-2</v>
      </c>
      <c r="J70" s="3481">
        <v>1.0869565217391304E-2</v>
      </c>
      <c r="K70" s="3480">
        <v>0</v>
      </c>
      <c r="L70" s="3481">
        <v>0</v>
      </c>
      <c r="M70" s="3480">
        <v>0.34020618556701032</v>
      </c>
      <c r="N70" s="3481">
        <v>0.676056338028169</v>
      </c>
      <c r="O70" s="3480">
        <v>0</v>
      </c>
      <c r="P70" s="3481">
        <v>0</v>
      </c>
      <c r="Q70" s="3480">
        <v>0.31707317073170732</v>
      </c>
      <c r="R70" s="3481">
        <v>0.82926829268292679</v>
      </c>
      <c r="S70" s="3480">
        <v>0.23232323232323232</v>
      </c>
      <c r="T70" s="3481">
        <v>0.62352941176470589</v>
      </c>
      <c r="U70" s="3480">
        <v>0.42307692307692307</v>
      </c>
      <c r="V70" s="3620">
        <v>0.53947368421052633</v>
      </c>
    </row>
    <row r="71" spans="2:22" ht="14.4">
      <c r="B71" s="2911" t="s">
        <v>272</v>
      </c>
      <c r="C71" s="3480">
        <v>0.48484848484848486</v>
      </c>
      <c r="D71" s="3481">
        <v>0.46551724137931033</v>
      </c>
      <c r="E71" s="3480">
        <v>0.55555555555555558</v>
      </c>
      <c r="F71" s="3481">
        <v>0.64516129032258063</v>
      </c>
      <c r="G71" s="3480">
        <v>0.45070422535211269</v>
      </c>
      <c r="H71" s="3481">
        <v>0.46478873239436619</v>
      </c>
      <c r="I71" s="3480">
        <v>0.37662337662337664</v>
      </c>
      <c r="J71" s="3481">
        <v>0.43661971830985913</v>
      </c>
      <c r="K71" s="3480">
        <v>0.48</v>
      </c>
      <c r="L71" s="3481">
        <v>0.42372881355932202</v>
      </c>
      <c r="M71" s="3480">
        <v>0.41666666666666669</v>
      </c>
      <c r="N71" s="3481">
        <v>0.47222222222222221</v>
      </c>
      <c r="O71" s="3480">
        <v>0.40243902439024393</v>
      </c>
      <c r="P71" s="3481">
        <v>0.44318181818181818</v>
      </c>
      <c r="Q71" s="3480">
        <v>0.32</v>
      </c>
      <c r="R71" s="3481">
        <v>0.54666666666666663</v>
      </c>
      <c r="S71" s="3480">
        <v>0.34615384615384615</v>
      </c>
      <c r="T71" s="3481">
        <v>0.55714285714285716</v>
      </c>
      <c r="U71" s="3480">
        <v>0.44444444444444442</v>
      </c>
      <c r="V71" s="3620">
        <v>0.46250000000000002</v>
      </c>
    </row>
    <row r="72" spans="2:22" ht="14.4">
      <c r="B72" s="2912" t="s">
        <v>547</v>
      </c>
      <c r="C72" s="3482">
        <v>0.20326223337515684</v>
      </c>
      <c r="D72" s="3483">
        <v>0.25644699140401145</v>
      </c>
      <c r="E72" s="3482">
        <v>0.28840579710144926</v>
      </c>
      <c r="F72" s="3483">
        <v>0.3536231884057971</v>
      </c>
      <c r="G72" s="3482">
        <v>0.25511596180081858</v>
      </c>
      <c r="H72" s="3483">
        <v>0.30027548209366389</v>
      </c>
      <c r="I72" s="3482">
        <v>0.21307189542483659</v>
      </c>
      <c r="J72" s="3483">
        <v>0.30259740259740259</v>
      </c>
      <c r="K72" s="3482">
        <v>0.21059431524547803</v>
      </c>
      <c r="L72" s="3483">
        <v>0.27042253521126758</v>
      </c>
      <c r="M72" s="3482">
        <v>0.2743243243243243</v>
      </c>
      <c r="N72" s="3483">
        <v>0.33888888888888891</v>
      </c>
      <c r="O72" s="3482">
        <v>0.21923076923076923</v>
      </c>
      <c r="P72" s="3483">
        <v>0.26145552560646901</v>
      </c>
      <c r="Q72" s="3482">
        <v>0.26222826086956524</v>
      </c>
      <c r="R72" s="3483">
        <v>0.40446304044630405</v>
      </c>
      <c r="S72" s="3482">
        <v>0.20976253298153033</v>
      </c>
      <c r="T72" s="3483">
        <v>0.35410764872521244</v>
      </c>
      <c r="U72" s="3482">
        <v>0.28097062579821203</v>
      </c>
      <c r="V72" s="3621">
        <v>0.32958801498127338</v>
      </c>
    </row>
    <row r="73" spans="2:22" ht="14.4">
      <c r="B73" s="2911" t="s">
        <v>22</v>
      </c>
      <c r="C73" s="3480">
        <v>0.1118421052631579</v>
      </c>
      <c r="D73" s="3481">
        <v>0.20437956204379562</v>
      </c>
      <c r="E73" s="3480">
        <v>8.6330935251798566E-2</v>
      </c>
      <c r="F73" s="3481">
        <v>0.23225806451612904</v>
      </c>
      <c r="G73" s="3480">
        <v>0.15833333333333333</v>
      </c>
      <c r="H73" s="3481">
        <v>0.23809523809523808</v>
      </c>
      <c r="I73" s="3480">
        <v>0.31746031746031744</v>
      </c>
      <c r="J73" s="3481">
        <v>0.24590163934426229</v>
      </c>
      <c r="K73" s="3480">
        <v>0.2734375</v>
      </c>
      <c r="L73" s="3481">
        <v>0.23008849557522124</v>
      </c>
      <c r="M73" s="3480">
        <v>0.24806201550387597</v>
      </c>
      <c r="N73" s="3481">
        <v>0.22131147540983606</v>
      </c>
      <c r="O73" s="3480">
        <v>0.19696969696969696</v>
      </c>
      <c r="P73" s="3481">
        <v>0.3046875</v>
      </c>
      <c r="Q73" s="3480">
        <v>0.30158730158730157</v>
      </c>
      <c r="R73" s="3481">
        <v>0.27433628318584069</v>
      </c>
      <c r="S73" s="3480">
        <v>0.1953125</v>
      </c>
      <c r="T73" s="3481">
        <v>0.25</v>
      </c>
      <c r="U73" s="3480">
        <v>0.17037037037037037</v>
      </c>
      <c r="V73" s="3620">
        <v>0.25735294117647056</v>
      </c>
    </row>
    <row r="74" spans="2:22" ht="14.4">
      <c r="B74" s="2911" t="s">
        <v>23</v>
      </c>
      <c r="C74" s="3480">
        <v>0.31481481481481483</v>
      </c>
      <c r="D74" s="3481">
        <v>0.22413793103448276</v>
      </c>
      <c r="E74" s="3480">
        <v>0.32258064516129031</v>
      </c>
      <c r="F74" s="3481">
        <v>0.35483870967741937</v>
      </c>
      <c r="G74" s="3480">
        <v>0.34426229508196721</v>
      </c>
      <c r="H74" s="3481">
        <v>0.21311475409836064</v>
      </c>
      <c r="I74" s="3480">
        <v>0.532258064516129</v>
      </c>
      <c r="J74" s="3481">
        <v>0.66101694915254239</v>
      </c>
      <c r="K74" s="3480">
        <v>0.296875</v>
      </c>
      <c r="L74" s="3481">
        <v>0.453125</v>
      </c>
      <c r="M74" s="3480">
        <v>0.36666666666666664</v>
      </c>
      <c r="N74" s="3481">
        <v>0.54054054054054057</v>
      </c>
      <c r="O74" s="3480">
        <v>0.17857142857142858</v>
      </c>
      <c r="P74" s="3481">
        <v>0.56666666666666665</v>
      </c>
      <c r="Q74" s="3480">
        <v>0.4925373134328358</v>
      </c>
      <c r="R74" s="3481">
        <v>0.59259259259259256</v>
      </c>
      <c r="S74" s="3480">
        <v>0.34782608695652173</v>
      </c>
      <c r="T74" s="3481">
        <v>0.37096774193548387</v>
      </c>
      <c r="U74" s="3480">
        <v>0.49152542372881358</v>
      </c>
      <c r="V74" s="3620">
        <v>0.375</v>
      </c>
    </row>
    <row r="75" spans="2:22" ht="14.4">
      <c r="B75" s="2911" t="s">
        <v>24</v>
      </c>
      <c r="C75" s="3480">
        <v>0.14754098360655737</v>
      </c>
      <c r="D75" s="3481">
        <v>0.22413793103448276</v>
      </c>
      <c r="E75" s="3480">
        <v>0.2</v>
      </c>
      <c r="F75" s="3481">
        <v>0.11864406779661017</v>
      </c>
      <c r="G75" s="3480">
        <v>0.18518518518518517</v>
      </c>
      <c r="H75" s="3481">
        <v>0.29508196721311475</v>
      </c>
      <c r="I75" s="3480">
        <v>0.22222222222222221</v>
      </c>
      <c r="J75" s="3481">
        <v>0.25757575757575757</v>
      </c>
      <c r="K75" s="3480">
        <v>0.14705882352941177</v>
      </c>
      <c r="L75" s="3481">
        <v>0.2857142857142857</v>
      </c>
      <c r="M75" s="3480">
        <v>0.12903225806451613</v>
      </c>
      <c r="N75" s="3481">
        <v>0.33870967741935482</v>
      </c>
      <c r="O75" s="3480">
        <v>0.16923076923076924</v>
      </c>
      <c r="P75" s="3481">
        <v>0.25396825396825395</v>
      </c>
      <c r="Q75" s="3480">
        <v>0.39393939393939392</v>
      </c>
      <c r="R75" s="3481">
        <v>0.23636363636363636</v>
      </c>
      <c r="S75" s="3480">
        <v>0.19354838709677419</v>
      </c>
      <c r="T75" s="3481">
        <v>0.26984126984126983</v>
      </c>
      <c r="U75" s="3480">
        <v>0.18181818181818182</v>
      </c>
      <c r="V75" s="3620">
        <v>0.22222222222222221</v>
      </c>
    </row>
    <row r="76" spans="2:22" ht="14.4">
      <c r="B76" s="2911" t="s">
        <v>58</v>
      </c>
      <c r="C76" s="3480">
        <v>0.10714285714285714</v>
      </c>
      <c r="D76" s="3481">
        <v>0.16326530612244897</v>
      </c>
      <c r="E76" s="3480">
        <v>0.1276595744680851</v>
      </c>
      <c r="F76" s="3481">
        <v>0.18867924528301888</v>
      </c>
      <c r="G76" s="3480">
        <v>0.24489795918367346</v>
      </c>
      <c r="H76" s="3481">
        <v>0.42553191489361702</v>
      </c>
      <c r="I76" s="3480">
        <v>0.14285714285714285</v>
      </c>
      <c r="J76" s="3481">
        <v>0.35416666666666669</v>
      </c>
      <c r="K76" s="3480">
        <v>0.3392857142857143</v>
      </c>
      <c r="L76" s="3481">
        <v>0.19607843137254902</v>
      </c>
      <c r="M76" s="3480">
        <v>0.31707317073170732</v>
      </c>
      <c r="N76" s="3481">
        <v>0.33333333333333331</v>
      </c>
      <c r="O76" s="3480">
        <v>0.34042553191489361</v>
      </c>
      <c r="P76" s="3481">
        <v>0.48979591836734693</v>
      </c>
      <c r="Q76" s="3480">
        <v>0.45945945945945948</v>
      </c>
      <c r="R76" s="3481">
        <v>0.38461538461538464</v>
      </c>
      <c r="S76" s="3480">
        <v>0.20833333333333334</v>
      </c>
      <c r="T76" s="3481">
        <v>0.48888888888888887</v>
      </c>
      <c r="U76" s="3480">
        <v>0.30232558139534882</v>
      </c>
      <c r="V76" s="3620">
        <v>0.47272727272727272</v>
      </c>
    </row>
    <row r="77" spans="2:22" ht="14.4">
      <c r="B77" s="2912" t="s">
        <v>546</v>
      </c>
      <c r="C77" s="3482">
        <v>0.15170278637770898</v>
      </c>
      <c r="D77" s="3483">
        <v>0.20529801324503311</v>
      </c>
      <c r="E77" s="3482">
        <v>0.1617161716171617</v>
      </c>
      <c r="F77" s="3483">
        <v>0.22796352583586627</v>
      </c>
      <c r="G77" s="3482">
        <v>0.21830985915492956</v>
      </c>
      <c r="H77" s="3483">
        <v>0.27457627118644068</v>
      </c>
      <c r="I77" s="3482">
        <v>0.31333333333333335</v>
      </c>
      <c r="J77" s="3483">
        <v>0.34915254237288135</v>
      </c>
      <c r="K77" s="3482">
        <v>0.26265822784810128</v>
      </c>
      <c r="L77" s="3483">
        <v>0.28521126760563381</v>
      </c>
      <c r="M77" s="3482">
        <v>0.25684931506849318</v>
      </c>
      <c r="N77" s="3483">
        <v>0.33993399339933994</v>
      </c>
      <c r="O77" s="3482">
        <v>0.21</v>
      </c>
      <c r="P77" s="3483">
        <v>0.37666666666666665</v>
      </c>
      <c r="Q77" s="3482">
        <v>0.38513513513513514</v>
      </c>
      <c r="R77" s="3483">
        <v>0.34865900383141762</v>
      </c>
      <c r="S77" s="3482">
        <v>0.23127035830618892</v>
      </c>
      <c r="T77" s="3483">
        <v>0.31914893617021278</v>
      </c>
      <c r="U77" s="3482">
        <v>0.25412541254125415</v>
      </c>
      <c r="V77" s="3621">
        <v>0.30886850152905199</v>
      </c>
    </row>
    <row r="78" spans="2:22" ht="14.4">
      <c r="B78" s="2916" t="s">
        <v>442</v>
      </c>
      <c r="C78" s="3484">
        <v>0.21315192743764172</v>
      </c>
      <c r="D78" s="3485">
        <v>0.28082633957391867</v>
      </c>
      <c r="E78" s="3484">
        <v>0.25923566878980892</v>
      </c>
      <c r="F78" s="3485">
        <v>0.33946078431372551</v>
      </c>
      <c r="G78" s="3484">
        <v>0.27901234567901234</v>
      </c>
      <c r="H78" s="3485">
        <v>0.35155753337571521</v>
      </c>
      <c r="I78" s="3484">
        <v>0.28579988016776514</v>
      </c>
      <c r="J78" s="3485">
        <v>0.34412470023980818</v>
      </c>
      <c r="K78" s="3484">
        <v>0.24542772861356932</v>
      </c>
      <c r="L78" s="3485">
        <v>0.31950745301360983</v>
      </c>
      <c r="M78" s="3484">
        <v>0.28632478632478631</v>
      </c>
      <c r="N78" s="3485">
        <v>0.35683629675045986</v>
      </c>
      <c r="O78" s="3484">
        <v>0.23003003003003003</v>
      </c>
      <c r="P78" s="3485">
        <v>0.32140653917334977</v>
      </c>
      <c r="Q78" s="3484">
        <v>0.27536231884057971</v>
      </c>
      <c r="R78" s="3485">
        <v>0.39014906027219703</v>
      </c>
      <c r="S78" s="3484">
        <v>0.2401197604790419</v>
      </c>
      <c r="T78" s="3485">
        <v>0.34827144686299616</v>
      </c>
      <c r="U78" s="5446">
        <v>0.2726733847065797</v>
      </c>
      <c r="V78" s="2385">
        <v>0.33370411568409342</v>
      </c>
    </row>
    <row r="79" spans="2:22" ht="14.4">
      <c r="B79" s="2915" t="s">
        <v>17</v>
      </c>
      <c r="C79" s="3489"/>
      <c r="D79" s="3487">
        <v>0.36065573770491804</v>
      </c>
      <c r="E79" s="3489">
        <v>0</v>
      </c>
      <c r="F79" s="3487">
        <v>0.22580645161290322</v>
      </c>
      <c r="G79" s="3489"/>
      <c r="H79" s="3487">
        <v>0</v>
      </c>
      <c r="I79" s="3489"/>
      <c r="J79" s="3487">
        <v>0.27586206896551724</v>
      </c>
      <c r="K79" s="3489"/>
      <c r="L79" s="3487">
        <v>0.25</v>
      </c>
      <c r="M79" s="3489"/>
      <c r="N79" s="3487">
        <v>0.36363636363636365</v>
      </c>
      <c r="O79" s="3489">
        <v>0</v>
      </c>
      <c r="P79" s="3487">
        <v>0.1111111111111111</v>
      </c>
      <c r="Q79" s="3489">
        <v>0.35714285714285715</v>
      </c>
      <c r="R79" s="3487">
        <v>0.41935483870967744</v>
      </c>
      <c r="S79" s="3489">
        <v>0.6428571428571429</v>
      </c>
      <c r="T79" s="3487">
        <v>0.27777777777777779</v>
      </c>
      <c r="U79" s="3489">
        <v>3.2258064516129031E-2</v>
      </c>
      <c r="V79" s="3622">
        <v>0</v>
      </c>
    </row>
    <row r="80" spans="2:22" ht="14.4">
      <c r="B80" s="2915" t="s">
        <v>18</v>
      </c>
      <c r="C80" s="3489"/>
      <c r="D80" s="3487"/>
      <c r="E80" s="3489"/>
      <c r="F80" s="3487"/>
      <c r="G80" s="3489"/>
      <c r="H80" s="3487"/>
      <c r="I80" s="3489"/>
      <c r="J80" s="3487"/>
      <c r="K80" s="3489"/>
      <c r="L80" s="3487"/>
      <c r="M80" s="3489"/>
      <c r="N80" s="3487"/>
      <c r="O80" s="3489"/>
      <c r="P80" s="3487"/>
      <c r="Q80" s="3489"/>
      <c r="R80" s="3487"/>
      <c r="S80" s="3489">
        <v>0</v>
      </c>
      <c r="T80" s="3487">
        <v>0.22857142857142856</v>
      </c>
      <c r="U80" s="3489"/>
      <c r="V80" s="3622">
        <v>0</v>
      </c>
    </row>
    <row r="81" spans="2:22" ht="14.4">
      <c r="B81" s="2911" t="s">
        <v>60</v>
      </c>
      <c r="C81" s="3480"/>
      <c r="D81" s="3481">
        <v>0.41176470588235292</v>
      </c>
      <c r="E81" s="3480"/>
      <c r="F81" s="3481">
        <v>0.57894736842105265</v>
      </c>
      <c r="G81" s="3480"/>
      <c r="H81" s="3481">
        <v>5.8823529411764705E-2</v>
      </c>
      <c r="I81" s="3480"/>
      <c r="J81" s="3481">
        <v>4.7619047619047616E-2</v>
      </c>
      <c r="K81" s="3480"/>
      <c r="L81" s="3481">
        <v>0</v>
      </c>
      <c r="M81" s="3480"/>
      <c r="N81" s="3481">
        <v>0</v>
      </c>
      <c r="O81" s="3480">
        <v>0</v>
      </c>
      <c r="P81" s="3481">
        <v>3.2258064516129031E-2</v>
      </c>
      <c r="Q81" s="3480">
        <v>3.2258064516129031E-2</v>
      </c>
      <c r="R81" s="3481">
        <v>0</v>
      </c>
      <c r="S81" s="3480">
        <v>0</v>
      </c>
      <c r="T81" s="3481">
        <v>0</v>
      </c>
      <c r="U81" s="3480">
        <v>3.4482758620689655E-2</v>
      </c>
      <c r="V81" s="3620">
        <v>0</v>
      </c>
    </row>
    <row r="82" spans="2:22" ht="14.4">
      <c r="B82" s="2911" t="s">
        <v>413</v>
      </c>
      <c r="C82" s="3488"/>
      <c r="D82" s="3481">
        <v>0.04</v>
      </c>
      <c r="E82" s="3488"/>
      <c r="F82" s="3481">
        <v>0</v>
      </c>
      <c r="G82" s="3488"/>
      <c r="H82" s="3481">
        <v>0</v>
      </c>
      <c r="I82" s="3488"/>
      <c r="J82" s="3481">
        <v>0</v>
      </c>
      <c r="K82" s="3488"/>
      <c r="L82" s="3481">
        <v>3.8461538461538464E-2</v>
      </c>
      <c r="M82" s="3488">
        <v>0</v>
      </c>
      <c r="N82" s="3481">
        <v>0</v>
      </c>
      <c r="O82" s="3488"/>
      <c r="P82" s="3481">
        <v>0</v>
      </c>
      <c r="Q82" s="3488">
        <v>0</v>
      </c>
      <c r="R82" s="3481">
        <v>0</v>
      </c>
      <c r="S82" s="3488">
        <v>0</v>
      </c>
      <c r="T82" s="3481">
        <v>7.407407407407407E-2</v>
      </c>
      <c r="U82" s="3488">
        <v>0</v>
      </c>
      <c r="V82" s="3620">
        <v>0</v>
      </c>
    </row>
    <row r="83" spans="2:22" ht="14.4">
      <c r="B83" s="2912" t="s">
        <v>545</v>
      </c>
      <c r="C83" s="3482"/>
      <c r="D83" s="3483">
        <v>0.29126213592233008</v>
      </c>
      <c r="E83" s="3482">
        <v>0</v>
      </c>
      <c r="F83" s="3483">
        <v>0.23364485981308411</v>
      </c>
      <c r="G83" s="3482"/>
      <c r="H83" s="3483">
        <v>1.4084507042253521E-2</v>
      </c>
      <c r="I83" s="3482"/>
      <c r="J83" s="3483">
        <v>0.11538461538461539</v>
      </c>
      <c r="K83" s="3482"/>
      <c r="L83" s="3483">
        <v>0.11688311688311688</v>
      </c>
      <c r="M83" s="3482">
        <v>0</v>
      </c>
      <c r="N83" s="3483">
        <v>0.14814814814814814</v>
      </c>
      <c r="O83" s="3482">
        <v>0</v>
      </c>
      <c r="P83" s="3483">
        <v>5.3191489361702128E-2</v>
      </c>
      <c r="Q83" s="3482">
        <v>0.125</v>
      </c>
      <c r="R83" s="3483">
        <v>0.14285714285714285</v>
      </c>
      <c r="S83" s="3482">
        <v>0.20930232558139536</v>
      </c>
      <c r="T83" s="3483">
        <v>0.15748031496062992</v>
      </c>
      <c r="U83" s="3482">
        <v>2.3529411764705882E-2</v>
      </c>
      <c r="V83" s="3621">
        <v>0</v>
      </c>
    </row>
    <row r="84" spans="2:22" ht="14.4">
      <c r="B84" s="2911" t="s">
        <v>62</v>
      </c>
      <c r="C84" s="3488"/>
      <c r="D84" s="3481">
        <v>3.6363636363636362E-2</v>
      </c>
      <c r="E84" s="3488">
        <v>0</v>
      </c>
      <c r="F84" s="3481">
        <v>7.6923076923076927E-2</v>
      </c>
      <c r="G84" s="3488"/>
      <c r="H84" s="3481">
        <v>0</v>
      </c>
      <c r="I84" s="3488"/>
      <c r="J84" s="3481">
        <v>2.564102564102564E-2</v>
      </c>
      <c r="K84" s="3488"/>
      <c r="L84" s="3481">
        <v>5.8823529411764705E-2</v>
      </c>
      <c r="M84" s="3488">
        <v>0</v>
      </c>
      <c r="N84" s="3481">
        <v>0</v>
      </c>
      <c r="O84" s="3488"/>
      <c r="P84" s="3481">
        <v>2.5000000000000001E-2</v>
      </c>
      <c r="Q84" s="3488">
        <v>0</v>
      </c>
      <c r="R84" s="3481">
        <v>1.8181818181818181E-2</v>
      </c>
      <c r="S84" s="3488"/>
      <c r="T84" s="3481">
        <v>0</v>
      </c>
      <c r="U84" s="3488">
        <v>0</v>
      </c>
      <c r="V84" s="3620">
        <v>0</v>
      </c>
    </row>
    <row r="85" spans="2:22" ht="14.4">
      <c r="B85" s="2911" t="s">
        <v>414</v>
      </c>
      <c r="C85" s="3480">
        <v>0</v>
      </c>
      <c r="D85" s="3481">
        <v>0</v>
      </c>
      <c r="E85" s="3480"/>
      <c r="F85" s="3481">
        <v>0</v>
      </c>
      <c r="G85" s="3480"/>
      <c r="H85" s="3481">
        <v>0</v>
      </c>
      <c r="I85" s="3480"/>
      <c r="J85" s="3481">
        <v>0</v>
      </c>
      <c r="K85" s="3480"/>
      <c r="L85" s="3481">
        <v>0</v>
      </c>
      <c r="M85" s="3480"/>
      <c r="N85" s="3481">
        <v>0</v>
      </c>
      <c r="O85" s="3480"/>
      <c r="P85" s="3481">
        <v>0</v>
      </c>
      <c r="Q85" s="3480"/>
      <c r="R85" s="3481">
        <v>6.8965517241379309E-2</v>
      </c>
      <c r="S85" s="3480">
        <v>0</v>
      </c>
      <c r="T85" s="3481">
        <v>0</v>
      </c>
      <c r="V85" s="3620">
        <v>0</v>
      </c>
    </row>
    <row r="86" spans="2:22" ht="14.4">
      <c r="B86" s="2911" t="s">
        <v>63</v>
      </c>
      <c r="C86" s="3488"/>
      <c r="D86" s="3481">
        <v>0</v>
      </c>
      <c r="E86" s="3488"/>
      <c r="F86" s="3481">
        <v>0.20408163265306123</v>
      </c>
      <c r="G86" s="3488">
        <v>0</v>
      </c>
      <c r="H86" s="3481">
        <v>0</v>
      </c>
      <c r="I86" s="3488"/>
      <c r="J86" s="3481">
        <v>0.21276595744680851</v>
      </c>
      <c r="K86" s="3488"/>
      <c r="L86" s="3481">
        <v>5.6603773584905662E-2</v>
      </c>
      <c r="M86" s="3488"/>
      <c r="N86" s="3481">
        <v>0.125</v>
      </c>
      <c r="O86" s="3488"/>
      <c r="P86" s="3481">
        <v>0.13953488372093023</v>
      </c>
      <c r="Q86" s="3488">
        <v>0</v>
      </c>
      <c r="R86" s="3481">
        <v>0.22807017543859648</v>
      </c>
      <c r="S86" s="3488">
        <v>0</v>
      </c>
      <c r="T86" s="3481">
        <v>0.26250000000000001</v>
      </c>
      <c r="U86" s="3480">
        <v>0</v>
      </c>
      <c r="V86" s="3620">
        <v>0.21686746987951808</v>
      </c>
    </row>
    <row r="87" spans="2:22" ht="14.4">
      <c r="B87" s="2912" t="s">
        <v>548</v>
      </c>
      <c r="C87" s="3482">
        <v>0</v>
      </c>
      <c r="D87" s="3483">
        <v>1.5873015873015872E-2</v>
      </c>
      <c r="E87" s="3482">
        <v>0</v>
      </c>
      <c r="F87" s="3483">
        <v>0.11666666666666667</v>
      </c>
      <c r="G87" s="3482">
        <v>0</v>
      </c>
      <c r="H87" s="3483">
        <v>0</v>
      </c>
      <c r="I87" s="3482"/>
      <c r="J87" s="3483">
        <v>9.3220338983050849E-2</v>
      </c>
      <c r="K87" s="3482"/>
      <c r="L87" s="3483">
        <v>4.0983606557377046E-2</v>
      </c>
      <c r="M87" s="3482">
        <v>0</v>
      </c>
      <c r="N87" s="3483">
        <v>4.8387096774193547E-2</v>
      </c>
      <c r="O87" s="3482"/>
      <c r="P87" s="3483">
        <v>6.0344827586206899E-2</v>
      </c>
      <c r="Q87" s="3482">
        <v>0</v>
      </c>
      <c r="R87" s="3483">
        <v>0.11347517730496454</v>
      </c>
      <c r="S87" s="3482">
        <v>0</v>
      </c>
      <c r="T87" s="3483">
        <v>0.11602209944751381</v>
      </c>
      <c r="U87" s="5452">
        <v>0</v>
      </c>
      <c r="V87" s="3621">
        <v>8.2568807339449546E-2</v>
      </c>
    </row>
    <row r="88" spans="2:22" ht="14.4">
      <c r="B88" s="2911" t="s">
        <v>14</v>
      </c>
      <c r="C88" s="3488"/>
      <c r="D88" s="3481">
        <v>0.1891891891891892</v>
      </c>
      <c r="E88" s="3488"/>
      <c r="F88" s="3481">
        <v>6.5217391304347824E-2</v>
      </c>
      <c r="G88" s="3488"/>
      <c r="H88" s="3481">
        <v>3.7037037037037035E-2</v>
      </c>
      <c r="I88" s="3488">
        <v>0</v>
      </c>
      <c r="J88" s="3481">
        <v>0</v>
      </c>
      <c r="K88" s="3488"/>
      <c r="L88" s="3481">
        <v>7.6923076923076927E-2</v>
      </c>
      <c r="M88" s="3488"/>
      <c r="N88" s="3481">
        <v>6.0606060606060608E-2</v>
      </c>
      <c r="O88" s="3488"/>
      <c r="P88" s="3481">
        <v>0</v>
      </c>
      <c r="Q88" s="3488"/>
      <c r="R88" s="3481">
        <v>6.4516129032258063E-2</v>
      </c>
      <c r="S88" s="3488"/>
      <c r="T88" s="3481">
        <v>2.0833333333333332E-2</v>
      </c>
      <c r="U88" s="3488"/>
      <c r="V88" s="3620">
        <v>0</v>
      </c>
    </row>
    <row r="89" spans="2:22" ht="14.4">
      <c r="B89" s="2911" t="s">
        <v>65</v>
      </c>
      <c r="C89" s="3480">
        <v>0</v>
      </c>
      <c r="D89" s="3481">
        <v>0</v>
      </c>
      <c r="E89" s="3480"/>
      <c r="F89" s="3481">
        <v>3.8461538461538464E-2</v>
      </c>
      <c r="G89" s="3480"/>
      <c r="H89" s="3481">
        <v>0</v>
      </c>
      <c r="I89" s="3480"/>
      <c r="J89" s="3481">
        <v>0</v>
      </c>
      <c r="K89" s="3480"/>
      <c r="L89" s="3481">
        <v>0</v>
      </c>
      <c r="M89" s="3480"/>
      <c r="N89" s="3481">
        <v>0</v>
      </c>
      <c r="O89" s="3480"/>
      <c r="P89" s="3481">
        <v>4.3478260869565216E-2</v>
      </c>
      <c r="Q89" s="3480"/>
      <c r="R89" s="3481">
        <v>0</v>
      </c>
      <c r="S89" s="3480"/>
      <c r="T89" s="3481">
        <v>0</v>
      </c>
      <c r="U89" s="3480">
        <v>0</v>
      </c>
      <c r="V89" s="3620">
        <v>0</v>
      </c>
    </row>
    <row r="90" spans="2:22" ht="14.4">
      <c r="B90" s="2911" t="s">
        <v>415</v>
      </c>
      <c r="C90" s="3488"/>
      <c r="D90" s="3481">
        <v>0</v>
      </c>
      <c r="E90" s="3488"/>
      <c r="F90" s="3481">
        <v>0</v>
      </c>
      <c r="G90" s="3488"/>
      <c r="H90" s="3481">
        <v>4.3478260869565216E-2</v>
      </c>
      <c r="I90" s="3488"/>
      <c r="J90" s="3481">
        <v>0</v>
      </c>
      <c r="K90" s="3488"/>
      <c r="L90" s="3481">
        <v>7.6923076923076927E-2</v>
      </c>
      <c r="M90" s="3488"/>
      <c r="N90" s="3481">
        <v>0</v>
      </c>
      <c r="O90" s="3488">
        <v>0</v>
      </c>
      <c r="P90" s="3481">
        <v>0</v>
      </c>
      <c r="Q90" s="3488"/>
      <c r="R90" s="3481">
        <v>6.1224489795918366E-2</v>
      </c>
      <c r="S90" s="3488"/>
      <c r="T90" s="3481">
        <v>2.1276595744680851E-2</v>
      </c>
      <c r="V90" s="3620">
        <v>1.7543859649122806E-2</v>
      </c>
    </row>
    <row r="91" spans="2:22" ht="14.4">
      <c r="B91" s="2913" t="s">
        <v>81</v>
      </c>
      <c r="C91" s="3480"/>
      <c r="D91" s="3481"/>
      <c r="E91" s="3480">
        <v>0</v>
      </c>
      <c r="F91" s="3481"/>
      <c r="G91" s="3480"/>
      <c r="H91" s="3481"/>
      <c r="I91" s="3480">
        <v>0</v>
      </c>
      <c r="J91" s="3481">
        <v>0</v>
      </c>
      <c r="K91" s="3480"/>
      <c r="L91" s="3481">
        <v>2.8571428571428571E-2</v>
      </c>
      <c r="M91" s="3480">
        <v>0</v>
      </c>
      <c r="N91" s="3481">
        <v>7.6923076923076927E-2</v>
      </c>
      <c r="O91" s="3480">
        <v>0</v>
      </c>
      <c r="P91" s="3481">
        <v>9.3023255813953487E-2</v>
      </c>
      <c r="Q91" s="3480">
        <v>0</v>
      </c>
      <c r="R91" s="3481">
        <v>3.3898305084745763E-2</v>
      </c>
      <c r="S91" s="3480">
        <v>0</v>
      </c>
      <c r="T91" s="3481">
        <v>1.7543859649122806E-2</v>
      </c>
      <c r="U91" s="3488">
        <v>0</v>
      </c>
      <c r="V91" s="3620">
        <v>1.6949152542372881E-2</v>
      </c>
    </row>
    <row r="92" spans="2:22" ht="14.4">
      <c r="B92" s="2912" t="s">
        <v>549</v>
      </c>
      <c r="C92" s="3482">
        <v>0</v>
      </c>
      <c r="D92" s="3483">
        <v>0.12727272727272726</v>
      </c>
      <c r="E92" s="3482">
        <v>0</v>
      </c>
      <c r="F92" s="3483">
        <v>4.3956043956043959E-2</v>
      </c>
      <c r="G92" s="3482"/>
      <c r="H92" s="3483">
        <v>2.9411764705882353E-2</v>
      </c>
      <c r="I92" s="3482">
        <v>0</v>
      </c>
      <c r="J92" s="3483">
        <v>0</v>
      </c>
      <c r="K92" s="3482"/>
      <c r="L92" s="3483">
        <v>4.0816326530612242E-2</v>
      </c>
      <c r="M92" s="3482">
        <v>0</v>
      </c>
      <c r="N92" s="3483">
        <v>5.0847457627118647E-2</v>
      </c>
      <c r="O92" s="3482">
        <v>0</v>
      </c>
      <c r="P92" s="3483">
        <v>4.0322580645161289E-2</v>
      </c>
      <c r="Q92" s="3482">
        <v>0</v>
      </c>
      <c r="R92" s="3483">
        <v>4.6153846153846156E-2</v>
      </c>
      <c r="S92" s="3482">
        <v>0</v>
      </c>
      <c r="T92" s="3483">
        <v>1.7142857142857144E-2</v>
      </c>
      <c r="U92" s="3480">
        <v>0</v>
      </c>
      <c r="V92" s="3621">
        <v>9.8039215686274508E-3</v>
      </c>
    </row>
    <row r="93" spans="2:22" ht="14.4">
      <c r="B93" s="2916" t="s">
        <v>260</v>
      </c>
      <c r="C93" s="3484">
        <v>0</v>
      </c>
      <c r="D93" s="3485">
        <v>0.13732394366197184</v>
      </c>
      <c r="E93" s="3484">
        <v>0</v>
      </c>
      <c r="F93" s="3485">
        <v>0.13522012578616352</v>
      </c>
      <c r="G93" s="3484">
        <v>0</v>
      </c>
      <c r="H93" s="3485">
        <v>1.3043478260869565E-2</v>
      </c>
      <c r="I93" s="3484">
        <v>0</v>
      </c>
      <c r="J93" s="3485">
        <v>7.0175438596491224E-2</v>
      </c>
      <c r="K93" s="3484"/>
      <c r="L93" s="3485">
        <v>6.0606060606060608E-2</v>
      </c>
      <c r="M93" s="3484">
        <v>0</v>
      </c>
      <c r="N93" s="3485">
        <v>7.4303405572755415E-2</v>
      </c>
      <c r="O93" s="3484">
        <v>0</v>
      </c>
      <c r="P93" s="3485">
        <v>5.089820359281437E-2</v>
      </c>
      <c r="Q93" s="3484">
        <v>0.11827956989247312</v>
      </c>
      <c r="R93" s="3485">
        <v>8.899297423887588E-2</v>
      </c>
      <c r="S93" s="3484">
        <v>0.19780219780219779</v>
      </c>
      <c r="T93" s="3485">
        <v>9.1097308488612833E-2</v>
      </c>
      <c r="U93" s="3485">
        <v>2.1739130434782608E-2</v>
      </c>
      <c r="V93" s="2385">
        <v>3.6832412523020261E-2</v>
      </c>
    </row>
    <row r="94" spans="2:22" ht="14.4">
      <c r="B94" s="2915" t="s">
        <v>1633</v>
      </c>
      <c r="C94" s="3490"/>
      <c r="D94" s="3491"/>
      <c r="E94" s="3490"/>
      <c r="F94" s="3491"/>
      <c r="G94" s="3490"/>
      <c r="H94" s="3491"/>
      <c r="I94" s="3490"/>
      <c r="J94" s="3491"/>
      <c r="K94" s="3615">
        <v>0.42105263157894735</v>
      </c>
      <c r="L94" s="3616">
        <v>0.32</v>
      </c>
      <c r="M94" s="3615"/>
      <c r="N94" s="3616">
        <v>0.04</v>
      </c>
      <c r="O94" s="3615">
        <v>0.1</v>
      </c>
      <c r="P94" s="3616">
        <v>0.15</v>
      </c>
      <c r="Q94" s="3615">
        <v>0</v>
      </c>
      <c r="R94" s="3616">
        <v>0</v>
      </c>
      <c r="S94" s="3615">
        <v>4.7619047619047616E-2</v>
      </c>
      <c r="T94" s="3616">
        <v>0</v>
      </c>
      <c r="U94" s="5447">
        <v>0</v>
      </c>
      <c r="V94" s="3623">
        <v>9.6774193548387094E-2</v>
      </c>
    </row>
    <row r="95" spans="2:22" ht="14.4">
      <c r="B95" s="2912" t="s">
        <v>544</v>
      </c>
      <c r="C95" s="3492"/>
      <c r="D95" s="3483"/>
      <c r="E95" s="3492"/>
      <c r="F95" s="3483"/>
      <c r="G95" s="3492"/>
      <c r="H95" s="3483"/>
      <c r="I95" s="3492"/>
      <c r="J95" s="3483"/>
      <c r="K95" s="3492">
        <v>0.42105263157894735</v>
      </c>
      <c r="L95" s="3483">
        <v>0.32</v>
      </c>
      <c r="M95" s="3492"/>
      <c r="N95" s="3483">
        <v>0.04</v>
      </c>
      <c r="O95" s="3492">
        <v>0.1</v>
      </c>
      <c r="P95" s="3483">
        <v>0.15</v>
      </c>
      <c r="Q95" s="3492">
        <v>0</v>
      </c>
      <c r="R95" s="3483">
        <v>0</v>
      </c>
      <c r="S95" s="3492">
        <v>4.7619047619047616E-2</v>
      </c>
      <c r="T95" s="3483">
        <v>0</v>
      </c>
      <c r="U95" s="3482">
        <v>0</v>
      </c>
      <c r="V95" s="3621">
        <v>9.6774193548387094E-2</v>
      </c>
    </row>
    <row r="96" spans="2:22" ht="14.4">
      <c r="B96" s="2911" t="s">
        <v>791</v>
      </c>
      <c r="C96" s="3492"/>
      <c r="D96" s="3483"/>
      <c r="E96" s="3492"/>
      <c r="F96" s="3483"/>
      <c r="G96" s="3492"/>
      <c r="H96" s="3483"/>
      <c r="I96" s="3492"/>
      <c r="J96" s="3483"/>
      <c r="K96" s="3617">
        <v>0.45454545454545453</v>
      </c>
      <c r="L96" s="3618">
        <v>0.53846153846153844</v>
      </c>
      <c r="M96" s="3617"/>
      <c r="N96" s="3618">
        <v>0.1</v>
      </c>
      <c r="O96" s="3617">
        <v>0.15789473684210525</v>
      </c>
      <c r="P96" s="3618">
        <v>0.48</v>
      </c>
      <c r="Q96" s="3617"/>
      <c r="R96" s="3618">
        <v>0.30769230769230771</v>
      </c>
      <c r="S96" s="3617"/>
      <c r="T96" s="3618">
        <v>7.6923076923076927E-2</v>
      </c>
      <c r="U96" s="5448">
        <v>0.12</v>
      </c>
      <c r="V96" s="3624">
        <v>0.25925925925925924</v>
      </c>
    </row>
    <row r="97" spans="2:22" ht="14.4">
      <c r="B97" s="2911" t="s">
        <v>551</v>
      </c>
      <c r="C97" s="3492"/>
      <c r="D97" s="3483"/>
      <c r="E97" s="3492"/>
      <c r="F97" s="3483"/>
      <c r="G97" s="3492"/>
      <c r="H97" s="3483"/>
      <c r="I97" s="3492"/>
      <c r="J97" s="3483"/>
      <c r="K97" s="3617"/>
      <c r="L97" s="3618"/>
      <c r="M97" s="3617"/>
      <c r="N97" s="3618"/>
      <c r="O97" s="3617">
        <v>0</v>
      </c>
      <c r="P97" s="3618">
        <v>0</v>
      </c>
      <c r="Q97" s="3617"/>
      <c r="R97" s="3618">
        <v>0.125</v>
      </c>
      <c r="S97" s="3617"/>
      <c r="T97" s="3618">
        <v>0.53846153846153844</v>
      </c>
      <c r="U97" s="5448">
        <v>0</v>
      </c>
      <c r="V97" s="3624">
        <v>0.63157894736842102</v>
      </c>
    </row>
    <row r="98" spans="2:22" ht="14.4">
      <c r="B98" s="2912" t="s">
        <v>545</v>
      </c>
      <c r="C98" s="3492"/>
      <c r="D98" s="3483"/>
      <c r="E98" s="3492"/>
      <c r="F98" s="3483"/>
      <c r="G98" s="3492"/>
      <c r="H98" s="3483"/>
      <c r="I98" s="3492"/>
      <c r="J98" s="3483"/>
      <c r="K98" s="3492">
        <v>0.45454545454545453</v>
      </c>
      <c r="L98" s="3483">
        <v>0.53846153846153844</v>
      </c>
      <c r="M98" s="3492"/>
      <c r="N98" s="3483">
        <v>0.1</v>
      </c>
      <c r="O98" s="3492">
        <v>0.15</v>
      </c>
      <c r="P98" s="3483">
        <v>0.30769230769230771</v>
      </c>
      <c r="Q98" s="3492"/>
      <c r="R98" s="3483">
        <v>0.23809523809523808</v>
      </c>
      <c r="S98" s="3492"/>
      <c r="T98" s="3483">
        <v>0.23076923076923078</v>
      </c>
      <c r="U98" s="3482">
        <v>0.11538461538461539</v>
      </c>
      <c r="V98" s="3621">
        <v>0.41304347826086957</v>
      </c>
    </row>
    <row r="99" spans="2:22" ht="14.4">
      <c r="B99" s="2911" t="s">
        <v>792</v>
      </c>
      <c r="C99" s="3492"/>
      <c r="D99" s="3483"/>
      <c r="E99" s="3492"/>
      <c r="F99" s="3483"/>
      <c r="G99" s="3492"/>
      <c r="H99" s="3483"/>
      <c r="I99" s="3492"/>
      <c r="J99" s="3483"/>
      <c r="K99" s="3617">
        <v>0.42857142857142855</v>
      </c>
      <c r="L99" s="3618">
        <v>0.45833333333333331</v>
      </c>
      <c r="M99" s="3617"/>
      <c r="N99" s="3618">
        <v>0.27272727272727271</v>
      </c>
      <c r="O99" s="3617">
        <v>0.26666666666666666</v>
      </c>
      <c r="P99" s="3618">
        <v>0.41379310344827586</v>
      </c>
      <c r="Q99" s="3617">
        <v>0.11538461538461539</v>
      </c>
      <c r="R99" s="3618">
        <v>6.25E-2</v>
      </c>
      <c r="S99" s="3617">
        <v>0</v>
      </c>
      <c r="T99" s="3618">
        <v>2.6315789473684209E-2</v>
      </c>
      <c r="U99" s="5448">
        <v>7.407407407407407E-2</v>
      </c>
      <c r="V99" s="3624">
        <v>0</v>
      </c>
    </row>
    <row r="100" spans="2:22" ht="14.4">
      <c r="B100" s="5442" t="s">
        <v>2696</v>
      </c>
      <c r="C100" s="3493"/>
      <c r="D100" s="3494"/>
      <c r="E100" s="3493"/>
      <c r="F100" s="3494"/>
      <c r="G100" s="3493"/>
      <c r="H100" s="3494"/>
      <c r="I100" s="3493"/>
      <c r="J100" s="3494"/>
      <c r="K100" s="5453"/>
      <c r="L100" s="5454"/>
      <c r="M100" s="5453"/>
      <c r="N100" s="5454"/>
      <c r="O100" s="5453"/>
      <c r="P100" s="5454"/>
      <c r="Q100" s="5453"/>
      <c r="R100" s="5454"/>
      <c r="S100" s="5453"/>
      <c r="T100" s="5454"/>
      <c r="U100" s="5455">
        <v>0</v>
      </c>
      <c r="V100" s="5456">
        <v>0</v>
      </c>
    </row>
    <row r="101" spans="2:22" ht="14.4">
      <c r="B101" s="2914" t="s">
        <v>547</v>
      </c>
      <c r="C101" s="3493"/>
      <c r="D101" s="3494"/>
      <c r="E101" s="3493"/>
      <c r="F101" s="3494"/>
      <c r="G101" s="3493"/>
      <c r="H101" s="3494"/>
      <c r="I101" s="3493"/>
      <c r="J101" s="3494"/>
      <c r="K101" s="3493">
        <v>0.42857142857142855</v>
      </c>
      <c r="L101" s="3494">
        <v>0.45833333333333331</v>
      </c>
      <c r="M101" s="3493"/>
      <c r="N101" s="3494">
        <v>0.27272727272727271</v>
      </c>
      <c r="O101" s="3493">
        <v>0.26666666666666666</v>
      </c>
      <c r="P101" s="3494">
        <v>0.41379310344827586</v>
      </c>
      <c r="Q101" s="3493">
        <v>0.11538461538461539</v>
      </c>
      <c r="R101" s="3494">
        <v>6.25E-2</v>
      </c>
      <c r="S101" s="3493">
        <v>0</v>
      </c>
      <c r="T101" s="3494">
        <v>2.6315789473684209E-2</v>
      </c>
      <c r="U101" s="5449">
        <v>6.8965517241379309E-2</v>
      </c>
      <c r="V101" s="3625">
        <v>0</v>
      </c>
    </row>
    <row r="102" spans="2:22" ht="14.4">
      <c r="B102" s="2569" t="s">
        <v>1158</v>
      </c>
      <c r="C102" s="3495"/>
      <c r="D102" s="3496"/>
      <c r="E102" s="3495"/>
      <c r="F102" s="3496"/>
      <c r="G102" s="3495"/>
      <c r="H102" s="3496"/>
      <c r="I102" s="3495"/>
      <c r="J102" s="3496"/>
      <c r="K102" s="3495">
        <v>0.43548387096774194</v>
      </c>
      <c r="L102" s="3496">
        <v>0.44</v>
      </c>
      <c r="M102" s="3495"/>
      <c r="N102" s="3496">
        <v>0.12987012987012986</v>
      </c>
      <c r="O102" s="3495">
        <v>0.16363636363636364</v>
      </c>
      <c r="P102" s="3496">
        <v>0.30681818181818182</v>
      </c>
      <c r="Q102" s="3495">
        <v>7.4999999999999997E-2</v>
      </c>
      <c r="R102" s="3496">
        <v>0.14285714285714285</v>
      </c>
      <c r="S102" s="3495">
        <v>0.02</v>
      </c>
      <c r="T102" s="5451">
        <v>8.6206896551724144E-2</v>
      </c>
      <c r="U102" s="5450">
        <v>7.1428571428571425E-2</v>
      </c>
      <c r="V102" s="3626">
        <v>0.18965517241379309</v>
      </c>
    </row>
    <row r="103" spans="2:22">
      <c r="T103" s="3627"/>
      <c r="V103" s="3627"/>
    </row>
    <row r="104" spans="2:22" ht="14.4">
      <c r="B104" s="2572" t="s">
        <v>842</v>
      </c>
      <c r="C104" s="3495">
        <v>0.13263665594855306</v>
      </c>
      <c r="D104" s="3496">
        <v>0.13759318423855166</v>
      </c>
      <c r="E104" s="3495">
        <v>0.14940347071583515</v>
      </c>
      <c r="F104" s="3496">
        <v>0.15009451795841211</v>
      </c>
      <c r="G104" s="3495">
        <v>0.15390686661404893</v>
      </c>
      <c r="H104" s="3496">
        <v>0.16693483507642801</v>
      </c>
      <c r="I104" s="3495">
        <v>0.15136793658910763</v>
      </c>
      <c r="J104" s="3496">
        <v>0.15290687078549298</v>
      </c>
      <c r="K104" s="3495">
        <v>0.13489949140227658</v>
      </c>
      <c r="L104" s="3496">
        <v>0.13881188118811882</v>
      </c>
      <c r="M104" s="3495">
        <v>0.15403692477266465</v>
      </c>
      <c r="N104" s="3496">
        <v>0.15794499618029029</v>
      </c>
      <c r="O104" s="3495">
        <v>0.12571876633559853</v>
      </c>
      <c r="P104" s="3496">
        <v>0.14981273408239701</v>
      </c>
      <c r="Q104" s="3495">
        <v>0.15030336458907886</v>
      </c>
      <c r="R104" s="3496">
        <v>0.16965678627145087</v>
      </c>
      <c r="S104" s="3495">
        <v>0.15070821529745043</v>
      </c>
      <c r="T104" s="3626">
        <v>0.16753422016579911</v>
      </c>
      <c r="U104" s="3495">
        <v>0.1570891514500537</v>
      </c>
      <c r="V104" s="3626">
        <v>0.15835876568328247</v>
      </c>
    </row>
    <row r="106" spans="2:22">
      <c r="K106" s="416"/>
    </row>
  </sheetData>
  <sheetProtection algorithmName="SHA-512" hashValue="Ttn6fSWAYlwwV0mF31+px7voCKV9XP/PkMeZqnwnpcKv00otiGM8/iwUC04IlU9PiHZQ7U6qkHS+zk8m6u4iKA==" saltValue="xKgdTgKstR0k3+tpCmWUqA==" spinCount="100000" sheet="1" objects="1" scenarios="1"/>
  <pageMargins left="0.7" right="0.7" top="0.75" bottom="0.75" header="0.3" footer="0.3"/>
  <pageSetup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499984740745262"/>
    <pageSetUpPr fitToPage="1"/>
  </sheetPr>
  <dimension ref="A1:K28"/>
  <sheetViews>
    <sheetView topLeftCell="A4" workbookViewId="0">
      <selection activeCell="I9" sqref="I9"/>
    </sheetView>
  </sheetViews>
  <sheetFormatPr baseColWidth="10" defaultRowHeight="14.4"/>
  <cols>
    <col min="1" max="1" width="4.77734375" customWidth="1"/>
    <col min="3" max="3" width="24.44140625" customWidth="1"/>
    <col min="4" max="4" width="24.77734375" style="129" customWidth="1"/>
    <col min="5" max="5" width="31.77734375" style="129" customWidth="1"/>
  </cols>
  <sheetData>
    <row r="1" spans="1:11" ht="17.399999999999999">
      <c r="B1" s="6037" t="s">
        <v>461</v>
      </c>
      <c r="C1" s="6037"/>
      <c r="D1" s="6037"/>
      <c r="E1" s="6037"/>
      <c r="F1" s="6037"/>
      <c r="G1" s="55"/>
      <c r="H1" s="55"/>
      <c r="I1" s="55"/>
      <c r="J1" s="55"/>
      <c r="K1" s="55"/>
    </row>
    <row r="2" spans="1:11" ht="17.399999999999999">
      <c r="B2" s="231"/>
      <c r="C2" s="231"/>
      <c r="D2" s="231"/>
      <c r="E2" s="231"/>
      <c r="F2" s="231"/>
      <c r="G2" s="55"/>
      <c r="H2" s="55"/>
      <c r="I2" s="55"/>
      <c r="J2" s="55"/>
      <c r="K2" s="55"/>
    </row>
    <row r="3" spans="1:11" ht="57.6">
      <c r="B3" s="335">
        <v>2016</v>
      </c>
      <c r="C3" s="180" t="s">
        <v>804</v>
      </c>
      <c r="D3" s="181" t="s">
        <v>423</v>
      </c>
      <c r="E3" s="181" t="s">
        <v>1954</v>
      </c>
      <c r="F3" s="182"/>
      <c r="G3" s="6035" t="s">
        <v>2273</v>
      </c>
      <c r="H3" s="6036"/>
      <c r="I3" s="6036"/>
      <c r="J3" s="6036"/>
      <c r="K3" s="55"/>
    </row>
    <row r="4" spans="1:11" ht="17.399999999999999">
      <c r="B4" s="47" t="s">
        <v>331</v>
      </c>
      <c r="C4" s="231"/>
      <c r="D4" s="231"/>
      <c r="E4" s="231"/>
      <c r="F4" s="231"/>
      <c r="G4" s="55"/>
      <c r="H4" s="55"/>
      <c r="I4" s="55"/>
      <c r="J4" s="55"/>
      <c r="K4" s="55"/>
    </row>
    <row r="5" spans="1:11" ht="17.399999999999999">
      <c r="B5" s="231"/>
      <c r="C5" s="231"/>
      <c r="D5" s="231"/>
      <c r="E5" s="231"/>
      <c r="F5" s="231"/>
      <c r="G5" s="55"/>
      <c r="H5" s="55"/>
      <c r="I5" s="55"/>
      <c r="J5" s="55"/>
      <c r="K5" s="55"/>
    </row>
    <row r="6" spans="1:11" ht="57.6">
      <c r="B6" s="335">
        <v>2015</v>
      </c>
      <c r="C6" s="180" t="s">
        <v>804</v>
      </c>
      <c r="D6" s="181" t="s">
        <v>423</v>
      </c>
      <c r="E6" s="181" t="s">
        <v>1815</v>
      </c>
      <c r="F6" s="182">
        <v>0.3</v>
      </c>
      <c r="G6" s="55"/>
      <c r="H6" s="55"/>
      <c r="I6" s="55"/>
      <c r="J6" s="55"/>
      <c r="K6" s="55"/>
    </row>
    <row r="7" spans="1:11" ht="17.399999999999999">
      <c r="B7" s="47" t="s">
        <v>331</v>
      </c>
      <c r="C7" s="231"/>
      <c r="D7" s="231"/>
      <c r="E7" s="231"/>
      <c r="F7" s="231"/>
      <c r="G7" s="55"/>
      <c r="H7" s="55"/>
      <c r="I7" s="55"/>
      <c r="J7" s="55"/>
      <c r="K7" s="55"/>
    </row>
    <row r="8" spans="1:11" ht="17.399999999999999">
      <c r="B8" s="231"/>
      <c r="C8" s="231"/>
      <c r="D8" s="231"/>
      <c r="E8" s="231"/>
      <c r="F8" s="231"/>
      <c r="G8" s="327"/>
      <c r="H8" s="55"/>
      <c r="I8" s="55"/>
      <c r="J8" s="55"/>
      <c r="K8" s="55"/>
    </row>
    <row r="9" spans="1:11" ht="57.6">
      <c r="B9" s="335">
        <v>2014</v>
      </c>
      <c r="C9" s="180" t="s">
        <v>804</v>
      </c>
      <c r="D9" s="181" t="s">
        <v>423</v>
      </c>
      <c r="E9" s="181" t="s">
        <v>1166</v>
      </c>
      <c r="F9" s="182">
        <v>0.33</v>
      </c>
      <c r="G9" s="55"/>
      <c r="H9" s="55"/>
      <c r="I9" s="55"/>
      <c r="J9" s="55"/>
      <c r="K9" s="55"/>
    </row>
    <row r="10" spans="1:11" ht="17.399999999999999">
      <c r="A10" s="55"/>
      <c r="B10" s="47" t="s">
        <v>331</v>
      </c>
      <c r="C10" s="55"/>
      <c r="D10" s="55"/>
      <c r="E10" s="55"/>
      <c r="F10" s="55"/>
      <c r="G10" s="55"/>
      <c r="H10" s="55"/>
      <c r="I10" s="55"/>
      <c r="J10" s="55"/>
      <c r="K10" s="55"/>
    </row>
    <row r="11" spans="1:11" ht="17.399999999999999">
      <c r="B11" s="231"/>
      <c r="C11" s="231"/>
      <c r="D11" s="231"/>
      <c r="E11" s="231"/>
      <c r="F11" s="231"/>
      <c r="G11" s="55"/>
      <c r="H11" s="55"/>
      <c r="I11" s="55"/>
      <c r="J11" s="55"/>
      <c r="K11" s="55"/>
    </row>
    <row r="12" spans="1:11" ht="57.6">
      <c r="B12" s="335">
        <v>2013</v>
      </c>
      <c r="C12" s="180" t="s">
        <v>454</v>
      </c>
      <c r="D12" s="181" t="s">
        <v>423</v>
      </c>
      <c r="E12" s="181" t="s">
        <v>1167</v>
      </c>
      <c r="F12" s="336">
        <f>34.8/168</f>
        <v>0.20714285714285713</v>
      </c>
      <c r="G12" s="55"/>
      <c r="H12" s="149"/>
      <c r="I12" s="55"/>
      <c r="J12" s="55"/>
      <c r="K12" s="55"/>
    </row>
    <row r="13" spans="1:11" ht="49.5" customHeight="1">
      <c r="B13" s="6038" t="s">
        <v>682</v>
      </c>
      <c r="C13" s="6038"/>
      <c r="D13" s="6038"/>
      <c r="E13" s="6038"/>
      <c r="F13" s="6038"/>
      <c r="G13" s="55"/>
      <c r="H13" s="55"/>
      <c r="I13" s="55"/>
      <c r="J13" s="55"/>
      <c r="K13" s="55"/>
    </row>
    <row r="14" spans="1:11" ht="17.399999999999999">
      <c r="B14" s="124"/>
      <c r="C14" s="124"/>
      <c r="D14" s="124"/>
      <c r="E14" s="124"/>
      <c r="F14" s="124"/>
      <c r="G14" s="55"/>
      <c r="H14" s="55"/>
      <c r="I14" s="55"/>
      <c r="J14" s="55"/>
      <c r="K14" s="55"/>
    </row>
    <row r="15" spans="1:11" ht="57.6">
      <c r="B15" s="335">
        <v>2012</v>
      </c>
      <c r="C15" s="180" t="s">
        <v>454</v>
      </c>
      <c r="D15" s="181" t="s">
        <v>423</v>
      </c>
      <c r="E15" s="181" t="s">
        <v>1168</v>
      </c>
      <c r="F15" s="336">
        <f>35/168</f>
        <v>0.20833333333333334</v>
      </c>
      <c r="H15" s="340"/>
    </row>
    <row r="16" spans="1:11" ht="39.75" customHeight="1">
      <c r="B16" s="6038" t="s">
        <v>609</v>
      </c>
      <c r="C16" s="6038"/>
      <c r="D16" s="6038"/>
      <c r="E16" s="6038"/>
      <c r="F16" s="6038"/>
    </row>
    <row r="17" spans="2:11" ht="15.6">
      <c r="B17" s="32"/>
      <c r="C17" s="22"/>
      <c r="D17" s="22"/>
      <c r="E17" s="22"/>
      <c r="F17" s="68"/>
    </row>
    <row r="18" spans="2:11" s="31" customFormat="1" ht="57.6">
      <c r="B18" s="335">
        <v>2011</v>
      </c>
      <c r="C18" s="337" t="s">
        <v>454</v>
      </c>
      <c r="D18" s="185" t="s">
        <v>423</v>
      </c>
      <c r="E18" s="338" t="s">
        <v>1169</v>
      </c>
      <c r="F18" s="336">
        <f>52/168</f>
        <v>0.30952380952380953</v>
      </c>
      <c r="I18"/>
      <c r="J18"/>
      <c r="K18"/>
    </row>
    <row r="19" spans="2:11" s="1" customFormat="1" ht="56.25" customHeight="1">
      <c r="B19" s="6038" t="s">
        <v>453</v>
      </c>
      <c r="C19" s="6038"/>
      <c r="D19" s="6038"/>
      <c r="E19" s="6038"/>
      <c r="F19" s="6038"/>
      <c r="G19" s="73"/>
      <c r="H19"/>
      <c r="I19"/>
    </row>
    <row r="20" spans="2:11" s="1" customFormat="1" ht="15.6">
      <c r="B20" s="47" t="s">
        <v>331</v>
      </c>
      <c r="D20" s="22"/>
      <c r="E20" s="22"/>
      <c r="F20" s="62"/>
    </row>
    <row r="21" spans="2:11" s="1" customFormat="1" ht="15.6">
      <c r="D21" s="22"/>
      <c r="E21" s="22"/>
    </row>
    <row r="22" spans="2:11" s="1" customFormat="1" ht="35.25" customHeight="1">
      <c r="B22" s="335">
        <v>2010</v>
      </c>
      <c r="C22" s="6032" t="s">
        <v>421</v>
      </c>
      <c r="D22" s="6033"/>
      <c r="E22" s="6033"/>
      <c r="F22" s="6034"/>
    </row>
    <row r="23" spans="2:11" s="1" customFormat="1">
      <c r="B23" s="41" t="s">
        <v>331</v>
      </c>
      <c r="D23" s="129"/>
      <c r="E23" s="129"/>
      <c r="F23"/>
    </row>
    <row r="24" spans="2:11" s="1" customFormat="1" ht="19.95" customHeight="1">
      <c r="B24" s="32"/>
      <c r="D24" s="129"/>
      <c r="E24" s="129"/>
      <c r="F24"/>
    </row>
    <row r="25" spans="2:11" s="1" customFormat="1" ht="19.95" customHeight="1">
      <c r="C25" s="22"/>
      <c r="D25" s="22"/>
      <c r="E25" s="22"/>
    </row>
    <row r="26" spans="2:11" ht="15.6">
      <c r="C26" s="22"/>
      <c r="D26" s="22"/>
      <c r="E26" s="22"/>
    </row>
    <row r="27" spans="2:11" ht="15.6">
      <c r="C27" s="22"/>
      <c r="D27" s="22"/>
      <c r="E27" s="22"/>
    </row>
    <row r="28" spans="2:11" ht="15.6">
      <c r="C28" s="22"/>
      <c r="D28" s="22"/>
      <c r="E28" s="22"/>
    </row>
  </sheetData>
  <mergeCells count="6">
    <mergeCell ref="C22:F22"/>
    <mergeCell ref="G3:J3"/>
    <mergeCell ref="B1:F1"/>
    <mergeCell ref="B13:F13"/>
    <mergeCell ref="B16:F16"/>
    <mergeCell ref="B19:F19"/>
  </mergeCells>
  <pageMargins left="0.70866141732283472" right="0.70866141732283472" top="0.74803149606299213" bottom="0.74803149606299213" header="0.31496062992125984" footer="0.31496062992125984"/>
  <pageSetup scale="6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499984740745262"/>
  </sheetPr>
  <dimension ref="B1:T339"/>
  <sheetViews>
    <sheetView showGridLines="0" zoomScale="110" zoomScaleNormal="110" workbookViewId="0">
      <selection activeCell="M8" sqref="M8"/>
    </sheetView>
  </sheetViews>
  <sheetFormatPr baseColWidth="10" defaultColWidth="11.44140625" defaultRowHeight="14.4"/>
  <cols>
    <col min="1" max="1" width="2.21875" customWidth="1"/>
    <col min="2" max="2" width="15.77734375" bestFit="1" customWidth="1"/>
    <col min="3" max="4" width="10.77734375" customWidth="1"/>
    <col min="5" max="5" width="10.77734375" style="129" customWidth="1"/>
    <col min="6" max="11" width="10.77734375" customWidth="1"/>
    <col min="12" max="12" width="10.77734375" style="2887" customWidth="1"/>
    <col min="13" max="13" width="10.77734375" style="5392" customWidth="1"/>
    <col min="14" max="14" width="8.77734375" customWidth="1"/>
    <col min="15" max="15" width="4" style="5393" bestFit="1" customWidth="1"/>
    <col min="16" max="16" width="7" style="37" customWidth="1"/>
    <col min="17" max="17" width="44.5546875" style="37" customWidth="1"/>
    <col min="18" max="18" width="52.5546875" style="37" customWidth="1"/>
    <col min="19" max="19" width="24" style="37" bestFit="1" customWidth="1"/>
    <col min="20" max="20" width="20.21875" style="37" customWidth="1"/>
  </cols>
  <sheetData>
    <row r="1" spans="2:16" ht="19.5" customHeight="1">
      <c r="C1" s="177"/>
      <c r="D1" s="177"/>
      <c r="E1" s="22" t="s">
        <v>425</v>
      </c>
      <c r="F1" s="177"/>
      <c r="G1" s="177"/>
    </row>
    <row r="2" spans="2:16" ht="15.6">
      <c r="G2" s="228"/>
    </row>
    <row r="3" spans="2:16" ht="15" thickBot="1">
      <c r="B3" s="2111" t="s">
        <v>2587</v>
      </c>
      <c r="C3" s="2136">
        <v>2010</v>
      </c>
      <c r="D3" s="2136">
        <v>2011</v>
      </c>
      <c r="E3" s="2136">
        <v>2012</v>
      </c>
      <c r="F3" s="2136">
        <v>2013</v>
      </c>
      <c r="G3" s="2291">
        <v>2014</v>
      </c>
      <c r="H3" s="2136">
        <v>2015</v>
      </c>
      <c r="I3" s="2136">
        <v>2016</v>
      </c>
      <c r="J3" s="2136">
        <v>2017</v>
      </c>
      <c r="K3" s="2136">
        <v>2018</v>
      </c>
      <c r="L3" s="2136">
        <v>2019</v>
      </c>
      <c r="M3" s="2136">
        <v>2020</v>
      </c>
    </row>
    <row r="4" spans="2:16" ht="18" customHeight="1">
      <c r="B4" s="2294" t="s">
        <v>4</v>
      </c>
      <c r="C4" s="2296">
        <v>2</v>
      </c>
      <c r="D4" s="2296">
        <v>16</v>
      </c>
      <c r="E4" s="2296">
        <v>4</v>
      </c>
      <c r="F4" s="2296">
        <v>22</v>
      </c>
      <c r="G4" s="2296">
        <v>14</v>
      </c>
      <c r="H4" s="2296">
        <v>6</v>
      </c>
      <c r="I4" s="2296">
        <v>11</v>
      </c>
      <c r="J4" s="2296">
        <v>6</v>
      </c>
      <c r="K4" s="2295">
        <v>11</v>
      </c>
      <c r="L4" s="2888">
        <v>11</v>
      </c>
      <c r="M4" s="2888">
        <v>12</v>
      </c>
    </row>
    <row r="5" spans="2:16" ht="18" customHeight="1">
      <c r="B5" s="2261" t="s">
        <v>16</v>
      </c>
      <c r="C5" s="2297">
        <v>25</v>
      </c>
      <c r="D5" s="2297">
        <v>26</v>
      </c>
      <c r="E5" s="2297">
        <v>29</v>
      </c>
      <c r="F5" s="2297">
        <v>41</v>
      </c>
      <c r="G5" s="2297">
        <v>30</v>
      </c>
      <c r="H5" s="2297">
        <v>29</v>
      </c>
      <c r="I5" s="2297">
        <v>36</v>
      </c>
      <c r="J5" s="2297">
        <v>27</v>
      </c>
      <c r="K5" s="2292">
        <v>37</v>
      </c>
      <c r="L5" s="2889">
        <v>32</v>
      </c>
      <c r="M5" s="2889">
        <v>25</v>
      </c>
    </row>
    <row r="6" spans="2:16" ht="18" customHeight="1">
      <c r="B6" s="2261" t="s">
        <v>21</v>
      </c>
      <c r="C6" s="2297">
        <v>17</v>
      </c>
      <c r="D6" s="2297">
        <v>8</v>
      </c>
      <c r="E6" s="2297">
        <v>18</v>
      </c>
      <c r="F6" s="2297">
        <v>11</v>
      </c>
      <c r="G6" s="2297">
        <v>18</v>
      </c>
      <c r="H6" s="2297">
        <v>6</v>
      </c>
      <c r="I6" s="2297">
        <v>17</v>
      </c>
      <c r="J6" s="2297">
        <v>14</v>
      </c>
      <c r="K6" s="2292">
        <v>15</v>
      </c>
      <c r="L6" s="2889">
        <v>13</v>
      </c>
      <c r="M6" s="2889">
        <v>19</v>
      </c>
    </row>
    <row r="7" spans="2:16" ht="18" customHeight="1">
      <c r="B7" s="2261" t="s">
        <v>357</v>
      </c>
      <c r="C7" s="2297"/>
      <c r="D7" s="2297">
        <v>8</v>
      </c>
      <c r="E7" s="2297">
        <v>11</v>
      </c>
      <c r="F7" s="2297">
        <v>10</v>
      </c>
      <c r="G7" s="2297">
        <v>4</v>
      </c>
      <c r="H7" s="2297">
        <v>4</v>
      </c>
      <c r="I7" s="2297"/>
      <c r="J7" s="2297">
        <v>6</v>
      </c>
      <c r="K7" s="2292">
        <v>8</v>
      </c>
      <c r="L7" s="2889">
        <v>5</v>
      </c>
      <c r="M7" s="2889">
        <v>15</v>
      </c>
    </row>
    <row r="8" spans="2:16" ht="18" customHeight="1">
      <c r="B8" s="2300" t="s">
        <v>3</v>
      </c>
      <c r="C8" s="2301">
        <f>SUM(C4:C7)</f>
        <v>44</v>
      </c>
      <c r="D8" s="2301">
        <f>SUBTOTAL(9,D4:D7)</f>
        <v>58</v>
      </c>
      <c r="E8" s="2301">
        <f>SUBTOTAL(9,E4:E7)</f>
        <v>62</v>
      </c>
      <c r="F8" s="2301">
        <f>SUBTOTAL(9,F4:F7)</f>
        <v>84</v>
      </c>
      <c r="G8" s="2301">
        <f>SUM(G4:G7)</f>
        <v>66</v>
      </c>
      <c r="H8" s="2301">
        <f>SUM(H4:H7)</f>
        <v>45</v>
      </c>
      <c r="I8" s="2301">
        <f>SUBTOTAL(9,I4:I7)</f>
        <v>64</v>
      </c>
      <c r="J8" s="2301">
        <f>SUBTOTAL(9,J4:J7)</f>
        <v>53</v>
      </c>
      <c r="K8" s="2302">
        <f>SUBTOTAL(9,K4:K7)</f>
        <v>71</v>
      </c>
      <c r="L8" s="2890">
        <f>SUM(L4:L7)</f>
        <v>61</v>
      </c>
      <c r="M8" s="2890">
        <f>SUM(M4:M7)</f>
        <v>71</v>
      </c>
    </row>
    <row r="9" spans="2:16" ht="18" customHeight="1">
      <c r="B9" s="2294" t="s">
        <v>16</v>
      </c>
      <c r="C9" s="2298">
        <v>7</v>
      </c>
      <c r="D9" s="2298">
        <v>18</v>
      </c>
      <c r="E9" s="2298">
        <v>22</v>
      </c>
      <c r="F9" s="2298">
        <v>16</v>
      </c>
      <c r="G9" s="2298">
        <v>13</v>
      </c>
      <c r="H9" s="2298">
        <v>9</v>
      </c>
      <c r="I9" s="2298">
        <v>18</v>
      </c>
      <c r="J9" s="2298">
        <v>19</v>
      </c>
      <c r="K9" s="2295">
        <v>28</v>
      </c>
      <c r="L9" s="4149">
        <v>14</v>
      </c>
      <c r="M9" s="4149">
        <v>14</v>
      </c>
      <c r="P9" s="44"/>
    </row>
    <row r="10" spans="2:16" ht="18" customHeight="1">
      <c r="B10" s="2261" t="s">
        <v>61</v>
      </c>
      <c r="C10" s="2297">
        <v>0</v>
      </c>
      <c r="D10" s="2297">
        <v>5</v>
      </c>
      <c r="E10" s="2297">
        <v>1</v>
      </c>
      <c r="F10" s="2297">
        <v>5</v>
      </c>
      <c r="G10" s="2297">
        <v>5</v>
      </c>
      <c r="H10" s="2297">
        <v>6</v>
      </c>
      <c r="I10" s="2297">
        <v>15</v>
      </c>
      <c r="J10" s="2297">
        <v>9</v>
      </c>
      <c r="K10" s="2292">
        <v>8</v>
      </c>
      <c r="L10" s="2889">
        <v>14</v>
      </c>
      <c r="M10" s="2889">
        <v>10</v>
      </c>
      <c r="P10" s="44"/>
    </row>
    <row r="11" spans="2:16" ht="18" customHeight="1">
      <c r="B11" s="2261" t="s">
        <v>64</v>
      </c>
      <c r="C11" s="2297">
        <v>3</v>
      </c>
      <c r="D11" s="2297">
        <v>4</v>
      </c>
      <c r="E11" s="2297">
        <v>2</v>
      </c>
      <c r="F11" s="2297">
        <v>13</v>
      </c>
      <c r="G11" s="2297">
        <v>3</v>
      </c>
      <c r="H11" s="2297">
        <v>2</v>
      </c>
      <c r="I11" s="2297">
        <v>9</v>
      </c>
      <c r="J11" s="2297">
        <v>7</v>
      </c>
      <c r="K11" s="2292">
        <v>4</v>
      </c>
      <c r="L11" s="2889">
        <v>6</v>
      </c>
      <c r="M11" s="2889"/>
      <c r="P11" s="44"/>
    </row>
    <row r="12" spans="2:16" ht="18" customHeight="1">
      <c r="B12" s="2261" t="s">
        <v>86</v>
      </c>
      <c r="C12" s="2297"/>
      <c r="D12" s="2297"/>
      <c r="E12" s="2297"/>
      <c r="F12" s="2297"/>
      <c r="G12" s="2297"/>
      <c r="H12" s="2297"/>
      <c r="I12" s="2297"/>
      <c r="J12" s="2297">
        <v>10</v>
      </c>
      <c r="K12" s="2292"/>
      <c r="L12" s="2889">
        <v>7</v>
      </c>
      <c r="M12" s="2889">
        <v>3</v>
      </c>
      <c r="P12" s="44"/>
    </row>
    <row r="13" spans="2:16" ht="18" customHeight="1">
      <c r="B13" s="2306" t="s">
        <v>59</v>
      </c>
      <c r="C13" s="2307">
        <f t="shared" ref="C13:H13" si="0">SUM(C9:C11)</f>
        <v>10</v>
      </c>
      <c r="D13" s="2307">
        <f t="shared" si="0"/>
        <v>27</v>
      </c>
      <c r="E13" s="2307">
        <f t="shared" si="0"/>
        <v>25</v>
      </c>
      <c r="F13" s="2307">
        <f t="shared" si="0"/>
        <v>34</v>
      </c>
      <c r="G13" s="2307">
        <f t="shared" si="0"/>
        <v>21</v>
      </c>
      <c r="H13" s="2307">
        <f t="shared" si="0"/>
        <v>17</v>
      </c>
      <c r="I13" s="2307">
        <f>SUBTOTAL(9,I9:I11)</f>
        <v>42</v>
      </c>
      <c r="J13" s="2307">
        <f>SUBTOTAL(9,J9:J12)</f>
        <v>45</v>
      </c>
      <c r="K13" s="2892">
        <f>SUBTOTAL(9,K9:K12)</f>
        <v>40</v>
      </c>
      <c r="L13" s="2892">
        <f>SUBTOTAL(9,L9:L12)</f>
        <v>41</v>
      </c>
      <c r="M13" s="2892">
        <f>SUBTOTAL(9,M9:M12)</f>
        <v>27</v>
      </c>
      <c r="P13" s="44"/>
    </row>
    <row r="14" spans="2:16" ht="18" customHeight="1">
      <c r="B14" s="2294" t="s">
        <v>4</v>
      </c>
      <c r="C14" s="2298">
        <v>6</v>
      </c>
      <c r="D14" s="2298">
        <v>6</v>
      </c>
      <c r="E14" s="2298">
        <v>1</v>
      </c>
      <c r="F14" s="2298">
        <v>7</v>
      </c>
      <c r="G14" s="2298">
        <v>9</v>
      </c>
      <c r="H14" s="2298">
        <v>6</v>
      </c>
      <c r="I14" s="2298">
        <v>6</v>
      </c>
      <c r="J14" s="2298">
        <v>1</v>
      </c>
      <c r="K14" s="2295">
        <v>4</v>
      </c>
      <c r="L14" s="2891">
        <v>2</v>
      </c>
      <c r="M14" s="2891">
        <v>2</v>
      </c>
    </row>
    <row r="15" spans="2:16" ht="18" customHeight="1">
      <c r="B15" s="2261" t="s">
        <v>16</v>
      </c>
      <c r="C15" s="2297">
        <v>70</v>
      </c>
      <c r="D15" s="2297">
        <v>48</v>
      </c>
      <c r="E15" s="2297">
        <v>45</v>
      </c>
      <c r="F15" s="2297">
        <v>38</v>
      </c>
      <c r="G15" s="2297">
        <v>33</v>
      </c>
      <c r="H15" s="2297">
        <v>71</v>
      </c>
      <c r="I15" s="2297">
        <v>63</v>
      </c>
      <c r="J15" s="2297">
        <v>58</v>
      </c>
      <c r="K15" s="2292">
        <v>51</v>
      </c>
      <c r="L15" s="2889">
        <v>44</v>
      </c>
      <c r="M15" s="2889">
        <v>44</v>
      </c>
    </row>
    <row r="16" spans="2:16" ht="18" customHeight="1">
      <c r="B16" s="2261" t="s">
        <v>41</v>
      </c>
      <c r="C16" s="2297">
        <v>7</v>
      </c>
      <c r="D16" s="2297">
        <v>3</v>
      </c>
      <c r="E16" s="2297">
        <v>2</v>
      </c>
      <c r="F16" s="2297">
        <v>11</v>
      </c>
      <c r="G16" s="2297">
        <v>3</v>
      </c>
      <c r="H16" s="2297">
        <v>4</v>
      </c>
      <c r="I16" s="2297">
        <v>3</v>
      </c>
      <c r="J16" s="2297">
        <v>1</v>
      </c>
      <c r="K16" s="2292">
        <v>2</v>
      </c>
      <c r="L16" s="2889">
        <v>2</v>
      </c>
      <c r="M16" s="2889">
        <v>4</v>
      </c>
    </row>
    <row r="17" spans="2:20" ht="18" customHeight="1">
      <c r="B17" s="2261" t="s">
        <v>2726</v>
      </c>
      <c r="C17" s="2297"/>
      <c r="D17" s="2297"/>
      <c r="E17" s="2297">
        <v>2</v>
      </c>
      <c r="F17" s="2297"/>
      <c r="G17" s="2297"/>
      <c r="H17" s="2297"/>
      <c r="I17" s="2297"/>
      <c r="J17" s="2297"/>
      <c r="K17" s="2292"/>
      <c r="L17" s="2889"/>
      <c r="M17" s="2889"/>
    </row>
    <row r="18" spans="2:20" ht="18" customHeight="1">
      <c r="B18" s="2303" t="s">
        <v>25</v>
      </c>
      <c r="C18" s="2304">
        <f>SUM(C14:C16)</f>
        <v>83</v>
      </c>
      <c r="D18" s="2304">
        <f>SUM(D14:D16)</f>
        <v>57</v>
      </c>
      <c r="E18" s="2304">
        <f t="shared" ref="E18:K18" si="1">SUM(E14:E17)</f>
        <v>50</v>
      </c>
      <c r="F18" s="2304">
        <f t="shared" si="1"/>
        <v>56</v>
      </c>
      <c r="G18" s="2304">
        <f t="shared" si="1"/>
        <v>45</v>
      </c>
      <c r="H18" s="2304">
        <f t="shared" si="1"/>
        <v>81</v>
      </c>
      <c r="I18" s="2304">
        <f t="shared" si="1"/>
        <v>72</v>
      </c>
      <c r="J18" s="2304">
        <f t="shared" si="1"/>
        <v>60</v>
      </c>
      <c r="K18" s="2305">
        <f t="shared" si="1"/>
        <v>57</v>
      </c>
      <c r="L18" s="2893">
        <f>SUBTOTAL(9,L14:L17)</f>
        <v>48</v>
      </c>
      <c r="M18" s="2893">
        <f>SUBTOTAL(9,M14:M17)</f>
        <v>50</v>
      </c>
    </row>
    <row r="19" spans="2:20" ht="18" customHeight="1">
      <c r="B19" s="2294" t="s">
        <v>4</v>
      </c>
      <c r="C19" s="2298"/>
      <c r="D19" s="2298"/>
      <c r="E19" s="2298">
        <v>1</v>
      </c>
      <c r="F19" s="2298">
        <v>3</v>
      </c>
      <c r="G19" s="2298">
        <v>8</v>
      </c>
      <c r="H19" s="2298">
        <v>1</v>
      </c>
      <c r="I19" s="2298">
        <v>1</v>
      </c>
      <c r="J19" s="2298"/>
      <c r="K19" s="2295">
        <v>2</v>
      </c>
      <c r="L19" s="2891"/>
      <c r="M19" s="2891">
        <v>2</v>
      </c>
    </row>
    <row r="20" spans="2:20" ht="18" customHeight="1">
      <c r="B20" s="2261" t="s">
        <v>16</v>
      </c>
      <c r="C20" s="2297"/>
      <c r="D20" s="2297"/>
      <c r="E20" s="2297">
        <v>3</v>
      </c>
      <c r="F20" s="2297">
        <v>2</v>
      </c>
      <c r="G20" s="2297">
        <v>3</v>
      </c>
      <c r="H20" s="2297">
        <v>8</v>
      </c>
      <c r="I20" s="2297">
        <v>16</v>
      </c>
      <c r="J20" s="2297">
        <v>8</v>
      </c>
      <c r="K20" s="2292">
        <v>13</v>
      </c>
      <c r="L20" s="2889">
        <v>9</v>
      </c>
      <c r="M20" s="2889">
        <v>8</v>
      </c>
    </row>
    <row r="21" spans="2:20" ht="18" customHeight="1">
      <c r="B21" s="2261" t="s">
        <v>41</v>
      </c>
      <c r="C21" s="2297"/>
      <c r="D21" s="2297">
        <v>5</v>
      </c>
      <c r="E21" s="2297">
        <v>1</v>
      </c>
      <c r="F21" s="2297">
        <v>4</v>
      </c>
      <c r="G21" s="2297">
        <v>1</v>
      </c>
      <c r="H21" s="2297"/>
      <c r="I21" s="2297"/>
      <c r="J21" s="2297"/>
      <c r="K21" s="2292"/>
      <c r="L21" s="2889"/>
      <c r="M21" s="2889"/>
    </row>
    <row r="22" spans="2:20" ht="18" customHeight="1">
      <c r="B22" s="2311" t="s">
        <v>244</v>
      </c>
      <c r="C22" s="2312">
        <f t="shared" ref="C22:K22" si="2">SUM(C19:C21)</f>
        <v>0</v>
      </c>
      <c r="D22" s="2312">
        <f t="shared" si="2"/>
        <v>5</v>
      </c>
      <c r="E22" s="2312">
        <f t="shared" si="2"/>
        <v>5</v>
      </c>
      <c r="F22" s="2312">
        <f t="shared" si="2"/>
        <v>9</v>
      </c>
      <c r="G22" s="2312">
        <f t="shared" si="2"/>
        <v>12</v>
      </c>
      <c r="H22" s="2312">
        <f t="shared" si="2"/>
        <v>9</v>
      </c>
      <c r="I22" s="2313">
        <f t="shared" si="2"/>
        <v>17</v>
      </c>
      <c r="J22" s="2313">
        <f t="shared" si="2"/>
        <v>8</v>
      </c>
      <c r="K22" s="2314">
        <f t="shared" si="2"/>
        <v>15</v>
      </c>
      <c r="L22" s="2894">
        <f>SUBTOTAL(9,L19:L21)</f>
        <v>9</v>
      </c>
      <c r="M22" s="2894">
        <f>SUBTOTAL(9,M19:M21)</f>
        <v>10</v>
      </c>
    </row>
    <row r="23" spans="2:20" ht="18" customHeight="1">
      <c r="B23" s="2294" t="s">
        <v>16</v>
      </c>
      <c r="C23" s="2298">
        <v>51</v>
      </c>
      <c r="D23" s="2298">
        <v>35</v>
      </c>
      <c r="E23" s="2298">
        <v>41</v>
      </c>
      <c r="F23" s="2298">
        <v>36</v>
      </c>
      <c r="G23" s="2298">
        <v>58</v>
      </c>
      <c r="H23" s="2298">
        <v>79</v>
      </c>
      <c r="I23" s="2298">
        <v>31</v>
      </c>
      <c r="J23" s="2298">
        <v>54</v>
      </c>
      <c r="K23" s="2295">
        <v>91</v>
      </c>
      <c r="L23" s="2891">
        <v>80</v>
      </c>
      <c r="M23" s="2891">
        <v>70</v>
      </c>
    </row>
    <row r="24" spans="2:20" ht="18" customHeight="1">
      <c r="B24" s="2261" t="s">
        <v>41</v>
      </c>
      <c r="C24" s="2297">
        <v>4</v>
      </c>
      <c r="D24" s="2297">
        <v>22</v>
      </c>
      <c r="E24" s="2297">
        <v>12</v>
      </c>
      <c r="F24" s="2297">
        <v>18</v>
      </c>
      <c r="G24" s="2297">
        <v>25</v>
      </c>
      <c r="H24" s="2297">
        <v>16</v>
      </c>
      <c r="I24" s="2297">
        <v>8</v>
      </c>
      <c r="J24" s="2297">
        <v>26</v>
      </c>
      <c r="K24" s="2292">
        <v>29</v>
      </c>
      <c r="L24" s="2889">
        <v>17</v>
      </c>
      <c r="M24" s="2889">
        <v>25</v>
      </c>
    </row>
    <row r="25" spans="2:20" ht="18" customHeight="1">
      <c r="B25" s="2261" t="s">
        <v>21</v>
      </c>
      <c r="C25" s="2297">
        <v>10</v>
      </c>
      <c r="D25" s="2297">
        <v>13</v>
      </c>
      <c r="E25" s="2297">
        <v>9</v>
      </c>
      <c r="F25" s="2297">
        <v>18</v>
      </c>
      <c r="G25" s="2297">
        <v>13</v>
      </c>
      <c r="H25" s="2297">
        <v>19</v>
      </c>
      <c r="I25" s="2297">
        <v>3</v>
      </c>
      <c r="J25" s="2297">
        <v>17</v>
      </c>
      <c r="K25" s="2292">
        <v>15</v>
      </c>
      <c r="L25" s="2889">
        <v>14</v>
      </c>
      <c r="M25" s="2889">
        <v>18</v>
      </c>
    </row>
    <row r="26" spans="2:20" ht="18" customHeight="1">
      <c r="B26" s="2261" t="s">
        <v>424</v>
      </c>
      <c r="C26" s="2297">
        <v>4</v>
      </c>
      <c r="D26" s="2297"/>
      <c r="E26" s="2297">
        <v>10</v>
      </c>
      <c r="F26" s="2297">
        <v>9</v>
      </c>
      <c r="G26" s="2297">
        <v>4</v>
      </c>
      <c r="H26" s="2297"/>
      <c r="I26" s="2297"/>
      <c r="J26" s="2297">
        <v>4</v>
      </c>
      <c r="K26" s="2292"/>
      <c r="L26" s="2889"/>
      <c r="M26" s="2889"/>
    </row>
    <row r="27" spans="2:20" ht="18" customHeight="1">
      <c r="B27" s="2308" t="s">
        <v>48</v>
      </c>
      <c r="C27" s="2309">
        <f t="shared" ref="C27:H27" si="3">SUM(C23:C26)</f>
        <v>69</v>
      </c>
      <c r="D27" s="2309">
        <f t="shared" si="3"/>
        <v>70</v>
      </c>
      <c r="E27" s="2309">
        <f t="shared" si="3"/>
        <v>72</v>
      </c>
      <c r="F27" s="2309">
        <f t="shared" si="3"/>
        <v>81</v>
      </c>
      <c r="G27" s="2309">
        <f t="shared" si="3"/>
        <v>100</v>
      </c>
      <c r="H27" s="2309">
        <f t="shared" si="3"/>
        <v>114</v>
      </c>
      <c r="I27" s="2309">
        <f>SUBTOTAL(9,I23:I26)</f>
        <v>42</v>
      </c>
      <c r="J27" s="2309">
        <f>SUBTOTAL(9,J23:J26)</f>
        <v>101</v>
      </c>
      <c r="K27" s="2310">
        <f>SUM(K23:K26)</f>
        <v>135</v>
      </c>
      <c r="L27" s="2895">
        <f>SUBTOTAL(9,L23:L26)</f>
        <v>111</v>
      </c>
      <c r="M27" s="2895">
        <f>SUBTOTAL(9,M23:M26)</f>
        <v>113</v>
      </c>
    </row>
    <row r="28" spans="2:20" ht="18" customHeight="1">
      <c r="B28" s="2289" t="s">
        <v>87</v>
      </c>
      <c r="C28" s="2315">
        <v>17</v>
      </c>
      <c r="D28" s="2315">
        <v>31</v>
      </c>
      <c r="E28" s="2315">
        <v>26</v>
      </c>
      <c r="F28" s="2315">
        <v>29</v>
      </c>
      <c r="G28" s="2315">
        <v>43</v>
      </c>
      <c r="H28" s="2315">
        <v>35</v>
      </c>
      <c r="I28" s="2315">
        <v>25</v>
      </c>
      <c r="J28" s="2315">
        <v>23</v>
      </c>
      <c r="K28" s="4147">
        <v>20</v>
      </c>
      <c r="L28" s="4150">
        <v>14</v>
      </c>
      <c r="M28" s="4150">
        <v>13</v>
      </c>
    </row>
    <row r="29" spans="2:20">
      <c r="E29"/>
      <c r="J29" s="4143"/>
      <c r="K29" s="4143"/>
      <c r="L29" s="4143"/>
    </row>
    <row r="30" spans="2:20" s="42" customFormat="1" ht="20.100000000000001" customHeight="1">
      <c r="B30" s="2293" t="s">
        <v>67</v>
      </c>
      <c r="C30" s="2299">
        <f>SUM(C8,C18,C27,C13,C22,C28)</f>
        <v>223</v>
      </c>
      <c r="D30" s="2299">
        <f>SUM(D8,D13,D18,D27,D22,D28)</f>
        <v>248</v>
      </c>
      <c r="E30" s="2299">
        <f>SUM(E8,E13,E18,E27,E22,E28)</f>
        <v>240</v>
      </c>
      <c r="F30" s="2299">
        <f t="shared" ref="F30:L30" si="4">SUM(F8,F13,F18,F22,F27,F28)</f>
        <v>293</v>
      </c>
      <c r="G30" s="2299">
        <f t="shared" si="4"/>
        <v>287</v>
      </c>
      <c r="H30" s="2299">
        <f t="shared" si="4"/>
        <v>301</v>
      </c>
      <c r="I30" s="2299">
        <f t="shared" si="4"/>
        <v>262</v>
      </c>
      <c r="J30" s="2299">
        <f t="shared" si="4"/>
        <v>290</v>
      </c>
      <c r="K30" s="4148">
        <f t="shared" si="4"/>
        <v>338</v>
      </c>
      <c r="L30" s="4151">
        <f t="shared" si="4"/>
        <v>284</v>
      </c>
      <c r="M30" s="4151">
        <f t="shared" ref="M30" si="5">SUM(M8,M13,M18,M22,M27,M28)</f>
        <v>284</v>
      </c>
      <c r="N30"/>
      <c r="O30" s="5393"/>
      <c r="P30" s="195"/>
      <c r="Q30" s="1225"/>
      <c r="R30" s="1225"/>
      <c r="S30" s="195"/>
      <c r="T30" s="195"/>
    </row>
    <row r="31" spans="2:20" s="42" customFormat="1" ht="15" thickBot="1">
      <c r="D31" s="70"/>
      <c r="H31"/>
      <c r="I31"/>
      <c r="J31"/>
      <c r="K31"/>
      <c r="L31" s="2887"/>
      <c r="M31" s="5392"/>
      <c r="N31"/>
      <c r="O31" s="4244" t="s">
        <v>326</v>
      </c>
      <c r="P31" s="4244" t="s">
        <v>69</v>
      </c>
      <c r="Q31" s="4244" t="s">
        <v>517</v>
      </c>
      <c r="R31" s="4244" t="s">
        <v>518</v>
      </c>
      <c r="S31" s="4245" t="s">
        <v>2871</v>
      </c>
      <c r="T31" s="4245" t="s">
        <v>332</v>
      </c>
    </row>
    <row r="32" spans="2:20" s="42" customFormat="1" ht="20.399999999999999">
      <c r="B32" s="143"/>
      <c r="E32" s="70"/>
      <c r="H32"/>
      <c r="I32"/>
      <c r="J32"/>
      <c r="K32" s="2"/>
      <c r="L32" s="2"/>
      <c r="M32" s="2"/>
      <c r="N32"/>
      <c r="O32" s="5468">
        <v>1</v>
      </c>
      <c r="P32" s="5395" t="s">
        <v>21</v>
      </c>
      <c r="Q32" s="5475" t="s">
        <v>3069</v>
      </c>
      <c r="R32" s="5396" t="s">
        <v>3070</v>
      </c>
      <c r="S32" s="5396"/>
      <c r="T32" s="5395" t="s">
        <v>3071</v>
      </c>
    </row>
    <row r="33" spans="5:20" s="42" customFormat="1" ht="20.399999999999999">
      <c r="E33" s="70"/>
      <c r="H33"/>
      <c r="I33"/>
      <c r="J33"/>
      <c r="K33"/>
      <c r="L33" s="2887"/>
      <c r="M33" s="5392"/>
      <c r="N33"/>
      <c r="O33" s="5397">
        <v>2</v>
      </c>
      <c r="P33" s="5395" t="s">
        <v>21</v>
      </c>
      <c r="Q33" s="5398" t="s">
        <v>3072</v>
      </c>
      <c r="R33" s="5398" t="s">
        <v>3073</v>
      </c>
      <c r="S33" s="5399"/>
      <c r="T33" s="5400" t="s">
        <v>3074</v>
      </c>
    </row>
    <row r="34" spans="5:20" s="42" customFormat="1">
      <c r="E34" s="70"/>
      <c r="H34"/>
      <c r="I34"/>
      <c r="J34"/>
      <c r="K34"/>
      <c r="L34" s="2887"/>
      <c r="M34" s="5392"/>
      <c r="N34"/>
      <c r="O34" s="5468">
        <v>3</v>
      </c>
      <c r="P34" s="5395" t="s">
        <v>21</v>
      </c>
      <c r="Q34" s="5398" t="s">
        <v>3075</v>
      </c>
      <c r="R34" s="5399" t="s">
        <v>3070</v>
      </c>
      <c r="S34" s="5399"/>
      <c r="T34" s="5400" t="s">
        <v>3076</v>
      </c>
    </row>
    <row r="35" spans="5:20" s="42" customFormat="1">
      <c r="E35" s="70"/>
      <c r="H35"/>
      <c r="I35"/>
      <c r="J35"/>
      <c r="K35"/>
      <c r="L35" s="2887"/>
      <c r="M35" s="5392"/>
      <c r="N35"/>
      <c r="O35" s="5397">
        <v>4</v>
      </c>
      <c r="P35" s="5395" t="s">
        <v>21</v>
      </c>
      <c r="Q35" s="5398" t="s">
        <v>3077</v>
      </c>
      <c r="R35" s="5398" t="s">
        <v>3078</v>
      </c>
      <c r="S35" s="5399"/>
      <c r="T35" s="5400" t="s">
        <v>3079</v>
      </c>
    </row>
    <row r="36" spans="5:20" s="42" customFormat="1">
      <c r="E36" s="70"/>
      <c r="H36"/>
      <c r="I36"/>
      <c r="J36"/>
      <c r="K36"/>
      <c r="L36" s="2887"/>
      <c r="M36" s="5392"/>
      <c r="N36"/>
      <c r="O36" s="5468">
        <v>5</v>
      </c>
      <c r="P36" s="5400" t="s">
        <v>21</v>
      </c>
      <c r="Q36" s="5398" t="s">
        <v>3080</v>
      </c>
      <c r="R36" s="5399" t="s">
        <v>3081</v>
      </c>
      <c r="S36" s="5399"/>
      <c r="T36" s="5401" t="s">
        <v>3082</v>
      </c>
    </row>
    <row r="37" spans="5:20" s="42" customFormat="1">
      <c r="E37" s="70"/>
      <c r="H37"/>
      <c r="I37"/>
      <c r="J37"/>
      <c r="K37"/>
      <c r="L37" s="2887"/>
      <c r="M37" s="5392"/>
      <c r="N37"/>
      <c r="O37" s="5397">
        <v>6</v>
      </c>
      <c r="P37" s="5395" t="s">
        <v>21</v>
      </c>
      <c r="Q37" s="4005" t="s">
        <v>3083</v>
      </c>
      <c r="R37" s="5398" t="s">
        <v>3084</v>
      </c>
      <c r="S37" s="5399"/>
      <c r="T37" s="2449" t="s">
        <v>3085</v>
      </c>
    </row>
    <row r="38" spans="5:20" s="42" customFormat="1" ht="20.399999999999999">
      <c r="E38" s="70"/>
      <c r="H38"/>
      <c r="I38"/>
      <c r="J38"/>
      <c r="K38"/>
      <c r="L38" s="2887"/>
      <c r="M38" s="5392"/>
      <c r="N38"/>
      <c r="O38" s="5468">
        <v>7</v>
      </c>
      <c r="P38" s="5395" t="s">
        <v>21</v>
      </c>
      <c r="Q38" s="5398" t="s">
        <v>3086</v>
      </c>
      <c r="R38" s="5399" t="s">
        <v>3087</v>
      </c>
      <c r="S38" s="5399"/>
      <c r="T38" s="5400" t="s">
        <v>3074</v>
      </c>
    </row>
    <row r="39" spans="5:20" s="42" customFormat="1">
      <c r="E39" s="70"/>
      <c r="H39"/>
      <c r="I39"/>
      <c r="J39"/>
      <c r="K39"/>
      <c r="L39" s="2887"/>
      <c r="M39" s="5392"/>
      <c r="N39"/>
      <c r="O39" s="5397">
        <v>8</v>
      </c>
      <c r="P39" s="5395" t="s">
        <v>21</v>
      </c>
      <c r="Q39" s="5398" t="s">
        <v>3088</v>
      </c>
      <c r="R39" s="5399" t="s">
        <v>3089</v>
      </c>
      <c r="S39" s="5399"/>
      <c r="T39" s="5400" t="s">
        <v>3090</v>
      </c>
    </row>
    <row r="40" spans="5:20" s="42" customFormat="1" ht="20.399999999999999">
      <c r="E40" s="70"/>
      <c r="H40"/>
      <c r="I40"/>
      <c r="J40"/>
      <c r="K40"/>
      <c r="L40" s="2887"/>
      <c r="M40" s="5392"/>
      <c r="N40"/>
      <c r="O40" s="5468">
        <v>9</v>
      </c>
      <c r="P40" s="5400" t="s">
        <v>21</v>
      </c>
      <c r="Q40" s="5398" t="s">
        <v>3091</v>
      </c>
      <c r="R40" s="5399" t="s">
        <v>3092</v>
      </c>
      <c r="S40" s="5399" t="s">
        <v>521</v>
      </c>
      <c r="T40" s="5400" t="s">
        <v>3093</v>
      </c>
    </row>
    <row r="41" spans="5:20" s="42" customFormat="1">
      <c r="E41" s="70"/>
      <c r="H41"/>
      <c r="I41"/>
      <c r="J41"/>
      <c r="K41"/>
      <c r="L41" s="2887"/>
      <c r="M41" s="5392"/>
      <c r="N41"/>
      <c r="O41" s="5397">
        <v>10</v>
      </c>
      <c r="P41" s="5400" t="s">
        <v>21</v>
      </c>
      <c r="Q41" s="5398" t="s">
        <v>3094</v>
      </c>
      <c r="R41" s="5398" t="s">
        <v>3095</v>
      </c>
      <c r="S41" s="5399"/>
      <c r="T41" s="5400" t="s">
        <v>3096</v>
      </c>
    </row>
    <row r="42" spans="5:20" s="42" customFormat="1" ht="20.399999999999999">
      <c r="E42" s="70"/>
      <c r="H42"/>
      <c r="I42"/>
      <c r="J42"/>
      <c r="K42"/>
      <c r="L42" s="2887"/>
      <c r="M42" s="5392"/>
      <c r="N42"/>
      <c r="O42" s="5468">
        <v>11</v>
      </c>
      <c r="P42" s="5400" t="s">
        <v>21</v>
      </c>
      <c r="Q42" s="5398" t="s">
        <v>3097</v>
      </c>
      <c r="R42" s="5398" t="s">
        <v>3098</v>
      </c>
      <c r="S42" s="5398"/>
      <c r="T42" s="5400" t="s">
        <v>3099</v>
      </c>
    </row>
    <row r="43" spans="5:20" s="42" customFormat="1" ht="20.399999999999999">
      <c r="E43" s="70"/>
      <c r="H43"/>
      <c r="I43"/>
      <c r="J43"/>
      <c r="K43"/>
      <c r="L43" s="2887"/>
      <c r="M43" s="5392"/>
      <c r="N43"/>
      <c r="O43" s="5397">
        <v>12</v>
      </c>
      <c r="P43" s="5400" t="s">
        <v>21</v>
      </c>
      <c r="Q43" s="5398" t="s">
        <v>3100</v>
      </c>
      <c r="R43" s="5399" t="s">
        <v>3101</v>
      </c>
      <c r="S43" s="5399" t="s">
        <v>521</v>
      </c>
      <c r="T43" s="5401" t="s">
        <v>3102</v>
      </c>
    </row>
    <row r="44" spans="5:20" s="42" customFormat="1">
      <c r="E44" s="70"/>
      <c r="H44"/>
      <c r="I44"/>
      <c r="J44"/>
      <c r="K44"/>
      <c r="L44" s="2887"/>
      <c r="M44" s="5392"/>
      <c r="N44"/>
      <c r="O44" s="5468">
        <v>13</v>
      </c>
      <c r="P44" s="5395" t="s">
        <v>21</v>
      </c>
      <c r="Q44" s="5398" t="s">
        <v>3103</v>
      </c>
      <c r="R44" s="5398" t="s">
        <v>3104</v>
      </c>
      <c r="S44" s="5399"/>
      <c r="T44" s="5400" t="s">
        <v>3105</v>
      </c>
    </row>
    <row r="45" spans="5:20" s="42" customFormat="1" ht="20.399999999999999">
      <c r="E45" s="70"/>
      <c r="O45" s="5397">
        <v>14</v>
      </c>
      <c r="P45" s="5400" t="s">
        <v>21</v>
      </c>
      <c r="Q45" s="5398" t="s">
        <v>3106</v>
      </c>
      <c r="R45" s="5399" t="s">
        <v>3107</v>
      </c>
      <c r="S45" s="5399" t="s">
        <v>521</v>
      </c>
      <c r="T45" s="5400" t="s">
        <v>3108</v>
      </c>
    </row>
    <row r="46" spans="5:20" s="42" customFormat="1" ht="13.8">
      <c r="E46" s="70"/>
      <c r="O46" s="5468">
        <v>15</v>
      </c>
      <c r="P46" s="5400" t="s">
        <v>21</v>
      </c>
      <c r="Q46" s="5398" t="s">
        <v>3109</v>
      </c>
      <c r="R46" s="5399" t="s">
        <v>3110</v>
      </c>
      <c r="S46" s="5399"/>
      <c r="T46" s="5400" t="s">
        <v>3111</v>
      </c>
    </row>
    <row r="47" spans="5:20" s="42" customFormat="1" ht="13.8">
      <c r="E47" s="70"/>
      <c r="O47" s="5397">
        <v>16</v>
      </c>
      <c r="P47" s="5395" t="s">
        <v>21</v>
      </c>
      <c r="Q47" s="5398" t="s">
        <v>3112</v>
      </c>
      <c r="R47" s="5398" t="s">
        <v>3113</v>
      </c>
      <c r="S47" s="5399"/>
      <c r="T47" s="5400" t="s">
        <v>3114</v>
      </c>
    </row>
    <row r="48" spans="5:20" s="42" customFormat="1" ht="13.8">
      <c r="E48" s="70"/>
      <c r="O48" s="5468">
        <v>17</v>
      </c>
      <c r="P48" s="5395" t="s">
        <v>21</v>
      </c>
      <c r="Q48" s="5398" t="s">
        <v>3115</v>
      </c>
      <c r="R48" s="5399" t="s">
        <v>3116</v>
      </c>
      <c r="S48" s="5399"/>
      <c r="T48" s="5400" t="s">
        <v>3117</v>
      </c>
    </row>
    <row r="49" spans="5:20" s="42" customFormat="1" ht="20.399999999999999">
      <c r="E49" s="70"/>
      <c r="O49" s="5397">
        <v>18</v>
      </c>
      <c r="P49" s="5395" t="s">
        <v>21</v>
      </c>
      <c r="Q49" s="5398" t="s">
        <v>3118</v>
      </c>
      <c r="R49" s="5398" t="s">
        <v>3119</v>
      </c>
      <c r="S49" s="5399"/>
      <c r="T49" s="5400" t="s">
        <v>3120</v>
      </c>
    </row>
    <row r="50" spans="5:20" s="42" customFormat="1" ht="20.399999999999999">
      <c r="E50" s="70"/>
      <c r="O50" s="5468">
        <v>19</v>
      </c>
      <c r="P50" s="5400" t="s">
        <v>21</v>
      </c>
      <c r="Q50" s="5398" t="s">
        <v>3121</v>
      </c>
      <c r="R50" s="5413" t="s">
        <v>3122</v>
      </c>
      <c r="S50" s="5399"/>
      <c r="T50" s="5401" t="s">
        <v>3123</v>
      </c>
    </row>
    <row r="51" spans="5:20" s="42" customFormat="1" ht="13.8">
      <c r="E51" s="70"/>
      <c r="O51" s="5397">
        <v>20</v>
      </c>
      <c r="P51" s="5404" t="s">
        <v>4</v>
      </c>
      <c r="Q51" s="5408" t="s">
        <v>3124</v>
      </c>
      <c r="R51" s="2447" t="s">
        <v>3125</v>
      </c>
      <c r="S51" s="5406" t="s">
        <v>521</v>
      </c>
      <c r="T51" s="5404" t="s">
        <v>2889</v>
      </c>
    </row>
    <row r="52" spans="5:20" s="42" customFormat="1" ht="13.8">
      <c r="E52" s="70"/>
      <c r="O52" s="5468">
        <v>21</v>
      </c>
      <c r="P52" s="5404" t="s">
        <v>4</v>
      </c>
      <c r="Q52" s="5408" t="s">
        <v>3126</v>
      </c>
      <c r="R52" s="5469" t="s">
        <v>3127</v>
      </c>
      <c r="S52" s="5406" t="s">
        <v>3128</v>
      </c>
      <c r="T52" s="5404" t="s">
        <v>3129</v>
      </c>
    </row>
    <row r="53" spans="5:20" s="42" customFormat="1" ht="20.399999999999999">
      <c r="E53" s="70"/>
      <c r="O53" s="5397">
        <v>22</v>
      </c>
      <c r="P53" s="5407" t="s">
        <v>4</v>
      </c>
      <c r="Q53" s="2452" t="s">
        <v>3130</v>
      </c>
      <c r="R53" s="5406" t="s">
        <v>3131</v>
      </c>
      <c r="S53" s="5406" t="s">
        <v>521</v>
      </c>
      <c r="T53" s="5404" t="s">
        <v>3132</v>
      </c>
    </row>
    <row r="54" spans="5:20" s="42" customFormat="1" ht="13.8">
      <c r="E54" s="70"/>
      <c r="O54" s="5468">
        <v>23</v>
      </c>
      <c r="P54" s="5404" t="s">
        <v>4</v>
      </c>
      <c r="Q54" s="5408" t="s">
        <v>3133</v>
      </c>
      <c r="R54" s="5406" t="s">
        <v>3131</v>
      </c>
      <c r="S54" s="5406" t="s">
        <v>521</v>
      </c>
      <c r="T54" s="5409" t="s">
        <v>3134</v>
      </c>
    </row>
    <row r="55" spans="5:20" s="42" customFormat="1" ht="20.399999999999999">
      <c r="E55" s="70"/>
      <c r="O55" s="5397">
        <v>24</v>
      </c>
      <c r="P55" s="5404" t="s">
        <v>4</v>
      </c>
      <c r="Q55" s="2452" t="s">
        <v>3135</v>
      </c>
      <c r="R55" s="5406" t="s">
        <v>3136</v>
      </c>
      <c r="S55" s="5406" t="s">
        <v>521</v>
      </c>
      <c r="T55" s="5404" t="s">
        <v>3137</v>
      </c>
    </row>
    <row r="56" spans="5:20" s="42" customFormat="1" ht="20.399999999999999">
      <c r="E56" s="70"/>
      <c r="O56" s="5468">
        <v>25</v>
      </c>
      <c r="P56" s="5404" t="s">
        <v>4</v>
      </c>
      <c r="Q56" s="5408" t="s">
        <v>3138</v>
      </c>
      <c r="R56" s="5406" t="s">
        <v>3139</v>
      </c>
      <c r="S56" s="5406" t="s">
        <v>521</v>
      </c>
      <c r="T56" s="5404" t="s">
        <v>3140</v>
      </c>
    </row>
    <row r="57" spans="5:20" s="42" customFormat="1" ht="13.8">
      <c r="E57" s="70"/>
      <c r="O57" s="5397">
        <v>26</v>
      </c>
      <c r="P57" s="5407" t="s">
        <v>4</v>
      </c>
      <c r="Q57" s="5470" t="s">
        <v>3141</v>
      </c>
      <c r="R57" s="5410" t="s">
        <v>3142</v>
      </c>
      <c r="S57" s="5410" t="s">
        <v>521</v>
      </c>
      <c r="T57" s="5407" t="s">
        <v>3143</v>
      </c>
    </row>
    <row r="58" spans="5:20" s="42" customFormat="1" ht="13.8">
      <c r="E58" s="70"/>
      <c r="O58" s="5468">
        <v>27</v>
      </c>
      <c r="P58" s="5407" t="s">
        <v>4</v>
      </c>
      <c r="Q58" s="5408" t="s">
        <v>3144</v>
      </c>
      <c r="R58" s="5406" t="s">
        <v>3145</v>
      </c>
      <c r="S58" s="5406" t="s">
        <v>521</v>
      </c>
      <c r="T58" s="5404" t="s">
        <v>3146</v>
      </c>
    </row>
    <row r="59" spans="5:20" s="42" customFormat="1" ht="13.8">
      <c r="E59" s="70"/>
      <c r="O59" s="5397">
        <v>28</v>
      </c>
      <c r="P59" s="5404" t="s">
        <v>4</v>
      </c>
      <c r="Q59" s="5408" t="s">
        <v>3147</v>
      </c>
      <c r="R59" s="5408" t="s">
        <v>3148</v>
      </c>
      <c r="S59" s="5408" t="s">
        <v>521</v>
      </c>
      <c r="T59" s="5404" t="s">
        <v>3149</v>
      </c>
    </row>
    <row r="60" spans="5:20" s="42" customFormat="1" ht="13.8">
      <c r="E60" s="70"/>
      <c r="O60" s="5468">
        <v>29</v>
      </c>
      <c r="P60" s="5404" t="s">
        <v>4</v>
      </c>
      <c r="Q60" s="5408" t="s">
        <v>3150</v>
      </c>
      <c r="R60" s="5408" t="s">
        <v>3151</v>
      </c>
      <c r="S60" s="5406" t="s">
        <v>521</v>
      </c>
      <c r="T60" s="5404" t="s">
        <v>3152</v>
      </c>
    </row>
    <row r="61" spans="5:20" s="42" customFormat="1" ht="20.399999999999999">
      <c r="E61" s="70"/>
      <c r="O61" s="5397">
        <v>30</v>
      </c>
      <c r="P61" s="5404" t="s">
        <v>4</v>
      </c>
      <c r="Q61" s="2452" t="s">
        <v>3153</v>
      </c>
      <c r="R61" s="5406" t="s">
        <v>3131</v>
      </c>
      <c r="S61" s="5406" t="s">
        <v>521</v>
      </c>
      <c r="T61" s="5471" t="s">
        <v>3154</v>
      </c>
    </row>
    <row r="62" spans="5:20" s="42" customFormat="1" ht="20.399999999999999">
      <c r="E62" s="70"/>
      <c r="O62" s="5468">
        <v>31</v>
      </c>
      <c r="P62" s="5404" t="s">
        <v>4</v>
      </c>
      <c r="Q62" s="5408" t="s">
        <v>3155</v>
      </c>
      <c r="R62" s="5406" t="s">
        <v>3156</v>
      </c>
      <c r="S62" s="5406" t="s">
        <v>521</v>
      </c>
      <c r="T62" s="5404" t="s">
        <v>3157</v>
      </c>
    </row>
    <row r="63" spans="5:20" s="42" customFormat="1" ht="20.399999999999999">
      <c r="E63" s="70"/>
      <c r="O63" s="5397">
        <v>32</v>
      </c>
      <c r="P63" s="5404" t="s">
        <v>3869</v>
      </c>
      <c r="Q63" s="5472" t="s">
        <v>3870</v>
      </c>
      <c r="R63" s="5406" t="s">
        <v>3871</v>
      </c>
      <c r="S63" s="5404" t="s">
        <v>521</v>
      </c>
      <c r="T63" s="5404" t="s">
        <v>3872</v>
      </c>
    </row>
    <row r="64" spans="5:20" s="42" customFormat="1" ht="13.8">
      <c r="O64" s="5468">
        <v>33</v>
      </c>
      <c r="P64" s="5407" t="s">
        <v>3869</v>
      </c>
      <c r="Q64" s="5406" t="s">
        <v>3873</v>
      </c>
      <c r="R64" s="5406" t="s">
        <v>3912</v>
      </c>
      <c r="S64" s="5404" t="s">
        <v>3874</v>
      </c>
      <c r="T64" s="5404" t="s">
        <v>3875</v>
      </c>
    </row>
    <row r="65" spans="15:20" s="42" customFormat="1" ht="13.8">
      <c r="O65" s="5397">
        <v>34</v>
      </c>
      <c r="P65" s="5407" t="s">
        <v>3869</v>
      </c>
      <c r="Q65" s="5406" t="s">
        <v>3876</v>
      </c>
      <c r="R65" s="5406" t="s">
        <v>3877</v>
      </c>
      <c r="S65" s="5404" t="s">
        <v>521</v>
      </c>
      <c r="T65" s="5404" t="s">
        <v>3878</v>
      </c>
    </row>
    <row r="66" spans="15:20" s="42" customFormat="1" ht="13.8">
      <c r="O66" s="5468">
        <v>35</v>
      </c>
      <c r="P66" s="5407" t="s">
        <v>3869</v>
      </c>
      <c r="Q66" s="5399" t="s">
        <v>3879</v>
      </c>
      <c r="R66" s="5406" t="s">
        <v>3880</v>
      </c>
      <c r="S66" s="5404" t="s">
        <v>3881</v>
      </c>
      <c r="T66" s="5404" t="s">
        <v>3882</v>
      </c>
    </row>
    <row r="67" spans="15:20" s="42" customFormat="1" ht="13.8">
      <c r="O67" s="5397">
        <v>36</v>
      </c>
      <c r="P67" s="5407" t="s">
        <v>3869</v>
      </c>
      <c r="Q67" s="5399" t="s">
        <v>3883</v>
      </c>
      <c r="R67" s="5406" t="s">
        <v>3884</v>
      </c>
      <c r="S67" s="5404" t="s">
        <v>3885</v>
      </c>
      <c r="T67" s="5404" t="s">
        <v>3886</v>
      </c>
    </row>
    <row r="68" spans="15:20" s="42" customFormat="1" ht="13.8">
      <c r="O68" s="5468">
        <v>37</v>
      </c>
      <c r="P68" s="5407" t="s">
        <v>3869</v>
      </c>
      <c r="Q68" s="5399" t="s">
        <v>3883</v>
      </c>
      <c r="R68" s="5406" t="s">
        <v>3884</v>
      </c>
      <c r="S68" s="5404" t="s">
        <v>3885</v>
      </c>
      <c r="T68" s="5404" t="s">
        <v>3887</v>
      </c>
    </row>
    <row r="69" spans="15:20" s="42" customFormat="1" ht="13.8">
      <c r="O69" s="5397">
        <v>38</v>
      </c>
      <c r="P69" s="5407" t="s">
        <v>3869</v>
      </c>
      <c r="Q69" s="5406" t="s">
        <v>3888</v>
      </c>
      <c r="R69" s="5406" t="s">
        <v>3889</v>
      </c>
      <c r="S69" s="5404" t="s">
        <v>521</v>
      </c>
      <c r="T69" s="5404" t="s">
        <v>3890</v>
      </c>
    </row>
    <row r="70" spans="15:20" s="42" customFormat="1" ht="13.8">
      <c r="O70" s="5468">
        <v>39</v>
      </c>
      <c r="P70" s="5407" t="s">
        <v>3869</v>
      </c>
      <c r="Q70" s="5399" t="s">
        <v>3891</v>
      </c>
      <c r="R70" s="5406" t="s">
        <v>3892</v>
      </c>
      <c r="S70" s="5404" t="s">
        <v>521</v>
      </c>
      <c r="T70" s="5404" t="s">
        <v>3893</v>
      </c>
    </row>
    <row r="71" spans="15:20" s="42" customFormat="1" ht="13.8">
      <c r="O71" s="5397">
        <v>40</v>
      </c>
      <c r="P71" s="5407" t="s">
        <v>3869</v>
      </c>
      <c r="Q71" s="5399" t="s">
        <v>3894</v>
      </c>
      <c r="R71" s="5405" t="s">
        <v>3895</v>
      </c>
      <c r="S71" s="5404" t="s">
        <v>521</v>
      </c>
      <c r="T71" s="5404" t="s">
        <v>3896</v>
      </c>
    </row>
    <row r="72" spans="15:20" s="42" customFormat="1" ht="13.8">
      <c r="O72" s="5468">
        <v>41</v>
      </c>
      <c r="P72" s="5404" t="s">
        <v>3869</v>
      </c>
      <c r="Q72" s="5399" t="s">
        <v>3897</v>
      </c>
      <c r="R72" s="2447" t="s">
        <v>3898</v>
      </c>
      <c r="S72" s="5404" t="s">
        <v>521</v>
      </c>
      <c r="T72" s="5404" t="s">
        <v>3899</v>
      </c>
    </row>
    <row r="73" spans="15:20" s="42" customFormat="1" ht="20.399999999999999">
      <c r="O73" s="5397">
        <v>42</v>
      </c>
      <c r="P73" s="5404" t="s">
        <v>3869</v>
      </c>
      <c r="Q73" s="5406" t="s">
        <v>3900</v>
      </c>
      <c r="R73" s="5469" t="s">
        <v>3901</v>
      </c>
      <c r="S73" s="5408" t="s">
        <v>3902</v>
      </c>
      <c r="T73" s="5404" t="s">
        <v>3903</v>
      </c>
    </row>
    <row r="74" spans="15:20" s="42" customFormat="1" ht="20.399999999999999">
      <c r="O74" s="5468">
        <v>43</v>
      </c>
      <c r="P74" s="5404" t="s">
        <v>3869</v>
      </c>
      <c r="Q74" s="5406" t="s">
        <v>3904</v>
      </c>
      <c r="R74" s="5408" t="s">
        <v>3901</v>
      </c>
      <c r="S74" s="5408" t="s">
        <v>3902</v>
      </c>
      <c r="T74" s="5404" t="s">
        <v>3905</v>
      </c>
    </row>
    <row r="75" spans="15:20" s="42" customFormat="1" ht="20.399999999999999">
      <c r="O75" s="5397">
        <v>44</v>
      </c>
      <c r="P75" s="5404" t="s">
        <v>3869</v>
      </c>
      <c r="Q75" s="5406" t="s">
        <v>3906</v>
      </c>
      <c r="R75" s="5408" t="s">
        <v>3901</v>
      </c>
      <c r="S75" s="5408" t="s">
        <v>3902</v>
      </c>
      <c r="T75" s="5404" t="s">
        <v>3907</v>
      </c>
    </row>
    <row r="76" spans="15:20" s="42" customFormat="1" ht="20.399999999999999">
      <c r="O76" s="5468">
        <v>45</v>
      </c>
      <c r="P76" s="5404" t="s">
        <v>3869</v>
      </c>
      <c r="Q76" s="5406" t="s">
        <v>3908</v>
      </c>
      <c r="R76" s="5408" t="s">
        <v>3901</v>
      </c>
      <c r="S76" s="5408" t="s">
        <v>3902</v>
      </c>
      <c r="T76" s="5404" t="s">
        <v>3909</v>
      </c>
    </row>
    <row r="77" spans="15:20" s="42" customFormat="1" ht="20.399999999999999">
      <c r="O77" s="5397">
        <v>46</v>
      </c>
      <c r="P77" s="5404" t="s">
        <v>3869</v>
      </c>
      <c r="Q77" s="5406" t="s">
        <v>3910</v>
      </c>
      <c r="R77" s="5408" t="s">
        <v>3901</v>
      </c>
      <c r="S77" s="5408" t="s">
        <v>3902</v>
      </c>
      <c r="T77" s="5404" t="s">
        <v>3911</v>
      </c>
    </row>
    <row r="78" spans="15:20" s="42" customFormat="1" ht="20.399999999999999">
      <c r="O78" s="5468">
        <v>47</v>
      </c>
      <c r="P78" s="5404" t="s">
        <v>16</v>
      </c>
      <c r="Q78" s="5406" t="s">
        <v>3158</v>
      </c>
      <c r="R78" s="5406" t="s">
        <v>3159</v>
      </c>
      <c r="S78" s="5476" t="s">
        <v>521</v>
      </c>
      <c r="T78" s="5404" t="s">
        <v>3160</v>
      </c>
    </row>
    <row r="79" spans="15:20" s="42" customFormat="1" ht="20.399999999999999">
      <c r="O79" s="5397">
        <v>48</v>
      </c>
      <c r="P79" s="5404" t="s">
        <v>16</v>
      </c>
      <c r="Q79" s="5406" t="s">
        <v>3161</v>
      </c>
      <c r="R79" s="5406" t="s">
        <v>3162</v>
      </c>
      <c r="S79" s="5476" t="s">
        <v>521</v>
      </c>
      <c r="T79" s="5404" t="s">
        <v>3163</v>
      </c>
    </row>
    <row r="80" spans="15:20" s="42" customFormat="1" ht="30.6">
      <c r="O80" s="5468">
        <v>49</v>
      </c>
      <c r="P80" s="5404" t="s">
        <v>16</v>
      </c>
      <c r="Q80" s="5406" t="s">
        <v>3164</v>
      </c>
      <c r="R80" s="5406" t="s">
        <v>3165</v>
      </c>
      <c r="S80" s="5406" t="s">
        <v>2896</v>
      </c>
      <c r="T80" s="5404" t="s">
        <v>2894</v>
      </c>
    </row>
    <row r="81" spans="15:20" s="42" customFormat="1" ht="20.399999999999999">
      <c r="O81" s="5397">
        <v>50</v>
      </c>
      <c r="P81" s="5404" t="s">
        <v>16</v>
      </c>
      <c r="Q81" s="5406" t="s">
        <v>3166</v>
      </c>
      <c r="R81" s="5406" t="s">
        <v>3167</v>
      </c>
      <c r="S81" s="5476" t="s">
        <v>521</v>
      </c>
      <c r="T81" s="5404" t="s">
        <v>3168</v>
      </c>
    </row>
    <row r="82" spans="15:20" s="42" customFormat="1" ht="51">
      <c r="O82" s="5468">
        <v>51</v>
      </c>
      <c r="P82" s="5404" t="s">
        <v>16</v>
      </c>
      <c r="Q82" s="5406" t="s">
        <v>3169</v>
      </c>
      <c r="R82" s="5406" t="s">
        <v>3170</v>
      </c>
      <c r="S82" s="5406" t="s">
        <v>3171</v>
      </c>
      <c r="T82" s="5404" t="s">
        <v>3172</v>
      </c>
    </row>
    <row r="83" spans="15:20" s="42" customFormat="1" ht="13.8">
      <c r="O83" s="5397">
        <v>52</v>
      </c>
      <c r="P83" s="5404" t="s">
        <v>16</v>
      </c>
      <c r="Q83" s="5406" t="s">
        <v>2887</v>
      </c>
      <c r="R83" s="5406" t="s">
        <v>3173</v>
      </c>
      <c r="S83" s="5406" t="s">
        <v>521</v>
      </c>
      <c r="T83" s="5404" t="s">
        <v>2888</v>
      </c>
    </row>
    <row r="84" spans="15:20" s="42" customFormat="1" ht="30.6">
      <c r="O84" s="5468">
        <v>53</v>
      </c>
      <c r="P84" s="5404" t="s">
        <v>16</v>
      </c>
      <c r="Q84" s="5406" t="s">
        <v>3174</v>
      </c>
      <c r="R84" s="5406" t="s">
        <v>3175</v>
      </c>
      <c r="S84" s="5476" t="s">
        <v>521</v>
      </c>
      <c r="T84" s="5404" t="s">
        <v>3176</v>
      </c>
    </row>
    <row r="85" spans="15:20" s="42" customFormat="1" ht="30.6">
      <c r="O85" s="5397">
        <v>54</v>
      </c>
      <c r="P85" s="5404" t="s">
        <v>16</v>
      </c>
      <c r="Q85" s="5406" t="s">
        <v>3177</v>
      </c>
      <c r="R85" s="5406" t="s">
        <v>3178</v>
      </c>
      <c r="S85" s="5406" t="s">
        <v>3179</v>
      </c>
      <c r="T85" s="5404" t="s">
        <v>2891</v>
      </c>
    </row>
    <row r="86" spans="15:20" s="42" customFormat="1" ht="30.6">
      <c r="O86" s="5468">
        <v>55</v>
      </c>
      <c r="P86" s="5404" t="s">
        <v>16</v>
      </c>
      <c r="Q86" s="5406" t="s">
        <v>2892</v>
      </c>
      <c r="R86" s="5406" t="s">
        <v>3180</v>
      </c>
      <c r="S86" s="5406" t="s">
        <v>3181</v>
      </c>
      <c r="T86" s="5404" t="s">
        <v>2893</v>
      </c>
    </row>
    <row r="87" spans="15:20" s="42" customFormat="1" ht="13.8">
      <c r="O87" s="5397">
        <v>56</v>
      </c>
      <c r="P87" s="5404" t="s">
        <v>16</v>
      </c>
      <c r="Q87" s="5406" t="s">
        <v>3182</v>
      </c>
      <c r="R87" s="5406" t="s">
        <v>3183</v>
      </c>
      <c r="S87" s="5476" t="s">
        <v>521</v>
      </c>
      <c r="T87" s="5404" t="s">
        <v>3184</v>
      </c>
    </row>
    <row r="88" spans="15:20" s="42" customFormat="1" ht="20.399999999999999">
      <c r="O88" s="5468">
        <v>57</v>
      </c>
      <c r="P88" s="5404" t="s">
        <v>16</v>
      </c>
      <c r="Q88" s="5406" t="s">
        <v>3185</v>
      </c>
      <c r="R88" s="5406" t="s">
        <v>3186</v>
      </c>
      <c r="S88" s="5476" t="s">
        <v>521</v>
      </c>
      <c r="T88" s="5404" t="s">
        <v>3187</v>
      </c>
    </row>
    <row r="89" spans="15:20" s="42" customFormat="1" ht="13.8">
      <c r="O89" s="5397">
        <v>58</v>
      </c>
      <c r="P89" s="5404" t="s">
        <v>16</v>
      </c>
      <c r="Q89" s="5406" t="s">
        <v>3188</v>
      </c>
      <c r="R89" s="5406" t="s">
        <v>3189</v>
      </c>
      <c r="S89" s="5476" t="s">
        <v>521</v>
      </c>
      <c r="T89" s="5404" t="s">
        <v>3190</v>
      </c>
    </row>
    <row r="90" spans="15:20" s="42" customFormat="1" ht="30.6">
      <c r="O90" s="5468">
        <v>59</v>
      </c>
      <c r="P90" s="5404" t="s">
        <v>16</v>
      </c>
      <c r="Q90" s="5406" t="s">
        <v>3191</v>
      </c>
      <c r="R90" s="5406" t="s">
        <v>3192</v>
      </c>
      <c r="S90" s="5476" t="s">
        <v>521</v>
      </c>
      <c r="T90" s="5404" t="s">
        <v>3193</v>
      </c>
    </row>
    <row r="91" spans="15:20" s="42" customFormat="1" ht="20.399999999999999">
      <c r="O91" s="5397">
        <v>60</v>
      </c>
      <c r="P91" s="5404" t="s">
        <v>16</v>
      </c>
      <c r="Q91" s="5406" t="s">
        <v>3194</v>
      </c>
      <c r="R91" s="5406" t="s">
        <v>3195</v>
      </c>
      <c r="S91" s="5476" t="s">
        <v>521</v>
      </c>
      <c r="T91" s="5404" t="s">
        <v>3196</v>
      </c>
    </row>
    <row r="92" spans="15:20" s="42" customFormat="1" ht="30.6">
      <c r="O92" s="5468">
        <v>61</v>
      </c>
      <c r="P92" s="5404" t="s">
        <v>16</v>
      </c>
      <c r="Q92" s="5406" t="s">
        <v>3197</v>
      </c>
      <c r="R92" s="5406" t="s">
        <v>3198</v>
      </c>
      <c r="S92" s="5476" t="s">
        <v>521</v>
      </c>
      <c r="T92" s="5404" t="s">
        <v>3199</v>
      </c>
    </row>
    <row r="93" spans="15:20" s="42" customFormat="1" ht="13.8">
      <c r="O93" s="5397">
        <v>62</v>
      </c>
      <c r="P93" s="5404" t="s">
        <v>16</v>
      </c>
      <c r="Q93" s="5406" t="s">
        <v>3200</v>
      </c>
      <c r="R93" s="5406" t="s">
        <v>3201</v>
      </c>
      <c r="S93" s="5476" t="s">
        <v>521</v>
      </c>
      <c r="T93" s="5404" t="s">
        <v>3202</v>
      </c>
    </row>
    <row r="94" spans="15:20" s="42" customFormat="1" ht="30.6">
      <c r="O94" s="5468">
        <v>63</v>
      </c>
      <c r="P94" s="5404" t="s">
        <v>16</v>
      </c>
      <c r="Q94" s="5406" t="s">
        <v>3203</v>
      </c>
      <c r="R94" s="5406" t="s">
        <v>3204</v>
      </c>
      <c r="S94" s="5406" t="s">
        <v>521</v>
      </c>
      <c r="T94" s="5404" t="s">
        <v>2897</v>
      </c>
    </row>
    <row r="95" spans="15:20" s="42" customFormat="1" ht="30.6">
      <c r="O95" s="5397">
        <v>64</v>
      </c>
      <c r="P95" s="5404" t="s">
        <v>16</v>
      </c>
      <c r="Q95" s="5406" t="s">
        <v>3205</v>
      </c>
      <c r="R95" s="5406" t="s">
        <v>2886</v>
      </c>
      <c r="S95" s="5406" t="s">
        <v>3206</v>
      </c>
      <c r="T95" s="5404" t="s">
        <v>2898</v>
      </c>
    </row>
    <row r="96" spans="15:20" s="42" customFormat="1" ht="13.8">
      <c r="O96" s="5468">
        <v>65</v>
      </c>
      <c r="P96" s="5404" t="s">
        <v>16</v>
      </c>
      <c r="Q96" s="5406" t="s">
        <v>2899</v>
      </c>
      <c r="R96" s="5406" t="s">
        <v>3207</v>
      </c>
      <c r="S96" s="5406" t="s">
        <v>3208</v>
      </c>
      <c r="T96" s="5404" t="s">
        <v>2900</v>
      </c>
    </row>
    <row r="97" spans="15:20" s="42" customFormat="1" ht="30.6">
      <c r="O97" s="5397">
        <v>66</v>
      </c>
      <c r="P97" s="5404" t="s">
        <v>16</v>
      </c>
      <c r="Q97" s="5406" t="s">
        <v>3209</v>
      </c>
      <c r="R97" s="5406" t="s">
        <v>3210</v>
      </c>
      <c r="S97" s="5476" t="s">
        <v>521</v>
      </c>
      <c r="T97" s="5404" t="s">
        <v>3211</v>
      </c>
    </row>
    <row r="98" spans="15:20" s="42" customFormat="1" ht="30.6">
      <c r="O98" s="5468">
        <v>67</v>
      </c>
      <c r="P98" s="5404" t="s">
        <v>16</v>
      </c>
      <c r="Q98" s="5406" t="s">
        <v>3212</v>
      </c>
      <c r="R98" s="5406" t="s">
        <v>3213</v>
      </c>
      <c r="S98" s="5406" t="s">
        <v>3214</v>
      </c>
      <c r="T98" s="5404" t="s">
        <v>2890</v>
      </c>
    </row>
    <row r="99" spans="15:20" s="42" customFormat="1" ht="30.6">
      <c r="O99" s="5397">
        <v>68</v>
      </c>
      <c r="P99" s="5404" t="s">
        <v>16</v>
      </c>
      <c r="Q99" s="5406" t="s">
        <v>3215</v>
      </c>
      <c r="R99" s="5406" t="s">
        <v>2686</v>
      </c>
      <c r="S99" s="5406" t="s">
        <v>3216</v>
      </c>
      <c r="T99" s="5404" t="s">
        <v>2895</v>
      </c>
    </row>
    <row r="100" spans="15:20" s="42" customFormat="1" ht="13.8">
      <c r="O100" s="5468">
        <v>69</v>
      </c>
      <c r="P100" s="5404" t="s">
        <v>16</v>
      </c>
      <c r="Q100" s="5406" t="s">
        <v>2901</v>
      </c>
      <c r="R100" s="5406" t="s">
        <v>3217</v>
      </c>
      <c r="S100" s="5406" t="s">
        <v>3218</v>
      </c>
      <c r="T100" s="5404" t="s">
        <v>2902</v>
      </c>
    </row>
    <row r="101" spans="15:20" s="42" customFormat="1" ht="13.8">
      <c r="O101" s="5397">
        <v>70</v>
      </c>
      <c r="P101" s="5404" t="s">
        <v>16</v>
      </c>
      <c r="Q101" s="5406" t="s">
        <v>3219</v>
      </c>
      <c r="R101" s="5406" t="s">
        <v>3220</v>
      </c>
      <c r="S101" s="5406" t="s">
        <v>521</v>
      </c>
      <c r="T101" s="5404" t="s">
        <v>3221</v>
      </c>
    </row>
    <row r="102" spans="15:20" s="42" customFormat="1" ht="13.8">
      <c r="O102" s="5468">
        <v>71</v>
      </c>
      <c r="P102" s="5404" t="s">
        <v>16</v>
      </c>
      <c r="Q102" s="5406" t="s">
        <v>3222</v>
      </c>
      <c r="R102" s="5406" t="s">
        <v>3223</v>
      </c>
      <c r="S102" s="5476" t="s">
        <v>521</v>
      </c>
      <c r="T102" s="5404" t="s">
        <v>3224</v>
      </c>
    </row>
    <row r="103" spans="15:20" s="42" customFormat="1" ht="13.8">
      <c r="O103" s="2451"/>
      <c r="P103" s="2448"/>
      <c r="Q103" s="5473"/>
      <c r="R103" s="5473"/>
      <c r="S103" s="5477"/>
      <c r="T103" s="5474"/>
    </row>
    <row r="104" spans="15:20" s="42" customFormat="1" ht="13.8">
      <c r="O104" s="2451"/>
      <c r="P104" s="2451"/>
      <c r="Q104" s="5411"/>
      <c r="R104" s="5411"/>
      <c r="S104" s="5412"/>
      <c r="T104" s="5412"/>
    </row>
    <row r="105" spans="15:20" s="42" customFormat="1" ht="13.8">
      <c r="O105" s="5478"/>
      <c r="P105" s="5478"/>
      <c r="Q105" s="5478"/>
      <c r="R105" s="5478"/>
      <c r="S105" s="5478"/>
      <c r="T105" s="5478"/>
    </row>
    <row r="106" spans="15:20" s="42" customFormat="1" thickBot="1">
      <c r="O106" s="4159" t="s">
        <v>326</v>
      </c>
      <c r="P106" s="4159" t="s">
        <v>69</v>
      </c>
      <c r="Q106" s="4159" t="s">
        <v>517</v>
      </c>
      <c r="R106" s="4159" t="s">
        <v>518</v>
      </c>
      <c r="S106" s="4160" t="s">
        <v>2871</v>
      </c>
      <c r="T106" s="4160" t="s">
        <v>332</v>
      </c>
    </row>
    <row r="107" spans="15:20" s="42" customFormat="1" ht="20.399999999999999">
      <c r="O107" s="5397">
        <v>1</v>
      </c>
      <c r="P107" s="5400" t="s">
        <v>61</v>
      </c>
      <c r="Q107" s="5399" t="s">
        <v>3225</v>
      </c>
      <c r="R107" s="5398" t="s">
        <v>3226</v>
      </c>
      <c r="S107" s="5399" t="s">
        <v>3227</v>
      </c>
      <c r="T107" s="5400" t="s">
        <v>3228</v>
      </c>
    </row>
    <row r="108" spans="15:20" s="42" customFormat="1" ht="20.399999999999999">
      <c r="O108" s="5397">
        <v>2</v>
      </c>
      <c r="P108" s="5400" t="s">
        <v>61</v>
      </c>
      <c r="Q108" s="5398" t="s">
        <v>3225</v>
      </c>
      <c r="R108" s="5399" t="s">
        <v>3226</v>
      </c>
      <c r="S108" s="5399" t="s">
        <v>3227</v>
      </c>
      <c r="T108" s="5400" t="s">
        <v>3229</v>
      </c>
    </row>
    <row r="109" spans="15:20" s="42" customFormat="1" ht="30.6">
      <c r="O109" s="5397">
        <v>3</v>
      </c>
      <c r="P109" s="5400" t="s">
        <v>61</v>
      </c>
      <c r="Q109" s="5398" t="s">
        <v>3230</v>
      </c>
      <c r="R109" s="4005" t="s">
        <v>3231</v>
      </c>
      <c r="S109" s="5399" t="s">
        <v>3232</v>
      </c>
      <c r="T109" s="5401" t="s">
        <v>3233</v>
      </c>
    </row>
    <row r="110" spans="15:20" s="42" customFormat="1" ht="30.6">
      <c r="O110" s="5397">
        <v>4</v>
      </c>
      <c r="P110" s="5400" t="s">
        <v>61</v>
      </c>
      <c r="Q110" s="5398" t="s">
        <v>3230</v>
      </c>
      <c r="R110" s="5413" t="s">
        <v>3231</v>
      </c>
      <c r="S110" s="5399" t="s">
        <v>3232</v>
      </c>
      <c r="T110" s="5401" t="s">
        <v>3234</v>
      </c>
    </row>
    <row r="111" spans="15:20" s="42" customFormat="1" ht="30.6">
      <c r="O111" s="5397">
        <v>5</v>
      </c>
      <c r="P111" s="5400" t="s">
        <v>61</v>
      </c>
      <c r="Q111" s="5398" t="s">
        <v>3235</v>
      </c>
      <c r="R111" s="5413" t="s">
        <v>2824</v>
      </c>
      <c r="S111" s="5399" t="s">
        <v>3236</v>
      </c>
      <c r="T111" s="5400" t="s">
        <v>3237</v>
      </c>
    </row>
    <row r="112" spans="15:20" s="42" customFormat="1" ht="20.399999999999999">
      <c r="O112" s="5397">
        <v>6</v>
      </c>
      <c r="P112" s="5400" t="s">
        <v>61</v>
      </c>
      <c r="Q112" s="5398" t="s">
        <v>2826</v>
      </c>
      <c r="R112" s="5403" t="s">
        <v>3238</v>
      </c>
      <c r="S112" s="5399" t="s">
        <v>1953</v>
      </c>
      <c r="T112" s="5400" t="s">
        <v>2827</v>
      </c>
    </row>
    <row r="113" spans="15:20" s="42" customFormat="1" ht="20.399999999999999">
      <c r="O113" s="5397">
        <v>7</v>
      </c>
      <c r="P113" s="5400" t="s">
        <v>61</v>
      </c>
      <c r="Q113" s="4005" t="s">
        <v>3239</v>
      </c>
      <c r="R113" s="5399" t="s">
        <v>3240</v>
      </c>
      <c r="S113" s="5399" t="s">
        <v>3241</v>
      </c>
      <c r="T113" s="5400" t="s">
        <v>3242</v>
      </c>
    </row>
    <row r="114" spans="15:20" s="42" customFormat="1" ht="13.8">
      <c r="O114" s="5397">
        <v>8</v>
      </c>
      <c r="P114" s="5400" t="s">
        <v>61</v>
      </c>
      <c r="Q114" s="5398" t="s">
        <v>3243</v>
      </c>
      <c r="R114" s="5399" t="s">
        <v>3244</v>
      </c>
      <c r="S114" s="5399" t="s">
        <v>3232</v>
      </c>
      <c r="T114" s="5400" t="s">
        <v>3245</v>
      </c>
    </row>
    <row r="115" spans="15:20" s="42" customFormat="1" ht="20.399999999999999">
      <c r="O115" s="5397">
        <v>9</v>
      </c>
      <c r="P115" s="5400" t="s">
        <v>61</v>
      </c>
      <c r="Q115" s="5398" t="s">
        <v>3246</v>
      </c>
      <c r="R115" s="5399" t="s">
        <v>3247</v>
      </c>
      <c r="S115" s="5399" t="s">
        <v>3232</v>
      </c>
      <c r="T115" s="5401" t="s">
        <v>3248</v>
      </c>
    </row>
    <row r="116" spans="15:20" s="42" customFormat="1" ht="20.399999999999999">
      <c r="O116" s="5397">
        <v>10</v>
      </c>
      <c r="P116" s="5400" t="s">
        <v>61</v>
      </c>
      <c r="Q116" s="5398" t="s">
        <v>3246</v>
      </c>
      <c r="R116" s="5399" t="s">
        <v>3247</v>
      </c>
      <c r="S116" s="5399" t="s">
        <v>3232</v>
      </c>
      <c r="T116" s="5400" t="s">
        <v>3249</v>
      </c>
    </row>
    <row r="117" spans="15:20" s="42" customFormat="1" ht="13.8">
      <c r="O117" s="5397">
        <v>11</v>
      </c>
      <c r="P117" s="5400" t="s">
        <v>16</v>
      </c>
      <c r="Q117" s="5398" t="s">
        <v>3250</v>
      </c>
      <c r="R117" s="5399" t="s">
        <v>3251</v>
      </c>
      <c r="S117" s="5399" t="s">
        <v>1953</v>
      </c>
      <c r="T117" s="5400" t="s">
        <v>3252</v>
      </c>
    </row>
    <row r="118" spans="15:20" s="42" customFormat="1" ht="30.6">
      <c r="O118" s="5397">
        <v>12</v>
      </c>
      <c r="P118" s="5400" t="s">
        <v>16</v>
      </c>
      <c r="Q118" s="5398" t="s">
        <v>3253</v>
      </c>
      <c r="R118" s="5399" t="s">
        <v>3254</v>
      </c>
      <c r="S118" s="5399" t="s">
        <v>1953</v>
      </c>
      <c r="T118" s="5401" t="s">
        <v>2823</v>
      </c>
    </row>
    <row r="119" spans="15:20" s="42" customFormat="1" ht="30.6">
      <c r="O119" s="5397">
        <v>13</v>
      </c>
      <c r="P119" s="5400" t="s">
        <v>16</v>
      </c>
      <c r="Q119" s="5398" t="s">
        <v>3255</v>
      </c>
      <c r="R119" s="4005" t="s">
        <v>3256</v>
      </c>
      <c r="S119" s="5399" t="s">
        <v>3257</v>
      </c>
      <c r="T119" s="5400" t="s">
        <v>3258</v>
      </c>
    </row>
    <row r="120" spans="15:20" s="42" customFormat="1" ht="20.399999999999999">
      <c r="O120" s="5397">
        <v>14</v>
      </c>
      <c r="P120" s="5400" t="s">
        <v>16</v>
      </c>
      <c r="Q120" s="5398" t="s">
        <v>3259</v>
      </c>
      <c r="R120" s="5402" t="s">
        <v>3260</v>
      </c>
      <c r="S120" s="5399" t="s">
        <v>2834</v>
      </c>
      <c r="T120" s="5401" t="s">
        <v>2825</v>
      </c>
    </row>
    <row r="121" spans="15:20" s="42" customFormat="1" ht="13.8">
      <c r="O121" s="5397">
        <v>15</v>
      </c>
      <c r="P121" s="5400" t="s">
        <v>16</v>
      </c>
      <c r="Q121" s="5398" t="s">
        <v>3261</v>
      </c>
      <c r="R121" s="5413" t="s">
        <v>2687</v>
      </c>
      <c r="S121" s="5399"/>
      <c r="T121" s="5401" t="s">
        <v>3262</v>
      </c>
    </row>
    <row r="122" spans="15:20" s="42" customFormat="1" ht="20.399999999999999">
      <c r="O122" s="5397">
        <v>16</v>
      </c>
      <c r="P122" s="5400" t="s">
        <v>16</v>
      </c>
      <c r="Q122" s="4005" t="s">
        <v>3263</v>
      </c>
      <c r="R122" s="5398" t="s">
        <v>3264</v>
      </c>
      <c r="S122" s="5399" t="s">
        <v>2896</v>
      </c>
      <c r="T122" s="5400" t="s">
        <v>3265</v>
      </c>
    </row>
    <row r="123" spans="15:20" s="42" customFormat="1" ht="20.399999999999999">
      <c r="O123" s="5397">
        <v>17</v>
      </c>
      <c r="P123" s="5400" t="s">
        <v>16</v>
      </c>
      <c r="Q123" s="5398" t="s">
        <v>3266</v>
      </c>
      <c r="R123" s="5399" t="s">
        <v>3267</v>
      </c>
      <c r="S123" s="5399" t="s">
        <v>3268</v>
      </c>
      <c r="T123" s="5400" t="s">
        <v>3269</v>
      </c>
    </row>
    <row r="124" spans="15:20" s="42" customFormat="1" ht="13.8">
      <c r="O124" s="5397">
        <v>18</v>
      </c>
      <c r="P124" s="5400" t="s">
        <v>16</v>
      </c>
      <c r="Q124" s="5398" t="s">
        <v>3270</v>
      </c>
      <c r="R124" s="5399" t="s">
        <v>3271</v>
      </c>
      <c r="S124" s="5399" t="s">
        <v>3268</v>
      </c>
      <c r="T124" s="5400" t="s">
        <v>3272</v>
      </c>
    </row>
    <row r="125" spans="15:20" s="42" customFormat="1" ht="20.399999999999999">
      <c r="O125" s="5397">
        <v>19</v>
      </c>
      <c r="P125" s="5400" t="s">
        <v>16</v>
      </c>
      <c r="Q125" s="5398" t="s">
        <v>3273</v>
      </c>
      <c r="R125" s="5399" t="s">
        <v>3274</v>
      </c>
      <c r="S125" s="5399" t="s">
        <v>3275</v>
      </c>
      <c r="T125" s="5400" t="s">
        <v>3276</v>
      </c>
    </row>
    <row r="126" spans="15:20" s="42" customFormat="1" ht="13.8">
      <c r="O126" s="5397">
        <v>20</v>
      </c>
      <c r="P126" s="5400" t="s">
        <v>16</v>
      </c>
      <c r="Q126" s="5398" t="s">
        <v>3277</v>
      </c>
      <c r="R126" s="5399" t="s">
        <v>3278</v>
      </c>
      <c r="S126" s="5399" t="s">
        <v>3275</v>
      </c>
      <c r="T126" s="5400" t="s">
        <v>3279</v>
      </c>
    </row>
    <row r="127" spans="15:20" s="42" customFormat="1" ht="20.399999999999999">
      <c r="O127" s="5397">
        <v>21</v>
      </c>
      <c r="P127" s="5400" t="s">
        <v>16</v>
      </c>
      <c r="Q127" s="5398" t="s">
        <v>3280</v>
      </c>
      <c r="R127" s="5413" t="s">
        <v>3281</v>
      </c>
      <c r="S127" s="5399" t="s">
        <v>3282</v>
      </c>
      <c r="T127" s="5401" t="s">
        <v>2828</v>
      </c>
    </row>
    <row r="128" spans="15:20" s="42" customFormat="1" ht="13.8">
      <c r="O128" s="5397">
        <v>22</v>
      </c>
      <c r="P128" s="5400" t="s">
        <v>16</v>
      </c>
      <c r="Q128" s="5398" t="s">
        <v>2829</v>
      </c>
      <c r="R128" s="5402" t="s">
        <v>3283</v>
      </c>
      <c r="S128" s="5399" t="s">
        <v>1953</v>
      </c>
      <c r="T128" s="5401" t="s">
        <v>2830</v>
      </c>
    </row>
    <row r="129" spans="15:20" s="42" customFormat="1" ht="20.399999999999999">
      <c r="O129" s="5397">
        <v>23</v>
      </c>
      <c r="P129" s="5400" t="s">
        <v>16</v>
      </c>
      <c r="Q129" s="5398" t="s">
        <v>3284</v>
      </c>
      <c r="R129" s="5413" t="s">
        <v>3285</v>
      </c>
      <c r="S129" s="5399" t="s">
        <v>1953</v>
      </c>
      <c r="T129" s="5400" t="s">
        <v>3286</v>
      </c>
    </row>
    <row r="130" spans="15:20" s="42" customFormat="1" ht="20.399999999999999">
      <c r="O130" s="5397">
        <v>24</v>
      </c>
      <c r="P130" s="5400" t="s">
        <v>16</v>
      </c>
      <c r="Q130" s="5398" t="s">
        <v>3287</v>
      </c>
      <c r="R130" s="5413" t="s">
        <v>3288</v>
      </c>
      <c r="S130" s="5399" t="s">
        <v>1953</v>
      </c>
      <c r="T130" s="5400" t="s">
        <v>3289</v>
      </c>
    </row>
    <row r="131" spans="15:20" s="42" customFormat="1" ht="13.8">
      <c r="O131" s="5397">
        <v>25</v>
      </c>
      <c r="P131" s="5400" t="s">
        <v>86</v>
      </c>
      <c r="Q131" s="5398" t="s">
        <v>3290</v>
      </c>
      <c r="R131" s="5402" t="s">
        <v>3291</v>
      </c>
      <c r="S131" s="5399" t="s">
        <v>3292</v>
      </c>
      <c r="T131" s="5401" t="s">
        <v>3293</v>
      </c>
    </row>
    <row r="132" spans="15:20" s="42" customFormat="1" ht="13.8">
      <c r="O132" s="5397">
        <v>26</v>
      </c>
      <c r="P132" s="5400" t="s">
        <v>86</v>
      </c>
      <c r="Q132" s="5398" t="s">
        <v>3294</v>
      </c>
      <c r="R132" s="5402" t="s">
        <v>3295</v>
      </c>
      <c r="S132" s="5399" t="s">
        <v>3296</v>
      </c>
      <c r="T132" s="5400" t="s">
        <v>3297</v>
      </c>
    </row>
    <row r="133" spans="15:20" s="42" customFormat="1" ht="13.8">
      <c r="O133" s="5397">
        <v>27</v>
      </c>
      <c r="P133" s="5400" t="s">
        <v>86</v>
      </c>
      <c r="Q133" s="5398" t="s">
        <v>3298</v>
      </c>
      <c r="R133" s="5413" t="s">
        <v>3299</v>
      </c>
      <c r="S133" s="5399" t="s">
        <v>3292</v>
      </c>
      <c r="T133" s="5401" t="s">
        <v>3300</v>
      </c>
    </row>
    <row r="134" spans="15:20" s="42" customFormat="1" ht="13.8">
      <c r="O134" s="2451"/>
      <c r="P134" s="2450"/>
      <c r="Q134" s="2447"/>
      <c r="R134" s="2447"/>
      <c r="S134" s="2448"/>
      <c r="T134" s="2448"/>
    </row>
    <row r="135" spans="15:20" s="42" customFormat="1" ht="13.8">
      <c r="O135" s="5479"/>
      <c r="P135" s="5479"/>
      <c r="Q135" s="5479"/>
      <c r="R135" s="5479"/>
      <c r="S135" s="5479"/>
      <c r="T135" s="5479"/>
    </row>
    <row r="136" spans="15:20" s="42" customFormat="1" thickBot="1">
      <c r="O136" s="4157" t="s">
        <v>326</v>
      </c>
      <c r="P136" s="4157" t="s">
        <v>69</v>
      </c>
      <c r="Q136" s="4157" t="s">
        <v>517</v>
      </c>
      <c r="R136" s="4157" t="s">
        <v>518</v>
      </c>
      <c r="S136" s="4158" t="s">
        <v>2871</v>
      </c>
      <c r="T136" s="4158" t="s">
        <v>332</v>
      </c>
    </row>
    <row r="137" spans="15:20" s="42" customFormat="1" ht="13.8">
      <c r="O137" s="5397">
        <v>30</v>
      </c>
      <c r="P137" s="5400" t="s">
        <v>4</v>
      </c>
      <c r="Q137" s="5398" t="s">
        <v>3301</v>
      </c>
      <c r="R137" s="5399" t="s">
        <v>3302</v>
      </c>
      <c r="S137" s="5399"/>
      <c r="T137" s="5400" t="s">
        <v>3303</v>
      </c>
    </row>
    <row r="138" spans="15:20" s="42" customFormat="1" ht="13.8">
      <c r="O138" s="5397">
        <v>48</v>
      </c>
      <c r="P138" s="5400" t="s">
        <v>4</v>
      </c>
      <c r="Q138" s="5398" t="s">
        <v>3304</v>
      </c>
      <c r="R138" s="5403" t="s">
        <v>3305</v>
      </c>
      <c r="S138" s="5399"/>
      <c r="T138" s="5400" t="s">
        <v>3306</v>
      </c>
    </row>
    <row r="139" spans="15:20" s="42" customFormat="1" ht="20.399999999999999">
      <c r="O139" s="5397">
        <v>8</v>
      </c>
      <c r="P139" s="5400" t="s">
        <v>41</v>
      </c>
      <c r="Q139" s="5398" t="s">
        <v>3307</v>
      </c>
      <c r="R139" s="5398" t="s">
        <v>3308</v>
      </c>
      <c r="S139" s="5399" t="s">
        <v>3309</v>
      </c>
      <c r="T139" s="5400" t="s">
        <v>2832</v>
      </c>
    </row>
    <row r="140" spans="15:20" s="42" customFormat="1" ht="20.399999999999999">
      <c r="O140" s="5397">
        <v>16</v>
      </c>
      <c r="P140" s="5400" t="s">
        <v>41</v>
      </c>
      <c r="Q140" s="5398" t="s">
        <v>3310</v>
      </c>
      <c r="R140" s="5399" t="s">
        <v>3311</v>
      </c>
      <c r="S140" s="5399" t="s">
        <v>3309</v>
      </c>
      <c r="T140" s="5400" t="s">
        <v>3312</v>
      </c>
    </row>
    <row r="141" spans="15:20" s="42" customFormat="1" ht="20.399999999999999">
      <c r="O141" s="5414">
        <v>27</v>
      </c>
      <c r="P141" s="5400" t="s">
        <v>41</v>
      </c>
      <c r="Q141" s="5398" t="s">
        <v>3313</v>
      </c>
      <c r="R141" s="5399" t="s">
        <v>3314</v>
      </c>
      <c r="S141" s="5399" t="s">
        <v>3309</v>
      </c>
      <c r="T141" s="5400" t="s">
        <v>3315</v>
      </c>
    </row>
    <row r="142" spans="15:20" s="42" customFormat="1" ht="30.6">
      <c r="O142" s="5397">
        <v>38</v>
      </c>
      <c r="P142" s="5400" t="s">
        <v>41</v>
      </c>
      <c r="Q142" s="5398" t="s">
        <v>3316</v>
      </c>
      <c r="R142" s="5413" t="s">
        <v>3317</v>
      </c>
      <c r="S142" s="5399" t="s">
        <v>2833</v>
      </c>
      <c r="T142" s="5400" t="s">
        <v>3318</v>
      </c>
    </row>
    <row r="143" spans="15:20" s="42" customFormat="1" ht="13.8">
      <c r="O143" s="5414">
        <v>1</v>
      </c>
      <c r="P143" s="5400" t="s">
        <v>16</v>
      </c>
      <c r="Q143" s="5398" t="s">
        <v>3319</v>
      </c>
      <c r="R143" s="5399" t="s">
        <v>2835</v>
      </c>
      <c r="S143" s="5399" t="s">
        <v>3320</v>
      </c>
      <c r="T143" s="5400" t="s">
        <v>3321</v>
      </c>
    </row>
    <row r="144" spans="15:20" s="42" customFormat="1" ht="20.399999999999999">
      <c r="O144" s="5397">
        <v>2</v>
      </c>
      <c r="P144" s="5400" t="s">
        <v>16</v>
      </c>
      <c r="Q144" s="5398" t="s">
        <v>3322</v>
      </c>
      <c r="R144" s="5402" t="s">
        <v>3323</v>
      </c>
      <c r="S144" s="5399" t="s">
        <v>2513</v>
      </c>
      <c r="T144" s="5400" t="s">
        <v>3324</v>
      </c>
    </row>
    <row r="145" spans="15:20" s="42" customFormat="1" ht="20.399999999999999">
      <c r="O145" s="5414">
        <v>3</v>
      </c>
      <c r="P145" s="5400" t="s">
        <v>16</v>
      </c>
      <c r="Q145" s="4005" t="s">
        <v>3325</v>
      </c>
      <c r="R145" s="5399" t="s">
        <v>3326</v>
      </c>
      <c r="S145" s="5399" t="s">
        <v>3327</v>
      </c>
      <c r="T145" s="5400" t="s">
        <v>3328</v>
      </c>
    </row>
    <row r="146" spans="15:20" s="42" customFormat="1" ht="20.399999999999999">
      <c r="O146" s="5397">
        <v>4</v>
      </c>
      <c r="P146" s="5400" t="s">
        <v>16</v>
      </c>
      <c r="Q146" s="5398" t="s">
        <v>3329</v>
      </c>
      <c r="R146" s="5399" t="s">
        <v>3326</v>
      </c>
      <c r="S146" s="5399" t="s">
        <v>3327</v>
      </c>
      <c r="T146" s="5400" t="s">
        <v>3330</v>
      </c>
    </row>
    <row r="147" spans="15:20" s="42" customFormat="1" ht="30.6">
      <c r="O147" s="5414">
        <v>5</v>
      </c>
      <c r="P147" s="5400" t="s">
        <v>16</v>
      </c>
      <c r="Q147" s="5398" t="s">
        <v>3331</v>
      </c>
      <c r="R147" s="5399" t="s">
        <v>3332</v>
      </c>
      <c r="S147" s="5399" t="s">
        <v>3333</v>
      </c>
      <c r="T147" s="5400" t="s">
        <v>3334</v>
      </c>
    </row>
    <row r="148" spans="15:20" s="42" customFormat="1" ht="13.8">
      <c r="O148" s="5397">
        <v>6</v>
      </c>
      <c r="P148" s="5400" t="s">
        <v>16</v>
      </c>
      <c r="Q148" s="5398" t="s">
        <v>3335</v>
      </c>
      <c r="R148" s="5403" t="s">
        <v>3336</v>
      </c>
      <c r="S148" s="5399" t="s">
        <v>3337</v>
      </c>
      <c r="T148" s="5400" t="s">
        <v>3338</v>
      </c>
    </row>
    <row r="149" spans="15:20" s="42" customFormat="1" ht="30.6">
      <c r="O149" s="5414">
        <v>7</v>
      </c>
      <c r="P149" s="5400" t="s">
        <v>16</v>
      </c>
      <c r="Q149" s="4005" t="s">
        <v>3339</v>
      </c>
      <c r="R149" s="5398" t="s">
        <v>3340</v>
      </c>
      <c r="S149" s="5399" t="s">
        <v>3341</v>
      </c>
      <c r="T149" s="5400" t="s">
        <v>2831</v>
      </c>
    </row>
    <row r="150" spans="15:20" s="42" customFormat="1" ht="13.8">
      <c r="O150" s="5414">
        <v>9</v>
      </c>
      <c r="P150" s="5400" t="s">
        <v>16</v>
      </c>
      <c r="Q150" s="5398" t="s">
        <v>3342</v>
      </c>
      <c r="R150" s="5399" t="s">
        <v>3343</v>
      </c>
      <c r="S150" s="5399" t="s">
        <v>2844</v>
      </c>
      <c r="T150" s="5400" t="s">
        <v>3321</v>
      </c>
    </row>
    <row r="151" spans="15:20" s="42" customFormat="1" ht="13.8">
      <c r="O151" s="5397">
        <v>10</v>
      </c>
      <c r="P151" s="5400" t="s">
        <v>16</v>
      </c>
      <c r="Q151" s="5398" t="s">
        <v>3344</v>
      </c>
      <c r="R151" s="5413" t="s">
        <v>3345</v>
      </c>
      <c r="S151" s="5399" t="s">
        <v>3327</v>
      </c>
      <c r="T151" s="5400" t="s">
        <v>3346</v>
      </c>
    </row>
    <row r="152" spans="15:20" s="42" customFormat="1" ht="20.399999999999999">
      <c r="O152" s="5414">
        <v>11</v>
      </c>
      <c r="P152" s="5400" t="s">
        <v>16</v>
      </c>
      <c r="Q152" s="5398" t="s">
        <v>3347</v>
      </c>
      <c r="R152" s="5413" t="s">
        <v>3348</v>
      </c>
      <c r="S152" s="5399" t="s">
        <v>2513</v>
      </c>
      <c r="T152" s="5400" t="s">
        <v>3349</v>
      </c>
    </row>
    <row r="153" spans="15:20" s="42" customFormat="1" ht="20.399999999999999">
      <c r="O153" s="5397">
        <v>12</v>
      </c>
      <c r="P153" s="5400" t="s">
        <v>16</v>
      </c>
      <c r="Q153" s="5398" t="s">
        <v>3350</v>
      </c>
      <c r="R153" s="5413" t="s">
        <v>3351</v>
      </c>
      <c r="S153" s="5399" t="s">
        <v>3352</v>
      </c>
      <c r="T153" s="5400" t="s">
        <v>3353</v>
      </c>
    </row>
    <row r="154" spans="15:20" s="42" customFormat="1" ht="30.6">
      <c r="O154" s="5414">
        <v>13</v>
      </c>
      <c r="P154" s="5400" t="s">
        <v>16</v>
      </c>
      <c r="Q154" s="5398" t="s">
        <v>3354</v>
      </c>
      <c r="R154" s="5413" t="s">
        <v>3355</v>
      </c>
      <c r="S154" s="5399" t="s">
        <v>2513</v>
      </c>
      <c r="T154" s="5400" t="s">
        <v>3356</v>
      </c>
    </row>
    <row r="155" spans="15:20" s="42" customFormat="1" ht="20.399999999999999">
      <c r="O155" s="5397">
        <v>14</v>
      </c>
      <c r="P155" s="5400" t="s">
        <v>16</v>
      </c>
      <c r="Q155" s="5398" t="s">
        <v>3357</v>
      </c>
      <c r="R155" s="5413" t="s">
        <v>3358</v>
      </c>
      <c r="S155" s="5399" t="s">
        <v>3359</v>
      </c>
      <c r="T155" s="5400" t="s">
        <v>3360</v>
      </c>
    </row>
    <row r="156" spans="15:20" s="42" customFormat="1" ht="13.8">
      <c r="O156" s="5414">
        <v>15</v>
      </c>
      <c r="P156" s="5400" t="s">
        <v>16</v>
      </c>
      <c r="Q156" s="5398" t="s">
        <v>3361</v>
      </c>
      <c r="R156" s="5413" t="s">
        <v>3362</v>
      </c>
      <c r="S156" s="5399" t="s">
        <v>3363</v>
      </c>
      <c r="T156" s="5400" t="s">
        <v>3321</v>
      </c>
    </row>
    <row r="157" spans="15:20" s="42" customFormat="1" ht="13.8">
      <c r="O157" s="5414">
        <v>17</v>
      </c>
      <c r="P157" s="5400" t="s">
        <v>16</v>
      </c>
      <c r="Q157" s="5398" t="s">
        <v>3364</v>
      </c>
      <c r="R157" s="5413" t="s">
        <v>3365</v>
      </c>
      <c r="S157" s="5399" t="s">
        <v>3366</v>
      </c>
      <c r="T157" s="5400" t="s">
        <v>3367</v>
      </c>
    </row>
    <row r="158" spans="15:20" s="42" customFormat="1" ht="20.399999999999999">
      <c r="O158" s="5397">
        <v>18</v>
      </c>
      <c r="P158" s="5400" t="s">
        <v>16</v>
      </c>
      <c r="Q158" s="5398" t="s">
        <v>3368</v>
      </c>
      <c r="R158" s="5413" t="s">
        <v>3369</v>
      </c>
      <c r="S158" s="5399" t="s">
        <v>3370</v>
      </c>
      <c r="T158" s="5400" t="s">
        <v>3306</v>
      </c>
    </row>
    <row r="159" spans="15:20" s="42" customFormat="1" ht="13.8">
      <c r="O159" s="5414">
        <v>19</v>
      </c>
      <c r="P159" s="5400" t="s">
        <v>16</v>
      </c>
      <c r="Q159" s="5398" t="s">
        <v>3371</v>
      </c>
      <c r="R159" s="5413" t="s">
        <v>3372</v>
      </c>
      <c r="S159" s="5399" t="s">
        <v>75</v>
      </c>
      <c r="T159" s="5400" t="s">
        <v>3373</v>
      </c>
    </row>
    <row r="160" spans="15:20" s="42" customFormat="1" ht="13.8">
      <c r="O160" s="5397">
        <v>20</v>
      </c>
      <c r="P160" s="5400" t="s">
        <v>16</v>
      </c>
      <c r="Q160" s="5398" t="s">
        <v>3374</v>
      </c>
      <c r="R160" s="5413" t="s">
        <v>3375</v>
      </c>
      <c r="S160" s="5399" t="s">
        <v>3376</v>
      </c>
      <c r="T160" s="5400" t="s">
        <v>3377</v>
      </c>
    </row>
    <row r="161" spans="15:20" s="42" customFormat="1" ht="20.399999999999999">
      <c r="O161" s="5414">
        <v>21</v>
      </c>
      <c r="P161" s="5400" t="s">
        <v>16</v>
      </c>
      <c r="Q161" s="5398" t="s">
        <v>3378</v>
      </c>
      <c r="R161" s="5413" t="s">
        <v>3379</v>
      </c>
      <c r="S161" s="5399" t="s">
        <v>3370</v>
      </c>
      <c r="T161" s="5400" t="s">
        <v>3380</v>
      </c>
    </row>
    <row r="162" spans="15:20" s="42" customFormat="1" ht="20.399999999999999">
      <c r="O162" s="5397">
        <v>22</v>
      </c>
      <c r="P162" s="5400" t="s">
        <v>16</v>
      </c>
      <c r="Q162" s="5398" t="s">
        <v>3381</v>
      </c>
      <c r="R162" s="5402" t="s">
        <v>3382</v>
      </c>
      <c r="S162" s="5399" t="s">
        <v>3383</v>
      </c>
      <c r="T162" s="5400" t="s">
        <v>2836</v>
      </c>
    </row>
    <row r="163" spans="15:20" s="42" customFormat="1" ht="20.399999999999999">
      <c r="O163" s="5414">
        <v>23</v>
      </c>
      <c r="P163" s="5400" t="s">
        <v>16</v>
      </c>
      <c r="Q163" s="5398" t="s">
        <v>3384</v>
      </c>
      <c r="R163" s="5413" t="s">
        <v>3385</v>
      </c>
      <c r="S163" s="5399" t="s">
        <v>3327</v>
      </c>
      <c r="T163" s="5400" t="s">
        <v>3386</v>
      </c>
    </row>
    <row r="164" spans="15:20" s="42" customFormat="1" ht="20.399999999999999">
      <c r="O164" s="5397">
        <v>24</v>
      </c>
      <c r="P164" s="5400" t="s">
        <v>16</v>
      </c>
      <c r="Q164" s="5398" t="s">
        <v>3387</v>
      </c>
      <c r="R164" s="5413" t="s">
        <v>3388</v>
      </c>
      <c r="S164" s="5399" t="s">
        <v>3370</v>
      </c>
      <c r="T164" s="5400" t="s">
        <v>3306</v>
      </c>
    </row>
    <row r="165" spans="15:20" s="42" customFormat="1" ht="20.399999999999999">
      <c r="O165" s="5414">
        <v>25</v>
      </c>
      <c r="P165" s="5400" t="s">
        <v>16</v>
      </c>
      <c r="Q165" s="5398" t="s">
        <v>3389</v>
      </c>
      <c r="R165" s="5402" t="s">
        <v>3390</v>
      </c>
      <c r="S165" s="5399" t="s">
        <v>3391</v>
      </c>
      <c r="T165" s="5400" t="s">
        <v>3392</v>
      </c>
    </row>
    <row r="166" spans="15:20" s="42" customFormat="1" ht="13.8">
      <c r="O166" s="5397">
        <v>26</v>
      </c>
      <c r="P166" s="5400" t="s">
        <v>16</v>
      </c>
      <c r="Q166" s="5398" t="s">
        <v>3393</v>
      </c>
      <c r="R166" s="5413" t="s">
        <v>3394</v>
      </c>
      <c r="S166" s="5399" t="s">
        <v>75</v>
      </c>
      <c r="T166" s="5400" t="s">
        <v>3306</v>
      </c>
    </row>
    <row r="167" spans="15:20" s="42" customFormat="1" ht="13.8">
      <c r="O167" s="5397">
        <v>28</v>
      </c>
      <c r="P167" s="5400" t="s">
        <v>16</v>
      </c>
      <c r="Q167" s="5398" t="s">
        <v>3395</v>
      </c>
      <c r="R167" s="5413" t="s">
        <v>3396</v>
      </c>
      <c r="S167" s="5399" t="s">
        <v>75</v>
      </c>
      <c r="T167" s="5400" t="s">
        <v>3306</v>
      </c>
    </row>
    <row r="168" spans="15:20" s="42" customFormat="1" ht="20.399999999999999">
      <c r="O168" s="5414">
        <v>29</v>
      </c>
      <c r="P168" s="5400" t="s">
        <v>16</v>
      </c>
      <c r="Q168" s="5398" t="s">
        <v>3397</v>
      </c>
      <c r="R168" s="5413" t="s">
        <v>3398</v>
      </c>
      <c r="S168" s="5399" t="s">
        <v>3399</v>
      </c>
      <c r="T168" s="5400" t="s">
        <v>3400</v>
      </c>
    </row>
    <row r="169" spans="15:20" s="42" customFormat="1" ht="20.399999999999999">
      <c r="O169" s="5414">
        <v>31</v>
      </c>
      <c r="P169" s="5400" t="s">
        <v>16</v>
      </c>
      <c r="Q169" s="5398" t="s">
        <v>3401</v>
      </c>
      <c r="R169" s="5413" t="s">
        <v>3402</v>
      </c>
      <c r="S169" s="5399" t="s">
        <v>3370</v>
      </c>
      <c r="T169" s="5400" t="s">
        <v>3306</v>
      </c>
    </row>
    <row r="170" spans="15:20" s="42" customFormat="1" ht="13.8">
      <c r="O170" s="5397">
        <v>32</v>
      </c>
      <c r="P170" s="5400" t="s">
        <v>16</v>
      </c>
      <c r="Q170" s="5398" t="s">
        <v>3403</v>
      </c>
      <c r="R170" s="5413" t="s">
        <v>3404</v>
      </c>
      <c r="S170" s="5399" t="s">
        <v>3370</v>
      </c>
      <c r="T170" s="5400" t="s">
        <v>3306</v>
      </c>
    </row>
    <row r="171" spans="15:20" s="42" customFormat="1" ht="13.8">
      <c r="O171" s="5414">
        <v>33</v>
      </c>
      <c r="P171" s="5400" t="s">
        <v>16</v>
      </c>
      <c r="Q171" s="5398" t="s">
        <v>3405</v>
      </c>
      <c r="R171" s="5413" t="s">
        <v>3406</v>
      </c>
      <c r="S171" s="5399" t="s">
        <v>3407</v>
      </c>
      <c r="T171" s="5400" t="s">
        <v>3408</v>
      </c>
    </row>
    <row r="172" spans="15:20" s="42" customFormat="1" ht="20.399999999999999">
      <c r="O172" s="5397">
        <v>34</v>
      </c>
      <c r="P172" s="5400" t="s">
        <v>16</v>
      </c>
      <c r="Q172" s="5398" t="s">
        <v>3409</v>
      </c>
      <c r="R172" s="5413" t="s">
        <v>3410</v>
      </c>
      <c r="S172" s="5399" t="s">
        <v>75</v>
      </c>
      <c r="T172" s="5400" t="s">
        <v>3411</v>
      </c>
    </row>
    <row r="173" spans="15:20" s="42" customFormat="1" ht="20.399999999999999">
      <c r="O173" s="5414">
        <v>35</v>
      </c>
      <c r="P173" s="5400" t="s">
        <v>16</v>
      </c>
      <c r="Q173" s="5398" t="s">
        <v>3409</v>
      </c>
      <c r="R173" s="5413" t="s">
        <v>3410</v>
      </c>
      <c r="S173" s="5399" t="s">
        <v>2513</v>
      </c>
      <c r="T173" s="5400" t="s">
        <v>3412</v>
      </c>
    </row>
    <row r="174" spans="15:20" s="42" customFormat="1" ht="20.399999999999999">
      <c r="O174" s="5397">
        <v>36</v>
      </c>
      <c r="P174" s="5400" t="s">
        <v>16</v>
      </c>
      <c r="Q174" s="5398" t="s">
        <v>3409</v>
      </c>
      <c r="R174" s="5413" t="s">
        <v>3410</v>
      </c>
      <c r="S174" s="5399" t="s">
        <v>75</v>
      </c>
      <c r="T174" s="5400" t="s">
        <v>3413</v>
      </c>
    </row>
    <row r="175" spans="15:20" s="42" customFormat="1" ht="20.399999999999999">
      <c r="O175" s="5414">
        <v>37</v>
      </c>
      <c r="P175" s="5400" t="s">
        <v>16</v>
      </c>
      <c r="Q175" s="5398" t="s">
        <v>3414</v>
      </c>
      <c r="R175" s="5413" t="s">
        <v>3415</v>
      </c>
      <c r="S175" s="5399" t="s">
        <v>3370</v>
      </c>
      <c r="T175" s="5400" t="s">
        <v>3306</v>
      </c>
    </row>
    <row r="176" spans="15:20" s="42" customFormat="1" ht="20.399999999999999">
      <c r="O176" s="5414">
        <v>39</v>
      </c>
      <c r="P176" s="5400" t="s">
        <v>16</v>
      </c>
      <c r="Q176" s="5398" t="s">
        <v>3416</v>
      </c>
      <c r="R176" s="5402" t="s">
        <v>3417</v>
      </c>
      <c r="S176" s="5399" t="s">
        <v>3418</v>
      </c>
      <c r="T176" s="5400" t="s">
        <v>2837</v>
      </c>
    </row>
    <row r="177" spans="15:20" s="42" customFormat="1" ht="20.399999999999999">
      <c r="O177" s="5397">
        <v>40</v>
      </c>
      <c r="P177" s="5400" t="s">
        <v>16</v>
      </c>
      <c r="Q177" s="5398" t="s">
        <v>3419</v>
      </c>
      <c r="R177" s="5413" t="s">
        <v>3420</v>
      </c>
      <c r="S177" s="5399" t="s">
        <v>2514</v>
      </c>
      <c r="T177" s="5400" t="s">
        <v>3421</v>
      </c>
    </row>
    <row r="178" spans="15:20" s="42" customFormat="1" ht="30.6">
      <c r="O178" s="5414">
        <v>41</v>
      </c>
      <c r="P178" s="5400" t="s">
        <v>16</v>
      </c>
      <c r="Q178" s="5398" t="s">
        <v>3422</v>
      </c>
      <c r="R178" s="5402" t="s">
        <v>3423</v>
      </c>
      <c r="S178" s="5399" t="s">
        <v>3424</v>
      </c>
      <c r="T178" s="5400" t="s">
        <v>3425</v>
      </c>
    </row>
    <row r="179" spans="15:20" s="42" customFormat="1" ht="20.399999999999999">
      <c r="O179" s="5397">
        <v>42</v>
      </c>
      <c r="P179" s="5400" t="s">
        <v>16</v>
      </c>
      <c r="Q179" s="5398" t="s">
        <v>3426</v>
      </c>
      <c r="R179" s="5413" t="s">
        <v>3427</v>
      </c>
      <c r="S179" s="5399" t="s">
        <v>3428</v>
      </c>
      <c r="T179" s="5400" t="s">
        <v>3429</v>
      </c>
    </row>
    <row r="180" spans="15:20" s="42" customFormat="1" ht="20.399999999999999">
      <c r="O180" s="5414">
        <v>43</v>
      </c>
      <c r="P180" s="5400" t="s">
        <v>16</v>
      </c>
      <c r="Q180" s="5398" t="s">
        <v>3430</v>
      </c>
      <c r="R180" s="5413" t="s">
        <v>3431</v>
      </c>
      <c r="S180" s="5399" t="s">
        <v>3370</v>
      </c>
      <c r="T180" s="5400" t="s">
        <v>3306</v>
      </c>
    </row>
    <row r="181" spans="15:20" s="42" customFormat="1" ht="20.399999999999999">
      <c r="O181" s="5397">
        <v>44</v>
      </c>
      <c r="P181" s="5400" t="s">
        <v>16</v>
      </c>
      <c r="Q181" s="5398" t="s">
        <v>3432</v>
      </c>
      <c r="R181" s="5402" t="s">
        <v>3433</v>
      </c>
      <c r="S181" s="5399" t="s">
        <v>3434</v>
      </c>
      <c r="T181" s="5400" t="s">
        <v>2838</v>
      </c>
    </row>
    <row r="182" spans="15:20" s="42" customFormat="1" ht="20.399999999999999">
      <c r="O182" s="5414">
        <v>45</v>
      </c>
      <c r="P182" s="5400" t="s">
        <v>16</v>
      </c>
      <c r="Q182" s="5398" t="s">
        <v>3435</v>
      </c>
      <c r="R182" s="5413" t="s">
        <v>3436</v>
      </c>
      <c r="S182" s="5399" t="s">
        <v>3327</v>
      </c>
      <c r="T182" s="5400" t="s">
        <v>3437</v>
      </c>
    </row>
    <row r="183" spans="15:20" s="42" customFormat="1" ht="13.8">
      <c r="O183" s="5397">
        <v>46</v>
      </c>
      <c r="P183" s="5400" t="s">
        <v>16</v>
      </c>
      <c r="Q183" s="5398" t="s">
        <v>3438</v>
      </c>
      <c r="R183" s="5413"/>
      <c r="S183" s="5399" t="s">
        <v>75</v>
      </c>
      <c r="T183" s="5400" t="s">
        <v>3439</v>
      </c>
    </row>
    <row r="184" spans="15:20" s="42" customFormat="1" ht="13.8">
      <c r="O184" s="5414">
        <v>47</v>
      </c>
      <c r="P184" s="5400" t="s">
        <v>16</v>
      </c>
      <c r="Q184" s="5398" t="s">
        <v>3440</v>
      </c>
      <c r="R184" s="5413"/>
      <c r="S184" s="5399" t="s">
        <v>75</v>
      </c>
      <c r="T184" s="5400" t="s">
        <v>3439</v>
      </c>
    </row>
    <row r="185" spans="15:20" s="42" customFormat="1" ht="13.8">
      <c r="O185" s="5414">
        <v>49</v>
      </c>
      <c r="P185" s="5400" t="s">
        <v>16</v>
      </c>
      <c r="Q185" s="5398" t="s">
        <v>3441</v>
      </c>
      <c r="R185" s="5413" t="s">
        <v>2835</v>
      </c>
      <c r="S185" s="5399" t="s">
        <v>3320</v>
      </c>
      <c r="T185" s="5400" t="s">
        <v>3442</v>
      </c>
    </row>
    <row r="186" spans="15:20" s="42" customFormat="1" ht="20.399999999999999">
      <c r="O186" s="5397">
        <v>50</v>
      </c>
      <c r="P186" s="5400" t="s">
        <v>16</v>
      </c>
      <c r="Q186" s="5398" t="s">
        <v>3443</v>
      </c>
      <c r="R186" s="5413" t="s">
        <v>3444</v>
      </c>
      <c r="S186" s="5399" t="s">
        <v>3445</v>
      </c>
      <c r="T186" s="5400" t="s">
        <v>3446</v>
      </c>
    </row>
    <row r="187" spans="15:20" s="42" customFormat="1" ht="13.8">
      <c r="O187" s="5478"/>
      <c r="P187" s="5478"/>
      <c r="Q187" s="5478"/>
      <c r="R187" s="5478"/>
      <c r="S187" s="5478"/>
      <c r="T187" s="5478"/>
    </row>
    <row r="188" spans="15:20" s="42" customFormat="1" ht="13.8">
      <c r="O188" s="5479"/>
      <c r="P188" s="5400" t="s">
        <v>16</v>
      </c>
      <c r="Q188" s="5398" t="s">
        <v>3447</v>
      </c>
      <c r="R188" s="5413"/>
      <c r="S188" s="5399" t="s">
        <v>75</v>
      </c>
      <c r="T188" s="5400" t="s">
        <v>3448</v>
      </c>
    </row>
    <row r="189" spans="15:20" s="42" customFormat="1" ht="13.8">
      <c r="O189" s="5479"/>
      <c r="P189" s="5400" t="s">
        <v>16</v>
      </c>
      <c r="Q189" s="5398" t="s">
        <v>3449</v>
      </c>
      <c r="R189" s="5413"/>
      <c r="S189" s="5399" t="s">
        <v>75</v>
      </c>
      <c r="T189" s="5400" t="s">
        <v>3448</v>
      </c>
    </row>
    <row r="190" spans="15:20" s="42" customFormat="1" ht="13.8">
      <c r="O190" s="5479"/>
      <c r="P190" s="5415" t="s">
        <v>16</v>
      </c>
      <c r="Q190" s="5416" t="s">
        <v>3450</v>
      </c>
      <c r="R190" s="5417" t="s">
        <v>3451</v>
      </c>
      <c r="S190" s="5418" t="s">
        <v>3452</v>
      </c>
      <c r="T190" s="5400"/>
    </row>
    <row r="191" spans="15:20" s="42" customFormat="1" ht="13.8">
      <c r="O191" s="5479"/>
      <c r="P191" s="5415" t="s">
        <v>16</v>
      </c>
      <c r="Q191" s="5416" t="s">
        <v>3453</v>
      </c>
      <c r="R191" s="5417" t="s">
        <v>3454</v>
      </c>
      <c r="S191" s="5418" t="s">
        <v>3455</v>
      </c>
      <c r="T191" s="5400"/>
    </row>
    <row r="192" spans="15:20" s="42" customFormat="1" ht="20.399999999999999">
      <c r="O192" s="5479"/>
      <c r="P192" s="5415" t="s">
        <v>16</v>
      </c>
      <c r="Q192" s="5416" t="s">
        <v>3456</v>
      </c>
      <c r="R192" s="5417" t="s">
        <v>3457</v>
      </c>
      <c r="S192" s="5418" t="s">
        <v>3458</v>
      </c>
      <c r="T192" s="5400"/>
    </row>
    <row r="193" spans="15:20" s="42" customFormat="1" ht="13.8">
      <c r="O193" s="5479"/>
      <c r="P193" s="5415" t="s">
        <v>16</v>
      </c>
      <c r="Q193" s="5416" t="s">
        <v>3459</v>
      </c>
      <c r="R193" s="5417" t="s">
        <v>3460</v>
      </c>
      <c r="S193" s="5418"/>
      <c r="T193" s="5400"/>
    </row>
    <row r="194" spans="15:20" s="42" customFormat="1" ht="13.8">
      <c r="O194" s="5479"/>
      <c r="P194" s="5415" t="s">
        <v>16</v>
      </c>
      <c r="Q194" s="5416" t="s">
        <v>3461</v>
      </c>
      <c r="R194" s="5417" t="s">
        <v>3462</v>
      </c>
      <c r="S194" s="5418" t="s">
        <v>3445</v>
      </c>
      <c r="T194" s="5400"/>
    </row>
    <row r="195" spans="15:20" s="42" customFormat="1" ht="13.8">
      <c r="O195" s="5479"/>
      <c r="P195" s="5479"/>
      <c r="Q195" s="5479"/>
      <c r="R195" s="5479"/>
      <c r="S195" s="5479"/>
      <c r="T195" s="5479"/>
    </row>
    <row r="196" spans="15:20" s="42" customFormat="1" ht="13.8">
      <c r="O196" s="5479"/>
      <c r="P196" s="5479"/>
      <c r="Q196" s="5479"/>
      <c r="R196" s="5479"/>
      <c r="S196" s="5479"/>
      <c r="T196" s="5479"/>
    </row>
    <row r="197" spans="15:20" s="42" customFormat="1" thickBot="1">
      <c r="O197" s="4155" t="s">
        <v>326</v>
      </c>
      <c r="P197" s="4155" t="s">
        <v>69</v>
      </c>
      <c r="Q197" s="4155" t="s">
        <v>517</v>
      </c>
      <c r="R197" s="4155" t="s">
        <v>518</v>
      </c>
      <c r="S197" s="4156" t="s">
        <v>2871</v>
      </c>
      <c r="T197" s="4156" t="s">
        <v>332</v>
      </c>
    </row>
    <row r="198" spans="15:20" s="42" customFormat="1" ht="30.6">
      <c r="O198" s="5414">
        <v>1</v>
      </c>
      <c r="P198" s="5400" t="s">
        <v>4</v>
      </c>
      <c r="Q198" s="5399" t="s">
        <v>3463</v>
      </c>
      <c r="R198" s="5399" t="s">
        <v>3464</v>
      </c>
      <c r="S198" s="5399" t="s">
        <v>3465</v>
      </c>
      <c r="T198" s="5401" t="s">
        <v>3466</v>
      </c>
    </row>
    <row r="199" spans="15:20" s="42" customFormat="1" ht="20.399999999999999">
      <c r="O199" s="5414">
        <v>2</v>
      </c>
      <c r="P199" s="5400" t="s">
        <v>4</v>
      </c>
      <c r="Q199" s="5399" t="s">
        <v>3467</v>
      </c>
      <c r="R199" s="5399" t="s">
        <v>3468</v>
      </c>
      <c r="S199" s="5399" t="s">
        <v>3465</v>
      </c>
      <c r="T199" s="5401" t="s">
        <v>3469</v>
      </c>
    </row>
    <row r="200" spans="15:20" s="42" customFormat="1" ht="20.399999999999999">
      <c r="O200" s="5414">
        <v>3</v>
      </c>
      <c r="P200" s="5400" t="s">
        <v>16</v>
      </c>
      <c r="Q200" s="5398" t="s">
        <v>3470</v>
      </c>
      <c r="R200" s="5398" t="s">
        <v>3471</v>
      </c>
      <c r="S200" s="5398" t="s">
        <v>3472</v>
      </c>
      <c r="T200" s="5400" t="s">
        <v>2839</v>
      </c>
    </row>
    <row r="201" spans="15:20" s="42" customFormat="1" ht="20.399999999999999">
      <c r="O201" s="5414">
        <v>4</v>
      </c>
      <c r="P201" s="5400" t="s">
        <v>16</v>
      </c>
      <c r="Q201" s="5398" t="s">
        <v>3473</v>
      </c>
      <c r="R201" s="5402" t="s">
        <v>3474</v>
      </c>
      <c r="S201" s="5399" t="s">
        <v>3472</v>
      </c>
      <c r="T201" s="5400" t="s">
        <v>3475</v>
      </c>
    </row>
    <row r="202" spans="15:20" s="42" customFormat="1" ht="13.8">
      <c r="O202" s="5414">
        <v>5</v>
      </c>
      <c r="P202" s="5400" t="s">
        <v>16</v>
      </c>
      <c r="Q202" s="5398" t="s">
        <v>3476</v>
      </c>
      <c r="R202" s="5413" t="s">
        <v>3477</v>
      </c>
      <c r="S202" s="5399" t="s">
        <v>3478</v>
      </c>
      <c r="T202" s="5400" t="s">
        <v>3479</v>
      </c>
    </row>
    <row r="203" spans="15:20" s="42" customFormat="1" ht="20.399999999999999">
      <c r="O203" s="5414">
        <v>6</v>
      </c>
      <c r="P203" s="5400" t="s">
        <v>16</v>
      </c>
      <c r="Q203" s="5398" t="s">
        <v>3480</v>
      </c>
      <c r="R203" s="5398" t="s">
        <v>3481</v>
      </c>
      <c r="S203" s="5399" t="s">
        <v>3472</v>
      </c>
      <c r="T203" s="5400" t="s">
        <v>3482</v>
      </c>
    </row>
    <row r="204" spans="15:20" s="42" customFormat="1" ht="20.399999999999999">
      <c r="O204" s="5414">
        <v>7</v>
      </c>
      <c r="P204" s="5400" t="s">
        <v>16</v>
      </c>
      <c r="Q204" s="5398" t="s">
        <v>3483</v>
      </c>
      <c r="R204" s="5399" t="s">
        <v>3484</v>
      </c>
      <c r="S204" s="5399" t="s">
        <v>3472</v>
      </c>
      <c r="T204" s="5401" t="s">
        <v>2840</v>
      </c>
    </row>
    <row r="205" spans="15:20" s="42" customFormat="1" ht="20.399999999999999">
      <c r="O205" s="5414">
        <v>8</v>
      </c>
      <c r="P205" s="5400" t="s">
        <v>16</v>
      </c>
      <c r="Q205" s="5399" t="s">
        <v>3485</v>
      </c>
      <c r="R205" s="5399" t="s">
        <v>3486</v>
      </c>
      <c r="S205" s="5399" t="s">
        <v>3487</v>
      </c>
      <c r="T205" s="5401" t="s">
        <v>3488</v>
      </c>
    </row>
    <row r="206" spans="15:20" s="42" customFormat="1" ht="30.6">
      <c r="O206" s="5414">
        <v>9</v>
      </c>
      <c r="P206" s="5400" t="s">
        <v>16</v>
      </c>
      <c r="Q206" s="5399" t="s">
        <v>3489</v>
      </c>
      <c r="R206" s="5399" t="s">
        <v>3490</v>
      </c>
      <c r="S206" s="5399" t="s">
        <v>3472</v>
      </c>
      <c r="T206" s="5401" t="s">
        <v>2841</v>
      </c>
    </row>
    <row r="207" spans="15:20" s="42" customFormat="1" ht="20.399999999999999">
      <c r="O207" s="5414">
        <v>10</v>
      </c>
      <c r="P207" s="5400" t="s">
        <v>16</v>
      </c>
      <c r="Q207" s="5399" t="s">
        <v>3491</v>
      </c>
      <c r="R207" s="5399" t="s">
        <v>3492</v>
      </c>
      <c r="S207" s="5399" t="s">
        <v>2515</v>
      </c>
      <c r="T207" s="5401" t="s">
        <v>3493</v>
      </c>
    </row>
    <row r="208" spans="15:20" s="42" customFormat="1" ht="13.8">
      <c r="O208" s="2450"/>
      <c r="P208" s="2450"/>
      <c r="Q208" s="2447"/>
      <c r="R208" s="2447"/>
      <c r="S208" s="2448"/>
      <c r="T208" s="2451"/>
    </row>
    <row r="209" spans="15:20" s="42" customFormat="1" ht="13.8">
      <c r="O209" s="5479"/>
      <c r="P209" s="5479"/>
      <c r="Q209" s="5479"/>
      <c r="R209" s="5479"/>
      <c r="S209" s="5479"/>
      <c r="T209" s="5479"/>
    </row>
    <row r="210" spans="15:20" s="42" customFormat="1" thickBot="1">
      <c r="O210" s="4153" t="s">
        <v>326</v>
      </c>
      <c r="P210" s="4153" t="s">
        <v>69</v>
      </c>
      <c r="Q210" s="4153" t="s">
        <v>517</v>
      </c>
      <c r="R210" s="4153" t="s">
        <v>518</v>
      </c>
      <c r="S210" s="4154" t="s">
        <v>2871</v>
      </c>
      <c r="T210" s="4154" t="s">
        <v>332</v>
      </c>
    </row>
    <row r="211" spans="15:20" s="42" customFormat="1" ht="30.6">
      <c r="O211" s="5397">
        <v>1</v>
      </c>
      <c r="P211" s="5400" t="s">
        <v>21</v>
      </c>
      <c r="Q211" s="5399" t="s">
        <v>3494</v>
      </c>
      <c r="R211" s="5399" t="s">
        <v>3495</v>
      </c>
      <c r="S211" s="5399" t="s">
        <v>2845</v>
      </c>
      <c r="T211" s="5400" t="s">
        <v>3496</v>
      </c>
    </row>
    <row r="212" spans="15:20" s="42" customFormat="1" ht="13.8">
      <c r="O212" s="5397">
        <v>2</v>
      </c>
      <c r="P212" s="5400" t="s">
        <v>21</v>
      </c>
      <c r="Q212" s="5399" t="s">
        <v>3497</v>
      </c>
      <c r="R212" s="5399" t="s">
        <v>2849</v>
      </c>
      <c r="S212" s="5399" t="s">
        <v>2845</v>
      </c>
      <c r="T212" s="5400" t="s">
        <v>2851</v>
      </c>
    </row>
    <row r="213" spans="15:20" s="42" customFormat="1" ht="13.8">
      <c r="O213" s="5397">
        <v>3</v>
      </c>
      <c r="P213" s="5400" t="s">
        <v>21</v>
      </c>
      <c r="Q213" s="5399" t="s">
        <v>3498</v>
      </c>
      <c r="R213" s="5399" t="s">
        <v>3499</v>
      </c>
      <c r="S213" s="5399" t="s">
        <v>3500</v>
      </c>
      <c r="T213" s="2449" t="s">
        <v>2853</v>
      </c>
    </row>
    <row r="214" spans="15:20" s="42" customFormat="1" ht="20.399999999999999">
      <c r="O214" s="5397">
        <v>4</v>
      </c>
      <c r="P214" s="5400" t="s">
        <v>21</v>
      </c>
      <c r="Q214" s="5399" t="s">
        <v>3501</v>
      </c>
      <c r="R214" s="5399" t="s">
        <v>3502</v>
      </c>
      <c r="S214" s="5399" t="s">
        <v>3503</v>
      </c>
      <c r="T214" s="5400" t="s">
        <v>2854</v>
      </c>
    </row>
    <row r="215" spans="15:20" s="42" customFormat="1" ht="20.399999999999999">
      <c r="O215" s="5397">
        <v>5</v>
      </c>
      <c r="P215" s="5400" t="s">
        <v>21</v>
      </c>
      <c r="Q215" s="5419" t="s">
        <v>3853</v>
      </c>
      <c r="R215" s="5399" t="s">
        <v>3854</v>
      </c>
      <c r="S215" s="5399" t="s">
        <v>3504</v>
      </c>
      <c r="T215" s="5400" t="s">
        <v>3505</v>
      </c>
    </row>
    <row r="216" spans="15:20" s="42" customFormat="1" ht="20.399999999999999">
      <c r="O216" s="5397">
        <v>6</v>
      </c>
      <c r="P216" s="5400" t="s">
        <v>21</v>
      </c>
      <c r="Q216" s="5399" t="s">
        <v>3506</v>
      </c>
      <c r="R216" s="5399" t="s">
        <v>3507</v>
      </c>
      <c r="S216" s="5399" t="s">
        <v>3503</v>
      </c>
      <c r="T216" s="5400" t="s">
        <v>2861</v>
      </c>
    </row>
    <row r="217" spans="15:20" s="42" customFormat="1" ht="13.8">
      <c r="O217" s="5397">
        <v>7</v>
      </c>
      <c r="P217" s="5400" t="s">
        <v>21</v>
      </c>
      <c r="Q217" s="5399" t="s">
        <v>3508</v>
      </c>
      <c r="R217" s="5413" t="s">
        <v>3509</v>
      </c>
      <c r="S217" s="5399" t="s">
        <v>3510</v>
      </c>
      <c r="T217" s="5400" t="s">
        <v>2855</v>
      </c>
    </row>
    <row r="218" spans="15:20" s="42" customFormat="1" ht="20.399999999999999">
      <c r="O218" s="5397">
        <v>8</v>
      </c>
      <c r="P218" s="5400" t="s">
        <v>21</v>
      </c>
      <c r="Q218" s="5399" t="s">
        <v>3511</v>
      </c>
      <c r="R218" s="5403" t="s">
        <v>3512</v>
      </c>
      <c r="S218" s="5399" t="s">
        <v>3510</v>
      </c>
      <c r="T218" s="5400" t="s">
        <v>2856</v>
      </c>
    </row>
    <row r="219" spans="15:20" s="42" customFormat="1" ht="13.8">
      <c r="O219" s="5397">
        <v>9</v>
      </c>
      <c r="P219" s="5400" t="s">
        <v>21</v>
      </c>
      <c r="Q219" s="5420" t="s">
        <v>3513</v>
      </c>
      <c r="R219" s="5413" t="s">
        <v>3514</v>
      </c>
      <c r="S219" s="5399" t="s">
        <v>3500</v>
      </c>
      <c r="T219" s="5400" t="s">
        <v>2857</v>
      </c>
    </row>
    <row r="220" spans="15:20" s="42" customFormat="1" ht="13.8">
      <c r="O220" s="5397">
        <v>10</v>
      </c>
      <c r="P220" s="5400" t="s">
        <v>21</v>
      </c>
      <c r="Q220" s="5399" t="s">
        <v>3515</v>
      </c>
      <c r="R220" s="5399" t="s">
        <v>3516</v>
      </c>
      <c r="S220" s="5399" t="s">
        <v>2845</v>
      </c>
      <c r="T220" s="5400" t="s">
        <v>2689</v>
      </c>
    </row>
    <row r="221" spans="15:20" s="42" customFormat="1" ht="30.6">
      <c r="O221" s="5397">
        <v>11</v>
      </c>
      <c r="P221" s="5400" t="s">
        <v>21</v>
      </c>
      <c r="Q221" s="5403" t="s">
        <v>3517</v>
      </c>
      <c r="R221" s="5399" t="s">
        <v>3518</v>
      </c>
      <c r="S221" s="5399" t="s">
        <v>3504</v>
      </c>
      <c r="T221" s="5400" t="s">
        <v>3519</v>
      </c>
    </row>
    <row r="222" spans="15:20" s="42" customFormat="1" ht="13.8">
      <c r="O222" s="5397">
        <v>12</v>
      </c>
      <c r="P222" s="5400" t="s">
        <v>21</v>
      </c>
      <c r="Q222" s="5399" t="s">
        <v>3520</v>
      </c>
      <c r="R222" s="5413" t="s">
        <v>3521</v>
      </c>
      <c r="S222" s="5399" t="s">
        <v>3504</v>
      </c>
      <c r="T222" s="5400" t="s">
        <v>3522</v>
      </c>
    </row>
    <row r="223" spans="15:20" s="42" customFormat="1" ht="20.399999999999999">
      <c r="O223" s="5397">
        <v>13</v>
      </c>
      <c r="P223" s="5400" t="s">
        <v>21</v>
      </c>
      <c r="Q223" s="5399" t="s">
        <v>3523</v>
      </c>
      <c r="R223" s="5399" t="s">
        <v>3524</v>
      </c>
      <c r="S223" s="5399" t="s">
        <v>2845</v>
      </c>
      <c r="T223" s="5400" t="s">
        <v>3525</v>
      </c>
    </row>
    <row r="224" spans="15:20" s="42" customFormat="1" ht="13.8">
      <c r="O224" s="5397">
        <v>14</v>
      </c>
      <c r="P224" s="5400" t="s">
        <v>21</v>
      </c>
      <c r="Q224" s="5399" t="s">
        <v>3526</v>
      </c>
      <c r="R224" s="5399" t="s">
        <v>3852</v>
      </c>
      <c r="S224" s="5399" t="s">
        <v>3527</v>
      </c>
      <c r="T224" s="5400" t="s">
        <v>3528</v>
      </c>
    </row>
    <row r="225" spans="15:20" s="42" customFormat="1" ht="13.8">
      <c r="O225" s="5397">
        <v>15</v>
      </c>
      <c r="P225" s="5400" t="s">
        <v>21</v>
      </c>
      <c r="Q225" s="5399" t="s">
        <v>3529</v>
      </c>
      <c r="R225" s="5399" t="s">
        <v>3530</v>
      </c>
      <c r="S225" s="5399" t="s">
        <v>3504</v>
      </c>
      <c r="T225" s="5400" t="s">
        <v>3531</v>
      </c>
    </row>
    <row r="226" spans="15:20" s="42" customFormat="1" ht="13.8">
      <c r="O226" s="5397">
        <v>16</v>
      </c>
      <c r="P226" s="5400" t="s">
        <v>21</v>
      </c>
      <c r="Q226" s="5399" t="s">
        <v>3532</v>
      </c>
      <c r="R226" s="5413" t="s">
        <v>3533</v>
      </c>
      <c r="S226" s="5399" t="s">
        <v>2845</v>
      </c>
      <c r="T226" s="5400" t="s">
        <v>2864</v>
      </c>
    </row>
    <row r="227" spans="15:20" s="42" customFormat="1" ht="13.8">
      <c r="O227" s="5397">
        <v>17</v>
      </c>
      <c r="P227" s="5400" t="s">
        <v>21</v>
      </c>
      <c r="Q227" s="5399" t="s">
        <v>3534</v>
      </c>
      <c r="R227" s="5403" t="s">
        <v>3535</v>
      </c>
      <c r="S227" s="5399" t="s">
        <v>3536</v>
      </c>
      <c r="T227" s="5400" t="s">
        <v>3537</v>
      </c>
    </row>
    <row r="228" spans="15:20" s="42" customFormat="1" ht="13.8">
      <c r="O228" s="5397">
        <v>18</v>
      </c>
      <c r="P228" s="5400" t="s">
        <v>21</v>
      </c>
      <c r="Q228" s="5399" t="s">
        <v>3538</v>
      </c>
      <c r="R228" s="5413" t="s">
        <v>3535</v>
      </c>
      <c r="S228" s="5399" t="s">
        <v>3536</v>
      </c>
      <c r="T228" s="5400" t="s">
        <v>3539</v>
      </c>
    </row>
    <row r="229" spans="15:20" s="42" customFormat="1" ht="30.6">
      <c r="O229" s="5397">
        <v>19</v>
      </c>
      <c r="P229" s="5400" t="s">
        <v>41</v>
      </c>
      <c r="Q229" s="5403" t="s">
        <v>3540</v>
      </c>
      <c r="R229" s="5399" t="s">
        <v>3541</v>
      </c>
      <c r="S229" s="5399" t="s">
        <v>75</v>
      </c>
      <c r="T229" s="5400" t="s">
        <v>3542</v>
      </c>
    </row>
    <row r="230" spans="15:20" s="42" customFormat="1" ht="20.399999999999999">
      <c r="O230" s="5397">
        <v>20</v>
      </c>
      <c r="P230" s="5400" t="s">
        <v>41</v>
      </c>
      <c r="Q230" s="5399" t="s">
        <v>3543</v>
      </c>
      <c r="R230" s="5403" t="s">
        <v>3544</v>
      </c>
      <c r="S230" s="5399" t="s">
        <v>2845</v>
      </c>
      <c r="T230" s="5400" t="s">
        <v>3545</v>
      </c>
    </row>
    <row r="231" spans="15:20" s="42" customFormat="1" ht="20.399999999999999">
      <c r="O231" s="5397">
        <v>21</v>
      </c>
      <c r="P231" s="5400" t="s">
        <v>41</v>
      </c>
      <c r="Q231" s="5399" t="s">
        <v>3546</v>
      </c>
      <c r="R231" s="5413" t="s">
        <v>3547</v>
      </c>
      <c r="S231" s="5399" t="s">
        <v>2845</v>
      </c>
      <c r="T231" s="5400" t="s">
        <v>3548</v>
      </c>
    </row>
    <row r="232" spans="15:20" s="42" customFormat="1" ht="20.399999999999999">
      <c r="O232" s="5397">
        <v>22</v>
      </c>
      <c r="P232" s="5400" t="s">
        <v>41</v>
      </c>
      <c r="Q232" s="5399" t="s">
        <v>3549</v>
      </c>
      <c r="R232" s="5403" t="s">
        <v>3550</v>
      </c>
      <c r="S232" s="5399" t="s">
        <v>75</v>
      </c>
      <c r="T232" s="5400" t="s">
        <v>3551</v>
      </c>
    </row>
    <row r="233" spans="15:20" s="42" customFormat="1" ht="20.399999999999999">
      <c r="O233" s="5397">
        <v>23</v>
      </c>
      <c r="P233" s="5400" t="s">
        <v>41</v>
      </c>
      <c r="Q233" s="5399" t="s">
        <v>3552</v>
      </c>
      <c r="R233" s="5413" t="s">
        <v>3550</v>
      </c>
      <c r="S233" s="5399" t="s">
        <v>75</v>
      </c>
      <c r="T233" s="5400" t="s">
        <v>3553</v>
      </c>
    </row>
    <row r="234" spans="15:20" s="42" customFormat="1" ht="20.399999999999999">
      <c r="O234" s="5397">
        <v>24</v>
      </c>
      <c r="P234" s="5400" t="s">
        <v>41</v>
      </c>
      <c r="Q234" s="5399" t="s">
        <v>3554</v>
      </c>
      <c r="R234" s="5413" t="s">
        <v>3555</v>
      </c>
      <c r="S234" s="5399" t="s">
        <v>2845</v>
      </c>
      <c r="T234" s="5400" t="s">
        <v>2850</v>
      </c>
    </row>
    <row r="235" spans="15:20" s="42" customFormat="1" ht="20.399999999999999">
      <c r="O235" s="5397">
        <v>25</v>
      </c>
      <c r="P235" s="5400" t="s">
        <v>41</v>
      </c>
      <c r="Q235" s="5399" t="s">
        <v>3556</v>
      </c>
      <c r="R235" s="5413" t="s">
        <v>3557</v>
      </c>
      <c r="S235" s="5399" t="s">
        <v>2845</v>
      </c>
      <c r="T235" s="5400" t="s">
        <v>3558</v>
      </c>
    </row>
    <row r="236" spans="15:20" s="42" customFormat="1" ht="30.6">
      <c r="O236" s="5397">
        <v>26</v>
      </c>
      <c r="P236" s="5400" t="s">
        <v>41</v>
      </c>
      <c r="Q236" s="5399" t="s">
        <v>3559</v>
      </c>
      <c r="R236" s="5413" t="s">
        <v>3560</v>
      </c>
      <c r="S236" s="5399" t="s">
        <v>75</v>
      </c>
      <c r="T236" s="5400" t="s">
        <v>3561</v>
      </c>
    </row>
    <row r="237" spans="15:20" s="42" customFormat="1" ht="20.399999999999999">
      <c r="O237" s="5397">
        <v>27</v>
      </c>
      <c r="P237" s="5400" t="s">
        <v>41</v>
      </c>
      <c r="Q237" s="5399" t="s">
        <v>3562</v>
      </c>
      <c r="R237" s="5403" t="s">
        <v>3563</v>
      </c>
      <c r="S237" s="5399" t="s">
        <v>75</v>
      </c>
      <c r="T237" s="5400" t="s">
        <v>3564</v>
      </c>
    </row>
    <row r="238" spans="15:20" s="42" customFormat="1" ht="13.8">
      <c r="O238" s="5397">
        <v>28</v>
      </c>
      <c r="P238" s="5400" t="s">
        <v>41</v>
      </c>
      <c r="Q238" s="5399" t="s">
        <v>3565</v>
      </c>
      <c r="R238" s="5399" t="s">
        <v>3566</v>
      </c>
      <c r="S238" s="5399" t="s">
        <v>75</v>
      </c>
      <c r="T238" s="5400" t="s">
        <v>3567</v>
      </c>
    </row>
    <row r="239" spans="15:20" s="42" customFormat="1" ht="13.8">
      <c r="O239" s="5397">
        <v>29</v>
      </c>
      <c r="P239" s="5400" t="s">
        <v>41</v>
      </c>
      <c r="Q239" s="5399" t="s">
        <v>3568</v>
      </c>
      <c r="R239" s="5399" t="s">
        <v>3566</v>
      </c>
      <c r="S239" s="5399" t="s">
        <v>75</v>
      </c>
      <c r="T239" s="5400" t="s">
        <v>3569</v>
      </c>
    </row>
    <row r="240" spans="15:20" s="42" customFormat="1" ht="20.399999999999999">
      <c r="O240" s="5397">
        <v>30</v>
      </c>
      <c r="P240" s="5400" t="s">
        <v>41</v>
      </c>
      <c r="Q240" s="5399" t="s">
        <v>3570</v>
      </c>
      <c r="R240" s="5399" t="s">
        <v>3571</v>
      </c>
      <c r="S240" s="5399" t="s">
        <v>75</v>
      </c>
      <c r="T240" s="5400" t="s">
        <v>3572</v>
      </c>
    </row>
    <row r="241" spans="15:20" s="42" customFormat="1" ht="20.399999999999999">
      <c r="O241" s="5397">
        <v>31</v>
      </c>
      <c r="P241" s="5400" t="s">
        <v>41</v>
      </c>
      <c r="Q241" s="5399" t="s">
        <v>3573</v>
      </c>
      <c r="R241" s="5399" t="s">
        <v>3574</v>
      </c>
      <c r="S241" s="5399" t="s">
        <v>3575</v>
      </c>
      <c r="T241" s="5400" t="s">
        <v>3576</v>
      </c>
    </row>
    <row r="242" spans="15:20" s="42" customFormat="1" ht="20.399999999999999">
      <c r="O242" s="5397">
        <v>32</v>
      </c>
      <c r="P242" s="5400" t="s">
        <v>41</v>
      </c>
      <c r="Q242" s="5399" t="s">
        <v>3577</v>
      </c>
      <c r="R242" s="5399" t="s">
        <v>3578</v>
      </c>
      <c r="S242" s="5399" t="s">
        <v>75</v>
      </c>
      <c r="T242" s="5400" t="s">
        <v>3579</v>
      </c>
    </row>
    <row r="243" spans="15:20" s="42" customFormat="1" ht="13.8">
      <c r="O243" s="5397">
        <v>33</v>
      </c>
      <c r="P243" s="5400" t="s">
        <v>41</v>
      </c>
      <c r="Q243" s="5399" t="s">
        <v>3580</v>
      </c>
      <c r="R243" s="5399" t="s">
        <v>3581</v>
      </c>
      <c r="S243" s="5399" t="s">
        <v>3582</v>
      </c>
      <c r="T243" s="5400" t="s">
        <v>3583</v>
      </c>
    </row>
    <row r="244" spans="15:20" s="42" customFormat="1" ht="20.399999999999999">
      <c r="O244" s="5397">
        <v>34</v>
      </c>
      <c r="P244" s="5400" t="s">
        <v>41</v>
      </c>
      <c r="Q244" s="5399" t="s">
        <v>3584</v>
      </c>
      <c r="R244" s="5399" t="s">
        <v>3585</v>
      </c>
      <c r="S244" s="5399" t="s">
        <v>75</v>
      </c>
      <c r="T244" s="5400" t="s">
        <v>3586</v>
      </c>
    </row>
    <row r="245" spans="15:20" s="42" customFormat="1" ht="20.399999999999999">
      <c r="O245" s="5397">
        <v>35</v>
      </c>
      <c r="P245" s="5400" t="s">
        <v>41</v>
      </c>
      <c r="Q245" s="5399" t="s">
        <v>3587</v>
      </c>
      <c r="R245" s="5413" t="s">
        <v>3588</v>
      </c>
      <c r="S245" s="5399" t="s">
        <v>75</v>
      </c>
      <c r="T245" s="5400" t="s">
        <v>3589</v>
      </c>
    </row>
    <row r="246" spans="15:20" s="42" customFormat="1" ht="20.399999999999999">
      <c r="O246" s="5397">
        <v>36</v>
      </c>
      <c r="P246" s="5400" t="s">
        <v>41</v>
      </c>
      <c r="Q246" s="5399" t="s">
        <v>3590</v>
      </c>
      <c r="R246" s="5413" t="s">
        <v>3591</v>
      </c>
      <c r="S246" s="5399" t="s">
        <v>2845</v>
      </c>
      <c r="T246" s="5400" t="s">
        <v>3592</v>
      </c>
    </row>
    <row r="247" spans="15:20" s="42" customFormat="1" ht="20.399999999999999">
      <c r="O247" s="5397">
        <v>37</v>
      </c>
      <c r="P247" s="5400" t="s">
        <v>41</v>
      </c>
      <c r="Q247" s="5399" t="s">
        <v>3593</v>
      </c>
      <c r="R247" s="5413" t="s">
        <v>3594</v>
      </c>
      <c r="S247" s="5399" t="s">
        <v>75</v>
      </c>
      <c r="T247" s="5400" t="s">
        <v>3595</v>
      </c>
    </row>
    <row r="248" spans="15:20" s="42" customFormat="1" ht="20.399999999999999">
      <c r="O248" s="5397">
        <v>38</v>
      </c>
      <c r="P248" s="5400" t="s">
        <v>41</v>
      </c>
      <c r="Q248" s="5399" t="s">
        <v>3596</v>
      </c>
      <c r="R248" s="5413" t="s">
        <v>3597</v>
      </c>
      <c r="S248" s="5399" t="s">
        <v>2845</v>
      </c>
      <c r="T248" s="5400" t="s">
        <v>3598</v>
      </c>
    </row>
    <row r="249" spans="15:20" s="42" customFormat="1" ht="13.8">
      <c r="O249" s="5397">
        <v>39</v>
      </c>
      <c r="P249" s="5400" t="s">
        <v>41</v>
      </c>
      <c r="Q249" s="5399" t="s">
        <v>3599</v>
      </c>
      <c r="R249" s="5403" t="s">
        <v>3600</v>
      </c>
      <c r="S249" s="5399" t="s">
        <v>75</v>
      </c>
      <c r="T249" s="5400" t="s">
        <v>3601</v>
      </c>
    </row>
    <row r="250" spans="15:20" s="42" customFormat="1" ht="20.399999999999999">
      <c r="O250" s="5397">
        <v>40</v>
      </c>
      <c r="P250" s="5400" t="s">
        <v>41</v>
      </c>
      <c r="Q250" s="5399" t="s">
        <v>3602</v>
      </c>
      <c r="R250" s="5413" t="s">
        <v>3603</v>
      </c>
      <c r="S250" s="5399" t="s">
        <v>75</v>
      </c>
      <c r="T250" s="5400" t="s">
        <v>3604</v>
      </c>
    </row>
    <row r="251" spans="15:20" s="42" customFormat="1" ht="20.399999999999999">
      <c r="O251" s="5397">
        <v>41</v>
      </c>
      <c r="P251" s="5400" t="s">
        <v>41</v>
      </c>
      <c r="Q251" s="5399" t="s">
        <v>3605</v>
      </c>
      <c r="R251" s="5413" t="s">
        <v>3606</v>
      </c>
      <c r="S251" s="5399" t="s">
        <v>2845</v>
      </c>
      <c r="T251" s="5400" t="s">
        <v>3607</v>
      </c>
    </row>
    <row r="252" spans="15:20" s="42" customFormat="1" ht="13.8">
      <c r="O252" s="5397">
        <v>42</v>
      </c>
      <c r="P252" s="5400" t="s">
        <v>41</v>
      </c>
      <c r="Q252" s="5399" t="s">
        <v>3608</v>
      </c>
      <c r="R252" s="5413" t="s">
        <v>3609</v>
      </c>
      <c r="S252" s="5399" t="s">
        <v>75</v>
      </c>
      <c r="T252" s="5400" t="s">
        <v>3610</v>
      </c>
    </row>
    <row r="253" spans="15:20" s="42" customFormat="1" ht="13.8">
      <c r="O253" s="5397">
        <v>43</v>
      </c>
      <c r="P253" s="5400" t="s">
        <v>41</v>
      </c>
      <c r="Q253" s="5399" t="s">
        <v>3611</v>
      </c>
      <c r="R253" s="5413" t="s">
        <v>3612</v>
      </c>
      <c r="S253" s="5399" t="s">
        <v>75</v>
      </c>
      <c r="T253" s="5400" t="s">
        <v>3613</v>
      </c>
    </row>
    <row r="254" spans="15:20" s="42" customFormat="1" ht="20.399999999999999">
      <c r="O254" s="5397">
        <v>44</v>
      </c>
      <c r="P254" s="5400" t="s">
        <v>16</v>
      </c>
      <c r="Q254" s="5399" t="s">
        <v>3614</v>
      </c>
      <c r="R254" s="5399" t="s">
        <v>3615</v>
      </c>
      <c r="S254" s="5399" t="s">
        <v>2844</v>
      </c>
      <c r="T254" s="5400" t="s">
        <v>2842</v>
      </c>
    </row>
    <row r="255" spans="15:20" s="42" customFormat="1" ht="20.399999999999999">
      <c r="O255" s="5397">
        <v>45</v>
      </c>
      <c r="P255" s="5400" t="s">
        <v>16</v>
      </c>
      <c r="Q255" s="5399" t="s">
        <v>3616</v>
      </c>
      <c r="R255" s="5399" t="s">
        <v>3617</v>
      </c>
      <c r="S255" s="5399" t="s">
        <v>75</v>
      </c>
      <c r="T255" s="5400" t="s">
        <v>3618</v>
      </c>
    </row>
    <row r="256" spans="15:20" s="42" customFormat="1" ht="13.8">
      <c r="O256" s="5397">
        <v>46</v>
      </c>
      <c r="P256" s="5400" t="s">
        <v>16</v>
      </c>
      <c r="Q256" s="5399" t="s">
        <v>3619</v>
      </c>
      <c r="R256" s="5399" t="s">
        <v>3620</v>
      </c>
      <c r="S256" s="5399" t="s">
        <v>3621</v>
      </c>
      <c r="T256" s="5400" t="s">
        <v>3622</v>
      </c>
    </row>
    <row r="257" spans="15:20" s="42" customFormat="1" ht="30.6">
      <c r="O257" s="5397">
        <v>47</v>
      </c>
      <c r="P257" s="5400" t="s">
        <v>16</v>
      </c>
      <c r="Q257" s="5399" t="s">
        <v>3623</v>
      </c>
      <c r="R257" s="5399" t="s">
        <v>3624</v>
      </c>
      <c r="S257" s="5399" t="s">
        <v>2845</v>
      </c>
      <c r="T257" s="5400" t="s">
        <v>2843</v>
      </c>
    </row>
    <row r="258" spans="15:20" s="42" customFormat="1" ht="13.8">
      <c r="O258" s="5397">
        <v>48</v>
      </c>
      <c r="P258" s="5400" t="s">
        <v>16</v>
      </c>
      <c r="Q258" s="5399" t="s">
        <v>3625</v>
      </c>
      <c r="R258" s="5399" t="s">
        <v>3626</v>
      </c>
      <c r="S258" s="5399" t="s">
        <v>3627</v>
      </c>
      <c r="T258" s="5400" t="s">
        <v>3628</v>
      </c>
    </row>
    <row r="259" spans="15:20" s="42" customFormat="1" ht="13.8">
      <c r="O259" s="5397">
        <v>49</v>
      </c>
      <c r="P259" s="5400" t="s">
        <v>16</v>
      </c>
      <c r="Q259" s="5399" t="s">
        <v>3629</v>
      </c>
      <c r="R259" s="5399" t="s">
        <v>3630</v>
      </c>
      <c r="S259" s="5399" t="s">
        <v>75</v>
      </c>
      <c r="T259" s="5400" t="s">
        <v>3631</v>
      </c>
    </row>
    <row r="260" spans="15:20" s="42" customFormat="1" ht="13.8">
      <c r="O260" s="5397">
        <v>50</v>
      </c>
      <c r="P260" s="5400" t="s">
        <v>16</v>
      </c>
      <c r="Q260" s="5399" t="s">
        <v>3632</v>
      </c>
      <c r="R260" s="5399" t="s">
        <v>3633</v>
      </c>
      <c r="S260" s="5399" t="s">
        <v>75</v>
      </c>
      <c r="T260" s="5400" t="s">
        <v>3634</v>
      </c>
    </row>
    <row r="261" spans="15:20" s="42" customFormat="1" ht="20.399999999999999">
      <c r="O261" s="5397">
        <v>51</v>
      </c>
      <c r="P261" s="5400" t="s">
        <v>16</v>
      </c>
      <c r="Q261" s="5399" t="s">
        <v>3635</v>
      </c>
      <c r="R261" s="5399" t="s">
        <v>3636</v>
      </c>
      <c r="S261" s="5399" t="s">
        <v>3637</v>
      </c>
      <c r="T261" s="5400" t="s">
        <v>3638</v>
      </c>
    </row>
    <row r="262" spans="15:20" s="42" customFormat="1" ht="13.8">
      <c r="O262" s="5397">
        <v>52</v>
      </c>
      <c r="P262" s="5400" t="s">
        <v>16</v>
      </c>
      <c r="Q262" s="5399" t="s">
        <v>3639</v>
      </c>
      <c r="R262" s="5399" t="s">
        <v>3640</v>
      </c>
      <c r="S262" s="5399" t="s">
        <v>2845</v>
      </c>
      <c r="T262" s="5400" t="s">
        <v>2846</v>
      </c>
    </row>
    <row r="263" spans="15:20" s="42" customFormat="1" ht="13.8">
      <c r="O263" s="5397">
        <v>53</v>
      </c>
      <c r="P263" s="5400" t="s">
        <v>16</v>
      </c>
      <c r="Q263" s="5399" t="s">
        <v>3641</v>
      </c>
      <c r="R263" s="5399" t="s">
        <v>3642</v>
      </c>
      <c r="S263" s="5399" t="s">
        <v>75</v>
      </c>
      <c r="T263" s="5400" t="s">
        <v>3643</v>
      </c>
    </row>
    <row r="264" spans="15:20" s="42" customFormat="1" ht="20.399999999999999">
      <c r="O264" s="5397">
        <v>54</v>
      </c>
      <c r="P264" s="5400" t="s">
        <v>16</v>
      </c>
      <c r="Q264" s="5399" t="s">
        <v>3644</v>
      </c>
      <c r="R264" s="5399" t="s">
        <v>3645</v>
      </c>
      <c r="S264" s="5399" t="s">
        <v>75</v>
      </c>
      <c r="T264" s="5400" t="s">
        <v>3646</v>
      </c>
    </row>
    <row r="265" spans="15:20" s="42" customFormat="1" ht="20.399999999999999">
      <c r="O265" s="5397">
        <v>55</v>
      </c>
      <c r="P265" s="5400" t="s">
        <v>16</v>
      </c>
      <c r="Q265" s="5399" t="s">
        <v>3647</v>
      </c>
      <c r="R265" s="5399" t="s">
        <v>3648</v>
      </c>
      <c r="S265" s="5399" t="s">
        <v>3649</v>
      </c>
      <c r="T265" s="5400" t="s">
        <v>2847</v>
      </c>
    </row>
    <row r="266" spans="15:20" s="42" customFormat="1" ht="20.399999999999999">
      <c r="O266" s="5397">
        <v>56</v>
      </c>
      <c r="P266" s="5400" t="s">
        <v>16</v>
      </c>
      <c r="Q266" s="5399" t="s">
        <v>3650</v>
      </c>
      <c r="R266" s="5399" t="s">
        <v>3630</v>
      </c>
      <c r="S266" s="5399" t="s">
        <v>3651</v>
      </c>
      <c r="T266" s="5400" t="s">
        <v>3652</v>
      </c>
    </row>
    <row r="267" spans="15:20" s="42" customFormat="1" ht="13.8">
      <c r="O267" s="5397">
        <v>57</v>
      </c>
      <c r="P267" s="5400" t="s">
        <v>16</v>
      </c>
      <c r="Q267" s="5399" t="s">
        <v>3653</v>
      </c>
      <c r="R267" s="5399" t="s">
        <v>3654</v>
      </c>
      <c r="S267" s="5399" t="s">
        <v>3655</v>
      </c>
      <c r="T267" s="5400" t="s">
        <v>3656</v>
      </c>
    </row>
    <row r="268" spans="15:20" s="42" customFormat="1" ht="20.399999999999999">
      <c r="O268" s="5397">
        <v>58</v>
      </c>
      <c r="P268" s="5400" t="s">
        <v>16</v>
      </c>
      <c r="Q268" s="5399" t="s">
        <v>3657</v>
      </c>
      <c r="R268" s="5399" t="s">
        <v>3658</v>
      </c>
      <c r="S268" s="5399" t="s">
        <v>2688</v>
      </c>
      <c r="T268" s="5401" t="s">
        <v>2848</v>
      </c>
    </row>
    <row r="269" spans="15:20" s="42" customFormat="1" ht="20.399999999999999">
      <c r="O269" s="5397">
        <v>59</v>
      </c>
      <c r="P269" s="5400" t="s">
        <v>16</v>
      </c>
      <c r="Q269" s="5399" t="s">
        <v>3659</v>
      </c>
      <c r="R269" s="5399" t="s">
        <v>3660</v>
      </c>
      <c r="S269" s="5399" t="s">
        <v>2845</v>
      </c>
      <c r="T269" s="5400" t="s">
        <v>2859</v>
      </c>
    </row>
    <row r="270" spans="15:20" s="42" customFormat="1" ht="13.8">
      <c r="O270" s="5397">
        <v>60</v>
      </c>
      <c r="P270" s="5400" t="s">
        <v>16</v>
      </c>
      <c r="Q270" s="5399" t="s">
        <v>3661</v>
      </c>
      <c r="R270" s="5399" t="s">
        <v>3662</v>
      </c>
      <c r="S270" s="5399" t="s">
        <v>75</v>
      </c>
      <c r="T270" s="5400" t="s">
        <v>3663</v>
      </c>
    </row>
    <row r="271" spans="15:20" s="42" customFormat="1" ht="13.8">
      <c r="O271" s="5397">
        <v>61</v>
      </c>
      <c r="P271" s="5400" t="s">
        <v>16</v>
      </c>
      <c r="Q271" s="5399" t="s">
        <v>3664</v>
      </c>
      <c r="R271" s="5399" t="s">
        <v>3665</v>
      </c>
      <c r="S271" s="5399" t="s">
        <v>75</v>
      </c>
      <c r="T271" s="5400" t="s">
        <v>3666</v>
      </c>
    </row>
    <row r="272" spans="15:20" s="42" customFormat="1" ht="13.8">
      <c r="O272" s="5397">
        <v>62</v>
      </c>
      <c r="P272" s="5400" t="s">
        <v>16</v>
      </c>
      <c r="Q272" s="5399" t="s">
        <v>3667</v>
      </c>
      <c r="R272" s="5399" t="s">
        <v>3668</v>
      </c>
      <c r="S272" s="5399" t="s">
        <v>75</v>
      </c>
      <c r="T272" s="5400" t="s">
        <v>3669</v>
      </c>
    </row>
    <row r="273" spans="15:20" s="42" customFormat="1" ht="13.8">
      <c r="O273" s="5397">
        <v>63</v>
      </c>
      <c r="P273" s="5400" t="s">
        <v>16</v>
      </c>
      <c r="Q273" s="5399" t="s">
        <v>3670</v>
      </c>
      <c r="R273" s="5399" t="s">
        <v>3671</v>
      </c>
      <c r="S273" s="5399" t="s">
        <v>3655</v>
      </c>
      <c r="T273" s="5400" t="s">
        <v>3672</v>
      </c>
    </row>
    <row r="274" spans="15:20" s="42" customFormat="1" ht="13.8">
      <c r="O274" s="5397">
        <v>64</v>
      </c>
      <c r="P274" s="5400" t="s">
        <v>16</v>
      </c>
      <c r="Q274" s="5399" t="s">
        <v>3673</v>
      </c>
      <c r="R274" s="5399" t="s">
        <v>3674</v>
      </c>
      <c r="S274" s="5399" t="s">
        <v>75</v>
      </c>
      <c r="T274" s="5400" t="s">
        <v>3675</v>
      </c>
    </row>
    <row r="275" spans="15:20" s="42" customFormat="1" ht="20.399999999999999">
      <c r="O275" s="5397">
        <v>65</v>
      </c>
      <c r="P275" s="5400" t="s">
        <v>16</v>
      </c>
      <c r="Q275" s="5399" t="s">
        <v>3676</v>
      </c>
      <c r="R275" s="5399" t="s">
        <v>3677</v>
      </c>
      <c r="S275" s="5399" t="s">
        <v>75</v>
      </c>
      <c r="T275" s="5400" t="s">
        <v>3678</v>
      </c>
    </row>
    <row r="276" spans="15:20" s="42" customFormat="1" ht="20.399999999999999">
      <c r="O276" s="5397">
        <v>66</v>
      </c>
      <c r="P276" s="5400" t="s">
        <v>16</v>
      </c>
      <c r="Q276" s="5399" t="s">
        <v>3679</v>
      </c>
      <c r="R276" s="5399" t="s">
        <v>3680</v>
      </c>
      <c r="S276" s="5399" t="s">
        <v>3681</v>
      </c>
      <c r="T276" s="5401" t="s">
        <v>3682</v>
      </c>
    </row>
    <row r="277" spans="15:20" s="42" customFormat="1" ht="20.399999999999999">
      <c r="O277" s="5397">
        <v>67</v>
      </c>
      <c r="P277" s="5400" t="s">
        <v>16</v>
      </c>
      <c r="Q277" s="5399" t="s">
        <v>3683</v>
      </c>
      <c r="R277" s="5399" t="s">
        <v>3684</v>
      </c>
      <c r="S277" s="5399" t="s">
        <v>3621</v>
      </c>
      <c r="T277" s="5400" t="s">
        <v>3685</v>
      </c>
    </row>
    <row r="278" spans="15:20" s="42" customFormat="1" ht="13.8">
      <c r="O278" s="5397">
        <v>68</v>
      </c>
      <c r="P278" s="5400" t="s">
        <v>16</v>
      </c>
      <c r="Q278" s="5399" t="s">
        <v>3686</v>
      </c>
      <c r="R278" s="5399" t="s">
        <v>3687</v>
      </c>
      <c r="S278" s="5399" t="s">
        <v>75</v>
      </c>
      <c r="T278" s="5400" t="s">
        <v>3688</v>
      </c>
    </row>
    <row r="279" spans="15:20" s="42" customFormat="1" ht="20.399999999999999">
      <c r="O279" s="5397">
        <v>69</v>
      </c>
      <c r="P279" s="5400" t="s">
        <v>16</v>
      </c>
      <c r="Q279" s="5399" t="s">
        <v>3689</v>
      </c>
      <c r="R279" s="5399" t="s">
        <v>3690</v>
      </c>
      <c r="S279" s="5399" t="s">
        <v>2845</v>
      </c>
      <c r="T279" s="5400" t="s">
        <v>3691</v>
      </c>
    </row>
    <row r="280" spans="15:20" s="42" customFormat="1" ht="13.8">
      <c r="O280" s="5397">
        <v>70</v>
      </c>
      <c r="P280" s="5400" t="s">
        <v>16</v>
      </c>
      <c r="Q280" s="5399" t="s">
        <v>3692</v>
      </c>
      <c r="R280" s="5399" t="s">
        <v>3693</v>
      </c>
      <c r="S280" s="5399" t="s">
        <v>3694</v>
      </c>
      <c r="T280" s="5400" t="s">
        <v>3695</v>
      </c>
    </row>
    <row r="281" spans="15:20" s="42" customFormat="1" ht="20.399999999999999">
      <c r="O281" s="5397">
        <v>71</v>
      </c>
      <c r="P281" s="5400" t="s">
        <v>16</v>
      </c>
      <c r="Q281" s="5399" t="s">
        <v>3696</v>
      </c>
      <c r="R281" s="5399" t="s">
        <v>3697</v>
      </c>
      <c r="S281" s="5399" t="s">
        <v>3698</v>
      </c>
      <c r="T281" s="5400" t="s">
        <v>3699</v>
      </c>
    </row>
    <row r="282" spans="15:20" s="42" customFormat="1" ht="20.399999999999999">
      <c r="O282" s="5397">
        <v>72</v>
      </c>
      <c r="P282" s="5400" t="s">
        <v>16</v>
      </c>
      <c r="Q282" s="5399" t="s">
        <v>3700</v>
      </c>
      <c r="R282" s="5399" t="s">
        <v>3701</v>
      </c>
      <c r="S282" s="5399" t="s">
        <v>2845</v>
      </c>
      <c r="T282" s="5401" t="s">
        <v>3702</v>
      </c>
    </row>
    <row r="283" spans="15:20" s="42" customFormat="1" ht="20.399999999999999">
      <c r="O283" s="5397">
        <v>73</v>
      </c>
      <c r="P283" s="5400" t="s">
        <v>16</v>
      </c>
      <c r="Q283" s="5399" t="s">
        <v>3703</v>
      </c>
      <c r="R283" s="5399" t="s">
        <v>3704</v>
      </c>
      <c r="S283" s="5399" t="s">
        <v>2845</v>
      </c>
      <c r="T283" s="5400" t="s">
        <v>2858</v>
      </c>
    </row>
    <row r="284" spans="15:20" s="42" customFormat="1" ht="13.8">
      <c r="O284" s="5397">
        <v>74</v>
      </c>
      <c r="P284" s="5400" t="s">
        <v>16</v>
      </c>
      <c r="Q284" s="5399" t="s">
        <v>3705</v>
      </c>
      <c r="R284" s="5399" t="s">
        <v>3706</v>
      </c>
      <c r="S284" s="5399" t="s">
        <v>75</v>
      </c>
      <c r="T284" s="5400" t="s">
        <v>3707</v>
      </c>
    </row>
    <row r="285" spans="15:20" s="42" customFormat="1" ht="13.8">
      <c r="O285" s="5397">
        <v>75</v>
      </c>
      <c r="P285" s="5400" t="s">
        <v>16</v>
      </c>
      <c r="Q285" s="5399" t="s">
        <v>3708</v>
      </c>
      <c r="R285" s="5399" t="s">
        <v>3709</v>
      </c>
      <c r="S285" s="5399" t="s">
        <v>75</v>
      </c>
      <c r="T285" s="5400" t="s">
        <v>3669</v>
      </c>
    </row>
    <row r="286" spans="15:20" s="42" customFormat="1" ht="13.8">
      <c r="O286" s="5397">
        <v>76</v>
      </c>
      <c r="P286" s="5400" t="s">
        <v>16</v>
      </c>
      <c r="Q286" s="5399" t="s">
        <v>3710</v>
      </c>
      <c r="R286" s="5399" t="s">
        <v>3711</v>
      </c>
      <c r="S286" s="5399" t="s">
        <v>2688</v>
      </c>
      <c r="T286" s="5401" t="s">
        <v>2860</v>
      </c>
    </row>
    <row r="287" spans="15:20" s="42" customFormat="1" ht="13.8">
      <c r="O287" s="5397">
        <v>77</v>
      </c>
      <c r="P287" s="5400" t="s">
        <v>16</v>
      </c>
      <c r="Q287" s="5399" t="s">
        <v>3712</v>
      </c>
      <c r="R287" s="5399" t="s">
        <v>3713</v>
      </c>
      <c r="S287" s="5399" t="s">
        <v>75</v>
      </c>
      <c r="T287" s="5400" t="s">
        <v>3714</v>
      </c>
    </row>
    <row r="288" spans="15:20" s="42" customFormat="1" ht="13.8">
      <c r="O288" s="5397">
        <v>78</v>
      </c>
      <c r="P288" s="5400" t="s">
        <v>16</v>
      </c>
      <c r="Q288" s="5399" t="s">
        <v>3715</v>
      </c>
      <c r="R288" s="5399" t="s">
        <v>3716</v>
      </c>
      <c r="S288" s="5399" t="s">
        <v>3698</v>
      </c>
      <c r="T288" s="5400" t="s">
        <v>3717</v>
      </c>
    </row>
    <row r="289" spans="15:20" s="42" customFormat="1" ht="13.8">
      <c r="O289" s="5397">
        <v>79</v>
      </c>
      <c r="P289" s="5400" t="s">
        <v>16</v>
      </c>
      <c r="Q289" s="5399" t="s">
        <v>3718</v>
      </c>
      <c r="R289" s="5399" t="s">
        <v>3719</v>
      </c>
      <c r="S289" s="5399" t="s">
        <v>3655</v>
      </c>
      <c r="T289" s="5400" t="s">
        <v>3720</v>
      </c>
    </row>
    <row r="290" spans="15:20" s="42" customFormat="1" ht="20.399999999999999">
      <c r="O290" s="5397">
        <v>80</v>
      </c>
      <c r="P290" s="5400" t="s">
        <v>16</v>
      </c>
      <c r="Q290" s="5399" t="s">
        <v>3721</v>
      </c>
      <c r="R290" s="5399" t="s">
        <v>3722</v>
      </c>
      <c r="S290" s="5399" t="s">
        <v>75</v>
      </c>
      <c r="T290" s="5400" t="s">
        <v>3723</v>
      </c>
    </row>
    <row r="291" spans="15:20" s="42" customFormat="1" ht="13.8">
      <c r="O291" s="5397">
        <v>81</v>
      </c>
      <c r="P291" s="5400" t="s">
        <v>16</v>
      </c>
      <c r="Q291" s="5399" t="s">
        <v>3724</v>
      </c>
      <c r="R291" s="5399" t="s">
        <v>3725</v>
      </c>
      <c r="S291" s="5399" t="s">
        <v>75</v>
      </c>
      <c r="T291" s="5400" t="s">
        <v>3726</v>
      </c>
    </row>
    <row r="292" spans="15:20" s="42" customFormat="1" ht="20.399999999999999">
      <c r="O292" s="5397">
        <v>82</v>
      </c>
      <c r="P292" s="5400" t="s">
        <v>16</v>
      </c>
      <c r="Q292" s="5399" t="s">
        <v>3727</v>
      </c>
      <c r="R292" s="5399" t="s">
        <v>3728</v>
      </c>
      <c r="S292" s="5399" t="s">
        <v>3651</v>
      </c>
      <c r="T292" s="5400" t="s">
        <v>3729</v>
      </c>
    </row>
    <row r="293" spans="15:20" s="42" customFormat="1" ht="13.8">
      <c r="O293" s="5397">
        <v>83</v>
      </c>
      <c r="P293" s="5400" t="s">
        <v>16</v>
      </c>
      <c r="Q293" s="5399" t="s">
        <v>3730</v>
      </c>
      <c r="R293" s="5399" t="s">
        <v>3731</v>
      </c>
      <c r="S293" s="5399" t="s">
        <v>75</v>
      </c>
      <c r="T293" s="5400" t="s">
        <v>3732</v>
      </c>
    </row>
    <row r="294" spans="15:20" s="42" customFormat="1" ht="20.399999999999999">
      <c r="O294" s="5397">
        <v>84</v>
      </c>
      <c r="P294" s="5400" t="s">
        <v>16</v>
      </c>
      <c r="Q294" s="5399" t="s">
        <v>3733</v>
      </c>
      <c r="R294" s="5399" t="s">
        <v>3734</v>
      </c>
      <c r="S294" s="5399" t="s">
        <v>3651</v>
      </c>
      <c r="T294" s="5400" t="s">
        <v>3735</v>
      </c>
    </row>
    <row r="295" spans="15:20" s="42" customFormat="1" ht="13.8">
      <c r="O295" s="5397">
        <v>85</v>
      </c>
      <c r="P295" s="5400" t="s">
        <v>16</v>
      </c>
      <c r="Q295" s="5399" t="s">
        <v>3736</v>
      </c>
      <c r="R295" s="5399" t="s">
        <v>3737</v>
      </c>
      <c r="S295" s="5399" t="s">
        <v>75</v>
      </c>
      <c r="T295" s="5400" t="s">
        <v>3738</v>
      </c>
    </row>
    <row r="296" spans="15:20" ht="20.399999999999999">
      <c r="O296" s="5397">
        <v>86</v>
      </c>
      <c r="P296" s="5400" t="s">
        <v>16</v>
      </c>
      <c r="Q296" s="5399" t="s">
        <v>3739</v>
      </c>
      <c r="R296" s="5399" t="s">
        <v>3740</v>
      </c>
      <c r="S296" s="5399" t="s">
        <v>3741</v>
      </c>
      <c r="T296" s="5401" t="s">
        <v>3742</v>
      </c>
    </row>
    <row r="297" spans="15:20" ht="20.399999999999999">
      <c r="O297" s="5397">
        <v>87</v>
      </c>
      <c r="P297" s="5400" t="s">
        <v>16</v>
      </c>
      <c r="Q297" s="5399" t="s">
        <v>3743</v>
      </c>
      <c r="R297" s="5399" t="s">
        <v>3744</v>
      </c>
      <c r="S297" s="5399" t="s">
        <v>3698</v>
      </c>
      <c r="T297" s="5400" t="s">
        <v>3745</v>
      </c>
    </row>
    <row r="298" spans="15:20">
      <c r="O298" s="5397">
        <v>88</v>
      </c>
      <c r="P298" s="5400" t="s">
        <v>16</v>
      </c>
      <c r="Q298" s="5399" t="s">
        <v>3746</v>
      </c>
      <c r="R298" s="5399" t="s">
        <v>3747</v>
      </c>
      <c r="S298" s="5399" t="s">
        <v>3748</v>
      </c>
      <c r="T298" s="5400" t="s">
        <v>3749</v>
      </c>
    </row>
    <row r="299" spans="15:20" ht="20.399999999999999">
      <c r="O299" s="5397">
        <v>89</v>
      </c>
      <c r="P299" s="5400" t="s">
        <v>16</v>
      </c>
      <c r="Q299" s="5399" t="s">
        <v>3750</v>
      </c>
      <c r="R299" s="5399" t="s">
        <v>3751</v>
      </c>
      <c r="S299" s="5399" t="s">
        <v>2845</v>
      </c>
      <c r="T299" s="5400" t="s">
        <v>3752</v>
      </c>
    </row>
    <row r="300" spans="15:20" ht="20.399999999999999">
      <c r="O300" s="5397">
        <v>90</v>
      </c>
      <c r="P300" s="5400" t="s">
        <v>16</v>
      </c>
      <c r="Q300" s="5399" t="s">
        <v>3753</v>
      </c>
      <c r="R300" s="5399" t="s">
        <v>3754</v>
      </c>
      <c r="S300" s="5399" t="s">
        <v>2844</v>
      </c>
      <c r="T300" s="5401" t="s">
        <v>2852</v>
      </c>
    </row>
    <row r="301" spans="15:20" ht="30.6">
      <c r="O301" s="5397">
        <v>91</v>
      </c>
      <c r="P301" s="5400" t="s">
        <v>16</v>
      </c>
      <c r="Q301" s="5399" t="s">
        <v>3755</v>
      </c>
      <c r="R301" s="5399" t="s">
        <v>3756</v>
      </c>
      <c r="S301" s="5399" t="s">
        <v>2845</v>
      </c>
      <c r="T301" s="5401" t="s">
        <v>2863</v>
      </c>
    </row>
    <row r="302" spans="15:20" ht="30.6">
      <c r="O302" s="5397">
        <v>92</v>
      </c>
      <c r="P302" s="5400" t="s">
        <v>16</v>
      </c>
      <c r="Q302" s="5399" t="s">
        <v>3757</v>
      </c>
      <c r="R302" s="5399" t="s">
        <v>3758</v>
      </c>
      <c r="S302" s="5399" t="s">
        <v>2844</v>
      </c>
      <c r="T302" s="5400" t="s">
        <v>3759</v>
      </c>
    </row>
    <row r="303" spans="15:20">
      <c r="O303" s="5397">
        <v>93</v>
      </c>
      <c r="P303" s="5400" t="s">
        <v>16</v>
      </c>
      <c r="Q303" s="5399" t="s">
        <v>3760</v>
      </c>
      <c r="R303" s="5399" t="s">
        <v>3761</v>
      </c>
      <c r="S303" s="5399" t="s">
        <v>75</v>
      </c>
      <c r="T303" s="5400" t="s">
        <v>3762</v>
      </c>
    </row>
    <row r="304" spans="15:20">
      <c r="O304" s="5397">
        <v>94</v>
      </c>
      <c r="P304" s="5400" t="s">
        <v>16</v>
      </c>
      <c r="Q304" s="5399" t="s">
        <v>3763</v>
      </c>
      <c r="R304" s="5399" t="s">
        <v>3764</v>
      </c>
      <c r="S304" s="5399" t="s">
        <v>3651</v>
      </c>
      <c r="T304" s="5400" t="s">
        <v>3765</v>
      </c>
    </row>
    <row r="305" spans="15:20">
      <c r="O305" s="5397">
        <v>95</v>
      </c>
      <c r="P305" s="5400" t="s">
        <v>16</v>
      </c>
      <c r="Q305" s="5399" t="s">
        <v>3766</v>
      </c>
      <c r="R305" s="5399" t="s">
        <v>3767</v>
      </c>
      <c r="S305" s="5399" t="s">
        <v>2845</v>
      </c>
      <c r="T305" s="5400" t="s">
        <v>2862</v>
      </c>
    </row>
    <row r="306" spans="15:20" ht="20.399999999999999">
      <c r="O306" s="5397">
        <v>96</v>
      </c>
      <c r="P306" s="5400" t="s">
        <v>16</v>
      </c>
      <c r="Q306" s="5399" t="s">
        <v>3768</v>
      </c>
      <c r="R306" s="5399" t="s">
        <v>3769</v>
      </c>
      <c r="S306" s="5399" t="s">
        <v>75</v>
      </c>
      <c r="T306" s="5400" t="s">
        <v>3770</v>
      </c>
    </row>
    <row r="307" spans="15:20" ht="20.399999999999999">
      <c r="O307" s="5397">
        <v>97</v>
      </c>
      <c r="P307" s="5400" t="s">
        <v>16</v>
      </c>
      <c r="Q307" s="5399" t="s">
        <v>3771</v>
      </c>
      <c r="R307" s="5399" t="s">
        <v>3772</v>
      </c>
      <c r="S307" s="5399" t="s">
        <v>75</v>
      </c>
      <c r="T307" s="5400" t="s">
        <v>3773</v>
      </c>
    </row>
    <row r="308" spans="15:20" ht="20.399999999999999">
      <c r="O308" s="5397">
        <v>98</v>
      </c>
      <c r="P308" s="5400" t="s">
        <v>16</v>
      </c>
      <c r="Q308" s="5399" t="s">
        <v>3774</v>
      </c>
      <c r="R308" s="5399" t="s">
        <v>3775</v>
      </c>
      <c r="S308" s="5399" t="s">
        <v>2514</v>
      </c>
      <c r="T308" s="5400" t="s">
        <v>2865</v>
      </c>
    </row>
    <row r="309" spans="15:20" ht="20.399999999999999">
      <c r="O309" s="5397">
        <v>99</v>
      </c>
      <c r="P309" s="5400" t="s">
        <v>16</v>
      </c>
      <c r="Q309" s="5399" t="s">
        <v>3776</v>
      </c>
      <c r="R309" s="5399" t="s">
        <v>3777</v>
      </c>
      <c r="S309" s="5399" t="s">
        <v>2845</v>
      </c>
      <c r="T309" s="5401" t="s">
        <v>3778</v>
      </c>
    </row>
    <row r="310" spans="15:20" ht="20.399999999999999">
      <c r="O310" s="5397">
        <v>100</v>
      </c>
      <c r="P310" s="5400" t="s">
        <v>16</v>
      </c>
      <c r="Q310" s="5399" t="s">
        <v>3779</v>
      </c>
      <c r="R310" s="5399" t="s">
        <v>3780</v>
      </c>
      <c r="S310" s="5399" t="s">
        <v>3781</v>
      </c>
      <c r="T310" s="5400" t="s">
        <v>2866</v>
      </c>
    </row>
    <row r="311" spans="15:20">
      <c r="O311" s="5397">
        <v>101</v>
      </c>
      <c r="P311" s="5400" t="s">
        <v>16</v>
      </c>
      <c r="Q311" s="5399" t="s">
        <v>3782</v>
      </c>
      <c r="R311" s="5399" t="s">
        <v>3783</v>
      </c>
      <c r="S311" s="5399" t="s">
        <v>75</v>
      </c>
      <c r="T311" s="5400" t="s">
        <v>3784</v>
      </c>
    </row>
    <row r="312" spans="15:20" ht="20.399999999999999">
      <c r="O312" s="5397">
        <v>102</v>
      </c>
      <c r="P312" s="5400" t="s">
        <v>16</v>
      </c>
      <c r="Q312" s="5399" t="s">
        <v>3785</v>
      </c>
      <c r="R312" s="5399" t="s">
        <v>3786</v>
      </c>
      <c r="S312" s="5399" t="s">
        <v>2845</v>
      </c>
      <c r="T312" s="5401" t="s">
        <v>3787</v>
      </c>
    </row>
    <row r="313" spans="15:20">
      <c r="O313" s="5397">
        <v>103</v>
      </c>
      <c r="P313" s="5400" t="s">
        <v>16</v>
      </c>
      <c r="Q313" s="5399" t="s">
        <v>3788</v>
      </c>
      <c r="R313" s="5399" t="s">
        <v>3789</v>
      </c>
      <c r="S313" s="5399" t="s">
        <v>3651</v>
      </c>
      <c r="T313" s="5400" t="s">
        <v>3790</v>
      </c>
    </row>
    <row r="314" spans="15:20">
      <c r="O314" s="5397">
        <v>104</v>
      </c>
      <c r="P314" s="5400" t="s">
        <v>16</v>
      </c>
      <c r="Q314" s="5399" t="s">
        <v>3791</v>
      </c>
      <c r="R314" s="5399" t="s">
        <v>3792</v>
      </c>
      <c r="S314" s="5399" t="s">
        <v>75</v>
      </c>
      <c r="T314" s="5400" t="s">
        <v>3793</v>
      </c>
    </row>
    <row r="315" spans="15:20" ht="30.6">
      <c r="O315" s="5397">
        <v>105</v>
      </c>
      <c r="P315" s="5400" t="s">
        <v>16</v>
      </c>
      <c r="Q315" s="5399" t="s">
        <v>3794</v>
      </c>
      <c r="R315" s="5399" t="s">
        <v>3795</v>
      </c>
      <c r="S315" s="5399" t="s">
        <v>2845</v>
      </c>
      <c r="T315" s="5400" t="s">
        <v>2867</v>
      </c>
    </row>
    <row r="316" spans="15:20" ht="30.6">
      <c r="O316" s="5397">
        <v>106</v>
      </c>
      <c r="P316" s="5400" t="s">
        <v>16</v>
      </c>
      <c r="Q316" s="5399" t="s">
        <v>3796</v>
      </c>
      <c r="R316" s="5399" t="s">
        <v>3797</v>
      </c>
      <c r="S316" s="5399" t="s">
        <v>2845</v>
      </c>
      <c r="T316" s="5401" t="s">
        <v>3798</v>
      </c>
    </row>
    <row r="317" spans="15:20" ht="20.399999999999999">
      <c r="O317" s="5397">
        <v>107</v>
      </c>
      <c r="P317" s="5400" t="s">
        <v>16</v>
      </c>
      <c r="Q317" s="5399" t="s">
        <v>3799</v>
      </c>
      <c r="R317" s="5399" t="s">
        <v>3800</v>
      </c>
      <c r="S317" s="5399" t="s">
        <v>2845</v>
      </c>
      <c r="T317" s="5400" t="s">
        <v>3801</v>
      </c>
    </row>
    <row r="318" spans="15:20">
      <c r="O318" s="5397">
        <v>108</v>
      </c>
      <c r="P318" s="5400" t="s">
        <v>16</v>
      </c>
      <c r="Q318" s="5399" t="s">
        <v>3802</v>
      </c>
      <c r="R318" s="5399" t="s">
        <v>3803</v>
      </c>
      <c r="S318" s="5399" t="s">
        <v>2845</v>
      </c>
      <c r="T318" s="5400" t="s">
        <v>2868</v>
      </c>
    </row>
    <row r="319" spans="15:20" ht="20.399999999999999">
      <c r="O319" s="5397">
        <v>109</v>
      </c>
      <c r="P319" s="5400" t="s">
        <v>16</v>
      </c>
      <c r="Q319" s="5399" t="s">
        <v>3804</v>
      </c>
      <c r="R319" s="5399" t="s">
        <v>3805</v>
      </c>
      <c r="S319" s="5399" t="s">
        <v>2845</v>
      </c>
      <c r="T319" s="5400" t="s">
        <v>2869</v>
      </c>
    </row>
    <row r="320" spans="15:20" ht="20.399999999999999">
      <c r="O320" s="5397">
        <v>110</v>
      </c>
      <c r="P320" s="5400" t="s">
        <v>16</v>
      </c>
      <c r="Q320" s="5399" t="s">
        <v>3806</v>
      </c>
      <c r="R320" s="5399" t="s">
        <v>3807</v>
      </c>
      <c r="S320" s="5399" t="s">
        <v>2834</v>
      </c>
      <c r="T320" s="5400" t="s">
        <v>2870</v>
      </c>
    </row>
    <row r="321" spans="15:20">
      <c r="O321" s="5397">
        <v>111</v>
      </c>
      <c r="P321" s="5400" t="s">
        <v>16</v>
      </c>
      <c r="Q321" s="5399" t="s">
        <v>3808</v>
      </c>
      <c r="R321" s="5399" t="s">
        <v>3809</v>
      </c>
      <c r="S321" s="5399" t="s">
        <v>75</v>
      </c>
      <c r="T321" s="5400" t="s">
        <v>3810</v>
      </c>
    </row>
    <row r="322" spans="15:20" ht="20.399999999999999">
      <c r="O322" s="5397">
        <v>112</v>
      </c>
      <c r="P322" s="5400" t="s">
        <v>16</v>
      </c>
      <c r="Q322" s="5399" t="s">
        <v>3811</v>
      </c>
      <c r="R322" s="5399" t="s">
        <v>3812</v>
      </c>
      <c r="S322" s="5399" t="s">
        <v>75</v>
      </c>
      <c r="T322" s="5400" t="s">
        <v>3813</v>
      </c>
    </row>
    <row r="323" spans="15:20">
      <c r="O323" s="5397">
        <v>113</v>
      </c>
      <c r="P323" s="5400" t="s">
        <v>16</v>
      </c>
      <c r="Q323" s="5399" t="s">
        <v>3814</v>
      </c>
      <c r="R323" s="5399" t="s">
        <v>3815</v>
      </c>
      <c r="S323" s="5399" t="s">
        <v>3681</v>
      </c>
      <c r="T323" s="5401" t="s">
        <v>3816</v>
      </c>
    </row>
    <row r="324" spans="15:20">
      <c r="O324" s="2450"/>
      <c r="P324" s="2450"/>
      <c r="Q324" s="2450"/>
      <c r="R324" s="2450"/>
      <c r="S324" s="2450"/>
      <c r="T324" s="2450"/>
    </row>
    <row r="325" spans="15:20">
      <c r="O325" s="2450"/>
      <c r="P325" s="2450"/>
      <c r="Q325" s="2450"/>
      <c r="R325" s="2450"/>
      <c r="S325" s="2450"/>
      <c r="T325" s="2450"/>
    </row>
    <row r="326" spans="15:20" ht="15" thickBot="1">
      <c r="O326" s="4161" t="s">
        <v>326</v>
      </c>
      <c r="P326" s="4161" t="s">
        <v>69</v>
      </c>
      <c r="Q326" s="4161" t="s">
        <v>517</v>
      </c>
      <c r="R326" s="4161" t="s">
        <v>518</v>
      </c>
      <c r="S326" s="4162" t="s">
        <v>2871</v>
      </c>
      <c r="T326" s="4162" t="s">
        <v>332</v>
      </c>
    </row>
    <row r="327" spans="15:20" ht="20.399999999999999">
      <c r="O327" s="5414">
        <v>1</v>
      </c>
      <c r="P327" s="5400" t="s">
        <v>16</v>
      </c>
      <c r="Q327" s="5421" t="s">
        <v>3817</v>
      </c>
      <c r="R327" s="5422" t="s">
        <v>3818</v>
      </c>
      <c r="S327" s="5421" t="s">
        <v>87</v>
      </c>
      <c r="T327" s="5423" t="s">
        <v>3819</v>
      </c>
    </row>
    <row r="328" spans="15:20" ht="20.399999999999999">
      <c r="O328" s="5414">
        <v>2</v>
      </c>
      <c r="P328" s="5400" t="s">
        <v>16</v>
      </c>
      <c r="Q328" s="5480" t="s">
        <v>2872</v>
      </c>
      <c r="R328" s="5481" t="s">
        <v>3820</v>
      </c>
      <c r="S328" s="5424" t="s">
        <v>3821</v>
      </c>
      <c r="T328" s="5425" t="s">
        <v>3822</v>
      </c>
    </row>
    <row r="329" spans="15:20" ht="30.6">
      <c r="O329" s="5414">
        <v>3</v>
      </c>
      <c r="P329" s="5400" t="s">
        <v>16</v>
      </c>
      <c r="Q329" s="5429" t="s">
        <v>3823</v>
      </c>
      <c r="R329" s="5426" t="s">
        <v>3824</v>
      </c>
      <c r="S329" s="5426" t="s">
        <v>431</v>
      </c>
      <c r="T329" s="5427" t="s">
        <v>3825</v>
      </c>
    </row>
    <row r="330" spans="15:20">
      <c r="O330" s="5414">
        <v>4</v>
      </c>
      <c r="P330" s="5400" t="s">
        <v>16</v>
      </c>
      <c r="Q330" s="5428" t="s">
        <v>3826</v>
      </c>
      <c r="R330" s="5426" t="s">
        <v>3827</v>
      </c>
      <c r="S330" s="5426" t="s">
        <v>87</v>
      </c>
      <c r="T330" s="5427" t="s">
        <v>3828</v>
      </c>
    </row>
    <row r="331" spans="15:20">
      <c r="O331" s="5414">
        <v>5</v>
      </c>
      <c r="P331" s="5400" t="s">
        <v>16</v>
      </c>
      <c r="Q331" s="5429" t="s">
        <v>3829</v>
      </c>
      <c r="R331" s="5426" t="s">
        <v>3830</v>
      </c>
      <c r="S331" s="5426" t="s">
        <v>87</v>
      </c>
      <c r="T331" s="5427" t="s">
        <v>3850</v>
      </c>
    </row>
    <row r="332" spans="15:20" ht="20.399999999999999">
      <c r="O332" s="5414">
        <v>6</v>
      </c>
      <c r="P332" s="5400" t="s">
        <v>16</v>
      </c>
      <c r="Q332" s="5429" t="s">
        <v>3831</v>
      </c>
      <c r="R332" s="5426" t="s">
        <v>3832</v>
      </c>
      <c r="S332" s="5426" t="s">
        <v>87</v>
      </c>
      <c r="T332" s="5427" t="s">
        <v>3833</v>
      </c>
    </row>
    <row r="333" spans="15:20" ht="20.399999999999999">
      <c r="O333" s="5414">
        <v>7</v>
      </c>
      <c r="P333" s="5400" t="s">
        <v>16</v>
      </c>
      <c r="Q333" s="5429" t="s">
        <v>3831</v>
      </c>
      <c r="R333" s="5426" t="s">
        <v>3832</v>
      </c>
      <c r="S333" s="5426" t="s">
        <v>2845</v>
      </c>
      <c r="T333" s="5427" t="s">
        <v>3834</v>
      </c>
    </row>
    <row r="334" spans="15:20">
      <c r="O334" s="5414">
        <v>8</v>
      </c>
      <c r="P334" s="5400" t="s">
        <v>16</v>
      </c>
      <c r="Q334" s="5429" t="s">
        <v>3835</v>
      </c>
      <c r="R334" s="5426" t="s">
        <v>3836</v>
      </c>
      <c r="S334" s="5426" t="s">
        <v>87</v>
      </c>
      <c r="T334" s="5427" t="s">
        <v>3837</v>
      </c>
    </row>
    <row r="335" spans="15:20">
      <c r="O335" s="5414">
        <v>9</v>
      </c>
      <c r="P335" s="5400" t="s">
        <v>16</v>
      </c>
      <c r="Q335" s="5429" t="s">
        <v>3838</v>
      </c>
      <c r="R335" s="5426" t="s">
        <v>3836</v>
      </c>
      <c r="S335" s="5426" t="s">
        <v>87</v>
      </c>
      <c r="T335" s="5427" t="s">
        <v>3839</v>
      </c>
    </row>
    <row r="336" spans="15:20">
      <c r="O336" s="5414">
        <v>10</v>
      </c>
      <c r="P336" s="5400" t="s">
        <v>16</v>
      </c>
      <c r="Q336" s="5429" t="s">
        <v>3840</v>
      </c>
      <c r="R336" s="5426" t="s">
        <v>3836</v>
      </c>
      <c r="S336" s="5426" t="s">
        <v>87</v>
      </c>
      <c r="T336" s="5427" t="s">
        <v>3841</v>
      </c>
    </row>
    <row r="337" spans="15:20">
      <c r="O337" s="5414">
        <v>11</v>
      </c>
      <c r="P337" s="5400" t="s">
        <v>16</v>
      </c>
      <c r="Q337" s="5430" t="s">
        <v>3842</v>
      </c>
      <c r="R337" s="5431" t="s">
        <v>3843</v>
      </c>
      <c r="S337" s="5426" t="s">
        <v>3844</v>
      </c>
      <c r="T337" s="5427" t="s">
        <v>3845</v>
      </c>
    </row>
    <row r="338" spans="15:20">
      <c r="O338" s="5414">
        <v>12</v>
      </c>
      <c r="P338" s="5400" t="s">
        <v>16</v>
      </c>
      <c r="Q338" s="5430" t="s">
        <v>3846</v>
      </c>
      <c r="R338" s="5431" t="s">
        <v>3843</v>
      </c>
      <c r="S338" s="5426" t="s">
        <v>3844</v>
      </c>
      <c r="T338" s="5427" t="s">
        <v>3847</v>
      </c>
    </row>
    <row r="339" spans="15:20">
      <c r="O339" s="5414">
        <v>13</v>
      </c>
      <c r="P339" s="5400" t="s">
        <v>16</v>
      </c>
      <c r="Q339" s="5429" t="s">
        <v>3848</v>
      </c>
      <c r="R339" s="5426" t="s">
        <v>3830</v>
      </c>
      <c r="S339" s="5426" t="s">
        <v>87</v>
      </c>
      <c r="T339" s="5427" t="s">
        <v>3849</v>
      </c>
    </row>
  </sheetData>
  <sheetProtection algorithmName="SHA-512" hashValue="Dkye45y3CG3ZIaQywTpciDoHYS7c/2Nzj/fGuZN2wXO8nPC4e/73kOVdJohQCm3yzGIYKwgBKAtHgOh3OBSekg==" saltValue="2hCwpEpa9W2h9cWbg9xDTw==" spinCount="100000" sheet="1" objects="1" scenarios="1"/>
  <hyperlinks>
    <hyperlink ref="R102" r:id="rId1" display="https://scholar.google.com.mx/citations?user=Yscxv1kAAAAJ&amp;hl=es&amp;oi=sra" xr:uid="{00000000-0004-0000-2800-000002000000}"/>
    <hyperlink ref="R127" r:id="rId2" display="https://scholar.google.com.mx/citations?user=Yscxv1kAAAAJ&amp;hl=es&amp;oi=sra" xr:uid="{00000000-0004-0000-2800-000001000000}"/>
    <hyperlink ref="Q127" r:id="rId3" display="https://www.mdpi.com/books/pdfdownload/book/1812" xr:uid="{00000000-0004-0000-2800-000000000000}"/>
  </hyperlinks>
  <pageMargins left="0.7" right="0.7" top="0.75" bottom="0.75" header="0.3" footer="0.3"/>
  <pageSetup paperSize="9" orientation="portrait" r:id="rId4"/>
  <ignoredErrors>
    <ignoredError sqref="C8:E8 F8:M8" formulaRange="1"/>
    <ignoredError sqref="K27" formula="1"/>
  </ignoredErrors>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499984740745262"/>
  </sheetPr>
  <dimension ref="B1:K15"/>
  <sheetViews>
    <sheetView showGridLines="0" zoomScale="120" zoomScaleNormal="120" workbookViewId="0">
      <selection activeCell="G6" sqref="G6"/>
    </sheetView>
  </sheetViews>
  <sheetFormatPr baseColWidth="10" defaultColWidth="11.44140625" defaultRowHeight="13.8"/>
  <cols>
    <col min="1" max="1" width="5.77734375" style="31" customWidth="1"/>
    <col min="2" max="2" width="11.44140625" style="31"/>
    <col min="3" max="3" width="27" style="31" customWidth="1"/>
    <col min="4" max="4" width="22.21875" style="31" customWidth="1"/>
    <col min="5" max="16384" width="11.44140625" style="31"/>
  </cols>
  <sheetData>
    <row r="1" spans="2:11" s="1017" customFormat="1" ht="31.5" customHeight="1">
      <c r="B1" s="6039" t="s">
        <v>1449</v>
      </c>
      <c r="C1" s="6039"/>
      <c r="D1" s="6039"/>
    </row>
    <row r="2" spans="2:11" s="1017" customFormat="1">
      <c r="B2" s="1027"/>
      <c r="C2" s="1027"/>
      <c r="D2" s="1027"/>
    </row>
    <row r="3" spans="2:11" ht="28.5" customHeight="1" thickBot="1">
      <c r="B3" s="2531" t="s">
        <v>344</v>
      </c>
      <c r="C3" s="2532" t="s">
        <v>1851</v>
      </c>
      <c r="D3" s="2532" t="s">
        <v>1159</v>
      </c>
    </row>
    <row r="4" spans="2:11" ht="24" customHeight="1">
      <c r="B4" s="2294">
        <v>2011</v>
      </c>
      <c r="C4" s="2530">
        <v>2240</v>
      </c>
      <c r="D4" s="2294"/>
      <c r="I4" s="1130"/>
      <c r="J4" s="1130"/>
      <c r="K4" s="1130"/>
    </row>
    <row r="5" spans="2:11" ht="24" customHeight="1">
      <c r="B5" s="2261">
        <v>2012</v>
      </c>
      <c r="C5" s="2526">
        <v>2591</v>
      </c>
      <c r="D5" s="4666">
        <f t="shared" ref="D5:D13" si="0">+C5/C4-1</f>
        <v>0.15669642857142851</v>
      </c>
    </row>
    <row r="6" spans="2:11" ht="24" customHeight="1">
      <c r="B6" s="2261">
        <v>2013</v>
      </c>
      <c r="C6" s="2526">
        <v>2599</v>
      </c>
      <c r="D6" s="4666">
        <f t="shared" si="0"/>
        <v>3.0876109610189495E-3</v>
      </c>
    </row>
    <row r="7" spans="2:11" ht="24" customHeight="1">
      <c r="B7" s="2261">
        <v>2014</v>
      </c>
      <c r="C7" s="2526">
        <v>2622</v>
      </c>
      <c r="D7" s="4666">
        <f t="shared" si="0"/>
        <v>8.8495575221239076E-3</v>
      </c>
    </row>
    <row r="8" spans="2:11" ht="24" customHeight="1">
      <c r="B8" s="2261">
        <v>2015</v>
      </c>
      <c r="C8" s="2526">
        <v>2635</v>
      </c>
      <c r="D8" s="4666">
        <f t="shared" si="0"/>
        <v>4.9580472921433305E-3</v>
      </c>
      <c r="G8" s="449"/>
    </row>
    <row r="9" spans="2:11" ht="24" customHeight="1">
      <c r="B9" s="2261">
        <v>2016</v>
      </c>
      <c r="C9" s="2526">
        <v>2650</v>
      </c>
      <c r="D9" s="4666">
        <f t="shared" si="0"/>
        <v>5.6925996204932883E-3</v>
      </c>
    </row>
    <row r="10" spans="2:11" ht="24" customHeight="1">
      <c r="B10" s="2261">
        <v>2017</v>
      </c>
      <c r="C10" s="2526">
        <v>2660</v>
      </c>
      <c r="D10" s="4666">
        <f t="shared" si="0"/>
        <v>3.7735849056603765E-3</v>
      </c>
    </row>
    <row r="11" spans="2:11" ht="24" customHeight="1">
      <c r="B11" s="2261">
        <v>2018</v>
      </c>
      <c r="C11" s="2526">
        <v>2687</v>
      </c>
      <c r="D11" s="4666">
        <f t="shared" si="0"/>
        <v>1.0150375939849576E-2</v>
      </c>
      <c r="I11" s="1026"/>
    </row>
    <row r="12" spans="2:11" ht="24" customHeight="1">
      <c r="B12" s="2261">
        <v>2019</v>
      </c>
      <c r="C12" s="2526">
        <v>1986</v>
      </c>
      <c r="D12" s="4666">
        <f t="shared" si="0"/>
        <v>-0.26088574618533678</v>
      </c>
      <c r="I12" s="1026"/>
    </row>
    <row r="13" spans="2:11" ht="24" customHeight="1">
      <c r="B13" s="2262">
        <v>2020</v>
      </c>
      <c r="C13" s="2528">
        <v>1881</v>
      </c>
      <c r="D13" s="4667">
        <f t="shared" si="0"/>
        <v>-5.2870090634441036E-2</v>
      </c>
    </row>
    <row r="15" spans="2:11" ht="23.4" customHeight="1">
      <c r="C15" s="6040" t="s">
        <v>2652</v>
      </c>
      <c r="D15" s="6040"/>
    </row>
  </sheetData>
  <sheetProtection algorithmName="SHA-512" hashValue="+KfEBnKXhJIKUKn3h+I1OQ72n7RHK7gdXCtN+zNN2RUwaSAy2L2HmUwiu1HvuKUABGGzLioGlTg7yIJP4l5QTg==" saltValue="OPE0wbintsNHD3XVXNPZ6A==" spinCount="100000" sheet="1" objects="1" scenarios="1"/>
  <mergeCells count="2">
    <mergeCell ref="B1:D1"/>
    <mergeCell ref="C15:D15"/>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499984740745262"/>
  </sheetPr>
  <dimension ref="B1:I22"/>
  <sheetViews>
    <sheetView showGridLines="0" zoomScale="130" zoomScaleNormal="130" workbookViewId="0">
      <selection activeCell="C19" sqref="C19:C20"/>
    </sheetView>
  </sheetViews>
  <sheetFormatPr baseColWidth="10" defaultRowHeight="14.4"/>
  <cols>
    <col min="2" max="2" width="8.44140625" style="129" customWidth="1"/>
    <col min="3" max="3" width="25" customWidth="1"/>
    <col min="4" max="4" width="19" customWidth="1"/>
    <col min="5" max="5" width="12.77734375" customWidth="1"/>
    <col min="6" max="6" width="21.77734375" customWidth="1"/>
    <col min="7" max="7" width="12" bestFit="1" customWidth="1"/>
  </cols>
  <sheetData>
    <row r="1" spans="2:9" ht="19.5" customHeight="1">
      <c r="C1" s="6041" t="s">
        <v>2757</v>
      </c>
      <c r="D1" s="6041"/>
      <c r="E1" s="6041"/>
      <c r="F1" s="6041"/>
      <c r="G1" s="3608"/>
    </row>
    <row r="2" spans="2:9">
      <c r="D2" s="3610" t="s">
        <v>683</v>
      </c>
      <c r="E2" s="3609"/>
      <c r="F2" s="3609"/>
      <c r="G2" s="3609"/>
    </row>
    <row r="3" spans="2:9">
      <c r="G3" s="74"/>
    </row>
    <row r="4" spans="2:9" ht="43.8" thickBot="1">
      <c r="B4" s="2081" t="s">
        <v>344</v>
      </c>
      <c r="C4" s="2081" t="s">
        <v>345</v>
      </c>
      <c r="D4" s="2081" t="s">
        <v>346</v>
      </c>
      <c r="E4" s="2081" t="s">
        <v>2572</v>
      </c>
      <c r="F4" s="2081" t="s">
        <v>2573</v>
      </c>
      <c r="G4" s="2081" t="s">
        <v>347</v>
      </c>
    </row>
    <row r="5" spans="2:9">
      <c r="B5" s="2082"/>
      <c r="C5" s="2083"/>
      <c r="D5" s="2083"/>
      <c r="E5" s="2083"/>
      <c r="F5" s="2083"/>
      <c r="G5" s="2083"/>
    </row>
    <row r="6" spans="2:9" ht="19.2" customHeight="1">
      <c r="B6" s="2084">
        <v>2006</v>
      </c>
      <c r="C6" s="2085">
        <v>3321048</v>
      </c>
      <c r="D6" s="2085">
        <v>0</v>
      </c>
      <c r="E6" s="2086">
        <v>83.451138863411998</v>
      </c>
      <c r="F6" s="2085">
        <f>(C6/E6)*100</f>
        <v>3979631.7284964789</v>
      </c>
      <c r="G6" s="2087">
        <v>0</v>
      </c>
      <c r="I6" s="52"/>
    </row>
    <row r="7" spans="2:9" ht="19.2" customHeight="1">
      <c r="B7" s="2088">
        <v>2007</v>
      </c>
      <c r="C7" s="2089">
        <v>3445051</v>
      </c>
      <c r="D7" s="2090">
        <f t="shared" ref="D7:D21" si="0">(+C7-C6)/C6</f>
        <v>3.73385148302584E-2</v>
      </c>
      <c r="E7" s="2091">
        <v>86.588098998020996</v>
      </c>
      <c r="F7" s="2089">
        <f t="shared" ref="F7:F21" si="1">(C7/E7)*100</f>
        <v>3978665.7056401456</v>
      </c>
      <c r="G7" s="2092">
        <f t="shared" ref="G7:G16" si="2">(+F7-F6)/F6</f>
        <v>-2.4274177166093216E-4</v>
      </c>
      <c r="I7" s="52"/>
    </row>
    <row r="8" spans="2:9" ht="19.2" customHeight="1">
      <c r="B8" s="2088">
        <v>2008</v>
      </c>
      <c r="C8" s="2089">
        <v>3866003</v>
      </c>
      <c r="D8" s="2090">
        <f t="shared" si="0"/>
        <v>0.12219035364062825</v>
      </c>
      <c r="E8" s="2091">
        <v>92.240695661768001</v>
      </c>
      <c r="F8" s="2089">
        <f t="shared" si="1"/>
        <v>4191211.8856692272</v>
      </c>
      <c r="G8" s="2092">
        <f t="shared" si="2"/>
        <v>5.3421472361394114E-2</v>
      </c>
      <c r="I8" s="52"/>
    </row>
    <row r="9" spans="2:9" ht="19.2" customHeight="1">
      <c r="B9" s="2088">
        <v>2009</v>
      </c>
      <c r="C9" s="2089">
        <v>4465920</v>
      </c>
      <c r="D9" s="2090">
        <f t="shared" si="0"/>
        <v>0.15517758263508849</v>
      </c>
      <c r="E9" s="2091">
        <v>95.536951859487999</v>
      </c>
      <c r="F9" s="2089">
        <f t="shared" si="1"/>
        <v>4674547.296179493</v>
      </c>
      <c r="G9" s="2092">
        <f t="shared" si="2"/>
        <v>0.11532115858014887</v>
      </c>
      <c r="I9" s="52"/>
    </row>
    <row r="10" spans="2:9" ht="19.2" customHeight="1">
      <c r="B10" s="2088">
        <v>2010</v>
      </c>
      <c r="C10" s="2089">
        <v>4244093.0660000006</v>
      </c>
      <c r="D10" s="2090">
        <f t="shared" si="0"/>
        <v>-4.9671049638148342E-2</v>
      </c>
      <c r="E10" s="2091">
        <v>99.742092088296005</v>
      </c>
      <c r="F10" s="2089">
        <f t="shared" si="1"/>
        <v>4255067.2210113127</v>
      </c>
      <c r="G10" s="2092">
        <f t="shared" si="2"/>
        <v>-8.9737048015541804E-2</v>
      </c>
      <c r="I10" s="52"/>
    </row>
    <row r="11" spans="2:9" ht="19.2" customHeight="1">
      <c r="B11" s="2088">
        <v>2011</v>
      </c>
      <c r="C11" s="2089">
        <f>4415905.946+70000</f>
        <v>4485905.9460000005</v>
      </c>
      <c r="D11" s="2090">
        <f t="shared" si="0"/>
        <v>5.6976337756868563E-2</v>
      </c>
      <c r="E11" s="2091">
        <v>103.551</v>
      </c>
      <c r="F11" s="2089">
        <f t="shared" si="1"/>
        <v>4332073.9983196687</v>
      </c>
      <c r="G11" s="2092">
        <f t="shared" si="2"/>
        <v>1.8097664104599884E-2</v>
      </c>
      <c r="I11" s="52"/>
    </row>
    <row r="12" spans="2:9" ht="19.2" customHeight="1">
      <c r="B12" s="2088">
        <v>2012</v>
      </c>
      <c r="C12" s="2089">
        <v>5095787.4400000004</v>
      </c>
      <c r="D12" s="2090">
        <f t="shared" si="0"/>
        <v>0.13595503368585335</v>
      </c>
      <c r="E12" s="2091">
        <v>107.246</v>
      </c>
      <c r="F12" s="2089">
        <f t="shared" si="1"/>
        <v>4751494.1722768219</v>
      </c>
      <c r="G12" s="2092">
        <f t="shared" si="2"/>
        <v>9.6817407578872972E-2</v>
      </c>
      <c r="I12" s="52"/>
    </row>
    <row r="13" spans="2:9" ht="19.2" customHeight="1">
      <c r="B13" s="2088">
        <v>2013</v>
      </c>
      <c r="C13" s="2089">
        <v>5445070.1430000002</v>
      </c>
      <c r="D13" s="2090">
        <f t="shared" si="0"/>
        <v>6.8543420837820446E-2</v>
      </c>
      <c r="E13" s="2091">
        <v>111.508</v>
      </c>
      <c r="F13" s="2089">
        <f t="shared" si="1"/>
        <v>4883120.6218387922</v>
      </c>
      <c r="G13" s="2092">
        <f t="shared" si="2"/>
        <v>2.7702117437070857E-2</v>
      </c>
    </row>
    <row r="14" spans="2:9" ht="19.2" customHeight="1">
      <c r="B14" s="2088">
        <v>2014</v>
      </c>
      <c r="C14" s="2089">
        <v>5773895</v>
      </c>
      <c r="D14" s="2090">
        <f t="shared" si="0"/>
        <v>6.0389462094023905E-2</v>
      </c>
      <c r="E14" s="2091">
        <v>116.059</v>
      </c>
      <c r="F14" s="2089">
        <f t="shared" si="1"/>
        <v>4974965.3193634273</v>
      </c>
      <c r="G14" s="2092">
        <f t="shared" si="2"/>
        <v>1.8808607166875595E-2</v>
      </c>
    </row>
    <row r="15" spans="2:9" ht="19.2" customHeight="1">
      <c r="B15" s="2093">
        <v>2015</v>
      </c>
      <c r="C15" s="2089">
        <v>6499319.2779999999</v>
      </c>
      <c r="D15" s="2090">
        <f t="shared" si="0"/>
        <v>0.12563863353940449</v>
      </c>
      <c r="E15" s="2091">
        <v>118.532</v>
      </c>
      <c r="F15" s="2089">
        <f t="shared" si="1"/>
        <v>5483176.9294367768</v>
      </c>
      <c r="G15" s="2094">
        <f t="shared" si="2"/>
        <v>0.10215379956425058</v>
      </c>
    </row>
    <row r="16" spans="2:9" ht="19.2" customHeight="1">
      <c r="B16" s="2088">
        <v>2016</v>
      </c>
      <c r="C16" s="2089">
        <v>6588615.4670000002</v>
      </c>
      <c r="D16" s="2090">
        <f t="shared" si="0"/>
        <v>1.3739314100518981E-2</v>
      </c>
      <c r="E16" s="2091">
        <v>122.515</v>
      </c>
      <c r="F16" s="2089">
        <f t="shared" si="1"/>
        <v>5377803.099212341</v>
      </c>
      <c r="G16" s="2095">
        <f t="shared" si="2"/>
        <v>-1.921766005009428E-2</v>
      </c>
    </row>
    <row r="17" spans="2:7" ht="19.2" customHeight="1">
      <c r="B17" s="2088">
        <v>2017</v>
      </c>
      <c r="C17" s="2089">
        <v>6554708.7079999996</v>
      </c>
      <c r="D17" s="2090">
        <f t="shared" si="0"/>
        <v>-5.1462646696908143E-3</v>
      </c>
      <c r="E17" s="2091">
        <v>130.812999999998</v>
      </c>
      <c r="F17" s="2089">
        <f t="shared" si="1"/>
        <v>5010747.1795617407</v>
      </c>
      <c r="G17" s="2095">
        <f>(+F17-F16)/F16</f>
        <v>-6.8253878559510872E-2</v>
      </c>
    </row>
    <row r="18" spans="2:7" ht="19.2" customHeight="1">
      <c r="B18" s="2088">
        <v>2018</v>
      </c>
      <c r="C18" s="2089">
        <f>6978162+50000</f>
        <v>7028162</v>
      </c>
      <c r="D18" s="2090">
        <f t="shared" si="0"/>
        <v>7.2231019423052656E-2</v>
      </c>
      <c r="E18" s="2091">
        <f>+E17*1.0483</f>
        <v>137.13126789999791</v>
      </c>
      <c r="F18" s="2089">
        <f t="shared" si="1"/>
        <v>5125134.5572953075</v>
      </c>
      <c r="G18" s="2095">
        <f>(+F18-F17)/F17</f>
        <v>2.2828407348137559E-2</v>
      </c>
    </row>
    <row r="19" spans="2:7" ht="19.2" customHeight="1">
      <c r="B19" s="2088">
        <v>2019</v>
      </c>
      <c r="C19" s="2089">
        <v>7299503</v>
      </c>
      <c r="D19" s="2090">
        <f t="shared" si="0"/>
        <v>3.8607675804854809E-2</v>
      </c>
      <c r="E19" s="2091">
        <f>+E18*1.0283</f>
        <v>141.01208278156784</v>
      </c>
      <c r="F19" s="2089">
        <f t="shared" si="1"/>
        <v>5176508.889175944</v>
      </c>
      <c r="G19" s="2095">
        <f>(+F19-F18)/F18</f>
        <v>1.0023996698293194E-2</v>
      </c>
    </row>
    <row r="20" spans="2:7" ht="19.2" customHeight="1">
      <c r="B20" s="2088">
        <v>2020</v>
      </c>
      <c r="C20" s="2089">
        <v>7570951</v>
      </c>
      <c r="D20" s="2090">
        <f t="shared" si="0"/>
        <v>3.7187189319601625E-2</v>
      </c>
      <c r="E20" s="2091">
        <f>+E19*1.0315</f>
        <v>145.45396338918724</v>
      </c>
      <c r="F20" s="2089">
        <f t="shared" si="1"/>
        <v>5205049.6415437032</v>
      </c>
      <c r="G20" s="2095">
        <f>(+F20-F19)/F19</f>
        <v>5.5135136399432644E-3</v>
      </c>
    </row>
    <row r="21" spans="2:7" s="5394" customFormat="1" ht="19.2" customHeight="1">
      <c r="B21" s="2096">
        <v>2021</v>
      </c>
      <c r="C21" s="2097">
        <v>7830299.4050000003</v>
      </c>
      <c r="D21" s="2098">
        <f t="shared" si="0"/>
        <v>3.4255723620454058E-2</v>
      </c>
      <c r="E21" s="2099">
        <f>+E20*1.03</f>
        <v>149.81758229086284</v>
      </c>
      <c r="F21" s="2097">
        <f t="shared" si="1"/>
        <v>5226555.7121312311</v>
      </c>
      <c r="G21" s="2100">
        <f>(+F21-F20)/F20</f>
        <v>4.1317705052952604E-3</v>
      </c>
    </row>
    <row r="22" spans="2:7">
      <c r="B22" s="2049" t="s">
        <v>348</v>
      </c>
    </row>
  </sheetData>
  <sheetProtection algorithmName="SHA-512" hashValue="FWtI9VUzkJlgaUm1Tcg0sF8E+jMaujK158r+BhijIoSK7m0/KN9gx8ewruXOW5iW4K8ws+WwxKHr1k9wffScHA==" saltValue="Kwcp3NjIrY4c0bLlPax/Ew==" spinCount="100000" sheet="1" objects="1" scenarios="1"/>
  <mergeCells count="1">
    <mergeCell ref="C1:F1"/>
  </mergeCells>
  <pageMargins left="0.70866141732283472" right="0.70866141732283472" top="0.74803149606299213" bottom="0.74803149606299213" header="0.31496062992125984" footer="0.31496062992125984"/>
  <pageSetup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499984740745262"/>
    <pageSetUpPr fitToPage="1"/>
  </sheetPr>
  <dimension ref="A1:L36"/>
  <sheetViews>
    <sheetView showGridLines="0" zoomScale="120" zoomScaleNormal="120" workbookViewId="0">
      <pane xSplit="1" ySplit="4" topLeftCell="E5" activePane="bottomRight" state="frozen"/>
      <selection pane="topRight" activeCell="B1" sqref="B1"/>
      <selection pane="bottomLeft" activeCell="A5" sqref="A5"/>
      <selection pane="bottomRight" activeCell="M2" sqref="M2"/>
    </sheetView>
  </sheetViews>
  <sheetFormatPr baseColWidth="10" defaultRowHeight="14.4"/>
  <cols>
    <col min="1" max="1" width="27.44140625" customWidth="1"/>
    <col min="2" max="7" width="15.77734375" customWidth="1"/>
    <col min="8" max="8" width="16.77734375" bestFit="1" customWidth="1"/>
    <col min="9" max="12" width="15.77734375" customWidth="1"/>
  </cols>
  <sheetData>
    <row r="1" spans="1:12" ht="19.5" customHeight="1">
      <c r="A1" s="3594" t="s">
        <v>465</v>
      </c>
      <c r="C1" s="158"/>
      <c r="D1" s="158"/>
      <c r="E1" s="9"/>
      <c r="F1" s="9"/>
    </row>
    <row r="2" spans="1:12">
      <c r="A2" t="s">
        <v>99</v>
      </c>
    </row>
    <row r="4" spans="1:12" ht="19.95" customHeight="1" thickBot="1">
      <c r="A4" s="2101" t="s">
        <v>100</v>
      </c>
      <c r="B4" s="2101">
        <v>2010</v>
      </c>
      <c r="C4" s="2101">
        <v>2011</v>
      </c>
      <c r="D4" s="2101">
        <v>2012</v>
      </c>
      <c r="E4" s="2101">
        <v>2013</v>
      </c>
      <c r="F4" s="2101">
        <v>2014</v>
      </c>
      <c r="G4" s="2101">
        <v>2015</v>
      </c>
      <c r="H4" s="2101">
        <v>2016</v>
      </c>
      <c r="I4" s="2101">
        <v>2017</v>
      </c>
      <c r="J4" s="2101">
        <v>2018</v>
      </c>
      <c r="K4" s="2101">
        <v>2019</v>
      </c>
      <c r="L4" s="2101">
        <v>2020</v>
      </c>
    </row>
    <row r="5" spans="1:12" ht="15.6">
      <c r="A5" s="10"/>
      <c r="B5" s="10"/>
      <c r="C5" s="10"/>
      <c r="K5" s="2886"/>
      <c r="L5" s="5394"/>
    </row>
    <row r="6" spans="1:12" ht="35.1" customHeight="1">
      <c r="A6" s="2102" t="s">
        <v>101</v>
      </c>
      <c r="B6" s="2103">
        <v>4244093</v>
      </c>
      <c r="C6" s="2103">
        <f>4415906 +70000</f>
        <v>4485906</v>
      </c>
      <c r="D6" s="2103">
        <v>5095787.4400000004</v>
      </c>
      <c r="E6" s="2103">
        <f>+'A.34.'!C13</f>
        <v>5445070.1430000002</v>
      </c>
      <c r="F6" s="2103">
        <f>+'A.34.'!$C$14</f>
        <v>5773895</v>
      </c>
      <c r="G6" s="2103">
        <v>6499319.2779999999</v>
      </c>
      <c r="H6" s="2103">
        <v>6588615.4670000002</v>
      </c>
      <c r="I6" s="2104">
        <f>+'A.34.'!C17</f>
        <v>6554708.7079999996</v>
      </c>
      <c r="J6" s="2104">
        <v>7028162</v>
      </c>
      <c r="K6" s="2104">
        <v>7299503</v>
      </c>
      <c r="L6" s="2104">
        <v>7570951</v>
      </c>
    </row>
    <row r="7" spans="1:12" ht="35.1" customHeight="1">
      <c r="A7" s="2105" t="s">
        <v>2904</v>
      </c>
      <c r="B7" s="2106">
        <v>321965.00799999997</v>
      </c>
      <c r="C7" s="2106">
        <v>252343.76449</v>
      </c>
      <c r="D7" s="2106">
        <v>484457.45</v>
      </c>
      <c r="E7" s="2106">
        <f>213281.95287</f>
        <v>213281.95287000001</v>
      </c>
      <c r="F7" s="2106">
        <v>266440.15999999997</v>
      </c>
      <c r="G7" s="2106">
        <v>334269.39</v>
      </c>
      <c r="H7" s="2106">
        <v>290714.88938000001</v>
      </c>
      <c r="I7" s="2107">
        <v>223280.75</v>
      </c>
      <c r="J7" s="2107">
        <v>187344.94</v>
      </c>
      <c r="K7" s="2107">
        <v>147031.93700000001</v>
      </c>
      <c r="L7" s="2107">
        <v>113418.06305000001</v>
      </c>
    </row>
    <row r="8" spans="1:12" ht="35.1" customHeight="1">
      <c r="A8" s="2108" t="s">
        <v>102</v>
      </c>
      <c r="B8" s="2109">
        <f t="shared" ref="B8:H8" si="0">+B7/B6</f>
        <v>7.5861911602785326E-2</v>
      </c>
      <c r="C8" s="2109">
        <f t="shared" si="0"/>
        <v>5.6252575174334907E-2</v>
      </c>
      <c r="D8" s="2109">
        <f t="shared" si="0"/>
        <v>9.5070184089154228E-2</v>
      </c>
      <c r="E8" s="2109">
        <f t="shared" si="0"/>
        <v>3.9169734690045845E-2</v>
      </c>
      <c r="F8" s="2109">
        <f t="shared" si="0"/>
        <v>4.6145653843722476E-2</v>
      </c>
      <c r="G8" s="2109">
        <f t="shared" si="0"/>
        <v>5.1431446233375831E-2</v>
      </c>
      <c r="H8" s="2109">
        <f t="shared" si="0"/>
        <v>4.4123820981219211E-2</v>
      </c>
      <c r="I8" s="2110">
        <f>+I7/I6</f>
        <v>3.4064175838582518E-2</v>
      </c>
      <c r="J8" s="2110">
        <f>+J7/J6</f>
        <v>2.6656320671037462E-2</v>
      </c>
      <c r="K8" s="2110">
        <f>+K7/K6</f>
        <v>2.0142732594260186E-2</v>
      </c>
      <c r="L8" s="2110">
        <f>+L7/L6</f>
        <v>1.4980689090445838E-2</v>
      </c>
    </row>
    <row r="10" spans="1:12">
      <c r="A10" s="42" t="s">
        <v>2716</v>
      </c>
    </row>
    <row r="12" spans="1:12">
      <c r="K12" s="5444"/>
    </row>
    <row r="13" spans="1:12">
      <c r="I13" s="4248"/>
      <c r="J13" s="4248"/>
      <c r="K13" s="5444"/>
    </row>
    <row r="14" spans="1:12">
      <c r="K14" s="5444"/>
    </row>
    <row r="17" spans="6:9" ht="18">
      <c r="I17" s="2028"/>
    </row>
    <row r="31" spans="6:9">
      <c r="F31" s="11"/>
    </row>
    <row r="32" spans="6:9">
      <c r="F32" s="11"/>
    </row>
    <row r="33" spans="6:6">
      <c r="F33" s="11"/>
    </row>
    <row r="34" spans="6:6">
      <c r="F34" s="11"/>
    </row>
    <row r="35" spans="6:6">
      <c r="F35" s="11"/>
    </row>
    <row r="36" spans="6:6">
      <c r="F36" s="11"/>
    </row>
  </sheetData>
  <sheetProtection algorithmName="SHA-512" hashValue="jOPkxTzxyvAsVzHwQbxmof+fF1BFhvOJQUmWNWu/9HdSjqNfvfr4pF110w9Hg2LdRC2ZrjMJxrK5Qtcx2/V81A==" saltValue="DnS82B7OMF7Os0zYM+n+Hg==" spinCount="100000" sheet="1" objects="1" scenarios="1"/>
  <pageMargins left="0.7" right="0.7" top="0.75" bottom="0.75" header="0.3" footer="0.3"/>
  <pageSetup scale="7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499984740745262"/>
  </sheetPr>
  <dimension ref="A1:Z322"/>
  <sheetViews>
    <sheetView showGridLines="0" zoomScale="120" zoomScaleNormal="120" workbookViewId="0"/>
  </sheetViews>
  <sheetFormatPr baseColWidth="10" defaultRowHeight="14.4"/>
  <cols>
    <col min="1" max="1" width="23.77734375" customWidth="1"/>
    <col min="3" max="3" width="14.21875" customWidth="1"/>
    <col min="4" max="4" width="13.77734375" customWidth="1"/>
    <col min="5" max="5" width="14" customWidth="1"/>
    <col min="6" max="6" width="15" customWidth="1"/>
    <col min="7" max="7" width="14.44140625" customWidth="1"/>
    <col min="8" max="8" width="7.77734375" customWidth="1"/>
    <col min="9" max="9" width="14.21875" customWidth="1"/>
  </cols>
  <sheetData>
    <row r="1" spans="1:8" ht="19.5" customHeight="1">
      <c r="B1" s="3497"/>
      <c r="C1" s="6042" t="s">
        <v>426</v>
      </c>
      <c r="D1" s="6042"/>
      <c r="E1" s="3497"/>
      <c r="F1" s="3497"/>
      <c r="G1" s="3497"/>
      <c r="H1" s="228"/>
    </row>
    <row r="2" spans="1:8">
      <c r="B2" s="58"/>
      <c r="C2" s="3611" t="s">
        <v>359</v>
      </c>
      <c r="D2" s="58"/>
      <c r="E2" s="58"/>
      <c r="F2" s="58"/>
      <c r="G2" s="58"/>
      <c r="H2" s="95"/>
    </row>
    <row r="3" spans="1:8" s="5202" customFormat="1">
      <c r="B3" s="58"/>
      <c r="C3" s="3611"/>
      <c r="D3" s="58"/>
      <c r="E3" s="58"/>
      <c r="F3" s="58"/>
      <c r="G3" s="58"/>
      <c r="H3" s="2482"/>
    </row>
    <row r="4" spans="1:8" s="5202" customFormat="1" ht="15.6">
      <c r="B4" s="3895"/>
      <c r="C4" s="3895"/>
      <c r="D4" s="3360">
        <v>2020</v>
      </c>
      <c r="E4" s="3895"/>
      <c r="F4" s="3895"/>
      <c r="G4" s="3895"/>
      <c r="H4" s="2482"/>
    </row>
    <row r="5" spans="1:8" s="5202" customFormat="1">
      <c r="A5" s="5931" t="s">
        <v>0</v>
      </c>
      <c r="B5" s="5931" t="s">
        <v>162</v>
      </c>
      <c r="C5" s="6045" t="s">
        <v>499</v>
      </c>
      <c r="D5" s="6045"/>
      <c r="E5" s="6045"/>
      <c r="F5" s="6046" t="s">
        <v>2884</v>
      </c>
      <c r="G5" s="5931" t="s">
        <v>1753</v>
      </c>
      <c r="H5" s="2482"/>
    </row>
    <row r="6" spans="1:8" s="5202" customFormat="1" ht="15" thickBot="1">
      <c r="A6" s="6043"/>
      <c r="B6" s="6043"/>
      <c r="C6" s="5203" t="s">
        <v>500</v>
      </c>
      <c r="D6" s="5203" t="s">
        <v>501</v>
      </c>
      <c r="E6" s="5203" t="s">
        <v>15</v>
      </c>
      <c r="F6" s="6047"/>
      <c r="G6" s="6043"/>
      <c r="H6" s="2482"/>
    </row>
    <row r="7" spans="1:8" s="5202" customFormat="1">
      <c r="A7" s="3889" t="s">
        <v>3</v>
      </c>
      <c r="B7" s="3890">
        <v>669.5</v>
      </c>
      <c r="C7" s="3890">
        <v>58</v>
      </c>
      <c r="D7" s="3890">
        <v>257</v>
      </c>
      <c r="E7" s="3890">
        <f t="shared" ref="E7:E12" si="0">SUM(C7:D7)</f>
        <v>315</v>
      </c>
      <c r="F7" s="3890">
        <v>1291</v>
      </c>
      <c r="G7" s="2455">
        <f t="shared" ref="G7:G12" si="1">B7/F7</f>
        <v>0.51859024012393495</v>
      </c>
      <c r="H7" s="2482"/>
    </row>
    <row r="8" spans="1:8" s="5202" customFormat="1">
      <c r="A8" s="3889" t="s">
        <v>59</v>
      </c>
      <c r="B8" s="3890">
        <v>440</v>
      </c>
      <c r="C8" s="3890">
        <v>125</v>
      </c>
      <c r="D8" s="3890">
        <v>108</v>
      </c>
      <c r="E8" s="3890">
        <f t="shared" si="0"/>
        <v>233</v>
      </c>
      <c r="F8" s="3890">
        <v>353</v>
      </c>
      <c r="G8" s="2455">
        <f t="shared" si="1"/>
        <v>1.2464589235127479</v>
      </c>
      <c r="H8" s="2482"/>
    </row>
    <row r="9" spans="1:8" s="5202" customFormat="1">
      <c r="A9" s="3889" t="s">
        <v>25</v>
      </c>
      <c r="B9" s="3891">
        <v>451</v>
      </c>
      <c r="C9" s="3891">
        <v>138</v>
      </c>
      <c r="D9" s="3891">
        <v>32</v>
      </c>
      <c r="E9" s="3890">
        <f t="shared" si="0"/>
        <v>170</v>
      </c>
      <c r="F9" s="3890">
        <v>1184</v>
      </c>
      <c r="G9" s="2455">
        <f t="shared" si="1"/>
        <v>0.38091216216216217</v>
      </c>
      <c r="H9" s="2482"/>
    </row>
    <row r="10" spans="1:8" s="5202" customFormat="1">
      <c r="A10" s="3889" t="s">
        <v>244</v>
      </c>
      <c r="B10" s="3890">
        <v>38.5</v>
      </c>
      <c r="C10" s="3890">
        <v>37</v>
      </c>
      <c r="D10" s="3890">
        <v>2</v>
      </c>
      <c r="E10" s="3890">
        <f t="shared" si="0"/>
        <v>39</v>
      </c>
      <c r="F10" s="3890">
        <v>172</v>
      </c>
      <c r="G10" s="2455">
        <f t="shared" si="1"/>
        <v>0.22383720930232559</v>
      </c>
      <c r="H10" s="2482"/>
    </row>
    <row r="11" spans="1:8" s="5202" customFormat="1">
      <c r="A11" s="3889" t="s">
        <v>48</v>
      </c>
      <c r="B11" s="3890">
        <v>156</v>
      </c>
      <c r="C11" s="3890">
        <v>103</v>
      </c>
      <c r="D11" s="3890">
        <v>35</v>
      </c>
      <c r="E11" s="3890">
        <f t="shared" si="0"/>
        <v>138</v>
      </c>
      <c r="F11" s="3890">
        <v>1373</v>
      </c>
      <c r="G11" s="2455">
        <f t="shared" si="1"/>
        <v>0.11361981063364894</v>
      </c>
      <c r="H11" s="2482"/>
    </row>
    <row r="12" spans="1:8" s="5202" customFormat="1">
      <c r="A12" s="3889" t="s">
        <v>87</v>
      </c>
      <c r="B12" s="3890">
        <v>861</v>
      </c>
      <c r="C12" s="3890">
        <v>346</v>
      </c>
      <c r="D12" s="3890">
        <v>27</v>
      </c>
      <c r="E12" s="3890">
        <f t="shared" si="0"/>
        <v>373</v>
      </c>
      <c r="F12" s="3890">
        <v>1232</v>
      </c>
      <c r="G12" s="2455">
        <f t="shared" si="1"/>
        <v>0.69886363636363635</v>
      </c>
      <c r="H12" s="2482"/>
    </row>
    <row r="13" spans="1:8" s="5202" customFormat="1">
      <c r="A13" s="3887" t="s">
        <v>113</v>
      </c>
      <c r="B13" s="3892">
        <f>SUM(B7:B12)</f>
        <v>2616</v>
      </c>
      <c r="C13" s="3892">
        <f>SUM(C7:C12)</f>
        <v>807</v>
      </c>
      <c r="D13" s="3892">
        <f>SUM(D7:D12)</f>
        <v>461</v>
      </c>
      <c r="E13" s="3892">
        <f>SUM(E7:E12)</f>
        <v>1268</v>
      </c>
      <c r="F13" s="3892">
        <f>SUM(F7:F12)</f>
        <v>5605</v>
      </c>
      <c r="G13" s="2456">
        <f>B13/F13</f>
        <v>0.46672613737734164</v>
      </c>
      <c r="H13" s="2482"/>
    </row>
    <row r="14" spans="1:8" s="5202" customFormat="1">
      <c r="B14" s="58"/>
      <c r="C14" s="3611"/>
      <c r="D14" s="58"/>
      <c r="E14" s="58"/>
      <c r="F14" s="4243" t="s">
        <v>2885</v>
      </c>
      <c r="G14" s="58"/>
      <c r="H14" s="2482"/>
    </row>
    <row r="15" spans="1:8" s="3595" customFormat="1">
      <c r="B15" s="58"/>
      <c r="C15" s="3611"/>
      <c r="D15" s="58"/>
      <c r="E15" s="58"/>
      <c r="F15" s="58"/>
      <c r="G15" s="58"/>
      <c r="H15" s="2482"/>
    </row>
    <row r="16" spans="1:8" s="3595" customFormat="1" ht="15.6">
      <c r="B16" s="3895"/>
      <c r="C16" s="3895"/>
      <c r="D16" s="3360">
        <v>2019</v>
      </c>
      <c r="E16" s="3895"/>
      <c r="F16" s="3895"/>
      <c r="G16" s="3895"/>
      <c r="H16" s="2482"/>
    </row>
    <row r="17" spans="1:8" s="3595" customFormat="1">
      <c r="A17" s="5931" t="s">
        <v>0</v>
      </c>
      <c r="B17" s="5931" t="s">
        <v>162</v>
      </c>
      <c r="C17" s="6045" t="s">
        <v>499</v>
      </c>
      <c r="D17" s="6045"/>
      <c r="E17" s="6045"/>
      <c r="F17" s="6046" t="s">
        <v>2884</v>
      </c>
      <c r="G17" s="5931" t="s">
        <v>1753</v>
      </c>
      <c r="H17" s="2482"/>
    </row>
    <row r="18" spans="1:8" s="3595" customFormat="1" ht="15" thickBot="1">
      <c r="A18" s="6043"/>
      <c r="B18" s="6043"/>
      <c r="C18" s="3888" t="s">
        <v>500</v>
      </c>
      <c r="D18" s="3888" t="s">
        <v>501</v>
      </c>
      <c r="E18" s="3888" t="s">
        <v>15</v>
      </c>
      <c r="F18" s="6047"/>
      <c r="G18" s="6043"/>
      <c r="H18" s="2482"/>
    </row>
    <row r="19" spans="1:8" s="3595" customFormat="1">
      <c r="A19" s="3889" t="s">
        <v>3</v>
      </c>
      <c r="B19" s="3890">
        <v>1137</v>
      </c>
      <c r="C19" s="3890">
        <v>605</v>
      </c>
      <c r="D19" s="3890">
        <v>16</v>
      </c>
      <c r="E19" s="3890">
        <v>621</v>
      </c>
      <c r="F19" s="3890">
        <f>+'A.37.'!K30</f>
        <v>1317</v>
      </c>
      <c r="G19" s="2455">
        <f t="shared" ref="G19:G24" si="2">B19/F19</f>
        <v>0.86332574031890663</v>
      </c>
      <c r="H19" s="2482"/>
    </row>
    <row r="20" spans="1:8" s="3595" customFormat="1">
      <c r="A20" s="3889" t="s">
        <v>59</v>
      </c>
      <c r="B20" s="3890">
        <v>748</v>
      </c>
      <c r="C20" s="3890">
        <v>109</v>
      </c>
      <c r="D20" s="3890">
        <v>30</v>
      </c>
      <c r="E20" s="3890">
        <v>139</v>
      </c>
      <c r="F20" s="3890">
        <f>+'A.37.'!K32</f>
        <v>350</v>
      </c>
      <c r="G20" s="2455">
        <f t="shared" si="2"/>
        <v>2.137142857142857</v>
      </c>
      <c r="H20" s="2482"/>
    </row>
    <row r="21" spans="1:8" s="3595" customFormat="1">
      <c r="A21" s="3889" t="s">
        <v>25</v>
      </c>
      <c r="B21" s="3891">
        <v>2533</v>
      </c>
      <c r="C21" s="3891">
        <v>369</v>
      </c>
      <c r="D21" s="3891">
        <v>95</v>
      </c>
      <c r="E21" s="3890">
        <v>464</v>
      </c>
      <c r="F21" s="3890">
        <f>+'A.37.'!K34</f>
        <v>1194</v>
      </c>
      <c r="G21" s="2455">
        <f t="shared" si="2"/>
        <v>2.1214405360134005</v>
      </c>
      <c r="H21" s="2482"/>
    </row>
    <row r="22" spans="1:8" s="3595" customFormat="1">
      <c r="A22" s="3889" t="s">
        <v>244</v>
      </c>
      <c r="B22" s="3890">
        <v>368</v>
      </c>
      <c r="C22" s="3890">
        <v>157</v>
      </c>
      <c r="D22" s="3890">
        <v>6</v>
      </c>
      <c r="E22" s="3890">
        <v>163</v>
      </c>
      <c r="F22" s="3890">
        <f>+'A.37.'!K36</f>
        <v>163</v>
      </c>
      <c r="G22" s="2455">
        <f t="shared" si="2"/>
        <v>2.2576687116564416</v>
      </c>
      <c r="H22" s="2482"/>
    </row>
    <row r="23" spans="1:8" s="3595" customFormat="1">
      <c r="A23" s="3889" t="s">
        <v>48</v>
      </c>
      <c r="B23" s="3890">
        <v>474</v>
      </c>
      <c r="C23" s="3890">
        <v>127</v>
      </c>
      <c r="D23" s="3890">
        <v>59</v>
      </c>
      <c r="E23" s="3890">
        <v>186</v>
      </c>
      <c r="F23" s="3890">
        <f>+'A.37.'!K38</f>
        <v>1361</v>
      </c>
      <c r="G23" s="2455">
        <f t="shared" si="2"/>
        <v>0.34827332843497427</v>
      </c>
      <c r="H23" s="2482"/>
    </row>
    <row r="24" spans="1:8" s="3595" customFormat="1">
      <c r="A24" s="3889" t="s">
        <v>87</v>
      </c>
      <c r="B24" s="3890">
        <v>872</v>
      </c>
      <c r="C24" s="3890">
        <v>667</v>
      </c>
      <c r="D24" s="3890">
        <f>E24-C24</f>
        <v>238</v>
      </c>
      <c r="E24" s="3890">
        <v>905</v>
      </c>
      <c r="F24" s="3890">
        <f>+'A.37.'!K40</f>
        <v>1233</v>
      </c>
      <c r="G24" s="2455">
        <f t="shared" si="2"/>
        <v>0.70721816707218166</v>
      </c>
      <c r="H24" s="2482"/>
    </row>
    <row r="25" spans="1:8" s="3595" customFormat="1">
      <c r="A25" s="3887" t="s">
        <v>113</v>
      </c>
      <c r="B25" s="3892">
        <f>SUM(B19:B24)</f>
        <v>6132</v>
      </c>
      <c r="C25" s="3892">
        <f>SUM(C19:C24)</f>
        <v>2034</v>
      </c>
      <c r="D25" s="3892">
        <f>SUM(D19:D24)</f>
        <v>444</v>
      </c>
      <c r="E25" s="3892">
        <f>SUM(E19:E24)</f>
        <v>2478</v>
      </c>
      <c r="F25" s="3892">
        <f>SUM(F19:F24)</f>
        <v>5618</v>
      </c>
      <c r="G25" s="2456">
        <f>B25/F25</f>
        <v>1.0914916340334639</v>
      </c>
      <c r="H25" s="2482"/>
    </row>
    <row r="26" spans="1:8" s="3595" customFormat="1">
      <c r="B26" s="58"/>
      <c r="C26" s="3611"/>
      <c r="D26" s="58"/>
      <c r="E26" s="58"/>
      <c r="F26" s="4243" t="s">
        <v>2885</v>
      </c>
      <c r="G26" s="58"/>
      <c r="H26" s="2482"/>
    </row>
    <row r="27" spans="1:8">
      <c r="A27" s="95"/>
      <c r="B27" s="95"/>
      <c r="C27" s="95"/>
      <c r="D27" s="95"/>
      <c r="E27" s="95"/>
      <c r="F27" s="95"/>
      <c r="G27" s="95"/>
      <c r="H27" s="95"/>
    </row>
    <row r="28" spans="1:8" ht="15.6">
      <c r="B28" s="3895"/>
      <c r="C28" s="3895"/>
      <c r="D28" s="3360">
        <v>2018</v>
      </c>
      <c r="E28" s="3895"/>
      <c r="F28" s="3895"/>
      <c r="G28" s="3895"/>
      <c r="H28" s="95"/>
    </row>
    <row r="29" spans="1:8" ht="20.100000000000001" customHeight="1">
      <c r="A29" s="5931" t="s">
        <v>0</v>
      </c>
      <c r="B29" s="5931" t="s">
        <v>162</v>
      </c>
      <c r="C29" s="6045" t="s">
        <v>499</v>
      </c>
      <c r="D29" s="6045"/>
      <c r="E29" s="6045"/>
      <c r="F29" s="5931" t="s">
        <v>498</v>
      </c>
      <c r="G29" s="5931" t="s">
        <v>1753</v>
      </c>
      <c r="H29" s="95"/>
    </row>
    <row r="30" spans="1:8" ht="25.5" customHeight="1" thickBot="1">
      <c r="A30" s="6043"/>
      <c r="B30" s="6043"/>
      <c r="C30" s="3888" t="s">
        <v>500</v>
      </c>
      <c r="D30" s="3888" t="s">
        <v>501</v>
      </c>
      <c r="E30" s="3888" t="s">
        <v>15</v>
      </c>
      <c r="F30" s="6043"/>
      <c r="G30" s="6043"/>
      <c r="H30" s="95"/>
    </row>
    <row r="31" spans="1:8">
      <c r="A31" s="3889" t="s">
        <v>3</v>
      </c>
      <c r="B31" s="3890">
        <v>610</v>
      </c>
      <c r="C31" s="3890">
        <v>123</v>
      </c>
      <c r="D31" s="3890">
        <v>16</v>
      </c>
      <c r="E31" s="3890">
        <f t="shared" ref="E31:E36" si="3">SUM(C31:D31)</f>
        <v>139</v>
      </c>
      <c r="F31" s="3890">
        <v>1292</v>
      </c>
      <c r="G31" s="2455">
        <f t="shared" ref="G31:G36" si="4">B31/F31</f>
        <v>0.47213622291021673</v>
      </c>
      <c r="H31" s="95"/>
    </row>
    <row r="32" spans="1:8">
      <c r="A32" s="3889" t="s">
        <v>59</v>
      </c>
      <c r="B32" s="3890">
        <v>564</v>
      </c>
      <c r="C32" s="3890">
        <v>82</v>
      </c>
      <c r="D32" s="3890">
        <v>34</v>
      </c>
      <c r="E32" s="3890">
        <f t="shared" si="3"/>
        <v>116</v>
      </c>
      <c r="F32" s="3890">
        <v>334</v>
      </c>
      <c r="G32" s="2455">
        <f t="shared" si="4"/>
        <v>1.688622754491018</v>
      </c>
      <c r="H32" s="95"/>
    </row>
    <row r="33" spans="1:8">
      <c r="A33" s="3889" t="s">
        <v>25</v>
      </c>
      <c r="B33" s="3891">
        <v>1826</v>
      </c>
      <c r="C33" s="3891">
        <v>184</v>
      </c>
      <c r="D33" s="3891">
        <v>134</v>
      </c>
      <c r="E33" s="3890">
        <f t="shared" si="3"/>
        <v>318</v>
      </c>
      <c r="F33" s="3890">
        <v>1179</v>
      </c>
      <c r="G33" s="2455">
        <f t="shared" si="4"/>
        <v>1.5487701441899915</v>
      </c>
      <c r="H33" s="95"/>
    </row>
    <row r="34" spans="1:8">
      <c r="A34" s="3889" t="s">
        <v>244</v>
      </c>
      <c r="B34" s="3890">
        <v>36</v>
      </c>
      <c r="C34" s="3890">
        <v>11</v>
      </c>
      <c r="D34" s="3890">
        <v>73</v>
      </c>
      <c r="E34" s="3890">
        <f t="shared" si="3"/>
        <v>84</v>
      </c>
      <c r="F34" s="3890">
        <v>138</v>
      </c>
      <c r="G34" s="2455">
        <f t="shared" si="4"/>
        <v>0.2608695652173913</v>
      </c>
      <c r="H34" s="95"/>
    </row>
    <row r="35" spans="1:8">
      <c r="A35" s="3889" t="s">
        <v>48</v>
      </c>
      <c r="B35" s="3890">
        <v>472</v>
      </c>
      <c r="C35" s="3890">
        <v>193</v>
      </c>
      <c r="D35" s="3890">
        <v>46</v>
      </c>
      <c r="E35" s="3890">
        <f t="shared" si="3"/>
        <v>239</v>
      </c>
      <c r="F35" s="3890">
        <v>1356</v>
      </c>
      <c r="G35" s="2455">
        <f t="shared" si="4"/>
        <v>0.34808259587020651</v>
      </c>
      <c r="H35" s="95"/>
    </row>
    <row r="36" spans="1:8">
      <c r="A36" s="3889" t="s">
        <v>87</v>
      </c>
      <c r="B36" s="3890">
        <v>2214</v>
      </c>
      <c r="C36" s="3890">
        <v>1380</v>
      </c>
      <c r="D36" s="3890">
        <v>19</v>
      </c>
      <c r="E36" s="3890">
        <f t="shared" si="3"/>
        <v>1399</v>
      </c>
      <c r="F36" s="3890">
        <v>1225</v>
      </c>
      <c r="G36" s="2455">
        <f t="shared" si="4"/>
        <v>1.8073469387755101</v>
      </c>
      <c r="H36" s="95"/>
    </row>
    <row r="37" spans="1:8">
      <c r="A37" s="3887" t="s">
        <v>113</v>
      </c>
      <c r="B37" s="3892">
        <f>SUM(B31:B36)</f>
        <v>5722</v>
      </c>
      <c r="C37" s="3892">
        <f>SUM(C31:C36)</f>
        <v>1973</v>
      </c>
      <c r="D37" s="3892">
        <f>SUM(D31:D36)</f>
        <v>322</v>
      </c>
      <c r="E37" s="3892">
        <f>SUM(E31:E36)</f>
        <v>2295</v>
      </c>
      <c r="F37" s="3892">
        <f>SUM(F31:F36)</f>
        <v>5524</v>
      </c>
      <c r="G37" s="2456">
        <f>B37/F37</f>
        <v>1.0358435916002897</v>
      </c>
      <c r="H37" s="95"/>
    </row>
    <row r="38" spans="1:8">
      <c r="A38" s="2465"/>
      <c r="B38" s="2465"/>
      <c r="C38" s="2465"/>
      <c r="D38" s="2465"/>
      <c r="E38" s="2465"/>
      <c r="F38" s="2465"/>
      <c r="G38" s="2465"/>
      <c r="H38" s="95"/>
    </row>
    <row r="39" spans="1:8">
      <c r="A39" s="2465"/>
      <c r="B39" s="2465"/>
      <c r="C39" s="2465"/>
      <c r="D39" s="2465"/>
      <c r="E39" s="2465"/>
      <c r="F39" s="2465"/>
      <c r="G39" s="2465"/>
      <c r="H39" s="95"/>
    </row>
    <row r="40" spans="1:8" ht="15.6">
      <c r="B40" s="3896"/>
      <c r="C40" s="3896"/>
      <c r="D40" s="3360">
        <v>2017</v>
      </c>
      <c r="E40" s="3896"/>
      <c r="F40" s="3896"/>
      <c r="G40" s="3896"/>
      <c r="H40" s="95"/>
    </row>
    <row r="41" spans="1:8" ht="15" customHeight="1">
      <c r="A41" s="5931" t="s">
        <v>0</v>
      </c>
      <c r="B41" s="5931" t="s">
        <v>162</v>
      </c>
      <c r="C41" s="6044" t="s">
        <v>499</v>
      </c>
      <c r="D41" s="6044"/>
      <c r="E41" s="6044"/>
      <c r="F41" s="5931" t="s">
        <v>498</v>
      </c>
      <c r="G41" s="5931" t="s">
        <v>1753</v>
      </c>
      <c r="H41" s="95"/>
    </row>
    <row r="42" spans="1:8" ht="29.25" customHeight="1" thickBot="1">
      <c r="A42" s="6043"/>
      <c r="B42" s="6043"/>
      <c r="C42" s="3888" t="s">
        <v>500</v>
      </c>
      <c r="D42" s="3888" t="s">
        <v>501</v>
      </c>
      <c r="E42" s="3888" t="s">
        <v>15</v>
      </c>
      <c r="F42" s="6043"/>
      <c r="G42" s="6043"/>
      <c r="H42" s="95"/>
    </row>
    <row r="43" spans="1:8">
      <c r="A43" s="3889" t="s">
        <v>3</v>
      </c>
      <c r="B43" s="3890">
        <v>989</v>
      </c>
      <c r="C43" s="3890">
        <v>420</v>
      </c>
      <c r="D43" s="3890">
        <v>52</v>
      </c>
      <c r="E43" s="3890">
        <f t="shared" ref="E43:E48" si="5">SUM(C43:D43)</f>
        <v>472</v>
      </c>
      <c r="F43" s="3890">
        <v>1300</v>
      </c>
      <c r="G43" s="2455">
        <f t="shared" ref="G43:G48" si="6">B43/F43</f>
        <v>0.76076923076923075</v>
      </c>
      <c r="H43" s="95"/>
    </row>
    <row r="44" spans="1:8">
      <c r="A44" s="3889" t="s">
        <v>59</v>
      </c>
      <c r="B44" s="3890">
        <v>1214</v>
      </c>
      <c r="C44" s="3890">
        <v>285</v>
      </c>
      <c r="D44" s="3890">
        <v>27</v>
      </c>
      <c r="E44" s="3890">
        <f t="shared" si="5"/>
        <v>312</v>
      </c>
      <c r="F44" s="3890">
        <v>319</v>
      </c>
      <c r="G44" s="2455">
        <f t="shared" si="6"/>
        <v>3.8056426332288402</v>
      </c>
      <c r="H44" s="95"/>
    </row>
    <row r="45" spans="1:8">
      <c r="A45" s="3889" t="s">
        <v>25</v>
      </c>
      <c r="B45" s="3891">
        <v>1019</v>
      </c>
      <c r="C45" s="3891">
        <v>293</v>
      </c>
      <c r="D45" s="3891">
        <v>194</v>
      </c>
      <c r="E45" s="3890">
        <f t="shared" si="5"/>
        <v>487</v>
      </c>
      <c r="F45" s="3890">
        <v>1165</v>
      </c>
      <c r="G45" s="2455">
        <f t="shared" si="6"/>
        <v>0.87467811158798281</v>
      </c>
      <c r="H45" s="95"/>
    </row>
    <row r="46" spans="1:8">
      <c r="A46" s="3889" t="s">
        <v>244</v>
      </c>
      <c r="B46" s="3890">
        <v>182</v>
      </c>
      <c r="C46" s="3890">
        <v>0</v>
      </c>
      <c r="D46" s="3890">
        <v>47</v>
      </c>
      <c r="E46" s="3890">
        <f t="shared" si="5"/>
        <v>47</v>
      </c>
      <c r="F46" s="3890">
        <v>118</v>
      </c>
      <c r="G46" s="2455">
        <f t="shared" si="6"/>
        <v>1.5423728813559323</v>
      </c>
      <c r="H46" s="1901"/>
    </row>
    <row r="47" spans="1:8">
      <c r="A47" s="3889" t="s">
        <v>48</v>
      </c>
      <c r="B47" s="3890">
        <v>702</v>
      </c>
      <c r="C47" s="3890">
        <v>298</v>
      </c>
      <c r="D47" s="3890">
        <v>121</v>
      </c>
      <c r="E47" s="3890">
        <f t="shared" si="5"/>
        <v>419</v>
      </c>
      <c r="F47" s="3890">
        <v>1347</v>
      </c>
      <c r="G47" s="2455">
        <f t="shared" si="6"/>
        <v>0.52115812917594651</v>
      </c>
      <c r="H47" s="95"/>
    </row>
    <row r="48" spans="1:8">
      <c r="A48" s="3889" t="s">
        <v>87</v>
      </c>
      <c r="B48" s="3890">
        <v>2953.5</v>
      </c>
      <c r="C48" s="3890">
        <v>1394</v>
      </c>
      <c r="D48" s="3890"/>
      <c r="E48" s="3890">
        <f t="shared" si="5"/>
        <v>1394</v>
      </c>
      <c r="F48" s="3890">
        <v>1245</v>
      </c>
      <c r="G48" s="2455">
        <f t="shared" si="6"/>
        <v>2.3722891566265059</v>
      </c>
      <c r="H48" s="1901"/>
    </row>
    <row r="49" spans="1:8">
      <c r="A49" s="3887" t="s">
        <v>113</v>
      </c>
      <c r="B49" s="3892">
        <f>SUM(B43:B48)</f>
        <v>7059.5</v>
      </c>
      <c r="C49" s="3892">
        <f>SUM(C43:C48)</f>
        <v>2690</v>
      </c>
      <c r="D49" s="3892">
        <f>SUM(D43:D48)</f>
        <v>441</v>
      </c>
      <c r="E49" s="3892">
        <f>SUM(E43:E48)</f>
        <v>3131</v>
      </c>
      <c r="F49" s="3892">
        <f>SUM(F43:F48)</f>
        <v>5494</v>
      </c>
      <c r="G49" s="2456">
        <f>B49/F49</f>
        <v>1.2849472151437933</v>
      </c>
      <c r="H49" s="95"/>
    </row>
    <row r="50" spans="1:8">
      <c r="A50" s="2465"/>
      <c r="B50" s="2465"/>
      <c r="C50" s="2465"/>
      <c r="D50" s="2465"/>
      <c r="E50" s="2465"/>
      <c r="F50" s="2465"/>
      <c r="G50" s="2465"/>
      <c r="H50" s="95"/>
    </row>
    <row r="51" spans="1:8" ht="15.6">
      <c r="B51" s="3896"/>
      <c r="C51" s="3896"/>
      <c r="D51" s="3360">
        <v>2016</v>
      </c>
      <c r="E51" s="3896"/>
      <c r="F51" s="3896"/>
      <c r="G51" s="3896"/>
      <c r="H51" s="95"/>
    </row>
    <row r="52" spans="1:8" ht="16.5" customHeight="1">
      <c r="A52" s="5931" t="s">
        <v>0</v>
      </c>
      <c r="B52" s="5931" t="s">
        <v>162</v>
      </c>
      <c r="C52" s="6044" t="s">
        <v>499</v>
      </c>
      <c r="D52" s="6044"/>
      <c r="E52" s="6044"/>
      <c r="F52" s="5931" t="s">
        <v>498</v>
      </c>
      <c r="G52" s="5931" t="s">
        <v>1753</v>
      </c>
      <c r="H52" s="95"/>
    </row>
    <row r="53" spans="1:8" ht="27" customHeight="1" thickBot="1">
      <c r="A53" s="6043"/>
      <c r="B53" s="6043"/>
      <c r="C53" s="3888" t="s">
        <v>500</v>
      </c>
      <c r="D53" s="3888" t="s">
        <v>501</v>
      </c>
      <c r="E53" s="3888" t="s">
        <v>15</v>
      </c>
      <c r="F53" s="6043"/>
      <c r="G53" s="6043"/>
      <c r="H53" s="95"/>
    </row>
    <row r="54" spans="1:8">
      <c r="A54" s="3889" t="s">
        <v>3</v>
      </c>
      <c r="B54" s="3890">
        <v>948.5</v>
      </c>
      <c r="C54" s="3890">
        <v>535</v>
      </c>
      <c r="D54" s="3890">
        <v>184</v>
      </c>
      <c r="E54" s="3890">
        <v>719</v>
      </c>
      <c r="F54" s="3890">
        <v>1312</v>
      </c>
      <c r="G54" s="2455">
        <f>B54/F54</f>
        <v>0.72294207317073167</v>
      </c>
      <c r="H54" s="95"/>
    </row>
    <row r="55" spans="1:8">
      <c r="A55" s="3889" t="s">
        <v>59</v>
      </c>
      <c r="B55" s="3890">
        <v>1577</v>
      </c>
      <c r="C55" s="3890">
        <v>159</v>
      </c>
      <c r="D55" s="3890">
        <v>163</v>
      </c>
      <c r="E55" s="3890">
        <f>SUM(C55:D55)</f>
        <v>322</v>
      </c>
      <c r="F55" s="3890">
        <v>322</v>
      </c>
      <c r="G55" s="2455">
        <f t="shared" ref="G55:G60" si="7">B55/F55</f>
        <v>4.8975155279503104</v>
      </c>
      <c r="H55" s="95"/>
    </row>
    <row r="56" spans="1:8">
      <c r="A56" s="3889" t="s">
        <v>25</v>
      </c>
      <c r="B56" s="3891">
        <v>1458</v>
      </c>
      <c r="C56" s="3891">
        <v>399</v>
      </c>
      <c r="D56" s="3891">
        <v>141</v>
      </c>
      <c r="E56" s="3890">
        <f>SUM(C56:D56)</f>
        <v>540</v>
      </c>
      <c r="F56" s="3890">
        <v>1157</v>
      </c>
      <c r="G56" s="2455">
        <f t="shared" si="7"/>
        <v>1.2601555747623163</v>
      </c>
      <c r="H56" s="1901"/>
    </row>
    <row r="57" spans="1:8">
      <c r="A57" s="3889" t="s">
        <v>244</v>
      </c>
      <c r="B57" s="3890">
        <v>182</v>
      </c>
      <c r="C57" s="3890">
        <v>0</v>
      </c>
      <c r="D57" s="3890">
        <v>47</v>
      </c>
      <c r="E57" s="3890">
        <f>SUM(C57:D57)</f>
        <v>47</v>
      </c>
      <c r="F57" s="3890">
        <v>118</v>
      </c>
      <c r="G57" s="2455">
        <f t="shared" si="7"/>
        <v>1.5423728813559323</v>
      </c>
      <c r="H57" s="1901"/>
    </row>
    <row r="58" spans="1:8">
      <c r="A58" s="3889" t="s">
        <v>48</v>
      </c>
      <c r="B58" s="3890">
        <v>670</v>
      </c>
      <c r="C58" s="3890">
        <v>365</v>
      </c>
      <c r="D58" s="3890">
        <v>77</v>
      </c>
      <c r="E58" s="3890">
        <f>SUM(C58:D58)</f>
        <v>442</v>
      </c>
      <c r="F58" s="3890">
        <v>1342</v>
      </c>
      <c r="G58" s="2455">
        <f t="shared" si="7"/>
        <v>0.49925484351713861</v>
      </c>
      <c r="H58" s="1901"/>
    </row>
    <row r="59" spans="1:8">
      <c r="A59" s="3889" t="s">
        <v>87</v>
      </c>
      <c r="B59" s="3890">
        <v>2953.5</v>
      </c>
      <c r="C59" s="3890">
        <v>1394</v>
      </c>
      <c r="D59" s="3890"/>
      <c r="E59" s="3890">
        <f>SUM(C59:D59)</f>
        <v>1394</v>
      </c>
      <c r="F59" s="3890">
        <v>1260</v>
      </c>
      <c r="G59" s="2455">
        <f t="shared" si="7"/>
        <v>2.3440476190476192</v>
      </c>
      <c r="H59" s="95"/>
    </row>
    <row r="60" spans="1:8">
      <c r="A60" s="3887" t="s">
        <v>113</v>
      </c>
      <c r="B60" s="3892">
        <f>SUM(B54:B59)</f>
        <v>7789</v>
      </c>
      <c r="C60" s="3892">
        <f>SUM(C54:C59)</f>
        <v>2852</v>
      </c>
      <c r="D60" s="3892">
        <f>SUM(D54:D59)</f>
        <v>612</v>
      </c>
      <c r="E60" s="3892">
        <f>SUM(E54:E59)</f>
        <v>3464</v>
      </c>
      <c r="F60" s="3892">
        <f>SUM(F54:F59)</f>
        <v>5511</v>
      </c>
      <c r="G60" s="2456">
        <f t="shared" si="7"/>
        <v>1.4133551079658864</v>
      </c>
      <c r="H60" s="95"/>
    </row>
    <row r="61" spans="1:8">
      <c r="A61" s="2465"/>
      <c r="B61" s="2465"/>
      <c r="C61" s="2465"/>
      <c r="D61" s="2465"/>
      <c r="E61" s="2465"/>
      <c r="F61" s="2465"/>
      <c r="G61" s="2465"/>
      <c r="H61" s="95"/>
    </row>
    <row r="62" spans="1:8" ht="15.6">
      <c r="B62" s="3896"/>
      <c r="C62" s="3896"/>
      <c r="D62" s="3360">
        <v>2015</v>
      </c>
      <c r="E62" s="3896"/>
      <c r="F62" s="3896"/>
      <c r="G62" s="3896"/>
      <c r="H62" s="95"/>
    </row>
    <row r="63" spans="1:8" ht="15.75" customHeight="1">
      <c r="A63" s="5931" t="s">
        <v>0</v>
      </c>
      <c r="B63" s="5931" t="s">
        <v>162</v>
      </c>
      <c r="C63" s="6044" t="s">
        <v>499</v>
      </c>
      <c r="D63" s="6044"/>
      <c r="E63" s="6044"/>
      <c r="F63" s="5931" t="s">
        <v>498</v>
      </c>
      <c r="G63" s="5931" t="s">
        <v>1753</v>
      </c>
      <c r="H63" s="95"/>
    </row>
    <row r="64" spans="1:8" ht="33" customHeight="1" thickBot="1">
      <c r="A64" s="6043"/>
      <c r="B64" s="6043"/>
      <c r="C64" s="3888" t="s">
        <v>500</v>
      </c>
      <c r="D64" s="3888" t="s">
        <v>501</v>
      </c>
      <c r="E64" s="3888" t="s">
        <v>15</v>
      </c>
      <c r="F64" s="6043"/>
      <c r="G64" s="6043"/>
      <c r="H64" s="95"/>
    </row>
    <row r="65" spans="1:8">
      <c r="A65" s="3889" t="s">
        <v>3</v>
      </c>
      <c r="B65" s="3890">
        <v>873</v>
      </c>
      <c r="C65" s="3890">
        <v>586</v>
      </c>
      <c r="D65" s="3890">
        <v>222</v>
      </c>
      <c r="E65" s="3890">
        <f t="shared" ref="E65:E70" si="8">SUM(C65:D65)</f>
        <v>808</v>
      </c>
      <c r="F65" s="3890">
        <v>1307</v>
      </c>
      <c r="G65" s="2455">
        <f t="shared" ref="G65:G71" si="9">B65/F65</f>
        <v>0.66794185156847741</v>
      </c>
      <c r="H65" s="95"/>
    </row>
    <row r="66" spans="1:8">
      <c r="A66" s="3889" t="s">
        <v>59</v>
      </c>
      <c r="B66" s="3890">
        <v>131</v>
      </c>
      <c r="C66" s="3890">
        <v>90</v>
      </c>
      <c r="D66" s="3890">
        <v>228</v>
      </c>
      <c r="E66" s="3890">
        <f t="shared" si="8"/>
        <v>318</v>
      </c>
      <c r="F66" s="3890">
        <v>286</v>
      </c>
      <c r="G66" s="2455">
        <f t="shared" si="9"/>
        <v>0.45804195804195802</v>
      </c>
      <c r="H66" s="95"/>
    </row>
    <row r="67" spans="1:8">
      <c r="A67" s="3889" t="s">
        <v>25</v>
      </c>
      <c r="B67" s="3891">
        <v>1458</v>
      </c>
      <c r="C67" s="3891">
        <v>399</v>
      </c>
      <c r="D67" s="3891">
        <v>141</v>
      </c>
      <c r="E67" s="3890">
        <f t="shared" si="8"/>
        <v>540</v>
      </c>
      <c r="F67" s="3890">
        <v>1177</v>
      </c>
      <c r="G67" s="2455">
        <f t="shared" si="9"/>
        <v>1.2387425658453697</v>
      </c>
      <c r="H67" s="95"/>
    </row>
    <row r="68" spans="1:8">
      <c r="A68" s="3889" t="s">
        <v>244</v>
      </c>
      <c r="B68" s="3890">
        <v>182</v>
      </c>
      <c r="C68" s="3890">
        <v>0</v>
      </c>
      <c r="D68" s="3890">
        <v>47</v>
      </c>
      <c r="E68" s="3890">
        <f t="shared" si="8"/>
        <v>47</v>
      </c>
      <c r="F68" s="3890">
        <v>81</v>
      </c>
      <c r="G68" s="2455">
        <f t="shared" si="9"/>
        <v>2.2469135802469138</v>
      </c>
      <c r="H68" s="95"/>
    </row>
    <row r="69" spans="1:8">
      <c r="A69" s="3889" t="s">
        <v>48</v>
      </c>
      <c r="B69" s="3890">
        <v>670</v>
      </c>
      <c r="C69" s="3890">
        <v>365</v>
      </c>
      <c r="D69" s="3890">
        <v>77</v>
      </c>
      <c r="E69" s="3890">
        <f t="shared" si="8"/>
        <v>442</v>
      </c>
      <c r="F69" s="3890">
        <v>1371</v>
      </c>
      <c r="G69" s="2455">
        <f t="shared" si="9"/>
        <v>0.48869438366156093</v>
      </c>
      <c r="H69" s="95"/>
    </row>
    <row r="70" spans="1:8">
      <c r="A70" s="3889" t="s">
        <v>87</v>
      </c>
      <c r="B70" s="3890">
        <v>460</v>
      </c>
      <c r="C70" s="3890"/>
      <c r="D70" s="3890"/>
      <c r="E70" s="3890">
        <f t="shared" si="8"/>
        <v>0</v>
      </c>
      <c r="F70" s="3890">
        <v>1225</v>
      </c>
      <c r="G70" s="2455">
        <f t="shared" si="9"/>
        <v>0.37551020408163266</v>
      </c>
      <c r="H70" s="1901"/>
    </row>
    <row r="71" spans="1:8">
      <c r="A71" s="3887" t="s">
        <v>113</v>
      </c>
      <c r="B71" s="3892">
        <f>SUM(B65:B70)</f>
        <v>3774</v>
      </c>
      <c r="C71" s="3892">
        <f>SUM(C65:C70)</f>
        <v>1440</v>
      </c>
      <c r="D71" s="3892">
        <f>SUM(D65:D70)</f>
        <v>715</v>
      </c>
      <c r="E71" s="3892">
        <f>SUM(E65:E70)</f>
        <v>2155</v>
      </c>
      <c r="F71" s="3892">
        <f>SUM(F65:F70)</f>
        <v>5447</v>
      </c>
      <c r="G71" s="2456">
        <f t="shared" si="9"/>
        <v>0.69285845419496972</v>
      </c>
      <c r="H71" s="95"/>
    </row>
    <row r="72" spans="1:8">
      <c r="A72" s="2465"/>
      <c r="B72" s="2465"/>
      <c r="C72" s="2465"/>
      <c r="D72" s="2465"/>
      <c r="E72" s="2465"/>
      <c r="F72" s="2465"/>
      <c r="G72" s="2465"/>
      <c r="H72" s="95"/>
    </row>
    <row r="73" spans="1:8">
      <c r="A73" s="2465"/>
      <c r="B73" s="2465"/>
      <c r="C73" s="2465"/>
      <c r="D73" s="2465"/>
      <c r="E73" s="2465"/>
      <c r="F73" s="2465"/>
      <c r="G73" s="2465"/>
      <c r="H73" s="95"/>
    </row>
    <row r="74" spans="1:8" ht="15.6">
      <c r="B74" s="3896"/>
      <c r="C74" s="3896"/>
      <c r="D74" s="3360">
        <v>2014</v>
      </c>
      <c r="E74" s="3896"/>
      <c r="F74" s="3896"/>
      <c r="G74" s="3896"/>
      <c r="H74" s="95"/>
    </row>
    <row r="75" spans="1:8" ht="24" customHeight="1">
      <c r="A75" s="5931" t="s">
        <v>0</v>
      </c>
      <c r="B75" s="5931" t="s">
        <v>162</v>
      </c>
      <c r="C75" s="6044" t="s">
        <v>499</v>
      </c>
      <c r="D75" s="6044"/>
      <c r="E75" s="6044"/>
      <c r="F75" s="5931" t="s">
        <v>498</v>
      </c>
      <c r="G75" s="5931" t="s">
        <v>1753</v>
      </c>
      <c r="H75" s="95"/>
    </row>
    <row r="76" spans="1:8" ht="27" customHeight="1" thickBot="1">
      <c r="A76" s="6043"/>
      <c r="B76" s="6043"/>
      <c r="C76" s="3888" t="s">
        <v>500</v>
      </c>
      <c r="D76" s="3888" t="s">
        <v>501</v>
      </c>
      <c r="E76" s="3888" t="s">
        <v>15</v>
      </c>
      <c r="F76" s="6043"/>
      <c r="G76" s="6043"/>
      <c r="H76" s="95"/>
    </row>
    <row r="77" spans="1:8">
      <c r="A77" s="3889" t="s">
        <v>3</v>
      </c>
      <c r="B77" s="3890">
        <v>1238</v>
      </c>
      <c r="C77" s="3890">
        <v>452</v>
      </c>
      <c r="D77" s="3890">
        <v>213</v>
      </c>
      <c r="E77" s="3890">
        <f>SUM(C77:D77)</f>
        <v>665</v>
      </c>
      <c r="F77" s="3890">
        <v>1313</v>
      </c>
      <c r="G77" s="2455">
        <f t="shared" ref="G77:G83" si="10">B77/F77</f>
        <v>0.94287890327494284</v>
      </c>
      <c r="H77" s="95"/>
    </row>
    <row r="78" spans="1:8">
      <c r="A78" s="3889" t="s">
        <v>59</v>
      </c>
      <c r="B78" s="3890">
        <v>48</v>
      </c>
      <c r="C78" s="3890">
        <v>4</v>
      </c>
      <c r="D78" s="3890">
        <v>4</v>
      </c>
      <c r="E78" s="3890">
        <f>SUM(C78:D78)</f>
        <v>8</v>
      </c>
      <c r="F78" s="3890">
        <v>271</v>
      </c>
      <c r="G78" s="2455">
        <f t="shared" si="10"/>
        <v>0.17712177121771217</v>
      </c>
      <c r="H78" s="95"/>
    </row>
    <row r="79" spans="1:8">
      <c r="A79" s="3889" t="s">
        <v>25</v>
      </c>
      <c r="B79" s="3891">
        <v>1011</v>
      </c>
      <c r="C79" s="3891">
        <v>248</v>
      </c>
      <c r="D79" s="3891">
        <v>142</v>
      </c>
      <c r="E79" s="3890">
        <f>SUM(C79:D79)</f>
        <v>390</v>
      </c>
      <c r="F79" s="3890">
        <v>1189</v>
      </c>
      <c r="G79" s="2455">
        <f t="shared" si="10"/>
        <v>0.85029436501261568</v>
      </c>
      <c r="H79" s="95"/>
    </row>
    <row r="80" spans="1:8">
      <c r="A80" s="3889" t="s">
        <v>244</v>
      </c>
      <c r="B80" s="3890">
        <v>144</v>
      </c>
      <c r="C80" s="3890">
        <v>0</v>
      </c>
      <c r="D80" s="3890">
        <v>26</v>
      </c>
      <c r="E80" s="3890">
        <f>SUM(C80:D80)</f>
        <v>26</v>
      </c>
      <c r="F80" s="3890">
        <v>80</v>
      </c>
      <c r="G80" s="2455">
        <f t="shared" si="10"/>
        <v>1.8</v>
      </c>
      <c r="H80" s="95"/>
    </row>
    <row r="81" spans="1:8">
      <c r="A81" s="3889" t="s">
        <v>48</v>
      </c>
      <c r="B81" s="3890">
        <v>526</v>
      </c>
      <c r="C81" s="3890"/>
      <c r="D81" s="3890"/>
      <c r="E81" s="3890">
        <v>377</v>
      </c>
      <c r="F81" s="3890">
        <v>1379</v>
      </c>
      <c r="G81" s="2455">
        <f t="shared" si="10"/>
        <v>0.38143582306018853</v>
      </c>
      <c r="H81" s="95"/>
    </row>
    <row r="82" spans="1:8">
      <c r="A82" s="3889" t="s">
        <v>87</v>
      </c>
      <c r="B82" s="3890">
        <v>460</v>
      </c>
      <c r="C82" s="3890"/>
      <c r="D82" s="3890"/>
      <c r="E82" s="3890">
        <v>375</v>
      </c>
      <c r="F82" s="3890">
        <v>1248</v>
      </c>
      <c r="G82" s="2455">
        <f t="shared" si="10"/>
        <v>0.36858974358974361</v>
      </c>
      <c r="H82" s="95"/>
    </row>
    <row r="83" spans="1:8">
      <c r="A83" s="3887" t="s">
        <v>113</v>
      </c>
      <c r="B83" s="3892">
        <f>SUM(B77:B82)</f>
        <v>3427</v>
      </c>
      <c r="C83" s="3892">
        <f>SUM(C77:C82)</f>
        <v>704</v>
      </c>
      <c r="D83" s="3892">
        <f>SUM(D77:D82)</f>
        <v>385</v>
      </c>
      <c r="E83" s="3892">
        <f>SUM(E77:E82)</f>
        <v>1841</v>
      </c>
      <c r="F83" s="3892">
        <f>SUM(F77:F82)</f>
        <v>5480</v>
      </c>
      <c r="G83" s="2456">
        <f t="shared" si="10"/>
        <v>0.62536496350364967</v>
      </c>
      <c r="H83" s="95"/>
    </row>
    <row r="84" spans="1:8">
      <c r="A84" s="2465"/>
      <c r="B84" s="2465"/>
      <c r="C84" s="2465"/>
      <c r="D84" s="2465"/>
      <c r="E84" s="2465"/>
      <c r="F84" s="2465"/>
      <c r="G84" s="2465"/>
      <c r="H84" s="95"/>
    </row>
    <row r="85" spans="1:8">
      <c r="A85" s="2465"/>
      <c r="B85" s="2465"/>
      <c r="C85" s="2465"/>
      <c r="D85" s="2465"/>
      <c r="E85" s="2465"/>
      <c r="F85" s="2465"/>
      <c r="G85" s="2465"/>
      <c r="H85" s="95"/>
    </row>
    <row r="86" spans="1:8" ht="15.6">
      <c r="B86" s="3896"/>
      <c r="C86" s="3896"/>
      <c r="D86" s="3360">
        <v>2013</v>
      </c>
      <c r="E86" s="3896"/>
      <c r="F86" s="3896"/>
      <c r="G86" s="3896"/>
      <c r="H86" s="95"/>
    </row>
    <row r="87" spans="1:8" ht="18.75" customHeight="1">
      <c r="A87" s="5931" t="s">
        <v>0</v>
      </c>
      <c r="B87" s="5931" t="s">
        <v>162</v>
      </c>
      <c r="C87" s="6044" t="s">
        <v>499</v>
      </c>
      <c r="D87" s="6044"/>
      <c r="E87" s="6044"/>
      <c r="F87" s="5931" t="s">
        <v>498</v>
      </c>
      <c r="G87" s="5931" t="s">
        <v>1753</v>
      </c>
      <c r="H87" s="95"/>
    </row>
    <row r="88" spans="1:8" ht="24.75" customHeight="1" thickBot="1">
      <c r="A88" s="6043"/>
      <c r="B88" s="6043"/>
      <c r="C88" s="3888" t="s">
        <v>500</v>
      </c>
      <c r="D88" s="3888" t="s">
        <v>501</v>
      </c>
      <c r="E88" s="3888" t="s">
        <v>15</v>
      </c>
      <c r="F88" s="6043"/>
      <c r="G88" s="6043"/>
      <c r="H88" s="95"/>
    </row>
    <row r="89" spans="1:8">
      <c r="A89" s="3889" t="s">
        <v>3</v>
      </c>
      <c r="B89" s="3890">
        <v>1056</v>
      </c>
      <c r="C89" s="3890">
        <v>175</v>
      </c>
      <c r="D89" s="3890">
        <v>698</v>
      </c>
      <c r="E89" s="3890">
        <f>SUM(C89:D89)</f>
        <v>873</v>
      </c>
      <c r="F89" s="3890">
        <v>1329</v>
      </c>
      <c r="G89" s="2455">
        <f t="shared" ref="G89:G95" si="11">B89/F89</f>
        <v>0.79458239277652365</v>
      </c>
      <c r="H89" s="95"/>
    </row>
    <row r="90" spans="1:8">
      <c r="A90" s="3889" t="s">
        <v>59</v>
      </c>
      <c r="B90" s="3890">
        <v>745</v>
      </c>
      <c r="C90" s="3890">
        <v>6</v>
      </c>
      <c r="D90" s="3890">
        <v>56</v>
      </c>
      <c r="E90" s="3890">
        <f>SUM(C90:D90)</f>
        <v>62</v>
      </c>
      <c r="F90" s="3890">
        <v>216</v>
      </c>
      <c r="G90" s="2455">
        <f t="shared" si="11"/>
        <v>3.449074074074074</v>
      </c>
      <c r="H90" s="137"/>
    </row>
    <row r="91" spans="1:8">
      <c r="A91" s="3889" t="s">
        <v>25</v>
      </c>
      <c r="B91" s="3891">
        <v>3076</v>
      </c>
      <c r="C91" s="3891">
        <v>272</v>
      </c>
      <c r="D91" s="3891">
        <v>159</v>
      </c>
      <c r="E91" s="3890">
        <f>SUM(C91:D91)</f>
        <v>431</v>
      </c>
      <c r="F91" s="3890">
        <v>1198</v>
      </c>
      <c r="G91" s="2455">
        <f t="shared" si="11"/>
        <v>2.5676126878130217</v>
      </c>
      <c r="H91" s="95"/>
    </row>
    <row r="92" spans="1:8">
      <c r="A92" s="3889" t="s">
        <v>244</v>
      </c>
      <c r="B92" s="3890">
        <v>144</v>
      </c>
      <c r="C92" s="3890">
        <v>0</v>
      </c>
      <c r="D92" s="3890">
        <v>26</v>
      </c>
      <c r="E92" s="3890">
        <f>SUM(C92:D92)</f>
        <v>26</v>
      </c>
      <c r="F92" s="3890">
        <v>56</v>
      </c>
      <c r="G92" s="2455">
        <f t="shared" si="11"/>
        <v>2.5714285714285716</v>
      </c>
      <c r="H92" s="95"/>
    </row>
    <row r="93" spans="1:8">
      <c r="A93" s="3889" t="s">
        <v>48</v>
      </c>
      <c r="B93" s="3890">
        <v>291</v>
      </c>
      <c r="C93" s="3890">
        <v>118</v>
      </c>
      <c r="D93" s="3890">
        <v>142</v>
      </c>
      <c r="E93" s="3890">
        <f>SUM(C93:D93)</f>
        <v>260</v>
      </c>
      <c r="F93" s="3890">
        <v>1346</v>
      </c>
      <c r="G93" s="2455">
        <f t="shared" si="11"/>
        <v>0.2161961367013373</v>
      </c>
      <c r="H93" s="95"/>
    </row>
    <row r="94" spans="1:8">
      <c r="A94" s="3889" t="s">
        <v>87</v>
      </c>
      <c r="B94" s="3890">
        <v>369</v>
      </c>
      <c r="C94" s="3890"/>
      <c r="D94" s="3890"/>
      <c r="E94" s="3890">
        <v>534</v>
      </c>
      <c r="F94" s="3890">
        <v>1211</v>
      </c>
      <c r="G94" s="2455">
        <f t="shared" si="11"/>
        <v>0.30470685383980184</v>
      </c>
      <c r="H94" s="95"/>
    </row>
    <row r="95" spans="1:8">
      <c r="A95" s="3887" t="s">
        <v>113</v>
      </c>
      <c r="B95" s="3892">
        <f>SUM(B89:B94)</f>
        <v>5681</v>
      </c>
      <c r="C95" s="3892">
        <f>SUM(C89:C94)</f>
        <v>571</v>
      </c>
      <c r="D95" s="3892">
        <f>SUM(D89:D94)</f>
        <v>1081</v>
      </c>
      <c r="E95" s="3892">
        <f>SUM(E89:E94)</f>
        <v>2186</v>
      </c>
      <c r="F95" s="3892">
        <f>SUM(F89:F94)</f>
        <v>5356</v>
      </c>
      <c r="G95" s="2456">
        <f t="shared" si="11"/>
        <v>1.0606796116504855</v>
      </c>
      <c r="H95" s="95"/>
    </row>
    <row r="96" spans="1:8">
      <c r="A96" s="3893" t="s">
        <v>164</v>
      </c>
      <c r="B96" s="2083"/>
      <c r="C96" s="2082"/>
      <c r="D96" s="2082"/>
      <c r="E96" s="2082"/>
      <c r="F96" s="2082"/>
      <c r="G96" s="2464"/>
      <c r="H96" s="95"/>
    </row>
    <row r="97" spans="1:8">
      <c r="A97" s="2464"/>
      <c r="B97" s="2464"/>
      <c r="C97" s="2464"/>
      <c r="D97" s="2464"/>
      <c r="E97" s="2464"/>
      <c r="F97" s="2464"/>
      <c r="G97" s="2464"/>
      <c r="H97" s="95"/>
    </row>
    <row r="98" spans="1:8" ht="15.6">
      <c r="B98" s="3896"/>
      <c r="C98" s="3896"/>
      <c r="D98" s="3360">
        <v>2012</v>
      </c>
      <c r="E98" s="3896"/>
      <c r="F98" s="3896"/>
      <c r="G98" s="3896"/>
      <c r="H98" s="95"/>
    </row>
    <row r="99" spans="1:8" ht="15" customHeight="1">
      <c r="A99" s="5931" t="s">
        <v>0</v>
      </c>
      <c r="B99" s="5931" t="s">
        <v>162</v>
      </c>
      <c r="C99" s="6044" t="s">
        <v>499</v>
      </c>
      <c r="D99" s="6044"/>
      <c r="E99" s="6044"/>
      <c r="F99" s="5931" t="s">
        <v>498</v>
      </c>
      <c r="G99" s="5931" t="s">
        <v>1753</v>
      </c>
      <c r="H99" s="95"/>
    </row>
    <row r="100" spans="1:8" ht="30" customHeight="1" thickBot="1">
      <c r="A100" s="6043"/>
      <c r="B100" s="6043"/>
      <c r="C100" s="3888" t="s">
        <v>500</v>
      </c>
      <c r="D100" s="3888" t="s">
        <v>501</v>
      </c>
      <c r="E100" s="3888" t="s">
        <v>15</v>
      </c>
      <c r="F100" s="6043"/>
      <c r="G100" s="6043"/>
      <c r="H100" s="95"/>
    </row>
    <row r="101" spans="1:8">
      <c r="A101" s="3889" t="s">
        <v>3</v>
      </c>
      <c r="B101" s="3890">
        <v>711</v>
      </c>
      <c r="C101" s="3890">
        <v>240</v>
      </c>
      <c r="D101" s="3890">
        <v>315</v>
      </c>
      <c r="E101" s="3890">
        <f t="shared" ref="E101:E106" si="12">SUM(C101:D101)</f>
        <v>555</v>
      </c>
      <c r="F101" s="3890">
        <v>1334</v>
      </c>
      <c r="G101" s="2455">
        <f t="shared" ref="G101:G107" si="13">B101/F101</f>
        <v>0.53298350824587704</v>
      </c>
      <c r="H101" s="95"/>
    </row>
    <row r="102" spans="1:8">
      <c r="A102" s="3889" t="s">
        <v>59</v>
      </c>
      <c r="B102" s="3890">
        <v>462</v>
      </c>
      <c r="C102" s="3890">
        <v>4</v>
      </c>
      <c r="D102" s="3890">
        <v>47</v>
      </c>
      <c r="E102" s="3890">
        <f t="shared" si="12"/>
        <v>51</v>
      </c>
      <c r="F102" s="3890">
        <v>218</v>
      </c>
      <c r="G102" s="2455">
        <f t="shared" si="13"/>
        <v>2.1192660550458715</v>
      </c>
      <c r="H102" s="95"/>
    </row>
    <row r="103" spans="1:8">
      <c r="A103" s="3889" t="s">
        <v>25</v>
      </c>
      <c r="B103" s="3891">
        <v>1560</v>
      </c>
      <c r="C103" s="3891">
        <v>267</v>
      </c>
      <c r="D103" s="3891">
        <v>137</v>
      </c>
      <c r="E103" s="3890">
        <f t="shared" si="12"/>
        <v>404</v>
      </c>
      <c r="F103" s="3890">
        <v>1199</v>
      </c>
      <c r="G103" s="2455">
        <f t="shared" si="13"/>
        <v>1.3010842368640534</v>
      </c>
      <c r="H103" s="95"/>
    </row>
    <row r="104" spans="1:8">
      <c r="A104" s="3889" t="s">
        <v>244</v>
      </c>
      <c r="B104" s="3890">
        <v>148</v>
      </c>
      <c r="C104" s="3890">
        <v>0</v>
      </c>
      <c r="D104" s="3890">
        <v>62</v>
      </c>
      <c r="E104" s="3890">
        <f t="shared" si="12"/>
        <v>62</v>
      </c>
      <c r="F104" s="3890">
        <v>50</v>
      </c>
      <c r="G104" s="2455">
        <f t="shared" si="13"/>
        <v>2.96</v>
      </c>
      <c r="H104" s="95"/>
    </row>
    <row r="105" spans="1:8">
      <c r="A105" s="3889" t="s">
        <v>48</v>
      </c>
      <c r="B105" s="3890">
        <v>679</v>
      </c>
      <c r="C105" s="3890">
        <v>353</v>
      </c>
      <c r="D105" s="3890">
        <v>82</v>
      </c>
      <c r="E105" s="3890">
        <f t="shared" si="12"/>
        <v>435</v>
      </c>
      <c r="F105" s="3890">
        <v>1363</v>
      </c>
      <c r="G105" s="2455">
        <f t="shared" si="13"/>
        <v>0.49816581071166544</v>
      </c>
      <c r="H105" s="95"/>
    </row>
    <row r="106" spans="1:8">
      <c r="A106" s="3889" t="s">
        <v>87</v>
      </c>
      <c r="B106" s="3890">
        <v>835</v>
      </c>
      <c r="C106" s="3890">
        <v>499</v>
      </c>
      <c r="D106" s="3890">
        <v>19</v>
      </c>
      <c r="E106" s="3890">
        <f t="shared" si="12"/>
        <v>518</v>
      </c>
      <c r="F106" s="3890">
        <v>1219</v>
      </c>
      <c r="G106" s="2455">
        <f t="shared" si="13"/>
        <v>0.68498769483182942</v>
      </c>
      <c r="H106" s="95"/>
    </row>
    <row r="107" spans="1:8">
      <c r="A107" s="3887" t="s">
        <v>113</v>
      </c>
      <c r="B107" s="3892">
        <f>SUM(B101:B106)</f>
        <v>4395</v>
      </c>
      <c r="C107" s="3892">
        <f>SUM(C101:C106)</f>
        <v>1363</v>
      </c>
      <c r="D107" s="3892">
        <f>SUM(D101:D106)</f>
        <v>662</v>
      </c>
      <c r="E107" s="3892">
        <f>SUM(E101:E106)</f>
        <v>2025</v>
      </c>
      <c r="F107" s="3892">
        <f>SUM(F101:F106)</f>
        <v>5383</v>
      </c>
      <c r="G107" s="2456">
        <f t="shared" si="13"/>
        <v>0.81645922348133015</v>
      </c>
      <c r="H107" s="95"/>
    </row>
    <row r="108" spans="1:8">
      <c r="A108" s="3893" t="s">
        <v>164</v>
      </c>
      <c r="B108" s="2083"/>
      <c r="C108" s="2082"/>
      <c r="D108" s="2082"/>
      <c r="E108" s="2082"/>
      <c r="F108" s="2082"/>
      <c r="G108" s="2464"/>
      <c r="H108" s="95"/>
    </row>
    <row r="109" spans="1:8">
      <c r="A109" s="3897"/>
      <c r="B109" s="3897"/>
      <c r="C109" s="3897"/>
      <c r="D109" s="3897"/>
      <c r="E109" s="3897"/>
      <c r="F109" s="3897"/>
      <c r="G109" s="3897"/>
      <c r="H109" s="95"/>
    </row>
    <row r="110" spans="1:8" ht="15.6">
      <c r="B110" s="3896"/>
      <c r="C110" s="3896"/>
      <c r="D110" s="3360">
        <v>2011</v>
      </c>
      <c r="E110" s="3896"/>
      <c r="F110" s="3896"/>
      <c r="G110" s="3896"/>
      <c r="H110" s="95"/>
    </row>
    <row r="111" spans="1:8" ht="15.75" customHeight="1">
      <c r="A111" s="5931" t="s">
        <v>0</v>
      </c>
      <c r="B111" s="5931" t="s">
        <v>162</v>
      </c>
      <c r="C111" s="6044" t="s">
        <v>499</v>
      </c>
      <c r="D111" s="6044"/>
      <c r="E111" s="6044"/>
      <c r="F111" s="5931" t="s">
        <v>498</v>
      </c>
      <c r="G111" s="5931" t="s">
        <v>1753</v>
      </c>
      <c r="H111" s="95"/>
    </row>
    <row r="112" spans="1:8" ht="30" customHeight="1" thickBot="1">
      <c r="A112" s="6043"/>
      <c r="B112" s="6043"/>
      <c r="C112" s="3888" t="s">
        <v>500</v>
      </c>
      <c r="D112" s="3888" t="s">
        <v>501</v>
      </c>
      <c r="E112" s="3888" t="s">
        <v>15</v>
      </c>
      <c r="F112" s="6043"/>
      <c r="G112" s="6043"/>
      <c r="H112" s="95"/>
    </row>
    <row r="113" spans="1:8">
      <c r="A113" s="3889" t="s">
        <v>3</v>
      </c>
      <c r="B113" s="3890">
        <v>456</v>
      </c>
      <c r="C113" s="3890">
        <v>59</v>
      </c>
      <c r="D113" s="3890">
        <v>64</v>
      </c>
      <c r="E113" s="3890">
        <v>123</v>
      </c>
      <c r="F113" s="3890">
        <v>1340</v>
      </c>
      <c r="G113" s="2455">
        <f t="shared" ref="G113:G119" si="14">B113/F113</f>
        <v>0.34029850746268658</v>
      </c>
      <c r="H113" s="95"/>
    </row>
    <row r="114" spans="1:8">
      <c r="A114" s="3889" t="s">
        <v>59</v>
      </c>
      <c r="B114" s="3890">
        <v>440</v>
      </c>
      <c r="C114" s="3890">
        <v>3</v>
      </c>
      <c r="D114" s="3890">
        <v>8</v>
      </c>
      <c r="E114" s="3890">
        <v>62</v>
      </c>
      <c r="F114" s="3890">
        <v>188</v>
      </c>
      <c r="G114" s="2455">
        <f>B114/F114</f>
        <v>2.3404255319148937</v>
      </c>
      <c r="H114" s="95"/>
    </row>
    <row r="115" spans="1:8" ht="15.75" customHeight="1">
      <c r="A115" s="3889" t="s">
        <v>25</v>
      </c>
      <c r="B115" s="3891">
        <v>1708</v>
      </c>
      <c r="C115" s="3891">
        <v>126</v>
      </c>
      <c r="D115" s="3891">
        <v>35</v>
      </c>
      <c r="E115" s="3890">
        <f>SUM(C115:D115)</f>
        <v>161</v>
      </c>
      <c r="F115" s="3890">
        <v>1200</v>
      </c>
      <c r="G115" s="2455">
        <f t="shared" si="14"/>
        <v>1.4233333333333333</v>
      </c>
      <c r="H115" s="95"/>
    </row>
    <row r="116" spans="1:8">
      <c r="A116" s="3889" t="s">
        <v>244</v>
      </c>
      <c r="B116" s="3890">
        <v>546</v>
      </c>
      <c r="C116" s="3890">
        <v>0</v>
      </c>
      <c r="D116" s="3890">
        <v>35</v>
      </c>
      <c r="E116" s="3890">
        <f>SUM(C116:D116)</f>
        <v>35</v>
      </c>
      <c r="F116" s="3890">
        <v>41</v>
      </c>
      <c r="G116" s="2455">
        <f>B116/F116</f>
        <v>13.317073170731707</v>
      </c>
      <c r="H116" s="95"/>
    </row>
    <row r="117" spans="1:8">
      <c r="A117" s="3889" t="s">
        <v>48</v>
      </c>
      <c r="B117" s="3890">
        <v>497</v>
      </c>
      <c r="C117" s="3890">
        <v>225</v>
      </c>
      <c r="D117" s="3890">
        <v>158</v>
      </c>
      <c r="E117" s="3890">
        <f>SUM(C117:D117)</f>
        <v>383</v>
      </c>
      <c r="F117" s="3890">
        <v>1368</v>
      </c>
      <c r="G117" s="2455">
        <f>B117/F117</f>
        <v>0.36330409356725146</v>
      </c>
      <c r="H117" s="95"/>
    </row>
    <row r="118" spans="1:8">
      <c r="A118" s="3889" t="s">
        <v>87</v>
      </c>
      <c r="B118" s="3890">
        <v>490</v>
      </c>
      <c r="C118" s="3890">
        <v>447</v>
      </c>
      <c r="D118" s="3890">
        <v>108</v>
      </c>
      <c r="E118" s="3890">
        <v>555</v>
      </c>
      <c r="F118" s="3890">
        <v>1195</v>
      </c>
      <c r="G118" s="2455">
        <f t="shared" si="14"/>
        <v>0.41004184100418412</v>
      </c>
      <c r="H118" s="95"/>
    </row>
    <row r="119" spans="1:8">
      <c r="A119" s="3887" t="s">
        <v>113</v>
      </c>
      <c r="B119" s="3892">
        <f>SUM(B113:B118)</f>
        <v>4137</v>
      </c>
      <c r="C119" s="3892">
        <f>SUM(C113:C118)</f>
        <v>860</v>
      </c>
      <c r="D119" s="3892">
        <f>SUM(D113:D118)</f>
        <v>408</v>
      </c>
      <c r="E119" s="3892">
        <f>SUM(E113:E118)</f>
        <v>1319</v>
      </c>
      <c r="F119" s="3892">
        <f>SUM(F113:F118)</f>
        <v>5332</v>
      </c>
      <c r="G119" s="2456">
        <f t="shared" si="14"/>
        <v>0.77588147036759192</v>
      </c>
      <c r="H119" s="95"/>
    </row>
    <row r="120" spans="1:8">
      <c r="A120" s="3893" t="s">
        <v>164</v>
      </c>
      <c r="B120" s="2083"/>
      <c r="C120" s="2082"/>
      <c r="D120" s="2082"/>
      <c r="E120" s="2082"/>
      <c r="F120" s="2082"/>
      <c r="G120" s="2464"/>
      <c r="H120" s="95"/>
    </row>
    <row r="121" spans="1:8">
      <c r="A121" s="2464"/>
      <c r="B121" s="2464"/>
      <c r="C121" s="2464"/>
      <c r="D121" s="2464"/>
      <c r="E121" s="2464"/>
      <c r="F121" s="2464"/>
      <c r="G121" s="2464"/>
      <c r="H121" s="95"/>
    </row>
    <row r="122" spans="1:8">
      <c r="A122" s="2464"/>
      <c r="B122" s="2464"/>
      <c r="C122" s="2464"/>
      <c r="D122" s="2464"/>
      <c r="E122" s="3894"/>
      <c r="F122" s="3894"/>
      <c r="G122" s="2464"/>
      <c r="H122" s="95"/>
    </row>
    <row r="123" spans="1:8" ht="15.6">
      <c r="B123" s="3896"/>
      <c r="C123" s="3896"/>
      <c r="D123" s="3360">
        <v>2010</v>
      </c>
      <c r="E123" s="3896"/>
      <c r="F123" s="3896"/>
      <c r="G123" s="3896"/>
      <c r="H123" s="95"/>
    </row>
    <row r="124" spans="1:8" ht="15" customHeight="1">
      <c r="A124" s="5931" t="s">
        <v>0</v>
      </c>
      <c r="B124" s="5931" t="s">
        <v>162</v>
      </c>
      <c r="C124" s="6044" t="s">
        <v>499</v>
      </c>
      <c r="D124" s="6044"/>
      <c r="E124" s="6044"/>
      <c r="F124" s="5931" t="s">
        <v>498</v>
      </c>
      <c r="G124" s="5931" t="s">
        <v>1753</v>
      </c>
      <c r="H124" s="95"/>
    </row>
    <row r="125" spans="1:8" ht="30.75" customHeight="1" thickBot="1">
      <c r="A125" s="6043"/>
      <c r="B125" s="6043"/>
      <c r="C125" s="3888" t="s">
        <v>500</v>
      </c>
      <c r="D125" s="3888" t="s">
        <v>501</v>
      </c>
      <c r="E125" s="3888" t="s">
        <v>15</v>
      </c>
      <c r="F125" s="6043"/>
      <c r="G125" s="6043"/>
      <c r="H125" s="95"/>
    </row>
    <row r="126" spans="1:8">
      <c r="A126" s="3889" t="s">
        <v>3</v>
      </c>
      <c r="B126" s="3890">
        <v>1364</v>
      </c>
      <c r="C126" s="3890">
        <v>599</v>
      </c>
      <c r="D126" s="3890">
        <v>305</v>
      </c>
      <c r="E126" s="3890">
        <v>904</v>
      </c>
      <c r="F126" s="3890">
        <v>1309</v>
      </c>
      <c r="G126" s="2455">
        <f t="shared" ref="G126:G132" si="15">B126/F126</f>
        <v>1.0420168067226891</v>
      </c>
      <c r="H126" s="95"/>
    </row>
    <row r="127" spans="1:8">
      <c r="A127" s="3889" t="s">
        <v>59</v>
      </c>
      <c r="B127" s="3890"/>
      <c r="C127" s="3890"/>
      <c r="D127" s="3890"/>
      <c r="E127" s="3890"/>
      <c r="F127" s="3890">
        <v>146</v>
      </c>
      <c r="G127" s="2455">
        <f>B127/F127</f>
        <v>0</v>
      </c>
      <c r="H127" s="95"/>
    </row>
    <row r="128" spans="1:8">
      <c r="A128" s="3889" t="s">
        <v>25</v>
      </c>
      <c r="B128" s="3891">
        <v>2268</v>
      </c>
      <c r="C128" s="3891">
        <v>376</v>
      </c>
      <c r="D128" s="3891">
        <v>167</v>
      </c>
      <c r="E128" s="3890">
        <v>543</v>
      </c>
      <c r="F128" s="3890">
        <v>1187</v>
      </c>
      <c r="G128" s="2455">
        <f t="shared" si="15"/>
        <v>1.9106992417860151</v>
      </c>
      <c r="H128" s="95"/>
    </row>
    <row r="129" spans="1:8">
      <c r="A129" s="3889" t="s">
        <v>244</v>
      </c>
      <c r="B129" s="3890"/>
      <c r="C129" s="3890"/>
      <c r="D129" s="3890"/>
      <c r="E129" s="3890"/>
      <c r="F129" s="3890">
        <v>32</v>
      </c>
      <c r="G129" s="2455">
        <f>B129/F129</f>
        <v>0</v>
      </c>
      <c r="H129" s="95"/>
    </row>
    <row r="130" spans="1:8">
      <c r="A130" s="3889" t="s">
        <v>48</v>
      </c>
      <c r="B130" s="3890">
        <v>667</v>
      </c>
      <c r="C130" s="3890">
        <v>310</v>
      </c>
      <c r="D130" s="3890">
        <v>87</v>
      </c>
      <c r="E130" s="3890">
        <v>397</v>
      </c>
      <c r="F130" s="3890">
        <v>1355</v>
      </c>
      <c r="G130" s="2455">
        <f>B130/F130</f>
        <v>0.49225092250922509</v>
      </c>
      <c r="H130" s="95"/>
    </row>
    <row r="131" spans="1:8" ht="15.75" customHeight="1">
      <c r="A131" s="3889" t="s">
        <v>87</v>
      </c>
      <c r="B131" s="3890">
        <v>540</v>
      </c>
      <c r="C131" s="3890"/>
      <c r="D131" s="3890"/>
      <c r="E131" s="3890">
        <v>557</v>
      </c>
      <c r="F131" s="3890">
        <v>1176</v>
      </c>
      <c r="G131" s="2455">
        <f t="shared" si="15"/>
        <v>0.45918367346938777</v>
      </c>
      <c r="H131" s="95"/>
    </row>
    <row r="132" spans="1:8">
      <c r="A132" s="3887" t="s">
        <v>113</v>
      </c>
      <c r="B132" s="3892">
        <f>SUM(B126:B131)</f>
        <v>4839</v>
      </c>
      <c r="C132" s="3892">
        <v>1285</v>
      </c>
      <c r="D132" s="3892">
        <v>559</v>
      </c>
      <c r="E132" s="3892">
        <v>2401</v>
      </c>
      <c r="F132" s="3892">
        <f>SUM(F126:F131)</f>
        <v>5205</v>
      </c>
      <c r="G132" s="2456">
        <f t="shared" si="15"/>
        <v>0.92968299711815561</v>
      </c>
      <c r="H132" s="95"/>
    </row>
    <row r="133" spans="1:8">
      <c r="A133" s="2464"/>
      <c r="B133" s="2464"/>
      <c r="C133" s="2464"/>
      <c r="D133" s="2464"/>
      <c r="E133" s="2464"/>
      <c r="F133" s="2464"/>
      <c r="G133" s="2464"/>
      <c r="H133" s="95"/>
    </row>
    <row r="134" spans="1:8" ht="15" customHeight="1">
      <c r="A134" s="2464"/>
      <c r="B134" s="2464"/>
      <c r="C134" s="2464"/>
      <c r="D134" s="2464"/>
      <c r="E134" s="2464"/>
      <c r="F134" s="2464"/>
      <c r="G134" s="2464"/>
      <c r="H134" s="95"/>
    </row>
    <row r="135" spans="1:8">
      <c r="A135" s="2464"/>
      <c r="B135" s="2464"/>
      <c r="C135" s="2464"/>
      <c r="D135" s="2464"/>
      <c r="E135" s="2464"/>
      <c r="F135" s="2464"/>
      <c r="G135" s="2464"/>
      <c r="H135" s="95"/>
    </row>
    <row r="136" spans="1:8">
      <c r="A136" s="2464"/>
      <c r="B136" s="2464"/>
      <c r="C136" s="2464"/>
      <c r="D136" s="2464"/>
      <c r="E136" s="2464"/>
      <c r="F136" s="2464"/>
      <c r="G136" s="2464"/>
      <c r="H136" s="95"/>
    </row>
    <row r="137" spans="1:8">
      <c r="A137" s="2464"/>
      <c r="B137" s="2464"/>
      <c r="C137" s="2464"/>
      <c r="D137" s="2464"/>
      <c r="E137" s="2464"/>
      <c r="F137" s="2464"/>
      <c r="G137" s="2464"/>
      <c r="H137" s="95"/>
    </row>
    <row r="138" spans="1:8">
      <c r="A138" s="2464"/>
      <c r="B138" s="2464"/>
      <c r="C138" s="2464"/>
      <c r="D138" s="2464"/>
      <c r="E138" s="2464"/>
      <c r="F138" s="2464"/>
      <c r="G138" s="2464"/>
      <c r="H138" s="95"/>
    </row>
    <row r="139" spans="1:8">
      <c r="A139" s="2464"/>
      <c r="B139" s="2464"/>
      <c r="C139" s="2464"/>
      <c r="D139" s="2464"/>
      <c r="E139" s="2464"/>
      <c r="F139" s="2464"/>
      <c r="G139" s="2464"/>
      <c r="H139" s="95"/>
    </row>
    <row r="140" spans="1:8">
      <c r="A140" s="2464"/>
      <c r="B140" s="2464"/>
      <c r="C140" s="2464"/>
      <c r="D140" s="2464"/>
      <c r="E140" s="2464"/>
      <c r="F140" s="2464"/>
      <c r="G140" s="2464"/>
      <c r="H140" s="95"/>
    </row>
    <row r="141" spans="1:8">
      <c r="A141" s="2464"/>
      <c r="B141" s="2464"/>
      <c r="C141" s="2464"/>
      <c r="D141" s="2464"/>
      <c r="E141" s="2464"/>
      <c r="F141" s="2464"/>
      <c r="G141" s="2464"/>
      <c r="H141" s="95"/>
    </row>
    <row r="142" spans="1:8">
      <c r="A142" s="2464"/>
      <c r="B142" s="2464"/>
      <c r="C142" s="2464"/>
      <c r="D142" s="2464"/>
      <c r="E142" s="2464"/>
      <c r="F142" s="2464"/>
      <c r="G142" s="2464"/>
      <c r="H142" s="95"/>
    </row>
    <row r="143" spans="1:8">
      <c r="A143" s="2464"/>
      <c r="B143" s="2464"/>
      <c r="C143" s="2464"/>
      <c r="D143" s="2464"/>
      <c r="E143" s="2464"/>
      <c r="F143" s="2464"/>
      <c r="G143" s="2464"/>
      <c r="H143" s="95"/>
    </row>
    <row r="144" spans="1:8">
      <c r="A144" s="2464"/>
      <c r="B144" s="2464"/>
      <c r="C144" s="2464"/>
      <c r="D144" s="2464"/>
      <c r="E144" s="2464"/>
      <c r="F144" s="2464"/>
      <c r="G144" s="2464"/>
      <c r="H144" s="95"/>
    </row>
    <row r="145" spans="1:8">
      <c r="A145" s="2464"/>
      <c r="B145" s="2464"/>
      <c r="C145" s="2464"/>
      <c r="D145" s="2464"/>
      <c r="E145" s="2464"/>
      <c r="F145" s="2464"/>
      <c r="G145" s="2464"/>
      <c r="H145" s="95"/>
    </row>
    <row r="146" spans="1:8">
      <c r="A146" s="2464"/>
      <c r="B146" s="2464"/>
      <c r="C146" s="2464"/>
      <c r="D146" s="2464"/>
      <c r="E146" s="2464"/>
      <c r="F146" s="2464"/>
      <c r="G146" s="2464"/>
      <c r="H146" s="95"/>
    </row>
    <row r="147" spans="1:8">
      <c r="A147" s="2464"/>
      <c r="B147" s="2464"/>
      <c r="C147" s="2464"/>
      <c r="D147" s="2464"/>
      <c r="E147" s="2464"/>
      <c r="F147" s="2464"/>
      <c r="G147" s="2464"/>
      <c r="H147" s="95"/>
    </row>
    <row r="148" spans="1:8">
      <c r="A148" s="2464"/>
      <c r="B148" s="2464"/>
      <c r="C148" s="2464"/>
      <c r="D148" s="2464"/>
      <c r="E148" s="2464"/>
      <c r="F148" s="2464"/>
      <c r="G148" s="2464"/>
      <c r="H148" s="95"/>
    </row>
    <row r="149" spans="1:8">
      <c r="A149" s="2464"/>
      <c r="B149" s="2464"/>
      <c r="C149" s="2464"/>
      <c r="D149" s="2464"/>
      <c r="E149" s="2464"/>
      <c r="F149" s="2464"/>
      <c r="G149" s="2464"/>
      <c r="H149" s="95"/>
    </row>
    <row r="150" spans="1:8">
      <c r="A150" s="2464"/>
      <c r="B150" s="2464"/>
      <c r="C150" s="2464"/>
      <c r="D150" s="2464"/>
      <c r="E150" s="2464"/>
      <c r="F150" s="2464"/>
      <c r="G150" s="2464"/>
      <c r="H150" s="95"/>
    </row>
    <row r="151" spans="1:8">
      <c r="A151" s="2464"/>
      <c r="B151" s="2464"/>
      <c r="C151" s="2464"/>
      <c r="D151" s="2464"/>
      <c r="E151" s="2464"/>
      <c r="F151" s="2464"/>
      <c r="G151" s="2464"/>
      <c r="H151" s="95"/>
    </row>
    <row r="152" spans="1:8">
      <c r="A152" s="2464"/>
      <c r="B152" s="2464"/>
      <c r="C152" s="2464"/>
      <c r="D152" s="2464"/>
      <c r="E152" s="2464"/>
      <c r="F152" s="2464"/>
      <c r="G152" s="2464"/>
      <c r="H152" s="95"/>
    </row>
    <row r="153" spans="1:8">
      <c r="A153" s="2464"/>
      <c r="B153" s="2464"/>
      <c r="C153" s="2464"/>
      <c r="D153" s="2464"/>
      <c r="E153" s="2464"/>
      <c r="F153" s="2464"/>
      <c r="G153" s="2464"/>
      <c r="H153" s="95"/>
    </row>
    <row r="154" spans="1:8">
      <c r="A154" s="2464"/>
      <c r="B154" s="2464"/>
      <c r="C154" s="2464"/>
      <c r="D154" s="2464"/>
      <c r="E154" s="2464"/>
      <c r="F154" s="2464"/>
      <c r="G154" s="2464"/>
    </row>
    <row r="155" spans="1:8">
      <c r="A155" s="2464"/>
      <c r="B155" s="2464"/>
      <c r="C155" s="2464"/>
      <c r="D155" s="2464"/>
      <c r="E155" s="2464"/>
      <c r="F155" s="2464"/>
      <c r="G155" s="2464"/>
    </row>
    <row r="156" spans="1:8">
      <c r="A156" s="2464"/>
      <c r="B156" s="2464"/>
      <c r="C156" s="2464"/>
      <c r="D156" s="2464"/>
      <c r="E156" s="2464"/>
      <c r="F156" s="2464"/>
      <c r="G156" s="2464"/>
    </row>
    <row r="157" spans="1:8">
      <c r="A157" s="2464"/>
      <c r="B157" s="2464"/>
      <c r="C157" s="2464"/>
      <c r="D157" s="2464"/>
      <c r="E157" s="2464"/>
      <c r="F157" s="2464"/>
      <c r="G157" s="2464"/>
    </row>
    <row r="158" spans="1:8">
      <c r="A158" s="2464"/>
      <c r="B158" s="2464"/>
      <c r="C158" s="2464"/>
      <c r="D158" s="2464"/>
      <c r="E158" s="2464"/>
      <c r="F158" s="2464"/>
      <c r="G158" s="2464"/>
    </row>
    <row r="159" spans="1:8">
      <c r="A159" s="2464"/>
      <c r="B159" s="2464"/>
      <c r="C159" s="2464"/>
      <c r="D159" s="2464"/>
      <c r="E159" s="2464"/>
      <c r="F159" s="2464"/>
      <c r="G159" s="2464"/>
    </row>
    <row r="160" spans="1:8">
      <c r="A160" s="2464"/>
      <c r="B160" s="2464"/>
      <c r="C160" s="2464"/>
      <c r="D160" s="2464"/>
      <c r="E160" s="2464"/>
      <c r="F160" s="2464"/>
      <c r="G160" s="2464"/>
    </row>
    <row r="161" spans="1:7">
      <c r="A161" s="2464"/>
      <c r="B161" s="2464"/>
      <c r="C161" s="2464"/>
      <c r="D161" s="2464"/>
      <c r="E161" s="2464"/>
      <c r="F161" s="2464"/>
      <c r="G161" s="2464"/>
    </row>
    <row r="162" spans="1:7">
      <c r="A162" s="2464"/>
      <c r="B162" s="2464"/>
      <c r="C162" s="2464"/>
      <c r="D162" s="2464"/>
      <c r="E162" s="2464"/>
      <c r="F162" s="2464"/>
      <c r="G162" s="2464"/>
    </row>
    <row r="163" spans="1:7">
      <c r="A163" s="2464"/>
      <c r="B163" s="2464"/>
      <c r="C163" s="2464"/>
      <c r="D163" s="2464"/>
      <c r="E163" s="2464"/>
      <c r="F163" s="2464"/>
      <c r="G163" s="2464"/>
    </row>
    <row r="164" spans="1:7">
      <c r="A164" s="2464"/>
      <c r="B164" s="2464"/>
      <c r="C164" s="2464"/>
      <c r="D164" s="2464"/>
      <c r="E164" s="2464"/>
      <c r="F164" s="2464"/>
      <c r="G164" s="2464"/>
    </row>
    <row r="187" ht="24" customHeight="1"/>
    <row r="205" spans="9:26">
      <c r="I205" s="191" t="s">
        <v>25</v>
      </c>
      <c r="J205" s="377" t="s">
        <v>361</v>
      </c>
      <c r="K205" s="192">
        <v>20</v>
      </c>
      <c r="L205" s="192">
        <v>17</v>
      </c>
      <c r="M205" s="192">
        <v>0</v>
      </c>
      <c r="N205" s="376">
        <f>SUM(L205:M205)</f>
        <v>17</v>
      </c>
    </row>
    <row r="206" spans="9:26">
      <c r="I206" s="191" t="s">
        <v>25</v>
      </c>
      <c r="J206" s="377" t="s">
        <v>362</v>
      </c>
      <c r="K206" s="192">
        <v>20</v>
      </c>
      <c r="L206" s="192">
        <v>13</v>
      </c>
      <c r="M206" s="192"/>
      <c r="N206" s="376">
        <f>SUM(L206:M206)</f>
        <v>13</v>
      </c>
    </row>
    <row r="207" spans="9:26" ht="15" customHeight="1">
      <c r="I207" s="41"/>
      <c r="J207" s="41"/>
      <c r="K207" s="41"/>
      <c r="L207" s="41"/>
      <c r="M207" s="41"/>
      <c r="N207" s="217" t="s">
        <v>61</v>
      </c>
      <c r="O207" s="379" t="s">
        <v>534</v>
      </c>
      <c r="P207" s="380" t="s">
        <v>266</v>
      </c>
      <c r="Q207" s="380" t="s">
        <v>266</v>
      </c>
      <c r="R207" s="376" t="s">
        <v>266</v>
      </c>
      <c r="S207" s="376">
        <f>SUM(Q207:R207)</f>
        <v>0</v>
      </c>
      <c r="U207" s="191" t="s">
        <v>25</v>
      </c>
      <c r="V207" s="377" t="s">
        <v>363</v>
      </c>
      <c r="W207" s="192">
        <v>30</v>
      </c>
      <c r="X207" s="192">
        <v>2</v>
      </c>
      <c r="Y207" s="192">
        <v>3</v>
      </c>
      <c r="Z207" s="376">
        <f t="shared" ref="Z207:Z212" si="16">SUM(X207:Y207)</f>
        <v>5</v>
      </c>
    </row>
    <row r="208" spans="9:26">
      <c r="I208" s="41"/>
      <c r="J208" s="41"/>
      <c r="K208" s="41"/>
      <c r="L208" s="41"/>
      <c r="M208" s="41"/>
      <c r="N208" s="217" t="s">
        <v>61</v>
      </c>
      <c r="O208" s="379" t="s">
        <v>535</v>
      </c>
      <c r="P208" s="380" t="s">
        <v>266</v>
      </c>
      <c r="Q208" s="380" t="s">
        <v>266</v>
      </c>
      <c r="R208" s="376" t="s">
        <v>266</v>
      </c>
      <c r="S208" s="376">
        <f>SUM(Q208:R208)</f>
        <v>0</v>
      </c>
      <c r="U208" s="191" t="s">
        <v>25</v>
      </c>
      <c r="V208" s="377" t="s">
        <v>364</v>
      </c>
      <c r="W208" s="192">
        <v>20</v>
      </c>
      <c r="X208" s="192">
        <v>1</v>
      </c>
      <c r="Y208" s="192">
        <v>0</v>
      </c>
      <c r="Z208" s="376">
        <f t="shared" si="16"/>
        <v>1</v>
      </c>
    </row>
    <row r="209" spans="9:26">
      <c r="I209" s="41"/>
      <c r="J209" s="41"/>
      <c r="K209" s="41"/>
      <c r="L209" s="41"/>
      <c r="M209" s="41"/>
      <c r="N209" s="145"/>
      <c r="O209" s="381" t="s">
        <v>536</v>
      </c>
      <c r="P209" s="382" t="e">
        <f>SUM(#REF!)</f>
        <v>#REF!</v>
      </c>
      <c r="Q209" s="382" t="e">
        <f>SUM(#REF!)</f>
        <v>#REF!</v>
      </c>
      <c r="R209" s="383" t="e">
        <f>SUM(#REF!)</f>
        <v>#REF!</v>
      </c>
      <c r="S209" s="383" t="e">
        <f>SUM(#REF!)</f>
        <v>#REF!</v>
      </c>
      <c r="U209" s="191" t="s">
        <v>25</v>
      </c>
      <c r="V209" s="377" t="s">
        <v>365</v>
      </c>
      <c r="W209" s="192">
        <v>20</v>
      </c>
      <c r="X209" s="192">
        <v>1</v>
      </c>
      <c r="Y209" s="192">
        <v>0</v>
      </c>
      <c r="Z209" s="376">
        <f t="shared" si="16"/>
        <v>1</v>
      </c>
    </row>
    <row r="210" spans="9:26" ht="18">
      <c r="I210" s="41"/>
      <c r="J210" s="41"/>
      <c r="K210" s="41"/>
      <c r="L210" s="41"/>
      <c r="M210" s="41"/>
      <c r="N210" s="145"/>
      <c r="O210" s="145"/>
      <c r="P210" s="145"/>
      <c r="Q210" s="145"/>
      <c r="R210" s="233"/>
      <c r="S210" s="233"/>
      <c r="U210" s="191" t="s">
        <v>25</v>
      </c>
      <c r="V210" s="377" t="s">
        <v>366</v>
      </c>
      <c r="W210" s="192">
        <v>42</v>
      </c>
      <c r="X210" s="192">
        <v>1</v>
      </c>
      <c r="Y210" s="192">
        <v>0</v>
      </c>
      <c r="Z210" s="376">
        <f t="shared" si="16"/>
        <v>1</v>
      </c>
    </row>
    <row r="211" spans="9:26">
      <c r="I211" s="41"/>
      <c r="J211" s="41"/>
      <c r="K211" s="41"/>
      <c r="L211" s="41"/>
      <c r="M211" s="41"/>
      <c r="N211" s="41"/>
      <c r="O211" s="41"/>
      <c r="P211" s="41"/>
      <c r="Q211" s="6048" t="s">
        <v>519</v>
      </c>
      <c r="R211" s="6049"/>
      <c r="S211" s="6050"/>
      <c r="U211" s="191" t="s">
        <v>25</v>
      </c>
      <c r="V211" s="377" t="s">
        <v>367</v>
      </c>
      <c r="W211" s="191">
        <v>20</v>
      </c>
      <c r="X211" s="192">
        <v>1</v>
      </c>
      <c r="Y211" s="192">
        <v>7</v>
      </c>
      <c r="Z211" s="376">
        <f t="shared" si="16"/>
        <v>8</v>
      </c>
    </row>
    <row r="212" spans="9:26" ht="25.5" customHeight="1">
      <c r="I212" s="41"/>
      <c r="J212" s="41"/>
      <c r="K212" s="41"/>
      <c r="L212" s="41"/>
      <c r="M212" s="41"/>
      <c r="N212" s="384" t="s">
        <v>520</v>
      </c>
      <c r="O212" s="384" t="s">
        <v>161</v>
      </c>
      <c r="P212" s="384" t="s">
        <v>162</v>
      </c>
      <c r="Q212" s="384" t="s">
        <v>217</v>
      </c>
      <c r="R212" s="375" t="s">
        <v>218</v>
      </c>
      <c r="S212" s="375" t="s">
        <v>71</v>
      </c>
      <c r="U212" s="191" t="s">
        <v>25</v>
      </c>
      <c r="V212" s="377" t="s">
        <v>368</v>
      </c>
      <c r="W212" s="192">
        <v>10</v>
      </c>
      <c r="X212" s="192">
        <v>1</v>
      </c>
      <c r="Y212" s="192">
        <v>7</v>
      </c>
      <c r="Z212" s="376">
        <f t="shared" si="16"/>
        <v>8</v>
      </c>
    </row>
    <row r="213" spans="9:26" ht="24">
      <c r="I213" s="41"/>
      <c r="J213" s="41"/>
      <c r="K213" s="41"/>
      <c r="L213" s="41"/>
      <c r="M213" s="41"/>
      <c r="N213" s="378" t="s">
        <v>538</v>
      </c>
      <c r="O213" s="385" t="s">
        <v>539</v>
      </c>
      <c r="P213" s="386">
        <v>20</v>
      </c>
      <c r="Q213" s="386">
        <v>10</v>
      </c>
      <c r="R213" s="387">
        <v>0</v>
      </c>
      <c r="S213" s="388">
        <v>10</v>
      </c>
      <c r="U213" t="s">
        <v>369</v>
      </c>
      <c r="W213" s="389" t="e">
        <f>SUM(#REF!)</f>
        <v>#REF!</v>
      </c>
      <c r="X213" s="389" t="e">
        <f>SUM(#REF!)</f>
        <v>#REF!</v>
      </c>
      <c r="Y213" s="389" t="e">
        <f>SUM(#REF!)</f>
        <v>#REF!</v>
      </c>
      <c r="Z213" s="389" t="e">
        <f>SUM(#REF!)</f>
        <v>#REF!</v>
      </c>
    </row>
    <row r="214" spans="9:26">
      <c r="I214" s="41"/>
      <c r="J214" s="41"/>
      <c r="K214" s="41"/>
      <c r="L214" s="41"/>
      <c r="M214" s="41"/>
      <c r="N214" s="378" t="s">
        <v>538</v>
      </c>
      <c r="O214" s="385" t="s">
        <v>540</v>
      </c>
      <c r="P214" s="386">
        <v>20</v>
      </c>
      <c r="Q214" s="386">
        <v>8</v>
      </c>
      <c r="R214" s="387">
        <v>0</v>
      </c>
      <c r="S214" s="388">
        <v>8</v>
      </c>
      <c r="U214" s="19"/>
      <c r="V214" s="20"/>
    </row>
    <row r="215" spans="9:26" ht="36">
      <c r="I215" s="41"/>
      <c r="J215" s="41"/>
      <c r="K215" s="41"/>
      <c r="L215" s="41"/>
      <c r="M215" s="41"/>
      <c r="N215" s="378" t="s">
        <v>538</v>
      </c>
      <c r="O215" s="385" t="s">
        <v>541</v>
      </c>
      <c r="P215" s="386">
        <v>20</v>
      </c>
      <c r="Q215" s="386">
        <v>13</v>
      </c>
      <c r="R215" s="387">
        <v>0</v>
      </c>
      <c r="S215" s="388">
        <v>13</v>
      </c>
      <c r="U215" s="5"/>
      <c r="V215" s="18"/>
      <c r="W215" s="18"/>
      <c r="X215" s="18"/>
      <c r="Y215" s="18"/>
      <c r="Z215" s="18"/>
    </row>
    <row r="216" spans="9:26" ht="52.8">
      <c r="I216" s="41"/>
      <c r="J216" s="41"/>
      <c r="K216" s="41"/>
      <c r="L216" s="41"/>
      <c r="M216" s="41"/>
      <c r="N216" s="378" t="s">
        <v>538</v>
      </c>
      <c r="O216" s="385" t="s">
        <v>542</v>
      </c>
      <c r="P216" s="386">
        <v>20</v>
      </c>
      <c r="Q216" s="386">
        <v>8</v>
      </c>
      <c r="R216" s="387">
        <v>0</v>
      </c>
      <c r="S216" s="388">
        <v>8</v>
      </c>
      <c r="U216" s="390" t="s">
        <v>0</v>
      </c>
      <c r="V216" s="390" t="s">
        <v>161</v>
      </c>
      <c r="W216" s="390" t="s">
        <v>162</v>
      </c>
      <c r="X216" s="390" t="s">
        <v>349</v>
      </c>
      <c r="Y216" s="390" t="s">
        <v>350</v>
      </c>
      <c r="Z216" s="390" t="s">
        <v>163</v>
      </c>
    </row>
    <row r="217" spans="9:26" ht="48">
      <c r="I217" s="41"/>
      <c r="J217" s="41"/>
      <c r="K217" s="41"/>
      <c r="L217" s="41"/>
      <c r="M217" s="41"/>
      <c r="N217" s="378" t="s">
        <v>538</v>
      </c>
      <c r="O217" s="385" t="s">
        <v>543</v>
      </c>
      <c r="P217" s="386">
        <v>20</v>
      </c>
      <c r="Q217" s="386">
        <v>14</v>
      </c>
      <c r="R217" s="387">
        <v>0</v>
      </c>
      <c r="S217" s="388">
        <v>14</v>
      </c>
      <c r="U217" s="391" t="s">
        <v>48</v>
      </c>
      <c r="V217" s="373" t="s">
        <v>351</v>
      </c>
      <c r="W217" s="193">
        <v>20</v>
      </c>
      <c r="X217" s="193">
        <v>9</v>
      </c>
      <c r="Y217" s="193">
        <v>0</v>
      </c>
      <c r="Z217" s="193">
        <v>9</v>
      </c>
    </row>
    <row r="218" spans="9:26">
      <c r="I218" s="391" t="s">
        <v>48</v>
      </c>
      <c r="J218" s="373" t="s">
        <v>352</v>
      </c>
      <c r="K218" s="193">
        <v>20</v>
      </c>
      <c r="L218" s="193">
        <v>30</v>
      </c>
      <c r="M218" s="193">
        <v>0</v>
      </c>
      <c r="N218" s="193">
        <v>30</v>
      </c>
    </row>
    <row r="219" spans="9:26">
      <c r="I219" s="391" t="s">
        <v>48</v>
      </c>
      <c r="J219" s="373" t="s">
        <v>353</v>
      </c>
      <c r="K219" s="193">
        <v>20</v>
      </c>
      <c r="L219" s="193">
        <v>7</v>
      </c>
      <c r="M219" s="193">
        <v>0</v>
      </c>
      <c r="N219" s="193">
        <v>7</v>
      </c>
    </row>
    <row r="220" spans="9:26">
      <c r="I220" s="391" t="s">
        <v>48</v>
      </c>
      <c r="J220" s="373" t="s">
        <v>354</v>
      </c>
      <c r="K220" s="193">
        <v>50</v>
      </c>
      <c r="L220" s="193">
        <v>18</v>
      </c>
      <c r="M220" s="193">
        <v>6</v>
      </c>
      <c r="N220" s="193">
        <v>26</v>
      </c>
    </row>
    <row r="229" ht="24" customHeight="1"/>
    <row r="244" ht="15" customHeight="1"/>
    <row r="270" ht="24.75" customHeight="1"/>
    <row r="281" ht="15" customHeight="1"/>
    <row r="294" ht="15" customHeight="1"/>
    <row r="301" ht="15" customHeight="1"/>
    <row r="316" ht="15" customHeight="1"/>
    <row r="322" ht="15" customHeight="1"/>
  </sheetData>
  <sheetProtection algorithmName="SHA-512" hashValue="0le+QtBUIaREdj9k2N1Zv8eImbxJUsoqXGNRKWoiL2KEE/OjKFXeIp7rXeeJNLnlr6WeX9ajzCQTySx4uLsDAQ==" saltValue="deLTrx7+s0CH5EUpVRlRJA==" spinCount="100000" sheet="1" objects="1" scenarios="1"/>
  <mergeCells count="57">
    <mergeCell ref="G5:G6"/>
    <mergeCell ref="A52:A53"/>
    <mergeCell ref="F29:F30"/>
    <mergeCell ref="C29:E29"/>
    <mergeCell ref="B29:B30"/>
    <mergeCell ref="A29:A30"/>
    <mergeCell ref="A63:A64"/>
    <mergeCell ref="B63:B64"/>
    <mergeCell ref="C63:E63"/>
    <mergeCell ref="F63:F64"/>
    <mergeCell ref="G63:G64"/>
    <mergeCell ref="A75:A76"/>
    <mergeCell ref="B75:B76"/>
    <mergeCell ref="C75:E75"/>
    <mergeCell ref="F75:F76"/>
    <mergeCell ref="G75:G76"/>
    <mergeCell ref="A87:A88"/>
    <mergeCell ref="B87:B88"/>
    <mergeCell ref="C87:E87"/>
    <mergeCell ref="F87:F88"/>
    <mergeCell ref="G87:G88"/>
    <mergeCell ref="A99:A100"/>
    <mergeCell ref="B99:B100"/>
    <mergeCell ref="C99:E99"/>
    <mergeCell ref="F99:F100"/>
    <mergeCell ref="G99:G100"/>
    <mergeCell ref="A111:A112"/>
    <mergeCell ref="B111:B112"/>
    <mergeCell ref="C111:E111"/>
    <mergeCell ref="F111:F112"/>
    <mergeCell ref="G111:G112"/>
    <mergeCell ref="A124:A125"/>
    <mergeCell ref="B124:B125"/>
    <mergeCell ref="C124:E124"/>
    <mergeCell ref="F124:F125"/>
    <mergeCell ref="G124:G125"/>
    <mergeCell ref="Q211:S211"/>
    <mergeCell ref="B52:B53"/>
    <mergeCell ref="C52:E52"/>
    <mergeCell ref="F52:F53"/>
    <mergeCell ref="G52:G53"/>
    <mergeCell ref="C1:D1"/>
    <mergeCell ref="G29:G30"/>
    <mergeCell ref="A41:A42"/>
    <mergeCell ref="B41:B42"/>
    <mergeCell ref="C41:E41"/>
    <mergeCell ref="F41:F42"/>
    <mergeCell ref="G41:G42"/>
    <mergeCell ref="A17:A18"/>
    <mergeCell ref="B17:B18"/>
    <mergeCell ref="C17:E17"/>
    <mergeCell ref="F17:F18"/>
    <mergeCell ref="G17:G18"/>
    <mergeCell ref="A5:A6"/>
    <mergeCell ref="B5:B6"/>
    <mergeCell ref="C5:E5"/>
    <mergeCell ref="F5:F6"/>
  </mergeCells>
  <pageMargins left="0.7" right="0.7" top="0.75" bottom="0.75" header="0.3" footer="0.3"/>
  <pageSetup orientation="portrait" r:id="rId1"/>
  <ignoredErrors>
    <ignoredError sqref="E77:E80 E65:E70 E55:E59 E89:E93 E115:E117 E101:E106 E43:E48 E31:E36 E8:E12 E7" formulaRange="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499984740745262"/>
  </sheetPr>
  <dimension ref="B1:V315"/>
  <sheetViews>
    <sheetView showGridLines="0" zoomScaleNormal="100" workbookViewId="0">
      <selection activeCell="Q16" sqref="Q16"/>
    </sheetView>
  </sheetViews>
  <sheetFormatPr baseColWidth="10" defaultColWidth="11.5546875" defaultRowHeight="14.4"/>
  <cols>
    <col min="1" max="1" width="4.44140625" customWidth="1"/>
    <col min="2" max="2" width="29.77734375" customWidth="1"/>
    <col min="3" max="3" width="1.77734375" customWidth="1"/>
    <col min="4" max="6" width="10.77734375" customWidth="1"/>
    <col min="7" max="7" width="9.77734375" customWidth="1"/>
    <col min="8" max="8" width="1.77734375" customWidth="1"/>
    <col min="9" max="10" width="13.77734375" customWidth="1"/>
    <col min="11" max="11" width="9.77734375" customWidth="1"/>
    <col min="12" max="12" width="1.77734375" customWidth="1"/>
    <col min="13" max="13" width="10.77734375" customWidth="1"/>
    <col min="14" max="14" width="4.44140625" customWidth="1"/>
  </cols>
  <sheetData>
    <row r="1" spans="2:13" ht="19.5" customHeight="1">
      <c r="B1" s="6039" t="s">
        <v>462</v>
      </c>
      <c r="C1" s="6039"/>
      <c r="D1" s="6039"/>
      <c r="E1" s="6039"/>
      <c r="F1" s="6039"/>
      <c r="G1" s="6039"/>
      <c r="H1" s="6039"/>
      <c r="I1" s="6039"/>
      <c r="J1" s="6039"/>
      <c r="K1" s="6039"/>
      <c r="L1" s="6039"/>
      <c r="M1" s="6039"/>
    </row>
    <row r="2" spans="2:13" ht="20.25" customHeight="1">
      <c r="B2" s="6061" t="s">
        <v>439</v>
      </c>
      <c r="C2" s="6061"/>
      <c r="D2" s="6061"/>
      <c r="E2" s="6061"/>
      <c r="F2" s="6061"/>
      <c r="G2" s="6061"/>
      <c r="H2" s="6061"/>
      <c r="I2" s="6061"/>
      <c r="J2" s="6061"/>
      <c r="K2" s="6061"/>
      <c r="L2" s="6061"/>
      <c r="M2" s="6061"/>
    </row>
    <row r="3" spans="2:13" s="4827" customFormat="1" ht="20.25" customHeight="1">
      <c r="B3" s="4831"/>
      <c r="C3" s="4831"/>
      <c r="D3" s="4831"/>
      <c r="E3" s="4831"/>
      <c r="F3" s="4831"/>
      <c r="G3" s="4831"/>
      <c r="H3" s="4831"/>
      <c r="I3" s="4831"/>
      <c r="J3" s="4831"/>
      <c r="K3" s="4831"/>
      <c r="L3" s="4831"/>
      <c r="M3" s="4831"/>
    </row>
    <row r="4" spans="2:13" s="4827" customFormat="1" ht="20.25" customHeight="1">
      <c r="C4" s="4831"/>
      <c r="D4" s="175"/>
      <c r="E4" s="175"/>
      <c r="F4" s="175"/>
      <c r="G4" s="175">
        <v>2020</v>
      </c>
      <c r="H4" s="175"/>
      <c r="I4" s="175"/>
      <c r="J4" s="175"/>
      <c r="K4" s="175"/>
      <c r="L4" s="175"/>
      <c r="M4" s="175"/>
    </row>
    <row r="5" spans="2:13" s="4827" customFormat="1" ht="20.25" customHeight="1">
      <c r="B5" s="2464"/>
      <c r="C5" s="3898"/>
      <c r="D5" s="6051" t="s">
        <v>215</v>
      </c>
      <c r="E5" s="6051"/>
      <c r="F5" s="6051"/>
      <c r="G5" s="6051"/>
      <c r="H5" s="3899"/>
      <c r="I5" s="6051" t="s">
        <v>216</v>
      </c>
      <c r="J5" s="6051"/>
      <c r="K5" s="6051"/>
      <c r="L5" s="3899"/>
      <c r="M5" s="6052" t="s">
        <v>2766</v>
      </c>
    </row>
    <row r="6" spans="2:13" s="4827" customFormat="1" ht="20.25" customHeight="1">
      <c r="B6" s="6055" t="s">
        <v>68</v>
      </c>
      <c r="C6" s="3898"/>
      <c r="D6" s="6057" t="s">
        <v>2721</v>
      </c>
      <c r="E6" s="6057"/>
      <c r="F6" s="6057"/>
      <c r="G6" s="6058" t="s">
        <v>2767</v>
      </c>
      <c r="H6" s="3899"/>
      <c r="I6" s="6060" t="s">
        <v>2722</v>
      </c>
      <c r="J6" s="6060"/>
      <c r="K6" s="6058" t="s">
        <v>2768</v>
      </c>
      <c r="L6" s="3899"/>
      <c r="M6" s="6053"/>
    </row>
    <row r="7" spans="2:13" s="4827" customFormat="1" ht="20.25" customHeight="1" thickBot="1">
      <c r="B7" s="6056"/>
      <c r="C7" s="3898"/>
      <c r="D7" s="4830" t="s">
        <v>219</v>
      </c>
      <c r="E7" s="4830" t="s">
        <v>220</v>
      </c>
      <c r="F7" s="4830" t="s">
        <v>221</v>
      </c>
      <c r="G7" s="6059"/>
      <c r="H7" s="3899"/>
      <c r="I7" s="4830" t="s">
        <v>217</v>
      </c>
      <c r="J7" s="4830" t="s">
        <v>218</v>
      </c>
      <c r="K7" s="6059"/>
      <c r="L7" s="3899"/>
      <c r="M7" s="6054"/>
    </row>
    <row r="8" spans="2:13" s="4827" customFormat="1" ht="20.25" customHeight="1">
      <c r="B8" s="3874"/>
      <c r="C8" s="3898"/>
      <c r="D8" s="3874"/>
      <c r="E8" s="3874"/>
      <c r="F8" s="3874"/>
      <c r="G8" s="3874"/>
      <c r="H8" s="3899"/>
      <c r="I8" s="3874"/>
      <c r="J8" s="3874"/>
      <c r="K8" s="3874"/>
      <c r="L8" s="3899"/>
      <c r="M8" s="3874"/>
    </row>
    <row r="9" spans="2:13" s="4827" customFormat="1" ht="20.25" customHeight="1">
      <c r="B9" s="3900" t="s">
        <v>70</v>
      </c>
      <c r="C9" s="3898"/>
      <c r="D9" s="3901">
        <v>981</v>
      </c>
      <c r="E9" s="3901">
        <v>376</v>
      </c>
      <c r="F9" s="3901">
        <v>49</v>
      </c>
      <c r="G9" s="3902">
        <f>SUM(D9:F9)</f>
        <v>1406</v>
      </c>
      <c r="H9" s="3899"/>
      <c r="I9" s="3901">
        <v>1107</v>
      </c>
      <c r="J9" s="3901">
        <v>184</v>
      </c>
      <c r="K9" s="3902">
        <f>SUM(I9:J9)</f>
        <v>1291</v>
      </c>
      <c r="L9" s="3899"/>
      <c r="M9" s="3911">
        <f>+G9/K9</f>
        <v>1.0890782339271883</v>
      </c>
    </row>
    <row r="10" spans="2:13" s="4827" customFormat="1" ht="20.25" customHeight="1">
      <c r="B10" s="3874"/>
      <c r="C10" s="3898"/>
      <c r="D10" s="3903"/>
      <c r="E10" s="3903"/>
      <c r="F10" s="3903"/>
      <c r="G10" s="3903"/>
      <c r="H10" s="3899"/>
      <c r="I10" s="3903"/>
      <c r="J10" s="3903"/>
      <c r="K10" s="3903"/>
      <c r="L10" s="3899"/>
      <c r="M10" s="3912"/>
    </row>
    <row r="11" spans="2:13" s="4827" customFormat="1" ht="20.25" customHeight="1">
      <c r="B11" s="3900" t="s">
        <v>72</v>
      </c>
      <c r="C11" s="3898"/>
      <c r="D11" s="3901">
        <v>216</v>
      </c>
      <c r="E11" s="3901">
        <v>30</v>
      </c>
      <c r="F11" s="3901">
        <v>16</v>
      </c>
      <c r="G11" s="3902">
        <f>SUM(D11:F11)</f>
        <v>262</v>
      </c>
      <c r="H11" s="3899"/>
      <c r="I11" s="3901">
        <v>231</v>
      </c>
      <c r="J11" s="3901">
        <v>122</v>
      </c>
      <c r="K11" s="3902">
        <f>SUM(I11:J11)</f>
        <v>353</v>
      </c>
      <c r="L11" s="3899"/>
      <c r="M11" s="3911">
        <f>+G11/K11</f>
        <v>0.74220963172804533</v>
      </c>
    </row>
    <row r="12" spans="2:13" s="4827" customFormat="1" ht="20.25" customHeight="1">
      <c r="B12" s="3874"/>
      <c r="C12" s="3898"/>
      <c r="D12" s="3903"/>
      <c r="E12" s="3903"/>
      <c r="F12" s="3903"/>
      <c r="G12" s="3903"/>
      <c r="H12" s="3899"/>
      <c r="I12" s="3903"/>
      <c r="J12" s="3903"/>
      <c r="K12" s="3903"/>
      <c r="L12" s="3899"/>
      <c r="M12" s="3912"/>
    </row>
    <row r="13" spans="2:13" s="4827" customFormat="1" ht="20.25" customHeight="1">
      <c r="B13" s="3900" t="s">
        <v>73</v>
      </c>
      <c r="C13" s="3898"/>
      <c r="D13" s="3901">
        <v>869</v>
      </c>
      <c r="E13" s="3901">
        <v>230</v>
      </c>
      <c r="F13" s="3901">
        <v>106</v>
      </c>
      <c r="G13" s="3902">
        <f>SUM(D13:F13)</f>
        <v>1205</v>
      </c>
      <c r="H13" s="3899"/>
      <c r="I13" s="3901">
        <v>971</v>
      </c>
      <c r="J13" s="3901">
        <v>213</v>
      </c>
      <c r="K13" s="3902">
        <f>SUM(I13:J13)</f>
        <v>1184</v>
      </c>
      <c r="L13" s="3899"/>
      <c r="M13" s="3911">
        <f>+G13/K13</f>
        <v>1.0177364864864864</v>
      </c>
    </row>
    <row r="14" spans="2:13" s="4827" customFormat="1" ht="20.25" customHeight="1">
      <c r="B14" s="3874"/>
      <c r="C14" s="3898"/>
      <c r="D14" s="3903"/>
      <c r="E14" s="3903"/>
      <c r="F14" s="3903"/>
      <c r="G14" s="3903"/>
      <c r="H14" s="3899"/>
      <c r="I14" s="3903"/>
      <c r="J14" s="3903"/>
      <c r="K14" s="3903"/>
      <c r="L14" s="3899"/>
      <c r="M14" s="3912"/>
    </row>
    <row r="15" spans="2:13" s="4827" customFormat="1" ht="20.25" customHeight="1">
      <c r="B15" s="3900" t="s">
        <v>82</v>
      </c>
      <c r="C15" s="3898"/>
      <c r="D15" s="3901">
        <v>100</v>
      </c>
      <c r="E15" s="3901">
        <v>7</v>
      </c>
      <c r="F15" s="3901"/>
      <c r="G15" s="3902">
        <f>SUM(D15:F15)</f>
        <v>107</v>
      </c>
      <c r="H15" s="3899"/>
      <c r="I15" s="3901">
        <v>116</v>
      </c>
      <c r="J15" s="3901">
        <v>56</v>
      </c>
      <c r="K15" s="3902">
        <f>SUM(I15:J15)</f>
        <v>172</v>
      </c>
      <c r="L15" s="3899"/>
      <c r="M15" s="3911">
        <f>+G15/K15</f>
        <v>0.62209302325581395</v>
      </c>
    </row>
    <row r="16" spans="2:13" s="4827" customFormat="1" ht="20.25" customHeight="1">
      <c r="B16" s="3874"/>
      <c r="C16" s="3898"/>
      <c r="D16" s="3903"/>
      <c r="E16" s="3903"/>
      <c r="F16" s="3903"/>
      <c r="G16" s="3903"/>
      <c r="H16" s="3899"/>
      <c r="I16" s="3903"/>
      <c r="J16" s="3903"/>
      <c r="K16" s="3903"/>
      <c r="L16" s="3899"/>
      <c r="M16" s="3912"/>
    </row>
    <row r="17" spans="2:15" s="4827" customFormat="1" ht="20.25" customHeight="1">
      <c r="B17" s="3900" t="s">
        <v>74</v>
      </c>
      <c r="C17" s="3898"/>
      <c r="D17" s="3901">
        <v>918</v>
      </c>
      <c r="E17" s="3901">
        <v>308</v>
      </c>
      <c r="F17" s="3901">
        <v>153</v>
      </c>
      <c r="G17" s="3902">
        <f>SUM(D17:F17)</f>
        <v>1379</v>
      </c>
      <c r="H17" s="3899"/>
      <c r="I17" s="3901">
        <v>1127</v>
      </c>
      <c r="J17" s="3901">
        <v>246</v>
      </c>
      <c r="K17" s="3902">
        <f>SUM(I17:J17)</f>
        <v>1373</v>
      </c>
      <c r="L17" s="3899"/>
      <c r="M17" s="3911">
        <f>+G17/K17</f>
        <v>1.0043699927166787</v>
      </c>
    </row>
    <row r="18" spans="2:15" s="4827" customFormat="1" ht="20.25" customHeight="1">
      <c r="B18" s="3874"/>
      <c r="C18" s="3898"/>
      <c r="D18" s="3903"/>
      <c r="E18" s="3903"/>
      <c r="F18" s="3903"/>
      <c r="G18" s="3903"/>
      <c r="H18" s="3899"/>
      <c r="I18" s="3903"/>
      <c r="J18" s="3903"/>
      <c r="K18" s="3903"/>
      <c r="L18" s="3899"/>
      <c r="M18" s="3912"/>
    </row>
    <row r="19" spans="2:15" s="4827" customFormat="1" ht="20.25" customHeight="1">
      <c r="B19" s="3900" t="s">
        <v>191</v>
      </c>
      <c r="C19" s="3898"/>
      <c r="D19" s="3901">
        <v>6</v>
      </c>
      <c r="E19" s="3901"/>
      <c r="F19" s="3901"/>
      <c r="G19" s="3902">
        <f>SUM(D19:F19)</f>
        <v>6</v>
      </c>
      <c r="H19" s="3899"/>
      <c r="I19" s="3901">
        <v>669</v>
      </c>
      <c r="J19" s="3901">
        <v>563</v>
      </c>
      <c r="K19" s="3902">
        <f>SUM(I19:J19)</f>
        <v>1232</v>
      </c>
      <c r="L19" s="3899"/>
      <c r="M19" s="3911">
        <f>+G19/K19</f>
        <v>4.87012987012987E-3</v>
      </c>
    </row>
    <row r="20" spans="2:15" s="4827" customFormat="1" ht="20.25" customHeight="1">
      <c r="B20" s="3874"/>
      <c r="C20" s="3898"/>
      <c r="D20" s="3903"/>
      <c r="E20" s="3903"/>
      <c r="F20" s="3903"/>
      <c r="G20" s="3903"/>
      <c r="H20" s="3899"/>
      <c r="I20" s="3903"/>
      <c r="J20" s="3903"/>
      <c r="K20" s="3903"/>
      <c r="L20" s="3899"/>
      <c r="M20" s="3912"/>
    </row>
    <row r="21" spans="2:15" s="4827" customFormat="1" ht="20.25" customHeight="1">
      <c r="B21" s="4240" t="s">
        <v>67</v>
      </c>
      <c r="C21" s="3898"/>
      <c r="D21" s="4241">
        <f>SUM(D9,D11,D13,D15,D17,D19)</f>
        <v>3090</v>
      </c>
      <c r="E21" s="4241">
        <f>SUM(E9,E11,E13,E15,E17,E19)</f>
        <v>951</v>
      </c>
      <c r="F21" s="4241">
        <f>SUM(F9,F11,F13,F15,F17,F19)</f>
        <v>324</v>
      </c>
      <c r="G21" s="4241">
        <f>SUM(G9,G11,G13,G15,G17,G19)</f>
        <v>4365</v>
      </c>
      <c r="H21" s="3899"/>
      <c r="I21" s="4241">
        <f>SUM(I9,I11,I13,I15,I17,I19)</f>
        <v>4221</v>
      </c>
      <c r="J21" s="4241">
        <f>SUM(J9,J11,J13,J15,J17,J19)</f>
        <v>1384</v>
      </c>
      <c r="K21" s="4241">
        <f>SUM(I21:J21)</f>
        <v>5605</v>
      </c>
      <c r="L21" s="3899"/>
      <c r="M21" s="4242">
        <f>+G21/K21</f>
        <v>0.77876895628902765</v>
      </c>
    </row>
    <row r="22" spans="2:15" s="4827" customFormat="1" ht="20.25" customHeight="1">
      <c r="B22" s="41" t="s">
        <v>3009</v>
      </c>
      <c r="C22" s="6"/>
      <c r="D22" s="6"/>
      <c r="E22" s="6"/>
      <c r="F22" s="6"/>
      <c r="G22" s="6"/>
      <c r="H22" s="175"/>
      <c r="I22" s="6"/>
      <c r="J22" s="6"/>
      <c r="K22" s="6"/>
      <c r="L22" s="175"/>
      <c r="M22" s="6"/>
    </row>
    <row r="23" spans="2:15" s="4827" customFormat="1" ht="20.25" customHeight="1">
      <c r="B23" s="47" t="s">
        <v>222</v>
      </c>
      <c r="C23" s="43"/>
      <c r="D23" s="43"/>
      <c r="E23" s="43"/>
      <c r="F23" s="43"/>
      <c r="G23" s="43"/>
      <c r="H23" s="43"/>
      <c r="I23" s="43"/>
      <c r="J23" s="43"/>
      <c r="K23" s="43"/>
      <c r="L23" s="43"/>
      <c r="M23" s="43"/>
    </row>
    <row r="24" spans="2:15" s="4827" customFormat="1" ht="20.25" customHeight="1">
      <c r="B24" s="4831"/>
      <c r="C24" s="4831"/>
      <c r="D24" s="4831"/>
      <c r="E24" s="4831"/>
      <c r="F24" s="4831"/>
      <c r="G24" s="4831"/>
      <c r="H24" s="4831"/>
      <c r="I24" s="4831"/>
      <c r="J24" s="4831"/>
      <c r="K24" s="4831"/>
      <c r="L24" s="4831"/>
      <c r="M24" s="4831"/>
    </row>
    <row r="25" spans="2:15" s="2859" customFormat="1" ht="15.75" customHeight="1">
      <c r="C25" s="2860"/>
      <c r="D25" s="175"/>
      <c r="E25" s="175"/>
      <c r="F25" s="175"/>
      <c r="G25" s="175">
        <v>2019</v>
      </c>
      <c r="H25" s="175"/>
      <c r="I25" s="175"/>
      <c r="J25" s="175"/>
      <c r="K25" s="175"/>
      <c r="L25" s="175"/>
      <c r="M25" s="175"/>
    </row>
    <row r="26" spans="2:15" s="2859" customFormat="1" ht="15.75" customHeight="1">
      <c r="B26" s="2464"/>
      <c r="C26" s="3898"/>
      <c r="D26" s="6051" t="s">
        <v>215</v>
      </c>
      <c r="E26" s="6051"/>
      <c r="F26" s="6051"/>
      <c r="G26" s="6051"/>
      <c r="H26" s="3899"/>
      <c r="I26" s="6051" t="s">
        <v>216</v>
      </c>
      <c r="J26" s="6051"/>
      <c r="K26" s="6051"/>
      <c r="L26" s="3899"/>
      <c r="M26" s="6052" t="s">
        <v>2766</v>
      </c>
    </row>
    <row r="27" spans="2:15" s="2859" customFormat="1" ht="15.75" customHeight="1">
      <c r="B27" s="6055" t="s">
        <v>68</v>
      </c>
      <c r="C27" s="3898"/>
      <c r="D27" s="6057" t="s">
        <v>2721</v>
      </c>
      <c r="E27" s="6057"/>
      <c r="F27" s="6057"/>
      <c r="G27" s="6058" t="s">
        <v>2767</v>
      </c>
      <c r="H27" s="3899"/>
      <c r="I27" s="6060" t="s">
        <v>2722</v>
      </c>
      <c r="J27" s="6060"/>
      <c r="K27" s="6058" t="s">
        <v>2768</v>
      </c>
      <c r="L27" s="3899"/>
      <c r="M27" s="6053"/>
    </row>
    <row r="28" spans="2:15" s="2859" customFormat="1" ht="15.75" customHeight="1" thickBot="1">
      <c r="B28" s="6056"/>
      <c r="C28" s="3898"/>
      <c r="D28" s="2583" t="s">
        <v>219</v>
      </c>
      <c r="E28" s="2583" t="s">
        <v>220</v>
      </c>
      <c r="F28" s="2583" t="s">
        <v>221</v>
      </c>
      <c r="G28" s="6059"/>
      <c r="H28" s="3899"/>
      <c r="I28" s="2583" t="s">
        <v>217</v>
      </c>
      <c r="J28" s="2583" t="s">
        <v>218</v>
      </c>
      <c r="K28" s="6059"/>
      <c r="L28" s="3899"/>
      <c r="M28" s="6054"/>
    </row>
    <row r="29" spans="2:15" s="2859" customFormat="1" ht="15.75" customHeight="1">
      <c r="B29" s="3874"/>
      <c r="C29" s="3898"/>
      <c r="D29" s="3874"/>
      <c r="E29" s="3874"/>
      <c r="F29" s="3874"/>
      <c r="G29" s="3874"/>
      <c r="H29" s="3899"/>
      <c r="I29" s="3874"/>
      <c r="J29" s="3874"/>
      <c r="K29" s="3874"/>
      <c r="L29" s="3899"/>
      <c r="M29" s="3874"/>
    </row>
    <row r="30" spans="2:15" s="2859" customFormat="1" ht="15.75" customHeight="1">
      <c r="B30" s="3900" t="s">
        <v>70</v>
      </c>
      <c r="C30" s="3898"/>
      <c r="D30" s="3901">
        <v>947</v>
      </c>
      <c r="E30" s="3901">
        <v>350</v>
      </c>
      <c r="F30" s="3901">
        <v>51</v>
      </c>
      <c r="G30" s="3902">
        <f>SUM(D30:F30)</f>
        <v>1348</v>
      </c>
      <c r="H30" s="3899"/>
      <c r="I30" s="3901">
        <v>1132</v>
      </c>
      <c r="J30" s="3901">
        <v>185</v>
      </c>
      <c r="K30" s="3902">
        <f>SUM(I30:J30)</f>
        <v>1317</v>
      </c>
      <c r="L30" s="3899"/>
      <c r="M30" s="3911">
        <f>+G30/K30</f>
        <v>1.023538344722855</v>
      </c>
      <c r="O30" s="127"/>
    </row>
    <row r="31" spans="2:15" s="2859" customFormat="1" ht="15.75" customHeight="1">
      <c r="B31" s="3874"/>
      <c r="C31" s="3898"/>
      <c r="D31" s="3903"/>
      <c r="E31" s="3903"/>
      <c r="F31" s="3903"/>
      <c r="G31" s="3903"/>
      <c r="H31" s="3899"/>
      <c r="I31" s="3903"/>
      <c r="J31" s="3903"/>
      <c r="K31" s="3903"/>
      <c r="L31" s="3899"/>
      <c r="M31" s="3912"/>
      <c r="O31" s="127"/>
    </row>
    <row r="32" spans="2:15" s="2859" customFormat="1" ht="15.75" customHeight="1">
      <c r="B32" s="3900" t="s">
        <v>72</v>
      </c>
      <c r="C32" s="3898"/>
      <c r="D32" s="3901">
        <v>200</v>
      </c>
      <c r="E32" s="3901">
        <v>23</v>
      </c>
      <c r="F32" s="3901">
        <v>10</v>
      </c>
      <c r="G32" s="3902">
        <f>SUM(D32:F32)</f>
        <v>233</v>
      </c>
      <c r="H32" s="3899"/>
      <c r="I32" s="3901">
        <v>231</v>
      </c>
      <c r="J32" s="3901">
        <v>119</v>
      </c>
      <c r="K32" s="3902">
        <f>SUM(I32:J32)</f>
        <v>350</v>
      </c>
      <c r="L32" s="3899"/>
      <c r="M32" s="3911">
        <f>+G32/K32</f>
        <v>0.6657142857142857</v>
      </c>
      <c r="O32" s="127"/>
    </row>
    <row r="33" spans="2:15" s="2859" customFormat="1" ht="15.75" customHeight="1">
      <c r="B33" s="3874"/>
      <c r="C33" s="3898"/>
      <c r="D33" s="3903"/>
      <c r="E33" s="3903"/>
      <c r="F33" s="3903"/>
      <c r="G33" s="3903"/>
      <c r="H33" s="3899"/>
      <c r="I33" s="3903"/>
      <c r="J33" s="3903"/>
      <c r="K33" s="3903"/>
      <c r="L33" s="3899"/>
      <c r="M33" s="3912"/>
      <c r="O33" s="127"/>
    </row>
    <row r="34" spans="2:15" s="2859" customFormat="1" ht="15.75" customHeight="1">
      <c r="B34" s="3900" t="s">
        <v>73</v>
      </c>
      <c r="C34" s="3898"/>
      <c r="D34" s="3901">
        <v>873</v>
      </c>
      <c r="E34" s="3901">
        <v>186</v>
      </c>
      <c r="F34" s="3901">
        <v>86</v>
      </c>
      <c r="G34" s="3902">
        <f>SUM(D34:F34)</f>
        <v>1145</v>
      </c>
      <c r="H34" s="3899"/>
      <c r="I34" s="3901">
        <v>981</v>
      </c>
      <c r="J34" s="3901">
        <v>213</v>
      </c>
      <c r="K34" s="3902">
        <f>SUM(I34:J34)</f>
        <v>1194</v>
      </c>
      <c r="L34" s="3899"/>
      <c r="M34" s="3911">
        <f>+G34/K34</f>
        <v>0.95896147403685095</v>
      </c>
      <c r="O34" s="127"/>
    </row>
    <row r="35" spans="2:15" s="2859" customFormat="1" ht="15.75" customHeight="1">
      <c r="B35" s="3874"/>
      <c r="C35" s="3898"/>
      <c r="D35" s="3903"/>
      <c r="E35" s="3903"/>
      <c r="F35" s="3903"/>
      <c r="G35" s="3903"/>
      <c r="H35" s="3899"/>
      <c r="I35" s="3903"/>
      <c r="J35" s="3903"/>
      <c r="K35" s="3903"/>
      <c r="L35" s="3899"/>
      <c r="M35" s="3912"/>
      <c r="O35" s="127"/>
    </row>
    <row r="36" spans="2:15" s="2859" customFormat="1" ht="15.75" customHeight="1">
      <c r="B36" s="3900" t="s">
        <v>82</v>
      </c>
      <c r="C36" s="3898"/>
      <c r="D36" s="3901">
        <v>92</v>
      </c>
      <c r="E36" s="3901">
        <v>2</v>
      </c>
      <c r="F36" s="3901"/>
      <c r="G36" s="3902">
        <f>SUM(D36:F36)</f>
        <v>94</v>
      </c>
      <c r="H36" s="3899"/>
      <c r="I36" s="3901">
        <v>109</v>
      </c>
      <c r="J36" s="3901">
        <v>54</v>
      </c>
      <c r="K36" s="3902">
        <f>SUM(I36:J36)</f>
        <v>163</v>
      </c>
      <c r="L36" s="3899"/>
      <c r="M36" s="3911">
        <f>+G36/K36</f>
        <v>0.57668711656441718</v>
      </c>
      <c r="O36" s="127"/>
    </row>
    <row r="37" spans="2:15" s="2859" customFormat="1" ht="15.75" customHeight="1">
      <c r="B37" s="3874"/>
      <c r="C37" s="3898"/>
      <c r="D37" s="3903"/>
      <c r="E37" s="3903"/>
      <c r="F37" s="3903"/>
      <c r="G37" s="3903"/>
      <c r="H37" s="3899"/>
      <c r="I37" s="3903"/>
      <c r="J37" s="3903"/>
      <c r="K37" s="3903"/>
      <c r="L37" s="3899"/>
      <c r="M37" s="3912"/>
      <c r="O37" s="127"/>
    </row>
    <row r="38" spans="2:15" s="2859" customFormat="1" ht="15.75" customHeight="1">
      <c r="B38" s="3900" t="s">
        <v>74</v>
      </c>
      <c r="C38" s="3898"/>
      <c r="D38" s="3901">
        <v>891</v>
      </c>
      <c r="E38" s="3901">
        <v>281</v>
      </c>
      <c r="F38" s="3901">
        <v>148</v>
      </c>
      <c r="G38" s="3902">
        <f>SUM(D38:F38)</f>
        <v>1320</v>
      </c>
      <c r="H38" s="3899"/>
      <c r="I38" s="3901">
        <v>1121</v>
      </c>
      <c r="J38" s="3901">
        <v>240</v>
      </c>
      <c r="K38" s="3902">
        <f>SUM(I38:J38)</f>
        <v>1361</v>
      </c>
      <c r="L38" s="3899"/>
      <c r="M38" s="3911">
        <f>+G38/K38</f>
        <v>0.96987509184423215</v>
      </c>
      <c r="O38" s="127"/>
    </row>
    <row r="39" spans="2:15" s="2859" customFormat="1" ht="15.75" customHeight="1">
      <c r="B39" s="3874"/>
      <c r="C39" s="3898"/>
      <c r="D39" s="3903"/>
      <c r="E39" s="3903"/>
      <c r="F39" s="3903"/>
      <c r="G39" s="3903"/>
      <c r="H39" s="3899"/>
      <c r="I39" s="3903"/>
      <c r="J39" s="3903"/>
      <c r="K39" s="3903"/>
      <c r="L39" s="3899"/>
      <c r="M39" s="3912"/>
      <c r="O39" s="127"/>
    </row>
    <row r="40" spans="2:15" s="2859" customFormat="1" ht="15.75" customHeight="1">
      <c r="B40" s="3900" t="s">
        <v>191</v>
      </c>
      <c r="C40" s="3898"/>
      <c r="D40" s="3901">
        <v>6</v>
      </c>
      <c r="E40" s="3901"/>
      <c r="F40" s="3901"/>
      <c r="G40" s="3902">
        <f>SUM(D40:F40)</f>
        <v>6</v>
      </c>
      <c r="H40" s="3899"/>
      <c r="I40" s="3901">
        <v>684</v>
      </c>
      <c r="J40" s="3901">
        <v>549</v>
      </c>
      <c r="K40" s="3902">
        <f>SUM(I40:J40)</f>
        <v>1233</v>
      </c>
      <c r="L40" s="3899"/>
      <c r="M40" s="3911">
        <f>+G40/K40</f>
        <v>4.8661800486618006E-3</v>
      </c>
      <c r="O40" s="127"/>
    </row>
    <row r="41" spans="2:15" s="2859" customFormat="1" ht="15.75" customHeight="1">
      <c r="B41" s="3874"/>
      <c r="C41" s="3898"/>
      <c r="D41" s="3903"/>
      <c r="E41" s="3903"/>
      <c r="F41" s="3903"/>
      <c r="G41" s="3903"/>
      <c r="H41" s="3899"/>
      <c r="I41" s="3903"/>
      <c r="J41" s="3903"/>
      <c r="K41" s="3903"/>
      <c r="L41" s="3899"/>
      <c r="M41" s="3912"/>
      <c r="O41" s="127"/>
    </row>
    <row r="42" spans="2:15" s="2859" customFormat="1" ht="15.75" customHeight="1">
      <c r="B42" s="4240" t="s">
        <v>67</v>
      </c>
      <c r="C42" s="3898"/>
      <c r="D42" s="4241">
        <f>SUM(D30,D32,D34,D36,D38,D40)</f>
        <v>3009</v>
      </c>
      <c r="E42" s="4241">
        <f>SUM(E30,E32,E34,E36,E38,E40)</f>
        <v>842</v>
      </c>
      <c r="F42" s="4241">
        <f>SUM(F30,F32,F34,F36,F38,F40)</f>
        <v>295</v>
      </c>
      <c r="G42" s="4241">
        <f>SUM(G30,G32,G34,G36,G38,G40)</f>
        <v>4146</v>
      </c>
      <c r="H42" s="3899"/>
      <c r="I42" s="4241">
        <f>SUM(I30,I32,I34,I36,I38,I40)</f>
        <v>4258</v>
      </c>
      <c r="J42" s="4241">
        <f>SUM(J30,J32,J34,J36,J38,J40)</f>
        <v>1360</v>
      </c>
      <c r="K42" s="4241">
        <f>SUM(I42:J42)</f>
        <v>5618</v>
      </c>
      <c r="L42" s="3899"/>
      <c r="M42" s="4242">
        <f>+G42/K42</f>
        <v>0.7379850480598078</v>
      </c>
      <c r="O42" s="127"/>
    </row>
    <row r="43" spans="2:15" s="2859" customFormat="1" ht="15.75" customHeight="1">
      <c r="B43" s="41" t="s">
        <v>2725</v>
      </c>
      <c r="C43" s="6"/>
      <c r="D43" s="6"/>
      <c r="E43" s="6"/>
      <c r="F43" s="6"/>
      <c r="G43" s="6"/>
      <c r="H43" s="175"/>
      <c r="I43" s="6"/>
      <c r="J43" s="6"/>
      <c r="K43" s="6"/>
      <c r="L43" s="175"/>
      <c r="M43" s="6"/>
    </row>
    <row r="44" spans="2:15" s="2859" customFormat="1" ht="15.75" customHeight="1">
      <c r="B44" s="47" t="s">
        <v>222</v>
      </c>
      <c r="C44" s="43"/>
      <c r="D44" s="43"/>
      <c r="E44" s="43"/>
      <c r="F44" s="43"/>
      <c r="G44" s="43"/>
      <c r="H44" s="43"/>
      <c r="I44" s="43"/>
      <c r="J44" s="43"/>
      <c r="K44" s="43"/>
      <c r="L44" s="43"/>
      <c r="M44" s="43"/>
    </row>
    <row r="45" spans="2:15" ht="15.75" customHeight="1">
      <c r="B45" s="1276"/>
      <c r="C45" s="1276"/>
      <c r="D45" s="1276"/>
      <c r="E45" s="1276"/>
      <c r="F45" s="1276"/>
      <c r="G45" s="1276"/>
      <c r="H45" s="1276"/>
      <c r="I45" s="1276"/>
      <c r="J45" s="1276"/>
      <c r="K45" s="1276"/>
      <c r="L45" s="1276"/>
      <c r="M45" s="1276"/>
    </row>
    <row r="46" spans="2:15" ht="15.75" customHeight="1">
      <c r="C46" s="2512"/>
      <c r="D46" s="175"/>
      <c r="E46" s="175"/>
      <c r="F46" s="175"/>
      <c r="G46" s="175">
        <v>2018</v>
      </c>
      <c r="H46" s="175"/>
      <c r="I46" s="175"/>
      <c r="J46" s="175"/>
      <c r="K46" s="175"/>
      <c r="L46" s="175"/>
      <c r="M46" s="175"/>
    </row>
    <row r="47" spans="2:15" ht="15.75" customHeight="1">
      <c r="B47" s="2464"/>
      <c r="C47" s="3898"/>
      <c r="D47" s="6051" t="s">
        <v>215</v>
      </c>
      <c r="E47" s="6051"/>
      <c r="F47" s="6051"/>
      <c r="G47" s="6051"/>
      <c r="H47" s="3899"/>
      <c r="I47" s="6051" t="s">
        <v>216</v>
      </c>
      <c r="J47" s="6051"/>
      <c r="K47" s="6051"/>
      <c r="L47" s="3899"/>
      <c r="M47" s="6052" t="s">
        <v>613</v>
      </c>
    </row>
    <row r="48" spans="2:15" ht="15.75" customHeight="1">
      <c r="B48" s="6055" t="s">
        <v>68</v>
      </c>
      <c r="C48" s="3898"/>
      <c r="D48" s="6057" t="s">
        <v>2721</v>
      </c>
      <c r="E48" s="6057"/>
      <c r="F48" s="6057"/>
      <c r="G48" s="6058" t="s">
        <v>2723</v>
      </c>
      <c r="H48" s="3899"/>
      <c r="I48" s="6060" t="s">
        <v>2722</v>
      </c>
      <c r="J48" s="6060"/>
      <c r="K48" s="6058" t="s">
        <v>2724</v>
      </c>
      <c r="L48" s="3899"/>
      <c r="M48" s="6053"/>
    </row>
    <row r="49" spans="2:22" ht="15.75" customHeight="1" thickBot="1">
      <c r="B49" s="6056"/>
      <c r="C49" s="3898"/>
      <c r="D49" s="2583" t="s">
        <v>219</v>
      </c>
      <c r="E49" s="2583" t="s">
        <v>220</v>
      </c>
      <c r="F49" s="2583" t="s">
        <v>221</v>
      </c>
      <c r="G49" s="6059"/>
      <c r="H49" s="3899"/>
      <c r="I49" s="2583" t="s">
        <v>217</v>
      </c>
      <c r="J49" s="2583" t="s">
        <v>218</v>
      </c>
      <c r="K49" s="6059"/>
      <c r="L49" s="3899"/>
      <c r="M49" s="6054"/>
    </row>
    <row r="50" spans="2:22" ht="15.75" customHeight="1">
      <c r="B50" s="3874"/>
      <c r="C50" s="3898"/>
      <c r="D50" s="3874"/>
      <c r="E50" s="3874"/>
      <c r="F50" s="3874"/>
      <c r="G50" s="3874"/>
      <c r="H50" s="3899"/>
      <c r="I50" s="3874"/>
      <c r="J50" s="3874"/>
      <c r="K50" s="3874"/>
      <c r="L50" s="3899"/>
      <c r="M50" s="3874"/>
    </row>
    <row r="51" spans="2:22" ht="15.75" customHeight="1">
      <c r="B51" s="3900" t="s">
        <v>70</v>
      </c>
      <c r="C51" s="3898"/>
      <c r="D51" s="3901">
        <v>1021</v>
      </c>
      <c r="E51" s="3901">
        <v>356</v>
      </c>
      <c r="F51" s="3901">
        <v>58</v>
      </c>
      <c r="G51" s="3902">
        <f>SUM(D51:F51)</f>
        <v>1435</v>
      </c>
      <c r="H51" s="3899"/>
      <c r="I51" s="3901">
        <v>1108</v>
      </c>
      <c r="J51" s="3901">
        <v>184</v>
      </c>
      <c r="K51" s="3902">
        <f>SUM(I51:J51)</f>
        <v>1292</v>
      </c>
      <c r="L51" s="3899"/>
      <c r="M51" s="3911">
        <f>+G51/K51</f>
        <v>1.1106811145510835</v>
      </c>
      <c r="P51" s="2859"/>
      <c r="Q51" s="2859"/>
      <c r="R51" s="2859"/>
      <c r="S51" s="2859"/>
      <c r="T51" s="2859"/>
      <c r="U51" s="2859"/>
      <c r="V51" s="2859"/>
    </row>
    <row r="52" spans="2:22" ht="15.75" customHeight="1">
      <c r="B52" s="3874"/>
      <c r="C52" s="3898"/>
      <c r="D52" s="3903"/>
      <c r="E52" s="3903"/>
      <c r="F52" s="3903"/>
      <c r="G52" s="3903"/>
      <c r="H52" s="3899"/>
      <c r="I52" s="3903"/>
      <c r="J52" s="3903"/>
      <c r="K52" s="3903"/>
      <c r="L52" s="3899"/>
      <c r="M52" s="3912"/>
    </row>
    <row r="53" spans="2:22" ht="15.75" customHeight="1">
      <c r="B53" s="3900" t="s">
        <v>72</v>
      </c>
      <c r="C53" s="3898"/>
      <c r="D53" s="3901">
        <v>213</v>
      </c>
      <c r="E53" s="3901">
        <v>21</v>
      </c>
      <c r="F53" s="3901">
        <v>13</v>
      </c>
      <c r="G53" s="3902">
        <f>SUM(D53:F53)</f>
        <v>247</v>
      </c>
      <c r="H53" s="3899"/>
      <c r="I53" s="3901">
        <v>216</v>
      </c>
      <c r="J53" s="3901">
        <v>118</v>
      </c>
      <c r="K53" s="3902">
        <f>SUM(I53:J53)</f>
        <v>334</v>
      </c>
      <c r="L53" s="3899"/>
      <c r="M53" s="3911">
        <f>+G53/K53</f>
        <v>0.73952095808383234</v>
      </c>
    </row>
    <row r="54" spans="2:22" ht="15.75" customHeight="1">
      <c r="B54" s="3874"/>
      <c r="C54" s="3898"/>
      <c r="D54" s="3903"/>
      <c r="E54" s="3903"/>
      <c r="F54" s="3903"/>
      <c r="G54" s="3903"/>
      <c r="H54" s="3899"/>
      <c r="I54" s="3903"/>
      <c r="J54" s="3903"/>
      <c r="K54" s="3903"/>
      <c r="L54" s="3899"/>
      <c r="M54" s="3912"/>
    </row>
    <row r="55" spans="2:22" ht="15.75" customHeight="1">
      <c r="B55" s="3900" t="s">
        <v>73</v>
      </c>
      <c r="C55" s="3898"/>
      <c r="D55" s="3901">
        <v>896</v>
      </c>
      <c r="E55" s="3901">
        <v>241</v>
      </c>
      <c r="F55" s="3901">
        <v>107</v>
      </c>
      <c r="G55" s="3902">
        <f>SUM(D55:F55)</f>
        <v>1244</v>
      </c>
      <c r="H55" s="3899"/>
      <c r="I55" s="3901">
        <v>971</v>
      </c>
      <c r="J55" s="3901">
        <v>208</v>
      </c>
      <c r="K55" s="3902">
        <f>SUM(I55:J55)</f>
        <v>1179</v>
      </c>
      <c r="L55" s="3899"/>
      <c r="M55" s="3911">
        <f>+G55/K55</f>
        <v>1.0551314673452079</v>
      </c>
    </row>
    <row r="56" spans="2:22" ht="15.75" customHeight="1">
      <c r="B56" s="3874"/>
      <c r="C56" s="3898"/>
      <c r="D56" s="3903"/>
      <c r="E56" s="3903"/>
      <c r="F56" s="3903"/>
      <c r="G56" s="3903"/>
      <c r="H56" s="3899"/>
      <c r="I56" s="3903"/>
      <c r="J56" s="3903"/>
      <c r="K56" s="3903"/>
      <c r="L56" s="3899"/>
      <c r="M56" s="3912"/>
    </row>
    <row r="57" spans="2:22" ht="15.75" customHeight="1">
      <c r="B57" s="3900" t="s">
        <v>82</v>
      </c>
      <c r="C57" s="3898"/>
      <c r="D57" s="3901">
        <v>82</v>
      </c>
      <c r="E57" s="3901">
        <v>3</v>
      </c>
      <c r="F57" s="3901"/>
      <c r="G57" s="3902">
        <f>SUM(D57:F57)</f>
        <v>85</v>
      </c>
      <c r="H57" s="3899"/>
      <c r="I57" s="3901">
        <v>84</v>
      </c>
      <c r="J57" s="3901">
        <v>54</v>
      </c>
      <c r="K57" s="3902">
        <f>SUM(I57:J57)</f>
        <v>138</v>
      </c>
      <c r="L57" s="3899"/>
      <c r="M57" s="3911">
        <f>+G57/K57</f>
        <v>0.61594202898550721</v>
      </c>
    </row>
    <row r="58" spans="2:22" ht="15.75" customHeight="1">
      <c r="B58" s="3874"/>
      <c r="C58" s="3898"/>
      <c r="D58" s="3903"/>
      <c r="E58" s="3903"/>
      <c r="F58" s="3903"/>
      <c r="G58" s="3903"/>
      <c r="H58" s="3899"/>
      <c r="I58" s="3903"/>
      <c r="J58" s="3903"/>
      <c r="K58" s="3903"/>
      <c r="L58" s="3899"/>
      <c r="M58" s="3912"/>
    </row>
    <row r="59" spans="2:22" ht="15.75" customHeight="1">
      <c r="B59" s="3900" t="s">
        <v>74</v>
      </c>
      <c r="C59" s="3898"/>
      <c r="D59" s="3901">
        <v>958</v>
      </c>
      <c r="E59" s="3901">
        <v>281</v>
      </c>
      <c r="F59" s="3901">
        <v>169</v>
      </c>
      <c r="G59" s="3902">
        <f>SUM(D59:F59)</f>
        <v>1408</v>
      </c>
      <c r="H59" s="3899"/>
      <c r="I59" s="3901">
        <v>1120</v>
      </c>
      <c r="J59" s="3901">
        <v>236</v>
      </c>
      <c r="K59" s="3902">
        <f>SUM(I59:J59)</f>
        <v>1356</v>
      </c>
      <c r="L59" s="3899"/>
      <c r="M59" s="3911">
        <f>+G59/K59</f>
        <v>1.0383480825958702</v>
      </c>
    </row>
    <row r="60" spans="2:22" ht="15.75" customHeight="1">
      <c r="B60" s="3874"/>
      <c r="C60" s="3898"/>
      <c r="D60" s="3903"/>
      <c r="E60" s="3903"/>
      <c r="F60" s="3903"/>
      <c r="G60" s="3903"/>
      <c r="H60" s="3899"/>
      <c r="I60" s="3903"/>
      <c r="J60" s="3903"/>
      <c r="K60" s="3903"/>
      <c r="L60" s="3899"/>
      <c r="M60" s="3912"/>
    </row>
    <row r="61" spans="2:22" ht="15.75" customHeight="1">
      <c r="B61" s="3900" t="s">
        <v>191</v>
      </c>
      <c r="C61" s="3898"/>
      <c r="D61" s="3901">
        <v>7</v>
      </c>
      <c r="E61" s="3901"/>
      <c r="F61" s="3901"/>
      <c r="G61" s="3902">
        <f>SUM(D61:F61)</f>
        <v>7</v>
      </c>
      <c r="H61" s="3899"/>
      <c r="I61" s="3901">
        <v>679</v>
      </c>
      <c r="J61" s="3901">
        <v>546</v>
      </c>
      <c r="K61" s="3902">
        <f>SUM(I61:J61)</f>
        <v>1225</v>
      </c>
      <c r="L61" s="3899"/>
      <c r="M61" s="3911">
        <f>+G61/K61</f>
        <v>5.7142857142857143E-3</v>
      </c>
    </row>
    <row r="62" spans="2:22" ht="15.75" customHeight="1">
      <c r="B62" s="3874"/>
      <c r="C62" s="3898"/>
      <c r="D62" s="3903"/>
      <c r="E62" s="3903"/>
      <c r="F62" s="3903"/>
      <c r="G62" s="3903"/>
      <c r="H62" s="3899"/>
      <c r="I62" s="3903"/>
      <c r="J62" s="3903"/>
      <c r="K62" s="3903"/>
      <c r="L62" s="3899"/>
      <c r="M62" s="3912"/>
    </row>
    <row r="63" spans="2:22" ht="15.75" customHeight="1" thickBot="1">
      <c r="B63" s="3904" t="s">
        <v>67</v>
      </c>
      <c r="C63" s="3898"/>
      <c r="D63" s="3905">
        <f>SUM(D51,D53,D55,D57,D59,D61)</f>
        <v>3177</v>
      </c>
      <c r="E63" s="3905">
        <f>SUM(E51,E53,E55,E57,E59,E61)</f>
        <v>902</v>
      </c>
      <c r="F63" s="3905">
        <f>SUM(F51,F53,F55,F57,F59,F61)</f>
        <v>347</v>
      </c>
      <c r="G63" s="3905">
        <f>SUM(G51,G53,G55,G57,G59,G61)</f>
        <v>4426</v>
      </c>
      <c r="H63" s="3899"/>
      <c r="I63" s="3905">
        <f>SUM(I51,I53,I55,I57,I59,I61)</f>
        <v>4178</v>
      </c>
      <c r="J63" s="3905">
        <f>SUM(J51,J53,J55,J57,J59,J61)</f>
        <v>1346</v>
      </c>
      <c r="K63" s="3905">
        <f>SUM(I63:J63)</f>
        <v>5524</v>
      </c>
      <c r="L63" s="3899"/>
      <c r="M63" s="3913">
        <f>+G63/K63</f>
        <v>0.80123099203475745</v>
      </c>
    </row>
    <row r="64" spans="2:22" ht="15.75" customHeight="1">
      <c r="B64" s="41" t="s">
        <v>2588</v>
      </c>
      <c r="C64" s="6"/>
      <c r="D64" s="6"/>
      <c r="E64" s="6"/>
      <c r="F64" s="6"/>
      <c r="G64" s="6"/>
      <c r="H64" s="175"/>
      <c r="I64" s="6"/>
      <c r="J64" s="6"/>
      <c r="K64" s="6"/>
      <c r="L64" s="175"/>
      <c r="M64" s="6"/>
    </row>
    <row r="65" spans="2:21" ht="15.75" customHeight="1">
      <c r="B65" s="47" t="s">
        <v>222</v>
      </c>
      <c r="C65" s="43"/>
      <c r="D65" s="43"/>
      <c r="E65" s="43"/>
      <c r="F65" s="43"/>
      <c r="G65" s="43"/>
      <c r="H65" s="43"/>
      <c r="I65" s="43"/>
      <c r="J65" s="43"/>
      <c r="K65" s="43"/>
      <c r="L65" s="43"/>
      <c r="M65" s="43"/>
    </row>
    <row r="66" spans="2:21" ht="15.75" customHeight="1">
      <c r="B66" s="1276"/>
      <c r="C66" s="1276"/>
      <c r="D66" s="1276"/>
      <c r="E66" s="1276"/>
      <c r="F66" s="1276"/>
      <c r="G66" s="1276"/>
      <c r="H66" s="1276"/>
      <c r="I66" s="1276"/>
      <c r="J66" s="1276"/>
      <c r="K66" s="1276"/>
      <c r="L66" s="1276"/>
      <c r="M66" s="1276"/>
    </row>
    <row r="67" spans="2:21" ht="15.75" customHeight="1">
      <c r="C67" s="175"/>
      <c r="D67" s="175"/>
      <c r="E67" s="175"/>
      <c r="F67" s="175"/>
      <c r="G67" s="175">
        <v>2017</v>
      </c>
      <c r="H67" s="175"/>
      <c r="I67" s="175"/>
      <c r="J67" s="175"/>
      <c r="K67" s="175"/>
      <c r="L67" s="175"/>
      <c r="M67" s="175"/>
    </row>
    <row r="68" spans="2:21" ht="15.75" customHeight="1">
      <c r="B68" s="2464"/>
      <c r="C68" s="3898"/>
      <c r="D68" s="6051" t="s">
        <v>215</v>
      </c>
      <c r="E68" s="6051"/>
      <c r="F68" s="6051"/>
      <c r="G68" s="6051"/>
      <c r="H68" s="3899"/>
      <c r="I68" s="6051" t="s">
        <v>216</v>
      </c>
      <c r="J68" s="6051"/>
      <c r="K68" s="6051"/>
      <c r="L68" s="3899"/>
      <c r="M68" s="6052" t="s">
        <v>613</v>
      </c>
    </row>
    <row r="69" spans="2:21" ht="15.75" customHeight="1">
      <c r="B69" s="6055" t="s">
        <v>68</v>
      </c>
      <c r="C69" s="3898"/>
      <c r="D69" s="6057" t="s">
        <v>2721</v>
      </c>
      <c r="E69" s="6057"/>
      <c r="F69" s="6057"/>
      <c r="G69" s="6058" t="s">
        <v>2723</v>
      </c>
      <c r="H69" s="3899"/>
      <c r="I69" s="6060" t="s">
        <v>2722</v>
      </c>
      <c r="J69" s="6060"/>
      <c r="K69" s="6058" t="s">
        <v>2724</v>
      </c>
      <c r="L69" s="3899"/>
      <c r="M69" s="6053"/>
    </row>
    <row r="70" spans="2:21" ht="15.75" customHeight="1" thickBot="1">
      <c r="B70" s="6056"/>
      <c r="C70" s="3898"/>
      <c r="D70" s="2583" t="s">
        <v>219</v>
      </c>
      <c r="E70" s="2583" t="s">
        <v>220</v>
      </c>
      <c r="F70" s="2583" t="s">
        <v>221</v>
      </c>
      <c r="G70" s="6059"/>
      <c r="H70" s="3899"/>
      <c r="I70" s="2583" t="s">
        <v>217</v>
      </c>
      <c r="J70" s="2583" t="s">
        <v>218</v>
      </c>
      <c r="K70" s="6059"/>
      <c r="L70" s="3899"/>
      <c r="M70" s="6054"/>
    </row>
    <row r="71" spans="2:21" ht="15.75" customHeight="1">
      <c r="B71" s="3874"/>
      <c r="C71" s="3898"/>
      <c r="D71" s="3874"/>
      <c r="E71" s="3874"/>
      <c r="F71" s="3874"/>
      <c r="G71" s="3874"/>
      <c r="H71" s="3899"/>
      <c r="I71" s="3874"/>
      <c r="J71" s="3874"/>
      <c r="K71" s="3874"/>
      <c r="L71" s="3899"/>
      <c r="M71" s="3874"/>
      <c r="P71" s="2859"/>
      <c r="Q71" s="2859"/>
      <c r="R71" s="2859"/>
      <c r="S71" s="2859"/>
      <c r="T71" s="2859"/>
      <c r="U71" s="2859"/>
    </row>
    <row r="72" spans="2:21" ht="15.75" customHeight="1">
      <c r="B72" s="3900" t="s">
        <v>70</v>
      </c>
      <c r="C72" s="3898"/>
      <c r="D72" s="3901">
        <v>1024</v>
      </c>
      <c r="E72" s="3901">
        <v>318</v>
      </c>
      <c r="F72" s="3901">
        <v>60</v>
      </c>
      <c r="G72" s="3902">
        <f>SUM(D72:F72)</f>
        <v>1402</v>
      </c>
      <c r="H72" s="3899"/>
      <c r="I72" s="3901">
        <v>1117</v>
      </c>
      <c r="J72" s="3901">
        <v>183</v>
      </c>
      <c r="K72" s="3902">
        <f>SUM(I72:J72)</f>
        <v>1300</v>
      </c>
      <c r="L72" s="3899"/>
      <c r="M72" s="3911">
        <f>+G72/K72</f>
        <v>1.0784615384615384</v>
      </c>
      <c r="P72" s="127"/>
    </row>
    <row r="73" spans="2:21" ht="15.75" customHeight="1">
      <c r="B73" s="3874"/>
      <c r="C73" s="3898"/>
      <c r="D73" s="3903"/>
      <c r="E73" s="3903"/>
      <c r="F73" s="3903"/>
      <c r="G73" s="3903"/>
      <c r="H73" s="3899"/>
      <c r="I73" s="3903"/>
      <c r="J73" s="3903"/>
      <c r="K73" s="3903"/>
      <c r="L73" s="3899"/>
      <c r="M73" s="3912"/>
    </row>
    <row r="74" spans="2:21" ht="15.75" customHeight="1">
      <c r="B74" s="3900" t="s">
        <v>72</v>
      </c>
      <c r="C74" s="3898"/>
      <c r="D74" s="3901">
        <v>202</v>
      </c>
      <c r="E74" s="3901">
        <v>26</v>
      </c>
      <c r="F74" s="3901">
        <v>9</v>
      </c>
      <c r="G74" s="3902">
        <f>SUM(D74:F74)</f>
        <v>237</v>
      </c>
      <c r="H74" s="3899"/>
      <c r="I74" s="3901">
        <v>210</v>
      </c>
      <c r="J74" s="3901">
        <v>109</v>
      </c>
      <c r="K74" s="3902">
        <f>SUM(I74:J74)</f>
        <v>319</v>
      </c>
      <c r="L74" s="3899"/>
      <c r="M74" s="3911">
        <f>+G74/K74</f>
        <v>0.74294670846394983</v>
      </c>
    </row>
    <row r="75" spans="2:21" ht="15.75" customHeight="1">
      <c r="B75" s="3874"/>
      <c r="C75" s="3898"/>
      <c r="D75" s="3903"/>
      <c r="E75" s="3903"/>
      <c r="F75" s="3903"/>
      <c r="G75" s="3903"/>
      <c r="H75" s="3899"/>
      <c r="I75" s="3903"/>
      <c r="J75" s="3903"/>
      <c r="K75" s="3903"/>
      <c r="L75" s="3899"/>
      <c r="M75" s="3912"/>
    </row>
    <row r="76" spans="2:21" ht="15.75" customHeight="1">
      <c r="B76" s="3900" t="s">
        <v>73</v>
      </c>
      <c r="C76" s="3898"/>
      <c r="D76" s="3901">
        <v>917</v>
      </c>
      <c r="E76" s="3901">
        <v>219</v>
      </c>
      <c r="F76" s="3901">
        <v>115</v>
      </c>
      <c r="G76" s="3902">
        <f>SUM(D76:F76)</f>
        <v>1251</v>
      </c>
      <c r="H76" s="3899"/>
      <c r="I76" s="3901">
        <v>954</v>
      </c>
      <c r="J76" s="3901">
        <v>211</v>
      </c>
      <c r="K76" s="3902">
        <f>SUM(I76:J76)</f>
        <v>1165</v>
      </c>
      <c r="L76" s="3899"/>
      <c r="M76" s="3911">
        <f>+G76/K76</f>
        <v>1.0738197424892704</v>
      </c>
    </row>
    <row r="77" spans="2:21" ht="15.75" customHeight="1">
      <c r="B77" s="3874"/>
      <c r="C77" s="3898"/>
      <c r="D77" s="3903"/>
      <c r="E77" s="3903"/>
      <c r="F77" s="3903"/>
      <c r="G77" s="3903"/>
      <c r="H77" s="3899"/>
      <c r="I77" s="3903"/>
      <c r="J77" s="3903"/>
      <c r="K77" s="3903"/>
      <c r="L77" s="3899"/>
      <c r="M77" s="3912"/>
    </row>
    <row r="78" spans="2:21" ht="15.75" customHeight="1">
      <c r="B78" s="3900" t="s">
        <v>82</v>
      </c>
      <c r="C78" s="3898"/>
      <c r="D78" s="3901">
        <v>86</v>
      </c>
      <c r="E78" s="3901">
        <v>2</v>
      </c>
      <c r="F78" s="3901"/>
      <c r="G78" s="3902">
        <f>SUM(D78:F78)</f>
        <v>88</v>
      </c>
      <c r="H78" s="3899"/>
      <c r="I78" s="3901">
        <v>63</v>
      </c>
      <c r="J78" s="3901">
        <v>55</v>
      </c>
      <c r="K78" s="3902">
        <f>SUM(I78:J78)</f>
        <v>118</v>
      </c>
      <c r="L78" s="3899"/>
      <c r="M78" s="3911">
        <f>+G78/K78</f>
        <v>0.74576271186440679</v>
      </c>
    </row>
    <row r="79" spans="2:21" ht="15.75" customHeight="1">
      <c r="B79" s="3874"/>
      <c r="C79" s="3898"/>
      <c r="D79" s="3903"/>
      <c r="E79" s="3903"/>
      <c r="F79" s="3903"/>
      <c r="G79" s="3903"/>
      <c r="H79" s="3899"/>
      <c r="I79" s="3903"/>
      <c r="J79" s="3903"/>
      <c r="K79" s="3903"/>
      <c r="L79" s="3899"/>
      <c r="M79" s="3912"/>
    </row>
    <row r="80" spans="2:21" ht="15.75" customHeight="1">
      <c r="B80" s="3900" t="s">
        <v>74</v>
      </c>
      <c r="C80" s="3898"/>
      <c r="D80" s="3901">
        <v>991</v>
      </c>
      <c r="E80" s="3901">
        <v>271</v>
      </c>
      <c r="F80" s="3901">
        <v>158</v>
      </c>
      <c r="G80" s="3902">
        <f>SUM(D80:F80)</f>
        <v>1420</v>
      </c>
      <c r="H80" s="3899"/>
      <c r="I80" s="3901">
        <v>1105</v>
      </c>
      <c r="J80" s="3901">
        <v>242</v>
      </c>
      <c r="K80" s="3902">
        <f>SUM(I80:J80)</f>
        <v>1347</v>
      </c>
      <c r="L80" s="3899"/>
      <c r="M80" s="3911">
        <f>+G80/K80</f>
        <v>1.0541945063103193</v>
      </c>
    </row>
    <row r="81" spans="2:13" ht="15.75" customHeight="1">
      <c r="B81" s="3874"/>
      <c r="C81" s="3898"/>
      <c r="D81" s="3903"/>
      <c r="E81" s="3903"/>
      <c r="F81" s="3903"/>
      <c r="G81" s="3903"/>
      <c r="H81" s="3899"/>
      <c r="I81" s="3903"/>
      <c r="J81" s="3903"/>
      <c r="K81" s="3903"/>
      <c r="L81" s="3899"/>
      <c r="M81" s="3912"/>
    </row>
    <row r="82" spans="2:13" ht="15.75" customHeight="1">
      <c r="B82" s="3900" t="s">
        <v>191</v>
      </c>
      <c r="C82" s="3898"/>
      <c r="D82" s="3901">
        <v>6</v>
      </c>
      <c r="E82" s="3901"/>
      <c r="F82" s="3901"/>
      <c r="G82" s="3902">
        <f>SUM(D82:F82)</f>
        <v>6</v>
      </c>
      <c r="H82" s="3899"/>
      <c r="I82" s="3901">
        <v>671</v>
      </c>
      <c r="J82" s="3901">
        <v>574</v>
      </c>
      <c r="K82" s="3902">
        <f>SUM(I82:J82)</f>
        <v>1245</v>
      </c>
      <c r="L82" s="3899"/>
      <c r="M82" s="3911">
        <f>+G82/K82</f>
        <v>4.8192771084337354E-3</v>
      </c>
    </row>
    <row r="83" spans="2:13" ht="15.75" customHeight="1">
      <c r="B83" s="3874"/>
      <c r="C83" s="3898"/>
      <c r="D83" s="3903"/>
      <c r="E83" s="3903"/>
      <c r="F83" s="3903"/>
      <c r="G83" s="3903"/>
      <c r="H83" s="3899"/>
      <c r="I83" s="3903"/>
      <c r="J83" s="3903"/>
      <c r="K83" s="3903"/>
      <c r="L83" s="3899"/>
      <c r="M83" s="3912"/>
    </row>
    <row r="84" spans="2:13" ht="15.75" customHeight="1" thickBot="1">
      <c r="B84" s="3904" t="s">
        <v>67</v>
      </c>
      <c r="C84" s="3898"/>
      <c r="D84" s="3905">
        <f>SUM(D72,D74,D76,D78,D80,D82)</f>
        <v>3226</v>
      </c>
      <c r="E84" s="3905">
        <f>SUM(E72,E74,E76,E78,E80,E82)</f>
        <v>836</v>
      </c>
      <c r="F84" s="3905">
        <f>SUM(F72,F74,F76,F78,F80,F82)</f>
        <v>342</v>
      </c>
      <c r="G84" s="3905">
        <f>SUM(G72,G74,G76,G78,G80,G82)</f>
        <v>4404</v>
      </c>
      <c r="H84" s="3899"/>
      <c r="I84" s="3905">
        <f>SUM(I72,I74,I76,I78,I80,I82)</f>
        <v>4120</v>
      </c>
      <c r="J84" s="3905">
        <f>SUM(J72,J74,J76,J78,J80,J82)</f>
        <v>1374</v>
      </c>
      <c r="K84" s="3905">
        <f>SUM(I84:J84)</f>
        <v>5494</v>
      </c>
      <c r="L84" s="3899"/>
      <c r="M84" s="3913">
        <f>+G84/K84</f>
        <v>0.80160174736075718</v>
      </c>
    </row>
    <row r="85" spans="2:13" ht="15.75" customHeight="1">
      <c r="B85" s="6" t="s">
        <v>2391</v>
      </c>
      <c r="C85" s="6"/>
      <c r="D85" s="6"/>
      <c r="E85" s="6"/>
      <c r="F85" s="6"/>
      <c r="G85" s="6"/>
      <c r="H85" s="6"/>
      <c r="I85" s="6"/>
      <c r="J85" s="6"/>
      <c r="K85" s="6"/>
      <c r="L85" s="6"/>
      <c r="M85" s="6"/>
    </row>
    <row r="86" spans="2:13" ht="15.75" customHeight="1">
      <c r="B86" s="50" t="s">
        <v>222</v>
      </c>
      <c r="C86" s="43"/>
      <c r="D86" s="43"/>
      <c r="E86" s="43"/>
      <c r="F86" s="43"/>
      <c r="G86" s="43"/>
      <c r="H86" s="43"/>
      <c r="I86" s="43"/>
      <c r="J86" s="43"/>
      <c r="K86" s="43"/>
      <c r="L86" s="43"/>
      <c r="M86" s="43"/>
    </row>
    <row r="87" spans="2:13" ht="15.75" customHeight="1">
      <c r="B87" s="1276"/>
      <c r="C87" s="1276"/>
      <c r="D87" s="1276"/>
      <c r="E87" s="1276"/>
      <c r="F87" s="1276"/>
      <c r="G87" s="1276"/>
      <c r="H87" s="1276"/>
      <c r="I87" s="1276"/>
      <c r="J87" s="1276"/>
      <c r="K87" s="1276"/>
      <c r="L87" s="1276"/>
      <c r="M87" s="1276"/>
    </row>
    <row r="88" spans="2:13" ht="15.75" customHeight="1">
      <c r="C88" s="175"/>
      <c r="D88" s="175"/>
      <c r="E88" s="175"/>
      <c r="F88" s="175"/>
      <c r="G88" s="175">
        <v>2016</v>
      </c>
      <c r="H88" s="175"/>
      <c r="I88" s="175"/>
      <c r="J88" s="175"/>
      <c r="K88" s="175"/>
      <c r="L88" s="175"/>
      <c r="M88" s="175"/>
    </row>
    <row r="89" spans="2:13" ht="15.75" customHeight="1">
      <c r="B89" s="2464"/>
      <c r="C89" s="3898"/>
      <c r="D89" s="6051" t="s">
        <v>215</v>
      </c>
      <c r="E89" s="6051"/>
      <c r="F89" s="6051"/>
      <c r="G89" s="6051"/>
      <c r="H89" s="3899"/>
      <c r="I89" s="6051" t="s">
        <v>216</v>
      </c>
      <c r="J89" s="6051"/>
      <c r="K89" s="6051"/>
      <c r="L89" s="3899"/>
      <c r="M89" s="6052" t="s">
        <v>613</v>
      </c>
    </row>
    <row r="90" spans="2:13" ht="15.75" customHeight="1">
      <c r="B90" s="6055" t="s">
        <v>68</v>
      </c>
      <c r="C90" s="3898"/>
      <c r="D90" s="6057" t="s">
        <v>2721</v>
      </c>
      <c r="E90" s="6057"/>
      <c r="F90" s="6057"/>
      <c r="G90" s="6058" t="s">
        <v>2723</v>
      </c>
      <c r="H90" s="3899"/>
      <c r="I90" s="6060" t="s">
        <v>2722</v>
      </c>
      <c r="J90" s="6060"/>
      <c r="K90" s="6058" t="s">
        <v>2724</v>
      </c>
      <c r="L90" s="3899"/>
      <c r="M90" s="6053"/>
    </row>
    <row r="91" spans="2:13" ht="15.75" customHeight="1" thickBot="1">
      <c r="B91" s="6056"/>
      <c r="C91" s="3898"/>
      <c r="D91" s="2583" t="s">
        <v>219</v>
      </c>
      <c r="E91" s="2583" t="s">
        <v>220</v>
      </c>
      <c r="F91" s="2583" t="s">
        <v>221</v>
      </c>
      <c r="G91" s="6059"/>
      <c r="H91" s="3899"/>
      <c r="I91" s="2583" t="s">
        <v>217</v>
      </c>
      <c r="J91" s="2583" t="s">
        <v>218</v>
      </c>
      <c r="K91" s="6059"/>
      <c r="L91" s="3899"/>
      <c r="M91" s="6054"/>
    </row>
    <row r="92" spans="2:13" ht="15.75" customHeight="1">
      <c r="B92" s="3874"/>
      <c r="C92" s="3898"/>
      <c r="D92" s="3874"/>
      <c r="E92" s="3874"/>
      <c r="F92" s="3874"/>
      <c r="G92" s="3874"/>
      <c r="H92" s="3899"/>
      <c r="I92" s="3874"/>
      <c r="J92" s="3874"/>
      <c r="K92" s="3874"/>
      <c r="L92" s="3899"/>
      <c r="M92" s="3874"/>
    </row>
    <row r="93" spans="2:13" ht="15.75" customHeight="1">
      <c r="B93" s="3900" t="s">
        <v>70</v>
      </c>
      <c r="C93" s="3898"/>
      <c r="D93" s="3901">
        <v>1023</v>
      </c>
      <c r="E93" s="3901">
        <v>331</v>
      </c>
      <c r="F93" s="3901">
        <v>62</v>
      </c>
      <c r="G93" s="3902">
        <f>SUM(D93:F93)</f>
        <v>1416</v>
      </c>
      <c r="H93" s="3899"/>
      <c r="I93" s="3901">
        <v>1128</v>
      </c>
      <c r="J93" s="3901">
        <v>184</v>
      </c>
      <c r="K93" s="3902">
        <f>SUM(I93:J93)</f>
        <v>1312</v>
      </c>
      <c r="L93" s="3899"/>
      <c r="M93" s="3911">
        <f>+G93/K93</f>
        <v>1.0792682926829269</v>
      </c>
    </row>
    <row r="94" spans="2:13" ht="15.75" customHeight="1">
      <c r="B94" s="3874"/>
      <c r="C94" s="3898"/>
      <c r="D94" s="3903"/>
      <c r="E94" s="3903"/>
      <c r="F94" s="3903"/>
      <c r="G94" s="3903"/>
      <c r="H94" s="3899"/>
      <c r="I94" s="3903"/>
      <c r="J94" s="3903"/>
      <c r="K94" s="3903"/>
      <c r="L94" s="3899"/>
      <c r="M94" s="3912"/>
    </row>
    <row r="95" spans="2:13" ht="15.75" customHeight="1">
      <c r="B95" s="3900" t="s">
        <v>72</v>
      </c>
      <c r="C95" s="3898"/>
      <c r="D95" s="3901">
        <v>209</v>
      </c>
      <c r="E95" s="3901">
        <v>21</v>
      </c>
      <c r="F95" s="3901">
        <v>13</v>
      </c>
      <c r="G95" s="3902">
        <f>SUM(D95:F95)</f>
        <v>243</v>
      </c>
      <c r="H95" s="3899"/>
      <c r="I95" s="3901">
        <v>212</v>
      </c>
      <c r="J95" s="3901">
        <v>110</v>
      </c>
      <c r="K95" s="3902">
        <f>SUM(I95:J95)</f>
        <v>322</v>
      </c>
      <c r="L95" s="3899"/>
      <c r="M95" s="3911">
        <f>+G95/K95</f>
        <v>0.75465838509316774</v>
      </c>
    </row>
    <row r="96" spans="2:13" ht="15.75" customHeight="1">
      <c r="B96" s="3874"/>
      <c r="C96" s="3898"/>
      <c r="D96" s="3903"/>
      <c r="E96" s="3903"/>
      <c r="F96" s="3903"/>
      <c r="G96" s="3903"/>
      <c r="H96" s="3899"/>
      <c r="I96" s="3903"/>
      <c r="J96" s="3903"/>
      <c r="K96" s="3903"/>
      <c r="L96" s="3899"/>
      <c r="M96" s="3912"/>
    </row>
    <row r="97" spans="2:13" ht="15.75" customHeight="1">
      <c r="B97" s="3900" t="s">
        <v>73</v>
      </c>
      <c r="C97" s="3898"/>
      <c r="D97" s="3901">
        <v>931</v>
      </c>
      <c r="E97" s="3901">
        <v>230</v>
      </c>
      <c r="F97" s="3901">
        <v>133</v>
      </c>
      <c r="G97" s="3902">
        <f>SUM(D97:F97)</f>
        <v>1294</v>
      </c>
      <c r="H97" s="3899"/>
      <c r="I97" s="3901">
        <v>954</v>
      </c>
      <c r="J97" s="3901">
        <v>203</v>
      </c>
      <c r="K97" s="3902">
        <f>SUM(I97:J97)</f>
        <v>1157</v>
      </c>
      <c r="L97" s="3899"/>
      <c r="M97" s="3911">
        <f>+G97/K97</f>
        <v>1.118409680207433</v>
      </c>
    </row>
    <row r="98" spans="2:13" ht="15.75" customHeight="1">
      <c r="B98" s="3874"/>
      <c r="C98" s="3898"/>
      <c r="D98" s="3903"/>
      <c r="E98" s="3903"/>
      <c r="F98" s="3903"/>
      <c r="G98" s="3903"/>
      <c r="H98" s="3899"/>
      <c r="I98" s="3903"/>
      <c r="J98" s="3903"/>
      <c r="K98" s="3903"/>
      <c r="L98" s="3899"/>
      <c r="M98" s="3912"/>
    </row>
    <row r="99" spans="2:13" ht="15.75" customHeight="1">
      <c r="B99" s="3900" t="s">
        <v>82</v>
      </c>
      <c r="C99" s="3898"/>
      <c r="D99" s="3901">
        <v>73</v>
      </c>
      <c r="E99" s="3901">
        <v>5</v>
      </c>
      <c r="F99" s="3901"/>
      <c r="G99" s="3902">
        <f>SUM(D99:F99)</f>
        <v>78</v>
      </c>
      <c r="H99" s="3899"/>
      <c r="I99" s="3901">
        <v>64</v>
      </c>
      <c r="J99" s="3901">
        <v>54</v>
      </c>
      <c r="K99" s="3902">
        <f>SUM(I99:J99)</f>
        <v>118</v>
      </c>
      <c r="L99" s="3899"/>
      <c r="M99" s="3911">
        <f>+G99/K99</f>
        <v>0.66101694915254239</v>
      </c>
    </row>
    <row r="100" spans="2:13" ht="15.75" customHeight="1">
      <c r="B100" s="3874"/>
      <c r="C100" s="3898"/>
      <c r="D100" s="3903"/>
      <c r="E100" s="3903"/>
      <c r="F100" s="3903"/>
      <c r="G100" s="3903"/>
      <c r="H100" s="3899"/>
      <c r="I100" s="3903"/>
      <c r="J100" s="3903"/>
      <c r="K100" s="3903"/>
      <c r="L100" s="3899"/>
      <c r="M100" s="3912"/>
    </row>
    <row r="101" spans="2:13" ht="15.75" customHeight="1">
      <c r="B101" s="3900" t="s">
        <v>74</v>
      </c>
      <c r="C101" s="3898"/>
      <c r="D101" s="3901">
        <v>991</v>
      </c>
      <c r="E101" s="3901">
        <v>248</v>
      </c>
      <c r="F101" s="3901">
        <v>166</v>
      </c>
      <c r="G101" s="3902">
        <f>SUM(D101:F101)</f>
        <v>1405</v>
      </c>
      <c r="H101" s="3899"/>
      <c r="I101" s="3901">
        <v>1104</v>
      </c>
      <c r="J101" s="3901">
        <v>238</v>
      </c>
      <c r="K101" s="3902">
        <f>SUM(I101:J101)</f>
        <v>1342</v>
      </c>
      <c r="L101" s="3899"/>
      <c r="M101" s="3911">
        <f>+G101/K101</f>
        <v>1.0469448584202683</v>
      </c>
    </row>
    <row r="102" spans="2:13" ht="15.75" customHeight="1">
      <c r="B102" s="3874"/>
      <c r="C102" s="3898"/>
      <c r="D102" s="3903"/>
      <c r="E102" s="3903"/>
      <c r="F102" s="3903"/>
      <c r="G102" s="3903"/>
      <c r="H102" s="3899"/>
      <c r="I102" s="3903"/>
      <c r="J102" s="3903"/>
      <c r="K102" s="3903"/>
      <c r="L102" s="3899"/>
      <c r="M102" s="3912"/>
    </row>
    <row r="103" spans="2:13" ht="15.75" customHeight="1">
      <c r="B103" s="3900" t="s">
        <v>191</v>
      </c>
      <c r="C103" s="3898"/>
      <c r="D103" s="3901">
        <v>5</v>
      </c>
      <c r="E103" s="3901"/>
      <c r="F103" s="3901"/>
      <c r="G103" s="3902">
        <f>SUM(D103:F103)</f>
        <v>5</v>
      </c>
      <c r="H103" s="3899"/>
      <c r="I103" s="3901">
        <v>676</v>
      </c>
      <c r="J103" s="3901">
        <v>584</v>
      </c>
      <c r="K103" s="3902">
        <f>SUM(I103:J103)</f>
        <v>1260</v>
      </c>
      <c r="L103" s="3899"/>
      <c r="M103" s="3911">
        <f>+G103/K103</f>
        <v>3.968253968253968E-3</v>
      </c>
    </row>
    <row r="104" spans="2:13" ht="15.75" customHeight="1">
      <c r="B104" s="3874"/>
      <c r="C104" s="3898"/>
      <c r="D104" s="3903"/>
      <c r="E104" s="3903"/>
      <c r="F104" s="3903"/>
      <c r="G104" s="3903"/>
      <c r="H104" s="3899"/>
      <c r="I104" s="3903"/>
      <c r="J104" s="3903"/>
      <c r="K104" s="3903"/>
      <c r="L104" s="3899"/>
      <c r="M104" s="3912"/>
    </row>
    <row r="105" spans="2:13" ht="15.75" customHeight="1" thickBot="1">
      <c r="B105" s="3904" t="s">
        <v>67</v>
      </c>
      <c r="C105" s="3898"/>
      <c r="D105" s="3905">
        <f>SUM(D93,D95,D97,D99,D101,D103)</f>
        <v>3232</v>
      </c>
      <c r="E105" s="3905">
        <f>SUM(E93,E95,E97,E99,E101,E103)</f>
        <v>835</v>
      </c>
      <c r="F105" s="3905">
        <f>SUM(F93,F95,F97,F99,F101,F103)</f>
        <v>374</v>
      </c>
      <c r="G105" s="3905">
        <f>SUM(G93,G95,G97,G99,G101,G103)</f>
        <v>4441</v>
      </c>
      <c r="H105" s="3899"/>
      <c r="I105" s="3905">
        <f>SUM(I93,I95,I97,I99,I101,I103)</f>
        <v>4138</v>
      </c>
      <c r="J105" s="3905">
        <f>SUM(J93,J95,J97,J99,J101,J103)</f>
        <v>1373</v>
      </c>
      <c r="K105" s="3905">
        <f>SUM(I105:J105)</f>
        <v>5511</v>
      </c>
      <c r="L105" s="3899"/>
      <c r="M105" s="3913">
        <f>+G105/K105</f>
        <v>0.8058428597350753</v>
      </c>
    </row>
    <row r="106" spans="2:13" ht="15.75" customHeight="1">
      <c r="B106" s="6" t="s">
        <v>2390</v>
      </c>
      <c r="C106" s="6"/>
      <c r="D106" s="6"/>
      <c r="E106" s="6"/>
      <c r="F106" s="6"/>
      <c r="G106" s="6"/>
      <c r="H106" s="6"/>
      <c r="I106" s="6"/>
      <c r="J106" s="6"/>
      <c r="K106" s="6"/>
      <c r="L106" s="6"/>
      <c r="M106" s="6"/>
    </row>
    <row r="107" spans="2:13" ht="15.75" customHeight="1">
      <c r="B107" s="50" t="s">
        <v>222</v>
      </c>
      <c r="C107" s="43"/>
      <c r="D107" s="43"/>
      <c r="E107" s="43"/>
      <c r="F107" s="43"/>
      <c r="G107" s="43"/>
      <c r="H107" s="43"/>
      <c r="I107" s="43"/>
      <c r="J107" s="43"/>
      <c r="K107" s="43"/>
      <c r="L107" s="43"/>
      <c r="M107" s="43"/>
    </row>
    <row r="108" spans="2:13" ht="15.75" customHeight="1">
      <c r="B108" s="1276"/>
      <c r="C108" s="1276"/>
      <c r="D108" s="1276"/>
      <c r="E108" s="1276"/>
      <c r="F108" s="1276"/>
      <c r="G108" s="1276"/>
      <c r="H108" s="1276"/>
      <c r="I108" s="1276"/>
      <c r="J108" s="1276"/>
      <c r="K108" s="1276"/>
      <c r="L108" s="1276"/>
      <c r="M108" s="1276"/>
    </row>
    <row r="109" spans="2:13" ht="15.75" customHeight="1">
      <c r="C109" s="175"/>
      <c r="D109" s="175"/>
      <c r="E109" s="175"/>
      <c r="F109" s="175"/>
      <c r="G109" s="175">
        <v>2015</v>
      </c>
      <c r="H109" s="175"/>
      <c r="I109" s="175"/>
      <c r="J109" s="175"/>
      <c r="K109" s="175"/>
      <c r="L109" s="175"/>
      <c r="M109" s="175"/>
    </row>
    <row r="110" spans="2:13" ht="15.75" customHeight="1">
      <c r="B110" s="2464"/>
      <c r="C110" s="3898"/>
      <c r="D110" s="6051" t="s">
        <v>215</v>
      </c>
      <c r="E110" s="6051"/>
      <c r="F110" s="6051"/>
      <c r="G110" s="6051"/>
      <c r="H110" s="3899"/>
      <c r="I110" s="6051" t="s">
        <v>216</v>
      </c>
      <c r="J110" s="6051"/>
      <c r="K110" s="6051"/>
      <c r="L110" s="3899"/>
      <c r="M110" s="6052" t="s">
        <v>613</v>
      </c>
    </row>
    <row r="111" spans="2:13" ht="15.75" customHeight="1">
      <c r="B111" s="6055" t="s">
        <v>68</v>
      </c>
      <c r="C111" s="3898"/>
      <c r="D111" s="6057" t="s">
        <v>2721</v>
      </c>
      <c r="E111" s="6057"/>
      <c r="F111" s="6057"/>
      <c r="G111" s="6058" t="s">
        <v>2723</v>
      </c>
      <c r="H111" s="3899"/>
      <c r="I111" s="6060" t="s">
        <v>2722</v>
      </c>
      <c r="J111" s="6060"/>
      <c r="K111" s="6058" t="s">
        <v>2724</v>
      </c>
      <c r="L111" s="3899"/>
      <c r="M111" s="6053"/>
    </row>
    <row r="112" spans="2:13" ht="15.75" customHeight="1" thickBot="1">
      <c r="B112" s="6056"/>
      <c r="C112" s="3898"/>
      <c r="D112" s="2583" t="s">
        <v>219</v>
      </c>
      <c r="E112" s="2583" t="s">
        <v>220</v>
      </c>
      <c r="F112" s="2583" t="s">
        <v>221</v>
      </c>
      <c r="G112" s="6059"/>
      <c r="H112" s="3899"/>
      <c r="I112" s="2583" t="s">
        <v>217</v>
      </c>
      <c r="J112" s="2583" t="s">
        <v>218</v>
      </c>
      <c r="K112" s="6059"/>
      <c r="L112" s="3899"/>
      <c r="M112" s="6054"/>
    </row>
    <row r="113" spans="2:13" ht="15.75" customHeight="1">
      <c r="B113" s="3874"/>
      <c r="C113" s="3898"/>
      <c r="D113" s="3874"/>
      <c r="E113" s="3874"/>
      <c r="F113" s="3874"/>
      <c r="G113" s="3874"/>
      <c r="H113" s="3899"/>
      <c r="I113" s="3874"/>
      <c r="J113" s="3874"/>
      <c r="K113" s="3874"/>
      <c r="L113" s="3899"/>
      <c r="M113" s="3874"/>
    </row>
    <row r="114" spans="2:13" ht="15.75" customHeight="1">
      <c r="B114" s="3900" t="s">
        <v>70</v>
      </c>
      <c r="C114" s="3898"/>
      <c r="D114" s="3901">
        <v>1045</v>
      </c>
      <c r="E114" s="3901">
        <v>345</v>
      </c>
      <c r="F114" s="3901">
        <v>64</v>
      </c>
      <c r="G114" s="3902">
        <f>SUM(D114:F114)</f>
        <v>1454</v>
      </c>
      <c r="H114" s="3899"/>
      <c r="I114" s="3901">
        <v>1125</v>
      </c>
      <c r="J114" s="3901">
        <v>182</v>
      </c>
      <c r="K114" s="3902">
        <f>SUM(I114:J114)</f>
        <v>1307</v>
      </c>
      <c r="L114" s="3899"/>
      <c r="M114" s="3911">
        <f>+G114/K114</f>
        <v>1.1124713083397093</v>
      </c>
    </row>
    <row r="115" spans="2:13" ht="15.75" customHeight="1">
      <c r="B115" s="3874"/>
      <c r="C115" s="3898"/>
      <c r="D115" s="3903"/>
      <c r="E115" s="3903"/>
      <c r="F115" s="3903"/>
      <c r="G115" s="3903"/>
      <c r="H115" s="3899"/>
      <c r="I115" s="3903"/>
      <c r="J115" s="3903"/>
      <c r="K115" s="3903"/>
      <c r="L115" s="3899"/>
      <c r="M115" s="3912"/>
    </row>
    <row r="116" spans="2:13" ht="15.75" customHeight="1">
      <c r="B116" s="3900" t="s">
        <v>72</v>
      </c>
      <c r="C116" s="3898"/>
      <c r="D116" s="3901">
        <v>207</v>
      </c>
      <c r="E116" s="3901">
        <v>16</v>
      </c>
      <c r="F116" s="3901">
        <v>16</v>
      </c>
      <c r="G116" s="3902">
        <f>SUM(D116:F116)</f>
        <v>239</v>
      </c>
      <c r="H116" s="3899"/>
      <c r="I116" s="3901">
        <v>181</v>
      </c>
      <c r="J116" s="3901">
        <v>105</v>
      </c>
      <c r="K116" s="3902">
        <f>SUM(I116:J116)</f>
        <v>286</v>
      </c>
      <c r="L116" s="3899"/>
      <c r="M116" s="3911">
        <f>+G116/K116</f>
        <v>0.83566433566433562</v>
      </c>
    </row>
    <row r="117" spans="2:13" ht="15.75" customHeight="1">
      <c r="B117" s="3874"/>
      <c r="C117" s="3898"/>
      <c r="D117" s="3903"/>
      <c r="E117" s="3903"/>
      <c r="F117" s="3903"/>
      <c r="G117" s="3903"/>
      <c r="H117" s="3899"/>
      <c r="I117" s="3903"/>
      <c r="J117" s="3903"/>
      <c r="K117" s="3903"/>
      <c r="L117" s="3899"/>
      <c r="M117" s="3912"/>
    </row>
    <row r="118" spans="2:13" ht="15.75" customHeight="1">
      <c r="B118" s="3900" t="s">
        <v>73</v>
      </c>
      <c r="C118" s="3898"/>
      <c r="D118" s="3901">
        <v>924</v>
      </c>
      <c r="E118" s="3901">
        <v>200</v>
      </c>
      <c r="F118" s="3901">
        <v>149</v>
      </c>
      <c r="G118" s="3902">
        <f>SUM(D118:F118)</f>
        <v>1273</v>
      </c>
      <c r="H118" s="3899"/>
      <c r="I118" s="3901">
        <v>967</v>
      </c>
      <c r="J118" s="3901">
        <v>210</v>
      </c>
      <c r="K118" s="3902">
        <f>SUM(I118:J118)</f>
        <v>1177</v>
      </c>
      <c r="L118" s="3899"/>
      <c r="M118" s="3911">
        <f>+G118/K118</f>
        <v>1.0815632965165676</v>
      </c>
    </row>
    <row r="119" spans="2:13" ht="15.75" customHeight="1">
      <c r="B119" s="3874"/>
      <c r="C119" s="3898"/>
      <c r="D119" s="3903"/>
      <c r="E119" s="3903"/>
      <c r="F119" s="3903"/>
      <c r="G119" s="3903"/>
      <c r="H119" s="3899"/>
      <c r="I119" s="3903"/>
      <c r="J119" s="3903"/>
      <c r="K119" s="3903"/>
      <c r="L119" s="3899"/>
      <c r="M119" s="3912"/>
    </row>
    <row r="120" spans="2:13" ht="15.75" customHeight="1">
      <c r="B120" s="3900" t="s">
        <v>82</v>
      </c>
      <c r="C120" s="3898"/>
      <c r="D120" s="3901">
        <v>64</v>
      </c>
      <c r="E120" s="3901"/>
      <c r="F120" s="3901"/>
      <c r="G120" s="3902">
        <f>SUM(D120:F120)</f>
        <v>64</v>
      </c>
      <c r="H120" s="3899"/>
      <c r="I120" s="3901">
        <v>29</v>
      </c>
      <c r="J120" s="3901">
        <v>52</v>
      </c>
      <c r="K120" s="3902">
        <f>SUM(I120:J120)</f>
        <v>81</v>
      </c>
      <c r="L120" s="3899"/>
      <c r="M120" s="3911">
        <f>+G120/K120</f>
        <v>0.79012345679012341</v>
      </c>
    </row>
    <row r="121" spans="2:13" ht="15.75" customHeight="1">
      <c r="B121" s="3874"/>
      <c r="C121" s="3898"/>
      <c r="D121" s="3903"/>
      <c r="E121" s="3903"/>
      <c r="F121" s="3903"/>
      <c r="G121" s="3903"/>
      <c r="H121" s="3899"/>
      <c r="I121" s="3903"/>
      <c r="J121" s="3903"/>
      <c r="K121" s="3903"/>
      <c r="L121" s="3899"/>
      <c r="M121" s="3912"/>
    </row>
    <row r="122" spans="2:13" ht="15.75" customHeight="1">
      <c r="B122" s="3900" t="s">
        <v>74</v>
      </c>
      <c r="C122" s="3898"/>
      <c r="D122" s="3901">
        <v>1008</v>
      </c>
      <c r="E122" s="3901">
        <v>244</v>
      </c>
      <c r="F122" s="3901">
        <v>158</v>
      </c>
      <c r="G122" s="3902">
        <f>SUM(D122:F122)</f>
        <v>1410</v>
      </c>
      <c r="H122" s="3899"/>
      <c r="I122" s="3901">
        <v>1133</v>
      </c>
      <c r="J122" s="3901">
        <v>238</v>
      </c>
      <c r="K122" s="3902">
        <f>SUM(I122:J122)</f>
        <v>1371</v>
      </c>
      <c r="L122" s="3899"/>
      <c r="M122" s="3911">
        <f>+G122/K122</f>
        <v>1.0284463894967177</v>
      </c>
    </row>
    <row r="123" spans="2:13" ht="15.75" customHeight="1">
      <c r="B123" s="3874"/>
      <c r="C123" s="3898"/>
      <c r="D123" s="3903"/>
      <c r="E123" s="3903"/>
      <c r="F123" s="3903"/>
      <c r="G123" s="3903"/>
      <c r="H123" s="3899"/>
      <c r="I123" s="3903"/>
      <c r="J123" s="3903"/>
      <c r="K123" s="3903"/>
      <c r="L123" s="3899"/>
      <c r="M123" s="3912"/>
    </row>
    <row r="124" spans="2:13" ht="15.75" customHeight="1">
      <c r="B124" s="3900" t="s">
        <v>191</v>
      </c>
      <c r="C124" s="3898"/>
      <c r="D124" s="3901">
        <v>5</v>
      </c>
      <c r="E124" s="3901"/>
      <c r="F124" s="3901"/>
      <c r="G124" s="3902">
        <f>SUM(D124:F124)</f>
        <v>5</v>
      </c>
      <c r="H124" s="3899"/>
      <c r="I124" s="3901">
        <v>667</v>
      </c>
      <c r="J124" s="3901">
        <v>558</v>
      </c>
      <c r="K124" s="3902">
        <f>SUM(I124:J124)</f>
        <v>1225</v>
      </c>
      <c r="L124" s="3899"/>
      <c r="M124" s="3911">
        <f>+G124/K124</f>
        <v>4.0816326530612249E-3</v>
      </c>
    </row>
    <row r="125" spans="2:13" ht="15.75" customHeight="1">
      <c r="B125" s="3874"/>
      <c r="C125" s="3898"/>
      <c r="D125" s="3903"/>
      <c r="E125" s="3903"/>
      <c r="F125" s="3903"/>
      <c r="G125" s="3903"/>
      <c r="H125" s="3899"/>
      <c r="I125" s="3903"/>
      <c r="J125" s="3903"/>
      <c r="K125" s="3903"/>
      <c r="L125" s="3899"/>
      <c r="M125" s="3912"/>
    </row>
    <row r="126" spans="2:13" ht="15.75" customHeight="1" thickBot="1">
      <c r="B126" s="3904" t="s">
        <v>67</v>
      </c>
      <c r="C126" s="3898"/>
      <c r="D126" s="3905">
        <f>SUM(D114,D116,D118,D120,D122,D124)</f>
        <v>3253</v>
      </c>
      <c r="E126" s="3905">
        <f>SUM(E114,E116,E118,E120,E122,E124)</f>
        <v>805</v>
      </c>
      <c r="F126" s="3905">
        <f>SUM(F114,F116,F118,F120,F122,F124)</f>
        <v>387</v>
      </c>
      <c r="G126" s="3905">
        <f>SUM(G114,G116,G118,G120,G122,G124)</f>
        <v>4445</v>
      </c>
      <c r="H126" s="3899"/>
      <c r="I126" s="3905">
        <f>SUM(I114,I116,I118,I120,I122,I124)</f>
        <v>4102</v>
      </c>
      <c r="J126" s="3905">
        <f>SUM(J114,J116,J118,J120,J122,J124)</f>
        <v>1345</v>
      </c>
      <c r="K126" s="3905">
        <f>SUM(I126:J126)</f>
        <v>5447</v>
      </c>
      <c r="L126" s="3899"/>
      <c r="M126" s="3913">
        <f>+G126/K126</f>
        <v>0.81604552964934829</v>
      </c>
    </row>
    <row r="127" spans="2:13" ht="15.75" customHeight="1">
      <c r="B127" s="6" t="s">
        <v>1754</v>
      </c>
      <c r="C127" s="6"/>
      <c r="D127" s="6"/>
      <c r="E127" s="6"/>
      <c r="F127" s="6"/>
      <c r="G127" s="6"/>
      <c r="H127" s="6"/>
      <c r="I127" s="6"/>
      <c r="J127" s="6"/>
      <c r="K127" s="6"/>
      <c r="L127" s="6"/>
      <c r="M127" s="6"/>
    </row>
    <row r="128" spans="2:13" ht="15.75" customHeight="1">
      <c r="B128" s="50" t="s">
        <v>222</v>
      </c>
      <c r="C128" s="43"/>
      <c r="D128" s="43"/>
      <c r="E128" s="43"/>
      <c r="F128" s="43"/>
      <c r="G128" s="43"/>
      <c r="H128" s="43"/>
      <c r="I128" s="43"/>
      <c r="J128" s="43"/>
      <c r="K128" s="43"/>
      <c r="L128" s="43"/>
      <c r="M128" s="43"/>
    </row>
    <row r="129" spans="2:13" ht="15.75" customHeight="1">
      <c r="C129" s="175"/>
      <c r="D129" s="175"/>
      <c r="E129" s="175"/>
      <c r="F129" s="175"/>
      <c r="G129" s="175">
        <v>2014</v>
      </c>
      <c r="H129" s="175"/>
      <c r="I129" s="175"/>
      <c r="J129" s="175"/>
      <c r="K129" s="175"/>
      <c r="L129" s="175"/>
      <c r="M129" s="175"/>
    </row>
    <row r="130" spans="2:13" ht="15.75" customHeight="1">
      <c r="B130" s="2464"/>
      <c r="C130" s="3898"/>
      <c r="D130" s="6051" t="s">
        <v>215</v>
      </c>
      <c r="E130" s="6051"/>
      <c r="F130" s="6051"/>
      <c r="G130" s="6051"/>
      <c r="H130" s="3899"/>
      <c r="I130" s="6051" t="s">
        <v>216</v>
      </c>
      <c r="J130" s="6051"/>
      <c r="K130" s="6051"/>
      <c r="L130" s="3899"/>
      <c r="M130" s="6052" t="s">
        <v>613</v>
      </c>
    </row>
    <row r="131" spans="2:13" ht="15.75" customHeight="1">
      <c r="B131" s="6055" t="s">
        <v>68</v>
      </c>
      <c r="C131" s="3898"/>
      <c r="D131" s="6057" t="s">
        <v>2721</v>
      </c>
      <c r="E131" s="6057"/>
      <c r="F131" s="6057"/>
      <c r="G131" s="6058" t="s">
        <v>2723</v>
      </c>
      <c r="H131" s="3899"/>
      <c r="I131" s="6060" t="s">
        <v>2722</v>
      </c>
      <c r="J131" s="6060"/>
      <c r="K131" s="6058" t="s">
        <v>2724</v>
      </c>
      <c r="L131" s="3899"/>
      <c r="M131" s="6053"/>
    </row>
    <row r="132" spans="2:13" ht="15.75" customHeight="1" thickBot="1">
      <c r="B132" s="6056"/>
      <c r="C132" s="3898"/>
      <c r="D132" s="2583" t="s">
        <v>219</v>
      </c>
      <c r="E132" s="2583" t="s">
        <v>220</v>
      </c>
      <c r="F132" s="2583" t="s">
        <v>221</v>
      </c>
      <c r="G132" s="6059"/>
      <c r="H132" s="3899"/>
      <c r="I132" s="2583" t="s">
        <v>217</v>
      </c>
      <c r="J132" s="2583" t="s">
        <v>218</v>
      </c>
      <c r="K132" s="6059"/>
      <c r="L132" s="3899"/>
      <c r="M132" s="6054"/>
    </row>
    <row r="133" spans="2:13" ht="15.75" customHeight="1">
      <c r="B133" s="3874"/>
      <c r="C133" s="3898"/>
      <c r="D133" s="3874"/>
      <c r="E133" s="3874"/>
      <c r="F133" s="3874"/>
      <c r="G133" s="3874"/>
      <c r="H133" s="3899"/>
      <c r="I133" s="3874"/>
      <c r="J133" s="3874"/>
      <c r="K133" s="3874"/>
      <c r="L133" s="3899"/>
      <c r="M133" s="3874"/>
    </row>
    <row r="134" spans="2:13" ht="15.75" customHeight="1">
      <c r="B134" s="3900" t="s">
        <v>70</v>
      </c>
      <c r="C134" s="3898"/>
      <c r="D134" s="3901">
        <v>1046</v>
      </c>
      <c r="E134" s="3901">
        <v>333</v>
      </c>
      <c r="F134" s="3901">
        <v>77</v>
      </c>
      <c r="G134" s="3902">
        <f>SUM(D134:F134)</f>
        <v>1456</v>
      </c>
      <c r="H134" s="3899"/>
      <c r="I134" s="3901">
        <v>1133</v>
      </c>
      <c r="J134" s="3901">
        <v>180</v>
      </c>
      <c r="K134" s="3902">
        <f>SUM(I134:J134)</f>
        <v>1313</v>
      </c>
      <c r="L134" s="3899"/>
      <c r="M134" s="3911">
        <f>+G134/K134</f>
        <v>1.108910891089109</v>
      </c>
    </row>
    <row r="135" spans="2:13" ht="15.75" customHeight="1">
      <c r="B135" s="3874"/>
      <c r="C135" s="3898"/>
      <c r="D135" s="3903"/>
      <c r="E135" s="3903"/>
      <c r="F135" s="3903"/>
      <c r="G135" s="3903"/>
      <c r="H135" s="3899"/>
      <c r="I135" s="3903"/>
      <c r="J135" s="3903"/>
      <c r="K135" s="3903"/>
      <c r="L135" s="3899"/>
      <c r="M135" s="3912"/>
    </row>
    <row r="136" spans="2:13" ht="15.75" customHeight="1">
      <c r="B136" s="3900" t="s">
        <v>72</v>
      </c>
      <c r="C136" s="3898"/>
      <c r="D136" s="3901">
        <v>195</v>
      </c>
      <c r="E136" s="3901">
        <v>18</v>
      </c>
      <c r="F136" s="3901">
        <v>15</v>
      </c>
      <c r="G136" s="3902">
        <f>SUM(D136:F136)</f>
        <v>228</v>
      </c>
      <c r="H136" s="3899"/>
      <c r="I136" s="3901">
        <v>169</v>
      </c>
      <c r="J136" s="3901">
        <v>102</v>
      </c>
      <c r="K136" s="3902">
        <f>SUM(I136:J136)</f>
        <v>271</v>
      </c>
      <c r="L136" s="3899"/>
      <c r="M136" s="3911">
        <f>+G136/K136</f>
        <v>0.84132841328413288</v>
      </c>
    </row>
    <row r="137" spans="2:13" ht="15.75" customHeight="1">
      <c r="B137" s="3874"/>
      <c r="C137" s="3898"/>
      <c r="D137" s="3903"/>
      <c r="E137" s="3903"/>
      <c r="F137" s="3903"/>
      <c r="G137" s="3903"/>
      <c r="H137" s="3899"/>
      <c r="I137" s="3903"/>
      <c r="J137" s="3903"/>
      <c r="K137" s="3903"/>
      <c r="L137" s="3899"/>
      <c r="M137" s="3912"/>
    </row>
    <row r="138" spans="2:13" ht="15.75" customHeight="1">
      <c r="B138" s="3900" t="s">
        <v>73</v>
      </c>
      <c r="C138" s="3898"/>
      <c r="D138" s="3901">
        <v>922</v>
      </c>
      <c r="E138" s="3901">
        <v>193</v>
      </c>
      <c r="F138" s="3901">
        <v>180</v>
      </c>
      <c r="G138" s="3902">
        <f>SUM(D138:F138)</f>
        <v>1295</v>
      </c>
      <c r="H138" s="3899"/>
      <c r="I138" s="3901">
        <v>979</v>
      </c>
      <c r="J138" s="3901">
        <v>210</v>
      </c>
      <c r="K138" s="3902">
        <f>SUM(I138:J138)</f>
        <v>1189</v>
      </c>
      <c r="L138" s="3899"/>
      <c r="M138" s="3911">
        <f>+G138/K138</f>
        <v>1.0891505466778806</v>
      </c>
    </row>
    <row r="139" spans="2:13" ht="15.75" customHeight="1">
      <c r="B139" s="3874"/>
      <c r="C139" s="3898"/>
      <c r="D139" s="3903"/>
      <c r="E139" s="3903"/>
      <c r="F139" s="3903"/>
      <c r="G139" s="3903"/>
      <c r="H139" s="3899"/>
      <c r="I139" s="3903"/>
      <c r="J139" s="3903"/>
      <c r="K139" s="3903"/>
      <c r="L139" s="3899"/>
      <c r="M139" s="3912"/>
    </row>
    <row r="140" spans="2:13" ht="15.75" customHeight="1">
      <c r="B140" s="3900" t="s">
        <v>82</v>
      </c>
      <c r="C140" s="3898"/>
      <c r="D140" s="3901">
        <v>72</v>
      </c>
      <c r="E140" s="3901"/>
      <c r="F140" s="3901"/>
      <c r="G140" s="3902">
        <f>SUM(D140:F140)</f>
        <v>72</v>
      </c>
      <c r="H140" s="3899"/>
      <c r="I140" s="3901">
        <v>28</v>
      </c>
      <c r="J140" s="3901">
        <v>52</v>
      </c>
      <c r="K140" s="3902">
        <f>SUM(I140:J140)</f>
        <v>80</v>
      </c>
      <c r="L140" s="3899"/>
      <c r="M140" s="3911">
        <f>+G140/K140</f>
        <v>0.9</v>
      </c>
    </row>
    <row r="141" spans="2:13" ht="15.75" customHeight="1">
      <c r="B141" s="3874"/>
      <c r="C141" s="3898"/>
      <c r="D141" s="3903"/>
      <c r="E141" s="3903"/>
      <c r="F141" s="3903"/>
      <c r="G141" s="3903"/>
      <c r="H141" s="3899"/>
      <c r="I141" s="3903"/>
      <c r="J141" s="3903"/>
      <c r="K141" s="3903"/>
      <c r="L141" s="3899"/>
      <c r="M141" s="3912"/>
    </row>
    <row r="142" spans="2:13" ht="15.75" customHeight="1">
      <c r="B142" s="3900" t="s">
        <v>74</v>
      </c>
      <c r="C142" s="3898"/>
      <c r="D142" s="3901">
        <v>989</v>
      </c>
      <c r="E142" s="3901">
        <v>230</v>
      </c>
      <c r="F142" s="3901">
        <v>179</v>
      </c>
      <c r="G142" s="3902">
        <f>SUM(D142:F142)</f>
        <v>1398</v>
      </c>
      <c r="H142" s="3899"/>
      <c r="I142" s="3901">
        <v>1142</v>
      </c>
      <c r="J142" s="3901">
        <v>237</v>
      </c>
      <c r="K142" s="3902">
        <f>SUM(I142:J142)</f>
        <v>1379</v>
      </c>
      <c r="L142" s="3899"/>
      <c r="M142" s="3911">
        <f>+G142/K142</f>
        <v>1.0137781000725163</v>
      </c>
    </row>
    <row r="143" spans="2:13" ht="15.75" customHeight="1">
      <c r="B143" s="3874"/>
      <c r="C143" s="3898"/>
      <c r="D143" s="3903"/>
      <c r="E143" s="3903"/>
      <c r="F143" s="3903"/>
      <c r="G143" s="3903"/>
      <c r="H143" s="3899"/>
      <c r="I143" s="3903"/>
      <c r="J143" s="3903"/>
      <c r="K143" s="3903"/>
      <c r="L143" s="3899"/>
      <c r="M143" s="3912"/>
    </row>
    <row r="144" spans="2:13" ht="15.75" customHeight="1">
      <c r="B144" s="3900" t="s">
        <v>191</v>
      </c>
      <c r="C144" s="3898"/>
      <c r="D144" s="3901">
        <v>5</v>
      </c>
      <c r="E144" s="3901"/>
      <c r="F144" s="3901"/>
      <c r="G144" s="3902">
        <f>SUM(D144:F144)</f>
        <v>5</v>
      </c>
      <c r="H144" s="3899"/>
      <c r="I144" s="3901">
        <v>691</v>
      </c>
      <c r="J144" s="3901">
        <v>557</v>
      </c>
      <c r="K144" s="3902">
        <f>SUM(I144:J144)</f>
        <v>1248</v>
      </c>
      <c r="L144" s="3899"/>
      <c r="M144" s="3911">
        <f>+G144/K144</f>
        <v>4.0064102564102561E-3</v>
      </c>
    </row>
    <row r="145" spans="2:18" ht="15.75" customHeight="1">
      <c r="B145" s="3874"/>
      <c r="C145" s="3898"/>
      <c r="D145" s="3903"/>
      <c r="E145" s="3903"/>
      <c r="F145" s="3903"/>
      <c r="G145" s="3903"/>
      <c r="H145" s="3899"/>
      <c r="I145" s="3903"/>
      <c r="J145" s="3903"/>
      <c r="K145" s="3903"/>
      <c r="L145" s="3899"/>
      <c r="M145" s="3912"/>
    </row>
    <row r="146" spans="2:18" ht="15.75" customHeight="1" thickBot="1">
      <c r="B146" s="3904" t="s">
        <v>67</v>
      </c>
      <c r="C146" s="3898"/>
      <c r="D146" s="3905">
        <f>SUM(D134,D136,D138,D140,D142,D144)</f>
        <v>3229</v>
      </c>
      <c r="E146" s="3905">
        <f>SUM(E134,E136,E138,E140,E142,E144)</f>
        <v>774</v>
      </c>
      <c r="F146" s="3905">
        <f>SUM(F134,F136,F138,F140,F142,F144)</f>
        <v>451</v>
      </c>
      <c r="G146" s="3905">
        <f>SUM(G134,G136,G138,G140,G142,G144)</f>
        <v>4454</v>
      </c>
      <c r="H146" s="3899"/>
      <c r="I146" s="3905">
        <f>SUM(I134,I136,I138,I140,I142,I144)</f>
        <v>4142</v>
      </c>
      <c r="J146" s="3905">
        <f>SUM(J134,J136,J138,J140,J142,J144)</f>
        <v>1338</v>
      </c>
      <c r="K146" s="3905">
        <f>SUM(I146:J146)</f>
        <v>5480</v>
      </c>
      <c r="L146" s="3899"/>
      <c r="M146" s="3913">
        <f>+G146/K146</f>
        <v>0.81277372262773717</v>
      </c>
      <c r="O146" s="178"/>
    </row>
    <row r="147" spans="2:18" ht="15.75" customHeight="1">
      <c r="B147" s="6" t="s">
        <v>800</v>
      </c>
      <c r="C147" s="6"/>
      <c r="D147" s="6"/>
      <c r="E147" s="6"/>
      <c r="F147" s="6"/>
      <c r="G147" s="6"/>
      <c r="H147" s="6"/>
      <c r="I147" s="6"/>
      <c r="J147" s="6"/>
      <c r="K147" s="6"/>
      <c r="L147" s="6"/>
      <c r="M147" s="6"/>
    </row>
    <row r="148" spans="2:18" ht="15.75" customHeight="1">
      <c r="B148" s="50" t="s">
        <v>222</v>
      </c>
      <c r="C148" s="43"/>
      <c r="D148" s="43"/>
      <c r="E148" s="43"/>
      <c r="F148" s="43"/>
      <c r="G148" s="43"/>
      <c r="H148" s="43"/>
      <c r="I148" s="43"/>
      <c r="J148" s="43"/>
      <c r="K148" s="43"/>
      <c r="L148" s="43"/>
      <c r="M148" s="43"/>
    </row>
    <row r="149" spans="2:18" ht="15.75" customHeight="1">
      <c r="C149" s="175"/>
      <c r="D149" s="175"/>
      <c r="E149" s="175"/>
      <c r="F149" s="175"/>
      <c r="G149" s="175">
        <v>2013</v>
      </c>
      <c r="H149" s="175"/>
      <c r="I149" s="175"/>
      <c r="J149" s="175"/>
      <c r="K149" s="175"/>
      <c r="L149" s="175"/>
      <c r="M149" s="175"/>
    </row>
    <row r="150" spans="2:18" ht="15.75" customHeight="1">
      <c r="B150" s="2464"/>
      <c r="C150" s="3898"/>
      <c r="D150" s="6051" t="s">
        <v>215</v>
      </c>
      <c r="E150" s="6051"/>
      <c r="F150" s="6051"/>
      <c r="G150" s="6051"/>
      <c r="H150" s="3899"/>
      <c r="I150" s="6051" t="s">
        <v>216</v>
      </c>
      <c r="J150" s="6051"/>
      <c r="K150" s="6051"/>
      <c r="L150" s="3899"/>
      <c r="M150" s="6052" t="s">
        <v>613</v>
      </c>
    </row>
    <row r="151" spans="2:18" ht="15.75" customHeight="1">
      <c r="B151" s="6055" t="s">
        <v>68</v>
      </c>
      <c r="C151" s="3898"/>
      <c r="D151" s="6057" t="s">
        <v>2721</v>
      </c>
      <c r="E151" s="6057"/>
      <c r="F151" s="6057"/>
      <c r="G151" s="6058" t="s">
        <v>2723</v>
      </c>
      <c r="H151" s="3899"/>
      <c r="I151" s="6060" t="s">
        <v>2722</v>
      </c>
      <c r="J151" s="6060"/>
      <c r="K151" s="6058" t="s">
        <v>2724</v>
      </c>
      <c r="L151" s="3899"/>
      <c r="M151" s="6053"/>
    </row>
    <row r="152" spans="2:18" ht="15.75" customHeight="1" thickBot="1">
      <c r="B152" s="6056"/>
      <c r="C152" s="3898"/>
      <c r="D152" s="2583" t="s">
        <v>219</v>
      </c>
      <c r="E152" s="2583" t="s">
        <v>220</v>
      </c>
      <c r="F152" s="2583" t="s">
        <v>221</v>
      </c>
      <c r="G152" s="6059"/>
      <c r="H152" s="3899"/>
      <c r="I152" s="2583" t="s">
        <v>217</v>
      </c>
      <c r="J152" s="2583" t="s">
        <v>218</v>
      </c>
      <c r="K152" s="6059"/>
      <c r="L152" s="3899"/>
      <c r="M152" s="6054"/>
    </row>
    <row r="153" spans="2:18" ht="15.75" customHeight="1">
      <c r="B153" s="3874"/>
      <c r="C153" s="3898"/>
      <c r="D153" s="3874"/>
      <c r="E153" s="3874"/>
      <c r="F153" s="3874"/>
      <c r="G153" s="3874"/>
      <c r="H153" s="3899"/>
      <c r="I153" s="3874"/>
      <c r="J153" s="3874"/>
      <c r="K153" s="3874"/>
      <c r="L153" s="3899"/>
      <c r="M153" s="3874"/>
    </row>
    <row r="154" spans="2:18" ht="15.75" customHeight="1">
      <c r="B154" s="3900" t="s">
        <v>70</v>
      </c>
      <c r="C154" s="3898"/>
      <c r="D154" s="3901">
        <f>870+140</f>
        <v>1010</v>
      </c>
      <c r="E154" s="3901">
        <v>340</v>
      </c>
      <c r="F154" s="3901">
        <v>80</v>
      </c>
      <c r="G154" s="3902">
        <f>SUM(D154:F154)</f>
        <v>1430</v>
      </c>
      <c r="H154" s="3899"/>
      <c r="I154" s="3901">
        <v>1143</v>
      </c>
      <c r="J154" s="3901">
        <v>186</v>
      </c>
      <c r="K154" s="3902">
        <f>SUM(I154:J154)</f>
        <v>1329</v>
      </c>
      <c r="L154" s="3899"/>
      <c r="M154" s="3911">
        <f>+G154/K154</f>
        <v>1.0759969902182092</v>
      </c>
    </row>
    <row r="155" spans="2:18" ht="15.75" customHeight="1">
      <c r="B155" s="3874"/>
      <c r="C155" s="3898"/>
      <c r="D155" s="3903"/>
      <c r="E155" s="3903"/>
      <c r="F155" s="3903"/>
      <c r="G155" s="3903"/>
      <c r="H155" s="3899"/>
      <c r="I155" s="3903"/>
      <c r="J155" s="3903"/>
      <c r="K155" s="3903"/>
      <c r="L155" s="3899"/>
      <c r="M155" s="3912"/>
    </row>
    <row r="156" spans="2:18" ht="15.75" customHeight="1">
      <c r="B156" s="3900" t="s">
        <v>72</v>
      </c>
      <c r="C156" s="3898"/>
      <c r="D156" s="3901">
        <f>148+30</f>
        <v>178</v>
      </c>
      <c r="E156" s="3901">
        <v>14</v>
      </c>
      <c r="F156" s="3901">
        <v>15</v>
      </c>
      <c r="G156" s="3902">
        <f>SUM(D156:F156)</f>
        <v>207</v>
      </c>
      <c r="H156" s="3899"/>
      <c r="I156" s="3901">
        <v>118</v>
      </c>
      <c r="J156" s="3901">
        <v>98</v>
      </c>
      <c r="K156" s="3902">
        <f>SUM(I156:J156)</f>
        <v>216</v>
      </c>
      <c r="L156" s="3899"/>
      <c r="M156" s="3911">
        <f>+G156/K156</f>
        <v>0.95833333333333337</v>
      </c>
      <c r="R156" s="127"/>
    </row>
    <row r="157" spans="2:18" ht="15.75" customHeight="1">
      <c r="B157" s="3874"/>
      <c r="C157" s="3898"/>
      <c r="D157" s="3903"/>
      <c r="E157" s="3903"/>
      <c r="F157" s="3903"/>
      <c r="G157" s="3903"/>
      <c r="H157" s="3899"/>
      <c r="I157" s="3903"/>
      <c r="J157" s="3903"/>
      <c r="K157" s="3903"/>
      <c r="L157" s="3899"/>
      <c r="M157" s="3912"/>
    </row>
    <row r="158" spans="2:18" ht="15.75" customHeight="1">
      <c r="B158" s="3900" t="s">
        <v>73</v>
      </c>
      <c r="C158" s="3898"/>
      <c r="D158" s="3901">
        <f>758 +165</f>
        <v>923</v>
      </c>
      <c r="E158" s="3901">
        <v>188</v>
      </c>
      <c r="F158" s="3901">
        <v>181</v>
      </c>
      <c r="G158" s="3902">
        <f>SUM(D158:F158)</f>
        <v>1292</v>
      </c>
      <c r="H158" s="3899"/>
      <c r="I158" s="3901">
        <v>985</v>
      </c>
      <c r="J158" s="3901">
        <v>213</v>
      </c>
      <c r="K158" s="3902">
        <f>SUM(I158:J158)</f>
        <v>1198</v>
      </c>
      <c r="L158" s="3899"/>
      <c r="M158" s="3911">
        <f>+G158/K158</f>
        <v>1.0784641068447411</v>
      </c>
    </row>
    <row r="159" spans="2:18" ht="15.75" customHeight="1">
      <c r="B159" s="3874"/>
      <c r="C159" s="3898"/>
      <c r="D159" s="3903"/>
      <c r="E159" s="3903"/>
      <c r="F159" s="3903"/>
      <c r="G159" s="3903"/>
      <c r="H159" s="3899"/>
      <c r="I159" s="3903"/>
      <c r="J159" s="3903"/>
      <c r="K159" s="3903"/>
      <c r="L159" s="3899"/>
      <c r="M159" s="3912"/>
    </row>
    <row r="160" spans="2:18" ht="15.75" customHeight="1">
      <c r="B160" s="3900" t="s">
        <v>82</v>
      </c>
      <c r="C160" s="3898"/>
      <c r="D160" s="3901">
        <f>43+20</f>
        <v>63</v>
      </c>
      <c r="E160" s="3901"/>
      <c r="F160" s="3901"/>
      <c r="G160" s="3902">
        <f>SUM(D160:F160)</f>
        <v>63</v>
      </c>
      <c r="H160" s="3899"/>
      <c r="I160" s="3901">
        <v>5</v>
      </c>
      <c r="J160" s="3901">
        <v>51</v>
      </c>
      <c r="K160" s="3902">
        <f>SUM(I160:J160)</f>
        <v>56</v>
      </c>
      <c r="L160" s="3899"/>
      <c r="M160" s="3911">
        <f>+G160/K160</f>
        <v>1.125</v>
      </c>
    </row>
    <row r="161" spans="2:15" ht="15.75" customHeight="1">
      <c r="B161" s="3874"/>
      <c r="C161" s="3898"/>
      <c r="D161" s="3903"/>
      <c r="E161" s="3903"/>
      <c r="F161" s="3903"/>
      <c r="G161" s="3903"/>
      <c r="H161" s="3899"/>
      <c r="I161" s="3903"/>
      <c r="J161" s="3903"/>
      <c r="K161" s="3903"/>
      <c r="L161" s="3899"/>
      <c r="M161" s="3912"/>
    </row>
    <row r="162" spans="2:15" ht="15.75" customHeight="1">
      <c r="B162" s="3900" t="s">
        <v>74</v>
      </c>
      <c r="C162" s="3898"/>
      <c r="D162" s="3901">
        <f>825+137</f>
        <v>962</v>
      </c>
      <c r="E162" s="3901">
        <v>235</v>
      </c>
      <c r="F162" s="3901">
        <v>194</v>
      </c>
      <c r="G162" s="3902">
        <f>SUM(D162:F162)</f>
        <v>1391</v>
      </c>
      <c r="H162" s="3899"/>
      <c r="I162" s="3901">
        <v>1117</v>
      </c>
      <c r="J162" s="3901">
        <v>229</v>
      </c>
      <c r="K162" s="3902">
        <f>SUM(I162:J162)</f>
        <v>1346</v>
      </c>
      <c r="L162" s="3899"/>
      <c r="M162" s="3911">
        <f>+G162/K162</f>
        <v>1.0334323922734028</v>
      </c>
    </row>
    <row r="163" spans="2:15" ht="15.75" customHeight="1">
      <c r="B163" s="3874"/>
      <c r="C163" s="3898"/>
      <c r="D163" s="3903"/>
      <c r="E163" s="3903"/>
      <c r="F163" s="3903"/>
      <c r="G163" s="3903"/>
      <c r="H163" s="3899"/>
      <c r="I163" s="3903"/>
      <c r="J163" s="3903"/>
      <c r="K163" s="3903"/>
      <c r="L163" s="3899"/>
      <c r="M163" s="3912"/>
    </row>
    <row r="164" spans="2:15" ht="15.75" customHeight="1">
      <c r="B164" s="3900" t="s">
        <v>191</v>
      </c>
      <c r="C164" s="3898"/>
      <c r="D164" s="3901">
        <v>5</v>
      </c>
      <c r="E164" s="3901"/>
      <c r="F164" s="3901"/>
      <c r="G164" s="3902">
        <f>SUM(D164:F164)</f>
        <v>5</v>
      </c>
      <c r="H164" s="3899"/>
      <c r="I164" s="3901">
        <v>676</v>
      </c>
      <c r="J164" s="3901">
        <v>535</v>
      </c>
      <c r="K164" s="3902">
        <f>SUM(I164:J164)</f>
        <v>1211</v>
      </c>
      <c r="L164" s="3899"/>
      <c r="M164" s="3911">
        <f>+G164/K164</f>
        <v>4.1288191577208916E-3</v>
      </c>
    </row>
    <row r="165" spans="2:15" ht="15.75" customHeight="1">
      <c r="B165" s="3874"/>
      <c r="C165" s="3898"/>
      <c r="D165" s="3903"/>
      <c r="E165" s="3903"/>
      <c r="F165" s="3903"/>
      <c r="G165" s="3903"/>
      <c r="H165" s="3899"/>
      <c r="I165" s="3903"/>
      <c r="J165" s="3903"/>
      <c r="K165" s="3903"/>
      <c r="L165" s="3899"/>
      <c r="M165" s="3912"/>
    </row>
    <row r="166" spans="2:15" ht="15.75" customHeight="1" thickBot="1">
      <c r="B166" s="3904" t="s">
        <v>67</v>
      </c>
      <c r="C166" s="3898"/>
      <c r="D166" s="3905">
        <f>SUM(D154,D156,D158,D160,D162,D164)</f>
        <v>3141</v>
      </c>
      <c r="E166" s="3905">
        <f>SUM(E154,E156,E158,E160,E162,E164)</f>
        <v>777</v>
      </c>
      <c r="F166" s="3905">
        <f>SUM(F154,F156,F158,F160,F162,F164)</f>
        <v>470</v>
      </c>
      <c r="G166" s="3905">
        <f>SUM(G154,G156,G158,G160,G162,G164)</f>
        <v>4388</v>
      </c>
      <c r="H166" s="3899"/>
      <c r="I166" s="3905">
        <f>SUM(I154,I156,I158,I160,I162,I164)</f>
        <v>4044</v>
      </c>
      <c r="J166" s="3905">
        <f>SUM(J154,J156,J158,J160,J162,J164)</f>
        <v>1312</v>
      </c>
      <c r="K166" s="3905">
        <f>SUM(I166:J166)</f>
        <v>5356</v>
      </c>
      <c r="L166" s="3899"/>
      <c r="M166" s="3913">
        <f>+G166/K166</f>
        <v>0.81926811053024651</v>
      </c>
      <c r="O166" s="178"/>
    </row>
    <row r="167" spans="2:15" ht="15.75" customHeight="1">
      <c r="B167" s="6" t="s">
        <v>614</v>
      </c>
      <c r="C167" s="6"/>
      <c r="D167" s="6"/>
      <c r="E167" s="6"/>
      <c r="F167" s="6"/>
      <c r="G167" s="6"/>
      <c r="H167" s="6"/>
      <c r="I167" s="6"/>
      <c r="J167" s="6"/>
      <c r="K167" s="6"/>
      <c r="L167" s="6"/>
      <c r="M167" s="6"/>
    </row>
    <row r="168" spans="2:15" ht="15.75" customHeight="1">
      <c r="B168" s="50" t="s">
        <v>222</v>
      </c>
      <c r="C168" s="43"/>
      <c r="D168" s="43"/>
      <c r="E168" s="43"/>
      <c r="F168" s="43"/>
      <c r="G168" s="43"/>
      <c r="H168" s="43"/>
      <c r="I168" s="43"/>
      <c r="J168" s="43"/>
      <c r="K168" s="43"/>
      <c r="L168" s="43"/>
      <c r="M168" s="43"/>
    </row>
    <row r="169" spans="2:15" ht="15.75" customHeight="1">
      <c r="B169" s="89"/>
      <c r="C169" s="89"/>
      <c r="D169" s="89"/>
      <c r="E169" s="89"/>
      <c r="F169" s="89"/>
      <c r="G169" s="89"/>
      <c r="H169" s="89"/>
      <c r="I169" s="89"/>
      <c r="J169" s="89"/>
      <c r="K169" s="89"/>
      <c r="L169" s="89"/>
      <c r="M169" s="89"/>
    </row>
    <row r="170" spans="2:15" ht="15.75" customHeight="1">
      <c r="G170" s="175">
        <v>2012</v>
      </c>
    </row>
    <row r="171" spans="2:15" ht="15.75" customHeight="1">
      <c r="B171" s="2464"/>
      <c r="C171" s="3898"/>
      <c r="D171" s="6051" t="s">
        <v>215</v>
      </c>
      <c r="E171" s="6051"/>
      <c r="F171" s="6051"/>
      <c r="G171" s="6051"/>
      <c r="H171" s="3899"/>
      <c r="I171" s="6051" t="s">
        <v>216</v>
      </c>
      <c r="J171" s="6051"/>
      <c r="K171" s="6051"/>
      <c r="L171" s="3899"/>
      <c r="M171" s="6052" t="s">
        <v>613</v>
      </c>
    </row>
    <row r="172" spans="2:15" ht="15.75" customHeight="1">
      <c r="B172" s="6055" t="s">
        <v>68</v>
      </c>
      <c r="C172" s="3898"/>
      <c r="D172" s="6057" t="s">
        <v>2721</v>
      </c>
      <c r="E172" s="6057"/>
      <c r="F172" s="6057"/>
      <c r="G172" s="6058" t="s">
        <v>2723</v>
      </c>
      <c r="H172" s="3899"/>
      <c r="I172" s="6060" t="s">
        <v>2722</v>
      </c>
      <c r="J172" s="6060"/>
      <c r="K172" s="6058" t="s">
        <v>2724</v>
      </c>
      <c r="L172" s="3899"/>
      <c r="M172" s="6053"/>
    </row>
    <row r="173" spans="2:15" ht="15.75" customHeight="1" thickBot="1">
      <c r="B173" s="6056"/>
      <c r="C173" s="3898"/>
      <c r="D173" s="2583" t="s">
        <v>219</v>
      </c>
      <c r="E173" s="2583" t="s">
        <v>220</v>
      </c>
      <c r="F173" s="2583" t="s">
        <v>221</v>
      </c>
      <c r="G173" s="6059"/>
      <c r="H173" s="3899"/>
      <c r="I173" s="2583" t="s">
        <v>217</v>
      </c>
      <c r="J173" s="2583" t="s">
        <v>218</v>
      </c>
      <c r="K173" s="6059"/>
      <c r="L173" s="3899"/>
      <c r="M173" s="6054"/>
    </row>
    <row r="174" spans="2:15" ht="15.75" customHeight="1">
      <c r="B174" s="3874"/>
      <c r="C174" s="3898"/>
      <c r="D174" s="3874"/>
      <c r="E174" s="3874"/>
      <c r="F174" s="3874"/>
      <c r="G174" s="3874"/>
      <c r="H174" s="3899"/>
      <c r="I174" s="3874"/>
      <c r="J174" s="3874"/>
      <c r="K174" s="3874"/>
      <c r="L174" s="3899"/>
      <c r="M174" s="3874"/>
    </row>
    <row r="175" spans="2:15" ht="15.75" customHeight="1">
      <c r="B175" s="3900" t="s">
        <v>70</v>
      </c>
      <c r="C175" s="3898"/>
      <c r="D175" s="3901">
        <v>984</v>
      </c>
      <c r="E175" s="3901">
        <v>381</v>
      </c>
      <c r="F175" s="3901">
        <v>115</v>
      </c>
      <c r="G175" s="3902">
        <f>SUM(D175:F175)</f>
        <v>1480</v>
      </c>
      <c r="H175" s="3899"/>
      <c r="I175" s="3901">
        <v>1152</v>
      </c>
      <c r="J175" s="3901">
        <v>182</v>
      </c>
      <c r="K175" s="3902">
        <f>SUM(I175:J175)</f>
        <v>1334</v>
      </c>
      <c r="L175" s="3899"/>
      <c r="M175" s="3911">
        <f>+G175/K175</f>
        <v>1.1094452773613193</v>
      </c>
    </row>
    <row r="176" spans="2:15" ht="15.75" customHeight="1">
      <c r="B176" s="3874"/>
      <c r="C176" s="3898"/>
      <c r="D176" s="3903"/>
      <c r="E176" s="3903"/>
      <c r="F176" s="3903"/>
      <c r="G176" s="3903"/>
      <c r="H176" s="3899"/>
      <c r="I176" s="3903"/>
      <c r="J176" s="3903"/>
      <c r="K176" s="3903"/>
      <c r="L176" s="3899"/>
      <c r="M176" s="3912"/>
    </row>
    <row r="177" spans="2:15" ht="15.75" customHeight="1">
      <c r="B177" s="3900" t="s">
        <v>72</v>
      </c>
      <c r="C177" s="3898"/>
      <c r="D177" s="3901">
        <v>184</v>
      </c>
      <c r="E177" s="3901">
        <v>20</v>
      </c>
      <c r="F177" s="3901">
        <v>10</v>
      </c>
      <c r="G177" s="3902">
        <f>SUM(D177:F177)</f>
        <v>214</v>
      </c>
      <c r="H177" s="3899"/>
      <c r="I177" s="3901">
        <v>123</v>
      </c>
      <c r="J177" s="3901">
        <v>95</v>
      </c>
      <c r="K177" s="3902">
        <f>SUM(I177:J177)</f>
        <v>218</v>
      </c>
      <c r="L177" s="3899"/>
      <c r="M177" s="3911">
        <f>+G177/K177</f>
        <v>0.98165137614678899</v>
      </c>
    </row>
    <row r="178" spans="2:15" ht="15.75" customHeight="1">
      <c r="B178" s="3874"/>
      <c r="C178" s="3898"/>
      <c r="D178" s="3903"/>
      <c r="E178" s="3903"/>
      <c r="F178" s="3903"/>
      <c r="G178" s="3903"/>
      <c r="H178" s="3899"/>
      <c r="I178" s="3903"/>
      <c r="J178" s="3903"/>
      <c r="K178" s="3903"/>
      <c r="L178" s="3899"/>
      <c r="M178" s="3912"/>
    </row>
    <row r="179" spans="2:15" ht="15.75" customHeight="1">
      <c r="B179" s="3900" t="s">
        <v>73</v>
      </c>
      <c r="C179" s="3898"/>
      <c r="D179" s="3901">
        <v>901</v>
      </c>
      <c r="E179" s="3901">
        <v>189</v>
      </c>
      <c r="F179" s="3901">
        <v>200</v>
      </c>
      <c r="G179" s="3902">
        <f>SUM(D179:F179)</f>
        <v>1290</v>
      </c>
      <c r="H179" s="3899"/>
      <c r="I179" s="3901">
        <v>996</v>
      </c>
      <c r="J179" s="3901">
        <v>203</v>
      </c>
      <c r="K179" s="3902">
        <f>SUM(I179:J179)</f>
        <v>1199</v>
      </c>
      <c r="L179" s="3899"/>
      <c r="M179" s="3911">
        <f>+G179/K179</f>
        <v>1.0758965804837364</v>
      </c>
    </row>
    <row r="180" spans="2:15" ht="15.75" customHeight="1">
      <c r="B180" s="3874"/>
      <c r="C180" s="3898"/>
      <c r="D180" s="3903"/>
      <c r="E180" s="3903"/>
      <c r="F180" s="3903"/>
      <c r="G180" s="3903"/>
      <c r="H180" s="3899"/>
      <c r="I180" s="3903"/>
      <c r="J180" s="3903"/>
      <c r="K180" s="3903"/>
      <c r="L180" s="3899"/>
      <c r="M180" s="3912"/>
    </row>
    <row r="181" spans="2:15" ht="15.75" customHeight="1">
      <c r="B181" s="3900" t="s">
        <v>82</v>
      </c>
      <c r="C181" s="3898"/>
      <c r="D181" s="3901">
        <v>46</v>
      </c>
      <c r="E181" s="3901"/>
      <c r="F181" s="3901"/>
      <c r="G181" s="3902">
        <f>SUM(D181:F181)</f>
        <v>46</v>
      </c>
      <c r="H181" s="3899"/>
      <c r="I181" s="3901">
        <v>3</v>
      </c>
      <c r="J181" s="3901">
        <v>47</v>
      </c>
      <c r="K181" s="3902">
        <f>SUM(I181:J181)</f>
        <v>50</v>
      </c>
      <c r="L181" s="3899"/>
      <c r="M181" s="3911">
        <f>+G181/K181</f>
        <v>0.92</v>
      </c>
    </row>
    <row r="182" spans="2:15" ht="15.75" customHeight="1">
      <c r="B182" s="3874"/>
      <c r="C182" s="3898"/>
      <c r="D182" s="3903"/>
      <c r="E182" s="3903"/>
      <c r="F182" s="3903"/>
      <c r="G182" s="3903"/>
      <c r="H182" s="3899"/>
      <c r="I182" s="3903"/>
      <c r="J182" s="3903"/>
      <c r="K182" s="3903"/>
      <c r="L182" s="3899"/>
      <c r="M182" s="3912"/>
    </row>
    <row r="183" spans="2:15" ht="15.75" customHeight="1">
      <c r="B183" s="3900" t="s">
        <v>74</v>
      </c>
      <c r="C183" s="3898"/>
      <c r="D183" s="3901">
        <v>959</v>
      </c>
      <c r="E183" s="3901">
        <v>223</v>
      </c>
      <c r="F183" s="3901">
        <v>196</v>
      </c>
      <c r="G183" s="3902">
        <f>SUM(D183:F183)</f>
        <v>1378</v>
      </c>
      <c r="H183" s="3899"/>
      <c r="I183" s="3901">
        <v>1135</v>
      </c>
      <c r="J183" s="3901">
        <v>228</v>
      </c>
      <c r="K183" s="3902">
        <f>SUM(I183:J183)</f>
        <v>1363</v>
      </c>
      <c r="L183" s="3899"/>
      <c r="M183" s="3911">
        <f>+G183/K183</f>
        <v>1.0110051357300074</v>
      </c>
    </row>
    <row r="184" spans="2:15" ht="15.75" customHeight="1">
      <c r="B184" s="3874"/>
      <c r="C184" s="3898"/>
      <c r="D184" s="3903"/>
      <c r="E184" s="3903"/>
      <c r="F184" s="3903"/>
      <c r="G184" s="3903"/>
      <c r="H184" s="3899"/>
      <c r="I184" s="3903"/>
      <c r="J184" s="3903"/>
      <c r="K184" s="3903"/>
      <c r="L184" s="3899"/>
      <c r="M184" s="3912"/>
    </row>
    <row r="185" spans="2:15" ht="15.75" customHeight="1">
      <c r="B185" s="3900" t="s">
        <v>191</v>
      </c>
      <c r="C185" s="3898"/>
      <c r="D185" s="3901">
        <v>4</v>
      </c>
      <c r="E185" s="3901"/>
      <c r="F185" s="3901"/>
      <c r="G185" s="3902">
        <f>SUM(D185:F185)</f>
        <v>4</v>
      </c>
      <c r="H185" s="3899"/>
      <c r="I185" s="3901">
        <v>689</v>
      </c>
      <c r="J185" s="3901">
        <v>530</v>
      </c>
      <c r="K185" s="3902">
        <f>SUM(I185:J185)</f>
        <v>1219</v>
      </c>
      <c r="L185" s="3899"/>
      <c r="M185" s="3911">
        <f>+G185/K185</f>
        <v>3.2813781788351109E-3</v>
      </c>
    </row>
    <row r="186" spans="2:15" ht="15.75" customHeight="1">
      <c r="B186" s="3874"/>
      <c r="C186" s="3898"/>
      <c r="D186" s="3903"/>
      <c r="E186" s="3903"/>
      <c r="F186" s="3903"/>
      <c r="G186" s="3903"/>
      <c r="H186" s="3899"/>
      <c r="I186" s="3903"/>
      <c r="J186" s="3903"/>
      <c r="K186" s="3903"/>
      <c r="L186" s="3899"/>
      <c r="M186" s="3912"/>
    </row>
    <row r="187" spans="2:15" ht="15.75" customHeight="1" thickBot="1">
      <c r="B187" s="3904" t="s">
        <v>67</v>
      </c>
      <c r="C187" s="3898"/>
      <c r="D187" s="3905">
        <f>SUM(D175,D177,D179,D181,D183,D185)</f>
        <v>3078</v>
      </c>
      <c r="E187" s="3905">
        <f>SUM(E175,E177,E179,E181,E183,E185)</f>
        <v>813</v>
      </c>
      <c r="F187" s="3905">
        <f>SUM(F175,F177,F179,F181,F183,F185)</f>
        <v>521</v>
      </c>
      <c r="G187" s="3905">
        <f>SUM(D187:F187)</f>
        <v>4412</v>
      </c>
      <c r="H187" s="3899"/>
      <c r="I187" s="3905">
        <f>SUM(I175,I177,I179,I181,I183,I185)</f>
        <v>4098</v>
      </c>
      <c r="J187" s="3905">
        <f>SUM(J175,J177,J179,J181,J183,J185)</f>
        <v>1285</v>
      </c>
      <c r="K187" s="3905">
        <f>SUM(I187:J187)</f>
        <v>5383</v>
      </c>
      <c r="L187" s="3899"/>
      <c r="M187" s="3913">
        <f>+G187/K187</f>
        <v>0.81961731376555824</v>
      </c>
      <c r="O187" s="127"/>
    </row>
    <row r="188" spans="2:15" ht="15.75" customHeight="1">
      <c r="B188" s="6" t="s">
        <v>503</v>
      </c>
      <c r="C188" s="6"/>
      <c r="D188" s="6"/>
      <c r="E188" s="6"/>
      <c r="F188" s="6"/>
      <c r="G188" s="6"/>
      <c r="H188" s="6"/>
      <c r="I188" s="6"/>
      <c r="J188" s="6"/>
      <c r="K188" s="6"/>
      <c r="L188" s="6"/>
      <c r="M188" s="6"/>
    </row>
    <row r="189" spans="2:15" ht="15.75" customHeight="1">
      <c r="B189" s="50" t="s">
        <v>222</v>
      </c>
      <c r="C189" s="43"/>
      <c r="D189" s="43"/>
      <c r="E189" s="43"/>
      <c r="F189" s="43"/>
      <c r="G189" s="43"/>
      <c r="H189" s="43"/>
      <c r="I189" s="43"/>
      <c r="J189" s="43"/>
      <c r="K189" s="43"/>
      <c r="L189" s="43"/>
      <c r="M189" s="43"/>
    </row>
    <row r="190" spans="2:15" ht="15.75" customHeight="1"/>
    <row r="191" spans="2:15" ht="15.75" customHeight="1">
      <c r="G191" s="175">
        <v>2011</v>
      </c>
    </row>
    <row r="192" spans="2:15" ht="15.75" customHeight="1">
      <c r="B192" s="2464"/>
      <c r="C192" s="3898"/>
      <c r="D192" s="6051" t="s">
        <v>215</v>
      </c>
      <c r="E192" s="6051"/>
      <c r="F192" s="6051"/>
      <c r="G192" s="6051"/>
      <c r="H192" s="3899"/>
      <c r="I192" s="6051" t="s">
        <v>216</v>
      </c>
      <c r="J192" s="6051"/>
      <c r="K192" s="6051"/>
      <c r="L192" s="3899"/>
      <c r="M192" s="6052" t="s">
        <v>613</v>
      </c>
    </row>
    <row r="193" spans="2:14" ht="15.75" customHeight="1">
      <c r="B193" s="6055" t="s">
        <v>68</v>
      </c>
      <c r="C193" s="3898"/>
      <c r="D193" s="6057" t="s">
        <v>2721</v>
      </c>
      <c r="E193" s="6057"/>
      <c r="F193" s="6057"/>
      <c r="G193" s="6058" t="s">
        <v>2723</v>
      </c>
      <c r="H193" s="3899"/>
      <c r="I193" s="6060" t="s">
        <v>2722</v>
      </c>
      <c r="J193" s="6060"/>
      <c r="K193" s="6058" t="s">
        <v>2724</v>
      </c>
      <c r="L193" s="3899"/>
      <c r="M193" s="6053"/>
      <c r="N193" s="74"/>
    </row>
    <row r="194" spans="2:14" ht="15.75" customHeight="1" thickBot="1">
      <c r="B194" s="6056"/>
      <c r="C194" s="3898"/>
      <c r="D194" s="2583" t="s">
        <v>219</v>
      </c>
      <c r="E194" s="2583" t="s">
        <v>220</v>
      </c>
      <c r="F194" s="2583" t="s">
        <v>221</v>
      </c>
      <c r="G194" s="6059"/>
      <c r="H194" s="3899"/>
      <c r="I194" s="2583" t="s">
        <v>217</v>
      </c>
      <c r="J194" s="2583" t="s">
        <v>218</v>
      </c>
      <c r="K194" s="6059"/>
      <c r="L194" s="3899"/>
      <c r="M194" s="6054"/>
    </row>
    <row r="195" spans="2:14" ht="15.75" customHeight="1">
      <c r="B195" s="3874"/>
      <c r="C195" s="3898"/>
      <c r="D195" s="3874"/>
      <c r="E195" s="3874"/>
      <c r="F195" s="3874"/>
      <c r="G195" s="3874"/>
      <c r="H195" s="3899"/>
      <c r="I195" s="3874"/>
      <c r="J195" s="3874"/>
      <c r="K195" s="3874"/>
      <c r="L195" s="3899"/>
      <c r="M195" s="3874"/>
    </row>
    <row r="196" spans="2:14" ht="15.75" customHeight="1">
      <c r="B196" s="3900" t="s">
        <v>70</v>
      </c>
      <c r="C196" s="3898"/>
      <c r="D196" s="3901">
        <v>942</v>
      </c>
      <c r="E196" s="3901">
        <v>375</v>
      </c>
      <c r="F196" s="3901">
        <v>153</v>
      </c>
      <c r="G196" s="3902">
        <f>SUM(D196:F196)</f>
        <v>1470</v>
      </c>
      <c r="H196" s="3899"/>
      <c r="I196" s="3901">
        <v>1156</v>
      </c>
      <c r="J196" s="3901">
        <v>184</v>
      </c>
      <c r="K196" s="3902">
        <f>SUM(I196:J196)</f>
        <v>1340</v>
      </c>
      <c r="L196" s="3899"/>
      <c r="M196" s="3911">
        <f>+G196/K196</f>
        <v>1.0970149253731343</v>
      </c>
    </row>
    <row r="197" spans="2:14" ht="15.75" customHeight="1">
      <c r="B197" s="3874"/>
      <c r="C197" s="3898"/>
      <c r="D197" s="3903"/>
      <c r="E197" s="3903"/>
      <c r="F197" s="3903"/>
      <c r="G197" s="3903"/>
      <c r="H197" s="3899"/>
      <c r="I197" s="3903"/>
      <c r="J197" s="3903"/>
      <c r="K197" s="3903"/>
      <c r="L197" s="3899"/>
      <c r="M197" s="3912"/>
    </row>
    <row r="198" spans="2:14" ht="15.75" customHeight="1">
      <c r="B198" s="3900" t="s">
        <v>72</v>
      </c>
      <c r="C198" s="3898"/>
      <c r="D198" s="3901">
        <v>177</v>
      </c>
      <c r="E198" s="3901">
        <v>19</v>
      </c>
      <c r="F198" s="3901">
        <v>9</v>
      </c>
      <c r="G198" s="3902">
        <f>SUM(D198:F198)</f>
        <v>205</v>
      </c>
      <c r="H198" s="3899"/>
      <c r="I198" s="3901">
        <v>101</v>
      </c>
      <c r="J198" s="3901">
        <v>87</v>
      </c>
      <c r="K198" s="3902">
        <f>SUM(I198:J198)</f>
        <v>188</v>
      </c>
      <c r="L198" s="3899"/>
      <c r="M198" s="3911">
        <f>+G198/K198</f>
        <v>1.0904255319148937</v>
      </c>
    </row>
    <row r="199" spans="2:14" ht="15.75" customHeight="1">
      <c r="B199" s="3874"/>
      <c r="C199" s="3898"/>
      <c r="D199" s="3903"/>
      <c r="E199" s="3903"/>
      <c r="F199" s="3903"/>
      <c r="G199" s="3903"/>
      <c r="H199" s="3899"/>
      <c r="I199" s="3903"/>
      <c r="J199" s="3903"/>
      <c r="K199" s="3903"/>
      <c r="L199" s="3899"/>
      <c r="M199" s="3912"/>
    </row>
    <row r="200" spans="2:14" ht="15.75" customHeight="1">
      <c r="B200" s="3900" t="s">
        <v>73</v>
      </c>
      <c r="C200" s="3898"/>
      <c r="D200" s="3901">
        <v>881</v>
      </c>
      <c r="E200" s="3901">
        <v>184</v>
      </c>
      <c r="F200" s="3901">
        <v>220</v>
      </c>
      <c r="G200" s="3902">
        <f>SUM(D200:F200)</f>
        <v>1285</v>
      </c>
      <c r="H200" s="3899"/>
      <c r="I200" s="3901">
        <v>1000</v>
      </c>
      <c r="J200" s="3901">
        <v>200</v>
      </c>
      <c r="K200" s="3902">
        <f>SUM(I200:J200)</f>
        <v>1200</v>
      </c>
      <c r="L200" s="3899"/>
      <c r="M200" s="3911">
        <f>+G200/K200</f>
        <v>1.0708333333333333</v>
      </c>
    </row>
    <row r="201" spans="2:14" ht="15.75" customHeight="1">
      <c r="B201" s="3874"/>
      <c r="C201" s="3898"/>
      <c r="D201" s="3903"/>
      <c r="E201" s="3903"/>
      <c r="F201" s="3903"/>
      <c r="G201" s="3903"/>
      <c r="H201" s="3899"/>
      <c r="I201" s="3903"/>
      <c r="J201" s="3903"/>
      <c r="K201" s="3903"/>
      <c r="L201" s="3899"/>
      <c r="M201" s="3912"/>
    </row>
    <row r="202" spans="2:14" ht="15.75" customHeight="1">
      <c r="B202" s="3900" t="s">
        <v>82</v>
      </c>
      <c r="C202" s="3898"/>
      <c r="D202" s="3901">
        <v>27</v>
      </c>
      <c r="E202" s="3901">
        <v>0</v>
      </c>
      <c r="F202" s="3901">
        <v>0</v>
      </c>
      <c r="G202" s="3902">
        <f>SUM(D202:F202)</f>
        <v>27</v>
      </c>
      <c r="H202" s="3899"/>
      <c r="I202" s="3901">
        <v>0</v>
      </c>
      <c r="J202" s="3901">
        <v>41</v>
      </c>
      <c r="K202" s="3902">
        <f>SUM(I202:J202)</f>
        <v>41</v>
      </c>
      <c r="L202" s="3899"/>
      <c r="M202" s="3911">
        <f>+G202/K202</f>
        <v>0.65853658536585369</v>
      </c>
    </row>
    <row r="203" spans="2:14" ht="15.75" customHeight="1">
      <c r="B203" s="3874"/>
      <c r="C203" s="3898"/>
      <c r="D203" s="3903"/>
      <c r="E203" s="3903"/>
      <c r="F203" s="3903"/>
      <c r="G203" s="3903"/>
      <c r="H203" s="3899"/>
      <c r="I203" s="3903"/>
      <c r="J203" s="3903"/>
      <c r="K203" s="3903"/>
      <c r="L203" s="3899"/>
      <c r="M203" s="3912"/>
    </row>
    <row r="204" spans="2:14" ht="15.75" customHeight="1">
      <c r="B204" s="3900" t="s">
        <v>74</v>
      </c>
      <c r="C204" s="3898"/>
      <c r="D204" s="3901">
        <v>910</v>
      </c>
      <c r="E204" s="3901">
        <v>233</v>
      </c>
      <c r="F204" s="3901">
        <v>246</v>
      </c>
      <c r="G204" s="3902">
        <f>SUM(D204:F204)</f>
        <v>1389</v>
      </c>
      <c r="H204" s="3899"/>
      <c r="I204" s="3901">
        <v>1144</v>
      </c>
      <c r="J204" s="3901">
        <v>224</v>
      </c>
      <c r="K204" s="3902">
        <f>SUM(I204:J204)</f>
        <v>1368</v>
      </c>
      <c r="L204" s="3899"/>
      <c r="M204" s="3911">
        <f>+G204/K204</f>
        <v>1.0153508771929824</v>
      </c>
    </row>
    <row r="205" spans="2:14" ht="15.75" customHeight="1">
      <c r="B205" s="3874"/>
      <c r="C205" s="3898"/>
      <c r="D205" s="3903"/>
      <c r="E205" s="3903"/>
      <c r="F205" s="3903"/>
      <c r="G205" s="3903"/>
      <c r="H205" s="3899"/>
      <c r="I205" s="3903"/>
      <c r="J205" s="3903"/>
      <c r="K205" s="3903"/>
      <c r="L205" s="3899"/>
      <c r="M205" s="3912"/>
    </row>
    <row r="206" spans="2:14" ht="15.75" customHeight="1">
      <c r="B206" s="3900" t="s">
        <v>191</v>
      </c>
      <c r="C206" s="3898"/>
      <c r="D206" s="3901">
        <f>0+5</f>
        <v>5</v>
      </c>
      <c r="E206" s="3901">
        <v>0</v>
      </c>
      <c r="F206" s="3901">
        <v>0</v>
      </c>
      <c r="G206" s="3902">
        <f>SUM(D206:F206)</f>
        <v>5</v>
      </c>
      <c r="H206" s="3899"/>
      <c r="I206" s="3901">
        <v>683</v>
      </c>
      <c r="J206" s="3901">
        <v>512</v>
      </c>
      <c r="K206" s="3902">
        <f>SUM(I206:J206)</f>
        <v>1195</v>
      </c>
      <c r="L206" s="3899"/>
      <c r="M206" s="3911">
        <f>+G206/K206</f>
        <v>4.1841004184100415E-3</v>
      </c>
    </row>
    <row r="207" spans="2:14" ht="15.75" customHeight="1">
      <c r="B207" s="3874"/>
      <c r="C207" s="3898"/>
      <c r="D207" s="3903"/>
      <c r="E207" s="3903"/>
      <c r="F207" s="3903"/>
      <c r="G207" s="3903"/>
      <c r="H207" s="3899"/>
      <c r="I207" s="3903"/>
      <c r="J207" s="3903"/>
      <c r="K207" s="3903"/>
      <c r="L207" s="3899"/>
      <c r="M207" s="3912"/>
    </row>
    <row r="208" spans="2:14" ht="15.75" customHeight="1" thickBot="1">
      <c r="B208" s="3904" t="s">
        <v>67</v>
      </c>
      <c r="C208" s="3898"/>
      <c r="D208" s="3905">
        <f>SUM(D196,D198,D200,D202,D204,D206)</f>
        <v>2942</v>
      </c>
      <c r="E208" s="3905">
        <f>SUM(E196,E198,E200,E202,E204,E206)</f>
        <v>811</v>
      </c>
      <c r="F208" s="3905">
        <f>SUM(F196,F198,F200,F202,F204,F206)</f>
        <v>628</v>
      </c>
      <c r="G208" s="3905">
        <f>SUM(D208:F208)</f>
        <v>4381</v>
      </c>
      <c r="H208" s="3899"/>
      <c r="I208" s="3905">
        <f>SUM(I196,I198,I200,I202,I204,I206)</f>
        <v>4084</v>
      </c>
      <c r="J208" s="3905">
        <f>SUM(J196,J198,J200,J202,J204,J206)</f>
        <v>1248</v>
      </c>
      <c r="K208" s="3905">
        <f>SUM(I208:J208)</f>
        <v>5332</v>
      </c>
      <c r="L208" s="3899"/>
      <c r="M208" s="3913">
        <f>+G208/K208</f>
        <v>0.82164291072768192</v>
      </c>
    </row>
    <row r="209" spans="2:13" ht="15.75" customHeight="1">
      <c r="B209" s="6" t="s">
        <v>356</v>
      </c>
      <c r="C209" s="6"/>
      <c r="D209" s="6"/>
      <c r="E209" s="6"/>
      <c r="F209" s="6"/>
      <c r="G209" s="6"/>
      <c r="H209" s="6"/>
      <c r="I209" s="6"/>
      <c r="J209" s="6"/>
      <c r="K209" s="6"/>
      <c r="L209" s="6"/>
      <c r="M209" s="6"/>
    </row>
    <row r="210" spans="2:13" ht="15.75" customHeight="1">
      <c r="B210" s="50" t="s">
        <v>222</v>
      </c>
      <c r="C210" s="43"/>
      <c r="D210" s="43"/>
      <c r="E210" s="43"/>
      <c r="F210" s="43"/>
      <c r="G210" s="43"/>
      <c r="H210" s="43"/>
      <c r="I210" s="43"/>
      <c r="J210" s="43"/>
      <c r="K210" s="43"/>
      <c r="L210" s="43"/>
      <c r="M210" s="43"/>
    </row>
    <row r="211" spans="2:13" ht="15.75" customHeight="1">
      <c r="B211" s="50"/>
      <c r="C211" s="43"/>
      <c r="D211" s="43"/>
      <c r="E211" s="43"/>
      <c r="F211" s="43"/>
      <c r="G211" s="43"/>
      <c r="H211" s="43"/>
      <c r="I211" s="43"/>
      <c r="J211" s="43"/>
      <c r="K211" s="43"/>
      <c r="L211" s="43"/>
      <c r="M211" s="43"/>
    </row>
    <row r="212" spans="2:13" ht="15.75" customHeight="1">
      <c r="B212" s="50"/>
      <c r="C212" s="43"/>
      <c r="D212" s="43"/>
      <c r="E212" s="43"/>
      <c r="F212" s="43"/>
      <c r="G212" s="43"/>
      <c r="H212" s="43"/>
      <c r="I212" s="43"/>
      <c r="J212" s="43"/>
      <c r="K212" s="43"/>
      <c r="L212" s="43"/>
      <c r="M212" s="43"/>
    </row>
    <row r="213" spans="2:13" ht="15.75" customHeight="1">
      <c r="G213" s="175">
        <v>2010</v>
      </c>
    </row>
    <row r="214" spans="2:13" ht="15.75" customHeight="1">
      <c r="B214" s="2464"/>
      <c r="C214" s="3898"/>
      <c r="D214" s="6051" t="s">
        <v>215</v>
      </c>
      <c r="E214" s="6051"/>
      <c r="F214" s="6051"/>
      <c r="G214" s="6051"/>
      <c r="H214" s="3899"/>
      <c r="I214" s="6051" t="s">
        <v>216</v>
      </c>
      <c r="J214" s="6051"/>
      <c r="K214" s="6051"/>
      <c r="L214" s="3899"/>
      <c r="M214" s="6052" t="s">
        <v>613</v>
      </c>
    </row>
    <row r="215" spans="2:13" ht="15.75" customHeight="1">
      <c r="B215" s="6055" t="s">
        <v>68</v>
      </c>
      <c r="C215" s="3898"/>
      <c r="D215" s="6057" t="s">
        <v>2721</v>
      </c>
      <c r="E215" s="6057"/>
      <c r="F215" s="6057"/>
      <c r="G215" s="6058" t="s">
        <v>2723</v>
      </c>
      <c r="H215" s="3899"/>
      <c r="I215" s="6060" t="s">
        <v>2722</v>
      </c>
      <c r="J215" s="6060"/>
      <c r="K215" s="6058" t="s">
        <v>2724</v>
      </c>
      <c r="L215" s="3899"/>
      <c r="M215" s="6053"/>
    </row>
    <row r="216" spans="2:13" ht="15.75" customHeight="1" thickBot="1">
      <c r="B216" s="6056"/>
      <c r="C216" s="3898"/>
      <c r="D216" s="2583" t="s">
        <v>219</v>
      </c>
      <c r="E216" s="2583" t="s">
        <v>220</v>
      </c>
      <c r="F216" s="2583" t="s">
        <v>221</v>
      </c>
      <c r="G216" s="6059"/>
      <c r="H216" s="3899"/>
      <c r="I216" s="2583" t="s">
        <v>217</v>
      </c>
      <c r="J216" s="2583" t="s">
        <v>218</v>
      </c>
      <c r="K216" s="6059"/>
      <c r="L216" s="3899"/>
      <c r="M216" s="6054"/>
    </row>
    <row r="217" spans="2:13" ht="15.75" customHeight="1">
      <c r="B217" s="3874"/>
      <c r="C217" s="3898"/>
      <c r="D217" s="3874"/>
      <c r="E217" s="3874"/>
      <c r="F217" s="3874"/>
      <c r="G217" s="3874"/>
      <c r="H217" s="3899"/>
      <c r="I217" s="3874"/>
      <c r="J217" s="3874"/>
      <c r="K217" s="3874"/>
      <c r="L217" s="3899"/>
      <c r="M217" s="3874"/>
    </row>
    <row r="218" spans="2:13" ht="15.75" customHeight="1">
      <c r="B218" s="3900" t="s">
        <v>70</v>
      </c>
      <c r="C218" s="3898"/>
      <c r="D218" s="3901">
        <f>785+130</f>
        <v>915</v>
      </c>
      <c r="E218" s="3901">
        <v>378</v>
      </c>
      <c r="F218" s="3901">
        <v>173</v>
      </c>
      <c r="G218" s="3902">
        <f>SUM(D218:F218)</f>
        <v>1466</v>
      </c>
      <c r="H218" s="3899"/>
      <c r="I218" s="3901">
        <v>1123</v>
      </c>
      <c r="J218" s="3901">
        <v>186</v>
      </c>
      <c r="K218" s="3902">
        <f>SUM(I218:J218)</f>
        <v>1309</v>
      </c>
      <c r="L218" s="3899"/>
      <c r="M218" s="3911">
        <f>+G218/K218</f>
        <v>1.1199388846447671</v>
      </c>
    </row>
    <row r="219" spans="2:13" ht="15.75" customHeight="1">
      <c r="B219" s="3874"/>
      <c r="C219" s="3898"/>
      <c r="D219" s="3903"/>
      <c r="E219" s="3903"/>
      <c r="F219" s="3903"/>
      <c r="G219" s="3903"/>
      <c r="H219" s="3899"/>
      <c r="I219" s="3903"/>
      <c r="J219" s="3903"/>
      <c r="K219" s="3903"/>
      <c r="L219" s="3899"/>
      <c r="M219" s="3912"/>
    </row>
    <row r="220" spans="2:13" ht="15.75" customHeight="1">
      <c r="B220" s="3900" t="s">
        <v>72</v>
      </c>
      <c r="C220" s="3898"/>
      <c r="D220" s="3901">
        <f>130+27</f>
        <v>157</v>
      </c>
      <c r="E220" s="3901">
        <v>18</v>
      </c>
      <c r="F220" s="3901">
        <v>5</v>
      </c>
      <c r="G220" s="3902">
        <f>SUM(D220:F220)</f>
        <v>180</v>
      </c>
      <c r="H220" s="3899"/>
      <c r="I220" s="3901">
        <v>63</v>
      </c>
      <c r="J220" s="3901">
        <v>83</v>
      </c>
      <c r="K220" s="3902">
        <f>SUM(I220:J220)</f>
        <v>146</v>
      </c>
      <c r="L220" s="3899"/>
      <c r="M220" s="3911">
        <f>+G220/K220</f>
        <v>1.2328767123287672</v>
      </c>
    </row>
    <row r="221" spans="2:13" ht="15.75" customHeight="1">
      <c r="B221" s="3874"/>
      <c r="C221" s="3898"/>
      <c r="D221" s="3903"/>
      <c r="E221" s="3903"/>
      <c r="F221" s="3903"/>
      <c r="G221" s="3903"/>
      <c r="H221" s="3899"/>
      <c r="I221" s="3903"/>
      <c r="J221" s="3903"/>
      <c r="K221" s="3903"/>
      <c r="L221" s="3899"/>
      <c r="M221" s="3912"/>
    </row>
    <row r="222" spans="2:13" ht="15.75" customHeight="1">
      <c r="B222" s="3900" t="s">
        <v>73</v>
      </c>
      <c r="C222" s="3898"/>
      <c r="D222" s="3901">
        <f>718+156</f>
        <v>874</v>
      </c>
      <c r="E222" s="3901">
        <v>189</v>
      </c>
      <c r="F222" s="3901">
        <v>238</v>
      </c>
      <c r="G222" s="3902">
        <f>SUM(D222:F222)</f>
        <v>1301</v>
      </c>
      <c r="H222" s="3899"/>
      <c r="I222" s="3901">
        <v>984</v>
      </c>
      <c r="J222" s="3901">
        <v>203</v>
      </c>
      <c r="K222" s="3902">
        <f>SUM(I222:J222)</f>
        <v>1187</v>
      </c>
      <c r="L222" s="3899"/>
      <c r="M222" s="3911">
        <f>+G222/K222</f>
        <v>1.0960404380791913</v>
      </c>
    </row>
    <row r="223" spans="2:13" ht="15.75" customHeight="1">
      <c r="B223" s="3874"/>
      <c r="C223" s="3898"/>
      <c r="D223" s="3903"/>
      <c r="E223" s="3903"/>
      <c r="F223" s="3903"/>
      <c r="G223" s="3903"/>
      <c r="H223" s="3899"/>
      <c r="I223" s="3903"/>
      <c r="J223" s="3903"/>
      <c r="K223" s="3903"/>
      <c r="L223" s="3899"/>
      <c r="M223" s="3912"/>
    </row>
    <row r="224" spans="2:13" ht="15.75" customHeight="1">
      <c r="B224" s="3900" t="s">
        <v>82</v>
      </c>
      <c r="C224" s="3898"/>
      <c r="D224" s="3901">
        <f>0+10</f>
        <v>10</v>
      </c>
      <c r="E224" s="3901">
        <v>0</v>
      </c>
      <c r="F224" s="3901">
        <v>0</v>
      </c>
      <c r="G224" s="3902">
        <f>SUM(D224:F224)</f>
        <v>10</v>
      </c>
      <c r="H224" s="3899"/>
      <c r="I224" s="3901">
        <v>0</v>
      </c>
      <c r="J224" s="3901">
        <v>32</v>
      </c>
      <c r="K224" s="3902">
        <f>SUM(I224:J224)</f>
        <v>32</v>
      </c>
      <c r="L224" s="3899"/>
      <c r="M224" s="3911">
        <f>+G224/K224</f>
        <v>0.3125</v>
      </c>
    </row>
    <row r="225" spans="2:13" ht="15.75" customHeight="1">
      <c r="B225" s="3874"/>
      <c r="C225" s="3898"/>
      <c r="D225" s="3903"/>
      <c r="E225" s="3903"/>
      <c r="F225" s="3903"/>
      <c r="G225" s="3903"/>
      <c r="H225" s="3899"/>
      <c r="I225" s="3903"/>
      <c r="J225" s="3903"/>
      <c r="K225" s="3903"/>
      <c r="L225" s="3899"/>
      <c r="M225" s="3912"/>
    </row>
    <row r="226" spans="2:13" ht="15.75" customHeight="1">
      <c r="B226" s="3900" t="s">
        <v>74</v>
      </c>
      <c r="C226" s="3898"/>
      <c r="D226" s="3901">
        <f>767+131</f>
        <v>898</v>
      </c>
      <c r="E226" s="3901">
        <f>205+1</f>
        <v>206</v>
      </c>
      <c r="F226" s="3901">
        <v>245</v>
      </c>
      <c r="G226" s="3902">
        <f>SUM(D226:F226)</f>
        <v>1349</v>
      </c>
      <c r="H226" s="3899"/>
      <c r="I226" s="3901">
        <v>1127</v>
      </c>
      <c r="J226" s="3901">
        <v>228</v>
      </c>
      <c r="K226" s="3902">
        <f>SUM(I226:J226)</f>
        <v>1355</v>
      </c>
      <c r="L226" s="3899"/>
      <c r="M226" s="3911">
        <f>+G226/K226</f>
        <v>0.99557195571955714</v>
      </c>
    </row>
    <row r="227" spans="2:13" ht="15.75" customHeight="1">
      <c r="B227" s="3874"/>
      <c r="C227" s="3898"/>
      <c r="D227" s="3903"/>
      <c r="E227" s="3903"/>
      <c r="F227" s="3903"/>
      <c r="G227" s="3903"/>
      <c r="H227" s="3899"/>
      <c r="I227" s="3903"/>
      <c r="J227" s="3903"/>
      <c r="K227" s="3903"/>
      <c r="L227" s="3899"/>
      <c r="M227" s="3912"/>
    </row>
    <row r="228" spans="2:13" ht="15.75" customHeight="1">
      <c r="B228" s="3900" t="s">
        <v>191</v>
      </c>
      <c r="C228" s="3898"/>
      <c r="D228" s="3901">
        <f>0+5</f>
        <v>5</v>
      </c>
      <c r="E228" s="3901">
        <v>0</v>
      </c>
      <c r="F228" s="3901">
        <v>0</v>
      </c>
      <c r="G228" s="3902">
        <f>SUM(D228:F228)</f>
        <v>5</v>
      </c>
      <c r="H228" s="3899"/>
      <c r="I228" s="3901">
        <v>682</v>
      </c>
      <c r="J228" s="3901">
        <v>494</v>
      </c>
      <c r="K228" s="3902">
        <f>SUM(I228:J228)</f>
        <v>1176</v>
      </c>
      <c r="L228" s="3899"/>
      <c r="M228" s="3911">
        <f>+G228/K228</f>
        <v>4.2517006802721092E-3</v>
      </c>
    </row>
    <row r="229" spans="2:13" ht="15.75" customHeight="1">
      <c r="B229" s="3874"/>
      <c r="C229" s="3898"/>
      <c r="D229" s="3903"/>
      <c r="E229" s="3903"/>
      <c r="F229" s="3903"/>
      <c r="G229" s="3903"/>
      <c r="H229" s="3899"/>
      <c r="I229" s="3903"/>
      <c r="J229" s="3903"/>
      <c r="K229" s="3903"/>
      <c r="L229" s="3899"/>
      <c r="M229" s="3912"/>
    </row>
    <row r="230" spans="2:13" ht="15.75" customHeight="1" thickBot="1">
      <c r="B230" s="3904" t="s">
        <v>67</v>
      </c>
      <c r="C230" s="3898"/>
      <c r="D230" s="3905">
        <f>SUM(D218,D220,D222,D224,D226,D228)</f>
        <v>2859</v>
      </c>
      <c r="E230" s="3905">
        <f>SUM(E218,E220,E222,E224,E226,E228)</f>
        <v>791</v>
      </c>
      <c r="F230" s="3905">
        <f>SUM(F218,F220,F222,F224,F226,F228)</f>
        <v>661</v>
      </c>
      <c r="G230" s="3905">
        <f>SUM(D230:F230)</f>
        <v>4311</v>
      </c>
      <c r="H230" s="3899"/>
      <c r="I230" s="3905">
        <f>SUM(I218,I220,I222,I224,I226,I228)</f>
        <v>3979</v>
      </c>
      <c r="J230" s="3905">
        <f>SUM(J218,J220,J222,J224,J226,J228)</f>
        <v>1226</v>
      </c>
      <c r="K230" s="3905">
        <f>SUM(I230:J230)</f>
        <v>5205</v>
      </c>
      <c r="L230" s="3899"/>
      <c r="M230" s="3913">
        <f>+G230/K230</f>
        <v>0.82824207492795388</v>
      </c>
    </row>
    <row r="231" spans="2:13" ht="15.75" customHeight="1">
      <c r="B231" s="56"/>
      <c r="C231" s="56"/>
      <c r="D231" s="56"/>
      <c r="E231" s="56"/>
      <c r="F231" s="56"/>
      <c r="G231" s="56"/>
      <c r="H231" s="56"/>
      <c r="I231" s="56"/>
      <c r="J231" s="56"/>
      <c r="K231" s="56"/>
      <c r="L231" s="56"/>
      <c r="M231" s="56"/>
    </row>
    <row r="232" spans="2:13" ht="15.75" customHeight="1">
      <c r="B232" s="43" t="s">
        <v>427</v>
      </c>
      <c r="C232" s="56"/>
      <c r="D232" s="56"/>
      <c r="E232" s="56"/>
      <c r="F232" s="56"/>
      <c r="G232" s="56"/>
      <c r="H232" s="56"/>
      <c r="I232" s="56"/>
      <c r="J232" s="56"/>
      <c r="K232" s="56"/>
      <c r="L232" s="56"/>
      <c r="M232" s="56"/>
    </row>
    <row r="233" spans="2:13" ht="15.75" customHeight="1">
      <c r="B233" s="43" t="s">
        <v>222</v>
      </c>
      <c r="C233" s="56"/>
      <c r="D233" s="56"/>
      <c r="E233" s="56"/>
      <c r="F233" s="56"/>
      <c r="G233" s="56"/>
      <c r="H233" s="56"/>
      <c r="I233" s="56"/>
      <c r="J233" s="56"/>
      <c r="K233" s="56"/>
      <c r="L233" s="56"/>
      <c r="M233" s="56"/>
    </row>
    <row r="234" spans="2:13" ht="15.75" customHeight="1"/>
    <row r="235" spans="2:13" ht="15.75" customHeight="1"/>
    <row r="236" spans="2:13" ht="15.75" customHeight="1"/>
    <row r="237" spans="2:13" ht="15.75" customHeight="1"/>
    <row r="238" spans="2:13" ht="15.75" customHeight="1"/>
    <row r="239" spans="2:13" ht="15.75" customHeight="1"/>
    <row r="240" spans="2:1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sheetData>
  <sheetProtection algorithmName="SHA-512" hashValue="Fidz2p00fnQLE5fS4t2LIsS3aAD8UYxscOT/G238NiaZade/QhjIW5FRm2NNGDEQ4A1vHcNHwP28FGt4QDK/TA==" saltValue="Sk1u1o+WUQY114Vq8FMwJA==" spinCount="100000" sheet="1" objects="1" scenarios="1"/>
  <mergeCells count="90">
    <mergeCell ref="B1:M1"/>
    <mergeCell ref="B2:M2"/>
    <mergeCell ref="B48:B49"/>
    <mergeCell ref="M47:M49"/>
    <mergeCell ref="K48:K49"/>
    <mergeCell ref="G48:G49"/>
    <mergeCell ref="I47:K47"/>
    <mergeCell ref="D26:G26"/>
    <mergeCell ref="I26:K26"/>
    <mergeCell ref="M26:M28"/>
    <mergeCell ref="B27:B28"/>
    <mergeCell ref="D27:F27"/>
    <mergeCell ref="G27:G28"/>
    <mergeCell ref="K27:K28"/>
    <mergeCell ref="I27:J27"/>
    <mergeCell ref="D47:G47"/>
    <mergeCell ref="M130:M132"/>
    <mergeCell ref="M110:M112"/>
    <mergeCell ref="M68:M70"/>
    <mergeCell ref="B69:B70"/>
    <mergeCell ref="D68:G68"/>
    <mergeCell ref="I68:K68"/>
    <mergeCell ref="D69:F69"/>
    <mergeCell ref="G69:G70"/>
    <mergeCell ref="K69:K70"/>
    <mergeCell ref="M89:M91"/>
    <mergeCell ref="B90:B91"/>
    <mergeCell ref="B111:B112"/>
    <mergeCell ref="D130:G130"/>
    <mergeCell ref="I130:K130"/>
    <mergeCell ref="B131:B132"/>
    <mergeCell ref="D131:F131"/>
    <mergeCell ref="B151:B152"/>
    <mergeCell ref="D151:F151"/>
    <mergeCell ref="G151:G152"/>
    <mergeCell ref="K151:K152"/>
    <mergeCell ref="I151:J151"/>
    <mergeCell ref="B172:B173"/>
    <mergeCell ref="D172:F172"/>
    <mergeCell ref="G172:G173"/>
    <mergeCell ref="K172:K173"/>
    <mergeCell ref="I172:J172"/>
    <mergeCell ref="M214:M216"/>
    <mergeCell ref="M192:M194"/>
    <mergeCell ref="M171:M173"/>
    <mergeCell ref="M150:M152"/>
    <mergeCell ref="D89:G89"/>
    <mergeCell ref="I89:K89"/>
    <mergeCell ref="D90:F90"/>
    <mergeCell ref="G90:G91"/>
    <mergeCell ref="K90:K91"/>
    <mergeCell ref="I90:J90"/>
    <mergeCell ref="D110:G110"/>
    <mergeCell ref="I110:K110"/>
    <mergeCell ref="D111:F111"/>
    <mergeCell ref="G111:G112"/>
    <mergeCell ref="K111:K112"/>
    <mergeCell ref="I111:J111"/>
    <mergeCell ref="B193:B194"/>
    <mergeCell ref="D193:F193"/>
    <mergeCell ref="G193:G194"/>
    <mergeCell ref="K193:K194"/>
    <mergeCell ref="I193:J193"/>
    <mergeCell ref="B215:B216"/>
    <mergeCell ref="D215:F215"/>
    <mergeCell ref="G215:G216"/>
    <mergeCell ref="K215:K216"/>
    <mergeCell ref="I215:J215"/>
    <mergeCell ref="D48:F48"/>
    <mergeCell ref="I48:J48"/>
    <mergeCell ref="I69:J69"/>
    <mergeCell ref="D214:G214"/>
    <mergeCell ref="I214:K214"/>
    <mergeCell ref="G131:G132"/>
    <mergeCell ref="K131:K132"/>
    <mergeCell ref="I131:J131"/>
    <mergeCell ref="D192:G192"/>
    <mergeCell ref="I192:K192"/>
    <mergeCell ref="D171:G171"/>
    <mergeCell ref="I171:K171"/>
    <mergeCell ref="D150:G150"/>
    <mergeCell ref="I150:K150"/>
    <mergeCell ref="D5:G5"/>
    <mergeCell ref="I5:K5"/>
    <mergeCell ref="M5:M7"/>
    <mergeCell ref="B6:B7"/>
    <mergeCell ref="D6:F6"/>
    <mergeCell ref="G6:G7"/>
    <mergeCell ref="I6:J6"/>
    <mergeCell ref="K6:K7"/>
  </mergeCells>
  <printOptions horizontalCentered="1" verticalCentered="1"/>
  <pageMargins left="0.19685039370078741" right="0.19685039370078741" top="0.19685039370078741" bottom="0.19685039370078741" header="0.31496062992125984" footer="0.31496062992125984"/>
  <pageSetup scale="8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499984740745262"/>
  </sheetPr>
  <dimension ref="B1:AV56"/>
  <sheetViews>
    <sheetView showGridLines="0" zoomScale="120" zoomScaleNormal="120" workbookViewId="0"/>
  </sheetViews>
  <sheetFormatPr baseColWidth="10" defaultRowHeight="14.4"/>
  <cols>
    <col min="1" max="1" width="3.77734375" customWidth="1"/>
    <col min="2" max="2" width="15.5546875" bestFit="1" customWidth="1"/>
    <col min="3" max="3" width="1.77734375" customWidth="1"/>
    <col min="4" max="4" width="15.77734375" style="5484" customWidth="1"/>
    <col min="5" max="5" width="18.88671875" style="5484" customWidth="1"/>
    <col min="6" max="6" width="9.77734375" style="5484" customWidth="1"/>
    <col min="7" max="7" width="1.77734375" style="5484" customWidth="1"/>
    <col min="8" max="8" width="15.77734375" style="3595" customWidth="1"/>
    <col min="9" max="9" width="19.77734375" style="3595" customWidth="1"/>
    <col min="10" max="10" width="9.77734375" style="3595" customWidth="1"/>
    <col min="11" max="11" width="1.77734375" style="3595" customWidth="1"/>
    <col min="12" max="12" width="15.77734375" customWidth="1"/>
    <col min="13" max="13" width="19.77734375" customWidth="1"/>
    <col min="14" max="14" width="9.77734375" customWidth="1"/>
    <col min="15" max="15" width="1.77734375" customWidth="1"/>
    <col min="16" max="16" width="15.77734375" customWidth="1"/>
    <col min="17" max="17" width="19.77734375" customWidth="1"/>
    <col min="18" max="18" width="9.5546875" customWidth="1"/>
    <col min="19" max="19" width="1.77734375" customWidth="1"/>
    <col min="20" max="20" width="13.77734375" customWidth="1"/>
    <col min="21" max="21" width="19.77734375" customWidth="1"/>
    <col min="22" max="22" width="9.5546875" customWidth="1"/>
    <col min="23" max="23" width="1.77734375" customWidth="1"/>
    <col min="24" max="24" width="15.77734375" customWidth="1"/>
    <col min="25" max="25" width="19.77734375" customWidth="1"/>
    <col min="26" max="26" width="9.77734375" customWidth="1"/>
    <col min="27" max="27" width="1.77734375" customWidth="1"/>
    <col min="28" max="28" width="15.77734375" customWidth="1"/>
    <col min="29" max="29" width="19.77734375" customWidth="1"/>
    <col min="30" max="30" width="9.77734375" customWidth="1"/>
    <col min="31" max="31" width="1.77734375" customWidth="1"/>
    <col min="32" max="32" width="18.21875" customWidth="1"/>
    <col min="33" max="33" width="19.77734375" customWidth="1"/>
    <col min="34" max="34" width="9.77734375" customWidth="1"/>
    <col min="35" max="35" width="1.77734375" customWidth="1"/>
    <col min="36" max="36" width="14.21875" customWidth="1"/>
    <col min="37" max="37" width="19.77734375" customWidth="1"/>
    <col min="38" max="38" width="9.77734375" customWidth="1"/>
    <col min="39" max="39" width="1.77734375" customWidth="1"/>
    <col min="40" max="40" width="14" customWidth="1"/>
    <col min="41" max="41" width="19.77734375" customWidth="1"/>
    <col min="42" max="42" width="9.5546875" customWidth="1"/>
    <col min="43" max="43" width="1.77734375" customWidth="1"/>
    <col min="44" max="44" width="14" customWidth="1"/>
    <col min="45" max="45" width="19.77734375" customWidth="1"/>
    <col min="46" max="46" width="9.77734375" style="3" customWidth="1"/>
  </cols>
  <sheetData>
    <row r="1" spans="2:48" ht="19.5" customHeight="1">
      <c r="B1" s="9" t="s">
        <v>463</v>
      </c>
      <c r="C1" s="90"/>
      <c r="D1" s="90"/>
      <c r="E1" s="90"/>
      <c r="F1" s="90"/>
      <c r="G1" s="90"/>
      <c r="H1" s="90"/>
      <c r="I1" s="90"/>
      <c r="J1" s="90"/>
      <c r="K1" s="90"/>
      <c r="M1" s="90"/>
      <c r="N1" s="90"/>
      <c r="O1" s="90"/>
      <c r="P1" s="90"/>
      <c r="Q1" s="90"/>
      <c r="R1" s="90"/>
      <c r="S1" s="90"/>
      <c r="T1" s="90"/>
      <c r="U1" s="90"/>
      <c r="V1" s="90"/>
      <c r="W1" s="90"/>
      <c r="X1" s="90"/>
      <c r="Y1" s="90"/>
      <c r="Z1" s="90"/>
      <c r="AA1" s="90"/>
      <c r="AB1" s="90"/>
      <c r="AC1" s="90"/>
      <c r="AD1" s="90"/>
      <c r="AE1" s="90"/>
      <c r="AF1" s="90"/>
      <c r="AG1" s="90"/>
      <c r="AH1" s="90"/>
      <c r="AI1" s="90"/>
      <c r="AJ1" s="90"/>
      <c r="AK1" s="90"/>
      <c r="AL1" s="90"/>
    </row>
    <row r="2" spans="2:48">
      <c r="AP2" s="74"/>
      <c r="AR2" s="18"/>
      <c r="AS2" s="18"/>
      <c r="AT2" s="18"/>
    </row>
    <row r="3" spans="2:48" ht="15.6">
      <c r="D3" s="2856" t="s">
        <v>97</v>
      </c>
      <c r="E3" s="2112">
        <v>2020</v>
      </c>
      <c r="F3" s="2042"/>
      <c r="H3" s="2856" t="s">
        <v>97</v>
      </c>
      <c r="I3" s="2112">
        <v>2019</v>
      </c>
      <c r="J3" s="2042"/>
      <c r="L3" s="2856" t="s">
        <v>97</v>
      </c>
      <c r="M3" s="2112">
        <v>2018</v>
      </c>
      <c r="N3" s="2042"/>
      <c r="P3" s="2856" t="s">
        <v>97</v>
      </c>
      <c r="Q3" s="2112">
        <v>2017</v>
      </c>
      <c r="R3" s="2042"/>
      <c r="T3" s="2856" t="s">
        <v>97</v>
      </c>
      <c r="U3" s="2112">
        <v>2016</v>
      </c>
      <c r="V3" s="2042"/>
      <c r="X3" s="2856" t="s">
        <v>97</v>
      </c>
      <c r="Y3" s="2112">
        <v>2015</v>
      </c>
      <c r="Z3" s="2042"/>
      <c r="AB3" s="2856" t="s">
        <v>97</v>
      </c>
      <c r="AC3" s="2112">
        <v>2014</v>
      </c>
      <c r="AD3" s="2857"/>
      <c r="AF3" s="2856" t="s">
        <v>97</v>
      </c>
      <c r="AG3" s="2112">
        <v>2013</v>
      </c>
      <c r="AH3" s="2857"/>
      <c r="AJ3" s="2856" t="s">
        <v>97</v>
      </c>
      <c r="AK3" s="2112">
        <v>2012</v>
      </c>
      <c r="AL3" s="2857"/>
      <c r="AN3" s="2856" t="s">
        <v>97</v>
      </c>
      <c r="AO3" s="2112">
        <v>2011</v>
      </c>
      <c r="AP3" s="2857"/>
      <c r="AR3" s="2856" t="s">
        <v>97</v>
      </c>
      <c r="AS3" s="2112">
        <v>2010</v>
      </c>
      <c r="AT3" s="2858"/>
    </row>
    <row r="4" spans="2:48" ht="66.75" customHeight="1" thickBot="1">
      <c r="B4" s="2111" t="s">
        <v>2587</v>
      </c>
      <c r="D4" s="5485" t="s">
        <v>166</v>
      </c>
      <c r="E4" s="54" t="s">
        <v>2571</v>
      </c>
      <c r="F4" s="5485" t="s">
        <v>76</v>
      </c>
      <c r="H4" s="3597" t="s">
        <v>166</v>
      </c>
      <c r="I4" s="54" t="s">
        <v>2571</v>
      </c>
      <c r="J4" s="3597" t="s">
        <v>76</v>
      </c>
      <c r="L4" s="2111" t="s">
        <v>166</v>
      </c>
      <c r="M4" s="54" t="s">
        <v>2571</v>
      </c>
      <c r="N4" s="2111" t="s">
        <v>76</v>
      </c>
      <c r="P4" s="2551" t="s">
        <v>166</v>
      </c>
      <c r="Q4" s="54" t="s">
        <v>2571</v>
      </c>
      <c r="R4" s="2551" t="s">
        <v>76</v>
      </c>
      <c r="T4" s="2551" t="s">
        <v>166</v>
      </c>
      <c r="U4" s="54" t="s">
        <v>1949</v>
      </c>
      <c r="V4" s="2551" t="s">
        <v>76</v>
      </c>
      <c r="X4" s="2551" t="s">
        <v>166</v>
      </c>
      <c r="Y4" s="54" t="s">
        <v>831</v>
      </c>
      <c r="Z4" s="2551" t="s">
        <v>76</v>
      </c>
      <c r="AB4" s="2551" t="s">
        <v>166</v>
      </c>
      <c r="AC4" s="54" t="s">
        <v>831</v>
      </c>
      <c r="AD4" s="2551" t="s">
        <v>76</v>
      </c>
      <c r="AF4" s="2551" t="s">
        <v>166</v>
      </c>
      <c r="AG4" s="54" t="s">
        <v>692</v>
      </c>
      <c r="AH4" s="2551" t="s">
        <v>76</v>
      </c>
      <c r="AJ4" s="2551" t="s">
        <v>166</v>
      </c>
      <c r="AK4" s="54" t="s">
        <v>504</v>
      </c>
      <c r="AL4" s="2551" t="s">
        <v>76</v>
      </c>
      <c r="AN4" s="2551" t="s">
        <v>166</v>
      </c>
      <c r="AO4" s="54" t="s">
        <v>451</v>
      </c>
      <c r="AP4" s="2551" t="s">
        <v>76</v>
      </c>
      <c r="AR4" s="2551" t="s">
        <v>166</v>
      </c>
      <c r="AS4" s="54" t="s">
        <v>165</v>
      </c>
      <c r="AT4" s="2551" t="s">
        <v>76</v>
      </c>
    </row>
    <row r="5" spans="2:48">
      <c r="B5" s="129"/>
      <c r="P5" s="2549"/>
      <c r="Q5" s="2549"/>
      <c r="R5" s="2549"/>
      <c r="T5" s="2549"/>
      <c r="U5" s="2549"/>
      <c r="V5" s="2549"/>
      <c r="X5" s="2549"/>
      <c r="Y5" s="2549"/>
      <c r="Z5" s="2549"/>
      <c r="AB5" s="2549"/>
      <c r="AC5" s="2549"/>
      <c r="AD5" s="2549"/>
      <c r="AF5" s="2549"/>
      <c r="AG5" s="2549"/>
      <c r="AH5" s="2549"/>
      <c r="AJ5" s="2549"/>
      <c r="AK5" s="2549"/>
      <c r="AL5" s="2549"/>
      <c r="AN5" s="2549"/>
      <c r="AO5" s="2549"/>
      <c r="AP5" s="2549"/>
      <c r="AR5" s="2549"/>
      <c r="AS5" s="2549"/>
      <c r="AT5" s="2549"/>
    </row>
    <row r="6" spans="2:48">
      <c r="B6" s="2329" t="s">
        <v>4</v>
      </c>
      <c r="D6" s="2320">
        <v>9148335</v>
      </c>
      <c r="E6" s="2321">
        <v>26335902</v>
      </c>
      <c r="F6" s="2317">
        <f t="shared" ref="F6:F11" si="0">D6/E6</f>
        <v>0.34737124249626994</v>
      </c>
      <c r="H6" s="2320">
        <v>9939946</v>
      </c>
      <c r="I6" s="2321">
        <v>33186123</v>
      </c>
      <c r="J6" s="2317">
        <f t="shared" ref="J6:J11" si="1">H6/I6</f>
        <v>0.29952115828655246</v>
      </c>
      <c r="L6" s="2320">
        <v>8463372</v>
      </c>
      <c r="M6" s="2321">
        <v>33802020</v>
      </c>
      <c r="N6" s="2317">
        <f>L6/M6</f>
        <v>0.25038065772400586</v>
      </c>
      <c r="P6" s="2320">
        <v>7403263</v>
      </c>
      <c r="Q6" s="2321">
        <v>32452357</v>
      </c>
      <c r="R6" s="2317">
        <f t="shared" ref="R6:R11" si="2">P6/Q6</f>
        <v>0.22812712802339749</v>
      </c>
      <c r="T6" s="2320">
        <v>11225115</v>
      </c>
      <c r="U6" s="2321">
        <v>38662409</v>
      </c>
      <c r="V6" s="2317">
        <f t="shared" ref="V6:V43" si="3">T6/U6</f>
        <v>0.29033666784705525</v>
      </c>
      <c r="X6" s="2320">
        <v>11806286</v>
      </c>
      <c r="Y6" s="2321">
        <v>35715205.930000007</v>
      </c>
      <c r="Z6" s="2317">
        <f t="shared" ref="Z6:Z11" si="4">X6/Y6</f>
        <v>0.33056749058481483</v>
      </c>
      <c r="AB6" s="2320">
        <v>9273454.1799999997</v>
      </c>
      <c r="AC6" s="2321">
        <v>37607483.199999996</v>
      </c>
      <c r="AD6" s="2317">
        <f t="shared" ref="AD6:AD11" si="5">AB6/AC6</f>
        <v>0.24658534395090817</v>
      </c>
      <c r="AF6" s="2320">
        <v>10924304.41</v>
      </c>
      <c r="AG6" s="2321">
        <v>36111059.99000001</v>
      </c>
      <c r="AH6" s="2317">
        <f t="shared" ref="AH6:AH11" si="6">AF6/AG6</f>
        <v>0.3025196273115548</v>
      </c>
      <c r="AJ6" s="2320">
        <v>10148.535</v>
      </c>
      <c r="AK6" s="2321">
        <v>35928.148999999998</v>
      </c>
      <c r="AL6" s="2317">
        <f t="shared" ref="AL6:AL11" si="7">AJ6/AK6</f>
        <v>0.28246751593019725</v>
      </c>
      <c r="AN6" s="2320">
        <v>14913.53908</v>
      </c>
      <c r="AO6" s="2321">
        <v>45371.399960000002</v>
      </c>
      <c r="AP6" s="2317">
        <f t="shared" ref="AP6:AP43" si="8">AN6/AO6</f>
        <v>0.32869911647310784</v>
      </c>
      <c r="AR6" s="2320">
        <v>14152.976000000001</v>
      </c>
      <c r="AS6" s="2321">
        <v>42459.078999999998</v>
      </c>
      <c r="AT6" s="2317">
        <f>AR6/AS6</f>
        <v>0.33333214787819587</v>
      </c>
      <c r="AV6" s="8"/>
    </row>
    <row r="7" spans="2:48">
      <c r="B7" s="2254" t="s">
        <v>16</v>
      </c>
      <c r="D7" s="2322">
        <v>2758625</v>
      </c>
      <c r="E7" s="2323">
        <v>15010219</v>
      </c>
      <c r="F7" s="2317">
        <f t="shared" si="0"/>
        <v>0.18378312801432145</v>
      </c>
      <c r="H7" s="2322">
        <v>2763860</v>
      </c>
      <c r="I7" s="2323">
        <v>19534199</v>
      </c>
      <c r="J7" s="2317">
        <f t="shared" si="1"/>
        <v>0.14148826885607135</v>
      </c>
      <c r="L7" s="2322">
        <v>1260760</v>
      </c>
      <c r="M7" s="2323">
        <v>19917073</v>
      </c>
      <c r="N7" s="2317">
        <f t="shared" ref="N7:N43" si="9">L7/M7</f>
        <v>6.330046588672944E-2</v>
      </c>
      <c r="P7" s="2322">
        <v>750179</v>
      </c>
      <c r="Q7" s="2323">
        <v>20794595</v>
      </c>
      <c r="R7" s="2317">
        <f t="shared" si="2"/>
        <v>3.6075672548563704E-2</v>
      </c>
      <c r="T7" s="2322">
        <v>1463053</v>
      </c>
      <c r="U7" s="2323">
        <v>23187494</v>
      </c>
      <c r="V7" s="2317">
        <f t="shared" si="3"/>
        <v>6.3096641663821021E-2</v>
      </c>
      <c r="X7" s="2322">
        <v>1513276</v>
      </c>
      <c r="Y7" s="2323">
        <v>23696879.060000002</v>
      </c>
      <c r="Z7" s="2317">
        <f t="shared" si="4"/>
        <v>6.3859717398583024E-2</v>
      </c>
      <c r="AB7" s="2322">
        <v>1784131.55</v>
      </c>
      <c r="AC7" s="2323">
        <v>25487518.180000003</v>
      </c>
      <c r="AD7" s="2317">
        <f t="shared" si="5"/>
        <v>7.0000207058214248E-2</v>
      </c>
      <c r="AF7" s="2322">
        <v>1717018.5</v>
      </c>
      <c r="AG7" s="2323">
        <v>24015302</v>
      </c>
      <c r="AH7" s="2317">
        <f t="shared" si="6"/>
        <v>7.1496852298588626E-2</v>
      </c>
      <c r="AJ7" s="2322">
        <v>2363.6819999999998</v>
      </c>
      <c r="AK7" s="2323">
        <v>26088.303</v>
      </c>
      <c r="AL7" s="2317">
        <f t="shared" si="7"/>
        <v>9.0603133519263399E-2</v>
      </c>
      <c r="AN7" s="2322">
        <v>5938.9283599999999</v>
      </c>
      <c r="AO7" s="2323">
        <v>37181.375359999998</v>
      </c>
      <c r="AP7" s="2317">
        <f t="shared" si="8"/>
        <v>0.15972858191763242</v>
      </c>
      <c r="AR7" s="2322">
        <v>3677.0079999999998</v>
      </c>
      <c r="AS7" s="2323">
        <v>28403.235000000001</v>
      </c>
      <c r="AT7" s="2317">
        <f t="shared" ref="AT7:AT43" si="10">AR7/AS7</f>
        <v>0.12945736638801883</v>
      </c>
      <c r="AV7" s="8"/>
    </row>
    <row r="8" spans="2:48">
      <c r="B8" s="2254" t="s">
        <v>21</v>
      </c>
      <c r="D8" s="2322">
        <v>5420655</v>
      </c>
      <c r="E8" s="2323">
        <v>12020145</v>
      </c>
      <c r="F8" s="2317">
        <f t="shared" si="0"/>
        <v>0.45096419385955827</v>
      </c>
      <c r="H8" s="2322">
        <v>3181871</v>
      </c>
      <c r="I8" s="2323">
        <v>14686014</v>
      </c>
      <c r="J8" s="2317">
        <f t="shared" si="1"/>
        <v>0.21665994598670546</v>
      </c>
      <c r="L8" s="2322">
        <v>2315900</v>
      </c>
      <c r="M8" s="2323">
        <v>15600288</v>
      </c>
      <c r="N8" s="2317">
        <f t="shared" si="9"/>
        <v>0.14845238754566584</v>
      </c>
      <c r="P8" s="2322">
        <v>1887438</v>
      </c>
      <c r="Q8" s="2323">
        <v>14137835</v>
      </c>
      <c r="R8" s="2317">
        <f t="shared" si="2"/>
        <v>0.13350261903608296</v>
      </c>
      <c r="T8" s="2322">
        <v>2897637</v>
      </c>
      <c r="U8" s="2323">
        <v>16297355.749999998</v>
      </c>
      <c r="V8" s="2317">
        <f t="shared" si="3"/>
        <v>0.17779798419139253</v>
      </c>
      <c r="X8" s="2322">
        <v>2987584</v>
      </c>
      <c r="Y8" s="2323">
        <v>18678800.340000004</v>
      </c>
      <c r="Z8" s="2317">
        <f t="shared" si="4"/>
        <v>0.15994517557972887</v>
      </c>
      <c r="AB8" s="2322">
        <v>2670191.16</v>
      </c>
      <c r="AC8" s="2323">
        <v>19022996.799999997</v>
      </c>
      <c r="AD8" s="2317">
        <f t="shared" si="5"/>
        <v>0.14036648316105488</v>
      </c>
      <c r="AF8" s="2322">
        <v>4530047.09</v>
      </c>
      <c r="AG8" s="2323">
        <v>20500302</v>
      </c>
      <c r="AH8" s="2317">
        <f t="shared" si="6"/>
        <v>0.22097465149537796</v>
      </c>
      <c r="AJ8" s="2322">
        <v>4749.3509999999997</v>
      </c>
      <c r="AK8" s="2323">
        <v>22281.187000000002</v>
      </c>
      <c r="AL8" s="2317">
        <f t="shared" si="7"/>
        <v>0.21315520577965613</v>
      </c>
      <c r="AN8" s="2322">
        <v>6137.9798499999997</v>
      </c>
      <c r="AO8" s="2323">
        <v>31158.618259999999</v>
      </c>
      <c r="AP8" s="2317">
        <f t="shared" si="8"/>
        <v>0.19699140054229092</v>
      </c>
      <c r="AR8" s="2322">
        <v>6246.49</v>
      </c>
      <c r="AS8" s="2323">
        <v>24270.187999999998</v>
      </c>
      <c r="AT8" s="2317">
        <f t="shared" si="10"/>
        <v>0.2573729548366086</v>
      </c>
      <c r="AV8" s="8"/>
    </row>
    <row r="9" spans="2:48">
      <c r="B9" s="2254" t="s">
        <v>85</v>
      </c>
      <c r="D9" s="2322">
        <v>15335654</v>
      </c>
      <c r="E9" s="2323">
        <v>141304092</v>
      </c>
      <c r="F9" s="2317">
        <f t="shared" si="0"/>
        <v>0.10852944018068493</v>
      </c>
      <c r="H9" s="2322">
        <v>5778478</v>
      </c>
      <c r="I9" s="2323">
        <v>96104394</v>
      </c>
      <c r="J9" s="2317">
        <f t="shared" si="1"/>
        <v>6.0127094709113926E-2</v>
      </c>
      <c r="L9" s="2322">
        <v>6959522</v>
      </c>
      <c r="M9" s="2323">
        <v>96482393</v>
      </c>
      <c r="N9" s="2317">
        <f t="shared" si="9"/>
        <v>7.2132559979104172E-2</v>
      </c>
      <c r="P9" s="2322">
        <v>3950952</v>
      </c>
      <c r="Q9" s="2323">
        <v>96078043</v>
      </c>
      <c r="R9" s="2317">
        <f t="shared" si="2"/>
        <v>4.1122319695874737E-2</v>
      </c>
      <c r="T9" s="2322">
        <v>5682242</v>
      </c>
      <c r="U9" s="2323">
        <v>85962666.520000026</v>
      </c>
      <c r="V9" s="2317">
        <f t="shared" si="3"/>
        <v>6.6101276635921621E-2</v>
      </c>
      <c r="X9" s="2322">
        <v>4200061</v>
      </c>
      <c r="Y9" s="2323">
        <v>128673263.84999999</v>
      </c>
      <c r="Z9" s="2317">
        <f t="shared" si="4"/>
        <v>3.2641287508617126E-2</v>
      </c>
      <c r="AB9" s="2322">
        <v>3555410.9799999995</v>
      </c>
      <c r="AC9" s="2323">
        <v>90021246.810000017</v>
      </c>
      <c r="AD9" s="2317">
        <f t="shared" si="5"/>
        <v>3.94952425787225E-2</v>
      </c>
      <c r="AF9" s="2322">
        <v>5975805.6400000006</v>
      </c>
      <c r="AG9" s="2323">
        <v>100390131</v>
      </c>
      <c r="AH9" s="2317">
        <f t="shared" si="6"/>
        <v>5.9525827693162392E-2</v>
      </c>
      <c r="AJ9" s="2322">
        <v>4626.0230000000001</v>
      </c>
      <c r="AK9" s="2323">
        <v>83313.448000000004</v>
      </c>
      <c r="AL9" s="2317">
        <f t="shared" si="7"/>
        <v>5.5525525723050133E-2</v>
      </c>
      <c r="AN9" s="2322">
        <v>14034.823259999999</v>
      </c>
      <c r="AO9" s="2323">
        <v>126742.96192</v>
      </c>
      <c r="AP9" s="2317">
        <f t="shared" si="8"/>
        <v>0.11073453742432469</v>
      </c>
      <c r="AR9" s="2322">
        <v>17614.782999999999</v>
      </c>
      <c r="AS9" s="2323">
        <v>140759.179</v>
      </c>
      <c r="AT9" s="2317">
        <f t="shared" si="10"/>
        <v>0.12514127409055148</v>
      </c>
      <c r="AV9" s="8"/>
    </row>
    <row r="10" spans="2:48">
      <c r="B10" s="2254" t="s">
        <v>86</v>
      </c>
      <c r="D10" s="2322">
        <v>512333</v>
      </c>
      <c r="E10" s="2323">
        <v>11317773</v>
      </c>
      <c r="F10" s="2317">
        <f t="shared" si="0"/>
        <v>4.5268004580052985E-2</v>
      </c>
      <c r="H10" s="2322">
        <v>8414470</v>
      </c>
      <c r="I10" s="2323">
        <v>18775742</v>
      </c>
      <c r="J10" s="2317">
        <f t="shared" si="1"/>
        <v>0.44815645634670526</v>
      </c>
      <c r="L10" s="2322">
        <v>739779</v>
      </c>
      <c r="M10" s="2323">
        <v>8803828</v>
      </c>
      <c r="N10" s="2317">
        <f t="shared" si="9"/>
        <v>8.4029242733956178E-2</v>
      </c>
      <c r="P10" s="2322">
        <v>347199</v>
      </c>
      <c r="Q10" s="2323">
        <v>8142229</v>
      </c>
      <c r="R10" s="2317">
        <f t="shared" si="2"/>
        <v>4.2641763084776907E-2</v>
      </c>
      <c r="T10" s="2322">
        <v>650623</v>
      </c>
      <c r="U10" s="2323">
        <v>10383302.360000005</v>
      </c>
      <c r="V10" s="2317">
        <f t="shared" si="3"/>
        <v>6.2660507942677274E-2</v>
      </c>
      <c r="X10" s="2322">
        <v>2365874</v>
      </c>
      <c r="Y10" s="2323">
        <v>16039235.569999998</v>
      </c>
      <c r="Z10" s="2317">
        <f t="shared" si="4"/>
        <v>0.14750540882541574</v>
      </c>
      <c r="AB10" s="2322">
        <v>477517.96</v>
      </c>
      <c r="AC10" s="2323">
        <v>9978778.1999999974</v>
      </c>
      <c r="AD10" s="2317">
        <f t="shared" si="5"/>
        <v>4.7853349421074429E-2</v>
      </c>
      <c r="AF10" s="2322">
        <v>647546.6</v>
      </c>
      <c r="AG10" s="2323">
        <v>13516515</v>
      </c>
      <c r="AH10" s="2317">
        <f t="shared" si="6"/>
        <v>4.790780759685466E-2</v>
      </c>
      <c r="AJ10" s="2322">
        <v>830.52</v>
      </c>
      <c r="AK10" s="2323">
        <v>13079.763999999999</v>
      </c>
      <c r="AL10" s="2317">
        <f t="shared" si="7"/>
        <v>6.3496558500596809E-2</v>
      </c>
      <c r="AN10" s="2322">
        <v>2689.7519900000002</v>
      </c>
      <c r="AO10" s="2323">
        <v>22491.557959999998</v>
      </c>
      <c r="AP10" s="2317">
        <f t="shared" si="8"/>
        <v>0.11958940304551496</v>
      </c>
      <c r="AR10" s="2322">
        <v>838.78300000000002</v>
      </c>
      <c r="AS10" s="2323">
        <v>26597.09</v>
      </c>
      <c r="AT10" s="2317">
        <f t="shared" si="10"/>
        <v>3.1536645550321485E-2</v>
      </c>
      <c r="AV10" s="8"/>
    </row>
    <row r="11" spans="2:48">
      <c r="B11" s="2330" t="s">
        <v>3</v>
      </c>
      <c r="D11" s="2324">
        <v>33175602</v>
      </c>
      <c r="E11" s="2325">
        <v>205988131</v>
      </c>
      <c r="F11" s="2318">
        <f t="shared" si="0"/>
        <v>0.16105589112801844</v>
      </c>
      <c r="H11" s="2324">
        <v>30078625</v>
      </c>
      <c r="I11" s="2325">
        <v>182286472</v>
      </c>
      <c r="J11" s="2318">
        <f t="shared" si="1"/>
        <v>0.16500744498472711</v>
      </c>
      <c r="L11" s="2324">
        <v>19739333</v>
      </c>
      <c r="M11" s="2325">
        <v>174605602</v>
      </c>
      <c r="N11" s="2318">
        <f t="shared" si="9"/>
        <v>0.11305097186973417</v>
      </c>
      <c r="P11" s="2324">
        <f>SUM(P6:P10)</f>
        <v>14339031</v>
      </c>
      <c r="Q11" s="2325">
        <f>SUM(Q6:Q10)</f>
        <v>171605059</v>
      </c>
      <c r="R11" s="2318">
        <f t="shared" si="2"/>
        <v>8.3558323300946508E-2</v>
      </c>
      <c r="T11" s="2324">
        <f>SUM(T6:T10)</f>
        <v>21918670</v>
      </c>
      <c r="U11" s="2325">
        <f>SUM(U6:U10)</f>
        <v>174493227.63000005</v>
      </c>
      <c r="V11" s="2318">
        <f t="shared" si="3"/>
        <v>0.12561329913890362</v>
      </c>
      <c r="X11" s="2324">
        <f>SUM(X6:X10)</f>
        <v>22873081</v>
      </c>
      <c r="Y11" s="2325">
        <f>SUM(Y6:Y10)</f>
        <v>222803384.75</v>
      </c>
      <c r="Z11" s="2318">
        <f t="shared" si="4"/>
        <v>0.10266038384320371</v>
      </c>
      <c r="AB11" s="2324">
        <f>SUM(AB6:AB10)</f>
        <v>17760705.830000002</v>
      </c>
      <c r="AC11" s="2325">
        <f>SUM(AC6:AC10)</f>
        <v>182118023.19</v>
      </c>
      <c r="AD11" s="2318">
        <f t="shared" si="5"/>
        <v>9.7523054110194365E-2</v>
      </c>
      <c r="AF11" s="2324">
        <f>SUM(AF6:AF10)</f>
        <v>23794722.240000002</v>
      </c>
      <c r="AG11" s="2325">
        <f>SUM(AG6:AG10)</f>
        <v>194533309.99000001</v>
      </c>
      <c r="AH11" s="2318">
        <f t="shared" si="6"/>
        <v>0.12231695559605278</v>
      </c>
      <c r="AJ11" s="2324">
        <f>SUM(AJ6:AJ10)</f>
        <v>22718.111000000001</v>
      </c>
      <c r="AK11" s="2325">
        <f>SUM(AK6:AK10)</f>
        <v>180690.851</v>
      </c>
      <c r="AL11" s="2318">
        <f t="shared" si="7"/>
        <v>0.125729171533981</v>
      </c>
      <c r="AN11" s="2324">
        <f>SUM(AN6:AN10)</f>
        <v>43715.022539999998</v>
      </c>
      <c r="AO11" s="2325">
        <f>SUM(AO6:AO10)</f>
        <v>262945.91346000001</v>
      </c>
      <c r="AP11" s="2318">
        <f t="shared" si="8"/>
        <v>0.16625100563371195</v>
      </c>
      <c r="AR11" s="2324">
        <f>SUM(AR6:AR10)</f>
        <v>42530.04</v>
      </c>
      <c r="AS11" s="2325">
        <f>SUM(AS6:AS10)</f>
        <v>262488.77100000001</v>
      </c>
      <c r="AT11" s="2318">
        <f t="shared" si="10"/>
        <v>0.16202613101495303</v>
      </c>
      <c r="AV11" s="8"/>
    </row>
    <row r="12" spans="2:48">
      <c r="B12" s="129"/>
      <c r="D12" s="2326"/>
      <c r="E12" s="2326"/>
      <c r="F12" s="2319"/>
      <c r="H12" s="2326"/>
      <c r="I12" s="2326"/>
      <c r="J12" s="2319"/>
      <c r="L12" s="2326"/>
      <c r="M12" s="2326"/>
      <c r="N12" s="2319"/>
      <c r="P12" s="2326"/>
      <c r="Q12" s="2326"/>
      <c r="R12" s="2319"/>
      <c r="T12" s="2326"/>
      <c r="U12" s="2326"/>
      <c r="V12" s="2319"/>
      <c r="X12" s="2326"/>
      <c r="Y12" s="2326"/>
      <c r="Z12" s="2319"/>
      <c r="AB12" s="2326"/>
      <c r="AC12" s="2326"/>
      <c r="AD12" s="2319"/>
      <c r="AF12" s="2326"/>
      <c r="AG12" s="2326"/>
      <c r="AH12" s="2319"/>
      <c r="AJ12" s="2326"/>
      <c r="AK12" s="2326"/>
      <c r="AL12" s="2319"/>
      <c r="AN12" s="2326"/>
      <c r="AO12" s="2326"/>
      <c r="AP12" s="2319"/>
      <c r="AR12" s="2326"/>
      <c r="AS12" s="2326"/>
      <c r="AT12" s="2319"/>
      <c r="AV12" s="8"/>
    </row>
    <row r="13" spans="2:48">
      <c r="B13" s="2329" t="s">
        <v>16</v>
      </c>
      <c r="D13" s="2320">
        <v>1514605</v>
      </c>
      <c r="E13" s="2321">
        <v>6636727</v>
      </c>
      <c r="F13" s="2317">
        <f t="shared" ref="F13:F18" si="11">D13/E13</f>
        <v>0.22821565509625452</v>
      </c>
      <c r="H13" s="2320">
        <v>1128299</v>
      </c>
      <c r="I13" s="2321">
        <v>6316980</v>
      </c>
      <c r="J13" s="2317">
        <f t="shared" ref="J13:J18" si="12">H13/I13</f>
        <v>0.17861367298930819</v>
      </c>
      <c r="L13" s="2320">
        <v>256736</v>
      </c>
      <c r="M13" s="2321">
        <v>7221030</v>
      </c>
      <c r="N13" s="2317">
        <f t="shared" si="9"/>
        <v>3.5553930671940154E-2</v>
      </c>
      <c r="P13" s="2320">
        <v>564628</v>
      </c>
      <c r="Q13" s="2321">
        <v>4974441</v>
      </c>
      <c r="R13" s="2317">
        <f t="shared" ref="R13:R18" si="13">P13/Q13</f>
        <v>0.11350581904579832</v>
      </c>
      <c r="T13" s="2320">
        <v>436536</v>
      </c>
      <c r="U13" s="2321">
        <v>5396492</v>
      </c>
      <c r="V13" s="2317">
        <f t="shared" si="3"/>
        <v>8.0892550197424543E-2</v>
      </c>
      <c r="X13" s="2320">
        <v>685780</v>
      </c>
      <c r="Y13" s="2321">
        <v>5391953.2400000002</v>
      </c>
      <c r="Z13" s="2317">
        <f t="shared" ref="Z13:Z18" si="14">X13/Y13</f>
        <v>0.12718582106991713</v>
      </c>
      <c r="AB13" s="2320">
        <v>128511</v>
      </c>
      <c r="AC13" s="2321">
        <v>4098987</v>
      </c>
      <c r="AD13" s="2317">
        <f t="shared" ref="AD13:AD18" si="15">AB13/AC13</f>
        <v>3.1351892552964916E-2</v>
      </c>
      <c r="AF13" s="2320">
        <v>335779.00999999995</v>
      </c>
      <c r="AG13" s="2321">
        <v>3884636</v>
      </c>
      <c r="AH13" s="2317">
        <f t="shared" ref="AH13:AH18" si="16">AF13/AG13</f>
        <v>8.6437702271203773E-2</v>
      </c>
      <c r="AJ13" s="2320">
        <v>203.08099999999999</v>
      </c>
      <c r="AK13" s="2321">
        <v>4332.6840000000002</v>
      </c>
      <c r="AL13" s="2317">
        <f t="shared" ref="AL13:AL18" si="17">AJ13/AK13</f>
        <v>4.6871869723247757E-2</v>
      </c>
      <c r="AN13" s="2320">
        <v>466.66224999999997</v>
      </c>
      <c r="AO13" s="2321">
        <v>4328.61516999999</v>
      </c>
      <c r="AP13" s="2317">
        <f t="shared" si="8"/>
        <v>0.10780867128920611</v>
      </c>
      <c r="AR13" s="2320">
        <v>1201.1990000000001</v>
      </c>
      <c r="AS13" s="2321">
        <v>4511.2169999999996</v>
      </c>
      <c r="AT13" s="2317">
        <f t="shared" si="10"/>
        <v>0.26626939027761248</v>
      </c>
      <c r="AV13" s="8"/>
    </row>
    <row r="14" spans="2:48">
      <c r="B14" s="2254" t="s">
        <v>61</v>
      </c>
      <c r="D14" s="2322">
        <v>2467663</v>
      </c>
      <c r="E14" s="2323">
        <v>6005741</v>
      </c>
      <c r="F14" s="2317">
        <f t="shared" si="11"/>
        <v>0.41088401914101857</v>
      </c>
      <c r="H14" s="2322">
        <v>1442188</v>
      </c>
      <c r="I14" s="2323">
        <v>5509784</v>
      </c>
      <c r="J14" s="2317">
        <f t="shared" si="12"/>
        <v>0.26175036988745837</v>
      </c>
      <c r="L14" s="2322">
        <v>1006239</v>
      </c>
      <c r="M14" s="2323">
        <v>4933074</v>
      </c>
      <c r="N14" s="2317">
        <f t="shared" si="9"/>
        <v>0.20397808749676166</v>
      </c>
      <c r="P14" s="2322">
        <v>1512152</v>
      </c>
      <c r="Q14" s="2323">
        <v>4688458</v>
      </c>
      <c r="R14" s="2317">
        <f t="shared" si="13"/>
        <v>0.32252651084855616</v>
      </c>
      <c r="T14" s="2322">
        <v>364936</v>
      </c>
      <c r="U14" s="2323">
        <v>4584419.5599999987</v>
      </c>
      <c r="V14" s="2317">
        <f t="shared" si="3"/>
        <v>7.9603534367609252E-2</v>
      </c>
      <c r="X14" s="2322">
        <v>773891</v>
      </c>
      <c r="Y14" s="2323">
        <v>4426369.57</v>
      </c>
      <c r="Z14" s="2317">
        <f t="shared" si="14"/>
        <v>0.17483650828550223</v>
      </c>
      <c r="AB14" s="2322">
        <v>548010.38</v>
      </c>
      <c r="AC14" s="2323">
        <v>3636230.34</v>
      </c>
      <c r="AD14" s="2317">
        <f t="shared" si="15"/>
        <v>0.15070837894169267</v>
      </c>
      <c r="AF14" s="2322">
        <v>1304835.8500000001</v>
      </c>
      <c r="AG14" s="2323">
        <v>3689660.8699999996</v>
      </c>
      <c r="AH14" s="2317">
        <f t="shared" si="16"/>
        <v>0.35364655342971946</v>
      </c>
      <c r="AJ14" s="2322">
        <v>773.49800000000005</v>
      </c>
      <c r="AK14" s="2323">
        <v>3588.306</v>
      </c>
      <c r="AL14" s="2317">
        <f t="shared" si="17"/>
        <v>0.21556076878616262</v>
      </c>
      <c r="AN14" s="2322">
        <v>732.75877000000003</v>
      </c>
      <c r="AO14" s="2323">
        <v>3717.9780500000002</v>
      </c>
      <c r="AP14" s="2317">
        <f t="shared" si="8"/>
        <v>0.19708528671921557</v>
      </c>
      <c r="AR14" s="2322">
        <v>1324.3330000000001</v>
      </c>
      <c r="AS14" s="2323">
        <v>3833.855</v>
      </c>
      <c r="AT14" s="2317">
        <f t="shared" si="10"/>
        <v>0.34543116523707862</v>
      </c>
      <c r="AV14" s="8"/>
    </row>
    <row r="15" spans="2:48">
      <c r="B15" s="2254" t="s">
        <v>64</v>
      </c>
      <c r="D15" s="2322">
        <v>2044596</v>
      </c>
      <c r="E15" s="2323">
        <v>5893685</v>
      </c>
      <c r="F15" s="2317">
        <f t="shared" si="11"/>
        <v>0.34691300943297781</v>
      </c>
      <c r="H15" s="2322">
        <v>1626846</v>
      </c>
      <c r="I15" s="2323">
        <v>5757439</v>
      </c>
      <c r="J15" s="2317">
        <f t="shared" si="12"/>
        <v>0.28256417480063617</v>
      </c>
      <c r="L15" s="2322">
        <v>1493322</v>
      </c>
      <c r="M15" s="2323">
        <v>5581029</v>
      </c>
      <c r="N15" s="2317">
        <f t="shared" si="9"/>
        <v>0.26757108769726873</v>
      </c>
      <c r="P15" s="2322">
        <v>2126193</v>
      </c>
      <c r="Q15" s="2323">
        <v>6320284</v>
      </c>
      <c r="R15" s="2317">
        <f t="shared" si="13"/>
        <v>0.33640782597744023</v>
      </c>
      <c r="T15" s="2322">
        <v>1037992</v>
      </c>
      <c r="U15" s="2323">
        <v>4963842.76</v>
      </c>
      <c r="V15" s="2317">
        <f t="shared" si="3"/>
        <v>0.20911057222932664</v>
      </c>
      <c r="X15" s="2322">
        <v>1351580</v>
      </c>
      <c r="Y15" s="2323">
        <v>5423995.9500000011</v>
      </c>
      <c r="Z15" s="2317">
        <f t="shared" si="14"/>
        <v>0.24918528930686235</v>
      </c>
      <c r="AB15" s="2322">
        <v>702990.68</v>
      </c>
      <c r="AC15" s="2323">
        <v>3682705.1599999997</v>
      </c>
      <c r="AD15" s="2317">
        <f t="shared" si="15"/>
        <v>0.19088975344417747</v>
      </c>
      <c r="AF15" s="2322">
        <v>690451.43</v>
      </c>
      <c r="AG15" s="2323">
        <v>3581257</v>
      </c>
      <c r="AH15" s="2317">
        <f t="shared" si="16"/>
        <v>0.19279583397672942</v>
      </c>
      <c r="AJ15" s="2322">
        <v>754.46100000000001</v>
      </c>
      <c r="AK15" s="2323">
        <v>3791.2420000000002</v>
      </c>
      <c r="AL15" s="2317">
        <f t="shared" si="17"/>
        <v>0.19900101338822476</v>
      </c>
      <c r="AN15" s="2322">
        <v>2056.5882099999999</v>
      </c>
      <c r="AO15" s="2323">
        <v>5489.5613600000197</v>
      </c>
      <c r="AP15" s="2317">
        <f t="shared" si="8"/>
        <v>0.37463616400855615</v>
      </c>
      <c r="AR15" s="2322">
        <v>982.09900000000005</v>
      </c>
      <c r="AS15" s="2323">
        <v>3406.6129999999998</v>
      </c>
      <c r="AT15" s="2317">
        <f t="shared" si="10"/>
        <v>0.28829191927583209</v>
      </c>
      <c r="AV15" s="8"/>
    </row>
    <row r="16" spans="2:48">
      <c r="B16" s="2254" t="s">
        <v>85</v>
      </c>
      <c r="D16" s="2322">
        <v>4115140</v>
      </c>
      <c r="E16" s="2323">
        <v>55754919</v>
      </c>
      <c r="F16" s="2317">
        <f t="shared" si="11"/>
        <v>7.3807658118918623E-2</v>
      </c>
      <c r="H16" s="2322">
        <v>7996911</v>
      </c>
      <c r="I16" s="2323">
        <v>56645293</v>
      </c>
      <c r="J16" s="2317">
        <f t="shared" si="12"/>
        <v>0.14117520762051669</v>
      </c>
      <c r="L16" s="2322">
        <v>2468888</v>
      </c>
      <c r="M16" s="2323">
        <v>53811692</v>
      </c>
      <c r="N16" s="2317">
        <f t="shared" si="9"/>
        <v>4.588014069507422E-2</v>
      </c>
      <c r="P16" s="2322">
        <v>6813584</v>
      </c>
      <c r="Q16" s="2323">
        <v>47277331</v>
      </c>
      <c r="R16" s="2317">
        <f t="shared" si="13"/>
        <v>0.14411947239576617</v>
      </c>
      <c r="T16" s="2322">
        <v>6832862</v>
      </c>
      <c r="U16" s="2323">
        <v>55514815.25999999</v>
      </c>
      <c r="V16" s="2317">
        <f t="shared" si="3"/>
        <v>0.12308177498202488</v>
      </c>
      <c r="X16" s="2322">
        <v>9019047</v>
      </c>
      <c r="Y16" s="2323">
        <v>73980290.639999986</v>
      </c>
      <c r="Z16" s="2317">
        <f t="shared" si="14"/>
        <v>0.12191148374758537</v>
      </c>
      <c r="AB16" s="2322">
        <v>15978059.989999998</v>
      </c>
      <c r="AC16" s="2323">
        <v>74673293.629999995</v>
      </c>
      <c r="AD16" s="2317">
        <f t="shared" si="15"/>
        <v>0.21397288392246319</v>
      </c>
      <c r="AF16" s="2322">
        <v>24285229.34</v>
      </c>
      <c r="AG16" s="2323">
        <v>104640749</v>
      </c>
      <c r="AH16" s="2317">
        <f t="shared" si="16"/>
        <v>0.23208195250972449</v>
      </c>
      <c r="AJ16" s="2322">
        <v>4897.7979999999998</v>
      </c>
      <c r="AK16" s="2323">
        <v>674991.34299999999</v>
      </c>
      <c r="AL16" s="2317">
        <f t="shared" si="17"/>
        <v>7.2560900977362607E-3</v>
      </c>
      <c r="AN16" s="2322">
        <v>7666.4898400000002</v>
      </c>
      <c r="AO16" s="2323">
        <v>127420.00512</v>
      </c>
      <c r="AP16" s="2317">
        <f t="shared" si="8"/>
        <v>6.0167081556620171E-2</v>
      </c>
      <c r="AR16" s="2322">
        <v>13367.171</v>
      </c>
      <c r="AS16" s="2323">
        <v>72636.747000000003</v>
      </c>
      <c r="AT16" s="2317">
        <f t="shared" si="10"/>
        <v>0.18402766577638727</v>
      </c>
      <c r="AV16" s="8"/>
    </row>
    <row r="17" spans="2:48">
      <c r="B17" s="2254" t="s">
        <v>86</v>
      </c>
      <c r="D17" s="2322">
        <v>1135998</v>
      </c>
      <c r="E17" s="2323">
        <v>19937664</v>
      </c>
      <c r="F17" s="2317">
        <f t="shared" si="11"/>
        <v>5.6977487432830647E-2</v>
      </c>
      <c r="H17" s="2322">
        <v>782059</v>
      </c>
      <c r="I17" s="2323">
        <v>15877248</v>
      </c>
      <c r="J17" s="2317">
        <f t="shared" si="12"/>
        <v>4.9256584012544243E-2</v>
      </c>
      <c r="L17" s="2322">
        <v>2319164</v>
      </c>
      <c r="M17" s="2323">
        <v>17565055</v>
      </c>
      <c r="N17" s="2317">
        <f t="shared" si="9"/>
        <v>0.13203283451147749</v>
      </c>
      <c r="P17" s="2322">
        <v>869931</v>
      </c>
      <c r="Q17" s="2323">
        <v>13599521</v>
      </c>
      <c r="R17" s="2317">
        <f t="shared" si="13"/>
        <v>6.3967767688288435E-2</v>
      </c>
      <c r="T17" s="2322">
        <v>907607</v>
      </c>
      <c r="U17" s="2323">
        <v>14500829.620000001</v>
      </c>
      <c r="V17" s="2317">
        <f t="shared" si="3"/>
        <v>6.2590005108962857E-2</v>
      </c>
      <c r="X17" s="2322">
        <v>4276903</v>
      </c>
      <c r="Y17" s="2323">
        <v>18186990.669999998</v>
      </c>
      <c r="Z17" s="2317">
        <f t="shared" si="14"/>
        <v>0.23516276428595101</v>
      </c>
      <c r="AB17" s="2322">
        <v>556249.53</v>
      </c>
      <c r="AC17" s="2323">
        <v>10616492.68</v>
      </c>
      <c r="AD17" s="2317">
        <f t="shared" si="15"/>
        <v>5.2394848917279149E-2</v>
      </c>
      <c r="AF17" s="2322">
        <v>1178594.73</v>
      </c>
      <c r="AG17" s="2323">
        <v>9479603</v>
      </c>
      <c r="AH17" s="2317">
        <f t="shared" si="16"/>
        <v>0.12432954523517493</v>
      </c>
      <c r="AJ17" s="2322">
        <v>184.20500000000001</v>
      </c>
      <c r="AK17" s="2323">
        <v>10196.973</v>
      </c>
      <c r="AL17" s="2317">
        <f t="shared" si="17"/>
        <v>1.8064674683359466E-2</v>
      </c>
      <c r="AN17" s="2322">
        <v>299.40325999999999</v>
      </c>
      <c r="AO17" s="2323">
        <v>70651.988769999996</v>
      </c>
      <c r="AP17" s="2317">
        <f t="shared" si="8"/>
        <v>4.2377187848834002E-3</v>
      </c>
      <c r="AR17" s="2322">
        <v>417.61099999999999</v>
      </c>
      <c r="AS17" s="2323">
        <v>63720.667000000001</v>
      </c>
      <c r="AT17" s="2317">
        <f t="shared" si="10"/>
        <v>6.5537763438665827E-3</v>
      </c>
      <c r="AV17" s="8"/>
    </row>
    <row r="18" spans="2:48">
      <c r="B18" s="2330" t="s">
        <v>59</v>
      </c>
      <c r="D18" s="2324">
        <v>11278002</v>
      </c>
      <c r="E18" s="2325">
        <v>94228736</v>
      </c>
      <c r="F18" s="2318">
        <f t="shared" si="11"/>
        <v>0.11968750169799582</v>
      </c>
      <c r="H18" s="2324">
        <v>12976303</v>
      </c>
      <c r="I18" s="2325">
        <v>90106744</v>
      </c>
      <c r="J18" s="2318">
        <f t="shared" si="12"/>
        <v>0.14401034177863534</v>
      </c>
      <c r="L18" s="2324">
        <v>7544349</v>
      </c>
      <c r="M18" s="2325">
        <v>89111880</v>
      </c>
      <c r="N18" s="2318">
        <f t="shared" si="9"/>
        <v>8.4661540077484623E-2</v>
      </c>
      <c r="P18" s="2324">
        <f>SUM(P13:P17)</f>
        <v>11886488</v>
      </c>
      <c r="Q18" s="2325">
        <f>SUM(Q13:Q17)</f>
        <v>76860035</v>
      </c>
      <c r="R18" s="2318">
        <f t="shared" si="13"/>
        <v>0.15465108752552612</v>
      </c>
      <c r="T18" s="2324">
        <f>SUM(T13:T17)</f>
        <v>9579933</v>
      </c>
      <c r="U18" s="2325">
        <f>SUM(U13:U17)</f>
        <v>84960399.199999988</v>
      </c>
      <c r="V18" s="2318">
        <f t="shared" si="3"/>
        <v>0.11275762696745899</v>
      </c>
      <c r="X18" s="2324">
        <f>SUM(X13:X17)</f>
        <v>16107201</v>
      </c>
      <c r="Y18" s="2325">
        <f>SUM(Y13:Y17)</f>
        <v>107409600.06999999</v>
      </c>
      <c r="Z18" s="2318">
        <f t="shared" si="14"/>
        <v>0.14996053415619054</v>
      </c>
      <c r="AB18" s="2324">
        <f>SUM(AB13:AB17)</f>
        <v>17913821.579999998</v>
      </c>
      <c r="AC18" s="2325">
        <f>SUM(AC13:AC17)</f>
        <v>96707708.810000002</v>
      </c>
      <c r="AD18" s="2318">
        <f t="shared" si="15"/>
        <v>0.18523674896687894</v>
      </c>
      <c r="AF18" s="2324">
        <f>SUM(AF13:AF17)</f>
        <v>27794890.359999999</v>
      </c>
      <c r="AG18" s="2325">
        <f>SUM(AG13:AG17)</f>
        <v>125275905.87</v>
      </c>
      <c r="AH18" s="2318">
        <f t="shared" si="16"/>
        <v>0.22186940231622049</v>
      </c>
      <c r="AJ18" s="2324">
        <f>SUM(AJ13:AJ17)</f>
        <v>6813.0429999999997</v>
      </c>
      <c r="AK18" s="2325">
        <f>SUM(AK13:AK17)</f>
        <v>696900.54799999995</v>
      </c>
      <c r="AL18" s="2318">
        <f t="shared" si="17"/>
        <v>9.776205542602041E-3</v>
      </c>
      <c r="AN18" s="2324">
        <f>SUM(AN13:AN17)</f>
        <v>11221.902329999999</v>
      </c>
      <c r="AO18" s="2325">
        <f>SUM(AO13:AO17)</f>
        <v>211608.14847000001</v>
      </c>
      <c r="AP18" s="2318">
        <f t="shared" si="8"/>
        <v>5.3031522704292004E-2</v>
      </c>
      <c r="AR18" s="2324">
        <f>SUM(AR13:AR17)</f>
        <v>17292.413</v>
      </c>
      <c r="AS18" s="2325">
        <f>SUM(AS13:AS17)</f>
        <v>148109.09899999999</v>
      </c>
      <c r="AT18" s="2318">
        <f t="shared" si="10"/>
        <v>0.11675456212180456</v>
      </c>
      <c r="AV18" s="8"/>
    </row>
    <row r="19" spans="2:48">
      <c r="B19" s="129"/>
      <c r="D19" s="2326"/>
      <c r="E19" s="2326"/>
      <c r="F19" s="2319"/>
      <c r="H19" s="2326"/>
      <c r="I19" s="2326"/>
      <c r="J19" s="2319"/>
      <c r="L19" s="2326"/>
      <c r="M19" s="2326"/>
      <c r="N19" s="2319"/>
      <c r="P19" s="2326"/>
      <c r="Q19" s="2326"/>
      <c r="R19" s="2319"/>
      <c r="T19" s="2326"/>
      <c r="U19" s="2326"/>
      <c r="V19" s="2319"/>
      <c r="X19" s="2326"/>
      <c r="Y19" s="2326"/>
      <c r="Z19" s="2319"/>
      <c r="AB19" s="2326"/>
      <c r="AC19" s="2326"/>
      <c r="AD19" s="2319"/>
      <c r="AF19" s="2326"/>
      <c r="AG19" s="2326"/>
      <c r="AH19" s="2319"/>
      <c r="AJ19" s="2326"/>
      <c r="AK19" s="2326"/>
      <c r="AL19" s="2319"/>
      <c r="AN19" s="2326"/>
      <c r="AO19" s="2326"/>
      <c r="AP19" s="2319"/>
      <c r="AR19" s="2326"/>
      <c r="AS19" s="2326"/>
      <c r="AT19" s="2319"/>
      <c r="AV19" s="8"/>
    </row>
    <row r="20" spans="2:48">
      <c r="B20" s="2329" t="s">
        <v>4</v>
      </c>
      <c r="D20" s="2320">
        <v>4835239</v>
      </c>
      <c r="E20" s="2321">
        <v>23217697</v>
      </c>
      <c r="F20" s="2317">
        <f t="shared" ref="F20:F25" si="18">D20/E20</f>
        <v>0.20825661563246345</v>
      </c>
      <c r="H20" s="2320">
        <v>5378781</v>
      </c>
      <c r="I20" s="2321">
        <v>26409157</v>
      </c>
      <c r="J20" s="2317">
        <f t="shared" ref="J20:J25" si="19">H20/I20</f>
        <v>0.20367106000392213</v>
      </c>
      <c r="L20" s="2320">
        <v>4208673</v>
      </c>
      <c r="M20" s="2321">
        <v>25445653</v>
      </c>
      <c r="N20" s="2317">
        <f t="shared" si="9"/>
        <v>0.16539850637749404</v>
      </c>
      <c r="P20" s="2320">
        <v>3910872</v>
      </c>
      <c r="Q20" s="2321">
        <v>29002754</v>
      </c>
      <c r="R20" s="2317">
        <f t="shared" ref="R20:R25" si="20">P20/Q20</f>
        <v>0.13484484956152784</v>
      </c>
      <c r="T20" s="2320">
        <v>2453027</v>
      </c>
      <c r="U20" s="2321">
        <v>28037771.640000001</v>
      </c>
      <c r="V20" s="2317">
        <f t="shared" si="3"/>
        <v>8.7490084144219105E-2</v>
      </c>
      <c r="X20" s="2320">
        <v>2598733</v>
      </c>
      <c r="Y20" s="2321">
        <v>26536484.91</v>
      </c>
      <c r="Z20" s="2317">
        <f t="shared" ref="Z20:Z25" si="21">X20/Y20</f>
        <v>9.7930566494158933E-2</v>
      </c>
      <c r="AB20" s="2320">
        <v>2493196.5699999998</v>
      </c>
      <c r="AC20" s="2321">
        <v>23517971.870000001</v>
      </c>
      <c r="AD20" s="2317">
        <f t="shared" ref="AD20:AD25" si="22">AB20/AC20</f>
        <v>0.10601239697800521</v>
      </c>
      <c r="AF20" s="2320">
        <v>4057112.1500000004</v>
      </c>
      <c r="AG20" s="2321">
        <v>30922524</v>
      </c>
      <c r="AH20" s="2317">
        <f t="shared" ref="AH20:AH25" si="23">AF20/AG20</f>
        <v>0.1312024901330823</v>
      </c>
      <c r="AJ20" s="2320">
        <v>3250.1930000000002</v>
      </c>
      <c r="AK20" s="2321">
        <v>24122.48</v>
      </c>
      <c r="AL20" s="2317">
        <f t="shared" ref="AL20:AL25" si="24">AJ20/AK20</f>
        <v>0.13473709999966837</v>
      </c>
      <c r="AN20" s="2320">
        <v>6482.3054199999997</v>
      </c>
      <c r="AO20" s="2321">
        <v>36910.90797</v>
      </c>
      <c r="AP20" s="2317">
        <f t="shared" si="8"/>
        <v>0.17562031866754968</v>
      </c>
      <c r="AR20" s="2320">
        <v>6022.6589999999997</v>
      </c>
      <c r="AS20" s="2321">
        <v>31868.187000000002</v>
      </c>
      <c r="AT20" s="2317">
        <f t="shared" si="10"/>
        <v>0.18898655891532201</v>
      </c>
      <c r="AV20" s="8"/>
    </row>
    <row r="21" spans="2:48">
      <c r="B21" s="2254" t="s">
        <v>16</v>
      </c>
      <c r="D21" s="2322">
        <v>5212764</v>
      </c>
      <c r="E21" s="2323">
        <v>23229828</v>
      </c>
      <c r="F21" s="2317">
        <f t="shared" si="18"/>
        <v>0.22439959521008937</v>
      </c>
      <c r="H21" s="2322">
        <v>3050371</v>
      </c>
      <c r="I21" s="2323">
        <v>22186480</v>
      </c>
      <c r="J21" s="2317">
        <f t="shared" si="19"/>
        <v>0.1374878304264579</v>
      </c>
      <c r="L21" s="2322">
        <v>2732689</v>
      </c>
      <c r="M21" s="2323">
        <v>23924755</v>
      </c>
      <c r="N21" s="2317">
        <f t="shared" si="9"/>
        <v>0.11422014561904605</v>
      </c>
      <c r="P21" s="2322">
        <v>851706</v>
      </c>
      <c r="Q21" s="2323">
        <v>21808783</v>
      </c>
      <c r="R21" s="2317">
        <f t="shared" si="20"/>
        <v>3.9053348368865884E-2</v>
      </c>
      <c r="T21" s="2322">
        <v>1677469</v>
      </c>
      <c r="U21" s="2323">
        <v>24199854</v>
      </c>
      <c r="V21" s="2317">
        <f t="shared" si="3"/>
        <v>6.931731902184203E-2</v>
      </c>
      <c r="X21" s="2322">
        <v>2072259</v>
      </c>
      <c r="Y21" s="2323">
        <v>22582558</v>
      </c>
      <c r="Z21" s="2317">
        <f t="shared" si="21"/>
        <v>9.1763696566172878E-2</v>
      </c>
      <c r="AB21" s="2322">
        <v>1585557.3299999998</v>
      </c>
      <c r="AC21" s="2323">
        <v>26538805.379999995</v>
      </c>
      <c r="AD21" s="2317">
        <f t="shared" si="22"/>
        <v>5.9744864446494544E-2</v>
      </c>
      <c r="AF21" s="2322">
        <v>2182283.46</v>
      </c>
      <c r="AG21" s="2323">
        <v>28058499</v>
      </c>
      <c r="AH21" s="2317">
        <f t="shared" si="23"/>
        <v>7.7776201071910508E-2</v>
      </c>
      <c r="AJ21" s="2322">
        <v>2350.9209999999998</v>
      </c>
      <c r="AK21" s="2323">
        <v>22154.499</v>
      </c>
      <c r="AL21" s="2317">
        <f t="shared" si="24"/>
        <v>0.10611483473401948</v>
      </c>
      <c r="AN21" s="2322">
        <v>1146.60447</v>
      </c>
      <c r="AO21" s="2323">
        <v>22781.2382</v>
      </c>
      <c r="AP21" s="2317">
        <f t="shared" si="8"/>
        <v>5.0331086481506526E-2</v>
      </c>
      <c r="AR21" s="2322">
        <v>1546.241</v>
      </c>
      <c r="AS21" s="2323">
        <v>20467.61</v>
      </c>
      <c r="AT21" s="2317">
        <f t="shared" si="10"/>
        <v>7.5545752532904423E-2</v>
      </c>
      <c r="AV21" s="8"/>
    </row>
    <row r="22" spans="2:48">
      <c r="B22" s="2254" t="s">
        <v>41</v>
      </c>
      <c r="D22" s="2322">
        <v>4420480</v>
      </c>
      <c r="E22" s="2323">
        <v>22366084</v>
      </c>
      <c r="F22" s="2317">
        <f t="shared" si="18"/>
        <v>0.19764210847102245</v>
      </c>
      <c r="H22" s="2322">
        <v>4997746</v>
      </c>
      <c r="I22" s="2323">
        <v>21604245</v>
      </c>
      <c r="J22" s="2317">
        <f t="shared" si="19"/>
        <v>0.2313316665312766</v>
      </c>
      <c r="L22" s="2322">
        <v>2150371</v>
      </c>
      <c r="M22" s="2323">
        <v>20142528</v>
      </c>
      <c r="N22" s="2317">
        <f t="shared" si="9"/>
        <v>0.10675775155928789</v>
      </c>
      <c r="P22" s="2322">
        <v>1351840</v>
      </c>
      <c r="Q22" s="2323">
        <v>16956795</v>
      </c>
      <c r="R22" s="2317">
        <f t="shared" si="20"/>
        <v>7.9722612675331636E-2</v>
      </c>
      <c r="T22" s="2322">
        <v>2115684</v>
      </c>
      <c r="U22" s="2323">
        <v>20150357</v>
      </c>
      <c r="V22" s="2317">
        <f t="shared" si="3"/>
        <v>0.10499486435897885</v>
      </c>
      <c r="X22" s="2322">
        <v>2637431</v>
      </c>
      <c r="Y22" s="2323">
        <v>19517343.690000005</v>
      </c>
      <c r="Z22" s="2317">
        <f t="shared" si="21"/>
        <v>0.13513268208477192</v>
      </c>
      <c r="AB22" s="2322">
        <v>2581052.42</v>
      </c>
      <c r="AC22" s="2323">
        <v>21604736.829999998</v>
      </c>
      <c r="AD22" s="2317">
        <f t="shared" si="22"/>
        <v>0.1194669687628868</v>
      </c>
      <c r="AF22" s="2322">
        <v>2530619.64</v>
      </c>
      <c r="AG22" s="2323">
        <v>22959647</v>
      </c>
      <c r="AH22" s="2317">
        <f t="shared" si="23"/>
        <v>0.11022032002495509</v>
      </c>
      <c r="AJ22" s="2322">
        <v>1489.78</v>
      </c>
      <c r="AK22" s="2323">
        <v>17004.931</v>
      </c>
      <c r="AL22" s="2317">
        <f t="shared" si="24"/>
        <v>8.7608705968874559E-2</v>
      </c>
      <c r="AN22" s="2322">
        <v>7495.9536799999996</v>
      </c>
      <c r="AO22" s="2323">
        <v>25082.755579999899</v>
      </c>
      <c r="AP22" s="2317">
        <f t="shared" si="8"/>
        <v>0.29884889066881504</v>
      </c>
      <c r="AR22" s="2322">
        <v>3375.8429999999998</v>
      </c>
      <c r="AS22" s="2323">
        <v>19824.717000000001</v>
      </c>
      <c r="AT22" s="2317">
        <f t="shared" si="10"/>
        <v>0.17028454933303713</v>
      </c>
      <c r="AV22" s="8"/>
    </row>
    <row r="23" spans="2:48">
      <c r="B23" s="2254" t="s">
        <v>85</v>
      </c>
      <c r="D23" s="2322">
        <v>8441288</v>
      </c>
      <c r="E23" s="2323">
        <v>121195753</v>
      </c>
      <c r="F23" s="2317">
        <f t="shared" si="18"/>
        <v>6.9650031383525463E-2</v>
      </c>
      <c r="H23" s="2322">
        <v>8623420</v>
      </c>
      <c r="I23" s="2323">
        <v>110273326</v>
      </c>
      <c r="J23" s="2317">
        <f t="shared" si="19"/>
        <v>7.8200416300130457E-2</v>
      </c>
      <c r="L23" s="2322">
        <v>8121306</v>
      </c>
      <c r="M23" s="2323">
        <v>117922375</v>
      </c>
      <c r="N23" s="2317">
        <f t="shared" si="9"/>
        <v>6.8869932444966447E-2</v>
      </c>
      <c r="P23" s="2322">
        <v>5404767</v>
      </c>
      <c r="Q23" s="2323">
        <v>106306820</v>
      </c>
      <c r="R23" s="2317">
        <f t="shared" si="20"/>
        <v>5.0841206613084652E-2</v>
      </c>
      <c r="T23" s="2322">
        <v>11205058</v>
      </c>
      <c r="U23" s="2323">
        <v>95624538.019999996</v>
      </c>
      <c r="V23" s="2317">
        <f t="shared" si="3"/>
        <v>0.11717764322852413</v>
      </c>
      <c r="X23" s="2322">
        <v>10493123</v>
      </c>
      <c r="Y23" s="2323">
        <v>85112200.079999998</v>
      </c>
      <c r="Z23" s="2317">
        <f t="shared" si="21"/>
        <v>0.12328576855183086</v>
      </c>
      <c r="AB23" s="2322">
        <v>8567883.5099999998</v>
      </c>
      <c r="AC23" s="2323">
        <v>105655918.29999998</v>
      </c>
      <c r="AD23" s="2317">
        <f t="shared" si="22"/>
        <v>8.1092319747506289E-2</v>
      </c>
      <c r="AF23" s="2322">
        <v>14429569.41</v>
      </c>
      <c r="AG23" s="2323">
        <v>96469849</v>
      </c>
      <c r="AH23" s="2317">
        <f t="shared" si="23"/>
        <v>0.14957595103108329</v>
      </c>
      <c r="AJ23" s="2322">
        <v>7389.0789999999997</v>
      </c>
      <c r="AK23" s="2323">
        <v>104777.079</v>
      </c>
      <c r="AL23" s="2317">
        <f t="shared" si="24"/>
        <v>7.0521902982235263E-2</v>
      </c>
      <c r="AN23" s="2322">
        <v>17467.651010000001</v>
      </c>
      <c r="AO23" s="2323">
        <v>231812.41046000001</v>
      </c>
      <c r="AP23" s="2317">
        <f t="shared" si="8"/>
        <v>7.5352527396345334E-2</v>
      </c>
      <c r="AR23" s="2322">
        <v>14292.633</v>
      </c>
      <c r="AS23" s="2323">
        <v>245882.73300000001</v>
      </c>
      <c r="AT23" s="2317">
        <f t="shared" si="10"/>
        <v>5.8127843405742521E-2</v>
      </c>
      <c r="AV23" s="8"/>
    </row>
    <row r="24" spans="2:48">
      <c r="B24" s="2254" t="s">
        <v>86</v>
      </c>
      <c r="D24" s="2322">
        <v>89417</v>
      </c>
      <c r="E24" s="2323">
        <v>8088926</v>
      </c>
      <c r="F24" s="2317">
        <f t="shared" si="18"/>
        <v>1.1054248734628059E-2</v>
      </c>
      <c r="H24" s="2322">
        <v>8785997</v>
      </c>
      <c r="I24" s="2323">
        <v>14502494</v>
      </c>
      <c r="J24" s="2317">
        <f t="shared" si="19"/>
        <v>0.60582662540663701</v>
      </c>
      <c r="L24" s="2322">
        <v>762129</v>
      </c>
      <c r="M24" s="2323">
        <v>8847844</v>
      </c>
      <c r="N24" s="2317">
        <f t="shared" si="9"/>
        <v>8.6137255584524314E-2</v>
      </c>
      <c r="P24" s="2322">
        <v>152415</v>
      </c>
      <c r="Q24" s="2323">
        <v>7383186</v>
      </c>
      <c r="R24" s="2317">
        <f t="shared" si="20"/>
        <v>2.0643527062707074E-2</v>
      </c>
      <c r="T24" s="2322">
        <v>931917</v>
      </c>
      <c r="U24" s="2323">
        <v>10675982</v>
      </c>
      <c r="V24" s="2317">
        <f t="shared" si="3"/>
        <v>8.729098644040427E-2</v>
      </c>
      <c r="X24" s="2322">
        <v>1348504</v>
      </c>
      <c r="Y24" s="2323">
        <v>18769750.039999995</v>
      </c>
      <c r="Z24" s="2317">
        <f t="shared" si="21"/>
        <v>7.184453693449401E-2</v>
      </c>
      <c r="AB24" s="2322">
        <v>25617.93</v>
      </c>
      <c r="AC24" s="2323">
        <v>9684062.7300000004</v>
      </c>
      <c r="AD24" s="2317">
        <f t="shared" si="22"/>
        <v>2.6453701007779409E-3</v>
      </c>
      <c r="AF24" s="2322">
        <v>829007.50000000012</v>
      </c>
      <c r="AG24" s="2323">
        <v>17062916</v>
      </c>
      <c r="AH24" s="2317">
        <f t="shared" si="23"/>
        <v>4.8585335589766729E-2</v>
      </c>
      <c r="AJ24" s="2322">
        <v>650.46</v>
      </c>
      <c r="AK24" s="2323">
        <v>18896.394</v>
      </c>
      <c r="AL24" s="2317">
        <f t="shared" si="24"/>
        <v>3.4422440598984125E-2</v>
      </c>
      <c r="AN24" s="2322">
        <v>15043.332560000001</v>
      </c>
      <c r="AO24" s="2323">
        <v>43411.862000000001</v>
      </c>
      <c r="AP24" s="2317">
        <f t="shared" si="8"/>
        <v>0.34652585415479298</v>
      </c>
      <c r="AR24" s="2322">
        <v>1659.4559999999999</v>
      </c>
      <c r="AS24" s="2323">
        <v>20053.233</v>
      </c>
      <c r="AT24" s="2317">
        <f t="shared" si="10"/>
        <v>8.275254169739113E-2</v>
      </c>
      <c r="AV24" s="8"/>
    </row>
    <row r="25" spans="2:48">
      <c r="B25" s="2330" t="s">
        <v>25</v>
      </c>
      <c r="D25" s="2324">
        <v>22999188</v>
      </c>
      <c r="E25" s="2325">
        <v>198098288</v>
      </c>
      <c r="F25" s="2318">
        <f t="shared" si="18"/>
        <v>0.11609988270065211</v>
      </c>
      <c r="H25" s="2324">
        <v>30836315</v>
      </c>
      <c r="I25" s="2325">
        <v>194975702</v>
      </c>
      <c r="J25" s="2318">
        <f t="shared" si="19"/>
        <v>0.15815465559908587</v>
      </c>
      <c r="L25" s="2324">
        <v>17975168</v>
      </c>
      <c r="M25" s="2325">
        <v>196283155</v>
      </c>
      <c r="N25" s="2318">
        <f t="shared" si="9"/>
        <v>9.1577741350244754E-2</v>
      </c>
      <c r="P25" s="2324">
        <f>SUM(P20:P24)</f>
        <v>11671600</v>
      </c>
      <c r="Q25" s="2325">
        <f>SUM(Q20:Q24)</f>
        <v>181458338</v>
      </c>
      <c r="R25" s="2318">
        <f t="shared" si="20"/>
        <v>6.4321100527218539E-2</v>
      </c>
      <c r="T25" s="2324">
        <f>SUM(T20:T24)</f>
        <v>18383155</v>
      </c>
      <c r="U25" s="2325">
        <f>SUM(U20:U24)</f>
        <v>178688502.66</v>
      </c>
      <c r="V25" s="2318">
        <f t="shared" si="3"/>
        <v>0.10287821950681737</v>
      </c>
      <c r="X25" s="2324">
        <f>SUM(X20:X24)</f>
        <v>19150050</v>
      </c>
      <c r="Y25" s="2325">
        <f>SUM(Y20:Y24)</f>
        <v>172518336.72</v>
      </c>
      <c r="Z25" s="2318">
        <f t="shared" si="21"/>
        <v>0.11100298301090646</v>
      </c>
      <c r="AB25" s="2324">
        <f>SUM(AB20:AB24)</f>
        <v>15253307.759999998</v>
      </c>
      <c r="AC25" s="2325">
        <f>SUM(AC20:AC24)</f>
        <v>187001495.10999998</v>
      </c>
      <c r="AD25" s="2318">
        <f t="shared" si="22"/>
        <v>8.15678385406894E-2</v>
      </c>
      <c r="AF25" s="2324">
        <f>SUM(AF20:AF24)</f>
        <v>24028592.16</v>
      </c>
      <c r="AG25" s="2325">
        <f>SUM(AG20:AG24)</f>
        <v>195473435</v>
      </c>
      <c r="AH25" s="2318">
        <f t="shared" si="23"/>
        <v>0.12292510314764767</v>
      </c>
      <c r="AJ25" s="2324">
        <f>SUM(AJ20:AJ24)</f>
        <v>15130.432999999997</v>
      </c>
      <c r="AK25" s="2325">
        <f>SUM(AK20:AK24)</f>
        <v>186955.383</v>
      </c>
      <c r="AL25" s="2318">
        <f t="shared" si="24"/>
        <v>8.0930715966600425E-2</v>
      </c>
      <c r="AN25" s="2324">
        <f>SUM(AN20:AN24)</f>
        <v>47635.847140000005</v>
      </c>
      <c r="AO25" s="2325">
        <f>SUM(AO20:AO24)</f>
        <v>359999.17420999991</v>
      </c>
      <c r="AP25" s="2318">
        <f t="shared" si="8"/>
        <v>0.13232210113963311</v>
      </c>
      <c r="AR25" s="2324">
        <f>SUM(AR20:AR24)</f>
        <v>26896.831999999995</v>
      </c>
      <c r="AS25" s="2325">
        <f>SUM(AS20:AS24)</f>
        <v>338096.48000000004</v>
      </c>
      <c r="AT25" s="2318">
        <f t="shared" si="10"/>
        <v>7.9553717920991043E-2</v>
      </c>
      <c r="AV25" s="8"/>
    </row>
    <row r="26" spans="2:48">
      <c r="B26" s="129"/>
      <c r="D26" s="2326"/>
      <c r="E26" s="2326"/>
      <c r="F26" s="2319"/>
      <c r="H26" s="2326"/>
      <c r="I26" s="2326"/>
      <c r="J26" s="2319"/>
      <c r="L26" s="2326"/>
      <c r="M26" s="2326"/>
      <c r="N26" s="2319"/>
      <c r="P26" s="2326"/>
      <c r="Q26" s="2326"/>
      <c r="R26" s="2319"/>
      <c r="T26" s="2326"/>
      <c r="U26" s="2326"/>
      <c r="V26" s="2319"/>
      <c r="X26" s="2326"/>
      <c r="Y26" s="2326"/>
      <c r="Z26" s="2319"/>
      <c r="AB26" s="2326"/>
      <c r="AC26" s="2326"/>
      <c r="AD26" s="2319"/>
      <c r="AF26" s="2326"/>
      <c r="AG26" s="2326"/>
      <c r="AH26" s="2319"/>
      <c r="AJ26" s="2326"/>
      <c r="AK26" s="2326"/>
      <c r="AL26" s="2319"/>
      <c r="AN26" s="2326"/>
      <c r="AO26" s="2326"/>
      <c r="AP26" s="2319"/>
      <c r="AR26" s="2326"/>
      <c r="AS26" s="2326"/>
      <c r="AT26" s="2319"/>
      <c r="AV26" s="8"/>
    </row>
    <row r="27" spans="2:48">
      <c r="B27" s="2329" t="s">
        <v>4</v>
      </c>
      <c r="D27" s="2320">
        <v>4271738</v>
      </c>
      <c r="E27" s="2321">
        <v>6487957</v>
      </c>
      <c r="F27" s="2317">
        <f t="shared" ref="F27:F32" si="25">D27/E27</f>
        <v>0.65841034396497999</v>
      </c>
      <c r="H27" s="2320">
        <v>1143348</v>
      </c>
      <c r="I27" s="2321">
        <v>4106946</v>
      </c>
      <c r="J27" s="2317">
        <f t="shared" ref="J27:J32" si="26">H27/I27</f>
        <v>0.27839372614103036</v>
      </c>
      <c r="L27" s="2320">
        <v>2518511</v>
      </c>
      <c r="M27" s="2321">
        <v>5213826</v>
      </c>
      <c r="N27" s="2317">
        <f t="shared" si="9"/>
        <v>0.48304469692697838</v>
      </c>
      <c r="P27" s="2320">
        <v>1417698</v>
      </c>
      <c r="Q27" s="2321">
        <v>3852775</v>
      </c>
      <c r="R27" s="2317">
        <f t="shared" ref="R27:R32" si="27">P27/Q27</f>
        <v>0.36796802304832232</v>
      </c>
      <c r="T27" s="2320">
        <v>2926354</v>
      </c>
      <c r="U27" s="2321">
        <v>5243822.2699999996</v>
      </c>
      <c r="V27" s="2317">
        <f t="shared" si="3"/>
        <v>0.55805743393358753</v>
      </c>
      <c r="X27" s="2320">
        <v>2943846</v>
      </c>
      <c r="Y27" s="2321">
        <v>4164198.2900000005</v>
      </c>
      <c r="Z27" s="2317">
        <f t="shared" ref="Z27:Z32" si="28">X27/Y27</f>
        <v>0.70694183969803215</v>
      </c>
      <c r="AB27" s="2320">
        <v>2617648.29</v>
      </c>
      <c r="AC27" s="2321">
        <v>4691826.17</v>
      </c>
      <c r="AD27" s="2317">
        <f t="shared" ref="AD27:AD32" si="29">AB27/AC27</f>
        <v>0.5579167247792558</v>
      </c>
      <c r="AF27" s="2320">
        <v>1711014.7700000003</v>
      </c>
      <c r="AG27" s="2321">
        <v>3824228</v>
      </c>
      <c r="AH27" s="2317">
        <f t="shared" ref="AH27:AH32" si="30">AF27/AG27</f>
        <v>0.44741442455836844</v>
      </c>
      <c r="AJ27" s="2320">
        <v>1192.297</v>
      </c>
      <c r="AK27" s="2321">
        <v>2489.7330000000002</v>
      </c>
      <c r="AL27" s="2317">
        <f t="shared" ref="AL27:AL32" si="31">AJ27/AK27</f>
        <v>0.47888548691767346</v>
      </c>
      <c r="AN27" s="2320">
        <v>1340.00008</v>
      </c>
      <c r="AO27" s="2321">
        <v>3136.3728599999999</v>
      </c>
      <c r="AP27" s="2317">
        <f t="shared" si="8"/>
        <v>0.42724514584659429</v>
      </c>
      <c r="AR27" s="2320">
        <v>1363.4169999999999</v>
      </c>
      <c r="AS27" s="2321">
        <v>2335.6149999999998</v>
      </c>
      <c r="AT27" s="2317">
        <f t="shared" si="10"/>
        <v>0.58375074659136894</v>
      </c>
      <c r="AV27" s="8"/>
    </row>
    <row r="28" spans="2:48">
      <c r="B28" s="2254" t="s">
        <v>16</v>
      </c>
      <c r="D28" s="2322">
        <v>1123368</v>
      </c>
      <c r="E28" s="2323">
        <v>3874866</v>
      </c>
      <c r="F28" s="2317">
        <f t="shared" si="25"/>
        <v>0.28991144467963537</v>
      </c>
      <c r="H28" s="2322">
        <v>1185388</v>
      </c>
      <c r="I28" s="2323">
        <v>4341138</v>
      </c>
      <c r="J28" s="2317">
        <f t="shared" si="26"/>
        <v>0.2730592761621492</v>
      </c>
      <c r="L28" s="2322">
        <v>1193141</v>
      </c>
      <c r="M28" s="2323">
        <v>4651537</v>
      </c>
      <c r="N28" s="2317">
        <f t="shared" si="9"/>
        <v>0.25650467791613824</v>
      </c>
      <c r="P28" s="2322">
        <v>1305802</v>
      </c>
      <c r="Q28" s="2323">
        <v>3971316</v>
      </c>
      <c r="R28" s="2317">
        <f t="shared" si="27"/>
        <v>0.32880838492832098</v>
      </c>
      <c r="T28" s="2322">
        <v>2384388</v>
      </c>
      <c r="U28" s="2323">
        <v>5446345.1199999992</v>
      </c>
      <c r="V28" s="2317">
        <f t="shared" si="3"/>
        <v>0.43779598014163312</v>
      </c>
      <c r="X28" s="2322">
        <v>2166878</v>
      </c>
      <c r="Y28" s="2323">
        <v>5055249.99</v>
      </c>
      <c r="Z28" s="2317">
        <f t="shared" si="28"/>
        <v>0.42863913837819917</v>
      </c>
      <c r="AB28" s="2322">
        <v>1441431.1500000001</v>
      </c>
      <c r="AC28" s="2323">
        <v>3434016.69</v>
      </c>
      <c r="AD28" s="2317">
        <f t="shared" si="29"/>
        <v>0.41975077005231448</v>
      </c>
      <c r="AF28" s="2322">
        <v>2020993.82</v>
      </c>
      <c r="AG28" s="2323">
        <v>3917399</v>
      </c>
      <c r="AH28" s="2317">
        <f t="shared" si="30"/>
        <v>0.5159019594378822</v>
      </c>
      <c r="AJ28" s="2322">
        <v>906.07899999999995</v>
      </c>
      <c r="AK28" s="2323">
        <v>2555.3200000000002</v>
      </c>
      <c r="AL28" s="2317">
        <f t="shared" si="31"/>
        <v>0.35458533569181155</v>
      </c>
      <c r="AN28" s="2322">
        <v>2229.7894999999999</v>
      </c>
      <c r="AO28" s="2323">
        <v>3758.67002</v>
      </c>
      <c r="AP28" s="2317">
        <f t="shared" si="8"/>
        <v>0.59323896168996493</v>
      </c>
      <c r="AR28" s="2322">
        <v>3648.54</v>
      </c>
      <c r="AS28" s="2323">
        <v>4608.7749999999996</v>
      </c>
      <c r="AT28" s="2317">
        <f t="shared" si="10"/>
        <v>0.791650709787308</v>
      </c>
      <c r="AV28" s="8"/>
    </row>
    <row r="29" spans="2:48">
      <c r="B29" s="2254" t="s">
        <v>41</v>
      </c>
      <c r="D29" s="2322">
        <v>2333272</v>
      </c>
      <c r="E29" s="2323">
        <v>4384610</v>
      </c>
      <c r="F29" s="2317">
        <f t="shared" si="25"/>
        <v>0.53215040790400969</v>
      </c>
      <c r="H29" s="2322">
        <v>2130339</v>
      </c>
      <c r="I29" s="2323">
        <v>4723000</v>
      </c>
      <c r="J29" s="2317">
        <f t="shared" si="26"/>
        <v>0.45105632013550712</v>
      </c>
      <c r="L29" s="2322">
        <v>2403882</v>
      </c>
      <c r="M29" s="2323">
        <v>5432221</v>
      </c>
      <c r="N29" s="2317">
        <f t="shared" si="9"/>
        <v>0.44252286495707743</v>
      </c>
      <c r="P29" s="2322">
        <v>2775663</v>
      </c>
      <c r="Q29" s="2323">
        <v>5910032</v>
      </c>
      <c r="R29" s="2317">
        <f t="shared" si="27"/>
        <v>0.46965278698998586</v>
      </c>
      <c r="T29" s="2322">
        <v>2705382</v>
      </c>
      <c r="U29" s="2323">
        <v>6472217.3600000003</v>
      </c>
      <c r="V29" s="2317">
        <f t="shared" si="3"/>
        <v>0.41799924964201141</v>
      </c>
      <c r="X29" s="2322">
        <v>2234326</v>
      </c>
      <c r="Y29" s="2323">
        <v>4170625.1899999995</v>
      </c>
      <c r="Z29" s="2317">
        <f t="shared" si="28"/>
        <v>0.53572927276162163</v>
      </c>
      <c r="AB29" s="2322">
        <v>2236780.9500000002</v>
      </c>
      <c r="AC29" s="2323">
        <v>4864582.6100000003</v>
      </c>
      <c r="AD29" s="2317">
        <f t="shared" si="29"/>
        <v>0.45980942854211287</v>
      </c>
      <c r="AF29" s="2322">
        <v>1045131.9</v>
      </c>
      <c r="AG29" s="2323">
        <v>3735070.4200000013</v>
      </c>
      <c r="AH29" s="2317">
        <f t="shared" si="30"/>
        <v>0.27981584882675375</v>
      </c>
      <c r="AJ29" s="2322">
        <v>950.29399999999998</v>
      </c>
      <c r="AK29" s="2323">
        <v>2913.1759999999999</v>
      </c>
      <c r="AL29" s="2317">
        <f t="shared" si="31"/>
        <v>0.32620548844285413</v>
      </c>
      <c r="AN29" s="2322">
        <v>2949.33052</v>
      </c>
      <c r="AO29" s="2323">
        <v>4800.2083599999996</v>
      </c>
      <c r="AP29" s="2317">
        <f t="shared" si="8"/>
        <v>0.61441718750725238</v>
      </c>
      <c r="AR29" s="2322">
        <v>4359.1880000000001</v>
      </c>
      <c r="AS29" s="2323">
        <v>5232.0860000000002</v>
      </c>
      <c r="AT29" s="2317">
        <f t="shared" si="10"/>
        <v>0.83316443957534336</v>
      </c>
      <c r="AV29" s="8"/>
    </row>
    <row r="30" spans="2:48">
      <c r="B30" s="2254" t="s">
        <v>85</v>
      </c>
      <c r="D30" s="2322">
        <v>4911128</v>
      </c>
      <c r="E30" s="2323">
        <v>23982631</v>
      </c>
      <c r="F30" s="2317">
        <f t="shared" si="25"/>
        <v>0.2047785332643445</v>
      </c>
      <c r="H30" s="2322">
        <v>4235270</v>
      </c>
      <c r="I30" s="2323">
        <v>22892074</v>
      </c>
      <c r="J30" s="2317">
        <f t="shared" si="26"/>
        <v>0.18501032278683005</v>
      </c>
      <c r="L30" s="2322">
        <v>2151443</v>
      </c>
      <c r="M30" s="2323">
        <v>21102578</v>
      </c>
      <c r="N30" s="2317">
        <f t="shared" si="9"/>
        <v>0.1019516667584406</v>
      </c>
      <c r="P30" s="2322">
        <v>969316</v>
      </c>
      <c r="Q30" s="2323">
        <v>18881978</v>
      </c>
      <c r="R30" s="2317">
        <f t="shared" si="27"/>
        <v>5.1335511565578563E-2</v>
      </c>
      <c r="T30" s="2322">
        <v>4651904</v>
      </c>
      <c r="U30" s="2323">
        <v>19246642.990000002</v>
      </c>
      <c r="V30" s="2317">
        <f t="shared" si="3"/>
        <v>0.24169950065665968</v>
      </c>
      <c r="X30" s="2322">
        <v>5151345</v>
      </c>
      <c r="Y30" s="2323">
        <v>20819366.740000002</v>
      </c>
      <c r="Z30" s="2317">
        <f t="shared" si="28"/>
        <v>0.24743043649367019</v>
      </c>
      <c r="AB30" s="2322">
        <v>5967898.9800000004</v>
      </c>
      <c r="AC30" s="2323">
        <v>21781328.02</v>
      </c>
      <c r="AD30" s="2317">
        <f t="shared" si="29"/>
        <v>0.27399151119344839</v>
      </c>
      <c r="AF30" s="2322">
        <v>6820884.7299999995</v>
      </c>
      <c r="AG30" s="2323">
        <v>22819202.310000002</v>
      </c>
      <c r="AH30" s="2317">
        <f t="shared" si="30"/>
        <v>0.29890986710832129</v>
      </c>
      <c r="AJ30" s="2322">
        <v>2884.3220000000001</v>
      </c>
      <c r="AK30" s="2323">
        <v>19065.144</v>
      </c>
      <c r="AL30" s="2317">
        <f t="shared" si="31"/>
        <v>0.1512877112284072</v>
      </c>
      <c r="AN30" s="2322">
        <v>3281.7864199999999</v>
      </c>
      <c r="AO30" s="2323">
        <v>20081.92368</v>
      </c>
      <c r="AP30" s="2317">
        <f t="shared" si="8"/>
        <v>0.16341992292642754</v>
      </c>
      <c r="AR30" s="2322">
        <v>2084.3159999999998</v>
      </c>
      <c r="AS30" s="2323">
        <v>14247.491</v>
      </c>
      <c r="AT30" s="2317">
        <f t="shared" si="10"/>
        <v>0.14629354740424119</v>
      </c>
      <c r="AV30" s="8"/>
    </row>
    <row r="31" spans="2:48">
      <c r="B31" s="2254" t="s">
        <v>86</v>
      </c>
      <c r="D31" s="2322">
        <v>537657</v>
      </c>
      <c r="E31" s="2323">
        <v>3125918</v>
      </c>
      <c r="F31" s="2317">
        <f t="shared" si="25"/>
        <v>0.17199971336420214</v>
      </c>
      <c r="H31" s="2322">
        <v>1995456</v>
      </c>
      <c r="I31" s="2323">
        <v>4981493</v>
      </c>
      <c r="J31" s="2317">
        <f t="shared" si="26"/>
        <v>0.40057388417488493</v>
      </c>
      <c r="L31" s="2322">
        <v>1323921</v>
      </c>
      <c r="M31" s="2323">
        <v>4193085</v>
      </c>
      <c r="N31" s="2317">
        <f t="shared" si="9"/>
        <v>0.31573912763514217</v>
      </c>
      <c r="P31" s="2322">
        <v>48286</v>
      </c>
      <c r="Q31" s="2323">
        <v>17277501</v>
      </c>
      <c r="R31" s="2317">
        <f t="shared" si="27"/>
        <v>2.7947328725375273E-3</v>
      </c>
      <c r="T31" s="2322">
        <v>336488</v>
      </c>
      <c r="U31" s="2323">
        <v>3024873.38</v>
      </c>
      <c r="V31" s="2317">
        <f t="shared" si="3"/>
        <v>0.11124035876172775</v>
      </c>
      <c r="X31" s="2322">
        <v>2240750</v>
      </c>
      <c r="Y31" s="2323">
        <v>14075306.51</v>
      </c>
      <c r="Z31" s="2317">
        <f t="shared" si="28"/>
        <v>0.15919724365561969</v>
      </c>
      <c r="AB31" s="2322">
        <v>630296.37</v>
      </c>
      <c r="AC31" s="2323">
        <v>2668364.21</v>
      </c>
      <c r="AD31" s="2317">
        <f t="shared" si="29"/>
        <v>0.23621077199202878</v>
      </c>
      <c r="AF31" s="2322">
        <v>33264.15</v>
      </c>
      <c r="AG31" s="2323">
        <v>102293735.47</v>
      </c>
      <c r="AH31" s="2317">
        <f t="shared" si="30"/>
        <v>3.2518266976139004E-4</v>
      </c>
      <c r="AJ31" s="2322">
        <v>944.29399999999998</v>
      </c>
      <c r="AK31" s="2323">
        <v>40805.379000000001</v>
      </c>
      <c r="AL31" s="2317">
        <f t="shared" si="31"/>
        <v>2.3141409861675344E-2</v>
      </c>
      <c r="AN31" s="2322">
        <v>2022.5329200000001</v>
      </c>
      <c r="AO31" s="2323">
        <v>374097.53360999998</v>
      </c>
      <c r="AP31" s="2317">
        <f t="shared" si="8"/>
        <v>5.4064321153972344E-3</v>
      </c>
      <c r="AR31" s="2322">
        <v>377.935</v>
      </c>
      <c r="AS31" s="2323">
        <v>63335.339</v>
      </c>
      <c r="AT31" s="2317">
        <f t="shared" si="10"/>
        <v>5.9672057648574358E-3</v>
      </c>
      <c r="AV31" s="21"/>
    </row>
    <row r="32" spans="2:48">
      <c r="B32" s="2330" t="s">
        <v>244</v>
      </c>
      <c r="D32" s="2324">
        <v>13177163</v>
      </c>
      <c r="E32" s="2325">
        <v>41855982</v>
      </c>
      <c r="F32" s="2318">
        <f t="shared" si="25"/>
        <v>0.31482149911092755</v>
      </c>
      <c r="H32" s="2324">
        <v>10689801</v>
      </c>
      <c r="I32" s="2325">
        <v>41044651</v>
      </c>
      <c r="J32" s="2318">
        <f t="shared" si="26"/>
        <v>0.26044321828927236</v>
      </c>
      <c r="L32" s="2324">
        <v>9590898</v>
      </c>
      <c r="M32" s="2325">
        <v>40593247</v>
      </c>
      <c r="N32" s="2318">
        <f t="shared" si="9"/>
        <v>0.23626831329851489</v>
      </c>
      <c r="P32" s="2324">
        <f>SUM(P27:P31)</f>
        <v>6516765</v>
      </c>
      <c r="Q32" s="2325">
        <f>SUM(Q27:Q31)</f>
        <v>49893602</v>
      </c>
      <c r="R32" s="2318">
        <f t="shared" si="27"/>
        <v>0.13061323974965769</v>
      </c>
      <c r="T32" s="2324">
        <f>SUM(T27:T31)</f>
        <v>13004516</v>
      </c>
      <c r="U32" s="2325">
        <f>SUM(U27:U31)</f>
        <v>39433901.120000005</v>
      </c>
      <c r="V32" s="2318">
        <f t="shared" si="3"/>
        <v>0.32978010368353833</v>
      </c>
      <c r="X32" s="2324">
        <f>SUM(X27:X31)</f>
        <v>14737145</v>
      </c>
      <c r="Y32" s="2325">
        <f>SUM(Y27:Y31)</f>
        <v>48284746.719999999</v>
      </c>
      <c r="Z32" s="2318">
        <f t="shared" si="28"/>
        <v>0.30521326093848467</v>
      </c>
      <c r="AB32" s="2324">
        <f>SUM(AB27:AB31)</f>
        <v>12894055.74</v>
      </c>
      <c r="AC32" s="2325">
        <v>37440117.699999996</v>
      </c>
      <c r="AD32" s="2318">
        <f t="shared" si="29"/>
        <v>0.34439143176091036</v>
      </c>
      <c r="AF32" s="2324">
        <f>SUM(AF27:AF31)</f>
        <v>11631289.369999999</v>
      </c>
      <c r="AG32" s="2325">
        <f>SUM(AG27:AG31)</f>
        <v>136589635.19999999</v>
      </c>
      <c r="AH32" s="2318">
        <f t="shared" si="30"/>
        <v>8.5154992565643808E-2</v>
      </c>
      <c r="AJ32" s="2324">
        <f>SUM(AJ27:AJ31)</f>
        <v>6877.2860000000001</v>
      </c>
      <c r="AK32" s="2325">
        <f>SUM(AK27:AK31)</f>
        <v>67828.752000000008</v>
      </c>
      <c r="AL32" s="2318">
        <f t="shared" si="31"/>
        <v>0.10139189941162413</v>
      </c>
      <c r="AN32" s="2324">
        <f>SUM(AN27:AN31)</f>
        <v>11823.43944</v>
      </c>
      <c r="AO32" s="2325">
        <f>SUM(AO27:AO31)</f>
        <v>405874.70853</v>
      </c>
      <c r="AP32" s="2318">
        <f t="shared" si="8"/>
        <v>2.9130761763457053E-2</v>
      </c>
      <c r="AR32" s="2324">
        <f>SUM(AR27:AR31)</f>
        <v>11833.395999999999</v>
      </c>
      <c r="AS32" s="2325">
        <f>SUM(AS27:AS31)</f>
        <v>89759.305999999997</v>
      </c>
      <c r="AT32" s="2318">
        <f t="shared" si="10"/>
        <v>0.13183475371344783</v>
      </c>
      <c r="AV32" s="21"/>
    </row>
    <row r="33" spans="2:48">
      <c r="B33" s="129"/>
      <c r="D33" s="2326"/>
      <c r="E33" s="2326"/>
      <c r="F33" s="2319"/>
      <c r="H33" s="2326"/>
      <c r="I33" s="2326"/>
      <c r="J33" s="2319"/>
      <c r="L33" s="2326"/>
      <c r="M33" s="2326"/>
      <c r="N33" s="2319"/>
      <c r="P33" s="2326"/>
      <c r="Q33" s="2326"/>
      <c r="R33" s="2319"/>
      <c r="T33" s="2326"/>
      <c r="U33" s="2326"/>
      <c r="V33" s="2319"/>
      <c r="X33" s="2326"/>
      <c r="Y33" s="2326"/>
      <c r="Z33" s="2319"/>
      <c r="AB33" s="2326"/>
      <c r="AC33" s="2326"/>
      <c r="AD33" s="2319"/>
      <c r="AF33" s="2326"/>
      <c r="AG33" s="2326"/>
      <c r="AH33" s="2319"/>
      <c r="AJ33" s="2326"/>
      <c r="AK33" s="2326"/>
      <c r="AL33" s="2319"/>
      <c r="AN33" s="2326"/>
      <c r="AO33" s="2326"/>
      <c r="AP33" s="2319"/>
      <c r="AR33" s="2326"/>
      <c r="AS33" s="2326"/>
      <c r="AT33" s="2319"/>
      <c r="AV33" s="21"/>
    </row>
    <row r="34" spans="2:48">
      <c r="B34" s="2329" t="s">
        <v>16</v>
      </c>
      <c r="D34" s="2320">
        <v>2993483</v>
      </c>
      <c r="E34" s="2321">
        <v>15215266</v>
      </c>
      <c r="F34" s="2317">
        <f t="shared" ref="F34:F39" si="32">D34/E34</f>
        <v>0.1967420747031304</v>
      </c>
      <c r="H34" s="2320">
        <v>3975461</v>
      </c>
      <c r="I34" s="2321">
        <v>19224878</v>
      </c>
      <c r="J34" s="2317">
        <f t="shared" ref="J34:J39" si="33">H34/I34</f>
        <v>0.20678732005477485</v>
      </c>
      <c r="L34" s="2320">
        <v>803891</v>
      </c>
      <c r="M34" s="2321">
        <v>19144574</v>
      </c>
      <c r="N34" s="2317">
        <f t="shared" si="9"/>
        <v>4.1990539982764828E-2</v>
      </c>
      <c r="P34" s="2320">
        <v>514144</v>
      </c>
      <c r="Q34" s="2321">
        <v>19372984</v>
      </c>
      <c r="R34" s="2317">
        <f t="shared" ref="R34:R39" si="34">P34/Q34</f>
        <v>2.6539225965395936E-2</v>
      </c>
      <c r="T34" s="2320">
        <v>1249322</v>
      </c>
      <c r="U34" s="2321">
        <v>21682031</v>
      </c>
      <c r="V34" s="2317">
        <f t="shared" si="3"/>
        <v>5.7620155602581692E-2</v>
      </c>
      <c r="X34" s="2320">
        <v>769039</v>
      </c>
      <c r="Y34" s="2321">
        <v>18147907.109999999</v>
      </c>
      <c r="Z34" s="2317">
        <f t="shared" ref="Z34:Z39" si="35">X34/Y34</f>
        <v>4.2376181194813269E-2</v>
      </c>
      <c r="AB34" s="2320">
        <v>946290.4</v>
      </c>
      <c r="AC34" s="2321">
        <v>22428255.450000003</v>
      </c>
      <c r="AD34" s="2317">
        <f t="shared" ref="AD34:AD39" si="36">AB34/AC34</f>
        <v>4.2191886128174087E-2</v>
      </c>
      <c r="AF34" s="2320">
        <v>2799601.07</v>
      </c>
      <c r="AG34" s="2321">
        <v>24622486.720000003</v>
      </c>
      <c r="AH34" s="2317">
        <f t="shared" ref="AH34:AH39" si="37">AF34/AG34</f>
        <v>0.11370098811855506</v>
      </c>
      <c r="AJ34" s="2320">
        <v>657.97400000000005</v>
      </c>
      <c r="AK34" s="2321">
        <v>21557.43</v>
      </c>
      <c r="AL34" s="2317">
        <f t="shared" ref="AL34:AL39" si="38">AJ34/AK34</f>
        <v>3.0521912862525823E-2</v>
      </c>
      <c r="AN34" s="2320">
        <v>4465.4868100000003</v>
      </c>
      <c r="AO34" s="2321">
        <v>33605.041790000003</v>
      </c>
      <c r="AP34" s="2317">
        <f t="shared" si="8"/>
        <v>0.13288145385758202</v>
      </c>
      <c r="AR34" s="2320">
        <v>1404.47</v>
      </c>
      <c r="AS34" s="2321">
        <v>22352.589</v>
      </c>
      <c r="AT34" s="2317">
        <f t="shared" si="10"/>
        <v>6.2832542574822098E-2</v>
      </c>
      <c r="AV34" s="21"/>
    </row>
    <row r="35" spans="2:48">
      <c r="B35" s="2254" t="s">
        <v>41</v>
      </c>
      <c r="D35" s="2322">
        <v>6308990</v>
      </c>
      <c r="E35" s="2323">
        <v>25034959</v>
      </c>
      <c r="F35" s="2317">
        <f t="shared" si="32"/>
        <v>0.25200720320732301</v>
      </c>
      <c r="H35" s="2322">
        <v>6084407</v>
      </c>
      <c r="I35" s="2323">
        <v>29492338</v>
      </c>
      <c r="J35" s="2317">
        <f t="shared" si="33"/>
        <v>0.20630466801241731</v>
      </c>
      <c r="L35" s="2322">
        <v>2836168</v>
      </c>
      <c r="M35" s="2323">
        <v>27066559</v>
      </c>
      <c r="N35" s="2317">
        <f t="shared" si="9"/>
        <v>0.10478494883668071</v>
      </c>
      <c r="P35" s="2322">
        <v>1610251</v>
      </c>
      <c r="Q35" s="2323">
        <v>22560915</v>
      </c>
      <c r="R35" s="2317">
        <f t="shared" si="34"/>
        <v>7.1373479311455226E-2</v>
      </c>
      <c r="T35" s="2322">
        <v>8533529</v>
      </c>
      <c r="U35" s="2323">
        <v>33033756</v>
      </c>
      <c r="V35" s="2317">
        <f t="shared" si="3"/>
        <v>0.25832754228734994</v>
      </c>
      <c r="X35" s="2322">
        <v>4422325</v>
      </c>
      <c r="Y35" s="2323">
        <v>26966160.77</v>
      </c>
      <c r="Z35" s="2317">
        <f t="shared" si="35"/>
        <v>0.16399535097780255</v>
      </c>
      <c r="AB35" s="2322">
        <v>2425865.6100000003</v>
      </c>
      <c r="AC35" s="2323">
        <v>25115423.980000004</v>
      </c>
      <c r="AD35" s="2317">
        <f t="shared" si="36"/>
        <v>9.6588678412587156E-2</v>
      </c>
      <c r="AF35" s="2322">
        <v>4359280.3599999994</v>
      </c>
      <c r="AG35" s="2323">
        <v>25412030.869999997</v>
      </c>
      <c r="AH35" s="2317">
        <f t="shared" si="37"/>
        <v>0.17154395814725373</v>
      </c>
      <c r="AJ35" s="2322">
        <v>2243.2890000000002</v>
      </c>
      <c r="AK35" s="2323">
        <v>23737.074000000001</v>
      </c>
      <c r="AL35" s="2317">
        <f t="shared" si="38"/>
        <v>9.4505708664850613E-2</v>
      </c>
      <c r="AN35" s="2322">
        <v>18981.408009999999</v>
      </c>
      <c r="AO35" s="2323">
        <v>47855.210240000102</v>
      </c>
      <c r="AP35" s="2317">
        <f t="shared" si="8"/>
        <v>0.39664245365981615</v>
      </c>
      <c r="AR35" s="2322">
        <v>10205.030000000001</v>
      </c>
      <c r="AS35" s="2323">
        <v>37177.546999999999</v>
      </c>
      <c r="AT35" s="2317">
        <f t="shared" si="10"/>
        <v>0.27449444149717572</v>
      </c>
      <c r="AV35" s="21"/>
    </row>
    <row r="36" spans="2:48">
      <c r="B36" s="2254" t="s">
        <v>21</v>
      </c>
      <c r="D36" s="2322">
        <v>3150542</v>
      </c>
      <c r="E36" s="2323">
        <v>8067915</v>
      </c>
      <c r="F36" s="2317">
        <f t="shared" si="32"/>
        <v>0.39050262676292452</v>
      </c>
      <c r="H36" s="2322">
        <v>2003233</v>
      </c>
      <c r="I36" s="2323">
        <v>8594933</v>
      </c>
      <c r="J36" s="2317">
        <f t="shared" si="33"/>
        <v>0.23307139217955508</v>
      </c>
      <c r="L36" s="2322">
        <v>911647</v>
      </c>
      <c r="M36" s="2323">
        <v>8324527</v>
      </c>
      <c r="N36" s="2317">
        <f t="shared" si="9"/>
        <v>0.10951336934819239</v>
      </c>
      <c r="P36" s="2322">
        <v>716001</v>
      </c>
      <c r="Q36" s="2323">
        <v>8347434</v>
      </c>
      <c r="R36" s="2317">
        <f t="shared" si="34"/>
        <v>8.5774981868679642E-2</v>
      </c>
      <c r="T36" s="2322">
        <v>2222242</v>
      </c>
      <c r="U36" s="2323">
        <v>9629343</v>
      </c>
      <c r="V36" s="2317">
        <f t="shared" si="3"/>
        <v>0.23077815381589378</v>
      </c>
      <c r="X36" s="2322">
        <v>1125974</v>
      </c>
      <c r="Y36" s="2323">
        <v>8354540.75</v>
      </c>
      <c r="Z36" s="2317">
        <f t="shared" si="35"/>
        <v>0.13477389526168748</v>
      </c>
      <c r="AB36" s="2322">
        <v>572329.55000000005</v>
      </c>
      <c r="AC36" s="2323">
        <v>8512811.1599999983</v>
      </c>
      <c r="AD36" s="2317">
        <f t="shared" si="36"/>
        <v>6.7231557148743348E-2</v>
      </c>
      <c r="AF36" s="2322">
        <v>2205726.7199999997</v>
      </c>
      <c r="AG36" s="2323">
        <v>11755729.889999999</v>
      </c>
      <c r="AH36" s="2317">
        <f t="shared" si="37"/>
        <v>0.18762992520577554</v>
      </c>
      <c r="AJ36" s="2322">
        <v>458.38299999999998</v>
      </c>
      <c r="AK36" s="2323">
        <v>8285.6290000000008</v>
      </c>
      <c r="AL36" s="2317">
        <f t="shared" si="38"/>
        <v>5.5322655648714171E-2</v>
      </c>
      <c r="AN36" s="2322">
        <v>3345.7326800000001</v>
      </c>
      <c r="AO36" s="2323">
        <v>14017.052530000001</v>
      </c>
      <c r="AP36" s="2317">
        <f t="shared" si="8"/>
        <v>0.23869017204860257</v>
      </c>
      <c r="AR36" s="2322">
        <v>2070.1930000000002</v>
      </c>
      <c r="AS36" s="2323">
        <v>10637.235000000001</v>
      </c>
      <c r="AT36" s="2317">
        <f t="shared" si="10"/>
        <v>0.19461758624304154</v>
      </c>
      <c r="AV36" s="21"/>
    </row>
    <row r="37" spans="2:48">
      <c r="B37" s="2254" t="s">
        <v>85</v>
      </c>
      <c r="D37" s="2322">
        <v>11178942</v>
      </c>
      <c r="E37" s="2323">
        <v>158166565</v>
      </c>
      <c r="F37" s="2317">
        <f t="shared" si="32"/>
        <v>7.0678287791101746E-2</v>
      </c>
      <c r="H37" s="2322">
        <v>5084658</v>
      </c>
      <c r="I37" s="2323">
        <v>94720895</v>
      </c>
      <c r="J37" s="2317">
        <f t="shared" si="33"/>
        <v>5.3680426055940457E-2</v>
      </c>
      <c r="L37" s="2322">
        <v>9014224</v>
      </c>
      <c r="M37" s="2323">
        <v>117061346</v>
      </c>
      <c r="N37" s="2317">
        <f t="shared" si="9"/>
        <v>7.7004274322969093E-2</v>
      </c>
      <c r="P37" s="2322">
        <v>6689382</v>
      </c>
      <c r="Q37" s="2323">
        <v>99701583</v>
      </c>
      <c r="R37" s="2317">
        <f t="shared" si="34"/>
        <v>6.7094040021410686E-2</v>
      </c>
      <c r="T37" s="2322">
        <v>11495481</v>
      </c>
      <c r="U37" s="2323">
        <v>100014616</v>
      </c>
      <c r="V37" s="2317">
        <f t="shared" si="3"/>
        <v>0.11493801066036188</v>
      </c>
      <c r="X37" s="2322">
        <v>15331829</v>
      </c>
      <c r="Y37" s="2323">
        <v>141706982.87</v>
      </c>
      <c r="Z37" s="2317">
        <f t="shared" si="35"/>
        <v>0.10819388494119027</v>
      </c>
      <c r="AB37" s="2322">
        <v>10534989.420000002</v>
      </c>
      <c r="AC37" s="2323">
        <v>107382374.99000004</v>
      </c>
      <c r="AD37" s="2317">
        <f t="shared" si="36"/>
        <v>9.8107249173629008E-2</v>
      </c>
      <c r="AF37" s="2322">
        <v>13828394.439999999</v>
      </c>
      <c r="AG37" s="2323">
        <v>122362059</v>
      </c>
      <c r="AH37" s="2317">
        <f t="shared" si="37"/>
        <v>0.11301210974228539</v>
      </c>
      <c r="AJ37" s="2322">
        <v>12542.671</v>
      </c>
      <c r="AK37" s="2323">
        <v>99945.835999999996</v>
      </c>
      <c r="AL37" s="2317">
        <f t="shared" si="38"/>
        <v>0.12549468294006766</v>
      </c>
      <c r="AN37" s="2322">
        <v>24573.869269999999</v>
      </c>
      <c r="AO37" s="2323">
        <v>173213.75023000001</v>
      </c>
      <c r="AP37" s="2317">
        <f t="shared" si="8"/>
        <v>0.14187019931945272</v>
      </c>
      <c r="AR37" s="2322">
        <v>20190.496999999999</v>
      </c>
      <c r="AS37" s="2323">
        <v>181075.38399999999</v>
      </c>
      <c r="AT37" s="2317">
        <f t="shared" si="10"/>
        <v>0.11150326761146065</v>
      </c>
      <c r="AV37" s="21"/>
    </row>
    <row r="38" spans="2:48">
      <c r="B38" s="2254" t="s">
        <v>86</v>
      </c>
      <c r="D38" s="2322">
        <v>1262037</v>
      </c>
      <c r="E38" s="2323">
        <v>11209582</v>
      </c>
      <c r="F38" s="2317">
        <f t="shared" si="32"/>
        <v>0.11258555403760818</v>
      </c>
      <c r="H38" s="2322">
        <v>9473249</v>
      </c>
      <c r="I38" s="2323">
        <v>16920214</v>
      </c>
      <c r="J38" s="2317">
        <f t="shared" si="33"/>
        <v>0.55987761147701798</v>
      </c>
      <c r="L38" s="2322">
        <v>1745703</v>
      </c>
      <c r="M38" s="2323">
        <v>13345297</v>
      </c>
      <c r="N38" s="2317">
        <f t="shared" si="9"/>
        <v>0.13081035214128242</v>
      </c>
      <c r="P38" s="2322">
        <v>80049</v>
      </c>
      <c r="Q38" s="2323">
        <v>13680271</v>
      </c>
      <c r="R38" s="2317">
        <f t="shared" si="34"/>
        <v>5.8514191714476999E-3</v>
      </c>
      <c r="T38" s="2322">
        <v>1176113</v>
      </c>
      <c r="U38" s="2323">
        <v>17244619</v>
      </c>
      <c r="V38" s="2317">
        <f t="shared" si="3"/>
        <v>6.8201738756884109E-2</v>
      </c>
      <c r="X38" s="2322">
        <v>7701497</v>
      </c>
      <c r="Y38" s="2323">
        <v>27328570.91</v>
      </c>
      <c r="Z38" s="2317">
        <f t="shared" si="35"/>
        <v>0.28181118673797495</v>
      </c>
      <c r="AB38" s="2322">
        <v>4647901.47</v>
      </c>
      <c r="AC38" s="2323">
        <v>23994530.239999998</v>
      </c>
      <c r="AD38" s="2317">
        <f t="shared" si="36"/>
        <v>0.19370670830019968</v>
      </c>
      <c r="AF38" s="2322">
        <v>2465409.5</v>
      </c>
      <c r="AG38" s="2323">
        <v>28787836.789999995</v>
      </c>
      <c r="AH38" s="2317">
        <f t="shared" si="37"/>
        <v>8.5640665465228943E-2</v>
      </c>
      <c r="AJ38" s="2322">
        <v>2353.7669999999998</v>
      </c>
      <c r="AK38" s="2323">
        <v>32351.325000000001</v>
      </c>
      <c r="AL38" s="2317">
        <f t="shared" si="38"/>
        <v>7.275643269634241E-2</v>
      </c>
      <c r="AN38" s="2322">
        <v>4420.9780199999996</v>
      </c>
      <c r="AO38" s="2323">
        <v>34200.820679999997</v>
      </c>
      <c r="AP38" s="2317">
        <f t="shared" si="8"/>
        <v>0.12926526124518717</v>
      </c>
      <c r="AR38" s="2322">
        <v>1538.1089999999999</v>
      </c>
      <c r="AS38" s="2323">
        <v>27559.028999999999</v>
      </c>
      <c r="AT38" s="2317">
        <f t="shared" si="10"/>
        <v>5.5811436607581491E-2</v>
      </c>
      <c r="AV38" s="21"/>
    </row>
    <row r="39" spans="2:48">
      <c r="B39" s="2330" t="s">
        <v>48</v>
      </c>
      <c r="D39" s="2324">
        <v>24893994</v>
      </c>
      <c r="E39" s="2325">
        <v>217694287</v>
      </c>
      <c r="F39" s="2318">
        <f t="shared" si="32"/>
        <v>0.11435299631909955</v>
      </c>
      <c r="H39" s="2324">
        <v>26621008</v>
      </c>
      <c r="I39" s="2325">
        <v>168953258</v>
      </c>
      <c r="J39" s="2318">
        <f t="shared" si="33"/>
        <v>0.1575643365219983</v>
      </c>
      <c r="L39" s="2324">
        <v>15311633</v>
      </c>
      <c r="M39" s="2325">
        <v>184942303</v>
      </c>
      <c r="N39" s="2318">
        <f t="shared" si="9"/>
        <v>8.2791404408973965E-2</v>
      </c>
      <c r="P39" s="2324">
        <f>SUM(P34:P38)</f>
        <v>9609827</v>
      </c>
      <c r="Q39" s="2325">
        <f>SUM(Q34:Q38)</f>
        <v>163663187</v>
      </c>
      <c r="R39" s="2318">
        <f t="shared" si="34"/>
        <v>5.8717095616621473E-2</v>
      </c>
      <c r="T39" s="2324">
        <f>SUM(T34:T38)</f>
        <v>24676687</v>
      </c>
      <c r="U39" s="2325">
        <f>SUM(U34:U38)</f>
        <v>181604365</v>
      </c>
      <c r="V39" s="2318">
        <f t="shared" si="3"/>
        <v>0.13588157421216168</v>
      </c>
      <c r="X39" s="2324">
        <f>SUM(X34:X38)</f>
        <v>29350664</v>
      </c>
      <c r="Y39" s="2325">
        <f>SUM(Y34:Y38)</f>
        <v>222504162.41</v>
      </c>
      <c r="Z39" s="2318">
        <f t="shared" si="35"/>
        <v>0.13191062891631053</v>
      </c>
      <c r="AB39" s="2324">
        <f>SUM(AB34:AB38)</f>
        <v>19127376.450000003</v>
      </c>
      <c r="AC39" s="2325">
        <v>187433395.82000005</v>
      </c>
      <c r="AD39" s="2318">
        <f t="shared" si="36"/>
        <v>0.10204892445297638</v>
      </c>
      <c r="AF39" s="2324">
        <f>SUM(AF34:AF38)</f>
        <v>25658412.089999996</v>
      </c>
      <c r="AG39" s="2325">
        <f>SUM(AG34:AG38)</f>
        <v>212940143.27000001</v>
      </c>
      <c r="AH39" s="2318">
        <f t="shared" si="37"/>
        <v>0.12049589004674476</v>
      </c>
      <c r="AJ39" s="2324">
        <f>SUM(AJ34:AJ38)</f>
        <v>18256.084000000003</v>
      </c>
      <c r="AK39" s="2325">
        <f>SUM(AK34:AK38)</f>
        <v>185877.29399999999</v>
      </c>
      <c r="AL39" s="2318">
        <f t="shared" si="38"/>
        <v>9.821578314993118E-2</v>
      </c>
      <c r="AN39" s="2324">
        <f>SUM(AN34:AN38)</f>
        <v>55787.47479</v>
      </c>
      <c r="AO39" s="2325">
        <f>SUM(AO34:AO38)</f>
        <v>302891.87547000009</v>
      </c>
      <c r="AP39" s="2318">
        <f t="shared" si="8"/>
        <v>0.18418280352826918</v>
      </c>
      <c r="AR39" s="2324">
        <f>SUM(AR34:AR38)</f>
        <v>35408.298999999999</v>
      </c>
      <c r="AS39" s="2325">
        <f>SUM(AS34:AS38)</f>
        <v>278801.78399999999</v>
      </c>
      <c r="AT39" s="2318">
        <f t="shared" si="10"/>
        <v>0.1270016945085258</v>
      </c>
      <c r="AV39" s="21"/>
    </row>
    <row r="40" spans="2:48">
      <c r="B40" s="129"/>
      <c r="D40" s="2326"/>
      <c r="E40" s="2326"/>
      <c r="F40" s="2319"/>
      <c r="H40" s="2326"/>
      <c r="I40" s="2326"/>
      <c r="J40" s="2319"/>
      <c r="L40" s="2326"/>
      <c r="M40" s="2326"/>
      <c r="N40" s="2319"/>
      <c r="P40" s="2326"/>
      <c r="Q40" s="2326"/>
      <c r="R40" s="2319"/>
      <c r="T40" s="2326"/>
      <c r="U40" s="2326"/>
      <c r="V40" s="2319"/>
      <c r="X40" s="2326"/>
      <c r="Y40" s="2326"/>
      <c r="Z40" s="2319"/>
      <c r="AB40" s="2326"/>
      <c r="AC40" s="2326"/>
      <c r="AD40" s="2319"/>
      <c r="AF40" s="2326"/>
      <c r="AG40" s="2326"/>
      <c r="AH40" s="2319"/>
      <c r="AJ40" s="2326"/>
      <c r="AK40" s="2326"/>
      <c r="AL40" s="2319"/>
      <c r="AN40" s="2326"/>
      <c r="AO40" s="2326"/>
      <c r="AP40" s="2319"/>
      <c r="AR40" s="2326"/>
      <c r="AS40" s="2326"/>
      <c r="AT40" s="2319"/>
      <c r="AV40" s="21"/>
    </row>
    <row r="41" spans="2:48">
      <c r="B41" s="2125" t="s">
        <v>87</v>
      </c>
      <c r="D41" s="2327">
        <v>18021987</v>
      </c>
      <c r="E41" s="2328">
        <v>847015211</v>
      </c>
      <c r="F41" s="2318">
        <f>D41/E41</f>
        <v>2.1277052366890727E-2</v>
      </c>
      <c r="H41" s="2327">
        <v>18738683</v>
      </c>
      <c r="I41" s="2328">
        <v>493681159</v>
      </c>
      <c r="J41" s="2318">
        <f>H41/I41</f>
        <v>3.7957055193187955E-2</v>
      </c>
      <c r="L41" s="2327">
        <v>20242847</v>
      </c>
      <c r="M41" s="2328">
        <v>772292925</v>
      </c>
      <c r="N41" s="2318">
        <f t="shared" si="9"/>
        <v>2.6211358857133129E-2</v>
      </c>
      <c r="P41" s="2327">
        <v>22876537</v>
      </c>
      <c r="Q41" s="2328">
        <f>1689570389-1030606703</f>
        <v>658963686</v>
      </c>
      <c r="R41" s="2318">
        <f>P41/Q41</f>
        <v>3.4715929702991248E-2</v>
      </c>
      <c r="T41" s="2327">
        <v>6478793</v>
      </c>
      <c r="U41" s="2328">
        <v>323814823.56999999</v>
      </c>
      <c r="V41" s="2318">
        <f t="shared" si="3"/>
        <v>2.000770974155067E-2</v>
      </c>
      <c r="X41" s="2327">
        <v>14180029.460000001</v>
      </c>
      <c r="Y41" s="2328">
        <v>386904713.12000006</v>
      </c>
      <c r="Z41" s="2318">
        <f>X41/Y41</f>
        <v>3.6649926917799031E-2</v>
      </c>
      <c r="AB41" s="2327">
        <v>6207434.8100000005</v>
      </c>
      <c r="AC41" s="2328">
        <v>348170844.51000005</v>
      </c>
      <c r="AD41" s="2318">
        <f>AB41/AC41</f>
        <v>1.7828703660514898E-2</v>
      </c>
      <c r="AF41" s="2327">
        <v>55779082</v>
      </c>
      <c r="AG41" s="2328">
        <v>241904405</v>
      </c>
      <c r="AH41" s="2318">
        <f>AF41/AG41</f>
        <v>0.23058315949227962</v>
      </c>
      <c r="AJ41" s="2327">
        <v>314.04399999999998</v>
      </c>
      <c r="AK41" s="2328">
        <v>215342.73699999999</v>
      </c>
      <c r="AL41" s="2318">
        <f>AJ41/AK41</f>
        <v>1.4583449823989188E-3</v>
      </c>
      <c r="AN41" s="2327">
        <v>54737.291879999997</v>
      </c>
      <c r="AO41" s="2328">
        <v>254566.56563</v>
      </c>
      <c r="AP41" s="2318">
        <f t="shared" si="8"/>
        <v>0.21502152784493295</v>
      </c>
      <c r="AR41" s="2327">
        <v>88020.993000000002</v>
      </c>
      <c r="AS41" s="2328">
        <v>283877.58199999999</v>
      </c>
      <c r="AT41" s="2318">
        <f t="shared" si="10"/>
        <v>0.31006672798840451</v>
      </c>
      <c r="AV41" s="21"/>
    </row>
    <row r="42" spans="2:48">
      <c r="B42" s="167"/>
      <c r="D42" s="2326"/>
      <c r="E42" s="2326"/>
      <c r="F42" s="2319"/>
      <c r="H42" s="2326"/>
      <c r="I42" s="2326"/>
      <c r="J42" s="2319"/>
      <c r="L42" s="2326"/>
      <c r="M42" s="2326"/>
      <c r="N42" s="2319"/>
      <c r="P42" s="2326"/>
      <c r="Q42" s="2326"/>
      <c r="R42" s="2319"/>
      <c r="T42" s="2326"/>
      <c r="U42" s="2326"/>
      <c r="V42" s="2319"/>
      <c r="X42" s="2326"/>
      <c r="Y42" s="2326"/>
      <c r="Z42" s="2319"/>
      <c r="AB42" s="2326"/>
      <c r="AC42" s="2326"/>
      <c r="AD42" s="2319"/>
      <c r="AF42" s="2326"/>
      <c r="AG42" s="2326"/>
      <c r="AH42" s="2319"/>
      <c r="AJ42" s="2326"/>
      <c r="AK42" s="2326"/>
      <c r="AL42" s="2319"/>
      <c r="AN42" s="2326"/>
      <c r="AO42" s="2326"/>
      <c r="AP42" s="2319"/>
      <c r="AR42" s="2326"/>
      <c r="AS42" s="2326"/>
      <c r="AT42" s="2319"/>
      <c r="AV42" s="21"/>
    </row>
    <row r="43" spans="2:48" s="32" customFormat="1">
      <c r="B43" s="2126" t="s">
        <v>67</v>
      </c>
      <c r="D43" s="5495">
        <v>123545936</v>
      </c>
      <c r="E43" s="5495">
        <v>1604880635</v>
      </c>
      <c r="F43" s="2331">
        <f>D43/E43</f>
        <v>7.698138622004122E-2</v>
      </c>
      <c r="H43" s="5495">
        <v>129940735</v>
      </c>
      <c r="I43" s="5495">
        <v>1171047986</v>
      </c>
      <c r="J43" s="2331">
        <f>H43/I43</f>
        <v>0.11096106782425225</v>
      </c>
      <c r="L43" s="5495">
        <f>SUM(L11,L18,L25,L32,L39,L41)</f>
        <v>90404228</v>
      </c>
      <c r="M43" s="5495">
        <f>SUM(M11,M18,M25,M32,M39,M41)</f>
        <v>1457829112</v>
      </c>
      <c r="N43" s="2331">
        <f t="shared" si="9"/>
        <v>6.2012911702644058E-2</v>
      </c>
      <c r="P43" s="5495">
        <f>+P11+P18+P25+P32+P39+P41</f>
        <v>76900248</v>
      </c>
      <c r="Q43" s="5495">
        <f>+Q11+Q18+Q25+Q32+Q39+Q41</f>
        <v>1302443907</v>
      </c>
      <c r="R43" s="2331">
        <f>P43/Q43</f>
        <v>5.904304023129036E-2</v>
      </c>
      <c r="T43" s="5495">
        <f>+T11+T18+T25+T32+T39+T41</f>
        <v>94041754</v>
      </c>
      <c r="U43" s="5495">
        <f>+U11+U18+U25+U32+U39+U41</f>
        <v>982995219.18000007</v>
      </c>
      <c r="V43" s="2331">
        <f t="shared" si="3"/>
        <v>9.5668577186416248E-2</v>
      </c>
      <c r="X43" s="5495">
        <f>SUM(X11,X18,X25,X32,X39,X41)</f>
        <v>116398170.46000001</v>
      </c>
      <c r="Y43" s="5495">
        <f>SUM(Y11,Y18,Y25,Y32,Y39,Y41)</f>
        <v>1160424943.79</v>
      </c>
      <c r="Z43" s="2331">
        <f>X43/Y43</f>
        <v>0.10030650502895806</v>
      </c>
      <c r="AB43" s="5495">
        <f>+AB11+AB18+AB25+AB32+AB39+AB41</f>
        <v>89156702.170000002</v>
      </c>
      <c r="AC43" s="5495">
        <f>+AC11+AC18+AC25+AC32+AC39+AC41</f>
        <v>1038871585.1400001</v>
      </c>
      <c r="AD43" s="2331">
        <f>AB43/AC43</f>
        <v>8.5820714942343029E-2</v>
      </c>
      <c r="AF43" s="5495">
        <f>+AF11+AF18+AF25+AF32+AF39+AF41</f>
        <v>168686988.22</v>
      </c>
      <c r="AG43" s="5495">
        <f>+AG11+AG18+AG25+AG32+AG39+AG41</f>
        <v>1106716834.3299999</v>
      </c>
      <c r="AH43" s="2331">
        <f>AF43/AG43</f>
        <v>0.15242109181624777</v>
      </c>
      <c r="AJ43" s="5495">
        <f>+AJ11+AJ18+AJ25+AJ32+AJ39+AJ41</f>
        <v>70109.000999999989</v>
      </c>
      <c r="AK43" s="5495">
        <f>+AK11+AK18+AK25+AK32+AK39+AK41</f>
        <v>1533595.5649999999</v>
      </c>
      <c r="AL43" s="2331">
        <f>AJ43/AK43</f>
        <v>4.5715443236822341E-2</v>
      </c>
      <c r="AN43" s="5495">
        <f>+AN11+AN18+AN25+AN32+AN39+AN41</f>
        <v>224920.97812000001</v>
      </c>
      <c r="AO43" s="5495">
        <f>+AO11+AO18+AO25+AO32+AO39+AO41</f>
        <v>1797886.3857700001</v>
      </c>
      <c r="AP43" s="2331">
        <f t="shared" si="8"/>
        <v>0.12510299866566413</v>
      </c>
      <c r="AR43" s="5495">
        <f>+AR11+AR18+AR25+AR32+AR39+AR41</f>
        <v>221981.973</v>
      </c>
      <c r="AS43" s="5495">
        <f>+AS11+AS18+AS25+AS32+AS39+AS41</f>
        <v>1401133.0219999999</v>
      </c>
      <c r="AT43" s="2331">
        <f t="shared" si="10"/>
        <v>0.15843033424702199</v>
      </c>
    </row>
    <row r="44" spans="2:48">
      <c r="AL44" s="3"/>
      <c r="AP44" s="3"/>
    </row>
    <row r="45" spans="2:48">
      <c r="AB45" s="41" t="s">
        <v>840</v>
      </c>
      <c r="AJ45" s="41" t="s">
        <v>505</v>
      </c>
      <c r="AK45" s="37"/>
      <c r="AL45" s="125"/>
      <c r="AM45" s="37"/>
      <c r="AN45" s="37" t="s">
        <v>456</v>
      </c>
      <c r="AO45" s="37"/>
      <c r="AP45" s="125"/>
      <c r="AQ45" s="37"/>
      <c r="AR45" s="37" t="s">
        <v>167</v>
      </c>
      <c r="AS45" s="37"/>
    </row>
    <row r="46" spans="2:48">
      <c r="AJ46" s="37"/>
      <c r="AK46" s="37"/>
      <c r="AL46" s="37"/>
      <c r="AM46" s="37"/>
      <c r="AN46" s="37"/>
      <c r="AO46" s="37"/>
      <c r="AP46" s="37"/>
      <c r="AQ46" s="37"/>
      <c r="AR46" s="37"/>
      <c r="AS46" s="37"/>
    </row>
    <row r="52" spans="36:36">
      <c r="AJ52" s="32"/>
    </row>
    <row r="56" spans="36:36">
      <c r="AJ56" s="29"/>
    </row>
  </sheetData>
  <sheetProtection algorithmName="SHA-512" hashValue="oKz0mUA4CvGBFZ2SfLuQglDTcwlwQa98PWAD5eKKXjV7mxpWDP0RnhyK4le7DE83dhT+vR0CNHOJwtrYbQPxkg==" saltValue="gXzzuHKPt2xfGplhSV9N2g==" spinCount="100000" sheet="1" objects="1" scenarios="1"/>
  <pageMargins left="0.7" right="0.7" top="0.75" bottom="0.75" header="0.3" footer="0.3"/>
  <pageSetup orientation="portrait" r:id="rId1"/>
  <ignoredErrors>
    <ignoredError sqref="J37:J43" evalError="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499984740745262"/>
    <pageSetUpPr fitToPage="1"/>
  </sheetPr>
  <dimension ref="A1:BO52"/>
  <sheetViews>
    <sheetView showGridLines="0" zoomScale="120" zoomScaleNormal="120" workbookViewId="0">
      <selection activeCell="G1" sqref="G1"/>
    </sheetView>
  </sheetViews>
  <sheetFormatPr baseColWidth="10" defaultRowHeight="14.4"/>
  <cols>
    <col min="1" max="1" width="16.44140625" bestFit="1" customWidth="1"/>
    <col min="2" max="2" width="1.77734375" customWidth="1"/>
    <col min="3" max="3" width="12.44140625" style="5484" bestFit="1" customWidth="1"/>
    <col min="4" max="4" width="14.21875" style="5484" bestFit="1" customWidth="1"/>
    <col min="5" max="5" width="12.44140625" style="5484" bestFit="1" customWidth="1"/>
    <col min="6" max="6" width="26.109375" style="5484" customWidth="1"/>
    <col min="7" max="7" width="9.77734375" style="5484" customWidth="1"/>
    <col min="8" max="8" width="1.77734375" style="5484" customWidth="1"/>
    <col min="9" max="9" width="13.44140625" style="3595" bestFit="1" customWidth="1"/>
    <col min="10" max="10" width="15.21875" style="3595" bestFit="1" customWidth="1"/>
    <col min="11" max="11" width="13.44140625" style="3595" bestFit="1" customWidth="1"/>
    <col min="12" max="12" width="25.77734375" style="3595" customWidth="1"/>
    <col min="13" max="13" width="8.77734375" style="3595" customWidth="1"/>
    <col min="14" max="14" width="1.5546875" style="3595" customWidth="1"/>
    <col min="15" max="15" width="15.21875" customWidth="1"/>
    <col min="16" max="16" width="15" bestFit="1" customWidth="1"/>
    <col min="17" max="17" width="13.44140625" bestFit="1" customWidth="1"/>
    <col min="18" max="18" width="25.77734375" customWidth="1"/>
    <col min="19" max="19" width="8.77734375" customWidth="1"/>
    <col min="20" max="20" width="1.77734375" customWidth="1"/>
    <col min="21" max="21" width="13.44140625" bestFit="1" customWidth="1"/>
    <col min="22" max="22" width="15" bestFit="1" customWidth="1"/>
    <col min="23" max="23" width="13.44140625" bestFit="1" customWidth="1"/>
    <col min="24" max="24" width="26" customWidth="1"/>
    <col min="26" max="26" width="1.77734375" customWidth="1"/>
    <col min="27" max="27" width="13.44140625" bestFit="1" customWidth="1"/>
    <col min="28" max="28" width="15" bestFit="1" customWidth="1"/>
    <col min="29" max="29" width="13.44140625" bestFit="1" customWidth="1"/>
    <col min="30" max="30" width="26.77734375" customWidth="1"/>
    <col min="31" max="31" width="9.44140625" customWidth="1"/>
    <col min="32" max="32" width="1.77734375" customWidth="1"/>
    <col min="33" max="33" width="13.44140625" bestFit="1" customWidth="1"/>
    <col min="34" max="34" width="15" bestFit="1" customWidth="1"/>
    <col min="35" max="35" width="15.77734375" customWidth="1"/>
    <col min="36" max="36" width="27.21875" customWidth="1"/>
    <col min="37" max="37" width="9.77734375" customWidth="1"/>
    <col min="38" max="38" width="1.77734375" customWidth="1"/>
    <col min="39" max="41" width="15.77734375" customWidth="1"/>
    <col min="42" max="42" width="26.21875" customWidth="1"/>
    <col min="43" max="43" width="15.77734375" customWidth="1"/>
    <col min="44" max="44" width="1.77734375" customWidth="1"/>
    <col min="45" max="46" width="15.77734375" customWidth="1"/>
    <col min="47" max="47" width="15.21875" customWidth="1"/>
    <col min="48" max="48" width="26.77734375" customWidth="1"/>
    <col min="49" max="49" width="12.21875" customWidth="1"/>
    <col min="50" max="50" width="1.77734375" customWidth="1"/>
    <col min="51" max="51" width="13.77734375" customWidth="1"/>
    <col min="52" max="52" width="15.77734375" bestFit="1" customWidth="1"/>
    <col min="53" max="53" width="13.44140625" bestFit="1" customWidth="1"/>
    <col min="54" max="54" width="26.21875" customWidth="1"/>
    <col min="56" max="56" width="1.77734375" customWidth="1"/>
    <col min="57" max="57" width="14.21875" customWidth="1"/>
    <col min="58" max="58" width="15.21875" customWidth="1"/>
    <col min="59" max="59" width="13.77734375" customWidth="1"/>
    <col min="60" max="60" width="26.77734375" customWidth="1"/>
    <col min="62" max="62" width="1.77734375" customWidth="1"/>
    <col min="63" max="63" width="13.44140625" bestFit="1" customWidth="1"/>
    <col min="64" max="64" width="15" bestFit="1" customWidth="1"/>
    <col min="65" max="65" width="11.77734375" customWidth="1"/>
    <col min="66" max="66" width="26.21875" customWidth="1"/>
  </cols>
  <sheetData>
    <row r="1" spans="1:67" ht="19.5" customHeight="1">
      <c r="A1" s="9" t="s">
        <v>464</v>
      </c>
      <c r="B1" s="90"/>
      <c r="C1" s="90"/>
      <c r="D1" s="90"/>
      <c r="E1" s="90"/>
      <c r="F1" s="90"/>
      <c r="G1" s="90"/>
      <c r="H1" s="90"/>
      <c r="I1" s="90"/>
      <c r="J1" s="90"/>
      <c r="K1" s="90"/>
      <c r="L1" s="90"/>
      <c r="M1" s="90"/>
      <c r="N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E1" s="90"/>
      <c r="BF1" s="90"/>
      <c r="BG1" s="90"/>
      <c r="BH1" s="90"/>
      <c r="BI1" s="90"/>
      <c r="BK1" s="9"/>
      <c r="BL1" s="9"/>
      <c r="BM1" s="9"/>
      <c r="BN1" s="9"/>
      <c r="BO1" s="9"/>
    </row>
    <row r="2" spans="1:67">
      <c r="N2" s="90"/>
      <c r="BC2" s="69" t="s">
        <v>98</v>
      </c>
      <c r="BI2" s="69" t="s">
        <v>98</v>
      </c>
      <c r="BO2" s="69" t="s">
        <v>98</v>
      </c>
    </row>
    <row r="3" spans="1:67" ht="15" customHeight="1">
      <c r="A3" s="6020" t="s">
        <v>2587</v>
      </c>
      <c r="C3" s="6064" t="s">
        <v>3918</v>
      </c>
      <c r="D3" s="6064"/>
      <c r="E3" s="6064"/>
      <c r="F3" s="6062" t="s">
        <v>3917</v>
      </c>
      <c r="G3" s="6065" t="s">
        <v>76</v>
      </c>
      <c r="I3" s="6064" t="s">
        <v>2771</v>
      </c>
      <c r="J3" s="6064"/>
      <c r="K3" s="6064"/>
      <c r="L3" s="6062" t="s">
        <v>2947</v>
      </c>
      <c r="M3" s="6065" t="s">
        <v>76</v>
      </c>
      <c r="N3" s="90"/>
      <c r="O3" s="6064" t="s">
        <v>2590</v>
      </c>
      <c r="P3" s="6064"/>
      <c r="Q3" s="6064"/>
      <c r="R3" s="6062" t="s">
        <v>2589</v>
      </c>
      <c r="S3" s="6065" t="s">
        <v>76</v>
      </c>
      <c r="U3" s="6064" t="s">
        <v>2556</v>
      </c>
      <c r="V3" s="6064"/>
      <c r="W3" s="6064"/>
      <c r="X3" s="6062" t="s">
        <v>2557</v>
      </c>
      <c r="Y3" s="6065" t="s">
        <v>76</v>
      </c>
      <c r="AA3" s="6064" t="s">
        <v>1951</v>
      </c>
      <c r="AB3" s="6064"/>
      <c r="AC3" s="6064"/>
      <c r="AD3" s="6062" t="s">
        <v>1950</v>
      </c>
      <c r="AE3" s="6065" t="s">
        <v>76</v>
      </c>
      <c r="AG3" s="6064" t="s">
        <v>1755</v>
      </c>
      <c r="AH3" s="6064"/>
      <c r="AI3" s="6064"/>
      <c r="AJ3" s="6062" t="s">
        <v>1952</v>
      </c>
      <c r="AK3" s="6065" t="s">
        <v>76</v>
      </c>
      <c r="AM3" s="6064" t="s">
        <v>832</v>
      </c>
      <c r="AN3" s="6064"/>
      <c r="AO3" s="6064"/>
      <c r="AP3" s="6062" t="s">
        <v>833</v>
      </c>
      <c r="AQ3" s="6065" t="s">
        <v>76</v>
      </c>
      <c r="AS3" s="6064" t="s">
        <v>693</v>
      </c>
      <c r="AT3" s="6064"/>
      <c r="AU3" s="6064"/>
      <c r="AV3" s="6062" t="s">
        <v>694</v>
      </c>
      <c r="AW3" s="6065" t="s">
        <v>76</v>
      </c>
      <c r="AY3" s="6064" t="s">
        <v>507</v>
      </c>
      <c r="AZ3" s="6064"/>
      <c r="BA3" s="6064"/>
      <c r="BB3" s="6062" t="s">
        <v>506</v>
      </c>
      <c r="BC3" s="6065" t="s">
        <v>76</v>
      </c>
      <c r="BE3" s="6064" t="s">
        <v>610</v>
      </c>
      <c r="BF3" s="6064"/>
      <c r="BG3" s="6064"/>
      <c r="BH3" s="6062" t="s">
        <v>452</v>
      </c>
      <c r="BI3" s="6065" t="s">
        <v>76</v>
      </c>
      <c r="BK3" s="6064" t="s">
        <v>710</v>
      </c>
      <c r="BL3" s="6064"/>
      <c r="BM3" s="6064"/>
      <c r="BN3" s="6062" t="s">
        <v>329</v>
      </c>
      <c r="BO3" s="6065" t="s">
        <v>76</v>
      </c>
    </row>
    <row r="4" spans="1:67" ht="24.75" customHeight="1" thickBot="1">
      <c r="A4" s="6021"/>
      <c r="C4" s="5486" t="s">
        <v>2568</v>
      </c>
      <c r="D4" s="5486" t="s">
        <v>330</v>
      </c>
      <c r="E4" s="5486" t="s">
        <v>15</v>
      </c>
      <c r="F4" s="6063"/>
      <c r="G4" s="6066"/>
      <c r="I4" s="3599" t="s">
        <v>2568</v>
      </c>
      <c r="J4" s="3599" t="s">
        <v>330</v>
      </c>
      <c r="K4" s="3599" t="s">
        <v>15</v>
      </c>
      <c r="L4" s="6063"/>
      <c r="M4" s="6066"/>
      <c r="N4" s="90"/>
      <c r="O4" s="2080" t="s">
        <v>2568</v>
      </c>
      <c r="P4" s="2080" t="s">
        <v>330</v>
      </c>
      <c r="Q4" s="2080" t="s">
        <v>15</v>
      </c>
      <c r="R4" s="6063"/>
      <c r="S4" s="6066"/>
      <c r="U4" s="2555" t="s">
        <v>2568</v>
      </c>
      <c r="V4" s="2555" t="s">
        <v>330</v>
      </c>
      <c r="W4" s="2555" t="s">
        <v>15</v>
      </c>
      <c r="X4" s="6063"/>
      <c r="Y4" s="6066"/>
      <c r="AA4" s="2555" t="s">
        <v>2568</v>
      </c>
      <c r="AB4" s="2555" t="s">
        <v>330</v>
      </c>
      <c r="AC4" s="2555" t="s">
        <v>15</v>
      </c>
      <c r="AD4" s="6063"/>
      <c r="AE4" s="6066"/>
      <c r="AG4" s="2555" t="s">
        <v>2568</v>
      </c>
      <c r="AH4" s="2555" t="s">
        <v>330</v>
      </c>
      <c r="AI4" s="2555" t="s">
        <v>15</v>
      </c>
      <c r="AJ4" s="6063"/>
      <c r="AK4" s="6066"/>
      <c r="AM4" s="2555" t="s">
        <v>2568</v>
      </c>
      <c r="AN4" s="2555" t="s">
        <v>330</v>
      </c>
      <c r="AO4" s="2555" t="s">
        <v>15</v>
      </c>
      <c r="AP4" s="6063"/>
      <c r="AQ4" s="6066"/>
      <c r="AS4" s="2555" t="s">
        <v>2568</v>
      </c>
      <c r="AT4" s="2555" t="s">
        <v>330</v>
      </c>
      <c r="AU4" s="2555" t="s">
        <v>15</v>
      </c>
      <c r="AV4" s="6063"/>
      <c r="AW4" s="6066"/>
      <c r="AY4" s="2555" t="s">
        <v>2568</v>
      </c>
      <c r="AZ4" s="2555" t="s">
        <v>330</v>
      </c>
      <c r="BA4" s="2555" t="s">
        <v>15</v>
      </c>
      <c r="BB4" s="6063"/>
      <c r="BC4" s="6066"/>
      <c r="BE4" s="2555" t="s">
        <v>2568</v>
      </c>
      <c r="BF4" s="2555" t="s">
        <v>330</v>
      </c>
      <c r="BG4" s="2555" t="s">
        <v>15</v>
      </c>
      <c r="BH4" s="6063"/>
      <c r="BI4" s="6066"/>
      <c r="BK4" s="2555" t="s">
        <v>2568</v>
      </c>
      <c r="BL4" s="2555" t="s">
        <v>330</v>
      </c>
      <c r="BM4" s="2555" t="s">
        <v>15</v>
      </c>
      <c r="BN4" s="6063"/>
      <c r="BO4" s="6066"/>
    </row>
    <row r="5" spans="1:67">
      <c r="A5" s="129"/>
      <c r="N5" s="90"/>
      <c r="U5" s="2554"/>
      <c r="V5" s="2554"/>
      <c r="W5" s="2554"/>
      <c r="X5" s="2554"/>
      <c r="Y5" s="2554"/>
      <c r="AA5" s="2554"/>
      <c r="AB5" s="2554"/>
      <c r="AC5" s="2554"/>
      <c r="AD5" s="2554"/>
      <c r="AE5" s="2554"/>
      <c r="AG5" s="2554"/>
      <c r="AH5" s="2554"/>
      <c r="AI5" s="2554"/>
      <c r="AJ5" s="2554"/>
      <c r="AK5" s="2554"/>
      <c r="AM5" s="2554"/>
      <c r="AN5" s="2554"/>
      <c r="AO5" s="2554"/>
      <c r="AP5" s="2554"/>
      <c r="AQ5" s="2554"/>
      <c r="AS5" s="2554"/>
      <c r="AT5" s="2554"/>
      <c r="AU5" s="2554"/>
      <c r="AV5" s="2554"/>
      <c r="AW5" s="2554"/>
      <c r="AY5" s="2554"/>
      <c r="AZ5" s="2554"/>
      <c r="BA5" s="2554"/>
      <c r="BB5" s="2554"/>
      <c r="BC5" s="2554"/>
      <c r="BE5" s="2554"/>
      <c r="BF5" s="2554"/>
      <c r="BG5" s="2554"/>
      <c r="BH5" s="2554"/>
      <c r="BI5" s="2554"/>
      <c r="BK5" s="2554"/>
      <c r="BL5" s="2554"/>
      <c r="BM5" s="2554"/>
      <c r="BN5" s="2554"/>
      <c r="BO5" s="2554"/>
    </row>
    <row r="6" spans="1:67">
      <c r="A6" s="2115" t="s">
        <v>4</v>
      </c>
      <c r="C6" s="2118">
        <v>0</v>
      </c>
      <c r="D6" s="2113">
        <v>6503007</v>
      </c>
      <c r="E6" s="2113">
        <v>6503007</v>
      </c>
      <c r="F6" s="2332">
        <v>25566367</v>
      </c>
      <c r="G6" s="2336">
        <f t="shared" ref="G6:G11" si="0">+E6/F6</f>
        <v>0.25435788354285926</v>
      </c>
      <c r="I6" s="2118">
        <v>0</v>
      </c>
      <c r="J6" s="2113">
        <v>964478</v>
      </c>
      <c r="K6" s="2113">
        <v>964478</v>
      </c>
      <c r="L6" s="2332">
        <v>33134812</v>
      </c>
      <c r="M6" s="2336">
        <f t="shared" ref="M6:M11" si="1">+K6/L6</f>
        <v>2.910769495236611E-2</v>
      </c>
      <c r="N6" s="90"/>
      <c r="O6" s="2118">
        <v>0</v>
      </c>
      <c r="P6" s="2113">
        <v>849231</v>
      </c>
      <c r="Q6" s="2113">
        <v>849231</v>
      </c>
      <c r="R6" s="2332">
        <v>33138159</v>
      </c>
      <c r="S6" s="2336">
        <f t="shared" ref="S6:S11" si="2">+Q6/R6</f>
        <v>2.562698187307267E-2</v>
      </c>
      <c r="U6" s="2118">
        <v>0</v>
      </c>
      <c r="V6" s="2113">
        <v>500899</v>
      </c>
      <c r="W6" s="2113">
        <f>SUM(U6:V6)</f>
        <v>500899</v>
      </c>
      <c r="X6" s="2332">
        <v>31697031</v>
      </c>
      <c r="Y6" s="2336">
        <f t="shared" ref="Y6:Y11" si="3">+W6/X6</f>
        <v>1.5802710354796322E-2</v>
      </c>
      <c r="AA6" s="2118">
        <v>1001000</v>
      </c>
      <c r="AB6" s="2113">
        <f>5663500-AA6</f>
        <v>4662500</v>
      </c>
      <c r="AC6" s="2113">
        <f>SUM(AA6:AB6)</f>
        <v>5663500</v>
      </c>
      <c r="AD6" s="2332">
        <v>38450430.039999999</v>
      </c>
      <c r="AE6" s="2336">
        <f t="shared" ref="AE6:AE11" si="4">+AC6/AD6</f>
        <v>0.14729354116737467</v>
      </c>
      <c r="AG6" s="2118">
        <v>844970.71</v>
      </c>
      <c r="AH6" s="2113">
        <v>3710393.2</v>
      </c>
      <c r="AI6" s="2113">
        <f>SUM(AG6:AH6)</f>
        <v>4555363.91</v>
      </c>
      <c r="AJ6" s="2332">
        <v>35543810.870000005</v>
      </c>
      <c r="AK6" s="2336">
        <f t="shared" ref="AK6:AK11" si="5">+AI6/AJ6</f>
        <v>0.12816194433008471</v>
      </c>
      <c r="AM6" s="2118">
        <v>496211.23</v>
      </c>
      <c r="AN6" s="2113">
        <f>443410+3026291</f>
        <v>3469701</v>
      </c>
      <c r="AO6" s="2113">
        <f>SUM(AM6:AN6)</f>
        <v>3965912.23</v>
      </c>
      <c r="AP6" s="2332">
        <v>37150502.970000006</v>
      </c>
      <c r="AQ6" s="2336">
        <f t="shared" ref="AQ6:AQ11" si="6">+AO6/AP6</f>
        <v>0.10675258510504089</v>
      </c>
      <c r="AS6" s="2118">
        <v>941049.04</v>
      </c>
      <c r="AT6" s="2113">
        <v>2684615.3</v>
      </c>
      <c r="AU6" s="2113">
        <f>SUM(AS6:AT6)</f>
        <v>3625664.34</v>
      </c>
      <c r="AV6" s="2332">
        <v>36092182</v>
      </c>
      <c r="AW6" s="2336">
        <f t="shared" ref="AW6:AW11" si="7">+AU6/AV6</f>
        <v>0.10045567042746266</v>
      </c>
      <c r="AY6" s="2118">
        <v>466972</v>
      </c>
      <c r="AZ6" s="2113">
        <v>3574990</v>
      </c>
      <c r="BA6" s="2113">
        <f>SUM(AY6:AZ6)</f>
        <v>4041962</v>
      </c>
      <c r="BB6" s="2332">
        <v>35771043</v>
      </c>
      <c r="BC6" s="2336">
        <f t="shared" ref="BC6:BC11" si="8">+BA6/BB6</f>
        <v>0.11299536331663575</v>
      </c>
      <c r="BE6" s="2118">
        <v>4595428.1500000004</v>
      </c>
      <c r="BF6" s="2113">
        <v>3917091.59</v>
      </c>
      <c r="BG6" s="2113">
        <f>SUM(BE6:BF6)</f>
        <v>8512519.7400000002</v>
      </c>
      <c r="BH6" s="2332">
        <v>45371399.960000001</v>
      </c>
      <c r="BI6" s="2336">
        <f t="shared" ref="BI6:BI11" si="9">+BG6/BH6</f>
        <v>0.1876186264365822</v>
      </c>
      <c r="BK6" s="2118">
        <v>3389.4450000000002</v>
      </c>
      <c r="BL6" s="2113">
        <v>0</v>
      </c>
      <c r="BM6" s="2113">
        <f>+BK6+BL6</f>
        <v>3389.4450000000002</v>
      </c>
      <c r="BN6" s="2332">
        <v>42459.078999999998</v>
      </c>
      <c r="BO6" s="2336">
        <f t="shared" ref="BO6:BO11" si="10">+BM6/BN6</f>
        <v>7.9828509704602882E-2</v>
      </c>
    </row>
    <row r="7" spans="1:67">
      <c r="A7" s="2116" t="s">
        <v>16</v>
      </c>
      <c r="C7" s="2119">
        <v>0</v>
      </c>
      <c r="D7" s="2114">
        <v>431248</v>
      </c>
      <c r="E7" s="2114">
        <v>431248</v>
      </c>
      <c r="F7" s="2333">
        <v>14944463</v>
      </c>
      <c r="G7" s="2337">
        <f t="shared" si="0"/>
        <v>2.8856707664905723E-2</v>
      </c>
      <c r="I7" s="2119">
        <v>0</v>
      </c>
      <c r="J7" s="2114">
        <v>860193</v>
      </c>
      <c r="K7" s="2114">
        <v>860193</v>
      </c>
      <c r="L7" s="2333">
        <v>19534178</v>
      </c>
      <c r="M7" s="2337">
        <f t="shared" si="1"/>
        <v>4.403528011263131E-2</v>
      </c>
      <c r="N7" s="90"/>
      <c r="O7" s="2119">
        <v>0</v>
      </c>
      <c r="P7" s="2114">
        <v>273566</v>
      </c>
      <c r="Q7" s="2114">
        <v>273566</v>
      </c>
      <c r="R7" s="2333">
        <v>19820196</v>
      </c>
      <c r="S7" s="2337">
        <f t="shared" si="2"/>
        <v>1.3802386212527868E-2</v>
      </c>
      <c r="U7" s="2119">
        <v>0</v>
      </c>
      <c r="V7" s="2114">
        <v>239881</v>
      </c>
      <c r="W7" s="2114">
        <f>SUM(U7:V7)</f>
        <v>239881</v>
      </c>
      <c r="X7" s="2333">
        <v>20637723</v>
      </c>
      <c r="Y7" s="2337">
        <f t="shared" si="3"/>
        <v>1.162342376627499E-2</v>
      </c>
      <c r="AA7" s="2119">
        <v>59355</v>
      </c>
      <c r="AB7" s="2114">
        <f>347635-AA7</f>
        <v>288280</v>
      </c>
      <c r="AC7" s="2114">
        <f>SUM(AA7:AB7)</f>
        <v>347635</v>
      </c>
      <c r="AD7" s="2333">
        <v>23150899.690000001</v>
      </c>
      <c r="AE7" s="2337">
        <f t="shared" si="4"/>
        <v>1.5016047093416437E-2</v>
      </c>
      <c r="AG7" s="2119">
        <v>201168.5</v>
      </c>
      <c r="AH7" s="2114">
        <v>421404.2</v>
      </c>
      <c r="AI7" s="2114">
        <f>SUM(AG7:AH7)</f>
        <v>622572.69999999995</v>
      </c>
      <c r="AJ7" s="2333">
        <v>23626185.829999991</v>
      </c>
      <c r="AK7" s="2337">
        <f t="shared" si="5"/>
        <v>2.6350960941375116E-2</v>
      </c>
      <c r="AM7" s="2119">
        <v>108612.98</v>
      </c>
      <c r="AN7" s="2114">
        <f>46782+287331</f>
        <v>334113</v>
      </c>
      <c r="AO7" s="2114">
        <f>SUM(AM7:AN7)</f>
        <v>442725.98</v>
      </c>
      <c r="AP7" s="2333">
        <v>25466266.91</v>
      </c>
      <c r="AQ7" s="2337">
        <f t="shared" si="6"/>
        <v>1.7384800904059951E-2</v>
      </c>
      <c r="AS7" s="2119">
        <v>85434.559999999998</v>
      </c>
      <c r="AT7" s="2114">
        <v>551429.96</v>
      </c>
      <c r="AU7" s="2114">
        <f>SUM(AS7:AT7)</f>
        <v>636864.52</v>
      </c>
      <c r="AV7" s="2333">
        <v>23955700</v>
      </c>
      <c r="AW7" s="2337">
        <f t="shared" si="7"/>
        <v>2.6585093318082963E-2</v>
      </c>
      <c r="AY7" s="2119">
        <v>299160</v>
      </c>
      <c r="AZ7" s="2114">
        <v>426447</v>
      </c>
      <c r="BA7" s="2114">
        <f>SUM(AY7:AZ7)</f>
        <v>725607</v>
      </c>
      <c r="BB7" s="2333">
        <v>26090573</v>
      </c>
      <c r="BC7" s="2337">
        <f t="shared" si="8"/>
        <v>2.7811079503696604E-2</v>
      </c>
      <c r="BE7" s="2119">
        <v>1070425.6499999999</v>
      </c>
      <c r="BF7" s="2114">
        <v>432127.54</v>
      </c>
      <c r="BG7" s="2114">
        <f>SUM(BE7:BF7)</f>
        <v>1502553.19</v>
      </c>
      <c r="BH7" s="2333">
        <v>37181375.359999999</v>
      </c>
      <c r="BI7" s="2337">
        <f t="shared" si="9"/>
        <v>4.0411447275736277E-2</v>
      </c>
      <c r="BK7" s="2119">
        <v>905.68700000000001</v>
      </c>
      <c r="BL7" s="2114">
        <v>5.0129999999999999</v>
      </c>
      <c r="BM7" s="2114">
        <f>+BK7+BL7</f>
        <v>910.7</v>
      </c>
      <c r="BN7" s="2333">
        <v>28403.235000000001</v>
      </c>
      <c r="BO7" s="2337">
        <f t="shared" si="10"/>
        <v>3.2063249133417376E-2</v>
      </c>
    </row>
    <row r="8" spans="1:67">
      <c r="A8" s="2116" t="s">
        <v>21</v>
      </c>
      <c r="C8" s="2119">
        <v>0</v>
      </c>
      <c r="D8" s="2114">
        <v>604653</v>
      </c>
      <c r="E8" s="2114">
        <v>604653</v>
      </c>
      <c r="F8" s="2333">
        <v>11877563</v>
      </c>
      <c r="G8" s="2337">
        <f t="shared" si="0"/>
        <v>5.0907159995699454E-2</v>
      </c>
      <c r="I8" s="2119">
        <v>0</v>
      </c>
      <c r="J8" s="2114">
        <v>1680272</v>
      </c>
      <c r="K8" s="2114">
        <v>1680272</v>
      </c>
      <c r="L8" s="2333">
        <v>14682607</v>
      </c>
      <c r="M8" s="2337">
        <f t="shared" si="1"/>
        <v>0.11443962233682342</v>
      </c>
      <c r="N8" s="90"/>
      <c r="O8" s="2119">
        <v>0</v>
      </c>
      <c r="P8" s="2114">
        <v>895101</v>
      </c>
      <c r="Q8" s="2114">
        <v>895101</v>
      </c>
      <c r="R8" s="2333">
        <v>15338599</v>
      </c>
      <c r="S8" s="2337">
        <f t="shared" si="2"/>
        <v>5.8356111923911692E-2</v>
      </c>
      <c r="U8" s="2119">
        <v>0</v>
      </c>
      <c r="V8" s="2114">
        <v>1030674</v>
      </c>
      <c r="W8" s="2114">
        <f>SUM(U8:V8)</f>
        <v>1030674</v>
      </c>
      <c r="X8" s="2333">
        <v>13906313</v>
      </c>
      <c r="Y8" s="2337">
        <f t="shared" si="3"/>
        <v>7.4115547377655022E-2</v>
      </c>
      <c r="AA8" s="2119">
        <v>1446085</v>
      </c>
      <c r="AB8" s="2114">
        <f>2379220-AA8</f>
        <v>933135</v>
      </c>
      <c r="AC8" s="2114">
        <f>SUM(AA8:AB8)</f>
        <v>2379220</v>
      </c>
      <c r="AD8" s="2333">
        <v>16257607.659999996</v>
      </c>
      <c r="AE8" s="2337">
        <f t="shared" si="4"/>
        <v>0.14634502503426758</v>
      </c>
      <c r="AG8" s="2119">
        <v>1454166.25</v>
      </c>
      <c r="AH8" s="2114">
        <v>664780.79999999993</v>
      </c>
      <c r="AI8" s="2114">
        <f>SUM(AG8:AH8)</f>
        <v>2118947.0499999998</v>
      </c>
      <c r="AJ8" s="2333">
        <v>18558757.010000005</v>
      </c>
      <c r="AK8" s="2337">
        <f t="shared" si="5"/>
        <v>0.11417505217931614</v>
      </c>
      <c r="AM8" s="2119">
        <v>385124.56</v>
      </c>
      <c r="AN8" s="2114">
        <f>235173+832772</f>
        <v>1067945</v>
      </c>
      <c r="AO8" s="2114">
        <f>SUM(AM8:AN8)</f>
        <v>1453069.56</v>
      </c>
      <c r="AP8" s="2333">
        <v>18444824.289999999</v>
      </c>
      <c r="AQ8" s="2337">
        <f t="shared" si="6"/>
        <v>7.8779257376162301E-2</v>
      </c>
      <c r="AS8" s="2119">
        <v>413413.85</v>
      </c>
      <c r="AT8" s="2114">
        <v>712049.03999999992</v>
      </c>
      <c r="AU8" s="2114">
        <f>SUM(AS8:AT8)</f>
        <v>1125462.8899999999</v>
      </c>
      <c r="AV8" s="2333">
        <v>20111961</v>
      </c>
      <c r="AW8" s="2337">
        <f t="shared" si="7"/>
        <v>5.5959878303264404E-2</v>
      </c>
      <c r="AY8" s="2119">
        <v>1800524</v>
      </c>
      <c r="AZ8" s="2114">
        <v>955734</v>
      </c>
      <c r="BA8" s="2114">
        <f>SUM(AY8:AZ8)</f>
        <v>2756258</v>
      </c>
      <c r="BB8" s="2333">
        <v>22020782</v>
      </c>
      <c r="BC8" s="2337">
        <f t="shared" si="8"/>
        <v>0.1251662179844476</v>
      </c>
      <c r="BE8" s="2119">
        <v>7245904.6699999999</v>
      </c>
      <c r="BF8" s="2114">
        <v>661886.98</v>
      </c>
      <c r="BG8" s="2114">
        <f>SUM(BE8:BF8)</f>
        <v>7907791.6500000004</v>
      </c>
      <c r="BH8" s="2333">
        <v>31158618.260000002</v>
      </c>
      <c r="BI8" s="2337">
        <f t="shared" si="9"/>
        <v>0.25379147380715722</v>
      </c>
      <c r="BK8" s="2119">
        <v>1272.3240000000001</v>
      </c>
      <c r="BL8" s="2114">
        <v>25.736000000000001</v>
      </c>
      <c r="BM8" s="2114">
        <f>+BK8+BL8</f>
        <v>1298.0600000000002</v>
      </c>
      <c r="BN8" s="2333">
        <v>24270.187999999998</v>
      </c>
      <c r="BO8" s="2337">
        <f t="shared" si="10"/>
        <v>5.3483722499388972E-2</v>
      </c>
    </row>
    <row r="9" spans="1:67">
      <c r="A9" s="2116" t="s">
        <v>85</v>
      </c>
      <c r="C9" s="2119">
        <v>0</v>
      </c>
      <c r="D9" s="2114">
        <v>21782459</v>
      </c>
      <c r="E9" s="2114">
        <v>21782459</v>
      </c>
      <c r="F9" s="2333">
        <v>88071941</v>
      </c>
      <c r="G9" s="2337">
        <f t="shared" si="0"/>
        <v>0.2473257515693903</v>
      </c>
      <c r="I9" s="2119">
        <v>0</v>
      </c>
      <c r="J9" s="2114">
        <v>15091376</v>
      </c>
      <c r="K9" s="2114">
        <v>15091376</v>
      </c>
      <c r="L9" s="2333">
        <v>96054607</v>
      </c>
      <c r="M9" s="2337">
        <f t="shared" si="1"/>
        <v>0.15711246416322333</v>
      </c>
      <c r="N9" s="90"/>
      <c r="O9" s="2119">
        <v>0</v>
      </c>
      <c r="P9" s="2114">
        <v>10221643</v>
      </c>
      <c r="Q9" s="2114">
        <v>10221643</v>
      </c>
      <c r="R9" s="2333">
        <v>96634413</v>
      </c>
      <c r="S9" s="2337">
        <f t="shared" si="2"/>
        <v>0.10577642769972639</v>
      </c>
      <c r="U9" s="2119">
        <v>2560400</v>
      </c>
      <c r="V9" s="2114">
        <v>7539618</v>
      </c>
      <c r="W9" s="2114">
        <f>SUM(U9:V9)</f>
        <v>10100018</v>
      </c>
      <c r="X9" s="2333">
        <v>86767899</v>
      </c>
      <c r="Y9" s="2337">
        <f t="shared" si="3"/>
        <v>0.11640270326241275</v>
      </c>
      <c r="AA9" s="2119">
        <v>2130912</v>
      </c>
      <c r="AB9" s="2114">
        <f>23564309-AA9</f>
        <v>21433397</v>
      </c>
      <c r="AC9" s="2114">
        <f>SUM(AA9:AB9)</f>
        <v>23564309</v>
      </c>
      <c r="AD9" s="2333">
        <v>85439785.270000026</v>
      </c>
      <c r="AE9" s="2337">
        <f t="shared" si="4"/>
        <v>0.27580018987095933</v>
      </c>
      <c r="AG9" s="2119">
        <v>5618754.9800000004</v>
      </c>
      <c r="AH9" s="2114">
        <v>18140608.150000002</v>
      </c>
      <c r="AI9" s="2114">
        <f>SUM(AG9:AH9)</f>
        <v>23759363.130000003</v>
      </c>
      <c r="AJ9" s="2333">
        <v>128224396.61</v>
      </c>
      <c r="AK9" s="2337">
        <f t="shared" si="5"/>
        <v>0.18529518374155524</v>
      </c>
      <c r="AM9" s="2119">
        <v>2665192.27</v>
      </c>
      <c r="AN9" s="2114">
        <f>5639080+7011200</f>
        <v>12650280</v>
      </c>
      <c r="AO9" s="2114">
        <f>SUM(AM9:AN9)</f>
        <v>15315472.27</v>
      </c>
      <c r="AP9" s="2333">
        <v>88658018.520000026</v>
      </c>
      <c r="AQ9" s="2337">
        <f t="shared" si="6"/>
        <v>0.1727477392983359</v>
      </c>
      <c r="AS9" s="2119">
        <v>697347.92</v>
      </c>
      <c r="AT9" s="2114">
        <v>12530737.630000001</v>
      </c>
      <c r="AU9" s="2114">
        <f>SUM(AS9:AT9)</f>
        <v>13228085.550000001</v>
      </c>
      <c r="AV9" s="2333">
        <v>79044096</v>
      </c>
      <c r="AW9" s="2337">
        <f t="shared" si="7"/>
        <v>0.16735070953306874</v>
      </c>
      <c r="AY9" s="2119">
        <v>1405762</v>
      </c>
      <c r="AZ9" s="2114">
        <v>12264913</v>
      </c>
      <c r="BA9" s="2114">
        <f>SUM(AY9:AZ9)</f>
        <v>13670675</v>
      </c>
      <c r="BB9" s="2333">
        <v>83099806</v>
      </c>
      <c r="BC9" s="2337">
        <f t="shared" si="8"/>
        <v>0.16450910848095121</v>
      </c>
      <c r="BE9" s="2119">
        <v>8413406.75</v>
      </c>
      <c r="BF9" s="2114">
        <v>10150534.209999999</v>
      </c>
      <c r="BG9" s="2114">
        <f>SUM(BE9:BF9)</f>
        <v>18563940.960000001</v>
      </c>
      <c r="BH9" s="2333">
        <v>126742961.92</v>
      </c>
      <c r="BI9" s="2337">
        <f t="shared" si="9"/>
        <v>0.14646920569615168</v>
      </c>
      <c r="BK9" s="2119">
        <v>4575.0749999999998</v>
      </c>
      <c r="BL9" s="2114">
        <v>9962.7250000000004</v>
      </c>
      <c r="BM9" s="2114">
        <f>+BK9+BL9</f>
        <v>14537.8</v>
      </c>
      <c r="BN9" s="2333">
        <v>140759.179</v>
      </c>
      <c r="BO9" s="2337">
        <f t="shared" si="10"/>
        <v>0.10328136398124345</v>
      </c>
    </row>
    <row r="10" spans="1:67">
      <c r="A10" s="2116" t="s">
        <v>86</v>
      </c>
      <c r="C10" s="2119">
        <v>0</v>
      </c>
      <c r="D10" s="2114">
        <v>311505</v>
      </c>
      <c r="E10" s="2114">
        <v>311505</v>
      </c>
      <c r="F10" s="2333">
        <v>10723411</v>
      </c>
      <c r="G10" s="2337">
        <f t="shared" si="0"/>
        <v>2.9049059110016394E-2</v>
      </c>
      <c r="I10" s="2119">
        <v>0</v>
      </c>
      <c r="J10" s="2114">
        <v>722326</v>
      </c>
      <c r="K10" s="2114">
        <v>722326</v>
      </c>
      <c r="L10" s="2333">
        <v>18718043</v>
      </c>
      <c r="M10" s="2337">
        <f t="shared" si="1"/>
        <v>3.8589824801663293E-2</v>
      </c>
      <c r="N10" s="90"/>
      <c r="O10" s="2119">
        <v>0</v>
      </c>
      <c r="P10" s="2114">
        <v>51519</v>
      </c>
      <c r="Q10" s="2114">
        <v>51519</v>
      </c>
      <c r="R10" s="2333">
        <v>8499052</v>
      </c>
      <c r="S10" s="2337">
        <f t="shared" si="2"/>
        <v>6.0617348852554376E-3</v>
      </c>
      <c r="U10" s="2119">
        <v>0</v>
      </c>
      <c r="V10" s="2114">
        <v>110804</v>
      </c>
      <c r="W10" s="2114">
        <f>SUM(U10:V10)</f>
        <v>110804</v>
      </c>
      <c r="X10" s="2333">
        <v>7747367</v>
      </c>
      <c r="Y10" s="2337">
        <f t="shared" si="3"/>
        <v>1.4302149362486636E-2</v>
      </c>
      <c r="AA10" s="2119">
        <v>113349</v>
      </c>
      <c r="AB10" s="2114">
        <f>331819-AA10</f>
        <v>218470</v>
      </c>
      <c r="AC10" s="2114">
        <f>SUM(AA10:AB10)</f>
        <v>331819</v>
      </c>
      <c r="AD10" s="2333">
        <v>10139111.500000004</v>
      </c>
      <c r="AE10" s="2337">
        <f t="shared" si="4"/>
        <v>3.272663487328252E-2</v>
      </c>
      <c r="AG10" s="2119">
        <v>66398.399999999994</v>
      </c>
      <c r="AH10" s="2114">
        <v>2355562.0100000002</v>
      </c>
      <c r="AI10" s="2114">
        <f>SUM(AG10:AH10)</f>
        <v>2421960.41</v>
      </c>
      <c r="AJ10" s="2333">
        <v>15878988.789999999</v>
      </c>
      <c r="AK10" s="2337">
        <f t="shared" si="5"/>
        <v>0.15252611120459139</v>
      </c>
      <c r="AM10" s="2119">
        <v>235356.66</v>
      </c>
      <c r="AN10" s="2114">
        <v>149063.67999999999</v>
      </c>
      <c r="AO10" s="2114">
        <f>SUM(AM10:AN10)</f>
        <v>384420.33999999997</v>
      </c>
      <c r="AP10" s="2333">
        <v>9335316.9799999986</v>
      </c>
      <c r="AQ10" s="2337">
        <f t="shared" si="6"/>
        <v>4.117914162139142E-2</v>
      </c>
      <c r="AS10" s="2119">
        <v>241219.22</v>
      </c>
      <c r="AT10" s="2114">
        <v>188743.94</v>
      </c>
      <c r="AU10" s="2114">
        <f>SUM(AS10:AT10)</f>
        <v>429963.16000000003</v>
      </c>
      <c r="AV10" s="2333">
        <v>10990731</v>
      </c>
      <c r="AW10" s="2337">
        <f t="shared" si="7"/>
        <v>3.9120524376404085E-2</v>
      </c>
      <c r="AY10" s="2119">
        <v>336245</v>
      </c>
      <c r="AZ10" s="2114">
        <v>359705</v>
      </c>
      <c r="BA10" s="2114">
        <f>SUM(AY10:AZ10)</f>
        <v>695950</v>
      </c>
      <c r="BB10" s="2333">
        <v>12497667</v>
      </c>
      <c r="BC10" s="2337">
        <f t="shared" si="8"/>
        <v>5.5686393308447088E-2</v>
      </c>
      <c r="BE10" s="2119">
        <v>200196.27</v>
      </c>
      <c r="BF10" s="2114">
        <v>249587.27</v>
      </c>
      <c r="BG10" s="2114">
        <f>SUM(BE10:BF10)</f>
        <v>449783.54</v>
      </c>
      <c r="BH10" s="2333">
        <v>22491557.960000001</v>
      </c>
      <c r="BI10" s="2337">
        <f t="shared" si="9"/>
        <v>1.9997882796732678E-2</v>
      </c>
      <c r="BK10" s="2119">
        <v>103.22799999999999</v>
      </c>
      <c r="BL10" s="2114">
        <v>0</v>
      </c>
      <c r="BM10" s="2114">
        <f>+BK10+BL10</f>
        <v>103.22799999999999</v>
      </c>
      <c r="BN10" s="2333">
        <v>26597.09</v>
      </c>
      <c r="BO10" s="2337">
        <f t="shared" si="10"/>
        <v>3.88117647456921E-3</v>
      </c>
    </row>
    <row r="11" spans="1:67">
      <c r="A11" s="2117" t="s">
        <v>3</v>
      </c>
      <c r="C11" s="2121">
        <v>0</v>
      </c>
      <c r="D11" s="2122">
        <v>29632872</v>
      </c>
      <c r="E11" s="2122">
        <v>29632872</v>
      </c>
      <c r="F11" s="2334">
        <v>151183745</v>
      </c>
      <c r="G11" s="2339">
        <f t="shared" si="0"/>
        <v>0.19600567508100822</v>
      </c>
      <c r="I11" s="2121">
        <v>0</v>
      </c>
      <c r="J11" s="2122">
        <v>19318645</v>
      </c>
      <c r="K11" s="2122">
        <v>19318645</v>
      </c>
      <c r="L11" s="2334">
        <v>182124247</v>
      </c>
      <c r="M11" s="2339">
        <f t="shared" si="1"/>
        <v>0.10607398695243472</v>
      </c>
      <c r="N11" s="90"/>
      <c r="O11" s="2121">
        <v>0</v>
      </c>
      <c r="P11" s="2122">
        <v>12291060</v>
      </c>
      <c r="Q11" s="2122">
        <v>12291060</v>
      </c>
      <c r="R11" s="2334">
        <v>173430419</v>
      </c>
      <c r="S11" s="2339">
        <f t="shared" si="2"/>
        <v>7.0870266420794387E-2</v>
      </c>
      <c r="U11" s="2121">
        <f>SUM(U6:U10)</f>
        <v>2560400</v>
      </c>
      <c r="V11" s="2122">
        <f>SUM(V6:V10)</f>
        <v>9421876</v>
      </c>
      <c r="W11" s="2122">
        <f>SUM(W6:W10)</f>
        <v>11982276</v>
      </c>
      <c r="X11" s="2334">
        <f>SUM(X6:X10)</f>
        <v>160756333</v>
      </c>
      <c r="Y11" s="2339">
        <f t="shared" si="3"/>
        <v>7.4536883097476483E-2</v>
      </c>
      <c r="AA11" s="2121">
        <f>SUM(AA6:AA10)</f>
        <v>4750701</v>
      </c>
      <c r="AB11" s="2122">
        <f>SUM(AB6:AB10)</f>
        <v>27535782</v>
      </c>
      <c r="AC11" s="2122">
        <f>SUM(AC6:AC10)</f>
        <v>32286483</v>
      </c>
      <c r="AD11" s="2334">
        <f>SUM(AD6:AD10)</f>
        <v>173437834.16000003</v>
      </c>
      <c r="AE11" s="2339">
        <f t="shared" si="4"/>
        <v>0.18615593971390951</v>
      </c>
      <c r="AG11" s="2121">
        <f>SUM(AG6:AG10)</f>
        <v>8185458.8400000008</v>
      </c>
      <c r="AH11" s="2122">
        <f>SUM(AH6:AH10)</f>
        <v>25292748.360000003</v>
      </c>
      <c r="AI11" s="2122">
        <f>SUM(AI6:AI10)</f>
        <v>33478207.200000003</v>
      </c>
      <c r="AJ11" s="2334">
        <f>SUM(AJ6:AJ10)</f>
        <v>221832139.10999998</v>
      </c>
      <c r="AK11" s="2339">
        <f t="shared" si="5"/>
        <v>0.15091684791174084</v>
      </c>
      <c r="AM11" s="2121">
        <f>SUM(AM6:AM10)</f>
        <v>3890497.7</v>
      </c>
      <c r="AN11" s="2122">
        <f>SUM(AN6:AN10)</f>
        <v>17671102.68</v>
      </c>
      <c r="AO11" s="2122">
        <f>SUM(AO6:AO10)</f>
        <v>21561600.379999999</v>
      </c>
      <c r="AP11" s="2334">
        <f>SUM(AP6:AP10)</f>
        <v>179054929.67000005</v>
      </c>
      <c r="AQ11" s="2339">
        <f t="shared" si="6"/>
        <v>0.12041891513256985</v>
      </c>
      <c r="AS11" s="2121">
        <f>SUM(AS6:AS10)</f>
        <v>2378464.5900000003</v>
      </c>
      <c r="AT11" s="2122">
        <f>SUM(AT6:AT10)</f>
        <v>16667575.869999999</v>
      </c>
      <c r="AU11" s="2122">
        <f>SUM(AU6:AU10)</f>
        <v>19046040.460000001</v>
      </c>
      <c r="AV11" s="2334">
        <f>SUM(AV6:AV10)</f>
        <v>170194670</v>
      </c>
      <c r="AW11" s="2339">
        <f t="shared" si="7"/>
        <v>0.11190738499625165</v>
      </c>
      <c r="AY11" s="2121">
        <f>SUM(AY6:AY10)</f>
        <v>4308663</v>
      </c>
      <c r="AZ11" s="2122">
        <f>SUM(AZ6:AZ10)</f>
        <v>17581789</v>
      </c>
      <c r="BA11" s="2122">
        <f>SUM(BA6:BA10)</f>
        <v>21890452</v>
      </c>
      <c r="BB11" s="2334">
        <f>SUM(BB6:BB10)</f>
        <v>179479871</v>
      </c>
      <c r="BC11" s="2339">
        <f t="shared" si="8"/>
        <v>0.12196605601527316</v>
      </c>
      <c r="BE11" s="2121">
        <f>SUM(BE6:BE10)</f>
        <v>21525361.489999998</v>
      </c>
      <c r="BF11" s="2122">
        <f>SUM(BF6:BF10)</f>
        <v>15411227.589999998</v>
      </c>
      <c r="BG11" s="2122">
        <f>SUM(BG6:BG10)</f>
        <v>36936589.079999998</v>
      </c>
      <c r="BH11" s="2334">
        <f>SUM(BH6:BH10)</f>
        <v>262945913.46000001</v>
      </c>
      <c r="BI11" s="2339">
        <f t="shared" si="9"/>
        <v>0.14047219290829133</v>
      </c>
      <c r="BK11" s="2121">
        <f>SUM(BK6:BK10)</f>
        <v>10245.758999999998</v>
      </c>
      <c r="BL11" s="2122">
        <f>SUM(BL6:BL10)</f>
        <v>9993.4740000000002</v>
      </c>
      <c r="BM11" s="2122">
        <f>SUM(BM6:BM10)</f>
        <v>20239.233</v>
      </c>
      <c r="BN11" s="2334">
        <f>SUM(BN6:BN10)</f>
        <v>262488.77100000001</v>
      </c>
      <c r="BO11" s="2339">
        <f t="shared" si="10"/>
        <v>7.7105138337517684E-2</v>
      </c>
    </row>
    <row r="12" spans="1:67">
      <c r="A12" s="129"/>
      <c r="G12" s="2340"/>
      <c r="M12" s="2340"/>
      <c r="N12" s="90"/>
      <c r="S12" s="2340"/>
      <c r="U12" s="2554"/>
      <c r="V12" s="2554"/>
      <c r="W12" s="2554"/>
      <c r="X12" s="2554"/>
      <c r="Y12" s="2340"/>
      <c r="AA12" s="2554"/>
      <c r="AB12" s="2554"/>
      <c r="AC12" s="2554"/>
      <c r="AD12" s="2554"/>
      <c r="AE12" s="2340"/>
      <c r="AG12" s="2554"/>
      <c r="AH12" s="2554"/>
      <c r="AI12" s="2554"/>
      <c r="AJ12" s="2554"/>
      <c r="AK12" s="2340"/>
      <c r="AM12" s="2554"/>
      <c r="AN12" s="2554"/>
      <c r="AO12" s="2554"/>
      <c r="AP12" s="2554"/>
      <c r="AQ12" s="2340"/>
      <c r="AS12" s="2554"/>
      <c r="AT12" s="2554"/>
      <c r="AU12" s="2554"/>
      <c r="AV12" s="2554"/>
      <c r="AW12" s="2340"/>
      <c r="AY12" s="2554"/>
      <c r="AZ12" s="2554"/>
      <c r="BA12" s="2554"/>
      <c r="BB12" s="2554"/>
      <c r="BC12" s="2340"/>
      <c r="BE12" s="2554"/>
      <c r="BF12" s="2554"/>
      <c r="BG12" s="2554"/>
      <c r="BH12" s="2554"/>
      <c r="BI12" s="2340"/>
      <c r="BK12" s="2554"/>
      <c r="BL12" s="2554"/>
      <c r="BM12" s="2554"/>
      <c r="BN12" s="2554"/>
      <c r="BO12" s="2340"/>
    </row>
    <row r="13" spans="1:67">
      <c r="A13" s="2115" t="s">
        <v>16</v>
      </c>
      <c r="C13" s="2118">
        <v>194826</v>
      </c>
      <c r="D13" s="2113">
        <v>8761</v>
      </c>
      <c r="E13" s="2113">
        <v>203587</v>
      </c>
      <c r="F13" s="2332">
        <v>6500882</v>
      </c>
      <c r="G13" s="2336">
        <f t="shared" ref="G13:G18" si="11">+E13/F13</f>
        <v>3.1316827470487849E-2</v>
      </c>
      <c r="I13" s="2118">
        <v>0</v>
      </c>
      <c r="J13" s="2113">
        <v>0</v>
      </c>
      <c r="K13" s="2113">
        <v>0</v>
      </c>
      <c r="L13" s="2332">
        <v>6219571</v>
      </c>
      <c r="M13" s="2336">
        <f t="shared" ref="M13:M18" si="12">+K13/L13</f>
        <v>0</v>
      </c>
      <c r="N13" s="90"/>
      <c r="O13" s="2118">
        <v>0</v>
      </c>
      <c r="P13" s="2113">
        <v>0</v>
      </c>
      <c r="Q13" s="2113">
        <v>0</v>
      </c>
      <c r="R13" s="2332">
        <v>7129799</v>
      </c>
      <c r="S13" s="2336">
        <f t="shared" ref="S13:S18" si="13">+Q13/R13</f>
        <v>0</v>
      </c>
      <c r="U13" s="2118">
        <v>0</v>
      </c>
      <c r="V13" s="2113">
        <v>0</v>
      </c>
      <c r="W13" s="2113">
        <f>SUM(U13:V13)</f>
        <v>0</v>
      </c>
      <c r="X13" s="2332">
        <v>4741403</v>
      </c>
      <c r="Y13" s="2336">
        <f t="shared" ref="Y13:Y18" si="14">+W13/X13</f>
        <v>0</v>
      </c>
      <c r="AA13" s="2118">
        <v>0</v>
      </c>
      <c r="AB13" s="2113">
        <v>17039</v>
      </c>
      <c r="AC13" s="2113">
        <f>SUM(AA13:AB13)</f>
        <v>17039</v>
      </c>
      <c r="AD13" s="2332">
        <v>4741403</v>
      </c>
      <c r="AE13" s="2336">
        <f t="shared" ref="AE13:AE18" si="15">+AC13/AD13</f>
        <v>3.5936620447576382E-3</v>
      </c>
      <c r="AG13" s="2118">
        <v>10168.620000000001</v>
      </c>
      <c r="AH13" s="2113">
        <v>4856.16</v>
      </c>
      <c r="AI13" s="2113">
        <f>SUM(AG13:AH13)</f>
        <v>15024.78</v>
      </c>
      <c r="AJ13" s="2332">
        <v>5369773.7700000014</v>
      </c>
      <c r="AK13" s="2336">
        <f>+AI13/AJ13</f>
        <v>2.7980284912449854E-3</v>
      </c>
      <c r="AM13" s="2118">
        <v>0</v>
      </c>
      <c r="AN13" s="2113">
        <v>1610.28</v>
      </c>
      <c r="AO13" s="2113">
        <f>SUM(AM13:AN13)</f>
        <v>1610.28</v>
      </c>
      <c r="AP13" s="2332">
        <v>4098987.95</v>
      </c>
      <c r="AQ13" s="2336">
        <f>+AO13/AP13</f>
        <v>3.928481907344958E-4</v>
      </c>
      <c r="AS13" s="2118">
        <v>0</v>
      </c>
      <c r="AT13" s="2113">
        <v>6455.02</v>
      </c>
      <c r="AU13" s="2113">
        <f>SUM(AS13:AT13)</f>
        <v>6455.02</v>
      </c>
      <c r="AV13" s="2332">
        <v>3630772</v>
      </c>
      <c r="AW13" s="2336">
        <f t="shared" ref="AW13:AW18" si="16">+AU13/AV13</f>
        <v>1.7778643219678902E-3</v>
      </c>
      <c r="AY13" s="2118"/>
      <c r="AZ13" s="2113">
        <v>380724</v>
      </c>
      <c r="BA13" s="2113">
        <f>SUM(AY13:AZ13)</f>
        <v>380724</v>
      </c>
      <c r="BB13" s="2332">
        <v>3950426</v>
      </c>
      <c r="BC13" s="2336">
        <f t="shared" ref="BC13:BC18" si="17">+BA13/BB13</f>
        <v>9.6375428877796973E-2</v>
      </c>
      <c r="BE13" s="2118">
        <v>0</v>
      </c>
      <c r="BF13" s="2113">
        <v>0</v>
      </c>
      <c r="BG13" s="2113">
        <f>SUM(BE13:BF13)</f>
        <v>0</v>
      </c>
      <c r="BH13" s="2332">
        <v>4328615.1699999897</v>
      </c>
      <c r="BI13" s="2336">
        <f t="shared" ref="BI13:BI18" si="18">+BG13/BH13</f>
        <v>0</v>
      </c>
      <c r="BK13" s="2118">
        <v>0</v>
      </c>
      <c r="BL13" s="2113">
        <v>0</v>
      </c>
      <c r="BM13" s="2113">
        <f>+BK13+BL13</f>
        <v>0</v>
      </c>
      <c r="BN13" s="2332">
        <v>4511.2169999999996</v>
      </c>
      <c r="BO13" s="2336">
        <f t="shared" ref="BO13:BO18" si="19">+BM13/BN13</f>
        <v>0</v>
      </c>
    </row>
    <row r="14" spans="1:67">
      <c r="A14" s="2116" t="s">
        <v>61</v>
      </c>
      <c r="C14" s="2119">
        <v>0</v>
      </c>
      <c r="D14" s="2114">
        <v>5452</v>
      </c>
      <c r="E14" s="2114">
        <v>5452</v>
      </c>
      <c r="F14" s="2333">
        <v>5745517</v>
      </c>
      <c r="G14" s="2337">
        <f t="shared" si="11"/>
        <v>9.4891373570037303E-4</v>
      </c>
      <c r="I14" s="2119">
        <v>0</v>
      </c>
      <c r="J14" s="2114">
        <v>0</v>
      </c>
      <c r="K14" s="2114">
        <v>0</v>
      </c>
      <c r="L14" s="2333">
        <v>5378350</v>
      </c>
      <c r="M14" s="2337">
        <f t="shared" si="12"/>
        <v>0</v>
      </c>
      <c r="N14" s="90"/>
      <c r="O14" s="2119">
        <v>0</v>
      </c>
      <c r="P14" s="2114">
        <v>0</v>
      </c>
      <c r="Q14" s="2114">
        <v>0</v>
      </c>
      <c r="R14" s="2333">
        <v>4779988</v>
      </c>
      <c r="S14" s="2337">
        <f t="shared" si="13"/>
        <v>0</v>
      </c>
      <c r="U14" s="2119">
        <v>0</v>
      </c>
      <c r="V14" s="2114">
        <v>0</v>
      </c>
      <c r="W14" s="2114">
        <f>SUM(U14:V14)</f>
        <v>0</v>
      </c>
      <c r="X14" s="2333">
        <v>4623711</v>
      </c>
      <c r="Y14" s="2337">
        <f t="shared" si="14"/>
        <v>0</v>
      </c>
      <c r="AA14" s="2119">
        <v>19430</v>
      </c>
      <c r="AB14" s="2114">
        <f>190588-AA14</f>
        <v>171158</v>
      </c>
      <c r="AC14" s="2114">
        <f>SUM(AA14:AB14)</f>
        <v>190588</v>
      </c>
      <c r="AD14" s="2333">
        <v>4623711</v>
      </c>
      <c r="AE14" s="2337">
        <f t="shared" si="15"/>
        <v>4.121970425919786E-2</v>
      </c>
      <c r="AG14" s="2119">
        <v>69299.56</v>
      </c>
      <c r="AH14" s="2114">
        <v>74511.11</v>
      </c>
      <c r="AI14" s="2114">
        <f>SUM(AG14:AH14)</f>
        <v>143810.66999999998</v>
      </c>
      <c r="AJ14" s="2333">
        <v>5420218.3200000012</v>
      </c>
      <c r="AK14" s="2337">
        <v>0</v>
      </c>
      <c r="AM14" s="2119">
        <v>59016</v>
      </c>
      <c r="AN14" s="2114">
        <v>87750.51</v>
      </c>
      <c r="AO14" s="2114">
        <f>SUM(AM14:AN14)</f>
        <v>146766.51</v>
      </c>
      <c r="AP14" s="2333">
        <v>3635870.35</v>
      </c>
      <c r="AQ14" s="2337">
        <v>0</v>
      </c>
      <c r="AS14" s="2119">
        <v>0</v>
      </c>
      <c r="AT14" s="2114">
        <v>44377.69</v>
      </c>
      <c r="AU14" s="2114">
        <f>SUM(AS14:AT14)</f>
        <v>44377.69</v>
      </c>
      <c r="AV14" s="2333">
        <v>3588387</v>
      </c>
      <c r="AW14" s="2337">
        <v>0</v>
      </c>
      <c r="AY14" s="2119">
        <v>2500</v>
      </c>
      <c r="AZ14" s="2114">
        <v>372675</v>
      </c>
      <c r="BA14" s="2114">
        <f>SUM(AY14:AZ14)</f>
        <v>375175</v>
      </c>
      <c r="BB14" s="2333">
        <v>3501061</v>
      </c>
      <c r="BC14" s="2337">
        <f t="shared" si="17"/>
        <v>0.10716037224144338</v>
      </c>
      <c r="BE14" s="2119">
        <v>0</v>
      </c>
      <c r="BF14" s="2114">
        <v>33421.32</v>
      </c>
      <c r="BG14" s="2114">
        <f>SUM(BE14:BF14)</f>
        <v>33421.32</v>
      </c>
      <c r="BH14" s="2333">
        <v>3717978.05</v>
      </c>
      <c r="BI14" s="2337">
        <f t="shared" si="18"/>
        <v>8.9891117027977082E-3</v>
      </c>
      <c r="BK14" s="2119">
        <v>0</v>
      </c>
      <c r="BL14" s="2114">
        <v>0</v>
      </c>
      <c r="BM14" s="2114">
        <f>+BK14+BL14</f>
        <v>0</v>
      </c>
      <c r="BN14" s="2333">
        <v>3833.855</v>
      </c>
      <c r="BO14" s="2337">
        <f t="shared" si="19"/>
        <v>0</v>
      </c>
    </row>
    <row r="15" spans="1:67">
      <c r="A15" s="2116" t="s">
        <v>64</v>
      </c>
      <c r="C15" s="2119">
        <v>0</v>
      </c>
      <c r="D15" s="2114">
        <v>263275</v>
      </c>
      <c r="E15" s="2114">
        <v>263275</v>
      </c>
      <c r="F15" s="2333">
        <v>5868208</v>
      </c>
      <c r="G15" s="2337">
        <f t="shared" si="11"/>
        <v>4.4864633291798794E-2</v>
      </c>
      <c r="I15" s="2119"/>
      <c r="J15" s="2114">
        <v>565</v>
      </c>
      <c r="K15" s="2114">
        <v>565</v>
      </c>
      <c r="L15" s="2333">
        <v>5723024</v>
      </c>
      <c r="M15" s="2337">
        <f t="shared" si="12"/>
        <v>9.8724031211471421E-5</v>
      </c>
      <c r="N15" s="90"/>
      <c r="O15" s="2119">
        <v>0</v>
      </c>
      <c r="P15" s="2114">
        <v>0</v>
      </c>
      <c r="Q15" s="2114">
        <v>0</v>
      </c>
      <c r="R15" s="2333">
        <v>5614081</v>
      </c>
      <c r="S15" s="2337">
        <f t="shared" si="13"/>
        <v>0</v>
      </c>
      <c r="U15" s="2119">
        <v>0</v>
      </c>
      <c r="V15" s="2114">
        <v>8083</v>
      </c>
      <c r="W15" s="2114">
        <f>SUM(U15:V15)</f>
        <v>8083</v>
      </c>
      <c r="X15" s="2333">
        <v>6109936</v>
      </c>
      <c r="Y15" s="2337">
        <f t="shared" si="14"/>
        <v>1.3229271141301643E-3</v>
      </c>
      <c r="AA15" s="2119">
        <v>23230</v>
      </c>
      <c r="AB15" s="2114">
        <f>531287-AA15</f>
        <v>508057</v>
      </c>
      <c r="AC15" s="2114">
        <f>SUM(AA15:AB15)</f>
        <v>531287</v>
      </c>
      <c r="AD15" s="2333">
        <v>6109936</v>
      </c>
      <c r="AE15" s="2337">
        <f t="shared" si="15"/>
        <v>8.6954593305068995E-2</v>
      </c>
      <c r="AG15" s="2119">
        <v>99858.6</v>
      </c>
      <c r="AH15" s="2114">
        <v>548981.41999999993</v>
      </c>
      <c r="AI15" s="2114">
        <f>SUM(AG15:AH15)</f>
        <v>648840.0199999999</v>
      </c>
      <c r="AJ15" s="2333">
        <v>4418942.5200000005</v>
      </c>
      <c r="AK15" s="2337">
        <f>+AI15/AJ15</f>
        <v>0.14683151388898352</v>
      </c>
      <c r="AM15" s="2119">
        <v>0</v>
      </c>
      <c r="AN15" s="2114">
        <v>300310.33</v>
      </c>
      <c r="AO15" s="2114">
        <f>SUM(AM15:AN15)</f>
        <v>300310.33</v>
      </c>
      <c r="AP15" s="2333">
        <v>3682705.1599999992</v>
      </c>
      <c r="AQ15" s="2337">
        <f>+AO15/AP15</f>
        <v>8.1546123556630337E-2</v>
      </c>
      <c r="AS15" s="2119">
        <v>0</v>
      </c>
      <c r="AT15" s="2114">
        <v>241326.46000000002</v>
      </c>
      <c r="AU15" s="2114">
        <f>SUM(AS15:AT15)</f>
        <v>241326.46000000002</v>
      </c>
      <c r="AV15" s="2333">
        <v>3553331</v>
      </c>
      <c r="AW15" s="2337">
        <f>+AU15/AV15</f>
        <v>6.7915558668753359E-2</v>
      </c>
      <c r="AY15" s="2119">
        <v>3656</v>
      </c>
      <c r="AZ15" s="2114">
        <v>15200</v>
      </c>
      <c r="BA15" s="2114">
        <f>SUM(AY15:AZ15)</f>
        <v>18856</v>
      </c>
      <c r="BB15" s="2333">
        <v>3747160</v>
      </c>
      <c r="BC15" s="2337">
        <f t="shared" si="17"/>
        <v>5.032077626789355E-3</v>
      </c>
      <c r="BE15" s="2119">
        <v>1010</v>
      </c>
      <c r="BF15" s="2114">
        <v>277605.90999999997</v>
      </c>
      <c r="BG15" s="2114">
        <f>SUM(BE15:BF15)</f>
        <v>278615.90999999997</v>
      </c>
      <c r="BH15" s="2333">
        <v>5489561.3600000199</v>
      </c>
      <c r="BI15" s="2337">
        <f t="shared" si="18"/>
        <v>5.0753765506685034E-2</v>
      </c>
      <c r="BK15" s="2119">
        <v>0</v>
      </c>
      <c r="BL15" s="2114">
        <v>0</v>
      </c>
      <c r="BM15" s="2114">
        <f>+BK15+BL15</f>
        <v>0</v>
      </c>
      <c r="BN15" s="2333">
        <v>3406.6129999999998</v>
      </c>
      <c r="BO15" s="2337">
        <f t="shared" si="19"/>
        <v>0</v>
      </c>
    </row>
    <row r="16" spans="1:67">
      <c r="A16" s="2116" t="s">
        <v>85</v>
      </c>
      <c r="C16" s="2119">
        <v>5074803</v>
      </c>
      <c r="D16" s="2114">
        <v>4863413</v>
      </c>
      <c r="E16" s="2114">
        <v>9938216</v>
      </c>
      <c r="F16" s="2333">
        <v>43598900</v>
      </c>
      <c r="G16" s="2337">
        <f t="shared" si="11"/>
        <v>0.22794648488838021</v>
      </c>
      <c r="I16" s="2119">
        <v>2120428</v>
      </c>
      <c r="J16" s="2114">
        <v>2972534</v>
      </c>
      <c r="K16" s="2114">
        <v>5092962</v>
      </c>
      <c r="L16" s="2333">
        <v>52975244</v>
      </c>
      <c r="M16" s="2337">
        <f t="shared" si="12"/>
        <v>9.6138528403946572E-2</v>
      </c>
      <c r="N16" s="90"/>
      <c r="O16" s="2119">
        <v>0</v>
      </c>
      <c r="P16" s="2114">
        <v>5161210</v>
      </c>
      <c r="Q16" s="2114">
        <v>5161210</v>
      </c>
      <c r="R16" s="2333">
        <v>53845098</v>
      </c>
      <c r="S16" s="2337">
        <f t="shared" si="13"/>
        <v>9.5852922396018295E-2</v>
      </c>
      <c r="U16" s="2119">
        <v>0</v>
      </c>
      <c r="V16" s="2114">
        <v>3833289</v>
      </c>
      <c r="W16" s="2114">
        <f>SUM(U16:V16)</f>
        <v>3833289</v>
      </c>
      <c r="X16" s="2333">
        <v>47719757</v>
      </c>
      <c r="Y16" s="2337">
        <f t="shared" si="14"/>
        <v>8.0329181055972268E-2</v>
      </c>
      <c r="AA16" s="2119">
        <v>6939978</v>
      </c>
      <c r="AB16" s="2114">
        <f>14630501-AA16</f>
        <v>7690523</v>
      </c>
      <c r="AC16" s="2114">
        <f>SUM(AA16:AB16)</f>
        <v>14630501</v>
      </c>
      <c r="AD16" s="2333">
        <v>47719757</v>
      </c>
      <c r="AE16" s="2337">
        <f t="shared" si="15"/>
        <v>0.30659211026577526</v>
      </c>
      <c r="AG16" s="2119">
        <v>13329349.83</v>
      </c>
      <c r="AH16" s="2114">
        <v>5851613.7200000007</v>
      </c>
      <c r="AI16" s="2114">
        <f>SUM(AG16:AH16)</f>
        <v>19180963.550000001</v>
      </c>
      <c r="AJ16" s="2333">
        <v>73618269.919999987</v>
      </c>
      <c r="AK16" s="2337">
        <f>+AI16/AJ16</f>
        <v>0.26054624172564367</v>
      </c>
      <c r="AM16" s="2119">
        <v>10160494.9</v>
      </c>
      <c r="AN16" s="2114">
        <v>3504537.3</v>
      </c>
      <c r="AO16" s="2114">
        <f>SUM(AM16:AN16)</f>
        <v>13665032.199999999</v>
      </c>
      <c r="AP16" s="2333">
        <v>72783581.910000011</v>
      </c>
      <c r="AQ16" s="2337">
        <f>+AO16/AP16</f>
        <v>0.1877488279829013</v>
      </c>
      <c r="AS16" s="2119">
        <v>469440.69</v>
      </c>
      <c r="AT16" s="2114">
        <v>4359789.1400000006</v>
      </c>
      <c r="AU16" s="2114">
        <f>SUM(AS16:AT16)</f>
        <v>4829229.830000001</v>
      </c>
      <c r="AV16" s="2333">
        <v>94412332</v>
      </c>
      <c r="AW16" s="2337">
        <f t="shared" si="16"/>
        <v>5.1150413592156593E-2</v>
      </c>
      <c r="AY16" s="2119">
        <v>449015</v>
      </c>
      <c r="AZ16" s="2114">
        <v>5212533</v>
      </c>
      <c r="BA16" s="2114">
        <f>SUM(AY16:AZ16)</f>
        <v>5661548</v>
      </c>
      <c r="BB16" s="2333">
        <v>670527353</v>
      </c>
      <c r="BC16" s="2337">
        <f t="shared" si="17"/>
        <v>8.4434258716959455E-3</v>
      </c>
      <c r="BE16" s="2119">
        <v>7792108.2599999998</v>
      </c>
      <c r="BF16" s="2114">
        <v>2653671.58</v>
      </c>
      <c r="BG16" s="2114">
        <f>SUM(BE16:BF16)</f>
        <v>10445779.84</v>
      </c>
      <c r="BH16" s="2333">
        <v>127420005.12</v>
      </c>
      <c r="BI16" s="2337">
        <f t="shared" si="18"/>
        <v>8.1979119606552409E-2</v>
      </c>
      <c r="BK16" s="2119">
        <v>8150.7280000000001</v>
      </c>
      <c r="BL16" s="2114">
        <v>359.47800000000001</v>
      </c>
      <c r="BM16" s="2114">
        <f>+BK16+BL16</f>
        <v>8510.2060000000001</v>
      </c>
      <c r="BN16" s="2333">
        <v>72636.747000000003</v>
      </c>
      <c r="BO16" s="2337">
        <f t="shared" si="19"/>
        <v>0.11716116637216696</v>
      </c>
    </row>
    <row r="17" spans="1:67">
      <c r="A17" s="2116" t="s">
        <v>86</v>
      </c>
      <c r="C17" s="2119">
        <v>0</v>
      </c>
      <c r="D17" s="2114">
        <v>100358</v>
      </c>
      <c r="E17" s="2114">
        <v>100358</v>
      </c>
      <c r="F17" s="2333">
        <v>18148484</v>
      </c>
      <c r="G17" s="2338">
        <f t="shared" si="11"/>
        <v>5.5298282765656901E-3</v>
      </c>
      <c r="I17" s="2119">
        <v>0</v>
      </c>
      <c r="J17" s="2114">
        <v>0</v>
      </c>
      <c r="K17" s="2114">
        <v>0</v>
      </c>
      <c r="L17" s="2333">
        <v>15710478</v>
      </c>
      <c r="M17" s="2338">
        <f t="shared" si="12"/>
        <v>0</v>
      </c>
      <c r="N17" s="90"/>
      <c r="O17" s="2119">
        <v>0</v>
      </c>
      <c r="P17" s="2114">
        <v>0</v>
      </c>
      <c r="Q17" s="2114">
        <v>0</v>
      </c>
      <c r="R17" s="2333">
        <v>17394009</v>
      </c>
      <c r="S17" s="2338">
        <f t="shared" si="13"/>
        <v>0</v>
      </c>
      <c r="U17" s="2119">
        <v>0</v>
      </c>
      <c r="V17" s="2114">
        <v>22922</v>
      </c>
      <c r="W17" s="2114">
        <f>SUM(U17:V17)</f>
        <v>22922</v>
      </c>
      <c r="X17" s="2333">
        <v>13410049</v>
      </c>
      <c r="Y17" s="2338">
        <f t="shared" si="14"/>
        <v>1.7093151561191164E-3</v>
      </c>
      <c r="AA17" s="2119">
        <v>0</v>
      </c>
      <c r="AB17" s="2114">
        <v>121153</v>
      </c>
      <c r="AC17" s="2114">
        <f>SUM(AA17:AB17)</f>
        <v>121153</v>
      </c>
      <c r="AD17" s="2333">
        <v>13410049</v>
      </c>
      <c r="AE17" s="2338">
        <f t="shared" si="15"/>
        <v>9.0344934608367206E-3</v>
      </c>
      <c r="AG17" s="2119">
        <v>0</v>
      </c>
      <c r="AH17" s="2114">
        <v>38285.800000000003</v>
      </c>
      <c r="AI17" s="2114">
        <f>SUM(AG17:AH17)</f>
        <v>38285.800000000003</v>
      </c>
      <c r="AJ17" s="2333">
        <v>18049278.059999995</v>
      </c>
      <c r="AK17" s="2338">
        <f>+AI17/AJ17</f>
        <v>2.1211817931292933E-3</v>
      </c>
      <c r="AM17" s="2119">
        <v>0</v>
      </c>
      <c r="AN17" s="2114">
        <v>81256.960000000006</v>
      </c>
      <c r="AO17" s="2114">
        <f>SUM(AM17:AN17)</f>
        <v>81256.960000000006</v>
      </c>
      <c r="AP17" s="2333">
        <v>10614985.689999999</v>
      </c>
      <c r="AQ17" s="2338">
        <f>+AO17/AP17</f>
        <v>7.654928831091058E-3</v>
      </c>
      <c r="AS17" s="2119">
        <v>0</v>
      </c>
      <c r="AT17" s="2114">
        <v>0</v>
      </c>
      <c r="AU17" s="2114">
        <f>SUM(AS17:AT17)</f>
        <v>0</v>
      </c>
      <c r="AV17" s="2333">
        <v>9148111</v>
      </c>
      <c r="AW17" s="2338">
        <f t="shared" si="16"/>
        <v>0</v>
      </c>
      <c r="AY17" s="2119"/>
      <c r="AZ17" s="2114">
        <v>1400</v>
      </c>
      <c r="BA17" s="2114">
        <f>SUM(AY17:AZ17)</f>
        <v>1400</v>
      </c>
      <c r="BB17" s="2333">
        <v>7718622</v>
      </c>
      <c r="BC17" s="2338">
        <f t="shared" si="17"/>
        <v>1.8137952603456938E-4</v>
      </c>
      <c r="BE17" s="2119">
        <v>0</v>
      </c>
      <c r="BF17" s="2114">
        <v>6728.11</v>
      </c>
      <c r="BG17" s="2114">
        <f>SUM(BE17:BF17)</f>
        <v>6728.11</v>
      </c>
      <c r="BH17" s="2333">
        <v>70651988.769999996</v>
      </c>
      <c r="BI17" s="2338">
        <f t="shared" si="18"/>
        <v>9.5228883392124226E-5</v>
      </c>
      <c r="BK17" s="2119">
        <v>0</v>
      </c>
      <c r="BL17" s="2114">
        <v>0</v>
      </c>
      <c r="BM17" s="2114">
        <f>+BK17+BL17</f>
        <v>0</v>
      </c>
      <c r="BN17" s="2333">
        <v>63720.667000000001</v>
      </c>
      <c r="BO17" s="2338">
        <f t="shared" si="19"/>
        <v>0</v>
      </c>
    </row>
    <row r="18" spans="1:67">
      <c r="A18" s="2117" t="s">
        <v>59</v>
      </c>
      <c r="C18" s="2121">
        <v>5269629</v>
      </c>
      <c r="D18" s="2122">
        <v>5241259</v>
      </c>
      <c r="E18" s="2122">
        <v>10510888</v>
      </c>
      <c r="F18" s="2334">
        <v>79861991</v>
      </c>
      <c r="G18" s="2339">
        <f t="shared" si="11"/>
        <v>0.13161314748589226</v>
      </c>
      <c r="I18" s="2121">
        <v>2120428</v>
      </c>
      <c r="J18" s="2122">
        <v>2973099</v>
      </c>
      <c r="K18" s="2122">
        <v>5093527</v>
      </c>
      <c r="L18" s="2334">
        <v>86006667</v>
      </c>
      <c r="M18" s="2339">
        <f t="shared" si="12"/>
        <v>5.9222467021074074E-2</v>
      </c>
      <c r="N18" s="90"/>
      <c r="O18" s="2121">
        <v>0</v>
      </c>
      <c r="P18" s="2122">
        <v>5161210</v>
      </c>
      <c r="Q18" s="2122">
        <v>5161210</v>
      </c>
      <c r="R18" s="2334">
        <v>88762975</v>
      </c>
      <c r="S18" s="2339">
        <f t="shared" si="13"/>
        <v>5.8145978095033433E-2</v>
      </c>
      <c r="U18" s="2121">
        <f>SUM(U13:U17)</f>
        <v>0</v>
      </c>
      <c r="V18" s="2122">
        <f>SUM(V13:V17)</f>
        <v>3864294</v>
      </c>
      <c r="W18" s="2122">
        <f>SUM(W13:W17)</f>
        <v>3864294</v>
      </c>
      <c r="X18" s="2334">
        <f>SUM(X13:X17)</f>
        <v>76604856</v>
      </c>
      <c r="Y18" s="2339">
        <f t="shared" si="14"/>
        <v>5.0444504458046366E-2</v>
      </c>
      <c r="AA18" s="2121">
        <f>SUM(AA13:AA17)</f>
        <v>6982638</v>
      </c>
      <c r="AB18" s="2122">
        <f>SUM(AB13:AB17)</f>
        <v>8507930</v>
      </c>
      <c r="AC18" s="2122">
        <f>SUM(AC13:AC17)</f>
        <v>15490568</v>
      </c>
      <c r="AD18" s="2334">
        <f>SUM(AD13:AD17)</f>
        <v>76604856</v>
      </c>
      <c r="AE18" s="2339">
        <f t="shared" si="15"/>
        <v>0.20221391709162667</v>
      </c>
      <c r="AG18" s="2121">
        <f>SUM(AG13:AG17)</f>
        <v>13508676.609999999</v>
      </c>
      <c r="AH18" s="2122">
        <f>SUM(AH13:AH17)</f>
        <v>6518248.21</v>
      </c>
      <c r="AI18" s="2122">
        <f>SUM(AI13:AI17)</f>
        <v>20026924.82</v>
      </c>
      <c r="AJ18" s="2334">
        <f>SUM(AJ13:AJ17)</f>
        <v>106876482.58999997</v>
      </c>
      <c r="AK18" s="2339">
        <f>+AI18/AJ18</f>
        <v>0.18738383164074904</v>
      </c>
      <c r="AM18" s="2121">
        <f>SUM(AM13:AM17)</f>
        <v>10219510.9</v>
      </c>
      <c r="AN18" s="2122">
        <f>SUM(AN13:AN17)</f>
        <v>3975465.38</v>
      </c>
      <c r="AO18" s="2122">
        <f>SUM(AO13:AO17)</f>
        <v>14194976.279999999</v>
      </c>
      <c r="AP18" s="2334">
        <f>SUM(AP13:AP17)</f>
        <v>94816131.060000002</v>
      </c>
      <c r="AQ18" s="2339">
        <f>+AO18/AP18</f>
        <v>0.14971056213016501</v>
      </c>
      <c r="AS18" s="2121">
        <f>SUM(AS13:AS17)</f>
        <v>469440.69</v>
      </c>
      <c r="AT18" s="2122">
        <f>SUM(AT13:AT17)</f>
        <v>4651948.3100000005</v>
      </c>
      <c r="AU18" s="2122">
        <f>SUM(AU13:AU17)</f>
        <v>5121389.0000000009</v>
      </c>
      <c r="AV18" s="2334">
        <f>SUM(AV13:AV17)</f>
        <v>114332933</v>
      </c>
      <c r="AW18" s="2339">
        <f t="shared" si="16"/>
        <v>4.4793646638978474E-2</v>
      </c>
      <c r="AY18" s="2121">
        <f>SUM(AY13:AY17)</f>
        <v>455171</v>
      </c>
      <c r="AZ18" s="2122">
        <f>SUM(AZ13:AZ17)</f>
        <v>5982532</v>
      </c>
      <c r="BA18" s="2122">
        <f>SUM(BA13:BA17)</f>
        <v>6437703</v>
      </c>
      <c r="BB18" s="2334">
        <f>SUM(BB13:BB17)</f>
        <v>689444622</v>
      </c>
      <c r="BC18" s="2339">
        <f t="shared" si="17"/>
        <v>9.337520077138263E-3</v>
      </c>
      <c r="BE18" s="2121">
        <f>SUM(BE13:BE17)</f>
        <v>7793118.2599999998</v>
      </c>
      <c r="BF18" s="2122">
        <f>SUM(BF13:BF17)</f>
        <v>2971426.92</v>
      </c>
      <c r="BG18" s="2122">
        <f>SUM(BG13:BG17)</f>
        <v>10764545.18</v>
      </c>
      <c r="BH18" s="2334">
        <f>SUM(BH13:BH17)</f>
        <v>211608148.47000003</v>
      </c>
      <c r="BI18" s="2339">
        <f t="shared" si="18"/>
        <v>5.0870182730822881E-2</v>
      </c>
      <c r="BK18" s="2121">
        <f>SUM(BK13:BK17)</f>
        <v>8150.7280000000001</v>
      </c>
      <c r="BL18" s="2122">
        <f>SUM(BL13:BL17)</f>
        <v>359.47800000000001</v>
      </c>
      <c r="BM18" s="2122">
        <f>SUM(BM13:BM17)</f>
        <v>8510.2060000000001</v>
      </c>
      <c r="BN18" s="2334">
        <f>SUM(BN13:BN17)</f>
        <v>148109.09899999999</v>
      </c>
      <c r="BO18" s="2339">
        <f t="shared" si="19"/>
        <v>5.745903565317078E-2</v>
      </c>
    </row>
    <row r="19" spans="1:67">
      <c r="A19" s="129"/>
      <c r="G19" s="2341"/>
      <c r="M19" s="2341"/>
      <c r="N19" s="90"/>
      <c r="S19" s="2341"/>
      <c r="U19" s="2554"/>
      <c r="V19" s="2554"/>
      <c r="W19" s="2554"/>
      <c r="X19" s="2554"/>
      <c r="Y19" s="2341"/>
      <c r="AA19" s="2554"/>
      <c r="AB19" s="2554"/>
      <c r="AC19" s="2554"/>
      <c r="AD19" s="2554"/>
      <c r="AE19" s="2341"/>
      <c r="AG19" s="2554"/>
      <c r="AH19" s="2554"/>
      <c r="AI19" s="2554"/>
      <c r="AJ19" s="2554"/>
      <c r="AK19" s="2341"/>
      <c r="AM19" s="2554"/>
      <c r="AN19" s="2554"/>
      <c r="AO19" s="2554"/>
      <c r="AP19" s="2554"/>
      <c r="AQ19" s="2341"/>
      <c r="AS19" s="2554"/>
      <c r="AT19" s="2554"/>
      <c r="AU19" s="2554"/>
      <c r="AV19" s="2554"/>
      <c r="AW19" s="2341"/>
      <c r="AY19" s="2554"/>
      <c r="AZ19" s="2554"/>
      <c r="BA19" s="2554"/>
      <c r="BB19" s="2554"/>
      <c r="BC19" s="2341"/>
      <c r="BE19" s="2554"/>
      <c r="BF19" s="2554"/>
      <c r="BG19" s="2554"/>
      <c r="BH19" s="2554"/>
      <c r="BI19" s="2341"/>
      <c r="BK19" s="2554"/>
      <c r="BL19" s="2554"/>
      <c r="BM19" s="2554"/>
      <c r="BN19" s="2554"/>
      <c r="BO19" s="2341"/>
    </row>
    <row r="20" spans="1:67">
      <c r="A20" s="2115" t="s">
        <v>4</v>
      </c>
      <c r="C20" s="2118">
        <v>0</v>
      </c>
      <c r="D20" s="2113">
        <v>5287480</v>
      </c>
      <c r="E20" s="2113">
        <v>5287480</v>
      </c>
      <c r="F20" s="2332">
        <v>22747298</v>
      </c>
      <c r="G20" s="2336">
        <f t="shared" ref="G20:G25" si="20">+E20/F20</f>
        <v>0.23244431052866146</v>
      </c>
      <c r="I20" s="2118">
        <v>0</v>
      </c>
      <c r="J20" s="2113">
        <v>0</v>
      </c>
      <c r="K20" s="2113">
        <v>0</v>
      </c>
      <c r="L20" s="2332">
        <v>26409148</v>
      </c>
      <c r="M20" s="2336">
        <f t="shared" ref="M20:M25" si="21">+K20/L20</f>
        <v>0</v>
      </c>
      <c r="N20" s="90"/>
      <c r="O20" s="2118">
        <v>1602624</v>
      </c>
      <c r="P20" s="2113">
        <v>18653</v>
      </c>
      <c r="Q20" s="2113">
        <v>1621277</v>
      </c>
      <c r="R20" s="2332">
        <v>25198571</v>
      </c>
      <c r="S20" s="2336">
        <f t="shared" ref="S20:S25" si="22">+Q20/R20</f>
        <v>6.4340037377516368E-2</v>
      </c>
      <c r="U20" s="2118">
        <v>1290583</v>
      </c>
      <c r="V20" s="2113">
        <v>4350</v>
      </c>
      <c r="W20" s="2113">
        <f>SUM(U20:V20)</f>
        <v>1294933</v>
      </c>
      <c r="X20" s="2332">
        <v>26625568</v>
      </c>
      <c r="Y20" s="2336">
        <f t="shared" ref="Y20:Y25" si="23">+W20/X20</f>
        <v>4.8634943675192208E-2</v>
      </c>
      <c r="AA20" s="2118">
        <v>100305</v>
      </c>
      <c r="AB20" s="2113">
        <f>5738665-AA20</f>
        <v>5638360</v>
      </c>
      <c r="AC20" s="2113">
        <f>SUM(AA20:AB20)</f>
        <v>5738665</v>
      </c>
      <c r="AD20" s="2332">
        <v>27984135.899999999</v>
      </c>
      <c r="AE20" s="2336">
        <f t="shared" ref="AE20:AE31" si="24">+AC20/AD20</f>
        <v>0.2050685081185587</v>
      </c>
      <c r="AG20" s="2118">
        <v>437771.25</v>
      </c>
      <c r="AH20" s="2113">
        <v>5553427.3099999996</v>
      </c>
      <c r="AI20" s="2113">
        <f>SUM(AG20:AH20)</f>
        <v>5991198.5599999996</v>
      </c>
      <c r="AJ20" s="2332">
        <v>26535730.349999998</v>
      </c>
      <c r="AK20" s="2336">
        <f t="shared" ref="AK20:AK25" si="25">+AI20/AJ20</f>
        <v>0.22577854390957058</v>
      </c>
      <c r="AM20" s="2118">
        <v>924102.75</v>
      </c>
      <c r="AN20" s="2113">
        <v>1842597.89</v>
      </c>
      <c r="AO20" s="2113">
        <f>SUM(AM20:AN20)</f>
        <v>2766700.6399999997</v>
      </c>
      <c r="AP20" s="2332">
        <v>23375900.210000001</v>
      </c>
      <c r="AQ20" s="2336">
        <f t="shared" ref="AQ20:AQ25" si="26">+AO20/AP20</f>
        <v>0.11835696658289249</v>
      </c>
      <c r="AS20" s="2118">
        <v>3158442</v>
      </c>
      <c r="AT20" s="2113">
        <v>5207207.72</v>
      </c>
      <c r="AU20" s="2113">
        <f>SUM(AS20:AT20)</f>
        <v>8365649.7199999997</v>
      </c>
      <c r="AV20" s="2332">
        <v>30895115</v>
      </c>
      <c r="AW20" s="2336">
        <f t="shared" ref="AW20:AW25" si="27">+AU20/AV20</f>
        <v>0.27077580776119459</v>
      </c>
      <c r="AY20" s="2118">
        <v>78245</v>
      </c>
      <c r="AZ20" s="2113">
        <v>3021309</v>
      </c>
      <c r="BA20" s="2113">
        <f>SUM(AY20:AZ20)</f>
        <v>3099554</v>
      </c>
      <c r="BB20" s="2332">
        <v>24122480</v>
      </c>
      <c r="BC20" s="2336">
        <f t="shared" ref="BC20:BC25" si="28">+BA20/BB20</f>
        <v>0.12849234407075891</v>
      </c>
      <c r="BE20" s="2118">
        <v>978990.94</v>
      </c>
      <c r="BF20" s="2113">
        <v>2096252.77</v>
      </c>
      <c r="BG20" s="2113">
        <f>SUM(BE20:BF20)</f>
        <v>3075243.71</v>
      </c>
      <c r="BH20" s="2332">
        <v>36910907.969999999</v>
      </c>
      <c r="BI20" s="2336">
        <f t="shared" ref="BI20:BI25" si="29">+BG20/BH20</f>
        <v>8.331530918988661E-2</v>
      </c>
      <c r="BK20" s="2118">
        <v>1247.5170000000001</v>
      </c>
      <c r="BL20" s="2113">
        <v>210.43600000000001</v>
      </c>
      <c r="BM20" s="2113">
        <f>+BK20+BL20</f>
        <v>1457.953</v>
      </c>
      <c r="BN20" s="2332">
        <v>31868.187000000002</v>
      </c>
      <c r="BO20" s="2336">
        <f t="shared" ref="BO20:BO25" si="30">+BM20/BN20</f>
        <v>4.5749480508571132E-2</v>
      </c>
    </row>
    <row r="21" spans="1:67">
      <c r="A21" s="2116" t="s">
        <v>16</v>
      </c>
      <c r="C21" s="2119">
        <v>0</v>
      </c>
      <c r="D21" s="2114">
        <v>288550</v>
      </c>
      <c r="E21" s="2114">
        <v>288550</v>
      </c>
      <c r="F21" s="2333">
        <v>22032372</v>
      </c>
      <c r="G21" s="2337">
        <f t="shared" si="20"/>
        <v>1.3096637983418218E-2</v>
      </c>
      <c r="I21" s="2119">
        <v>0</v>
      </c>
      <c r="J21" s="2114">
        <v>677191</v>
      </c>
      <c r="K21" s="2114">
        <v>677191</v>
      </c>
      <c r="L21" s="2333">
        <v>22186445</v>
      </c>
      <c r="M21" s="2337">
        <f t="shared" si="21"/>
        <v>3.0522735841636638E-2</v>
      </c>
      <c r="N21" s="90"/>
      <c r="O21" s="2119">
        <v>0</v>
      </c>
      <c r="P21" s="2114">
        <v>1643560</v>
      </c>
      <c r="Q21" s="2114">
        <v>1643560</v>
      </c>
      <c r="R21" s="2333">
        <v>23857759</v>
      </c>
      <c r="S21" s="2337">
        <f t="shared" si="22"/>
        <v>6.8889957350981704E-2</v>
      </c>
      <c r="U21" s="2119">
        <v>0</v>
      </c>
      <c r="V21" s="2114">
        <v>421253</v>
      </c>
      <c r="W21" s="2114">
        <f>SUM(U21:V21)</f>
        <v>421253</v>
      </c>
      <c r="X21" s="2333">
        <v>21183641</v>
      </c>
      <c r="Y21" s="2337">
        <f t="shared" si="23"/>
        <v>1.9885769401020343E-2</v>
      </c>
      <c r="AA21" s="2119">
        <v>3602</v>
      </c>
      <c r="AB21" s="2114">
        <f>173221-AA21</f>
        <v>169619</v>
      </c>
      <c r="AC21" s="2114">
        <f>SUM(AA21:AB21)</f>
        <v>173221</v>
      </c>
      <c r="AD21" s="2333">
        <v>24160469.959999997</v>
      </c>
      <c r="AE21" s="2337">
        <f t="shared" si="24"/>
        <v>7.1696039144430622E-3</v>
      </c>
      <c r="AG21" s="2119">
        <v>123796.11</v>
      </c>
      <c r="AH21" s="2114">
        <v>602093.49</v>
      </c>
      <c r="AI21" s="2114">
        <f>SUM(AG21:AH21)</f>
        <v>725889.6</v>
      </c>
      <c r="AJ21" s="2333">
        <v>22582499.739999998</v>
      </c>
      <c r="AK21" s="2337">
        <f t="shared" si="25"/>
        <v>3.2143899406948472E-2</v>
      </c>
      <c r="AM21" s="2119">
        <v>213990.66</v>
      </c>
      <c r="AN21" s="2114">
        <v>138474</v>
      </c>
      <c r="AO21" s="2114">
        <f>SUM(AM21:AN21)</f>
        <v>352464.66000000003</v>
      </c>
      <c r="AP21" s="2333">
        <v>25985918.109999996</v>
      </c>
      <c r="AQ21" s="2337">
        <f t="shared" si="26"/>
        <v>1.3563679316928321E-2</v>
      </c>
      <c r="AS21" s="2119">
        <v>431826.99</v>
      </c>
      <c r="AT21" s="2114">
        <v>463255.86</v>
      </c>
      <c r="AU21" s="2114">
        <f>SUM(AS21:AT21)</f>
        <v>895082.85</v>
      </c>
      <c r="AV21" s="2333">
        <v>28057306</v>
      </c>
      <c r="AW21" s="2337">
        <f t="shared" si="27"/>
        <v>3.1901952739154645E-2</v>
      </c>
      <c r="AY21" s="2119">
        <v>113414</v>
      </c>
      <c r="AZ21" s="2114">
        <v>162411</v>
      </c>
      <c r="BA21" s="2114">
        <f>SUM(AY21:AZ21)</f>
        <v>275825</v>
      </c>
      <c r="BB21" s="2333">
        <v>22154265</v>
      </c>
      <c r="BC21" s="2337">
        <f t="shared" si="28"/>
        <v>1.2450198641209718E-2</v>
      </c>
      <c r="BE21" s="2119">
        <v>182730.29</v>
      </c>
      <c r="BF21" s="2114">
        <v>504039.89</v>
      </c>
      <c r="BG21" s="2114">
        <f>SUM(BE21:BF21)</f>
        <v>686770.18</v>
      </c>
      <c r="BH21" s="2333">
        <v>22781238.199999999</v>
      </c>
      <c r="BI21" s="2337">
        <f t="shared" si="29"/>
        <v>3.0146306094986534E-2</v>
      </c>
      <c r="BK21" s="2119">
        <v>474.68099999999998</v>
      </c>
      <c r="BL21" s="2114">
        <v>2.0819999999999999</v>
      </c>
      <c r="BM21" s="2114">
        <f>+BK21+BL21</f>
        <v>476.76299999999998</v>
      </c>
      <c r="BN21" s="2333">
        <v>20467.61</v>
      </c>
      <c r="BO21" s="2337">
        <f t="shared" si="30"/>
        <v>2.3293535493396637E-2</v>
      </c>
    </row>
    <row r="22" spans="1:67">
      <c r="A22" s="2116" t="s">
        <v>41</v>
      </c>
      <c r="C22" s="2119">
        <v>25370</v>
      </c>
      <c r="D22" s="2114">
        <v>3357925</v>
      </c>
      <c r="E22" s="2114">
        <v>3383295</v>
      </c>
      <c r="F22" s="2333">
        <v>19956280</v>
      </c>
      <c r="G22" s="2337">
        <f t="shared" si="20"/>
        <v>0.16953535428446584</v>
      </c>
      <c r="I22" s="2119">
        <v>130717</v>
      </c>
      <c r="J22" s="2114">
        <v>26260</v>
      </c>
      <c r="K22" s="2114">
        <v>156977</v>
      </c>
      <c r="L22" s="2333">
        <v>21604235</v>
      </c>
      <c r="M22" s="2337">
        <f t="shared" si="21"/>
        <v>7.2660290910555271E-3</v>
      </c>
      <c r="N22" s="90"/>
      <c r="O22" s="2119">
        <v>0</v>
      </c>
      <c r="P22" s="2114">
        <v>0</v>
      </c>
      <c r="Q22" s="2114">
        <v>0</v>
      </c>
      <c r="R22" s="2333">
        <v>19921064</v>
      </c>
      <c r="S22" s="2337">
        <f t="shared" si="22"/>
        <v>0</v>
      </c>
      <c r="U22" s="2119">
        <v>0</v>
      </c>
      <c r="V22" s="2114">
        <f>2820+472036</f>
        <v>474856</v>
      </c>
      <c r="W22" s="2114">
        <f>SUM(U22:V22)</f>
        <v>474856</v>
      </c>
      <c r="X22" s="2333">
        <v>16865009</v>
      </c>
      <c r="Y22" s="2337">
        <f t="shared" si="23"/>
        <v>2.8156285004057809E-2</v>
      </c>
      <c r="AA22" s="2119">
        <v>21649</v>
      </c>
      <c r="AB22" s="2114">
        <f>2309168-AA22</f>
        <v>2287519</v>
      </c>
      <c r="AC22" s="2114">
        <f>SUM(AA22:AB22)</f>
        <v>2309168</v>
      </c>
      <c r="AD22" s="2333">
        <v>18811688.110000003</v>
      </c>
      <c r="AE22" s="2337">
        <f t="shared" si="24"/>
        <v>0.12275176935197442</v>
      </c>
      <c r="AG22" s="2119">
        <v>862665.61</v>
      </c>
      <c r="AH22" s="2114">
        <v>2342903.11</v>
      </c>
      <c r="AI22" s="2114">
        <f>SUM(AG22:AH22)</f>
        <v>3205568.7199999997</v>
      </c>
      <c r="AJ22" s="2333">
        <v>19516228.950000003</v>
      </c>
      <c r="AK22" s="2337">
        <f t="shared" si="25"/>
        <v>0.16425144059400879</v>
      </c>
      <c r="AM22" s="2119">
        <v>1271751.3799999999</v>
      </c>
      <c r="AN22" s="2114">
        <f>1463246+1490396</f>
        <v>2953642</v>
      </c>
      <c r="AO22" s="2114">
        <f>SUM(AM22:AN22)</f>
        <v>4225393.38</v>
      </c>
      <c r="AP22" s="2333">
        <v>21572732.940000001</v>
      </c>
      <c r="AQ22" s="2337">
        <f t="shared" si="26"/>
        <v>0.19586731972031726</v>
      </c>
      <c r="AS22" s="2119">
        <v>3588757.86</v>
      </c>
      <c r="AT22" s="2114">
        <v>1994998.2199999997</v>
      </c>
      <c r="AU22" s="2114">
        <f>SUM(AS22:AT22)</f>
        <v>5583756.0800000001</v>
      </c>
      <c r="AV22" s="2333">
        <v>22959650</v>
      </c>
      <c r="AW22" s="2337">
        <f t="shared" si="27"/>
        <v>0.24319865851613592</v>
      </c>
      <c r="AY22" s="2119">
        <v>656381</v>
      </c>
      <c r="AZ22" s="2114">
        <v>745702</v>
      </c>
      <c r="BA22" s="2114">
        <f>SUM(AY22:AZ22)</f>
        <v>1402083</v>
      </c>
      <c r="BB22" s="2333">
        <v>17002858</v>
      </c>
      <c r="BC22" s="2337">
        <f t="shared" si="28"/>
        <v>8.2461607336837134E-2</v>
      </c>
      <c r="BE22" s="2119">
        <v>378037.05</v>
      </c>
      <c r="BF22" s="2114">
        <v>853218.65</v>
      </c>
      <c r="BG22" s="2114">
        <f>SUM(BE22:BF22)</f>
        <v>1231255.7</v>
      </c>
      <c r="BH22" s="2333">
        <v>25082755.579999901</v>
      </c>
      <c r="BI22" s="2337">
        <f t="shared" si="29"/>
        <v>4.9087736635354352E-2</v>
      </c>
      <c r="BK22" s="2119">
        <v>56.750999999999998</v>
      </c>
      <c r="BL22" s="2114">
        <v>0</v>
      </c>
      <c r="BM22" s="2114">
        <f>+BK22+BL22</f>
        <v>56.750999999999998</v>
      </c>
      <c r="BN22" s="2333">
        <v>19824.717000000001</v>
      </c>
      <c r="BO22" s="2337">
        <f t="shared" si="30"/>
        <v>2.8626385940339022E-3</v>
      </c>
    </row>
    <row r="23" spans="1:67">
      <c r="A23" s="2116" t="s">
        <v>85</v>
      </c>
      <c r="C23" s="2119">
        <v>5663069</v>
      </c>
      <c r="D23" s="2114">
        <v>11043801</v>
      </c>
      <c r="E23" s="2114">
        <v>16706870</v>
      </c>
      <c r="F23" s="2333">
        <v>80942254</v>
      </c>
      <c r="G23" s="2337">
        <f t="shared" si="20"/>
        <v>0.20640480310815165</v>
      </c>
      <c r="I23" s="2119">
        <v>17431037</v>
      </c>
      <c r="J23" s="2114">
        <v>7494879</v>
      </c>
      <c r="K23" s="2114">
        <v>24925916</v>
      </c>
      <c r="L23" s="2333">
        <v>108968224</v>
      </c>
      <c r="M23" s="2337">
        <f t="shared" si="21"/>
        <v>0.22874481279973877</v>
      </c>
      <c r="N23" s="90"/>
      <c r="O23" s="2119">
        <v>14347349</v>
      </c>
      <c r="P23" s="2114">
        <v>9408094</v>
      </c>
      <c r="Q23" s="2114">
        <v>23755443</v>
      </c>
      <c r="R23" s="2333">
        <v>114450122</v>
      </c>
      <c r="S23" s="2337">
        <f t="shared" si="22"/>
        <v>0.20756153497153984</v>
      </c>
      <c r="U23" s="2119">
        <v>6735863</v>
      </c>
      <c r="V23" s="2114">
        <f>387757+9209539</f>
        <v>9597296</v>
      </c>
      <c r="W23" s="2114">
        <f>SUM(U23:V23)</f>
        <v>16333159</v>
      </c>
      <c r="X23" s="2333">
        <v>106923909</v>
      </c>
      <c r="Y23" s="2337">
        <f t="shared" si="23"/>
        <v>0.15275497456794251</v>
      </c>
      <c r="AA23" s="2119">
        <v>1317571</v>
      </c>
      <c r="AB23" s="2114">
        <f>13427054-AA23</f>
        <v>12109483</v>
      </c>
      <c r="AC23" s="2114">
        <f>SUM(AA23:AB23)</f>
        <v>13427054</v>
      </c>
      <c r="AD23" s="2333">
        <v>94371458.430000022</v>
      </c>
      <c r="AE23" s="2337">
        <f t="shared" si="24"/>
        <v>0.14227875910129661</v>
      </c>
      <c r="AG23" s="2119">
        <v>671763.61</v>
      </c>
      <c r="AH23" s="2114">
        <v>10473010.830000002</v>
      </c>
      <c r="AI23" s="2114">
        <f>SUM(AG23:AH23)</f>
        <v>11144774.440000001</v>
      </c>
      <c r="AJ23" s="2333">
        <v>85112196.610000014</v>
      </c>
      <c r="AK23" s="2337">
        <f t="shared" si="25"/>
        <v>0.13094215498945985</v>
      </c>
      <c r="AM23" s="2119">
        <v>358123.63</v>
      </c>
      <c r="AN23" s="2114">
        <v>10167233.470000001</v>
      </c>
      <c r="AO23" s="2114">
        <f>SUM(AM23:AN23)</f>
        <v>10525357.100000001</v>
      </c>
      <c r="AP23" s="2333">
        <v>99216396.299999982</v>
      </c>
      <c r="AQ23" s="2337">
        <f t="shared" si="26"/>
        <v>0.10608485585562437</v>
      </c>
      <c r="AS23" s="2119">
        <v>3476931.57</v>
      </c>
      <c r="AT23" s="2114">
        <v>15862669.989999998</v>
      </c>
      <c r="AU23" s="2114">
        <f>SUM(AS23:AT23)</f>
        <v>19339601.559999999</v>
      </c>
      <c r="AV23" s="2333">
        <v>96467524</v>
      </c>
      <c r="AW23" s="2337">
        <f t="shared" si="27"/>
        <v>0.20047784744635924</v>
      </c>
      <c r="AY23" s="2119">
        <v>7182614</v>
      </c>
      <c r="AZ23" s="2114">
        <v>14597257</v>
      </c>
      <c r="BA23" s="2114">
        <f>SUM(AY23:AZ23)</f>
        <v>21779871</v>
      </c>
      <c r="BB23" s="2333">
        <v>104776905</v>
      </c>
      <c r="BC23" s="2337">
        <f t="shared" si="28"/>
        <v>0.20786900510183995</v>
      </c>
      <c r="BE23" s="2119">
        <v>3668732.4</v>
      </c>
      <c r="BF23" s="2114">
        <v>15049715.870000001</v>
      </c>
      <c r="BG23" s="2114">
        <f>SUM(BE23:BF23)</f>
        <v>18718448.27</v>
      </c>
      <c r="BH23" s="2333">
        <v>231812410.46000001</v>
      </c>
      <c r="BI23" s="2337">
        <f t="shared" si="29"/>
        <v>8.0748257752273914E-2</v>
      </c>
      <c r="BK23" s="2119">
        <v>4050.3</v>
      </c>
      <c r="BL23" s="2114">
        <v>4018.2579999999998</v>
      </c>
      <c r="BM23" s="2114">
        <f>+BK23+BL23</f>
        <v>8068.558</v>
      </c>
      <c r="BN23" s="2333">
        <v>245882.73300000001</v>
      </c>
      <c r="BO23" s="2337">
        <f t="shared" si="30"/>
        <v>3.2814658847963918E-2</v>
      </c>
    </row>
    <row r="24" spans="1:67">
      <c r="A24" s="2116" t="s">
        <v>86</v>
      </c>
      <c r="C24" s="2119">
        <v>0</v>
      </c>
      <c r="D24" s="2114">
        <v>4164216</v>
      </c>
      <c r="E24" s="2114">
        <v>4164216</v>
      </c>
      <c r="F24" s="2333">
        <v>7844316</v>
      </c>
      <c r="G24" s="2337">
        <f t="shared" si="20"/>
        <v>0.53085775738764218</v>
      </c>
      <c r="I24" s="2119">
        <v>71884</v>
      </c>
      <c r="J24" s="2114">
        <v>35144</v>
      </c>
      <c r="K24" s="2114">
        <v>107028</v>
      </c>
      <c r="L24" s="2333">
        <v>14483667</v>
      </c>
      <c r="M24" s="2337">
        <f t="shared" si="21"/>
        <v>7.3895650873497714E-3</v>
      </c>
      <c r="N24" s="90"/>
      <c r="O24" s="2119">
        <v>0</v>
      </c>
      <c r="P24" s="2114">
        <v>9940</v>
      </c>
      <c r="Q24" s="2114">
        <v>9940</v>
      </c>
      <c r="R24" s="2333">
        <v>8833902</v>
      </c>
      <c r="S24" s="2337">
        <f t="shared" si="22"/>
        <v>1.1252105807829881E-3</v>
      </c>
      <c r="U24" s="2119">
        <v>0</v>
      </c>
      <c r="V24" s="2114">
        <v>0</v>
      </c>
      <c r="W24" s="2114">
        <f>SUM(U24:V24)</f>
        <v>0</v>
      </c>
      <c r="X24" s="2333">
        <v>7315924</v>
      </c>
      <c r="Y24" s="2337">
        <f t="shared" si="23"/>
        <v>0</v>
      </c>
      <c r="AA24" s="2119">
        <v>0</v>
      </c>
      <c r="AB24" s="2114">
        <v>24119</v>
      </c>
      <c r="AC24" s="2114">
        <f>SUM(AA24:AB24)</f>
        <v>24119</v>
      </c>
      <c r="AD24" s="2333">
        <v>10671364.540000001</v>
      </c>
      <c r="AE24" s="2337">
        <f t="shared" si="24"/>
        <v>2.2601608172594578E-3</v>
      </c>
      <c r="AG24" s="2119">
        <v>1540307.33</v>
      </c>
      <c r="AH24" s="2114">
        <v>2761751.2900000005</v>
      </c>
      <c r="AI24" s="2114">
        <f>SUM(AG24:AH24)</f>
        <v>4302058.620000001</v>
      </c>
      <c r="AJ24" s="2333">
        <v>18764593.199999996</v>
      </c>
      <c r="AK24" s="2337">
        <f t="shared" si="25"/>
        <v>0.22926468877566725</v>
      </c>
      <c r="AM24" s="2119">
        <v>12913.75</v>
      </c>
      <c r="AN24" s="2114">
        <v>4834.5200000000004</v>
      </c>
      <c r="AO24" s="2114">
        <f>SUM(AM24:AN24)</f>
        <v>17748.27</v>
      </c>
      <c r="AP24" s="2333">
        <v>9664062</v>
      </c>
      <c r="AQ24" s="2337">
        <f t="shared" si="26"/>
        <v>1.8365227789308471E-3</v>
      </c>
      <c r="AS24" s="2119">
        <v>0</v>
      </c>
      <c r="AT24" s="2114">
        <v>104635.12</v>
      </c>
      <c r="AU24" s="2114">
        <f>SUM(AS24:AT24)</f>
        <v>104635.12</v>
      </c>
      <c r="AV24" s="2333">
        <v>17057145</v>
      </c>
      <c r="AW24" s="2337">
        <f t="shared" si="27"/>
        <v>6.1343864990301717E-3</v>
      </c>
      <c r="AY24" s="2119">
        <v>55206</v>
      </c>
      <c r="AZ24" s="2114">
        <v>60890</v>
      </c>
      <c r="BA24" s="2114">
        <f>SUM(AY24:AZ24)</f>
        <v>116096</v>
      </c>
      <c r="BB24" s="2333">
        <v>18896047</v>
      </c>
      <c r="BC24" s="2337">
        <f t="shared" si="28"/>
        <v>6.1439305268451124E-3</v>
      </c>
      <c r="BE24" s="2119">
        <v>1231014.83</v>
      </c>
      <c r="BF24" s="2114">
        <v>292561.81</v>
      </c>
      <c r="BG24" s="2114">
        <f>SUM(BE24:BF24)</f>
        <v>1523576.6400000001</v>
      </c>
      <c r="BH24" s="2333">
        <v>43411862</v>
      </c>
      <c r="BI24" s="2337">
        <f t="shared" si="29"/>
        <v>3.5095860205213041E-2</v>
      </c>
      <c r="BK24" s="2119">
        <v>186.36699999999999</v>
      </c>
      <c r="BL24" s="2114">
        <v>1.38</v>
      </c>
      <c r="BM24" s="2114">
        <f>+BK24+BL24</f>
        <v>187.74699999999999</v>
      </c>
      <c r="BN24" s="2333">
        <v>20053.233</v>
      </c>
      <c r="BO24" s="2337">
        <f t="shared" si="30"/>
        <v>9.3624304868945556E-3</v>
      </c>
    </row>
    <row r="25" spans="1:67">
      <c r="A25" s="2117" t="s">
        <v>25</v>
      </c>
      <c r="C25" s="2121">
        <v>5688439</v>
      </c>
      <c r="D25" s="2122">
        <v>24141972</v>
      </c>
      <c r="E25" s="2122">
        <v>29830411</v>
      </c>
      <c r="F25" s="2334">
        <v>153522520</v>
      </c>
      <c r="G25" s="2339">
        <f t="shared" si="20"/>
        <v>0.19430641836780688</v>
      </c>
      <c r="I25" s="2121">
        <v>17633638</v>
      </c>
      <c r="J25" s="2122">
        <v>8233474</v>
      </c>
      <c r="K25" s="2122">
        <v>25867112</v>
      </c>
      <c r="L25" s="2334">
        <v>193651719</v>
      </c>
      <c r="M25" s="2339">
        <f t="shared" si="21"/>
        <v>0.13357543188139734</v>
      </c>
      <c r="N25" s="90"/>
      <c r="O25" s="2121">
        <v>15949973</v>
      </c>
      <c r="P25" s="2122">
        <v>11080247</v>
      </c>
      <c r="Q25" s="2122">
        <v>27030220</v>
      </c>
      <c r="R25" s="2334">
        <v>192261418</v>
      </c>
      <c r="S25" s="2339">
        <f t="shared" si="22"/>
        <v>0.14059097389992203</v>
      </c>
      <c r="U25" s="2121">
        <f>SUM(U20:U24)</f>
        <v>8026446</v>
      </c>
      <c r="V25" s="2122">
        <f>SUM(V20:V24)</f>
        <v>10497755</v>
      </c>
      <c r="W25" s="2122">
        <f>SUM(W20:W24)</f>
        <v>18524201</v>
      </c>
      <c r="X25" s="2334">
        <f>SUM(X20:X24)</f>
        <v>178914051</v>
      </c>
      <c r="Y25" s="2339">
        <f t="shared" si="23"/>
        <v>0.10353687089674136</v>
      </c>
      <c r="AA25" s="2121">
        <f>SUM(AA20:AA24)</f>
        <v>1443127</v>
      </c>
      <c r="AB25" s="2122">
        <f>SUM(AB20:AB24)</f>
        <v>20229100</v>
      </c>
      <c r="AC25" s="2122">
        <f>SUM(AC20:AC24)</f>
        <v>21672227</v>
      </c>
      <c r="AD25" s="2334">
        <f>SUM(AD20:AD24)</f>
        <v>175999116.94000003</v>
      </c>
      <c r="AE25" s="2339">
        <f t="shared" si="24"/>
        <v>0.12313827124137386</v>
      </c>
      <c r="AG25" s="2121">
        <f>SUM(AG20:AG24)</f>
        <v>3636303.91</v>
      </c>
      <c r="AH25" s="2122">
        <f>SUM(AH20:AH24)</f>
        <v>21733186.030000001</v>
      </c>
      <c r="AI25" s="2122">
        <f>SUM(AI20:AI24)</f>
        <v>25369489.940000001</v>
      </c>
      <c r="AJ25" s="2334">
        <f>SUM(AJ20:AJ24)</f>
        <v>172511248.84999999</v>
      </c>
      <c r="AK25" s="2339">
        <f t="shared" si="25"/>
        <v>0.14705991701479704</v>
      </c>
      <c r="AM25" s="2121">
        <f>SUM(AM20:AM24)</f>
        <v>2780882.17</v>
      </c>
      <c r="AN25" s="2122">
        <f>SUM(AN20:AN24)</f>
        <v>15106781.879999999</v>
      </c>
      <c r="AO25" s="2122">
        <f>SUM(AO20:AO24)</f>
        <v>17887664.050000001</v>
      </c>
      <c r="AP25" s="2334">
        <f>SUM(AP20:AP24)</f>
        <v>179815009.55999997</v>
      </c>
      <c r="AQ25" s="2339">
        <f t="shared" si="26"/>
        <v>9.9478147534904832E-2</v>
      </c>
      <c r="AS25" s="2121">
        <f>SUM(AS20:AS24)</f>
        <v>10655958.42</v>
      </c>
      <c r="AT25" s="2122">
        <f>SUM(AT20:AT24)</f>
        <v>23632766.91</v>
      </c>
      <c r="AU25" s="2122">
        <f>SUM(AU20:AU24)</f>
        <v>34288725.329999998</v>
      </c>
      <c r="AV25" s="2334">
        <f>SUM(AV20:AV24)</f>
        <v>195436740</v>
      </c>
      <c r="AW25" s="2339">
        <f t="shared" si="27"/>
        <v>0.17544667051855245</v>
      </c>
      <c r="AY25" s="2121">
        <f>SUM(AY20:AY24)</f>
        <v>8085860</v>
      </c>
      <c r="AZ25" s="2122">
        <f>SUM(AZ20:AZ24)</f>
        <v>18587569</v>
      </c>
      <c r="BA25" s="2122">
        <f>SUM(BA20:BA24)</f>
        <v>26673429</v>
      </c>
      <c r="BB25" s="2334">
        <f>SUM(BB20:BB24)</f>
        <v>186952555</v>
      </c>
      <c r="BC25" s="2339">
        <f t="shared" si="28"/>
        <v>0.14267485673036134</v>
      </c>
      <c r="BE25" s="2121">
        <f>SUM(BE20:BE24)</f>
        <v>6439505.5099999998</v>
      </c>
      <c r="BF25" s="2122">
        <f>SUM(BF20:BF24)</f>
        <v>18795788.989999998</v>
      </c>
      <c r="BG25" s="2122">
        <f>SUM(BG20:BG24)</f>
        <v>25235294.5</v>
      </c>
      <c r="BH25" s="2334">
        <f>SUM(BH20:BH24)</f>
        <v>359999174.20999992</v>
      </c>
      <c r="BI25" s="2339">
        <f t="shared" si="29"/>
        <v>7.00982010733152E-2</v>
      </c>
      <c r="BK25" s="2121">
        <f>SUM(BK20:BK24)</f>
        <v>6015.616</v>
      </c>
      <c r="BL25" s="2122">
        <f>SUM(BL20:BL24)</f>
        <v>4232.1559999999999</v>
      </c>
      <c r="BM25" s="2122">
        <f>SUM(BM20:BM24)</f>
        <v>10247.771999999999</v>
      </c>
      <c r="BN25" s="2334">
        <f>SUM(BN20:BN24)</f>
        <v>338096.48000000004</v>
      </c>
      <c r="BO25" s="2339">
        <f t="shared" si="30"/>
        <v>3.0310200212673014E-2</v>
      </c>
    </row>
    <row r="26" spans="1:67">
      <c r="A26" s="129"/>
      <c r="G26" s="2341"/>
      <c r="M26" s="2341"/>
      <c r="N26" s="90"/>
      <c r="S26" s="2341"/>
      <c r="U26" s="2554"/>
      <c r="V26" s="2554"/>
      <c r="W26" s="2554"/>
      <c r="X26" s="2554"/>
      <c r="Y26" s="2341"/>
      <c r="AA26" s="2554"/>
      <c r="AB26" s="2554"/>
      <c r="AC26" s="2554"/>
      <c r="AD26" s="2554"/>
      <c r="AE26" s="2341"/>
      <c r="AG26" s="2554"/>
      <c r="AH26" s="2554"/>
      <c r="AI26" s="2554"/>
      <c r="AJ26" s="2554"/>
      <c r="AK26" s="2341"/>
      <c r="AM26" s="2554"/>
      <c r="AN26" s="2554"/>
      <c r="AO26" s="2554"/>
      <c r="AP26" s="2554"/>
      <c r="AQ26" s="2341"/>
      <c r="AS26" s="2554"/>
      <c r="AT26" s="2554"/>
      <c r="AU26" s="2554"/>
      <c r="AV26" s="2554"/>
      <c r="AW26" s="2341"/>
      <c r="AY26" s="2554"/>
      <c r="AZ26" s="2554"/>
      <c r="BA26" s="2554"/>
      <c r="BB26" s="2554"/>
      <c r="BC26" s="2341"/>
      <c r="BE26" s="2554"/>
      <c r="BF26" s="2554"/>
      <c r="BG26" s="2554"/>
      <c r="BH26" s="2554"/>
      <c r="BI26" s="2341"/>
      <c r="BK26" s="2554"/>
      <c r="BL26" s="2554"/>
      <c r="BM26" s="2554"/>
      <c r="BN26" s="2554"/>
      <c r="BO26" s="2341"/>
    </row>
    <row r="27" spans="1:67">
      <c r="A27" s="2115" t="s">
        <v>4</v>
      </c>
      <c r="C27" s="2118">
        <v>0</v>
      </c>
      <c r="D27" s="2113">
        <v>272324</v>
      </c>
      <c r="E27" s="2113">
        <v>272324</v>
      </c>
      <c r="F27" s="2332">
        <v>6487955</v>
      </c>
      <c r="G27" s="2336">
        <f t="shared" ref="G27:G32" si="31">+E27/F27</f>
        <v>4.1973780644286217E-2</v>
      </c>
      <c r="I27" s="2118">
        <v>0</v>
      </c>
      <c r="J27" s="2113">
        <v>2922</v>
      </c>
      <c r="K27" s="2113">
        <v>2922</v>
      </c>
      <c r="L27" s="2332">
        <v>3140241</v>
      </c>
      <c r="M27" s="2336">
        <f t="shared" ref="M27:M32" si="32">+K27/L27</f>
        <v>9.3050183091043012E-4</v>
      </c>
      <c r="N27" s="90"/>
      <c r="O27" s="2118">
        <v>0</v>
      </c>
      <c r="P27" s="2113">
        <v>7864</v>
      </c>
      <c r="Q27" s="2113">
        <v>7864</v>
      </c>
      <c r="R27" s="2332">
        <v>5213601</v>
      </c>
      <c r="S27" s="2336">
        <f t="shared" ref="S27:S32" si="33">+Q27/R27</f>
        <v>1.5083624542806403E-3</v>
      </c>
      <c r="U27" s="2118">
        <v>0</v>
      </c>
      <c r="V27" s="2113">
        <v>0</v>
      </c>
      <c r="W27" s="2113">
        <f>SUM(U27:V27)</f>
        <v>0</v>
      </c>
      <c r="X27" s="2332">
        <v>3841489</v>
      </c>
      <c r="Y27" s="2336">
        <f t="shared" ref="Y27:Y32" si="34">+W27/X27</f>
        <v>0</v>
      </c>
      <c r="AA27" s="2118">
        <v>0</v>
      </c>
      <c r="AB27" s="2113">
        <v>21940</v>
      </c>
      <c r="AC27" s="2113">
        <f>+AA27+AB27</f>
        <v>21940</v>
      </c>
      <c r="AD27" s="2332">
        <v>5061886.75</v>
      </c>
      <c r="AE27" s="2336">
        <f t="shared" si="24"/>
        <v>4.334352205726452E-3</v>
      </c>
      <c r="AG27" s="2118">
        <v>63195.93</v>
      </c>
      <c r="AH27" s="2113">
        <v>6055.01</v>
      </c>
      <c r="AI27" s="2113">
        <f>+AG27+AH27</f>
        <v>69250.94</v>
      </c>
      <c r="AJ27" s="2332">
        <v>4156615.81</v>
      </c>
      <c r="AK27" s="2336">
        <v>0</v>
      </c>
      <c r="AM27" s="2118">
        <v>0</v>
      </c>
      <c r="AN27" s="2113">
        <v>2850</v>
      </c>
      <c r="AO27" s="2113">
        <f>+AM27+AN27</f>
        <v>2850</v>
      </c>
      <c r="AP27" s="2332">
        <v>4488570.4000000004</v>
      </c>
      <c r="AQ27" s="2336">
        <v>0</v>
      </c>
      <c r="AS27" s="2118">
        <v>0</v>
      </c>
      <c r="AT27" s="2113">
        <v>2155.17</v>
      </c>
      <c r="AU27" s="2113">
        <f>+AS27+AT27</f>
        <v>2155.17</v>
      </c>
      <c r="AV27" s="2332">
        <v>2979946</v>
      </c>
      <c r="AW27" s="2336">
        <v>0</v>
      </c>
      <c r="AY27" s="2118"/>
      <c r="AZ27" s="2113">
        <v>1600</v>
      </c>
      <c r="BA27" s="2113">
        <f>+AY27+AZ27</f>
        <v>1600</v>
      </c>
      <c r="BB27" s="2332">
        <v>2489732</v>
      </c>
      <c r="BC27" s="2336">
        <v>0</v>
      </c>
      <c r="BE27" s="2118">
        <v>0</v>
      </c>
      <c r="BF27" s="2113">
        <v>0</v>
      </c>
      <c r="BG27" s="2113">
        <f>+BE27+BF27</f>
        <v>0</v>
      </c>
      <c r="BH27" s="2332">
        <v>3136372.86</v>
      </c>
      <c r="BI27" s="2336">
        <v>0</v>
      </c>
      <c r="BK27" s="2118">
        <v>0</v>
      </c>
      <c r="BL27" s="2113">
        <v>0</v>
      </c>
      <c r="BM27" s="2113">
        <f>+BK27+BL27</f>
        <v>0</v>
      </c>
      <c r="BN27" s="2332">
        <v>2335.6149999999998</v>
      </c>
      <c r="BO27" s="2336">
        <v>0</v>
      </c>
    </row>
    <row r="28" spans="1:67">
      <c r="A28" s="2116" t="s">
        <v>16</v>
      </c>
      <c r="C28" s="2119">
        <v>0</v>
      </c>
      <c r="D28" s="2114">
        <v>3221</v>
      </c>
      <c r="E28" s="2114">
        <v>3221</v>
      </c>
      <c r="F28" s="2333">
        <v>3868738</v>
      </c>
      <c r="G28" s="2337">
        <f t="shared" si="31"/>
        <v>8.3257124157800298E-4</v>
      </c>
      <c r="I28" s="2119">
        <v>0</v>
      </c>
      <c r="J28" s="2114">
        <v>0</v>
      </c>
      <c r="K28" s="2114">
        <v>0</v>
      </c>
      <c r="L28" s="2333">
        <v>4336272</v>
      </c>
      <c r="M28" s="2337">
        <f t="shared" si="32"/>
        <v>0</v>
      </c>
      <c r="N28" s="90"/>
      <c r="O28" s="2119">
        <v>0</v>
      </c>
      <c r="P28" s="2114">
        <v>0</v>
      </c>
      <c r="Q28" s="2114">
        <v>0</v>
      </c>
      <c r="R28" s="2333">
        <v>4649649</v>
      </c>
      <c r="S28" s="2337">
        <f t="shared" si="33"/>
        <v>0</v>
      </c>
      <c r="U28" s="2119">
        <v>0</v>
      </c>
      <c r="V28" s="2114">
        <v>0</v>
      </c>
      <c r="W28" s="2114">
        <f>SUM(U28:V28)</f>
        <v>0</v>
      </c>
      <c r="X28" s="2333">
        <v>3994606</v>
      </c>
      <c r="Y28" s="2337">
        <f t="shared" si="34"/>
        <v>0</v>
      </c>
      <c r="AA28" s="2119">
        <v>0</v>
      </c>
      <c r="AB28" s="2114">
        <v>0</v>
      </c>
      <c r="AC28" s="2114">
        <f>+AA28+AB28</f>
        <v>0</v>
      </c>
      <c r="AD28" s="2333">
        <v>5458344.5800000001</v>
      </c>
      <c r="AE28" s="2337">
        <f t="shared" si="24"/>
        <v>0</v>
      </c>
      <c r="AG28" s="2119">
        <v>0</v>
      </c>
      <c r="AH28" s="2114">
        <v>0</v>
      </c>
      <c r="AI28" s="2114">
        <f>+AG28+AH28</f>
        <v>0</v>
      </c>
      <c r="AJ28" s="2333">
        <v>4939159.4700000007</v>
      </c>
      <c r="AK28" s="2337">
        <v>0</v>
      </c>
      <c r="AM28" s="2119">
        <v>0</v>
      </c>
      <c r="AN28" s="2114">
        <v>0</v>
      </c>
      <c r="AO28" s="2114">
        <f>+AM28+AN28</f>
        <v>0</v>
      </c>
      <c r="AP28" s="2333">
        <v>3441881.3600000003</v>
      </c>
      <c r="AQ28" s="2337">
        <v>0</v>
      </c>
      <c r="AS28" s="2119">
        <v>0</v>
      </c>
      <c r="AT28" s="2114">
        <v>0</v>
      </c>
      <c r="AU28" s="2114">
        <f>+AS28+AT28</f>
        <v>0</v>
      </c>
      <c r="AV28" s="2333">
        <v>3912518</v>
      </c>
      <c r="AW28" s="2337">
        <v>0</v>
      </c>
      <c r="AY28" s="2119"/>
      <c r="AZ28" s="2114">
        <v>2860</v>
      </c>
      <c r="BA28" s="2114">
        <f>+AY28+AZ28</f>
        <v>2860</v>
      </c>
      <c r="BB28" s="2333">
        <v>2553445</v>
      </c>
      <c r="BC28" s="2337">
        <v>0</v>
      </c>
      <c r="BE28" s="2119">
        <v>0</v>
      </c>
      <c r="BF28" s="2114">
        <v>0</v>
      </c>
      <c r="BG28" s="2114">
        <f>+BE28+BF28</f>
        <v>0</v>
      </c>
      <c r="BH28" s="2333">
        <v>3758670.02</v>
      </c>
      <c r="BI28" s="2337">
        <v>0</v>
      </c>
      <c r="BK28" s="2119">
        <v>0</v>
      </c>
      <c r="BL28" s="2114">
        <v>0</v>
      </c>
      <c r="BM28" s="2114">
        <f>+BK28+BL28</f>
        <v>0</v>
      </c>
      <c r="BN28" s="2333">
        <v>4608.7749999999996</v>
      </c>
      <c r="BO28" s="2337">
        <v>0</v>
      </c>
    </row>
    <row r="29" spans="1:67">
      <c r="A29" s="2116" t="s">
        <v>41</v>
      </c>
      <c r="C29" s="2119">
        <v>0</v>
      </c>
      <c r="D29" s="2114">
        <v>126079</v>
      </c>
      <c r="E29" s="2114">
        <v>126079</v>
      </c>
      <c r="F29" s="2333">
        <v>4359057</v>
      </c>
      <c r="G29" s="2337">
        <f t="shared" si="31"/>
        <v>2.8923457527625814E-2</v>
      </c>
      <c r="I29" s="2119">
        <v>0</v>
      </c>
      <c r="J29" s="2114">
        <v>0</v>
      </c>
      <c r="K29" s="2114">
        <v>0</v>
      </c>
      <c r="L29" s="2333">
        <v>4715204</v>
      </c>
      <c r="M29" s="2337">
        <f t="shared" si="32"/>
        <v>0</v>
      </c>
      <c r="N29" s="90"/>
      <c r="O29" s="2119">
        <v>0</v>
      </c>
      <c r="P29" s="2114">
        <v>0</v>
      </c>
      <c r="Q29" s="2114">
        <v>0</v>
      </c>
      <c r="R29" s="2333">
        <v>5380010</v>
      </c>
      <c r="S29" s="2337">
        <f t="shared" si="33"/>
        <v>0</v>
      </c>
      <c r="U29" s="2119">
        <v>0</v>
      </c>
      <c r="V29" s="2114">
        <v>0</v>
      </c>
      <c r="W29" s="2114">
        <f>SUM(U29:V29)</f>
        <v>0</v>
      </c>
      <c r="X29" s="2333">
        <v>5690843</v>
      </c>
      <c r="Y29" s="2337">
        <f t="shared" si="34"/>
        <v>0</v>
      </c>
      <c r="AA29" s="2119">
        <v>0</v>
      </c>
      <c r="AB29" s="2114">
        <v>19418</v>
      </c>
      <c r="AC29" s="2114">
        <f>+AA29+AB29</f>
        <v>19418</v>
      </c>
      <c r="AD29" s="2333">
        <v>4949213.95</v>
      </c>
      <c r="AE29" s="2337">
        <f t="shared" si="24"/>
        <v>3.9234513189715711E-3</v>
      </c>
      <c r="AG29" s="2119">
        <v>0</v>
      </c>
      <c r="AH29" s="2114">
        <v>31784</v>
      </c>
      <c r="AI29" s="2114">
        <f>+AG29+AH29</f>
        <v>31784</v>
      </c>
      <c r="AJ29" s="2333">
        <v>4138517.05</v>
      </c>
      <c r="AK29" s="2337">
        <v>0</v>
      </c>
      <c r="AM29" s="2119">
        <v>0</v>
      </c>
      <c r="AN29" s="2114">
        <v>12910.58</v>
      </c>
      <c r="AO29" s="2114">
        <f>+AM29+AN29</f>
        <v>12910.58</v>
      </c>
      <c r="AP29" s="2333">
        <v>4780957.41</v>
      </c>
      <c r="AQ29" s="2337">
        <v>0</v>
      </c>
      <c r="AS29" s="2119">
        <v>0</v>
      </c>
      <c r="AT29" s="2114">
        <v>7452.66</v>
      </c>
      <c r="AU29" s="2114">
        <f>+AS29+AT29</f>
        <v>7452.66</v>
      </c>
      <c r="AV29" s="2333">
        <v>3564219</v>
      </c>
      <c r="AW29" s="2337">
        <v>0</v>
      </c>
      <c r="AY29" s="2119"/>
      <c r="AZ29" s="2114">
        <v>2300</v>
      </c>
      <c r="BA29" s="2114">
        <f>+AY29+AZ29</f>
        <v>2300</v>
      </c>
      <c r="BB29" s="2333">
        <v>2913175</v>
      </c>
      <c r="BC29" s="2337">
        <v>0</v>
      </c>
      <c r="BE29" s="2119">
        <v>0</v>
      </c>
      <c r="BF29" s="2114">
        <v>0</v>
      </c>
      <c r="BG29" s="2114">
        <f>+BE29+BF29</f>
        <v>0</v>
      </c>
      <c r="BH29" s="2333">
        <v>4800208.3600000003</v>
      </c>
      <c r="BI29" s="2337">
        <v>0</v>
      </c>
      <c r="BK29" s="2119">
        <v>0</v>
      </c>
      <c r="BL29" s="2114">
        <v>0</v>
      </c>
      <c r="BM29" s="2114">
        <f>+BK29+BL29</f>
        <v>0</v>
      </c>
      <c r="BN29" s="2333">
        <v>5232.0860000000002</v>
      </c>
      <c r="BO29" s="2337">
        <v>0</v>
      </c>
    </row>
    <row r="30" spans="1:67">
      <c r="A30" s="2116" t="s">
        <v>85</v>
      </c>
      <c r="C30" s="2119">
        <v>0</v>
      </c>
      <c r="D30" s="2114">
        <v>6294250</v>
      </c>
      <c r="E30" s="2114">
        <v>6294250</v>
      </c>
      <c r="F30" s="2333">
        <v>23424791</v>
      </c>
      <c r="G30" s="2337">
        <f t="shared" si="31"/>
        <v>0.26870036962122734</v>
      </c>
      <c r="I30" s="2119">
        <v>0</v>
      </c>
      <c r="J30" s="2114">
        <v>3735123</v>
      </c>
      <c r="K30" s="2114">
        <v>3735123</v>
      </c>
      <c r="L30" s="2333">
        <v>22880956</v>
      </c>
      <c r="M30" s="2337">
        <f t="shared" si="32"/>
        <v>0.1632415621095552</v>
      </c>
      <c r="N30" s="90"/>
      <c r="O30" s="2119">
        <v>0</v>
      </c>
      <c r="P30" s="2114">
        <v>1415834</v>
      </c>
      <c r="Q30" s="2114">
        <v>1415834</v>
      </c>
      <c r="R30" s="2333">
        <v>21090601</v>
      </c>
      <c r="S30" s="2337">
        <f t="shared" si="33"/>
        <v>6.7131040978870155E-2</v>
      </c>
      <c r="U30" s="2119">
        <v>0</v>
      </c>
      <c r="V30" s="2114">
        <v>960463</v>
      </c>
      <c r="W30" s="2114">
        <f>SUM(U30:V30)</f>
        <v>960463</v>
      </c>
      <c r="X30" s="2333">
        <v>18765109</v>
      </c>
      <c r="Y30" s="2337">
        <f t="shared" si="34"/>
        <v>5.1183449027660859E-2</v>
      </c>
      <c r="AA30" s="2119">
        <v>1768238</v>
      </c>
      <c r="AB30" s="2114">
        <f>3510236-AA30</f>
        <v>1741998</v>
      </c>
      <c r="AC30" s="2114">
        <f>+AA30+AB30</f>
        <v>3510236</v>
      </c>
      <c r="AD30" s="2333">
        <v>19196986.920000002</v>
      </c>
      <c r="AE30" s="2337">
        <f t="shared" si="24"/>
        <v>0.18285348709296301</v>
      </c>
      <c r="AG30" s="2119">
        <v>1989230.48</v>
      </c>
      <c r="AH30" s="2114">
        <v>1427117.9800000002</v>
      </c>
      <c r="AI30" s="2114">
        <f>+AG30+AH30</f>
        <v>3416348.46</v>
      </c>
      <c r="AJ30" s="2333">
        <v>20633226.120000005</v>
      </c>
      <c r="AK30" s="2337">
        <f>+AI30/AJ30</f>
        <v>0.16557509912075732</v>
      </c>
      <c r="AM30" s="2119">
        <v>385129</v>
      </c>
      <c r="AN30" s="2114">
        <f>215831+965704</f>
        <v>1181535</v>
      </c>
      <c r="AO30" s="2114">
        <f>+AM30+AN30</f>
        <v>1566664</v>
      </c>
      <c r="AP30" s="2333">
        <v>21348161.84</v>
      </c>
      <c r="AQ30" s="2337">
        <f>+AO30/AP30</f>
        <v>7.3386365146649091E-2</v>
      </c>
      <c r="AS30" s="2119">
        <v>267543.06</v>
      </c>
      <c r="AT30" s="2114">
        <v>846789.98</v>
      </c>
      <c r="AU30" s="2114">
        <f>+AS30+AT30</f>
        <v>1114333.04</v>
      </c>
      <c r="AV30" s="2333">
        <v>20444172</v>
      </c>
      <c r="AW30" s="2337">
        <f>+AU30/AV30</f>
        <v>5.4506146788434379E-2</v>
      </c>
      <c r="AY30" s="2119">
        <v>619225</v>
      </c>
      <c r="AZ30" s="2114">
        <v>944155</v>
      </c>
      <c r="BA30" s="2114">
        <f>+AY30+AZ30</f>
        <v>1563380</v>
      </c>
      <c r="BB30" s="2333">
        <v>19064928</v>
      </c>
      <c r="BC30" s="2337">
        <f>+BA30/BB30</f>
        <v>8.2002932295364553E-2</v>
      </c>
      <c r="BE30" s="2119">
        <v>491471.12</v>
      </c>
      <c r="BF30" s="2114">
        <v>35657.11</v>
      </c>
      <c r="BG30" s="2114">
        <f>+BE30+BF30</f>
        <v>527128.23</v>
      </c>
      <c r="BH30" s="2333">
        <v>20081923.68</v>
      </c>
      <c r="BI30" s="2337">
        <f>+BG30/BH30</f>
        <v>2.6248891211800483E-2</v>
      </c>
      <c r="BK30" s="2119">
        <v>266.20400000000001</v>
      </c>
      <c r="BL30" s="2114">
        <v>16.149999999999999</v>
      </c>
      <c r="BM30" s="2114">
        <f>+BK30+BL30</f>
        <v>282.35399999999998</v>
      </c>
      <c r="BN30" s="2333">
        <v>14247.491</v>
      </c>
      <c r="BO30" s="2337">
        <f>+BM30/BN30</f>
        <v>1.9817805113896896E-2</v>
      </c>
    </row>
    <row r="31" spans="1:67">
      <c r="A31" s="2116" t="s">
        <v>86</v>
      </c>
      <c r="C31" s="2119">
        <v>0</v>
      </c>
      <c r="D31" s="2114">
        <v>91296</v>
      </c>
      <c r="E31" s="2114">
        <v>91296</v>
      </c>
      <c r="F31" s="2333">
        <v>3064158</v>
      </c>
      <c r="G31" s="2337">
        <f t="shared" si="31"/>
        <v>2.9794808231168236E-2</v>
      </c>
      <c r="I31" s="2119">
        <v>0</v>
      </c>
      <c r="J31" s="2114">
        <v>0</v>
      </c>
      <c r="K31" s="2114">
        <v>0</v>
      </c>
      <c r="L31" s="2333">
        <v>4207998</v>
      </c>
      <c r="M31" s="2337">
        <f t="shared" si="32"/>
        <v>0</v>
      </c>
      <c r="N31" s="90"/>
      <c r="O31" s="2119">
        <v>0</v>
      </c>
      <c r="P31" s="2114">
        <v>0</v>
      </c>
      <c r="Q31" s="2114">
        <v>0</v>
      </c>
      <c r="R31" s="2333">
        <v>4069001</v>
      </c>
      <c r="S31" s="2337">
        <f t="shared" si="33"/>
        <v>0</v>
      </c>
      <c r="U31" s="2119">
        <v>0</v>
      </c>
      <c r="V31" s="2114">
        <v>0</v>
      </c>
      <c r="W31" s="2114">
        <f>SUM(U31:V31)</f>
        <v>0</v>
      </c>
      <c r="X31" s="2333">
        <v>16912481</v>
      </c>
      <c r="Y31" s="2337">
        <f t="shared" si="34"/>
        <v>0</v>
      </c>
      <c r="AA31" s="2119">
        <v>0</v>
      </c>
      <c r="AB31" s="2114">
        <v>37194</v>
      </c>
      <c r="AC31" s="2114">
        <f>+AA31+AB31</f>
        <v>37194</v>
      </c>
      <c r="AD31" s="2333">
        <v>3012217.26</v>
      </c>
      <c r="AE31" s="2337">
        <f t="shared" si="24"/>
        <v>1.234771491881034E-2</v>
      </c>
      <c r="AG31" s="2119">
        <v>0</v>
      </c>
      <c r="AH31" s="2114">
        <v>67066.42</v>
      </c>
      <c r="AI31" s="2114">
        <f>+AG31+AH31</f>
        <v>67066.42</v>
      </c>
      <c r="AJ31" s="2333">
        <v>13940856.409999998</v>
      </c>
      <c r="AK31" s="2337">
        <v>0</v>
      </c>
      <c r="AM31" s="2119">
        <v>0</v>
      </c>
      <c r="AN31" s="2114">
        <v>12510.8</v>
      </c>
      <c r="AO31" s="2114">
        <f>+AM31+AN31</f>
        <v>12510.8</v>
      </c>
      <c r="AP31" s="2333">
        <v>2564707.16</v>
      </c>
      <c r="AQ31" s="2337">
        <v>0</v>
      </c>
      <c r="AS31" s="2119"/>
      <c r="AT31" s="2114">
        <v>27979.85</v>
      </c>
      <c r="AU31" s="2114">
        <f>+AS31+AT31</f>
        <v>27979.85</v>
      </c>
      <c r="AV31" s="2333">
        <v>99531449</v>
      </c>
      <c r="AW31" s="2337">
        <v>0</v>
      </c>
      <c r="AY31" s="2119"/>
      <c r="AZ31" s="2114">
        <v>25380</v>
      </c>
      <c r="BA31" s="2114">
        <f>+AY31+AZ31</f>
        <v>25380</v>
      </c>
      <c r="BB31" s="2333">
        <v>39157824</v>
      </c>
      <c r="BC31" s="2337">
        <v>0</v>
      </c>
      <c r="BE31" s="2119">
        <v>0</v>
      </c>
      <c r="BF31" s="2114">
        <v>12858.65</v>
      </c>
      <c r="BG31" s="2114">
        <f>+BE31+BF31</f>
        <v>12858.65</v>
      </c>
      <c r="BH31" s="2333">
        <v>374097533.61000001</v>
      </c>
      <c r="BI31" s="2337">
        <v>0</v>
      </c>
      <c r="BK31" s="2119">
        <v>0</v>
      </c>
      <c r="BL31" s="2114">
        <v>0</v>
      </c>
      <c r="BM31" s="2114">
        <f>+BK31+BL31</f>
        <v>0</v>
      </c>
      <c r="BN31" s="2333">
        <v>63335.339</v>
      </c>
      <c r="BO31" s="2337">
        <v>0</v>
      </c>
    </row>
    <row r="32" spans="1:67">
      <c r="A32" s="2117" t="s">
        <v>244</v>
      </c>
      <c r="C32" s="2121">
        <v>0</v>
      </c>
      <c r="D32" s="2122">
        <v>6787170</v>
      </c>
      <c r="E32" s="2122">
        <v>6787170</v>
      </c>
      <c r="F32" s="2334">
        <v>41204699</v>
      </c>
      <c r="G32" s="2339">
        <f t="shared" si="31"/>
        <v>0.16471834923487733</v>
      </c>
      <c r="I32" s="2121">
        <v>0</v>
      </c>
      <c r="J32" s="2122">
        <v>3738045</v>
      </c>
      <c r="K32" s="2122">
        <v>3738045</v>
      </c>
      <c r="L32" s="2334">
        <v>39280671</v>
      </c>
      <c r="M32" s="2339">
        <f t="shared" si="32"/>
        <v>9.5162452800258937E-2</v>
      </c>
      <c r="N32" s="90"/>
      <c r="O32" s="2121">
        <v>0</v>
      </c>
      <c r="P32" s="2122">
        <v>1423698</v>
      </c>
      <c r="Q32" s="2122">
        <v>1423698</v>
      </c>
      <c r="R32" s="2334">
        <v>40402862</v>
      </c>
      <c r="S32" s="2339">
        <f t="shared" si="33"/>
        <v>3.5237553220858461E-2</v>
      </c>
      <c r="U32" s="2121">
        <f>SUM(U27:U31)</f>
        <v>0</v>
      </c>
      <c r="V32" s="2122">
        <f>SUM(V27:V31)</f>
        <v>960463</v>
      </c>
      <c r="W32" s="2122">
        <f>SUM(W27:W31)</f>
        <v>960463</v>
      </c>
      <c r="X32" s="2334">
        <f>SUM(X27:X31)</f>
        <v>49204528</v>
      </c>
      <c r="Y32" s="2339">
        <f t="shared" si="34"/>
        <v>1.9519809233816854E-2</v>
      </c>
      <c r="AA32" s="2121">
        <f>SUM(AA27:AA31)</f>
        <v>1768238</v>
      </c>
      <c r="AB32" s="2122">
        <f>SUM(AB27:AB31)</f>
        <v>1820550</v>
      </c>
      <c r="AC32" s="2122">
        <f>SUM(AC27:AC31)</f>
        <v>3588788</v>
      </c>
      <c r="AD32" s="2334">
        <f>SUM(AD27:AD31)</f>
        <v>37678649.460000001</v>
      </c>
      <c r="AE32" s="2339">
        <f>+AC32/AD32</f>
        <v>9.5247256773624278E-2</v>
      </c>
      <c r="AG32" s="2121">
        <f>SUM(AG27:AG31)</f>
        <v>2052426.41</v>
      </c>
      <c r="AH32" s="2122">
        <f>SUM(AH27:AH31)</f>
        <v>1532023.4100000001</v>
      </c>
      <c r="AI32" s="2122">
        <f>SUM(AI27:AI31)</f>
        <v>3584449.82</v>
      </c>
      <c r="AJ32" s="2334">
        <f>SUM(AJ27:AJ31)</f>
        <v>47808374.859999999</v>
      </c>
      <c r="AK32" s="2339">
        <f>+AI32/AJ32</f>
        <v>7.4975353805615638E-2</v>
      </c>
      <c r="AM32" s="2121">
        <f>SUM(AM27:AM31)</f>
        <v>385129</v>
      </c>
      <c r="AN32" s="2122">
        <f>SUM(AN27:AN31)</f>
        <v>1209806.3800000001</v>
      </c>
      <c r="AO32" s="2122">
        <f>SUM(AO27:AO31)</f>
        <v>1594935.3800000001</v>
      </c>
      <c r="AP32" s="2334">
        <f>SUM(AP27:AP31)</f>
        <v>36624278.170000002</v>
      </c>
      <c r="AQ32" s="2339">
        <f>+AO32/AP32</f>
        <v>4.3548581970591776E-2</v>
      </c>
      <c r="AS32" s="2121">
        <f>SUM(AS27:AS31)</f>
        <v>267543.06</v>
      </c>
      <c r="AT32" s="2122">
        <f>SUM(AT27:AT31)</f>
        <v>884377.65999999992</v>
      </c>
      <c r="AU32" s="2122">
        <f>SUM(AU27:AU31)</f>
        <v>1151920.7200000002</v>
      </c>
      <c r="AV32" s="2334">
        <f>SUM(AV27:AV31)</f>
        <v>130432304</v>
      </c>
      <c r="AW32" s="2339">
        <f>+AU32/AV32</f>
        <v>8.8315600098576828E-3</v>
      </c>
      <c r="AY32" s="2121">
        <f>SUM(AY27:AY31)</f>
        <v>619225</v>
      </c>
      <c r="AZ32" s="2122">
        <f>SUM(AZ27:AZ31)</f>
        <v>976295</v>
      </c>
      <c r="BA32" s="2122">
        <f>SUM(BA27:BA31)</f>
        <v>1595520</v>
      </c>
      <c r="BB32" s="2334">
        <f>SUM(BB27:BB31)</f>
        <v>66179104</v>
      </c>
      <c r="BC32" s="2339">
        <f>+BA32/BB32</f>
        <v>2.4109120607012147E-2</v>
      </c>
      <c r="BE32" s="2121">
        <f>SUM(BE27:BE31)</f>
        <v>491471.12</v>
      </c>
      <c r="BF32" s="2122">
        <f>SUM(BF27:BF31)</f>
        <v>48515.76</v>
      </c>
      <c r="BG32" s="2122">
        <f>SUM(BG27:BG31)</f>
        <v>539986.88</v>
      </c>
      <c r="BH32" s="2334">
        <f>SUM(BH27:BH31)</f>
        <v>405874708.53000003</v>
      </c>
      <c r="BI32" s="2339">
        <f>+BG32/BH32</f>
        <v>1.330427515318036E-3</v>
      </c>
      <c r="BK32" s="2121">
        <f>SUM(BK27:BK31)</f>
        <v>266.20400000000001</v>
      </c>
      <c r="BL32" s="2122">
        <f>SUM(BL27:BL31)</f>
        <v>16.149999999999999</v>
      </c>
      <c r="BM32" s="2122">
        <f>SUM(BM27:BM31)</f>
        <v>282.35399999999998</v>
      </c>
      <c r="BN32" s="2334">
        <f>SUM(BN27:BN31)</f>
        <v>89759.305999999997</v>
      </c>
      <c r="BO32" s="2339">
        <f>+BM32/BN32</f>
        <v>3.145679401754733E-3</v>
      </c>
    </row>
    <row r="33" spans="1:67">
      <c r="A33" s="129"/>
      <c r="G33" s="2341"/>
      <c r="M33" s="2341"/>
      <c r="N33" s="90"/>
      <c r="S33" s="2341"/>
      <c r="U33" s="2554"/>
      <c r="V33" s="2554"/>
      <c r="W33" s="2554"/>
      <c r="X33" s="2554"/>
      <c r="Y33" s="2341"/>
      <c r="AA33" s="2554"/>
      <c r="AB33" s="2554"/>
      <c r="AC33" s="2554"/>
      <c r="AD33" s="2554"/>
      <c r="AE33" s="2341"/>
      <c r="AG33" s="2554"/>
      <c r="AH33" s="2554"/>
      <c r="AI33" s="2554"/>
      <c r="AJ33" s="2554"/>
      <c r="AK33" s="2341"/>
      <c r="AM33" s="2554"/>
      <c r="AN33" s="2554"/>
      <c r="AO33" s="2554"/>
      <c r="AP33" s="2554"/>
      <c r="AQ33" s="2341"/>
      <c r="AS33" s="2554"/>
      <c r="AT33" s="2554"/>
      <c r="AU33" s="2554"/>
      <c r="AV33" s="2554"/>
      <c r="AW33" s="2341"/>
      <c r="AY33" s="2554"/>
      <c r="AZ33" s="2554"/>
      <c r="BA33" s="2554"/>
      <c r="BB33" s="2554"/>
      <c r="BC33" s="2341"/>
      <c r="BE33" s="2554"/>
      <c r="BF33" s="2554"/>
      <c r="BG33" s="2554"/>
      <c r="BH33" s="2554"/>
      <c r="BI33" s="2341"/>
      <c r="BK33" s="2554"/>
      <c r="BL33" s="2554"/>
      <c r="BM33" s="2554"/>
      <c r="BN33" s="2554"/>
      <c r="BO33" s="2341"/>
    </row>
    <row r="34" spans="1:67">
      <c r="A34" s="2115" t="s">
        <v>16</v>
      </c>
      <c r="C34" s="2118">
        <v>0</v>
      </c>
      <c r="D34" s="2113">
        <v>135803</v>
      </c>
      <c r="E34" s="2113">
        <v>135803</v>
      </c>
      <c r="F34" s="2332">
        <v>15087465</v>
      </c>
      <c r="G34" s="2336">
        <f t="shared" ref="G34:G39" si="35">+E34/F34</f>
        <v>9.0010482211557736E-3</v>
      </c>
      <c r="I34" s="2118">
        <v>0</v>
      </c>
      <c r="J34" s="2113">
        <v>0</v>
      </c>
      <c r="K34" s="2113">
        <v>0</v>
      </c>
      <c r="L34" s="2332">
        <v>19224846</v>
      </c>
      <c r="M34" s="2336">
        <f t="shared" ref="M34:M39" si="36">+K34/L34</f>
        <v>0</v>
      </c>
      <c r="N34" s="90"/>
      <c r="O34" s="2118">
        <v>0</v>
      </c>
      <c r="P34" s="2113">
        <v>1875</v>
      </c>
      <c r="Q34" s="2113">
        <v>1875</v>
      </c>
      <c r="R34" s="2332">
        <v>19049515</v>
      </c>
      <c r="S34" s="2336">
        <f t="shared" ref="S34:S39" si="37">+Q34/R34</f>
        <v>9.8427702752537272E-5</v>
      </c>
      <c r="U34" s="2118">
        <v>0</v>
      </c>
      <c r="V34" s="2113">
        <v>1073</v>
      </c>
      <c r="W34" s="2113">
        <f>SUM(U34:V34)</f>
        <v>1073</v>
      </c>
      <c r="X34" s="2332">
        <v>18879687</v>
      </c>
      <c r="Y34" s="2336">
        <f t="shared" ref="Y34:Y39" si="38">+W34/X34</f>
        <v>5.6833569327711842E-5</v>
      </c>
      <c r="AA34" s="2118">
        <v>44798</v>
      </c>
      <c r="AB34" s="2113">
        <f>168837-AA34</f>
        <v>124039</v>
      </c>
      <c r="AC34" s="2113">
        <f>+AA34+AB34</f>
        <v>168837</v>
      </c>
      <c r="AD34" s="2332">
        <v>19478020.060000006</v>
      </c>
      <c r="AE34" s="2336">
        <f t="shared" ref="AE34:AE39" si="39">+AC34/AD34</f>
        <v>8.6680781455155745E-3</v>
      </c>
      <c r="AG34" s="2118">
        <v>23200.35</v>
      </c>
      <c r="AH34" s="2113">
        <v>21576</v>
      </c>
      <c r="AI34" s="2113">
        <f>+AG34+AH34</f>
        <v>44776.35</v>
      </c>
      <c r="AJ34" s="2332">
        <v>17616448.400000006</v>
      </c>
      <c r="AK34" s="2336">
        <f t="shared" ref="AK34:AK39" si="40">+AI34/AJ34</f>
        <v>2.5417353704507194E-3</v>
      </c>
      <c r="AM34" s="2118">
        <v>4314.5200000000004</v>
      </c>
      <c r="AN34" s="2113">
        <v>23619.84</v>
      </c>
      <c r="AO34" s="2113">
        <f>+AM34+AN34</f>
        <v>27934.36</v>
      </c>
      <c r="AP34" s="2332">
        <v>21311032.98</v>
      </c>
      <c r="AQ34" s="2336">
        <f t="shared" ref="AQ34:AQ39" si="41">+AO34/AP34</f>
        <v>1.3107933353683919E-3</v>
      </c>
      <c r="AS34" s="2118">
        <v>60623.89</v>
      </c>
      <c r="AT34" s="2113">
        <v>31499.81</v>
      </c>
      <c r="AU34" s="2113">
        <f>+AS34+AT34</f>
        <v>92123.7</v>
      </c>
      <c r="AV34" s="2332">
        <v>24160163</v>
      </c>
      <c r="AW34" s="2336">
        <f t="shared" ref="AW34:AW39" si="42">+AU34/AV34</f>
        <v>3.8130413275771356E-3</v>
      </c>
      <c r="AY34" s="2118">
        <v>74862</v>
      </c>
      <c r="AZ34" s="2113">
        <v>57603</v>
      </c>
      <c r="BA34" s="2113">
        <f>+AY34+AZ34</f>
        <v>132465</v>
      </c>
      <c r="BB34" s="2332">
        <v>21506416</v>
      </c>
      <c r="BC34" s="2336">
        <f t="shared" ref="BC34:BC39" si="43">+BA34/BB34</f>
        <v>6.1593247336050785E-3</v>
      </c>
      <c r="BE34" s="2118">
        <v>621988.28</v>
      </c>
      <c r="BF34" s="2113">
        <v>93707.93</v>
      </c>
      <c r="BG34" s="2113">
        <f>+BE34+BF34</f>
        <v>715696.21</v>
      </c>
      <c r="BH34" s="2332">
        <v>33605041.789999999</v>
      </c>
      <c r="BI34" s="2336">
        <f t="shared" ref="BI34:BI39" si="44">+BG34/BH34</f>
        <v>2.1297286712881662E-2</v>
      </c>
      <c r="BK34" s="2118">
        <v>528.23199999999997</v>
      </c>
      <c r="BL34" s="2113">
        <v>26.835999999999999</v>
      </c>
      <c r="BM34" s="2113">
        <f>+BK34+BL34</f>
        <v>555.06799999999998</v>
      </c>
      <c r="BN34" s="2332">
        <v>22352.589</v>
      </c>
      <c r="BO34" s="2336">
        <f t="shared" ref="BO34:BO39" si="45">+BM34/BN34</f>
        <v>2.4832380714377201E-2</v>
      </c>
    </row>
    <row r="35" spans="1:67">
      <c r="A35" s="2116" t="s">
        <v>41</v>
      </c>
      <c r="C35" s="2119">
        <v>0</v>
      </c>
      <c r="D35" s="2114">
        <v>126156</v>
      </c>
      <c r="E35" s="2114">
        <v>126156</v>
      </c>
      <c r="F35" s="2333">
        <v>22256067</v>
      </c>
      <c r="G35" s="2337">
        <f t="shared" si="35"/>
        <v>5.6683869616316303E-3</v>
      </c>
      <c r="I35" s="2119">
        <v>0</v>
      </c>
      <c r="J35" s="2114">
        <v>6264</v>
      </c>
      <c r="K35" s="2114">
        <v>6264</v>
      </c>
      <c r="L35" s="2333">
        <v>29370469</v>
      </c>
      <c r="M35" s="2337">
        <f t="shared" si="36"/>
        <v>2.1327545024902393E-4</v>
      </c>
      <c r="N35" s="90"/>
      <c r="O35" s="2119">
        <v>86762</v>
      </c>
      <c r="P35" s="2114">
        <v>37377</v>
      </c>
      <c r="Q35" s="2114">
        <v>124139</v>
      </c>
      <c r="R35" s="2333">
        <v>26985430</v>
      </c>
      <c r="S35" s="2337">
        <f t="shared" si="37"/>
        <v>4.6002231574594141E-3</v>
      </c>
      <c r="U35" s="2119">
        <v>0</v>
      </c>
      <c r="V35" s="2114">
        <v>51159</v>
      </c>
      <c r="W35" s="2114">
        <f>SUM(U35:V35)</f>
        <v>51159</v>
      </c>
      <c r="X35" s="2333">
        <v>21962210</v>
      </c>
      <c r="Y35" s="2337">
        <f t="shared" si="38"/>
        <v>2.3294103826527477E-3</v>
      </c>
      <c r="AA35" s="2119">
        <v>53759</v>
      </c>
      <c r="AB35" s="2114">
        <f>406351-AA35</f>
        <v>352592</v>
      </c>
      <c r="AC35" s="2114">
        <f>+AA35+AB35</f>
        <v>406351</v>
      </c>
      <c r="AD35" s="2333">
        <v>32642382.870000001</v>
      </c>
      <c r="AE35" s="2337">
        <f t="shared" si="39"/>
        <v>1.2448570363821604E-2</v>
      </c>
      <c r="AG35" s="2119">
        <v>89316.69</v>
      </c>
      <c r="AH35" s="2114">
        <v>359347.30000000005</v>
      </c>
      <c r="AI35" s="2114">
        <f>+AG35+AH35</f>
        <v>448663.99000000005</v>
      </c>
      <c r="AJ35" s="2333">
        <v>26656157.239999998</v>
      </c>
      <c r="AK35" s="2337">
        <f t="shared" si="40"/>
        <v>1.6831532991062145E-2</v>
      </c>
      <c r="AM35" s="2119">
        <v>410763.73</v>
      </c>
      <c r="AN35" s="2114">
        <v>241672.24</v>
      </c>
      <c r="AO35" s="2114">
        <f>+AM35+AN35</f>
        <v>652435.97</v>
      </c>
      <c r="AP35" s="2333">
        <v>23886675.709999997</v>
      </c>
      <c r="AQ35" s="2337">
        <f t="shared" si="41"/>
        <v>2.7313803641871439E-2</v>
      </c>
      <c r="AS35" s="2119">
        <v>197296.09</v>
      </c>
      <c r="AT35" s="2114">
        <v>297030.87</v>
      </c>
      <c r="AU35" s="2114">
        <f>+AS35+AT35</f>
        <v>494326.95999999996</v>
      </c>
      <c r="AV35" s="2333">
        <v>25310759</v>
      </c>
      <c r="AW35" s="2337">
        <f t="shared" si="42"/>
        <v>1.953030962050565E-2</v>
      </c>
      <c r="AY35" s="2119">
        <v>477675</v>
      </c>
      <c r="AZ35" s="2114">
        <v>109987</v>
      </c>
      <c r="BA35" s="2114">
        <f>+AY35+AZ35</f>
        <v>587662</v>
      </c>
      <c r="BB35" s="2333">
        <v>23583589</v>
      </c>
      <c r="BC35" s="2337">
        <f t="shared" si="43"/>
        <v>2.4918259896744299E-2</v>
      </c>
      <c r="BE35" s="2119">
        <v>548827.1</v>
      </c>
      <c r="BF35" s="2114">
        <v>482532.49</v>
      </c>
      <c r="BG35" s="2114">
        <f>+BE35+BF35</f>
        <v>1031359.59</v>
      </c>
      <c r="BH35" s="2333">
        <v>47855210.240000099</v>
      </c>
      <c r="BI35" s="2337">
        <f t="shared" si="44"/>
        <v>2.1551667724947765E-2</v>
      </c>
      <c r="BK35" s="2119">
        <v>868.64</v>
      </c>
      <c r="BL35" s="2114">
        <v>7.7990000000000004</v>
      </c>
      <c r="BM35" s="2114">
        <f>+BK35+BL35</f>
        <v>876.43899999999996</v>
      </c>
      <c r="BN35" s="2333">
        <v>37177.546999999999</v>
      </c>
      <c r="BO35" s="2337">
        <f t="shared" si="45"/>
        <v>2.3574417107185688E-2</v>
      </c>
    </row>
    <row r="36" spans="1:67">
      <c r="A36" s="2116" t="s">
        <v>21</v>
      </c>
      <c r="C36" s="2119">
        <v>0</v>
      </c>
      <c r="D36" s="2114">
        <v>114805</v>
      </c>
      <c r="E36" s="2114">
        <v>114805</v>
      </c>
      <c r="F36" s="2333">
        <v>8057122</v>
      </c>
      <c r="G36" s="2337">
        <f t="shared" si="35"/>
        <v>1.4248884403140476E-2</v>
      </c>
      <c r="I36" s="2119">
        <v>0</v>
      </c>
      <c r="J36" s="2114">
        <v>15000</v>
      </c>
      <c r="K36" s="2114">
        <v>15000</v>
      </c>
      <c r="L36" s="2333">
        <v>8594916</v>
      </c>
      <c r="M36" s="2337">
        <f t="shared" si="36"/>
        <v>1.7452177543096407E-3</v>
      </c>
      <c r="N36" s="90"/>
      <c r="O36" s="2119">
        <v>0</v>
      </c>
      <c r="P36" s="2114">
        <v>0</v>
      </c>
      <c r="Q36" s="2114">
        <v>0</v>
      </c>
      <c r="R36" s="2333">
        <v>8320422</v>
      </c>
      <c r="S36" s="2337">
        <f t="shared" si="37"/>
        <v>0</v>
      </c>
      <c r="U36" s="2119">
        <v>0</v>
      </c>
      <c r="V36" s="2114">
        <v>0</v>
      </c>
      <c r="W36" s="2114">
        <f>SUM(U36:V36)</f>
        <v>0</v>
      </c>
      <c r="X36" s="2333">
        <v>8079415</v>
      </c>
      <c r="Y36" s="2337">
        <f t="shared" si="38"/>
        <v>0</v>
      </c>
      <c r="AA36" s="2119">
        <v>69634</v>
      </c>
      <c r="AB36" s="2114">
        <f>214555-AA36</f>
        <v>144921</v>
      </c>
      <c r="AC36" s="2114">
        <f>+AA36+AB36</f>
        <v>214555</v>
      </c>
      <c r="AD36" s="2333">
        <v>9686179.9199999999</v>
      </c>
      <c r="AE36" s="2337">
        <f t="shared" si="39"/>
        <v>2.2150631288294302E-2</v>
      </c>
      <c r="AG36" s="2119">
        <v>44769.56</v>
      </c>
      <c r="AH36" s="2114">
        <v>58301.97</v>
      </c>
      <c r="AI36" s="2114">
        <f>+AG36+AH36</f>
        <v>103071.53</v>
      </c>
      <c r="AJ36" s="2333">
        <v>8236932.9500000011</v>
      </c>
      <c r="AK36" s="2337">
        <f t="shared" si="40"/>
        <v>1.251333847509345E-2</v>
      </c>
      <c r="AM36" s="2119">
        <v>78188.160000000003</v>
      </c>
      <c r="AN36" s="2114">
        <v>56365.91</v>
      </c>
      <c r="AO36" s="2114">
        <f>+AM36+AN36</f>
        <v>134554.07</v>
      </c>
      <c r="AP36" s="2333">
        <v>8340963</v>
      </c>
      <c r="AQ36" s="2337">
        <f t="shared" si="41"/>
        <v>1.6131718843495652E-2</v>
      </c>
      <c r="AS36" s="2119">
        <v>273422.06</v>
      </c>
      <c r="AT36" s="2114">
        <v>54399.479999999996</v>
      </c>
      <c r="AU36" s="2114">
        <f>+AS36+AT36</f>
        <v>327821.53999999998</v>
      </c>
      <c r="AV36" s="2333">
        <v>11732581</v>
      </c>
      <c r="AW36" s="2337">
        <f t="shared" si="42"/>
        <v>2.7941127361490195E-2</v>
      </c>
      <c r="AY36" s="2119">
        <v>124230</v>
      </c>
      <c r="AZ36" s="2114">
        <v>103651</v>
      </c>
      <c r="BA36" s="2114">
        <f>+AY36+AZ36</f>
        <v>227881</v>
      </c>
      <c r="BB36" s="2333">
        <v>8278046</v>
      </c>
      <c r="BC36" s="2337">
        <f t="shared" si="43"/>
        <v>2.7528356329500948E-2</v>
      </c>
      <c r="BE36" s="2119">
        <v>595850.96</v>
      </c>
      <c r="BF36" s="2114">
        <v>156453.99</v>
      </c>
      <c r="BG36" s="2114">
        <f>+BE36+BF36</f>
        <v>752304.95</v>
      </c>
      <c r="BH36" s="2333">
        <v>14017052.529999999</v>
      </c>
      <c r="BI36" s="2337">
        <f t="shared" si="44"/>
        <v>5.3670694918912458E-2</v>
      </c>
      <c r="BK36" s="2119">
        <v>140.614</v>
      </c>
      <c r="BL36" s="2114">
        <v>116.163</v>
      </c>
      <c r="BM36" s="2114">
        <f>+BK36+BL36</f>
        <v>256.77699999999999</v>
      </c>
      <c r="BN36" s="2333">
        <v>10637.235000000001</v>
      </c>
      <c r="BO36" s="2337">
        <f t="shared" si="45"/>
        <v>2.4139449772426762E-2</v>
      </c>
    </row>
    <row r="37" spans="1:67">
      <c r="A37" s="2116" t="s">
        <v>85</v>
      </c>
      <c r="C37" s="2119">
        <v>12107354</v>
      </c>
      <c r="D37" s="2114">
        <v>23775747</v>
      </c>
      <c r="E37" s="2114">
        <v>35883101</v>
      </c>
      <c r="F37" s="2333">
        <v>112251486</v>
      </c>
      <c r="G37" s="2337">
        <f t="shared" si="35"/>
        <v>0.31966704654582478</v>
      </c>
      <c r="I37" s="2119">
        <v>9337582</v>
      </c>
      <c r="J37" s="2114">
        <v>3735123</v>
      </c>
      <c r="K37" s="2114">
        <v>13072705</v>
      </c>
      <c r="L37" s="2333">
        <v>94038705</v>
      </c>
      <c r="M37" s="2337">
        <f t="shared" si="36"/>
        <v>0.13901408999624143</v>
      </c>
      <c r="N37" s="90"/>
      <c r="O37" s="2119">
        <v>7945298</v>
      </c>
      <c r="P37" s="2114">
        <v>5374360</v>
      </c>
      <c r="Q37" s="2114">
        <v>13319658</v>
      </c>
      <c r="R37" s="2333">
        <v>116676708</v>
      </c>
      <c r="S37" s="2337">
        <f t="shared" si="37"/>
        <v>0.1141586716690704</v>
      </c>
      <c r="U37" s="2119">
        <v>466079</v>
      </c>
      <c r="V37" s="2114">
        <v>1005828</v>
      </c>
      <c r="W37" s="2114">
        <f>SUM(U37:V37)</f>
        <v>1471907</v>
      </c>
      <c r="X37" s="2333">
        <v>98266177</v>
      </c>
      <c r="Y37" s="2337">
        <f t="shared" si="38"/>
        <v>1.4978775453938744E-2</v>
      </c>
      <c r="AA37" s="2119">
        <v>4509037</v>
      </c>
      <c r="AB37" s="2114">
        <f>24014549-AA37</f>
        <v>19505512</v>
      </c>
      <c r="AC37" s="2114">
        <f>+AA37+AB37</f>
        <v>24014549</v>
      </c>
      <c r="AD37" s="2333">
        <v>97869214.650000021</v>
      </c>
      <c r="AE37" s="2337">
        <f t="shared" si="39"/>
        <v>0.24537388070274041</v>
      </c>
      <c r="AG37" s="2119">
        <v>11981416.470000001</v>
      </c>
      <c r="AH37" s="2114">
        <v>17561928.890000001</v>
      </c>
      <c r="AI37" s="2114">
        <f>+AG37+AH37</f>
        <v>29543345.359999999</v>
      </c>
      <c r="AJ37" s="2333">
        <v>131602000.14</v>
      </c>
      <c r="AK37" s="2337">
        <f t="shared" si="40"/>
        <v>0.22449009383270305</v>
      </c>
      <c r="AM37" s="2119">
        <v>10685050.039999999</v>
      </c>
      <c r="AN37" s="2114">
        <v>13581453.59</v>
      </c>
      <c r="AO37" s="2114">
        <f>+AM37+AN37</f>
        <v>24266503.629999999</v>
      </c>
      <c r="AP37" s="2333">
        <v>105214778.08000003</v>
      </c>
      <c r="AQ37" s="2337">
        <f t="shared" si="41"/>
        <v>0.23063778751259609</v>
      </c>
      <c r="AS37" s="2119">
        <v>15595473.17</v>
      </c>
      <c r="AT37" s="2114">
        <v>18820799.030000001</v>
      </c>
      <c r="AU37" s="2114">
        <f>+AS37+AT37</f>
        <v>34416272.200000003</v>
      </c>
      <c r="AV37" s="2333">
        <v>115802283</v>
      </c>
      <c r="AW37" s="2337">
        <f t="shared" si="42"/>
        <v>0.29719856386596455</v>
      </c>
      <c r="AY37" s="2119">
        <v>11218682</v>
      </c>
      <c r="AZ37" s="2114">
        <v>13447756</v>
      </c>
      <c r="BA37" s="2114">
        <f>+AY37+AZ37</f>
        <v>24666438</v>
      </c>
      <c r="BB37" s="2333">
        <v>99227621</v>
      </c>
      <c r="BC37" s="2337">
        <f t="shared" si="43"/>
        <v>0.24858439365385976</v>
      </c>
      <c r="BE37" s="2119">
        <v>10144594.289999999</v>
      </c>
      <c r="BF37" s="2114">
        <v>13542936.530000001</v>
      </c>
      <c r="BG37" s="2114">
        <f>+BE37+BF37</f>
        <v>23687530.82</v>
      </c>
      <c r="BH37" s="2333">
        <v>173213750.22999999</v>
      </c>
      <c r="BI37" s="2337">
        <f t="shared" si="44"/>
        <v>0.13675317801587214</v>
      </c>
      <c r="BK37" s="2119">
        <v>8489.8950000000004</v>
      </c>
      <c r="BL37" s="2114">
        <v>3576.5770000000002</v>
      </c>
      <c r="BM37" s="2114">
        <f>+BK37+BL37</f>
        <v>12066.472000000002</v>
      </c>
      <c r="BN37" s="2333">
        <v>181075.38399999999</v>
      </c>
      <c r="BO37" s="2337">
        <f t="shared" si="45"/>
        <v>6.6637837421347129E-2</v>
      </c>
    </row>
    <row r="38" spans="1:67">
      <c r="A38" s="2116" t="s">
        <v>86</v>
      </c>
      <c r="C38" s="2119">
        <v>0</v>
      </c>
      <c r="D38" s="2114">
        <v>51875</v>
      </c>
      <c r="E38" s="2114">
        <v>51875</v>
      </c>
      <c r="F38" s="2333">
        <v>10178034</v>
      </c>
      <c r="G38" s="2337">
        <f t="shared" si="35"/>
        <v>5.0967603370159695E-3</v>
      </c>
      <c r="I38" s="2119">
        <v>0</v>
      </c>
      <c r="J38" s="2114">
        <v>0</v>
      </c>
      <c r="K38" s="2114">
        <v>0</v>
      </c>
      <c r="L38" s="2333">
        <v>16843688</v>
      </c>
      <c r="M38" s="2337">
        <f t="shared" si="36"/>
        <v>0</v>
      </c>
      <c r="N38" s="90"/>
      <c r="O38" s="2119">
        <v>0</v>
      </c>
      <c r="P38" s="2114">
        <v>0</v>
      </c>
      <c r="Q38" s="2114">
        <v>0</v>
      </c>
      <c r="R38" s="2333">
        <v>13280830</v>
      </c>
      <c r="S38" s="2337">
        <f t="shared" si="37"/>
        <v>0</v>
      </c>
      <c r="U38" s="2119">
        <v>0</v>
      </c>
      <c r="V38" s="2114">
        <v>0</v>
      </c>
      <c r="W38" s="2114">
        <f>SUM(U38:V38)</f>
        <v>0</v>
      </c>
      <c r="X38" s="2333">
        <v>13070100</v>
      </c>
      <c r="Y38" s="2337">
        <f t="shared" si="38"/>
        <v>0</v>
      </c>
      <c r="AA38" s="2119">
        <v>104112</v>
      </c>
      <c r="AB38" s="2114">
        <f>140505-AA38</f>
        <v>36393</v>
      </c>
      <c r="AC38" s="2114">
        <f>+AA38+AB38</f>
        <v>140505</v>
      </c>
      <c r="AD38" s="2333">
        <v>16325811.890000002</v>
      </c>
      <c r="AE38" s="2337">
        <f t="shared" si="39"/>
        <v>8.6063101147247131E-3</v>
      </c>
      <c r="AG38" s="2119">
        <v>479198.82</v>
      </c>
      <c r="AH38" s="2114">
        <v>547104.64</v>
      </c>
      <c r="AI38" s="2114">
        <f>+AG38+AH38</f>
        <v>1026303.46</v>
      </c>
      <c r="AJ38" s="2333">
        <v>26148678.91</v>
      </c>
      <c r="AK38" s="2337">
        <f t="shared" si="40"/>
        <v>3.9248769069075692E-2</v>
      </c>
      <c r="AM38" s="2119">
        <v>46590.85</v>
      </c>
      <c r="AN38" s="2114">
        <v>46813.71</v>
      </c>
      <c r="AO38" s="2114">
        <f>+AM38+AN38</f>
        <v>93404.56</v>
      </c>
      <c r="AP38" s="2333">
        <v>19804409.309999999</v>
      </c>
      <c r="AQ38" s="2337">
        <f t="shared" si="41"/>
        <v>4.7163517244029332E-3</v>
      </c>
      <c r="AS38" s="2119">
        <v>150677</v>
      </c>
      <c r="AT38" s="2114">
        <v>58899.740000000005</v>
      </c>
      <c r="AU38" s="2114">
        <f>+AS38+AT38</f>
        <v>209576.74</v>
      </c>
      <c r="AV38" s="2333">
        <v>21174142</v>
      </c>
      <c r="AW38" s="2337">
        <f t="shared" si="42"/>
        <v>9.8977677584291251E-3</v>
      </c>
      <c r="AY38" s="2119">
        <v>331645</v>
      </c>
      <c r="AZ38" s="2114">
        <v>1691974</v>
      </c>
      <c r="BA38" s="2114">
        <f>+AY38+AZ38</f>
        <v>2023619</v>
      </c>
      <c r="BB38" s="2333">
        <v>31881056</v>
      </c>
      <c r="BC38" s="2337">
        <f t="shared" si="43"/>
        <v>6.3474026707270925E-2</v>
      </c>
      <c r="BE38" s="2119">
        <v>664888.64</v>
      </c>
      <c r="BF38" s="2114">
        <v>170580.55</v>
      </c>
      <c r="BG38" s="2114">
        <f>+BE38+BF38</f>
        <v>835469.19</v>
      </c>
      <c r="BH38" s="2333">
        <v>34200820.68</v>
      </c>
      <c r="BI38" s="2337">
        <f t="shared" si="44"/>
        <v>2.4428337489824235E-2</v>
      </c>
      <c r="BK38" s="2119">
        <v>181.001</v>
      </c>
      <c r="BL38" s="2114">
        <v>0</v>
      </c>
      <c r="BM38" s="2114">
        <f>+BK38+BL38</f>
        <v>181.001</v>
      </c>
      <c r="BN38" s="2333">
        <v>27559.028999999999</v>
      </c>
      <c r="BO38" s="2337">
        <f t="shared" si="45"/>
        <v>6.5677567957855123E-3</v>
      </c>
    </row>
    <row r="39" spans="1:67">
      <c r="A39" s="2117" t="s">
        <v>48</v>
      </c>
      <c r="C39" s="2121">
        <v>12107354</v>
      </c>
      <c r="D39" s="2122">
        <v>24204386</v>
      </c>
      <c r="E39" s="2122">
        <v>36311740</v>
      </c>
      <c r="F39" s="2334">
        <v>167830174</v>
      </c>
      <c r="G39" s="2343">
        <f t="shared" si="35"/>
        <v>0.21636002117235487</v>
      </c>
      <c r="I39" s="2121">
        <v>9337582</v>
      </c>
      <c r="J39" s="2122">
        <v>3756387</v>
      </c>
      <c r="K39" s="2122">
        <v>13093969</v>
      </c>
      <c r="L39" s="2334">
        <v>168072624</v>
      </c>
      <c r="M39" s="2343">
        <f t="shared" si="36"/>
        <v>7.7906613750493958E-2</v>
      </c>
      <c r="N39" s="90"/>
      <c r="O39" s="2121">
        <v>8032060</v>
      </c>
      <c r="P39" s="2122">
        <v>5413612</v>
      </c>
      <c r="Q39" s="2122">
        <v>13445672</v>
      </c>
      <c r="R39" s="2334">
        <v>184312905</v>
      </c>
      <c r="S39" s="2343">
        <f t="shared" si="37"/>
        <v>7.2950247298201931E-2</v>
      </c>
      <c r="U39" s="2121">
        <f>SUM(U34:U38)</f>
        <v>466079</v>
      </c>
      <c r="V39" s="2122">
        <f>SUM(V34:V38)</f>
        <v>1058060</v>
      </c>
      <c r="W39" s="2122">
        <f>SUM(W34:W38)</f>
        <v>1524139</v>
      </c>
      <c r="X39" s="2334">
        <f>SUM(X34:X38)</f>
        <v>160257589</v>
      </c>
      <c r="Y39" s="2343">
        <f t="shared" si="38"/>
        <v>9.5105574064264752E-3</v>
      </c>
      <c r="AA39" s="2121">
        <f>SUM(AA34:AA38)</f>
        <v>4781340</v>
      </c>
      <c r="AB39" s="2122">
        <f>SUM(AB34:AB38)</f>
        <v>20163457</v>
      </c>
      <c r="AC39" s="2122">
        <f>SUM(AC34:AC38)</f>
        <v>24944797</v>
      </c>
      <c r="AD39" s="2334">
        <f>SUM(AD34:AD38)</f>
        <v>176001609.39000005</v>
      </c>
      <c r="AE39" s="2343">
        <f t="shared" si="39"/>
        <v>0.14173050511558163</v>
      </c>
      <c r="AG39" s="2121">
        <f>SUM(AG34:AG38)</f>
        <v>12617901.890000001</v>
      </c>
      <c r="AH39" s="2122">
        <f>SUM(AH34:AH38)</f>
        <v>18548258.800000001</v>
      </c>
      <c r="AI39" s="2122">
        <f>SUM(AI34:AI38)</f>
        <v>31166160.690000001</v>
      </c>
      <c r="AJ39" s="2334">
        <f>SUM(AJ34:AJ38)</f>
        <v>210260217.64000002</v>
      </c>
      <c r="AK39" s="2343">
        <f t="shared" si="40"/>
        <v>0.14822661671244716</v>
      </c>
      <c r="AM39" s="2121">
        <f>SUM(AM34:AM38)</f>
        <v>11224907.299999999</v>
      </c>
      <c r="AN39" s="2122">
        <f>SUM(AN34:AN38)</f>
        <v>13949925.290000001</v>
      </c>
      <c r="AO39" s="2122">
        <f>SUM(AO34:AO38)</f>
        <v>25174832.589999996</v>
      </c>
      <c r="AP39" s="2334">
        <f>SUM(AP34:AP38)</f>
        <v>178557859.08000004</v>
      </c>
      <c r="AQ39" s="2343">
        <f t="shared" si="41"/>
        <v>0.14098977619753386</v>
      </c>
      <c r="AS39" s="2121">
        <f>SUM(AS34:AS38)</f>
        <v>16277492.210000001</v>
      </c>
      <c r="AT39" s="2122">
        <f>SUM(AT34:AT38)</f>
        <v>19262628.93</v>
      </c>
      <c r="AU39" s="2122">
        <f>SUM(AU34:AU38)</f>
        <v>35540121.140000008</v>
      </c>
      <c r="AV39" s="2334">
        <f>SUM(AV34:AV38)</f>
        <v>198179928</v>
      </c>
      <c r="AW39" s="2343">
        <f t="shared" si="42"/>
        <v>0.17933259689144709</v>
      </c>
      <c r="AY39" s="2121">
        <f>SUM(AY34:AY38)</f>
        <v>12227094</v>
      </c>
      <c r="AZ39" s="2122">
        <f>SUM(AZ34:AZ38)</f>
        <v>15410971</v>
      </c>
      <c r="BA39" s="2122">
        <f>SUM(BA34:BA38)</f>
        <v>27638065</v>
      </c>
      <c r="BB39" s="2334">
        <f>SUM(BB34:BB38)</f>
        <v>184476728</v>
      </c>
      <c r="BC39" s="2343">
        <f t="shared" si="43"/>
        <v>0.14981870775591813</v>
      </c>
      <c r="BE39" s="2121">
        <f>SUM(BE34:BE38)</f>
        <v>12576149.27</v>
      </c>
      <c r="BF39" s="2122">
        <f>SUM(BF34:BF38)</f>
        <v>14446211.490000002</v>
      </c>
      <c r="BG39" s="2122">
        <f>SUM(BG34:BG38)</f>
        <v>27022360.760000002</v>
      </c>
      <c r="BH39" s="2334">
        <f>SUM(BH34:BH38)</f>
        <v>302891875.47000009</v>
      </c>
      <c r="BI39" s="2343">
        <f t="shared" si="44"/>
        <v>8.921454468882388E-2</v>
      </c>
      <c r="BK39" s="2121">
        <f>SUM(BK34:BK38)</f>
        <v>10208.382000000001</v>
      </c>
      <c r="BL39" s="2122">
        <f>SUM(BL34:BL38)</f>
        <v>3727.375</v>
      </c>
      <c r="BM39" s="2122">
        <f>SUM(BM34:BM38)</f>
        <v>13935.757000000001</v>
      </c>
      <c r="BN39" s="2334">
        <f>SUM(BN34:BN38)</f>
        <v>278801.78399999999</v>
      </c>
      <c r="BO39" s="2343">
        <f t="shared" si="45"/>
        <v>4.9984461361983257E-2</v>
      </c>
    </row>
    <row r="40" spans="1:67">
      <c r="A40" s="129"/>
      <c r="G40" s="2342"/>
      <c r="M40" s="2342"/>
      <c r="N40" s="90"/>
      <c r="S40" s="2342"/>
      <c r="U40" s="2554"/>
      <c r="V40" s="2554"/>
      <c r="W40" s="2554"/>
      <c r="X40" s="2554"/>
      <c r="Y40" s="2342"/>
      <c r="AA40" s="2554"/>
      <c r="AB40" s="2554"/>
      <c r="AC40" s="2554"/>
      <c r="AD40" s="2554"/>
      <c r="AE40" s="2342"/>
      <c r="AG40" s="2554"/>
      <c r="AH40" s="2554"/>
      <c r="AI40" s="2554"/>
      <c r="AJ40" s="2554"/>
      <c r="AK40" s="2342"/>
      <c r="AM40" s="2554"/>
      <c r="AN40" s="2554"/>
      <c r="AO40" s="2554"/>
      <c r="AP40" s="2554"/>
      <c r="AQ40" s="2342"/>
      <c r="AS40" s="2554"/>
      <c r="AT40" s="2554"/>
      <c r="AU40" s="2554"/>
      <c r="AV40" s="2554"/>
      <c r="AW40" s="2342"/>
      <c r="AY40" s="2554"/>
      <c r="AZ40" s="2554"/>
      <c r="BA40" s="2554"/>
      <c r="BB40" s="2554"/>
      <c r="BC40" s="2342"/>
      <c r="BE40" s="2554"/>
      <c r="BF40" s="2554"/>
      <c r="BG40" s="2554"/>
      <c r="BH40" s="2554"/>
      <c r="BI40" s="2342"/>
      <c r="BK40" s="2554"/>
      <c r="BL40" s="2554"/>
      <c r="BM40" s="2554"/>
      <c r="BN40" s="2554"/>
      <c r="BO40" s="2342"/>
    </row>
    <row r="41" spans="1:67">
      <c r="A41" s="2125" t="s">
        <v>87</v>
      </c>
      <c r="C41" s="2123">
        <v>34701329</v>
      </c>
      <c r="D41" s="2124">
        <v>16901729</v>
      </c>
      <c r="E41" s="2124">
        <v>51603058</v>
      </c>
      <c r="F41" s="2335">
        <v>718397927</v>
      </c>
      <c r="G41" s="2343">
        <f>+E41/F41</f>
        <v>7.1830744578415248E-2</v>
      </c>
      <c r="I41" s="2123">
        <v>21214678</v>
      </c>
      <c r="J41" s="2124">
        <v>362728</v>
      </c>
      <c r="K41" s="2124">
        <v>21577406</v>
      </c>
      <c r="L41" s="2335">
        <v>430780357</v>
      </c>
      <c r="M41" s="2343">
        <f>+K41/L41</f>
        <v>5.0089113046535683E-2</v>
      </c>
      <c r="N41" s="90"/>
      <c r="O41" s="2123">
        <v>15321452</v>
      </c>
      <c r="P41" s="2124">
        <v>45733605</v>
      </c>
      <c r="Q41" s="2124">
        <v>61055057</v>
      </c>
      <c r="R41" s="2335">
        <v>707699250</v>
      </c>
      <c r="S41" s="2343">
        <f>+Q41/R41</f>
        <v>8.627260379320735E-2</v>
      </c>
      <c r="U41" s="2123">
        <v>112536098</v>
      </c>
      <c r="V41" s="2124">
        <v>21046347</v>
      </c>
      <c r="W41" s="2124">
        <f>+U41+V41</f>
        <v>133582445</v>
      </c>
      <c r="X41" s="2335">
        <v>556909198</v>
      </c>
      <c r="Y41" s="2343">
        <f>+W41/X41</f>
        <v>0.23986395893572582</v>
      </c>
      <c r="AA41" s="2123">
        <v>109222</v>
      </c>
      <c r="AB41" s="2124">
        <f>19653887-AA41</f>
        <v>19544665</v>
      </c>
      <c r="AC41" s="2124">
        <f>+AA41+AB41</f>
        <v>19653887</v>
      </c>
      <c r="AD41" s="2335">
        <v>325469341.47000009</v>
      </c>
      <c r="AE41" s="2343">
        <f>+AC41/AD41</f>
        <v>6.038629294922878E-2</v>
      </c>
      <c r="AG41" s="2123">
        <v>589916.41</v>
      </c>
      <c r="AH41" s="2124">
        <v>19184756.859999996</v>
      </c>
      <c r="AI41" s="2124">
        <f>+AG41+AH41</f>
        <v>19774673.269999996</v>
      </c>
      <c r="AJ41" s="2335">
        <v>323078400</v>
      </c>
      <c r="AK41" s="2343">
        <f>+AI41/AJ41</f>
        <v>6.1207042222568876E-2</v>
      </c>
      <c r="AM41" s="2123">
        <v>-570666</v>
      </c>
      <c r="AN41" s="2124">
        <f>7979206+11642627</f>
        <v>19621833</v>
      </c>
      <c r="AO41" s="2124">
        <f>+AM41+AN41</f>
        <v>19051167</v>
      </c>
      <c r="AP41" s="2335">
        <v>265915195.31999999</v>
      </c>
      <c r="AQ41" s="2343">
        <f>+AO41/AP41</f>
        <v>7.1643769650222483E-2</v>
      </c>
      <c r="AS41" s="2123">
        <v>620275.91</v>
      </c>
      <c r="AT41" s="2124">
        <v>19616829.849999998</v>
      </c>
      <c r="AU41" s="2124">
        <f>+AS41+AT41</f>
        <v>20237105.759999998</v>
      </c>
      <c r="AV41" s="2335">
        <v>220803552</v>
      </c>
      <c r="AW41" s="2343">
        <f>+AU41/AV41</f>
        <v>9.1652084292557029E-2</v>
      </c>
      <c r="AY41" s="2123">
        <v>1816143</v>
      </c>
      <c r="AZ41" s="2124">
        <v>18216090</v>
      </c>
      <c r="BA41" s="2124">
        <f>+AY41+AZ41</f>
        <v>20032233</v>
      </c>
      <c r="BB41" s="2335">
        <v>206655328</v>
      </c>
      <c r="BC41" s="2343">
        <f>+BA41/BB41</f>
        <v>9.6935477995515315E-2</v>
      </c>
      <c r="BE41" s="2123">
        <v>7239593</v>
      </c>
      <c r="BF41" s="2124">
        <v>12146263.699999999</v>
      </c>
      <c r="BG41" s="2124">
        <f>+BE41+BF41</f>
        <v>19385856.699999999</v>
      </c>
      <c r="BH41" s="2335">
        <v>254566565.63</v>
      </c>
      <c r="BI41" s="2343">
        <f>+BG41/BH41</f>
        <v>7.6152406943244821E-2</v>
      </c>
      <c r="BK41" s="2123">
        <v>12853.49</v>
      </c>
      <c r="BL41" s="2124">
        <v>14326.8</v>
      </c>
      <c r="BM41" s="2124">
        <f>+BK41+BL41</f>
        <v>27180.29</v>
      </c>
      <c r="BN41" s="2335">
        <v>283877.58199999999</v>
      </c>
      <c r="BO41" s="2343">
        <f>+BM41/BN41</f>
        <v>9.5746517948007606E-2</v>
      </c>
    </row>
    <row r="42" spans="1:67">
      <c r="A42" s="167"/>
      <c r="G42" s="2342"/>
      <c r="M42" s="2342"/>
      <c r="N42" s="90"/>
      <c r="S42" s="2342"/>
      <c r="U42" s="2554"/>
      <c r="V42" s="2554"/>
      <c r="W42" s="2554"/>
      <c r="X42" s="2554"/>
      <c r="Y42" s="2342"/>
      <c r="AA42" s="2554"/>
      <c r="AB42" s="2554"/>
      <c r="AC42" s="2554"/>
      <c r="AD42" s="2554"/>
      <c r="AE42" s="2342"/>
      <c r="AG42" s="2554"/>
      <c r="AH42" s="2554"/>
      <c r="AI42" s="2554"/>
      <c r="AJ42" s="2554"/>
      <c r="AK42" s="2342"/>
      <c r="AM42" s="2554"/>
      <c r="AN42" s="2554"/>
      <c r="AO42" s="2554"/>
      <c r="AP42" s="2554"/>
      <c r="AQ42" s="2342"/>
      <c r="AS42" s="2554"/>
      <c r="AT42" s="2554"/>
      <c r="AU42" s="2554"/>
      <c r="AV42" s="2554"/>
      <c r="AW42" s="2342"/>
      <c r="AY42" s="2554"/>
      <c r="AZ42" s="2554"/>
      <c r="BA42" s="2554"/>
      <c r="BB42" s="2554"/>
      <c r="BC42" s="2342"/>
      <c r="BE42" s="2554"/>
      <c r="BF42" s="2554"/>
      <c r="BG42" s="2554"/>
      <c r="BH42" s="2554"/>
      <c r="BI42" s="2342"/>
      <c r="BK42" s="2554"/>
      <c r="BL42" s="2554"/>
      <c r="BM42" s="2554"/>
      <c r="BN42" s="2554"/>
      <c r="BO42" s="2342"/>
    </row>
    <row r="43" spans="1:67">
      <c r="A43" s="2126" t="s">
        <v>67</v>
      </c>
      <c r="C43" s="2120">
        <v>57766751</v>
      </c>
      <c r="D43" s="2120">
        <v>106909388</v>
      </c>
      <c r="E43" s="2120">
        <v>164676139</v>
      </c>
      <c r="F43" s="2120">
        <v>1312001056</v>
      </c>
      <c r="G43" s="2344">
        <f>+E43/F43</f>
        <v>0.12551524882309242</v>
      </c>
      <c r="I43" s="2120">
        <v>50306326</v>
      </c>
      <c r="J43" s="2120">
        <v>38382378</v>
      </c>
      <c r="K43" s="2120">
        <v>88688704</v>
      </c>
      <c r="L43" s="2120">
        <v>1099916285</v>
      </c>
      <c r="M43" s="2344">
        <f>+K43/L43</f>
        <v>8.0632231024745676E-2</v>
      </c>
      <c r="N43" s="90"/>
      <c r="O43" s="2120">
        <f>SUM(O11,O18,O25,O32,O39,O41)</f>
        <v>39303485</v>
      </c>
      <c r="P43" s="2120">
        <f>SUM(P11,P18,P25,P32,P39,P41)</f>
        <v>81103432</v>
      </c>
      <c r="Q43" s="2120">
        <f>SUM(Q11,Q18,Q25,Q32,Q39,Q41)</f>
        <v>120406917</v>
      </c>
      <c r="R43" s="2120">
        <f>SUM(R11,R18,R25,R32,R39,R41)</f>
        <v>1386869829</v>
      </c>
      <c r="S43" s="2344">
        <f>+Q43/R43</f>
        <v>8.6819191305660737E-2</v>
      </c>
      <c r="U43" s="2120">
        <f>+U11+U18+U25+U32+U39+U41</f>
        <v>123589023</v>
      </c>
      <c r="V43" s="2120">
        <f>+V11+V18+V25+V32+V39+V41</f>
        <v>46848795</v>
      </c>
      <c r="W43" s="2120">
        <f>+W11+W18+W25+W32+W39+W41</f>
        <v>170437818</v>
      </c>
      <c r="X43" s="2120">
        <f>+X11+X18+X25+X32+X39+X41</f>
        <v>1182646555</v>
      </c>
      <c r="Y43" s="2344">
        <f>+W43/X43</f>
        <v>0.14411560011689206</v>
      </c>
      <c r="AA43" s="2120">
        <f>+AA11+AA18+AA25+AA32+AA39+AA41</f>
        <v>19835266</v>
      </c>
      <c r="AB43" s="2120">
        <f>+AB11+AB18+AB25+AB32+AB39+AB41</f>
        <v>97801484</v>
      </c>
      <c r="AC43" s="2120">
        <f>+AC11+AC18+AC25+AC32+AC39+AC41</f>
        <v>117636750</v>
      </c>
      <c r="AD43" s="2120">
        <f>+AD11+AD18+AD25+AD32+AD39+AD41</f>
        <v>965191407.42000008</v>
      </c>
      <c r="AE43" s="2344">
        <f>+AC43/AD43</f>
        <v>0.12187919317935943</v>
      </c>
      <c r="AG43" s="2120">
        <f>+AG11+AG18+AG25+AG32+AG39+AG41</f>
        <v>40590684.069999993</v>
      </c>
      <c r="AH43" s="2120">
        <f>+AH11+AH18+AH25+AH32+AH39+AH41</f>
        <v>92809221.670000002</v>
      </c>
      <c r="AI43" s="2120">
        <f>+AI11+AI18+AI25+AI32+AI39+AI41</f>
        <v>133399905.73999999</v>
      </c>
      <c r="AJ43" s="2120">
        <f>+AJ11+AJ18+AJ25+AJ32+AJ39+AJ41</f>
        <v>1082366863.05</v>
      </c>
      <c r="AK43" s="2344">
        <f>+AI43/AJ43</f>
        <v>0.12324832761795072</v>
      </c>
      <c r="AM43" s="2120">
        <f>+AM11+AM18+AM25+AM32+AM39+AM41</f>
        <v>27930261.07</v>
      </c>
      <c r="AN43" s="2120">
        <f>+AN11+AN18+AN25+AN32+AN39+AN41</f>
        <v>71534914.609999999</v>
      </c>
      <c r="AO43" s="2120">
        <f>+AO11+AO18+AO25+AO32+AO39+AO41</f>
        <v>99465175.679999992</v>
      </c>
      <c r="AP43" s="2120">
        <f>+AP11+AP18+AP25+AP32+AP39+AP41</f>
        <v>934783402.8599999</v>
      </c>
      <c r="AQ43" s="2344">
        <f>+AO43/AP43</f>
        <v>0.10640451614318684</v>
      </c>
      <c r="AS43" s="394">
        <f>+AS11+AS18+AS25+AS32+AS39+AS41</f>
        <v>30669174.879999999</v>
      </c>
      <c r="AT43" s="394">
        <f>+AT11+AT18+AT25+AT32+AT39+AT41</f>
        <v>84716127.530000001</v>
      </c>
      <c r="AU43" s="394">
        <f>+AU11+AU18+AU25+AU32+AU39+AU41</f>
        <v>115385302.41</v>
      </c>
      <c r="AV43" s="394">
        <f>+AV11+AV18+AV25+AV32+AV39+AV41</f>
        <v>1029380127</v>
      </c>
      <c r="AW43" s="395">
        <f>+AU43/AV43</f>
        <v>0.11209202449465978</v>
      </c>
      <c r="AY43" s="2120">
        <f>+AY11+AY18+AY25+AY32+AY39+AY41</f>
        <v>27512156</v>
      </c>
      <c r="AZ43" s="2120">
        <f>+AZ11+AZ18+AZ25+AZ32+AZ39+AZ41</f>
        <v>76755246</v>
      </c>
      <c r="BA43" s="2120">
        <f>+BA11+BA18+BA25+BA32+BA39+BA41</f>
        <v>104267402</v>
      </c>
      <c r="BB43" s="2120">
        <f>+BB11+BB18+BB25+BB32+BB39+BB41</f>
        <v>1513188208</v>
      </c>
      <c r="BC43" s="2344">
        <f>+BA43/BB43</f>
        <v>6.8905772228962547E-2</v>
      </c>
      <c r="BE43" s="2120">
        <f>+BE11+BE18+BE25+BE32+BE39+BE41</f>
        <v>56065198.649999991</v>
      </c>
      <c r="BF43" s="2120">
        <f>+BF11+BF18+BF25+BF32+BF39+BF41</f>
        <v>63819434.450000003</v>
      </c>
      <c r="BG43" s="2120">
        <f>+BG11+BG18+BG25+BG32+BG39+BG41</f>
        <v>119884633.09999999</v>
      </c>
      <c r="BH43" s="2120">
        <f>+BH11+BH18+BH25+BH32+BH39+BH41</f>
        <v>1797886385.77</v>
      </c>
      <c r="BI43" s="2344">
        <f>+BG43/BH43</f>
        <v>6.6680872634037838E-2</v>
      </c>
      <c r="BK43" s="2120">
        <f>+BK11+BK18+BK25+BK32+BK39+BK41</f>
        <v>47740.178999999996</v>
      </c>
      <c r="BL43" s="2120">
        <f>+BL11+BL18+BL25+BL32+BL39+BL41</f>
        <v>32655.433000000001</v>
      </c>
      <c r="BM43" s="2120">
        <f>+BM11+BM18+BM25+BM32+BM39+BM41</f>
        <v>80395.611999999994</v>
      </c>
      <c r="BN43" s="2120">
        <f>+BN11+BN18+BN25+BN32+BN39+BN41</f>
        <v>1401133.0219999999</v>
      </c>
      <c r="BO43" s="2344">
        <f>+BM43/BN43</f>
        <v>5.7379000235996153E-2</v>
      </c>
    </row>
    <row r="44" spans="1:67">
      <c r="N44" s="90"/>
    </row>
    <row r="45" spans="1:67">
      <c r="N45" s="90"/>
      <c r="AM45" s="42" t="s">
        <v>841</v>
      </c>
      <c r="AY45" s="42" t="s">
        <v>612</v>
      </c>
      <c r="BE45" s="42" t="s">
        <v>455</v>
      </c>
      <c r="BK45" s="44" t="s">
        <v>311</v>
      </c>
    </row>
    <row r="48" spans="1:67">
      <c r="AZ48" s="126"/>
    </row>
    <row r="51" spans="52:52">
      <c r="AZ51" s="126"/>
    </row>
    <row r="52" spans="52:52">
      <c r="AZ52" s="40"/>
    </row>
  </sheetData>
  <sheetProtection algorithmName="SHA-512" hashValue="x245p8IqwkSn3a8cDVro9udTMnbdZdqzdknDbkugZ2q1IEVdqr2Pd7f6/cBN9YKjj0GB4Ie/3RN5ZoJeq0rgPQ==" saltValue="FmP/g8B0Jx3HtotWcGKKjA==" spinCount="100000" sheet="1" objects="1" scenarios="1"/>
  <mergeCells count="34">
    <mergeCell ref="BO3:BO4"/>
    <mergeCell ref="BC3:BC4"/>
    <mergeCell ref="BE3:BG3"/>
    <mergeCell ref="BN3:BN4"/>
    <mergeCell ref="AY3:BA3"/>
    <mergeCell ref="BB3:BB4"/>
    <mergeCell ref="BI3:BI4"/>
    <mergeCell ref="O3:Q3"/>
    <mergeCell ref="F3:F4"/>
    <mergeCell ref="G3:G4"/>
    <mergeCell ref="BK3:BM3"/>
    <mergeCell ref="U3:W3"/>
    <mergeCell ref="AS3:AU3"/>
    <mergeCell ref="AM3:AO3"/>
    <mergeCell ref="AP3:AP4"/>
    <mergeCell ref="AQ3:AQ4"/>
    <mergeCell ref="AD3:AD4"/>
    <mergeCell ref="AJ3:AJ4"/>
    <mergeCell ref="A3:A4"/>
    <mergeCell ref="BH3:BH4"/>
    <mergeCell ref="AG3:AI3"/>
    <mergeCell ref="AE3:AE4"/>
    <mergeCell ref="X3:X4"/>
    <mergeCell ref="Y3:Y4"/>
    <mergeCell ref="AK3:AK4"/>
    <mergeCell ref="AV3:AV4"/>
    <mergeCell ref="AW3:AW4"/>
    <mergeCell ref="I3:K3"/>
    <mergeCell ref="L3:L4"/>
    <mergeCell ref="M3:M4"/>
    <mergeCell ref="C3:E3"/>
    <mergeCell ref="AA3:AC3"/>
    <mergeCell ref="R3:R4"/>
    <mergeCell ref="S3:S4"/>
  </mergeCells>
  <pageMargins left="0.70866141732283472" right="0.70866141732283472" top="0.74803149606299213" bottom="0.74803149606299213" header="0.31496062992125984" footer="0.31496062992125984"/>
  <pageSetup scale="73"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499984740745262"/>
    <pageSetUpPr fitToPage="1"/>
  </sheetPr>
  <dimension ref="A1:AY36"/>
  <sheetViews>
    <sheetView showGridLines="0" zoomScale="120" zoomScaleNormal="120" workbookViewId="0">
      <pane xSplit="14" ySplit="4" topLeftCell="AQ5" activePane="bottomRight" state="frozen"/>
      <selection pane="topRight" activeCell="O1" sqref="O1"/>
      <selection pane="bottomLeft" activeCell="A5" sqref="A5"/>
      <selection pane="bottomRight" activeCell="AT21" sqref="AT21:AT23"/>
    </sheetView>
  </sheetViews>
  <sheetFormatPr baseColWidth="10" defaultRowHeight="14.4"/>
  <cols>
    <col min="1" max="1" width="12.77734375" style="2904" bestFit="1" customWidth="1"/>
    <col min="2" max="2" width="43.77734375" bestFit="1" customWidth="1"/>
    <col min="3" max="3" width="12.21875" hidden="1" customWidth="1"/>
    <col min="4" max="4" width="7" hidden="1" customWidth="1"/>
    <col min="5" max="5" width="9.44140625" hidden="1" customWidth="1"/>
    <col min="6" max="6" width="8.21875" hidden="1" customWidth="1"/>
    <col min="7" max="7" width="12.21875" hidden="1" customWidth="1"/>
    <col min="8" max="8" width="7" hidden="1" customWidth="1"/>
    <col min="9" max="9" width="9.44140625" hidden="1" customWidth="1"/>
    <col min="10" max="10" width="8.21875" hidden="1" customWidth="1"/>
    <col min="11" max="11" width="12.21875" hidden="1" customWidth="1"/>
    <col min="12" max="12" width="7" hidden="1" customWidth="1"/>
    <col min="13" max="13" width="9.44140625" hidden="1" customWidth="1"/>
    <col min="14" max="14" width="2" hidden="1" customWidth="1"/>
    <col min="15" max="15" width="16.21875" bestFit="1" customWidth="1"/>
    <col min="16" max="16" width="9.44140625" bestFit="1" customWidth="1"/>
    <col min="17" max="17" width="12" bestFit="1" customWidth="1"/>
    <col min="18" max="18" width="10.21875" bestFit="1" customWidth="1"/>
    <col min="19" max="19" width="16.21875" bestFit="1" customWidth="1"/>
    <col min="20" max="20" width="9.44140625" bestFit="1" customWidth="1"/>
    <col min="21" max="21" width="10.21875" bestFit="1" customWidth="1"/>
    <col min="22" max="22" width="16.21875" bestFit="1" customWidth="1"/>
    <col min="23" max="23" width="9.44140625" bestFit="1" customWidth="1"/>
    <col min="24" max="24" width="10.21875" bestFit="1" customWidth="1"/>
    <col min="25" max="25" width="26.21875" bestFit="1" customWidth="1"/>
    <col min="26" max="26" width="9.44140625" bestFit="1" customWidth="1"/>
    <col min="27" max="27" width="10.21875" bestFit="1" customWidth="1"/>
    <col min="28" max="28" width="16.21875" bestFit="1" customWidth="1"/>
    <col min="29" max="29" width="9.44140625" bestFit="1" customWidth="1"/>
    <col min="30" max="30" width="10.21875" bestFit="1" customWidth="1"/>
    <col min="31" max="31" width="16.21875" bestFit="1" customWidth="1"/>
    <col min="32" max="32" width="9.44140625" bestFit="1" customWidth="1"/>
    <col min="33" max="33" width="10.21875" bestFit="1" customWidth="1"/>
    <col min="34" max="34" width="16.21875" bestFit="1" customWidth="1"/>
    <col min="35" max="35" width="9.44140625" bestFit="1" customWidth="1"/>
    <col min="36" max="36" width="10.21875" bestFit="1" customWidth="1"/>
    <col min="37" max="37" width="16.21875" bestFit="1" customWidth="1"/>
    <col min="38" max="38" width="9.44140625" bestFit="1" customWidth="1"/>
    <col min="39" max="39" width="10.21875" bestFit="1" customWidth="1"/>
    <col min="40" max="40" width="16.21875" bestFit="1" customWidth="1"/>
    <col min="41" max="41" width="9.44140625" bestFit="1" customWidth="1"/>
    <col min="42" max="42" width="10.21875" bestFit="1" customWidth="1"/>
    <col min="43" max="43" width="16.21875" bestFit="1" customWidth="1"/>
    <col min="46" max="46" width="14.5546875" bestFit="1" customWidth="1"/>
  </cols>
  <sheetData>
    <row r="1" spans="1:51" ht="30" customHeight="1">
      <c r="A1" s="6074" t="s">
        <v>468</v>
      </c>
      <c r="B1" s="6074"/>
      <c r="C1" s="1251"/>
      <c r="D1" s="1251"/>
      <c r="E1" s="1251"/>
      <c r="F1" s="1251"/>
      <c r="G1" s="1251"/>
      <c r="H1" s="1251"/>
      <c r="I1" s="1251"/>
      <c r="J1" s="138"/>
      <c r="K1" s="138"/>
      <c r="L1" s="138"/>
      <c r="M1" s="138"/>
      <c r="N1" s="138"/>
      <c r="W1" s="138"/>
    </row>
    <row r="2" spans="1:51">
      <c r="A2" s="6075" t="s">
        <v>324</v>
      </c>
      <c r="B2" s="6075"/>
    </row>
    <row r="3" spans="1:51">
      <c r="C3" s="6090">
        <v>2007</v>
      </c>
      <c r="D3" s="6090"/>
      <c r="E3" s="6090"/>
      <c r="F3" s="6091"/>
      <c r="G3" s="6092">
        <v>2008</v>
      </c>
      <c r="H3" s="6090"/>
      <c r="I3" s="6090"/>
      <c r="J3" s="6091"/>
      <c r="K3" s="6092">
        <v>2009</v>
      </c>
      <c r="L3" s="6090"/>
      <c r="M3" s="6090"/>
      <c r="N3" s="6090"/>
      <c r="O3" s="6067">
        <v>2010</v>
      </c>
      <c r="P3" s="6067"/>
      <c r="Q3" s="6067"/>
      <c r="R3" s="6067"/>
      <c r="S3" s="6067">
        <v>2011</v>
      </c>
      <c r="T3" s="6067"/>
      <c r="U3" s="6067"/>
      <c r="V3" s="6067">
        <v>2012</v>
      </c>
      <c r="W3" s="6067"/>
      <c r="X3" s="6067"/>
      <c r="Y3" s="6067">
        <v>2013</v>
      </c>
      <c r="Z3" s="6067"/>
      <c r="AA3" s="6067"/>
      <c r="AB3" s="6067">
        <v>2014</v>
      </c>
      <c r="AC3" s="6067"/>
      <c r="AD3" s="6067"/>
      <c r="AE3" s="6067">
        <v>2015</v>
      </c>
      <c r="AF3" s="6067"/>
      <c r="AG3" s="6067"/>
      <c r="AH3" s="6067">
        <v>2016</v>
      </c>
      <c r="AI3" s="6067"/>
      <c r="AJ3" s="6067"/>
      <c r="AK3" s="6067">
        <v>2017</v>
      </c>
      <c r="AL3" s="6067"/>
      <c r="AM3" s="6067"/>
      <c r="AN3" s="6067">
        <v>2018</v>
      </c>
      <c r="AO3" s="6067"/>
      <c r="AP3" s="6067"/>
      <c r="AQ3" s="6067">
        <v>2019</v>
      </c>
      <c r="AR3" s="6067"/>
      <c r="AS3" s="6067"/>
      <c r="AT3" s="6067">
        <v>2020</v>
      </c>
      <c r="AU3" s="6067"/>
      <c r="AV3" s="6067"/>
    </row>
    <row r="4" spans="1:51" ht="19.5" customHeight="1" thickBot="1">
      <c r="A4" s="3455" t="s">
        <v>0</v>
      </c>
      <c r="B4" s="3454" t="s">
        <v>2729</v>
      </c>
      <c r="C4" s="3450" t="s">
        <v>223</v>
      </c>
      <c r="D4" s="3451" t="s">
        <v>226</v>
      </c>
      <c r="E4" s="3451" t="s">
        <v>224</v>
      </c>
      <c r="F4" s="3451" t="s">
        <v>227</v>
      </c>
      <c r="G4" s="3450" t="s">
        <v>223</v>
      </c>
      <c r="H4" s="3451" t="s">
        <v>226</v>
      </c>
      <c r="I4" s="3451" t="s">
        <v>224</v>
      </c>
      <c r="J4" s="3451" t="s">
        <v>227</v>
      </c>
      <c r="K4" s="3450" t="s">
        <v>223</v>
      </c>
      <c r="L4" s="3451" t="s">
        <v>226</v>
      </c>
      <c r="M4" s="3451" t="s">
        <v>224</v>
      </c>
      <c r="N4" s="3452" t="s">
        <v>227</v>
      </c>
      <c r="O4" s="3453" t="s">
        <v>2730</v>
      </c>
      <c r="P4" s="3453" t="s">
        <v>2731</v>
      </c>
      <c r="Q4" s="3453" t="s">
        <v>2732</v>
      </c>
      <c r="R4" s="3453" t="s">
        <v>2733</v>
      </c>
      <c r="S4" s="3453" t="s">
        <v>2730</v>
      </c>
      <c r="T4" s="3453" t="s">
        <v>2731</v>
      </c>
      <c r="U4" s="3453" t="s">
        <v>2733</v>
      </c>
      <c r="V4" s="3453" t="s">
        <v>2730</v>
      </c>
      <c r="W4" s="3453" t="s">
        <v>2731</v>
      </c>
      <c r="X4" s="3453" t="s">
        <v>2733</v>
      </c>
      <c r="Y4" s="3453" t="s">
        <v>2730</v>
      </c>
      <c r="Z4" s="3453" t="s">
        <v>2731</v>
      </c>
      <c r="AA4" s="3453" t="s">
        <v>2733</v>
      </c>
      <c r="AB4" s="3453" t="s">
        <v>2730</v>
      </c>
      <c r="AC4" s="3453" t="s">
        <v>2731</v>
      </c>
      <c r="AD4" s="3453" t="s">
        <v>2733</v>
      </c>
      <c r="AE4" s="3453" t="s">
        <v>2730</v>
      </c>
      <c r="AF4" s="3453" t="s">
        <v>2731</v>
      </c>
      <c r="AG4" s="3453" t="s">
        <v>2733</v>
      </c>
      <c r="AH4" s="3453" t="s">
        <v>2730</v>
      </c>
      <c r="AI4" s="3453" t="s">
        <v>2731</v>
      </c>
      <c r="AJ4" s="3453" t="s">
        <v>2733</v>
      </c>
      <c r="AK4" s="3453" t="s">
        <v>2730</v>
      </c>
      <c r="AL4" s="3453" t="s">
        <v>2731</v>
      </c>
      <c r="AM4" s="3453" t="s">
        <v>2733</v>
      </c>
      <c r="AN4" s="3453" t="s">
        <v>2730</v>
      </c>
      <c r="AO4" s="3453" t="s">
        <v>2731</v>
      </c>
      <c r="AP4" s="3453" t="s">
        <v>2733</v>
      </c>
      <c r="AQ4" s="3453" t="s">
        <v>2730</v>
      </c>
      <c r="AR4" s="3453" t="s">
        <v>2731</v>
      </c>
      <c r="AS4" s="3453" t="s">
        <v>2733</v>
      </c>
      <c r="AT4" s="3453" t="s">
        <v>2730</v>
      </c>
      <c r="AU4" s="3453" t="s">
        <v>2731</v>
      </c>
      <c r="AV4" s="3453" t="s">
        <v>2733</v>
      </c>
    </row>
    <row r="5" spans="1:51" ht="16.2">
      <c r="A5" s="6076" t="s">
        <v>3</v>
      </c>
      <c r="B5" s="3456" t="s">
        <v>801</v>
      </c>
      <c r="C5" s="3400">
        <v>1120</v>
      </c>
      <c r="D5" s="3457">
        <f>13271+365</f>
        <v>13636</v>
      </c>
      <c r="E5" s="3458">
        <f>+C5/D5</f>
        <v>8.2135523613963035E-2</v>
      </c>
      <c r="F5" s="3459">
        <f>+D5/C5</f>
        <v>12.175000000000001</v>
      </c>
      <c r="G5" s="3400">
        <v>1350</v>
      </c>
      <c r="H5" s="3457">
        <f>13426+365</f>
        <v>13791</v>
      </c>
      <c r="I5" s="3458">
        <f>+G5/H5</f>
        <v>9.7889928214052638E-2</v>
      </c>
      <c r="J5" s="3459">
        <f>+H5/G5</f>
        <v>10.215555555555556</v>
      </c>
      <c r="K5" s="3400">
        <v>1510</v>
      </c>
      <c r="L5" s="3457">
        <f>13765+469</f>
        <v>14234</v>
      </c>
      <c r="M5" s="3458">
        <f>+K5/L5</f>
        <v>0.1060840241674863</v>
      </c>
      <c r="N5" s="3459">
        <f>+L5/K5</f>
        <v>9.4264900662251652</v>
      </c>
      <c r="O5" s="3400">
        <v>1638</v>
      </c>
      <c r="P5" s="3457">
        <f>14704+519</f>
        <v>15223</v>
      </c>
      <c r="Q5" s="3458">
        <f>+O5/P5</f>
        <v>0.10760034158838599</v>
      </c>
      <c r="R5" s="3459">
        <f>+P5/O5</f>
        <v>9.2936507936507944</v>
      </c>
      <c r="S5" s="3400">
        <v>1101</v>
      </c>
      <c r="T5" s="3457">
        <f>14648+416</f>
        <v>15064</v>
      </c>
      <c r="U5" s="3459">
        <f>+T5/S5</f>
        <v>13.682107175295187</v>
      </c>
      <c r="V5" s="3400">
        <v>911</v>
      </c>
      <c r="W5" s="3457">
        <f>15525</f>
        <v>15525</v>
      </c>
      <c r="X5" s="3459">
        <f>+W5/V5</f>
        <v>17.041712403951703</v>
      </c>
      <c r="Y5" s="3400">
        <v>1296</v>
      </c>
      <c r="Z5" s="3457">
        <v>15683</v>
      </c>
      <c r="AA5" s="3459">
        <f>+Z5/Y5</f>
        <v>12.101080246913581</v>
      </c>
      <c r="AB5" s="3400">
        <v>1300</v>
      </c>
      <c r="AC5" s="3457">
        <v>15805</v>
      </c>
      <c r="AD5" s="3459">
        <f>+AC5/AB5</f>
        <v>12.157692307692308</v>
      </c>
      <c r="AE5" s="3400">
        <v>1048</v>
      </c>
      <c r="AF5" s="3457">
        <v>15629</v>
      </c>
      <c r="AG5" s="3459">
        <f>+AF5/AE5</f>
        <v>14.913167938931299</v>
      </c>
      <c r="AH5" s="3400">
        <v>1484</v>
      </c>
      <c r="AI5" s="3457">
        <v>15471</v>
      </c>
      <c r="AJ5" s="3459">
        <f>+AI5/AH5</f>
        <v>10.425202156334231</v>
      </c>
      <c r="AK5" s="3400">
        <v>1370</v>
      </c>
      <c r="AL5" s="3457">
        <v>15162</v>
      </c>
      <c r="AM5" s="3459">
        <f>+AL5/AK5</f>
        <v>11.067153284671534</v>
      </c>
      <c r="AN5" s="3400">
        <v>1266</v>
      </c>
      <c r="AO5" s="3457">
        <v>15429</v>
      </c>
      <c r="AP5" s="3459">
        <f>+AO5/AN5</f>
        <v>12.187203791469194</v>
      </c>
      <c r="AQ5" s="3400">
        <v>1444</v>
      </c>
      <c r="AR5" s="3457">
        <v>15371</v>
      </c>
      <c r="AS5" s="3459">
        <f>+AR5/AQ5</f>
        <v>10.644736842105264</v>
      </c>
      <c r="AT5" s="3400">
        <v>1582</v>
      </c>
      <c r="AU5" s="3457">
        <v>15908</v>
      </c>
      <c r="AV5" s="3459">
        <f>+AU5/AT5</f>
        <v>10.055625790139064</v>
      </c>
      <c r="AX5" s="5179"/>
    </row>
    <row r="6" spans="1:51">
      <c r="A6" s="6076"/>
      <c r="B6" s="3460" t="s">
        <v>225</v>
      </c>
      <c r="C6" s="3410">
        <v>1068</v>
      </c>
      <c r="D6" s="3461">
        <v>836</v>
      </c>
      <c r="E6" s="2527">
        <f>+C6/D6</f>
        <v>1.2775119617224879</v>
      </c>
      <c r="F6" s="3462">
        <f>+D6/C6</f>
        <v>0.78277153558052437</v>
      </c>
      <c r="G6" s="3410">
        <v>1111</v>
      </c>
      <c r="H6" s="3461">
        <v>838</v>
      </c>
      <c r="I6" s="2527">
        <f>+G6/H6</f>
        <v>1.3257756563245824</v>
      </c>
      <c r="J6" s="3462">
        <f>+H6/G6</f>
        <v>0.75427542754275423</v>
      </c>
      <c r="K6" s="3410">
        <v>1156</v>
      </c>
      <c r="L6" s="3461">
        <v>846</v>
      </c>
      <c r="M6" s="2527">
        <f>+K6/L6</f>
        <v>1.3664302600472813</v>
      </c>
      <c r="N6" s="3462">
        <f>+L6/K6</f>
        <v>0.73183391003460208</v>
      </c>
      <c r="O6" s="3410">
        <v>1200</v>
      </c>
      <c r="P6" s="3461">
        <v>1466</v>
      </c>
      <c r="Q6" s="2527">
        <f>+O6/P6</f>
        <v>0.81855388813096863</v>
      </c>
      <c r="R6" s="3462">
        <f>+P6/O6</f>
        <v>1.2216666666666667</v>
      </c>
      <c r="S6" s="3410">
        <v>1153</v>
      </c>
      <c r="T6" s="3461">
        <v>1470</v>
      </c>
      <c r="U6" s="3462">
        <f>+T6/S6</f>
        <v>1.2749349522983522</v>
      </c>
      <c r="V6" s="3410">
        <v>826</v>
      </c>
      <c r="W6" s="3461">
        <v>1480</v>
      </c>
      <c r="X6" s="3462">
        <f>+W6/V6</f>
        <v>1.7917675544794189</v>
      </c>
      <c r="Y6" s="3410">
        <v>3312</v>
      </c>
      <c r="Z6" s="3461">
        <v>1439</v>
      </c>
      <c r="AA6" s="3462">
        <f>+Z6/Y6</f>
        <v>0.4344806763285024</v>
      </c>
      <c r="AB6" s="3410">
        <v>3320</v>
      </c>
      <c r="AC6" s="3461">
        <v>1456</v>
      </c>
      <c r="AD6" s="3462">
        <f>+AC6/AB6</f>
        <v>0.43855421686746987</v>
      </c>
      <c r="AE6" s="3410">
        <v>1198</v>
      </c>
      <c r="AF6" s="3461">
        <v>1454</v>
      </c>
      <c r="AG6" s="3462">
        <f>+AF6/AE6</f>
        <v>1.2136894824707847</v>
      </c>
      <c r="AH6" s="3410">
        <v>1655</v>
      </c>
      <c r="AI6" s="3461">
        <v>1416</v>
      </c>
      <c r="AJ6" s="3462">
        <f>+AI6/AH6</f>
        <v>0.85558912386706953</v>
      </c>
      <c r="AK6" s="3410">
        <v>1776</v>
      </c>
      <c r="AL6" s="3461">
        <v>1402</v>
      </c>
      <c r="AM6" s="3462">
        <f>+AL6/AK6</f>
        <v>0.7894144144144144</v>
      </c>
      <c r="AN6" s="3410">
        <v>1680</v>
      </c>
      <c r="AO6" s="3461">
        <v>1435</v>
      </c>
      <c r="AP6" s="3462">
        <f>+AO6/AN6</f>
        <v>0.85416666666666663</v>
      </c>
      <c r="AQ6" s="3410">
        <v>1963</v>
      </c>
      <c r="AR6" s="3461">
        <v>1348</v>
      </c>
      <c r="AS6" s="3462">
        <f>+AR6/AQ6</f>
        <v>0.68670402445236878</v>
      </c>
      <c r="AT6" s="3410">
        <v>2101</v>
      </c>
      <c r="AU6" s="3461">
        <v>1406</v>
      </c>
      <c r="AV6" s="3462">
        <f>+AU6/AT6</f>
        <v>0.66920514040932888</v>
      </c>
      <c r="AX6" s="5179"/>
      <c r="AY6" s="5179"/>
    </row>
    <row r="7" spans="1:51" ht="16.2">
      <c r="A7" s="6077"/>
      <c r="B7" s="3463" t="s">
        <v>802</v>
      </c>
      <c r="C7" s="3426">
        <v>480</v>
      </c>
      <c r="D7" s="3464">
        <v>175</v>
      </c>
      <c r="E7" s="2529">
        <f>+C7/D7</f>
        <v>2.7428571428571429</v>
      </c>
      <c r="F7" s="3465">
        <f>+D7/C7</f>
        <v>0.36458333333333331</v>
      </c>
      <c r="G7" s="3426">
        <v>502</v>
      </c>
      <c r="H7" s="3464">
        <v>181</v>
      </c>
      <c r="I7" s="2529">
        <f>+G7/H7</f>
        <v>2.7734806629834252</v>
      </c>
      <c r="J7" s="3465">
        <f>+H7/G7</f>
        <v>0.3605577689243028</v>
      </c>
      <c r="K7" s="3426">
        <v>524</v>
      </c>
      <c r="L7" s="3464">
        <v>181</v>
      </c>
      <c r="M7" s="2529">
        <f>+K7/L7</f>
        <v>2.8950276243093924</v>
      </c>
      <c r="N7" s="3465">
        <f>+L7/K7</f>
        <v>0.34541984732824427</v>
      </c>
      <c r="O7" s="3426">
        <v>538</v>
      </c>
      <c r="P7" s="3464">
        <v>1309</v>
      </c>
      <c r="Q7" s="2529">
        <f>+O7/P7</f>
        <v>0.41100076394194041</v>
      </c>
      <c r="R7" s="3465">
        <f>+P7/O7</f>
        <v>2.4330855018587361</v>
      </c>
      <c r="S7" s="3426">
        <v>544</v>
      </c>
      <c r="T7" s="3464">
        <v>1340</v>
      </c>
      <c r="U7" s="3465">
        <f>+T7/S7</f>
        <v>2.4632352941176472</v>
      </c>
      <c r="V7" s="3426">
        <v>331</v>
      </c>
      <c r="W7" s="3464">
        <v>1334</v>
      </c>
      <c r="X7" s="3465">
        <f>+W7/V7</f>
        <v>4.0302114803625377</v>
      </c>
      <c r="Y7" s="3426">
        <v>2592</v>
      </c>
      <c r="Z7" s="3464">
        <v>1347</v>
      </c>
      <c r="AA7" s="3465">
        <f>+Z7/Y7</f>
        <v>0.51967592592592593</v>
      </c>
      <c r="AB7" s="3426">
        <v>2620</v>
      </c>
      <c r="AC7" s="3464">
        <v>1313</v>
      </c>
      <c r="AD7" s="3465">
        <f>+AC7/AB7</f>
        <v>0.50114503816793898</v>
      </c>
      <c r="AE7" s="3426">
        <v>339</v>
      </c>
      <c r="AF7" s="3464">
        <v>1307</v>
      </c>
      <c r="AG7" s="3465">
        <f>+AF7/AE7</f>
        <v>3.8554572271386429</v>
      </c>
      <c r="AH7" s="3426">
        <v>807</v>
      </c>
      <c r="AI7" s="3464">
        <v>1312</v>
      </c>
      <c r="AJ7" s="3465">
        <f>+AI7/AH7</f>
        <v>1.6257744733581165</v>
      </c>
      <c r="AK7" s="3426">
        <v>828</v>
      </c>
      <c r="AL7" s="3464">
        <v>1300</v>
      </c>
      <c r="AM7" s="3465">
        <f>+AL7/AK7</f>
        <v>1.5700483091787441</v>
      </c>
      <c r="AN7" s="3426">
        <v>898</v>
      </c>
      <c r="AO7" s="3464">
        <v>1292</v>
      </c>
      <c r="AP7" s="3465">
        <f>+AO7/AN7</f>
        <v>1.4387527839643652</v>
      </c>
      <c r="AQ7" s="3426">
        <v>839</v>
      </c>
      <c r="AR7" s="3464">
        <v>1317</v>
      </c>
      <c r="AS7" s="3465">
        <f>+AR7/AQ7</f>
        <v>1.5697258641239571</v>
      </c>
      <c r="AT7" s="3426">
        <v>973</v>
      </c>
      <c r="AU7" s="3464">
        <v>1291</v>
      </c>
      <c r="AV7" s="3465">
        <f>+AU7/AT7</f>
        <v>1.3268242548818088</v>
      </c>
      <c r="AX7" s="5179"/>
      <c r="AY7" s="5179"/>
    </row>
    <row r="8" spans="1:51">
      <c r="S8" s="71"/>
      <c r="V8" s="71"/>
      <c r="Y8" s="71"/>
      <c r="AB8" s="71"/>
      <c r="AE8" s="71"/>
      <c r="AH8" s="71"/>
      <c r="AK8" s="71"/>
      <c r="AN8" s="71"/>
      <c r="AQ8" s="71"/>
      <c r="AR8" s="3595"/>
      <c r="AS8" s="3595"/>
      <c r="AT8" s="71"/>
      <c r="AU8" s="5177"/>
      <c r="AV8" s="5177"/>
      <c r="AX8" s="5179"/>
      <c r="AY8" s="5179"/>
    </row>
    <row r="9" spans="1:51" ht="16.2">
      <c r="A9" s="6078" t="s">
        <v>59</v>
      </c>
      <c r="B9" s="3466" t="s">
        <v>801</v>
      </c>
      <c r="C9" s="3467">
        <v>107</v>
      </c>
      <c r="D9" s="3468">
        <v>546</v>
      </c>
      <c r="E9" s="3469">
        <f>+C9/D9</f>
        <v>0.19597069597069597</v>
      </c>
      <c r="F9" s="3470">
        <f>+D9/C9</f>
        <v>5.1028037383177569</v>
      </c>
      <c r="G9" s="3467">
        <v>162</v>
      </c>
      <c r="H9" s="3468">
        <v>825</v>
      </c>
      <c r="I9" s="3469">
        <f>+G9/H9</f>
        <v>0.19636363636363635</v>
      </c>
      <c r="J9" s="3470">
        <f>+H9/G9</f>
        <v>5.0925925925925926</v>
      </c>
      <c r="K9" s="3467">
        <v>255</v>
      </c>
      <c r="L9" s="3468">
        <v>969</v>
      </c>
      <c r="M9" s="3469">
        <f>+K9/L9</f>
        <v>0.26315789473684209</v>
      </c>
      <c r="N9" s="3470">
        <f>+L9/K9</f>
        <v>3.8</v>
      </c>
      <c r="O9" s="3467">
        <v>321</v>
      </c>
      <c r="P9" s="3468">
        <v>1124</v>
      </c>
      <c r="Q9" s="3469">
        <f>+O9/P9</f>
        <v>0.28558718861209964</v>
      </c>
      <c r="R9" s="3470">
        <f>+P9/O9</f>
        <v>3.5015576323987538</v>
      </c>
      <c r="S9" s="3467">
        <v>567</v>
      </c>
      <c r="T9" s="3468">
        <f>1227+30</f>
        <v>1257</v>
      </c>
      <c r="U9" s="3470">
        <f>+T9/S9</f>
        <v>2.2169312169312168</v>
      </c>
      <c r="V9" s="3467">
        <v>344</v>
      </c>
      <c r="W9" s="3468">
        <v>1427</v>
      </c>
      <c r="X9" s="3470">
        <f>+W9/V9</f>
        <v>4.1482558139534884</v>
      </c>
      <c r="Y9" s="3467">
        <v>344</v>
      </c>
      <c r="Z9" s="3468">
        <v>1613</v>
      </c>
      <c r="AA9" s="3470">
        <f>+Z9/Y9</f>
        <v>4.6889534883720927</v>
      </c>
      <c r="AB9" s="3467">
        <v>195</v>
      </c>
      <c r="AC9" s="3468">
        <v>1942</v>
      </c>
      <c r="AD9" s="3470">
        <f>+AC9/AB9</f>
        <v>9.9589743589743591</v>
      </c>
      <c r="AE9" s="3467">
        <v>279</v>
      </c>
      <c r="AF9" s="3468">
        <v>2290</v>
      </c>
      <c r="AG9" s="3470">
        <f>+AF9/AE9</f>
        <v>8.2078853046594986</v>
      </c>
      <c r="AH9" s="3467">
        <v>289</v>
      </c>
      <c r="AI9" s="3468">
        <v>2511</v>
      </c>
      <c r="AJ9" s="3470">
        <f>+AI9/AH9</f>
        <v>8.688581314878892</v>
      </c>
      <c r="AK9" s="3467">
        <v>269</v>
      </c>
      <c r="AL9" s="3468">
        <v>2900</v>
      </c>
      <c r="AM9" s="3470">
        <f>+AL9/AK9</f>
        <v>10.780669144981413</v>
      </c>
      <c r="AN9" s="3467">
        <v>315</v>
      </c>
      <c r="AO9" s="3468">
        <v>3125</v>
      </c>
      <c r="AP9" s="3470">
        <f>+AO9/AN9</f>
        <v>9.9206349206349209</v>
      </c>
      <c r="AQ9" s="3467">
        <v>315</v>
      </c>
      <c r="AR9" s="3468">
        <v>3167</v>
      </c>
      <c r="AS9" s="3470">
        <f>+AR9/AQ9</f>
        <v>10.053968253968254</v>
      </c>
      <c r="AT9" s="3467">
        <v>315</v>
      </c>
      <c r="AU9" s="3468">
        <v>3348</v>
      </c>
      <c r="AV9" s="3470">
        <f>+AU9/AT9</f>
        <v>10.628571428571428</v>
      </c>
      <c r="AX9" s="5179"/>
      <c r="AY9" s="5179"/>
    </row>
    <row r="10" spans="1:51">
      <c r="A10" s="6079"/>
      <c r="B10" s="3460" t="s">
        <v>225</v>
      </c>
      <c r="C10" s="3410">
        <v>85</v>
      </c>
      <c r="D10" s="3461">
        <v>52</v>
      </c>
      <c r="E10" s="2527">
        <f>+C10/D10</f>
        <v>1.6346153846153846</v>
      </c>
      <c r="F10" s="3462">
        <f>+D10/C10</f>
        <v>0.61176470588235299</v>
      </c>
      <c r="G10" s="3410">
        <v>104</v>
      </c>
      <c r="H10" s="3461">
        <v>70</v>
      </c>
      <c r="I10" s="2527">
        <f>+G10/H10</f>
        <v>1.4857142857142858</v>
      </c>
      <c r="J10" s="3462">
        <f>+H10/G10</f>
        <v>0.67307692307692313</v>
      </c>
      <c r="K10" s="3410">
        <v>119</v>
      </c>
      <c r="L10" s="3461">
        <v>82</v>
      </c>
      <c r="M10" s="2527">
        <f>+K10/L10</f>
        <v>1.4512195121951219</v>
      </c>
      <c r="N10" s="3462">
        <f>+L10/K10</f>
        <v>0.68907563025210083</v>
      </c>
      <c r="O10" s="3410">
        <v>132</v>
      </c>
      <c r="P10" s="3461">
        <v>180</v>
      </c>
      <c r="Q10" s="2527">
        <f>+O10/P10</f>
        <v>0.73333333333333328</v>
      </c>
      <c r="R10" s="3462">
        <f>+P10/O10</f>
        <v>1.3636363636363635</v>
      </c>
      <c r="S10" s="3410">
        <v>305</v>
      </c>
      <c r="T10" s="3461">
        <v>205</v>
      </c>
      <c r="U10" s="3462">
        <f>+T10/S10</f>
        <v>0.67213114754098358</v>
      </c>
      <c r="V10" s="3410">
        <v>549</v>
      </c>
      <c r="W10" s="3461">
        <v>214</v>
      </c>
      <c r="X10" s="3462">
        <f>+W10/V10</f>
        <v>0.38979963570127507</v>
      </c>
      <c r="Y10" s="3410">
        <v>442</v>
      </c>
      <c r="Z10" s="3461">
        <v>209</v>
      </c>
      <c r="AA10" s="3462">
        <f>+Z10/Y10</f>
        <v>0.47285067873303166</v>
      </c>
      <c r="AB10" s="3410">
        <v>606</v>
      </c>
      <c r="AC10" s="3461">
        <v>228</v>
      </c>
      <c r="AD10" s="3462">
        <f>+AC10/AB10</f>
        <v>0.37623762376237624</v>
      </c>
      <c r="AE10" s="3410">
        <v>516</v>
      </c>
      <c r="AF10" s="3461">
        <v>239</v>
      </c>
      <c r="AG10" s="3462">
        <f>+AF10/AE10</f>
        <v>0.4631782945736434</v>
      </c>
      <c r="AH10" s="3410">
        <v>530</v>
      </c>
      <c r="AI10" s="3461">
        <v>243</v>
      </c>
      <c r="AJ10" s="3462">
        <f>+AI10/AH10</f>
        <v>0.45849056603773586</v>
      </c>
      <c r="AK10" s="3410">
        <v>616</v>
      </c>
      <c r="AL10" s="3461">
        <v>237</v>
      </c>
      <c r="AM10" s="3462">
        <f>+AL10/AK10</f>
        <v>0.38474025974025972</v>
      </c>
      <c r="AN10" s="3410">
        <v>440</v>
      </c>
      <c r="AO10" s="3461">
        <v>247</v>
      </c>
      <c r="AP10" s="3462">
        <f>+AO10/AN10</f>
        <v>0.5613636363636364</v>
      </c>
      <c r="AQ10" s="3410">
        <v>380</v>
      </c>
      <c r="AR10" s="3461">
        <v>233</v>
      </c>
      <c r="AS10" s="3462">
        <f>+AR10/AQ10</f>
        <v>0.61315789473684212</v>
      </c>
      <c r="AT10" s="3410">
        <v>376</v>
      </c>
      <c r="AU10" s="3461">
        <v>262</v>
      </c>
      <c r="AV10" s="3462">
        <f>+AU10/AT10</f>
        <v>0.69680851063829785</v>
      </c>
      <c r="AX10" s="5179"/>
      <c r="AY10" s="5179"/>
    </row>
    <row r="11" spans="1:51" ht="16.2">
      <c r="A11" s="6080"/>
      <c r="B11" s="3463" t="s">
        <v>802</v>
      </c>
      <c r="C11" s="3426">
        <v>30</v>
      </c>
      <c r="D11" s="3464">
        <v>52</v>
      </c>
      <c r="E11" s="2529">
        <f>+C11/D11</f>
        <v>0.57692307692307687</v>
      </c>
      <c r="F11" s="3465">
        <f>+D11/C11</f>
        <v>1.7333333333333334</v>
      </c>
      <c r="G11" s="3426">
        <v>30</v>
      </c>
      <c r="H11" s="3464">
        <v>66</v>
      </c>
      <c r="I11" s="2529">
        <f>+G11/H11</f>
        <v>0.45454545454545453</v>
      </c>
      <c r="J11" s="3465">
        <f>+H11/G11</f>
        <v>2.2000000000000002</v>
      </c>
      <c r="K11" s="3426">
        <v>13</v>
      </c>
      <c r="L11" s="3464">
        <v>80</v>
      </c>
      <c r="M11" s="2529">
        <f>+K11/L11</f>
        <v>0.16250000000000001</v>
      </c>
      <c r="N11" s="3465">
        <f>+L11/K11</f>
        <v>6.1538461538461542</v>
      </c>
      <c r="O11" s="3426">
        <v>45</v>
      </c>
      <c r="P11" s="3464">
        <v>146</v>
      </c>
      <c r="Q11" s="2529">
        <f>+O11/P11</f>
        <v>0.30821917808219179</v>
      </c>
      <c r="R11" s="3465">
        <f>+P11/O11</f>
        <v>3.2444444444444445</v>
      </c>
      <c r="S11" s="3426">
        <v>76</v>
      </c>
      <c r="T11" s="3464">
        <v>188</v>
      </c>
      <c r="U11" s="3465">
        <f>+T11/S11</f>
        <v>2.4736842105263159</v>
      </c>
      <c r="V11" s="3426">
        <v>231</v>
      </c>
      <c r="W11" s="3464">
        <v>218</v>
      </c>
      <c r="X11" s="3465">
        <f>+W11/V11</f>
        <v>0.94372294372294374</v>
      </c>
      <c r="Y11" s="3426">
        <v>249</v>
      </c>
      <c r="Z11" s="3464">
        <v>220</v>
      </c>
      <c r="AA11" s="3465">
        <f>+Z11/Y11</f>
        <v>0.88353413654618473</v>
      </c>
      <c r="AB11" s="3426">
        <v>193</v>
      </c>
      <c r="AC11" s="3464">
        <v>271</v>
      </c>
      <c r="AD11" s="3465">
        <f>+AC11/AB11</f>
        <v>1.4041450777202074</v>
      </c>
      <c r="AE11" s="3426">
        <v>195</v>
      </c>
      <c r="AF11" s="3464">
        <v>286</v>
      </c>
      <c r="AG11" s="3465">
        <f>+AF11/AE11</f>
        <v>1.4666666666666666</v>
      </c>
      <c r="AH11" s="3426">
        <v>313</v>
      </c>
      <c r="AI11" s="3464">
        <v>322</v>
      </c>
      <c r="AJ11" s="3465">
        <f>+AI11/AH11</f>
        <v>1.0287539936102237</v>
      </c>
      <c r="AK11" s="3426">
        <v>297</v>
      </c>
      <c r="AL11" s="3464">
        <v>319</v>
      </c>
      <c r="AM11" s="3465">
        <f>+AL11/AK11</f>
        <v>1.0740740740740742</v>
      </c>
      <c r="AN11" s="3426">
        <v>253</v>
      </c>
      <c r="AO11" s="3464">
        <v>334</v>
      </c>
      <c r="AP11" s="3465">
        <f>+AO11/AN11</f>
        <v>1.3201581027667983</v>
      </c>
      <c r="AQ11" s="3426">
        <v>247</v>
      </c>
      <c r="AR11" s="3464">
        <v>350</v>
      </c>
      <c r="AS11" s="3465">
        <f>+AR11/AQ11</f>
        <v>1.417004048582996</v>
      </c>
      <c r="AT11" s="3426">
        <v>261</v>
      </c>
      <c r="AU11" s="3464">
        <v>353</v>
      </c>
      <c r="AV11" s="3465">
        <f>+AU11/AT11</f>
        <v>1.3524904214559388</v>
      </c>
      <c r="AY11" s="5179"/>
    </row>
    <row r="12" spans="1:51">
      <c r="S12" s="71"/>
      <c r="V12" s="71"/>
      <c r="Y12" s="71"/>
      <c r="AB12" s="71"/>
      <c r="AE12" s="71"/>
      <c r="AH12" s="71"/>
      <c r="AK12" s="71"/>
      <c r="AN12" s="71"/>
      <c r="AQ12" s="71"/>
      <c r="AR12" s="3595"/>
      <c r="AS12" s="3595"/>
      <c r="AT12" s="71"/>
      <c r="AU12" s="5177"/>
      <c r="AV12" s="5177"/>
      <c r="AY12" s="5179"/>
    </row>
    <row r="13" spans="1:51" ht="16.2">
      <c r="A13" s="6081" t="s">
        <v>25</v>
      </c>
      <c r="B13" s="3466" t="s">
        <v>801</v>
      </c>
      <c r="C13" s="3467">
        <v>651</v>
      </c>
      <c r="D13" s="3468">
        <f>10243+1091</f>
        <v>11334</v>
      </c>
      <c r="E13" s="3469">
        <f>+C13/D13</f>
        <v>5.7437797776601379E-2</v>
      </c>
      <c r="F13" s="3470">
        <f>+D13/C13</f>
        <v>17.410138248847925</v>
      </c>
      <c r="G13" s="3467">
        <v>696</v>
      </c>
      <c r="H13" s="3468">
        <f>10369+1252</f>
        <v>11621</v>
      </c>
      <c r="I13" s="3469">
        <f>+G13/H13</f>
        <v>5.9891575595903968E-2</v>
      </c>
      <c r="J13" s="3470">
        <f>+H13/G13</f>
        <v>16.696839080459771</v>
      </c>
      <c r="K13" s="3467">
        <v>720</v>
      </c>
      <c r="L13" s="3468">
        <f>10789+1303</f>
        <v>12092</v>
      </c>
      <c r="M13" s="3469">
        <f>+K13/L13</f>
        <v>5.9543499834601388E-2</v>
      </c>
      <c r="N13" s="3470">
        <f>+L13/K13</f>
        <v>16.794444444444444</v>
      </c>
      <c r="O13" s="3467">
        <v>743</v>
      </c>
      <c r="P13" s="3468">
        <f>11399+1434</f>
        <v>12833</v>
      </c>
      <c r="Q13" s="3469">
        <f>+O13/P13</f>
        <v>5.789760773007091E-2</v>
      </c>
      <c r="R13" s="3470">
        <f>+P13/O13</f>
        <v>17.271870794078062</v>
      </c>
      <c r="S13" s="3467">
        <v>982</v>
      </c>
      <c r="T13" s="3468">
        <f>11743+1552</f>
        <v>13295</v>
      </c>
      <c r="U13" s="3470">
        <f>+T13/S13</f>
        <v>13.538696537678208</v>
      </c>
      <c r="V13" s="3467">
        <v>1604</v>
      </c>
      <c r="W13" s="3468">
        <v>13690</v>
      </c>
      <c r="X13" s="3470">
        <f>+W13/V13</f>
        <v>8.5349127182044882</v>
      </c>
      <c r="Y13" s="3467">
        <v>1604</v>
      </c>
      <c r="Z13" s="3468">
        <v>14791</v>
      </c>
      <c r="AA13" s="3470">
        <f>+Z13/Y13</f>
        <v>9.221321695760599</v>
      </c>
      <c r="AB13" s="3467">
        <v>1770</v>
      </c>
      <c r="AC13" s="3468">
        <v>15007</v>
      </c>
      <c r="AD13" s="3470">
        <f>+AC13/AB13</f>
        <v>8.4785310734463284</v>
      </c>
      <c r="AE13" s="3467">
        <v>1840</v>
      </c>
      <c r="AF13" s="3468">
        <v>15041</v>
      </c>
      <c r="AG13" s="3470">
        <f>+AF13/AE13</f>
        <v>8.1744565217391312</v>
      </c>
      <c r="AH13" s="3467">
        <v>1840</v>
      </c>
      <c r="AI13" s="3468">
        <v>15153</v>
      </c>
      <c r="AJ13" s="3470">
        <f>+AI13/AH13</f>
        <v>8.2353260869565226</v>
      </c>
      <c r="AK13" s="3467">
        <v>1892</v>
      </c>
      <c r="AL13" s="3468">
        <v>14674</v>
      </c>
      <c r="AM13" s="3470">
        <f>+AL13/AK13</f>
        <v>7.7558139534883717</v>
      </c>
      <c r="AN13" s="3467">
        <v>2026</v>
      </c>
      <c r="AO13" s="3468">
        <v>14350</v>
      </c>
      <c r="AP13" s="3470">
        <f>+AO13/AN13</f>
        <v>7.0829220138203359</v>
      </c>
      <c r="AQ13" s="3467">
        <v>2114</v>
      </c>
      <c r="AR13" s="3468">
        <v>13415</v>
      </c>
      <c r="AS13" s="3470">
        <f>+AR13/AQ13</f>
        <v>6.3457899716177861</v>
      </c>
      <c r="AT13" s="3467">
        <v>2114</v>
      </c>
      <c r="AU13" s="3468">
        <v>13718</v>
      </c>
      <c r="AV13" s="3470">
        <f>+AU13/AT13</f>
        <v>6.4891201513718073</v>
      </c>
      <c r="AX13" s="5179"/>
      <c r="AY13" s="5179"/>
    </row>
    <row r="14" spans="1:51">
      <c r="A14" s="6082"/>
      <c r="B14" s="3460" t="s">
        <v>225</v>
      </c>
      <c r="C14" s="3410">
        <v>800</v>
      </c>
      <c r="D14" s="3461">
        <v>791</v>
      </c>
      <c r="E14" s="2527">
        <f>+C14/D14</f>
        <v>1.0113780025284449</v>
      </c>
      <c r="F14" s="3462">
        <f>+D14/C14</f>
        <v>0.98875000000000002</v>
      </c>
      <c r="G14" s="3410">
        <v>814</v>
      </c>
      <c r="H14" s="3461">
        <v>793</v>
      </c>
      <c r="I14" s="2527">
        <f>+G14/H14</f>
        <v>1.0264817150063053</v>
      </c>
      <c r="J14" s="3462">
        <f>+H14/G14</f>
        <v>0.97420147420147418</v>
      </c>
      <c r="K14" s="3410">
        <v>819</v>
      </c>
      <c r="L14" s="3461">
        <v>789</v>
      </c>
      <c r="M14" s="2527">
        <f>+K14/L14</f>
        <v>1.038022813688213</v>
      </c>
      <c r="N14" s="3462">
        <f>+L14/K14</f>
        <v>0.96336996336996339</v>
      </c>
      <c r="O14" s="3410">
        <v>830</v>
      </c>
      <c r="P14" s="3461">
        <v>1301</v>
      </c>
      <c r="Q14" s="2527">
        <f>+O14/P14</f>
        <v>0.63797079169869331</v>
      </c>
      <c r="R14" s="3462">
        <f>+P14/O14</f>
        <v>1.5674698795180724</v>
      </c>
      <c r="S14" s="3410">
        <v>1501</v>
      </c>
      <c r="T14" s="3461">
        <v>1285</v>
      </c>
      <c r="U14" s="3462">
        <f>+T14/S14</f>
        <v>0.85609593604263823</v>
      </c>
      <c r="V14" s="3410">
        <v>1515</v>
      </c>
      <c r="W14" s="3461">
        <v>1290</v>
      </c>
      <c r="X14" s="3462">
        <f>+W14/V14</f>
        <v>0.85148514851485146</v>
      </c>
      <c r="Y14" s="3410">
        <v>1515</v>
      </c>
      <c r="Z14" s="3461">
        <v>1301</v>
      </c>
      <c r="AA14" s="3462">
        <f>+Z14/Y14</f>
        <v>0.85874587458745877</v>
      </c>
      <c r="AB14" s="3410">
        <v>1668</v>
      </c>
      <c r="AC14" s="3461">
        <v>1295</v>
      </c>
      <c r="AD14" s="3462">
        <f>+AC14/AB14</f>
        <v>0.77637889688249395</v>
      </c>
      <c r="AE14" s="3410">
        <v>1776</v>
      </c>
      <c r="AF14" s="3461">
        <v>1273</v>
      </c>
      <c r="AG14" s="3462">
        <f>+AF14/AE14</f>
        <v>0.71677927927927931</v>
      </c>
      <c r="AH14" s="3410">
        <v>1776</v>
      </c>
      <c r="AI14" s="3461">
        <v>1294</v>
      </c>
      <c r="AJ14" s="3462">
        <f>+AI14/AH14</f>
        <v>0.72860360360360366</v>
      </c>
      <c r="AK14" s="3410">
        <v>1950</v>
      </c>
      <c r="AL14" s="3461">
        <v>1251</v>
      </c>
      <c r="AM14" s="3462">
        <f>+AL14/AK14</f>
        <v>0.6415384615384615</v>
      </c>
      <c r="AN14" s="3410">
        <v>2031</v>
      </c>
      <c r="AO14" s="3461">
        <v>1244</v>
      </c>
      <c r="AP14" s="3462">
        <f>+AO14/AN14</f>
        <v>0.61250615460364355</v>
      </c>
      <c r="AQ14" s="3410">
        <v>2124</v>
      </c>
      <c r="AR14" s="3461">
        <v>1145</v>
      </c>
      <c r="AS14" s="3462">
        <f>+AR14/AQ14</f>
        <v>0.53907721280602638</v>
      </c>
      <c r="AT14" s="3410">
        <v>2124</v>
      </c>
      <c r="AU14" s="3461">
        <v>1205</v>
      </c>
      <c r="AV14" s="3462">
        <f>+AU14/AT14</f>
        <v>0.56732580037664782</v>
      </c>
      <c r="AX14" s="5179"/>
      <c r="AY14" s="5179"/>
    </row>
    <row r="15" spans="1:51" ht="16.2">
      <c r="A15" s="6083"/>
      <c r="B15" s="3463" t="s">
        <v>802</v>
      </c>
      <c r="C15" s="3426">
        <v>158</v>
      </c>
      <c r="D15" s="3464">
        <v>179</v>
      </c>
      <c r="E15" s="2529">
        <f>+C15/D15</f>
        <v>0.88268156424581001</v>
      </c>
      <c r="F15" s="3465">
        <f>+D15/C15</f>
        <v>1.1329113924050633</v>
      </c>
      <c r="G15" s="3426">
        <v>170</v>
      </c>
      <c r="H15" s="3464">
        <v>194</v>
      </c>
      <c r="I15" s="2529">
        <f>+G15/H15</f>
        <v>0.87628865979381443</v>
      </c>
      <c r="J15" s="3465">
        <f>+H15/G15</f>
        <v>1.1411764705882352</v>
      </c>
      <c r="K15" s="3426">
        <v>176</v>
      </c>
      <c r="L15" s="3464">
        <v>202</v>
      </c>
      <c r="M15" s="2529">
        <f>+K15/L15</f>
        <v>0.87128712871287128</v>
      </c>
      <c r="N15" s="3465">
        <f>+L15/K15</f>
        <v>1.1477272727272727</v>
      </c>
      <c r="O15" s="3426">
        <v>175</v>
      </c>
      <c r="P15" s="3464">
        <v>1187</v>
      </c>
      <c r="Q15" s="2529">
        <f>+O15/P15</f>
        <v>0.14743049705139005</v>
      </c>
      <c r="R15" s="3465">
        <f>+P15/O15</f>
        <v>6.7828571428571429</v>
      </c>
      <c r="S15" s="3426">
        <v>473</v>
      </c>
      <c r="T15" s="3464">
        <v>1200</v>
      </c>
      <c r="U15" s="3465">
        <f>+T15/S15</f>
        <v>2.536997885835095</v>
      </c>
      <c r="V15" s="3426">
        <v>737</v>
      </c>
      <c r="W15" s="3464">
        <v>1199</v>
      </c>
      <c r="X15" s="3465">
        <f>+W15/V15</f>
        <v>1.6268656716417911</v>
      </c>
      <c r="Y15" s="3426">
        <v>737</v>
      </c>
      <c r="Z15" s="3464">
        <v>1224</v>
      </c>
      <c r="AA15" s="3465">
        <f>+Z15/Y15</f>
        <v>1.66078697421981</v>
      </c>
      <c r="AB15" s="3426">
        <v>805</v>
      </c>
      <c r="AC15" s="3464">
        <v>1189</v>
      </c>
      <c r="AD15" s="3465">
        <f>+AC15/AB15</f>
        <v>1.4770186335403728</v>
      </c>
      <c r="AE15" s="3426">
        <v>867</v>
      </c>
      <c r="AF15" s="3464">
        <v>1177</v>
      </c>
      <c r="AG15" s="3465">
        <f>+AF15/AE15</f>
        <v>1.3575547866205306</v>
      </c>
      <c r="AH15" s="3426">
        <v>867</v>
      </c>
      <c r="AI15" s="3464">
        <v>1157</v>
      </c>
      <c r="AJ15" s="3465">
        <f>+AI15/AH15</f>
        <v>1.334486735870819</v>
      </c>
      <c r="AK15" s="3426">
        <v>952</v>
      </c>
      <c r="AL15" s="3464">
        <v>1165</v>
      </c>
      <c r="AM15" s="3465">
        <f>+AL15/AK15</f>
        <v>1.2237394957983194</v>
      </c>
      <c r="AN15" s="3426">
        <v>2584</v>
      </c>
      <c r="AO15" s="3464">
        <v>1179</v>
      </c>
      <c r="AP15" s="3465">
        <f>+AO15/AN15</f>
        <v>0.45626934984520123</v>
      </c>
      <c r="AQ15" s="3426">
        <v>1052</v>
      </c>
      <c r="AR15" s="3464">
        <v>1194</v>
      </c>
      <c r="AS15" s="3465">
        <f>+AR15/AQ15</f>
        <v>1.1349809885931559</v>
      </c>
      <c r="AT15" s="3426">
        <v>1052</v>
      </c>
      <c r="AU15" s="3464">
        <v>1184</v>
      </c>
      <c r="AV15" s="3465">
        <f>+AU15/AT15</f>
        <v>1.1254752851711027</v>
      </c>
      <c r="AX15" s="5179"/>
      <c r="AY15" s="5179"/>
    </row>
    <row r="16" spans="1:51">
      <c r="S16" s="71"/>
      <c r="V16" s="71"/>
      <c r="Y16" s="71"/>
      <c r="AB16" s="71"/>
      <c r="AE16" s="71"/>
      <c r="AH16" s="1681"/>
      <c r="AK16" s="1681"/>
      <c r="AN16" s="1681"/>
      <c r="AQ16" s="1681"/>
      <c r="AR16" s="3595"/>
      <c r="AS16" s="3595"/>
      <c r="AT16" s="1681"/>
      <c r="AU16" s="5177"/>
      <c r="AV16" s="5177"/>
      <c r="AX16" s="5179"/>
      <c r="AY16" s="5179"/>
    </row>
    <row r="17" spans="1:51" ht="16.2">
      <c r="A17" s="6084" t="s">
        <v>244</v>
      </c>
      <c r="B17" s="3466" t="s">
        <v>801</v>
      </c>
      <c r="C17" s="3467">
        <v>651</v>
      </c>
      <c r="D17" s="3468">
        <f>10243+1091</f>
        <v>11334</v>
      </c>
      <c r="E17" s="3469">
        <f>+C17/D17</f>
        <v>5.7437797776601379E-2</v>
      </c>
      <c r="F17" s="3470">
        <f>+D17/C17</f>
        <v>17.410138248847925</v>
      </c>
      <c r="G17" s="3467">
        <v>696</v>
      </c>
      <c r="H17" s="3468">
        <f>10369+1252</f>
        <v>11621</v>
      </c>
      <c r="I17" s="3469">
        <f>+G17/H17</f>
        <v>5.9891575595903968E-2</v>
      </c>
      <c r="J17" s="3470">
        <f>+H17/G17</f>
        <v>16.696839080459771</v>
      </c>
      <c r="K17" s="3467">
        <v>720</v>
      </c>
      <c r="L17" s="3468">
        <f>10789+1303</f>
        <v>12092</v>
      </c>
      <c r="M17" s="3469">
        <f>+K17/L17</f>
        <v>5.9543499834601388E-2</v>
      </c>
      <c r="N17" s="3470">
        <f>+L17/K17</f>
        <v>16.794444444444444</v>
      </c>
      <c r="O17" s="3467"/>
      <c r="P17" s="3468"/>
      <c r="Q17" s="3469"/>
      <c r="R17" s="3470"/>
      <c r="S17" s="3467">
        <v>200</v>
      </c>
      <c r="T17" s="3468">
        <v>161</v>
      </c>
      <c r="U17" s="3470">
        <f>+T17/S17</f>
        <v>0.80500000000000005</v>
      </c>
      <c r="V17" s="3467">
        <v>119</v>
      </c>
      <c r="W17" s="3468">
        <v>220</v>
      </c>
      <c r="X17" s="3470">
        <f>+W17/V17</f>
        <v>1.8487394957983194</v>
      </c>
      <c r="Y17" s="3467">
        <v>129</v>
      </c>
      <c r="Z17" s="3468">
        <v>348</v>
      </c>
      <c r="AA17" s="3470">
        <f>+Z17/Y17</f>
        <v>2.6976744186046511</v>
      </c>
      <c r="AB17" s="3467">
        <v>200</v>
      </c>
      <c r="AC17" s="3468">
        <v>416</v>
      </c>
      <c r="AD17" s="3470">
        <f>+AC17/AB17</f>
        <v>2.08</v>
      </c>
      <c r="AE17" s="3467">
        <v>205</v>
      </c>
      <c r="AF17" s="3468">
        <v>495</v>
      </c>
      <c r="AG17" s="3470">
        <f>+AF17/AE17</f>
        <v>2.4146341463414633</v>
      </c>
      <c r="AH17" s="3467">
        <v>205</v>
      </c>
      <c r="AI17" s="3468">
        <v>598</v>
      </c>
      <c r="AJ17" s="3470">
        <f>+AI17/AH17</f>
        <v>2.9170731707317072</v>
      </c>
      <c r="AK17" s="3467">
        <v>255</v>
      </c>
      <c r="AL17" s="3468">
        <v>738</v>
      </c>
      <c r="AM17" s="3470">
        <f>+AL17/AK17</f>
        <v>2.8941176470588235</v>
      </c>
      <c r="AN17" s="3467">
        <v>264</v>
      </c>
      <c r="AO17" s="3468">
        <v>934</v>
      </c>
      <c r="AP17" s="3470">
        <f>+AO17/AN17</f>
        <v>3.5378787878787881</v>
      </c>
      <c r="AQ17" s="3467">
        <v>359</v>
      </c>
      <c r="AR17" s="3468">
        <v>1122</v>
      </c>
      <c r="AS17" s="3470">
        <f>+AR17/AQ17</f>
        <v>3.1253481894150417</v>
      </c>
      <c r="AT17" s="3467">
        <v>410</v>
      </c>
      <c r="AU17" s="3468">
        <v>1311</v>
      </c>
      <c r="AV17" s="3470">
        <f>+AU17/AT17</f>
        <v>3.1975609756097563</v>
      </c>
      <c r="AX17" s="5179"/>
      <c r="AY17" s="5179"/>
    </row>
    <row r="18" spans="1:51">
      <c r="A18" s="6085"/>
      <c r="B18" s="3460" t="s">
        <v>225</v>
      </c>
      <c r="C18" s="3410">
        <v>800</v>
      </c>
      <c r="D18" s="3461">
        <v>791</v>
      </c>
      <c r="E18" s="2527">
        <f>+C18/D18</f>
        <v>1.0113780025284449</v>
      </c>
      <c r="F18" s="3462">
        <f>+D18/C18</f>
        <v>0.98875000000000002</v>
      </c>
      <c r="G18" s="3410">
        <v>814</v>
      </c>
      <c r="H18" s="3461">
        <v>793</v>
      </c>
      <c r="I18" s="2527">
        <f>+G18/H18</f>
        <v>1.0264817150063053</v>
      </c>
      <c r="J18" s="3462">
        <f>+H18/G18</f>
        <v>0.97420147420147418</v>
      </c>
      <c r="K18" s="3410">
        <v>819</v>
      </c>
      <c r="L18" s="3461">
        <v>789</v>
      </c>
      <c r="M18" s="2527">
        <f>+K18/L18</f>
        <v>1.038022813688213</v>
      </c>
      <c r="N18" s="3462">
        <f>+L18/K18</f>
        <v>0.96336996336996339</v>
      </c>
      <c r="O18" s="3410"/>
      <c r="P18" s="3461"/>
      <c r="Q18" s="2527"/>
      <c r="R18" s="3462"/>
      <c r="S18" s="3410">
        <v>36</v>
      </c>
      <c r="T18" s="3461">
        <v>27</v>
      </c>
      <c r="U18" s="3462">
        <f>+T18/S18</f>
        <v>0.75</v>
      </c>
      <c r="V18" s="3410">
        <v>36</v>
      </c>
      <c r="W18" s="3461">
        <v>46</v>
      </c>
      <c r="X18" s="3462">
        <f>+W18/V18</f>
        <v>1.2777777777777777</v>
      </c>
      <c r="Y18" s="3410">
        <v>66</v>
      </c>
      <c r="Z18" s="3461">
        <v>64</v>
      </c>
      <c r="AA18" s="3462">
        <f>+Z18/Y18</f>
        <v>0.96969696969696972</v>
      </c>
      <c r="AB18" s="3410">
        <v>72</v>
      </c>
      <c r="AC18" s="3461">
        <v>72</v>
      </c>
      <c r="AD18" s="3462">
        <f>+AC18/AB18</f>
        <v>1</v>
      </c>
      <c r="AE18" s="3410">
        <v>108</v>
      </c>
      <c r="AF18" s="3461">
        <v>64</v>
      </c>
      <c r="AG18" s="3462">
        <f>+AF18/AE18</f>
        <v>0.59259259259259256</v>
      </c>
      <c r="AH18" s="3410">
        <v>108</v>
      </c>
      <c r="AI18" s="3461">
        <v>78</v>
      </c>
      <c r="AJ18" s="3462">
        <f>+AI18/AH18</f>
        <v>0.72222222222222221</v>
      </c>
      <c r="AK18" s="3410">
        <v>157</v>
      </c>
      <c r="AL18" s="3461">
        <v>88</v>
      </c>
      <c r="AM18" s="3462">
        <f>+AL18/AK18</f>
        <v>0.56050955414012738</v>
      </c>
      <c r="AN18" s="3410">
        <v>174</v>
      </c>
      <c r="AO18" s="3461">
        <v>85</v>
      </c>
      <c r="AP18" s="3462">
        <f>+AO18/AN18</f>
        <v>0.4885057471264368</v>
      </c>
      <c r="AQ18" s="3410">
        <v>161</v>
      </c>
      <c r="AR18" s="3461">
        <v>94</v>
      </c>
      <c r="AS18" s="3462">
        <f>+AR18/AQ18</f>
        <v>0.58385093167701863</v>
      </c>
      <c r="AT18" s="3410">
        <v>184</v>
      </c>
      <c r="AU18" s="3461">
        <v>107</v>
      </c>
      <c r="AV18" s="3462">
        <f>+AU18/AT18</f>
        <v>0.58152173913043481</v>
      </c>
      <c r="AX18" s="5179"/>
      <c r="AY18" s="5179"/>
    </row>
    <row r="19" spans="1:51" ht="16.2">
      <c r="A19" s="6086"/>
      <c r="B19" s="3463" t="s">
        <v>802</v>
      </c>
      <c r="C19" s="3426">
        <v>158</v>
      </c>
      <c r="D19" s="3464">
        <v>179</v>
      </c>
      <c r="E19" s="2529">
        <f>+C19/D19</f>
        <v>0.88268156424581001</v>
      </c>
      <c r="F19" s="3465">
        <f>+D19/C19</f>
        <v>1.1329113924050633</v>
      </c>
      <c r="G19" s="3426">
        <v>170</v>
      </c>
      <c r="H19" s="3464">
        <v>194</v>
      </c>
      <c r="I19" s="2529">
        <f>+G19/H19</f>
        <v>0.87628865979381443</v>
      </c>
      <c r="J19" s="3465">
        <f>+H19/G19</f>
        <v>1.1411764705882352</v>
      </c>
      <c r="K19" s="3426">
        <v>176</v>
      </c>
      <c r="L19" s="3464">
        <v>202</v>
      </c>
      <c r="M19" s="2529">
        <f>+K19/L19</f>
        <v>0.87128712871287128</v>
      </c>
      <c r="N19" s="3465">
        <f>+L19/K19</f>
        <v>1.1477272727272727</v>
      </c>
      <c r="O19" s="3426"/>
      <c r="P19" s="3464"/>
      <c r="Q19" s="2529"/>
      <c r="R19" s="3465"/>
      <c r="S19" s="3426">
        <v>46</v>
      </c>
      <c r="T19" s="3464">
        <v>41</v>
      </c>
      <c r="U19" s="3465">
        <f>+T19/S19</f>
        <v>0.89130434782608692</v>
      </c>
      <c r="V19" s="3426">
        <v>13</v>
      </c>
      <c r="W19" s="3464">
        <v>50</v>
      </c>
      <c r="X19" s="3465">
        <f>+W19/V19</f>
        <v>3.8461538461538463</v>
      </c>
      <c r="Y19" s="3426">
        <v>16</v>
      </c>
      <c r="Z19" s="3464">
        <v>56</v>
      </c>
      <c r="AA19" s="3465">
        <f>+Z19/Y19</f>
        <v>3.5</v>
      </c>
      <c r="AB19" s="3426">
        <v>79</v>
      </c>
      <c r="AC19" s="3464">
        <v>80</v>
      </c>
      <c r="AD19" s="3465">
        <f>+AC19/AB19</f>
        <v>1.0126582278481013</v>
      </c>
      <c r="AE19" s="3426">
        <v>89</v>
      </c>
      <c r="AF19" s="3464">
        <v>81</v>
      </c>
      <c r="AG19" s="3465">
        <f>+AF19/AE19</f>
        <v>0.9101123595505618</v>
      </c>
      <c r="AH19" s="3426">
        <v>89</v>
      </c>
      <c r="AI19" s="3464">
        <v>118</v>
      </c>
      <c r="AJ19" s="3465">
        <f>+AI19/AH19</f>
        <v>1.3258426966292134</v>
      </c>
      <c r="AK19" s="3426">
        <v>88</v>
      </c>
      <c r="AL19" s="3464">
        <v>118</v>
      </c>
      <c r="AM19" s="3465">
        <f>+AL19/AK19</f>
        <v>1.3409090909090908</v>
      </c>
      <c r="AN19" s="3426">
        <v>136</v>
      </c>
      <c r="AO19" s="3464">
        <v>138</v>
      </c>
      <c r="AP19" s="3465">
        <f>+AO19/AN19</f>
        <v>1.0147058823529411</v>
      </c>
      <c r="AQ19" s="3426">
        <v>80</v>
      </c>
      <c r="AR19" s="3464">
        <v>163</v>
      </c>
      <c r="AS19" s="3465">
        <f>+AR19/AQ19</f>
        <v>2.0375000000000001</v>
      </c>
      <c r="AT19" s="3426">
        <v>113</v>
      </c>
      <c r="AU19" s="3464">
        <v>172</v>
      </c>
      <c r="AV19" s="3465">
        <f>+AU19/AT19</f>
        <v>1.5221238938053097</v>
      </c>
      <c r="AX19" s="5179"/>
      <c r="AY19" s="5179"/>
    </row>
    <row r="20" spans="1:51">
      <c r="S20" s="71">
        <f>SUM(S17:S19)</f>
        <v>282</v>
      </c>
      <c r="V20" s="71">
        <f>SUM(V17:V19)</f>
        <v>168</v>
      </c>
      <c r="Y20" s="71"/>
      <c r="AB20" s="71"/>
      <c r="AE20" s="71"/>
      <c r="AH20" s="1682" t="s">
        <v>2555</v>
      </c>
      <c r="AK20" s="1682"/>
      <c r="AN20" s="1682"/>
      <c r="AQ20" s="1682"/>
      <c r="AR20" s="3595"/>
      <c r="AS20" s="3595"/>
      <c r="AT20" s="1682"/>
      <c r="AU20" s="5177"/>
      <c r="AV20" s="5177"/>
      <c r="AX20" s="5179"/>
      <c r="AY20" s="5179"/>
    </row>
    <row r="21" spans="1:51" ht="14.55" customHeight="1">
      <c r="A21" s="6087" t="s">
        <v>48</v>
      </c>
      <c r="B21" s="3466" t="s">
        <v>801</v>
      </c>
      <c r="C21" s="3467">
        <v>410</v>
      </c>
      <c r="D21" s="3468">
        <f>590+14049</f>
        <v>14639</v>
      </c>
      <c r="E21" s="3469">
        <f>+C21/D21</f>
        <v>2.8007377553111553E-2</v>
      </c>
      <c r="F21" s="3470">
        <f>+D21/C21</f>
        <v>35.704878048780486</v>
      </c>
      <c r="G21" s="3467">
        <v>487</v>
      </c>
      <c r="H21" s="3468">
        <f>630+13745</f>
        <v>14375</v>
      </c>
      <c r="I21" s="3469">
        <f>+G21/H21</f>
        <v>3.3878260869565219E-2</v>
      </c>
      <c r="J21" s="3470">
        <f>+H21/G21</f>
        <v>29.517453798767967</v>
      </c>
      <c r="K21" s="3467">
        <v>480</v>
      </c>
      <c r="L21" s="3468">
        <f>13387+747</f>
        <v>14134</v>
      </c>
      <c r="M21" s="3469">
        <f>+K21/L21</f>
        <v>3.3960662232913545E-2</v>
      </c>
      <c r="N21" s="3470">
        <f>+L21/K21</f>
        <v>29.445833333333333</v>
      </c>
      <c r="O21" s="3467">
        <v>590</v>
      </c>
      <c r="P21" s="3468">
        <f>13485+685</f>
        <v>14170</v>
      </c>
      <c r="Q21" s="3469">
        <f>+O21/P21</f>
        <v>4.1637261820748062E-2</v>
      </c>
      <c r="R21" s="3470">
        <f>+P21/O21</f>
        <v>24.016949152542374</v>
      </c>
      <c r="S21" s="3467">
        <v>906</v>
      </c>
      <c r="T21" s="3468">
        <f>13456+687</f>
        <v>14143</v>
      </c>
      <c r="U21" s="3470">
        <f>+T21/S21</f>
        <v>15.610375275938189</v>
      </c>
      <c r="V21" s="3467">
        <v>1541</v>
      </c>
      <c r="W21" s="3468">
        <v>14178</v>
      </c>
      <c r="X21" s="3470">
        <f>+W21/V21</f>
        <v>9.2005191434133682</v>
      </c>
      <c r="Y21" s="3467">
        <v>1651</v>
      </c>
      <c r="Z21" s="3468">
        <v>14230</v>
      </c>
      <c r="AA21" s="3470">
        <f>+Z21/Y21</f>
        <v>8.6190187764990913</v>
      </c>
      <c r="AB21" s="3467">
        <v>1651</v>
      </c>
      <c r="AC21" s="3468">
        <v>14381</v>
      </c>
      <c r="AD21" s="3470">
        <f>+AC21/AB21</f>
        <v>8.7104784978800733</v>
      </c>
      <c r="AE21" s="3467">
        <v>2062</v>
      </c>
      <c r="AF21" s="3468">
        <v>14410</v>
      </c>
      <c r="AG21" s="3470">
        <f>+AF21/AE21</f>
        <v>6.9883608147429683</v>
      </c>
      <c r="AH21" s="3467">
        <v>702</v>
      </c>
      <c r="AI21" s="3468">
        <v>14449</v>
      </c>
      <c r="AJ21" s="3470">
        <f>+AI21/AH21</f>
        <v>20.582621082621081</v>
      </c>
      <c r="AK21" s="3467">
        <v>723</v>
      </c>
      <c r="AL21" s="3468">
        <v>14911</v>
      </c>
      <c r="AM21" s="3470">
        <f>+AL21/AK21</f>
        <v>20.623789764868604</v>
      </c>
      <c r="AN21" s="3467">
        <v>723</v>
      </c>
      <c r="AO21" s="3468">
        <v>15340</v>
      </c>
      <c r="AP21" s="3470">
        <f>+AO21/AN21</f>
        <v>21.217150760719225</v>
      </c>
      <c r="AQ21" s="3467">
        <v>723</v>
      </c>
      <c r="AR21" s="3468">
        <v>15031</v>
      </c>
      <c r="AS21" s="3470">
        <f>+AR21/AQ21</f>
        <v>20.789764868603044</v>
      </c>
      <c r="AT21" s="3467">
        <v>723</v>
      </c>
      <c r="AU21" s="3468">
        <v>15507</v>
      </c>
      <c r="AV21" s="3470">
        <f>+AU21/AT21</f>
        <v>21.448132780082986</v>
      </c>
      <c r="AY21" s="5179"/>
    </row>
    <row r="22" spans="1:51" ht="14.55" customHeight="1">
      <c r="A22" s="6088"/>
      <c r="B22" s="3460" t="s">
        <v>225</v>
      </c>
      <c r="C22" s="3410">
        <v>400</v>
      </c>
      <c r="D22" s="3461">
        <v>816</v>
      </c>
      <c r="E22" s="2527">
        <f>+C22/D22</f>
        <v>0.49019607843137253</v>
      </c>
      <c r="F22" s="3462">
        <f>+D22/C22</f>
        <v>2.04</v>
      </c>
      <c r="G22" s="3410">
        <v>404</v>
      </c>
      <c r="H22" s="3461">
        <v>819</v>
      </c>
      <c r="I22" s="2527">
        <f>+G22/H22</f>
        <v>0.49328449328449331</v>
      </c>
      <c r="J22" s="3462">
        <f>+H22/G22</f>
        <v>2.027227722772277</v>
      </c>
      <c r="K22" s="3410">
        <v>400</v>
      </c>
      <c r="L22" s="3461">
        <v>820</v>
      </c>
      <c r="M22" s="2527">
        <f>+K22/L22</f>
        <v>0.48780487804878048</v>
      </c>
      <c r="N22" s="3462">
        <f>+L22/K22</f>
        <v>2.0499999999999998</v>
      </c>
      <c r="O22" s="3410">
        <v>456</v>
      </c>
      <c r="P22" s="3461">
        <v>1349</v>
      </c>
      <c r="Q22" s="2527">
        <f>+O22/P22</f>
        <v>0.3380281690140845</v>
      </c>
      <c r="R22" s="3462">
        <f>+P22/O22</f>
        <v>2.9583333333333335</v>
      </c>
      <c r="S22" s="3410">
        <v>1276</v>
      </c>
      <c r="T22" s="3461">
        <v>1389</v>
      </c>
      <c r="U22" s="3462">
        <f>+T22/S22</f>
        <v>1.0885579937304075</v>
      </c>
      <c r="V22" s="3410">
        <v>1253</v>
      </c>
      <c r="W22" s="3461">
        <v>1378</v>
      </c>
      <c r="X22" s="3462">
        <f>+W22/V22</f>
        <v>1.0997605746209098</v>
      </c>
      <c r="Y22" s="3410">
        <v>1417</v>
      </c>
      <c r="Z22" s="3461">
        <v>1398</v>
      </c>
      <c r="AA22" s="3462">
        <f>+Z22/Y22</f>
        <v>0.98659139026111509</v>
      </c>
      <c r="AB22" s="3410">
        <v>1417</v>
      </c>
      <c r="AC22" s="3461">
        <v>1398</v>
      </c>
      <c r="AD22" s="3462">
        <f>+AC22/AB22</f>
        <v>0.98659139026111509</v>
      </c>
      <c r="AE22" s="3410">
        <v>1497</v>
      </c>
      <c r="AF22" s="3461">
        <v>1410</v>
      </c>
      <c r="AG22" s="3462">
        <f>+AF22/AE22</f>
        <v>0.94188376753507019</v>
      </c>
      <c r="AH22" s="3410">
        <v>1644</v>
      </c>
      <c r="AI22" s="3461">
        <v>1405</v>
      </c>
      <c r="AJ22" s="3462">
        <f>+AI22/AH22</f>
        <v>0.85462287104622869</v>
      </c>
      <c r="AK22" s="3410">
        <v>1740</v>
      </c>
      <c r="AL22" s="3461">
        <v>1420</v>
      </c>
      <c r="AM22" s="3462">
        <f>+AL22/AK22</f>
        <v>0.81609195402298851</v>
      </c>
      <c r="AN22" s="3410">
        <v>1740</v>
      </c>
      <c r="AO22" s="3461">
        <v>1408</v>
      </c>
      <c r="AP22" s="3462">
        <f>+AO22/AN22</f>
        <v>0.80919540229885056</v>
      </c>
      <c r="AQ22" s="3410">
        <v>1740</v>
      </c>
      <c r="AR22" s="3461">
        <v>1320</v>
      </c>
      <c r="AS22" s="3462">
        <f>+AR22/AQ22</f>
        <v>0.75862068965517238</v>
      </c>
      <c r="AT22" s="3410">
        <v>1740</v>
      </c>
      <c r="AU22" s="3461">
        <v>1379</v>
      </c>
      <c r="AV22" s="3462">
        <f>+AU22/AT22</f>
        <v>0.79252873563218396</v>
      </c>
    </row>
    <row r="23" spans="1:51" ht="16.2">
      <c r="A23" s="6089"/>
      <c r="B23" s="3463" t="s">
        <v>802</v>
      </c>
      <c r="C23" s="3426">
        <v>130</v>
      </c>
      <c r="D23" s="3464">
        <v>209</v>
      </c>
      <c r="E23" s="2529">
        <f>+C23/D23</f>
        <v>0.62200956937799046</v>
      </c>
      <c r="F23" s="3465">
        <f>+D23/C23</f>
        <v>1.6076923076923078</v>
      </c>
      <c r="G23" s="3426">
        <v>145</v>
      </c>
      <c r="H23" s="3464">
        <v>219</v>
      </c>
      <c r="I23" s="2529">
        <f>+G23/H23</f>
        <v>0.66210045662100458</v>
      </c>
      <c r="J23" s="3465">
        <f>+H23/G23</f>
        <v>1.5103448275862068</v>
      </c>
      <c r="K23" s="3426">
        <v>150</v>
      </c>
      <c r="L23" s="3464">
        <v>222</v>
      </c>
      <c r="M23" s="2529">
        <f>+K23/L23</f>
        <v>0.67567567567567566</v>
      </c>
      <c r="N23" s="3465">
        <f>+L23/K23</f>
        <v>1.48</v>
      </c>
      <c r="O23" s="3426">
        <v>150</v>
      </c>
      <c r="P23" s="3464">
        <v>1355</v>
      </c>
      <c r="Q23" s="2529">
        <f>+O23/P23</f>
        <v>0.11070110701107011</v>
      </c>
      <c r="R23" s="3465">
        <f>+P23/O23</f>
        <v>9.0333333333333332</v>
      </c>
      <c r="S23" s="3426">
        <v>545</v>
      </c>
      <c r="T23" s="3464">
        <v>1368</v>
      </c>
      <c r="U23" s="3465">
        <f>+T23/S23</f>
        <v>2.5100917431192662</v>
      </c>
      <c r="V23" s="3426">
        <v>850</v>
      </c>
      <c r="W23" s="3464">
        <v>1363</v>
      </c>
      <c r="X23" s="3465">
        <f>+W23/V23</f>
        <v>1.6035294117647059</v>
      </c>
      <c r="Y23" s="3426">
        <v>889</v>
      </c>
      <c r="Z23" s="3464">
        <v>1354</v>
      </c>
      <c r="AA23" s="3465">
        <f>+Z23/Y23</f>
        <v>1.5230596175478066</v>
      </c>
      <c r="AB23" s="3426">
        <v>889</v>
      </c>
      <c r="AC23" s="3464">
        <v>1379</v>
      </c>
      <c r="AD23" s="3465">
        <f>+AC23/AB23</f>
        <v>1.5511811023622046</v>
      </c>
      <c r="AE23" s="3426">
        <v>965</v>
      </c>
      <c r="AF23" s="3464">
        <v>1371</v>
      </c>
      <c r="AG23" s="3465">
        <f>+AF23/AE23</f>
        <v>1.4207253886010363</v>
      </c>
      <c r="AH23" s="3426">
        <v>1053</v>
      </c>
      <c r="AI23" s="3464">
        <v>1342</v>
      </c>
      <c r="AJ23" s="3465">
        <f>+AI23/AH23</f>
        <v>1.2744539411206077</v>
      </c>
      <c r="AK23" s="3426">
        <v>1141</v>
      </c>
      <c r="AL23" s="3464">
        <v>1347</v>
      </c>
      <c r="AM23" s="3465">
        <f>+AL23/AK23</f>
        <v>1.1805433829973708</v>
      </c>
      <c r="AN23" s="3426">
        <v>1141</v>
      </c>
      <c r="AO23" s="3464">
        <v>1356</v>
      </c>
      <c r="AP23" s="3465">
        <f>+AO23/AN23</f>
        <v>1.1884312007011393</v>
      </c>
      <c r="AQ23" s="3426">
        <v>1141</v>
      </c>
      <c r="AR23" s="3464">
        <v>1361</v>
      </c>
      <c r="AS23" s="3465">
        <f>+AR23/AQ23</f>
        <v>1.1928133216476775</v>
      </c>
      <c r="AT23" s="3426">
        <v>1141</v>
      </c>
      <c r="AU23" s="3464">
        <v>1373</v>
      </c>
      <c r="AV23" s="3465">
        <f>+AU23/AT23</f>
        <v>1.2033304119193691</v>
      </c>
    </row>
    <row r="24" spans="1:51">
      <c r="S24" s="71"/>
      <c r="V24" s="71"/>
      <c r="Y24" s="71"/>
      <c r="AB24" s="71"/>
      <c r="AE24" s="71"/>
      <c r="AH24" s="71"/>
      <c r="AK24" s="71"/>
      <c r="AN24" s="71" t="s">
        <v>2555</v>
      </c>
      <c r="AQ24" s="71" t="s">
        <v>2555</v>
      </c>
      <c r="AR24" s="3595"/>
      <c r="AS24" s="3595"/>
      <c r="AT24" s="71" t="s">
        <v>3056</v>
      </c>
      <c r="AU24" s="5177"/>
      <c r="AV24" s="5177"/>
    </row>
    <row r="25" spans="1:51" ht="14.55" customHeight="1">
      <c r="A25" s="6068" t="s">
        <v>87</v>
      </c>
      <c r="B25" s="3466" t="s">
        <v>801</v>
      </c>
      <c r="C25" s="3467"/>
      <c r="D25" s="3468"/>
      <c r="E25" s="3469"/>
      <c r="F25" s="3470"/>
      <c r="G25" s="3467"/>
      <c r="H25" s="3468"/>
      <c r="I25" s="3469"/>
      <c r="J25" s="3470"/>
      <c r="K25" s="3467"/>
      <c r="L25" s="3468"/>
      <c r="M25" s="3469"/>
      <c r="N25" s="3470"/>
      <c r="O25" s="3467"/>
      <c r="P25" s="3468"/>
      <c r="Q25" s="3469"/>
      <c r="R25" s="3470"/>
      <c r="S25" s="3467"/>
      <c r="T25" s="3468"/>
      <c r="U25" s="3470"/>
      <c r="V25" s="3467"/>
      <c r="W25" s="3468"/>
      <c r="X25" s="3470"/>
      <c r="Y25" s="3467"/>
      <c r="Z25" s="3468"/>
      <c r="AA25" s="3470"/>
      <c r="AB25" s="3467"/>
      <c r="AC25" s="3468"/>
      <c r="AD25" s="3470"/>
      <c r="AE25" s="3467"/>
      <c r="AF25" s="3468"/>
      <c r="AG25" s="3470"/>
      <c r="AH25" s="3467"/>
      <c r="AI25" s="3468"/>
      <c r="AJ25" s="3470"/>
      <c r="AK25" s="3467"/>
      <c r="AL25" s="3468"/>
      <c r="AM25" s="3470"/>
      <c r="AN25" s="3467"/>
      <c r="AO25" s="3468"/>
      <c r="AP25" s="3470"/>
      <c r="AQ25" s="3467"/>
      <c r="AR25" s="3468"/>
      <c r="AS25" s="3470"/>
      <c r="AT25" s="3467"/>
      <c r="AU25" s="3468"/>
      <c r="AV25" s="3470"/>
    </row>
    <row r="26" spans="1:51" ht="14.55" customHeight="1">
      <c r="A26" s="6069"/>
      <c r="B26" s="3460" t="s">
        <v>225</v>
      </c>
      <c r="C26" s="3410"/>
      <c r="D26" s="3461"/>
      <c r="E26" s="2527"/>
      <c r="F26" s="3462"/>
      <c r="G26" s="3410"/>
      <c r="H26" s="3461"/>
      <c r="I26" s="2527"/>
      <c r="J26" s="3462"/>
      <c r="K26" s="3410"/>
      <c r="L26" s="3461"/>
      <c r="M26" s="2527"/>
      <c r="N26" s="3462"/>
      <c r="O26" s="3410"/>
      <c r="P26" s="3461"/>
      <c r="Q26" s="2527"/>
      <c r="R26" s="3462"/>
      <c r="S26" s="3410"/>
      <c r="T26" s="3461"/>
      <c r="U26" s="3462"/>
      <c r="V26" s="3410"/>
      <c r="W26" s="3461">
        <v>4</v>
      </c>
      <c r="X26" s="3462"/>
      <c r="Y26" s="3410"/>
      <c r="Z26" s="3461">
        <v>5</v>
      </c>
      <c r="AA26" s="3462"/>
      <c r="AB26" s="3410"/>
      <c r="AC26" s="3461">
        <v>5</v>
      </c>
      <c r="AD26" s="3462"/>
      <c r="AE26" s="3410"/>
      <c r="AF26" s="3461">
        <v>5</v>
      </c>
      <c r="AG26" s="3462"/>
      <c r="AH26" s="3410"/>
      <c r="AI26" s="3461">
        <v>5</v>
      </c>
      <c r="AJ26" s="3462"/>
      <c r="AK26" s="3410"/>
      <c r="AL26" s="3461">
        <v>6</v>
      </c>
      <c r="AM26" s="3462"/>
      <c r="AN26" s="3410"/>
      <c r="AO26" s="3461">
        <v>7</v>
      </c>
      <c r="AP26" s="3462"/>
      <c r="AQ26" s="3410"/>
      <c r="AR26" s="3461">
        <v>6</v>
      </c>
      <c r="AS26" s="3462"/>
      <c r="AT26" s="3410"/>
      <c r="AU26" s="3461">
        <v>6</v>
      </c>
      <c r="AV26" s="3462"/>
    </row>
    <row r="27" spans="1:51" ht="16.2">
      <c r="A27" s="6070"/>
      <c r="B27" s="3463" t="s">
        <v>802</v>
      </c>
      <c r="C27" s="3426"/>
      <c r="D27" s="3464"/>
      <c r="E27" s="2529"/>
      <c r="F27" s="3465"/>
      <c r="G27" s="3426"/>
      <c r="H27" s="3464"/>
      <c r="I27" s="2529"/>
      <c r="J27" s="3465"/>
      <c r="K27" s="3426"/>
      <c r="L27" s="3464"/>
      <c r="M27" s="2529"/>
      <c r="N27" s="3465"/>
      <c r="O27" s="3426">
        <v>790</v>
      </c>
      <c r="P27" s="3464">
        <f>1176</f>
        <v>1176</v>
      </c>
      <c r="Q27" s="2529"/>
      <c r="R27" s="3465">
        <f>P27/O27</f>
        <v>1.4886075949367088</v>
      </c>
      <c r="S27" s="3426">
        <v>930</v>
      </c>
      <c r="T27" s="3464">
        <v>1195</v>
      </c>
      <c r="U27" s="3465">
        <f>T27/S27</f>
        <v>1.2849462365591398</v>
      </c>
      <c r="V27" s="3426">
        <v>1050</v>
      </c>
      <c r="W27" s="3464">
        <v>1219</v>
      </c>
      <c r="X27" s="3465">
        <f>W27/V27</f>
        <v>1.160952380952381</v>
      </c>
      <c r="Y27" s="3426">
        <v>1330</v>
      </c>
      <c r="Z27" s="3464">
        <v>1224</v>
      </c>
      <c r="AA27" s="3465">
        <f>Z27/Y27</f>
        <v>0.92030075187969929</v>
      </c>
      <c r="AB27" s="3426">
        <v>1330</v>
      </c>
      <c r="AC27" s="3464">
        <v>1248</v>
      </c>
      <c r="AD27" s="3465">
        <f>AC27/AB27</f>
        <v>0.93834586466165415</v>
      </c>
      <c r="AE27" s="3426">
        <v>1324</v>
      </c>
      <c r="AF27" s="3464">
        <v>1225</v>
      </c>
      <c r="AG27" s="3465">
        <f>AF27/AE27</f>
        <v>0.92522658610271902</v>
      </c>
      <c r="AH27" s="3426">
        <v>1356</v>
      </c>
      <c r="AI27" s="3464">
        <v>1260</v>
      </c>
      <c r="AJ27" s="3465">
        <f>AI27/AH27</f>
        <v>0.92920353982300885</v>
      </c>
      <c r="AK27" s="3426">
        <v>1454</v>
      </c>
      <c r="AL27" s="3464">
        <v>1245</v>
      </c>
      <c r="AM27" s="3465">
        <f>AL27/AK27</f>
        <v>0.85625859697386519</v>
      </c>
      <c r="AN27" s="3426">
        <v>1362</v>
      </c>
      <c r="AO27" s="3464">
        <v>1225</v>
      </c>
      <c r="AP27" s="3465">
        <f>AO27/AN27</f>
        <v>0.89941262848751835</v>
      </c>
      <c r="AQ27" s="3426">
        <v>1670</v>
      </c>
      <c r="AR27" s="3464">
        <v>1233</v>
      </c>
      <c r="AS27" s="3465">
        <f>AR27/AQ27</f>
        <v>0.73832335329341314</v>
      </c>
      <c r="AT27" s="3426">
        <v>1811</v>
      </c>
      <c r="AU27" s="3464">
        <v>1232</v>
      </c>
      <c r="AV27" s="3465">
        <f>AU27/AT27</f>
        <v>0.68028713418001108</v>
      </c>
    </row>
    <row r="28" spans="1:51" ht="14.55" customHeight="1">
      <c r="B28" s="38"/>
      <c r="C28" s="38"/>
      <c r="D28" s="38"/>
      <c r="E28" s="38"/>
      <c r="F28" s="38"/>
      <c r="O28" s="129"/>
      <c r="P28" s="129"/>
      <c r="R28" s="129"/>
      <c r="AQ28" s="3595"/>
      <c r="AR28" s="3595"/>
      <c r="AS28" s="3595"/>
      <c r="AT28" s="5177"/>
      <c r="AU28" s="5177"/>
      <c r="AV28" s="5177"/>
    </row>
    <row r="29" spans="1:51" ht="16.2">
      <c r="A29" s="6071" t="s">
        <v>113</v>
      </c>
      <c r="B29" s="3466" t="s">
        <v>801</v>
      </c>
      <c r="C29" s="3467">
        <f t="shared" ref="C29:D31" si="0">SUM(C5,C9,C13,C21)</f>
        <v>2288</v>
      </c>
      <c r="D29" s="3468">
        <f t="shared" si="0"/>
        <v>40155</v>
      </c>
      <c r="E29" s="3469"/>
      <c r="F29" s="3470">
        <f>D29/C29</f>
        <v>17.550262237762237</v>
      </c>
      <c r="G29" s="3467">
        <f t="shared" ref="G29:H31" si="1">SUM(G5,G9,G13,G21)</f>
        <v>2695</v>
      </c>
      <c r="H29" s="3468">
        <f t="shared" si="1"/>
        <v>40612</v>
      </c>
      <c r="I29" s="3469"/>
      <c r="J29" s="3470">
        <f>H29/G29</f>
        <v>15.06938775510204</v>
      </c>
      <c r="K29" s="3467">
        <f t="shared" ref="K29:L31" si="2">SUM(K5,K9,K13,K21)</f>
        <v>2965</v>
      </c>
      <c r="L29" s="3468">
        <f t="shared" si="2"/>
        <v>41429</v>
      </c>
      <c r="M29" s="3469"/>
      <c r="N29" s="3470">
        <f>L29/K29</f>
        <v>13.972681281618888</v>
      </c>
      <c r="O29" s="3467">
        <f>SUM(O5,O9,O13,O21)</f>
        <v>3292</v>
      </c>
      <c r="P29" s="3468">
        <f>SUM(P5,P9,P13,P21)</f>
        <v>43350</v>
      </c>
      <c r="Q29" s="3469"/>
      <c r="R29" s="3470">
        <f>P29/O29</f>
        <v>13.168286755771568</v>
      </c>
      <c r="S29" s="3467">
        <f t="shared" ref="S29:T31" si="3">SUM(S5,S9,S13,S17,S21,S25)</f>
        <v>3756</v>
      </c>
      <c r="T29" s="3468">
        <f t="shared" si="3"/>
        <v>43920</v>
      </c>
      <c r="U29" s="3470">
        <f>T29/S29</f>
        <v>11.693290734824281</v>
      </c>
      <c r="V29" s="3467">
        <f t="shared" ref="V29:W31" si="4">SUM(V5,V9,V13,V17,V21,V25)</f>
        <v>4519</v>
      </c>
      <c r="W29" s="3468">
        <f t="shared" si="4"/>
        <v>45040</v>
      </c>
      <c r="X29" s="3470">
        <f>W29/V29</f>
        <v>9.9668068156671836</v>
      </c>
      <c r="Y29" s="3467">
        <f t="shared" ref="Y29:Z31" si="5">SUM(Y5,Y9,Y13,Y17,Y21,Y25)</f>
        <v>5024</v>
      </c>
      <c r="Z29" s="3468">
        <f t="shared" si="5"/>
        <v>46665</v>
      </c>
      <c r="AA29" s="3470">
        <f>Z29/Y29</f>
        <v>9.2884156050955422</v>
      </c>
      <c r="AB29" s="3467">
        <f t="shared" ref="AB29:AC31" si="6">SUM(AB5,AB9,AB13,AB17,AB21,AB25)</f>
        <v>5116</v>
      </c>
      <c r="AC29" s="3468">
        <f t="shared" si="6"/>
        <v>47551</v>
      </c>
      <c r="AD29" s="3470">
        <f>AC29/AB29</f>
        <v>9.2945660672400319</v>
      </c>
      <c r="AE29" s="3467">
        <f t="shared" ref="AE29:AF31" si="7">SUM(AE5,AE9,AE13,AE17,AE21,AE25)</f>
        <v>5434</v>
      </c>
      <c r="AF29" s="3468">
        <f t="shared" si="7"/>
        <v>47865</v>
      </c>
      <c r="AG29" s="3470">
        <f>AF29/AE29</f>
        <v>8.8084284136915709</v>
      </c>
      <c r="AH29" s="3467">
        <f t="shared" ref="AH29:AI31" si="8">SUM(AH5,AH9,AH13,AH17,AH21,AH25)</f>
        <v>4520</v>
      </c>
      <c r="AI29" s="3468">
        <f t="shared" si="8"/>
        <v>48182</v>
      </c>
      <c r="AJ29" s="3470">
        <f>AI29/AH29</f>
        <v>10.659734513274337</v>
      </c>
      <c r="AK29" s="3467">
        <f t="shared" ref="AK29:AL31" si="9">SUM(AK5,AK9,AK13,AK17,AK21,AK25)</f>
        <v>4509</v>
      </c>
      <c r="AL29" s="3468">
        <f t="shared" si="9"/>
        <v>48385</v>
      </c>
      <c r="AM29" s="3470">
        <f>AL29/AK29</f>
        <v>10.73076070082058</v>
      </c>
      <c r="AN29" s="3467">
        <f t="shared" ref="AN29:AO31" si="10">SUM(AN5,AN9,AN13,AN17,AN21,AN25)</f>
        <v>4594</v>
      </c>
      <c r="AO29" s="3468">
        <f t="shared" si="10"/>
        <v>49178</v>
      </c>
      <c r="AP29" s="3470">
        <f>AO29/AN29</f>
        <v>10.70483239007401</v>
      </c>
      <c r="AQ29" s="3467">
        <f t="shared" ref="AQ29:AR31" si="11">SUM(AQ5,AQ9,AQ13,AQ17,AQ21,AQ25)</f>
        <v>4955</v>
      </c>
      <c r="AR29" s="3468">
        <f t="shared" si="11"/>
        <v>48106</v>
      </c>
      <c r="AS29" s="3470">
        <f>AR29/AQ29</f>
        <v>9.7085771947527757</v>
      </c>
      <c r="AT29" s="3467">
        <f t="shared" ref="AT29:AU31" si="12">SUM(AT5,AT9,AT13,AT17,AT21,AT25)</f>
        <v>5144</v>
      </c>
      <c r="AU29" s="3468">
        <f t="shared" si="12"/>
        <v>49792</v>
      </c>
      <c r="AV29" s="3470">
        <f>AU29/AT29</f>
        <v>9.679626749611197</v>
      </c>
    </row>
    <row r="30" spans="1:51" ht="14.55" customHeight="1">
      <c r="A30" s="6072"/>
      <c r="B30" s="3460" t="s">
        <v>225</v>
      </c>
      <c r="C30" s="3410">
        <f t="shared" si="0"/>
        <v>2353</v>
      </c>
      <c r="D30" s="3461">
        <f t="shared" si="0"/>
        <v>2495</v>
      </c>
      <c r="E30" s="2527"/>
      <c r="F30" s="3462">
        <f>D30/C30</f>
        <v>1.0603484912877179</v>
      </c>
      <c r="G30" s="3410">
        <f t="shared" si="1"/>
        <v>2433</v>
      </c>
      <c r="H30" s="3461">
        <f t="shared" si="1"/>
        <v>2520</v>
      </c>
      <c r="I30" s="2527"/>
      <c r="J30" s="3462">
        <f>H30/G30</f>
        <v>1.0357583230579532</v>
      </c>
      <c r="K30" s="3410">
        <f t="shared" si="2"/>
        <v>2494</v>
      </c>
      <c r="L30" s="3461">
        <f t="shared" si="2"/>
        <v>2537</v>
      </c>
      <c r="M30" s="2527"/>
      <c r="N30" s="3462">
        <f>L30/K30</f>
        <v>1.0172413793103448</v>
      </c>
      <c r="O30" s="3410">
        <f>SUM(O6,O10,O14,O22)</f>
        <v>2618</v>
      </c>
      <c r="P30" s="3461">
        <f>SUM(P6,P10,P14,P22)</f>
        <v>4296</v>
      </c>
      <c r="Q30" s="2527"/>
      <c r="R30" s="3462">
        <f>P30/O30</f>
        <v>1.6409472880061116</v>
      </c>
      <c r="S30" s="3410">
        <f t="shared" si="3"/>
        <v>4271</v>
      </c>
      <c r="T30" s="3461">
        <f t="shared" si="3"/>
        <v>4376</v>
      </c>
      <c r="U30" s="3462">
        <f>T30/S30</f>
        <v>1.0245844064621867</v>
      </c>
      <c r="V30" s="3410">
        <f t="shared" si="4"/>
        <v>4179</v>
      </c>
      <c r="W30" s="3461">
        <f t="shared" si="4"/>
        <v>4412</v>
      </c>
      <c r="X30" s="3462">
        <f>W30/V30</f>
        <v>1.0557549653027041</v>
      </c>
      <c r="Y30" s="3410">
        <f t="shared" si="5"/>
        <v>6752</v>
      </c>
      <c r="Z30" s="3461">
        <f t="shared" si="5"/>
        <v>4416</v>
      </c>
      <c r="AA30" s="3462">
        <f>Z30/Y30</f>
        <v>0.65402843601895733</v>
      </c>
      <c r="AB30" s="3410">
        <f t="shared" si="6"/>
        <v>7083</v>
      </c>
      <c r="AC30" s="3461">
        <f t="shared" si="6"/>
        <v>4454</v>
      </c>
      <c r="AD30" s="3462">
        <f>AC30/AB30</f>
        <v>0.62882959198079913</v>
      </c>
      <c r="AE30" s="3410">
        <f t="shared" si="7"/>
        <v>5095</v>
      </c>
      <c r="AF30" s="3461">
        <f t="shared" si="7"/>
        <v>4445</v>
      </c>
      <c r="AG30" s="3462">
        <f>AF30/AE30</f>
        <v>0.87242394504416099</v>
      </c>
      <c r="AH30" s="3410">
        <f t="shared" si="8"/>
        <v>5713</v>
      </c>
      <c r="AI30" s="3461">
        <f t="shared" si="8"/>
        <v>4441</v>
      </c>
      <c r="AJ30" s="3462">
        <f>AI30/AH30</f>
        <v>0.7773499037283389</v>
      </c>
      <c r="AK30" s="3410">
        <f t="shared" si="9"/>
        <v>6239</v>
      </c>
      <c r="AL30" s="3461">
        <f t="shared" si="9"/>
        <v>4404</v>
      </c>
      <c r="AM30" s="3462">
        <f>AL30/AK30</f>
        <v>0.70588235294117652</v>
      </c>
      <c r="AN30" s="3410">
        <f t="shared" si="10"/>
        <v>6065</v>
      </c>
      <c r="AO30" s="3461">
        <f t="shared" si="10"/>
        <v>4426</v>
      </c>
      <c r="AP30" s="3462">
        <f>AO30/AN30</f>
        <v>0.72976092333058529</v>
      </c>
      <c r="AQ30" s="3410">
        <f t="shared" si="11"/>
        <v>6368</v>
      </c>
      <c r="AR30" s="3461">
        <f t="shared" si="11"/>
        <v>4146</v>
      </c>
      <c r="AS30" s="3462">
        <f>AR30/AQ30</f>
        <v>0.65106783919597988</v>
      </c>
      <c r="AT30" s="3410">
        <f t="shared" si="12"/>
        <v>6525</v>
      </c>
      <c r="AU30" s="3461">
        <f t="shared" si="12"/>
        <v>4365</v>
      </c>
      <c r="AV30" s="3462">
        <f>AU30/AT30</f>
        <v>0.66896551724137931</v>
      </c>
    </row>
    <row r="31" spans="1:51" ht="16.2">
      <c r="A31" s="6073"/>
      <c r="B31" s="3463" t="s">
        <v>802</v>
      </c>
      <c r="C31" s="3426">
        <f t="shared" si="0"/>
        <v>798</v>
      </c>
      <c r="D31" s="3464">
        <f t="shared" si="0"/>
        <v>615</v>
      </c>
      <c r="E31" s="2529"/>
      <c r="F31" s="3465">
        <f>D31/C31</f>
        <v>0.77067669172932329</v>
      </c>
      <c r="G31" s="3426">
        <f t="shared" si="1"/>
        <v>847</v>
      </c>
      <c r="H31" s="3464">
        <f t="shared" si="1"/>
        <v>660</v>
      </c>
      <c r="I31" s="2529"/>
      <c r="J31" s="3465">
        <f>H31/G31</f>
        <v>0.77922077922077926</v>
      </c>
      <c r="K31" s="3426">
        <f t="shared" si="2"/>
        <v>863</v>
      </c>
      <c r="L31" s="3464">
        <f t="shared" si="2"/>
        <v>685</v>
      </c>
      <c r="M31" s="2529"/>
      <c r="N31" s="3465">
        <f>L31/K31</f>
        <v>0.79374275782155268</v>
      </c>
      <c r="O31" s="3426">
        <f>SUM(O7,O11,O15,O23,O27)</f>
        <v>1698</v>
      </c>
      <c r="P31" s="3464">
        <f>SUM(P7,P11,P15,P23,P27)</f>
        <v>5173</v>
      </c>
      <c r="Q31" s="2529"/>
      <c r="R31" s="3465">
        <f>P31/O31</f>
        <v>3.0465253239104828</v>
      </c>
      <c r="S31" s="3426">
        <f t="shared" si="3"/>
        <v>2614</v>
      </c>
      <c r="T31" s="3464">
        <f t="shared" si="3"/>
        <v>5332</v>
      </c>
      <c r="U31" s="3465">
        <f>T31/S31</f>
        <v>2.039785768936496</v>
      </c>
      <c r="V31" s="3426">
        <f t="shared" si="4"/>
        <v>3212</v>
      </c>
      <c r="W31" s="3464">
        <f t="shared" si="4"/>
        <v>5383</v>
      </c>
      <c r="X31" s="3465">
        <f>W31/V31</f>
        <v>1.6759028642590286</v>
      </c>
      <c r="Y31" s="3426">
        <f t="shared" si="5"/>
        <v>5813</v>
      </c>
      <c r="Z31" s="3464">
        <f t="shared" si="5"/>
        <v>5425</v>
      </c>
      <c r="AA31" s="3465">
        <f>Z31/Y31</f>
        <v>0.93325305350077414</v>
      </c>
      <c r="AB31" s="3426">
        <f t="shared" si="6"/>
        <v>5916</v>
      </c>
      <c r="AC31" s="3464">
        <f t="shared" si="6"/>
        <v>5480</v>
      </c>
      <c r="AD31" s="3465">
        <f>AC31/AB31</f>
        <v>0.9263015551048005</v>
      </c>
      <c r="AE31" s="3426">
        <f t="shared" si="7"/>
        <v>3779</v>
      </c>
      <c r="AF31" s="3464">
        <f t="shared" si="7"/>
        <v>5447</v>
      </c>
      <c r="AG31" s="3465">
        <f>AF31/AE31</f>
        <v>1.4413866102143424</v>
      </c>
      <c r="AH31" s="3426">
        <f t="shared" si="8"/>
        <v>4485</v>
      </c>
      <c r="AI31" s="3464">
        <f t="shared" si="8"/>
        <v>5511</v>
      </c>
      <c r="AJ31" s="3465">
        <f>AI31/AH31</f>
        <v>1.22876254180602</v>
      </c>
      <c r="AK31" s="3426">
        <f t="shared" si="9"/>
        <v>4760</v>
      </c>
      <c r="AL31" s="3464">
        <f t="shared" si="9"/>
        <v>5494</v>
      </c>
      <c r="AM31" s="3465">
        <f>AL31/AK31</f>
        <v>1.1542016806722688</v>
      </c>
      <c r="AN31" s="3426">
        <f t="shared" si="10"/>
        <v>6374</v>
      </c>
      <c r="AO31" s="3464">
        <f t="shared" si="10"/>
        <v>5524</v>
      </c>
      <c r="AP31" s="3465">
        <f>AO31/AN31</f>
        <v>0.86664574835268282</v>
      </c>
      <c r="AQ31" s="3426">
        <f t="shared" si="11"/>
        <v>5029</v>
      </c>
      <c r="AR31" s="3464">
        <f t="shared" si="11"/>
        <v>5618</v>
      </c>
      <c r="AS31" s="3465">
        <f>AR31/AQ31</f>
        <v>1.117120699940346</v>
      </c>
      <c r="AT31" s="3426">
        <f t="shared" si="12"/>
        <v>5351</v>
      </c>
      <c r="AU31" s="3464">
        <f t="shared" si="12"/>
        <v>5605</v>
      </c>
      <c r="AV31" s="3465">
        <f>AU31/AT31</f>
        <v>1.0474677630349467</v>
      </c>
    </row>
    <row r="32" spans="1:51" ht="15" customHeight="1">
      <c r="C32" s="396"/>
      <c r="D32" s="396"/>
      <c r="E32" s="396"/>
      <c r="F32" s="396"/>
      <c r="P32" s="2"/>
      <c r="S32" s="71"/>
      <c r="V32" s="71"/>
      <c r="Y32" s="174" t="s">
        <v>781</v>
      </c>
      <c r="AU32" s="68" t="s">
        <v>3054</v>
      </c>
    </row>
    <row r="33" spans="2:16" ht="14.55" customHeight="1">
      <c r="B33" s="179" t="s">
        <v>803</v>
      </c>
      <c r="C33" s="179"/>
      <c r="D33" s="179"/>
      <c r="E33" s="179"/>
      <c r="F33" s="179"/>
      <c r="O33" s="2"/>
      <c r="P33" s="2"/>
    </row>
    <row r="34" spans="2:16" ht="14.55" customHeight="1">
      <c r="B34" s="176" t="s">
        <v>2772</v>
      </c>
      <c r="C34" s="179"/>
      <c r="D34" s="179"/>
      <c r="E34" s="179"/>
      <c r="F34" s="179"/>
    </row>
    <row r="35" spans="2:16">
      <c r="B35" s="176" t="s">
        <v>3053</v>
      </c>
    </row>
    <row r="36" spans="2:16">
      <c r="B36" s="179" t="s">
        <v>228</v>
      </c>
    </row>
  </sheetData>
  <sheetProtection algorithmName="SHA-512" hashValue="eCyEwquIDDQ/KYm7FMlq9WMII3yEH8sykAjoylRV6r3qAfPkpmWiUcuDrL+/SdHsrsuXT/mcLQ90kPH7/PaZdA==" saltValue="fXjrxNdhMANQoWXaTKmxZw==" spinCount="100000" sheet="1" objects="1" scenarios="1"/>
  <mergeCells count="23">
    <mergeCell ref="AT3:AV3"/>
    <mergeCell ref="AQ3:AS3"/>
    <mergeCell ref="A25:A27"/>
    <mergeCell ref="A29:A31"/>
    <mergeCell ref="A1:B1"/>
    <mergeCell ref="A2:B2"/>
    <mergeCell ref="A5:A7"/>
    <mergeCell ref="A9:A11"/>
    <mergeCell ref="A13:A15"/>
    <mergeCell ref="A17:A19"/>
    <mergeCell ref="A21:A23"/>
    <mergeCell ref="AK3:AM3"/>
    <mergeCell ref="AN3:AP3"/>
    <mergeCell ref="C3:F3"/>
    <mergeCell ref="G3:J3"/>
    <mergeCell ref="K3:N3"/>
    <mergeCell ref="O3:R3"/>
    <mergeCell ref="AH3:AJ3"/>
    <mergeCell ref="S3:U3"/>
    <mergeCell ref="V3:X3"/>
    <mergeCell ref="AE3:AG3"/>
    <mergeCell ref="Y3:AA3"/>
    <mergeCell ref="AB3:AD3"/>
  </mergeCells>
  <dataValidations count="1">
    <dataValidation type="whole" showInputMessage="1" showErrorMessage="1" errorTitle="Validar" error="Se debe declarar valores numéricos que estén en el rango de 0 a 99999999" sqref="L26:L27 S13:S15 T14:T15 L14:L15 O13:O15 P14:P15 G13:G15 C13:C15 K13:K15 H14:H15 D14:D15 S5:S7 T6:T7 L6:L7 O5:O7 P6:P7 G5:G7 C5:C7 K5:K7 H6:H7 D6:D7 D10:D11 O9:O11 H10:H11 G9:G11 C9:C11 K9:K11 L10:L11 P10:P11 S9:S11 T10:T11 S17:S19 T18:T19 L18:L19 O17:O19 P18:P19 G17:G19 C17:C19 K17:K19 H18:H19 D18:D19 S21:S23 T22:T23 O21:O23 H22:H23 G21:G23 C21:C23 K21:K23 P22:P23 L22:L23 D22:D23 D26:D27 O25:O27 H26:H27 G25:G27 C25:C27 K25:K27 P26:P27 S25:S27 T26:T27 V13:V15 W14:W15 V5:V7 W6:W7 V9:V11 W10:W11 V17:V19 W18:W19 V21:V23 W22:W23 V25:V27 W26:W27 Y13:Y15 Z14:Z15 Y5:Y7 Z6:Z7 Y9:Y11 Z10:Z11 Y17:Y19 Z18:Z19 Y21:Y23 Z22:Z23 Y25:Y27 Z26:Z27 AB13:AB15 AC14:AC15 AB25:AB27 AC6:AC7 AC26:AC27 AC10:AC11 AC22:AC23 AC18:AC19 AF18:AF19 AF14:AF15 AE25:AE27 AF6:AF7 AF26:AF27 AF10:AF11 AF22:AF23 AI18:AI19 AI14:AI15 AH25:AH27 AI6:AI7 AI26:AI27 AI10:AI11 AI22:AI23 AL18:AL19 AL14:AL15 AK25:AK27 AL6:AL7 AL26:AL27 AL10:AL11 AL22:AL23 AO18:AO19 AO14:AO15 AN25:AN27 AO6:AO7 AO26:AO27 AO10:AO11 AO22:AO23 AR18:AR19 AR14:AR15 AQ25:AQ27 AR6:AR7 AR26:AR27 AR10:AR11 AR22:AR23 AU18:AU19 AU14:AU15 AT25:AT27 AU6:AU7 AU26:AU27 AU10:AU11 AU22:AU23" xr:uid="{00000000-0002-0000-3000-000000000000}">
      <formula1>0</formula1>
      <formula2>9999999</formula2>
    </dataValidation>
  </dataValidations>
  <pageMargins left="0.31496062992125984" right="0.31496062992125984" top="0.74803149606299213" bottom="0.74803149606299213" header="0.31496062992125984" footer="0.31496062992125984"/>
  <pageSetup scale="73" orientation="portrait" r:id="rId1"/>
  <ignoredErrors>
    <ignoredError sqref="AD29:AD31 AG29:AG31 AJ29:AJ31 AM29:AM31 AP29:AP31 AS29:AS3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IF150"/>
  <sheetViews>
    <sheetView topLeftCell="D1" zoomScaleNormal="100" workbookViewId="0">
      <selection activeCell="V15" sqref="V15"/>
    </sheetView>
  </sheetViews>
  <sheetFormatPr baseColWidth="10" defaultColWidth="11.44140625" defaultRowHeight="14.4"/>
  <cols>
    <col min="1" max="1" width="9.6640625" style="1" bestFit="1" customWidth="1"/>
    <col min="2" max="2" width="6.33203125" style="1" bestFit="1" customWidth="1"/>
    <col min="3" max="3" width="29.109375" style="1" bestFit="1" customWidth="1"/>
    <col min="4" max="4" width="13.6640625" style="1" bestFit="1" customWidth="1"/>
    <col min="5" max="5" width="10" style="1" bestFit="1" customWidth="1"/>
    <col min="6" max="6" width="8.88671875" style="1" bestFit="1" customWidth="1"/>
    <col min="7" max="7" width="10.77734375" style="1" bestFit="1" customWidth="1"/>
    <col min="8" max="8" width="6.44140625" style="1" bestFit="1" customWidth="1"/>
    <col min="9" max="9" width="7" style="1" bestFit="1" customWidth="1"/>
    <col min="10" max="10" width="10.77734375" style="1" bestFit="1" customWidth="1"/>
    <col min="11" max="11" width="9.88671875" style="1" bestFit="1" customWidth="1"/>
    <col min="12" max="12" width="7.33203125" style="1" bestFit="1" customWidth="1"/>
    <col min="13" max="13" width="8" style="1" bestFit="1" customWidth="1"/>
    <col min="14" max="14" width="7.44140625" style="1" bestFit="1" customWidth="1"/>
    <col min="15" max="15" width="10.77734375" style="1" bestFit="1" customWidth="1"/>
    <col min="16" max="16" width="7.88671875" style="1" bestFit="1" customWidth="1"/>
    <col min="17" max="17" width="8.21875" style="1" bestFit="1" customWidth="1"/>
    <col min="18" max="18" width="6" style="1" bestFit="1" customWidth="1"/>
    <col min="19" max="19" width="7.33203125" style="1" bestFit="1" customWidth="1"/>
    <col min="20" max="20" width="7.33203125" style="1" customWidth="1"/>
    <col min="21" max="21" width="7.33203125" style="107" customWidth="1"/>
    <col min="22" max="22" width="7.33203125" style="1" customWidth="1"/>
    <col min="23" max="23" width="10.21875" style="107" customWidth="1"/>
    <col min="24" max="24" width="7.5546875" style="107" customWidth="1"/>
    <col min="25" max="25" width="28.21875" style="47" bestFit="1" customWidth="1"/>
    <col min="26" max="26" width="5.5546875" style="47" customWidth="1"/>
    <col min="27" max="27" width="9.77734375" style="47" bestFit="1" customWidth="1"/>
    <col min="28" max="28" width="8.44140625" style="47" bestFit="1" customWidth="1"/>
    <col min="29" max="29" width="10.44140625" style="47" bestFit="1" customWidth="1"/>
    <col min="30" max="30" width="6.21875" style="47" bestFit="1" customWidth="1"/>
    <col min="31" max="31" width="6.77734375" style="47" bestFit="1" customWidth="1"/>
    <col min="32" max="32" width="10.44140625" style="47" bestFit="1" customWidth="1"/>
    <col min="33" max="33" width="9.44140625" style="47" bestFit="1" customWidth="1"/>
    <col min="34" max="34" width="7.21875" style="47" bestFit="1" customWidth="1"/>
    <col min="35" max="35" width="8.21875" style="47" bestFit="1" customWidth="1"/>
    <col min="36" max="36" width="7.21875" style="47" bestFit="1" customWidth="1"/>
    <col min="37" max="37" width="10.77734375" style="47" bestFit="1" customWidth="1"/>
    <col min="38" max="38" width="7.5546875" style="47" bestFit="1" customWidth="1"/>
    <col min="39" max="39" width="8.44140625" style="47" bestFit="1" customWidth="1"/>
    <col min="40" max="40" width="4.77734375" style="47" bestFit="1" customWidth="1"/>
    <col min="41" max="41" width="11.5546875" style="47" bestFit="1" customWidth="1"/>
    <col min="42" max="42" width="11.44140625" style="1"/>
    <col min="43" max="43" width="11.21875" style="44" customWidth="1"/>
    <col min="44" max="44" width="6.21875" style="44" bestFit="1" customWidth="1"/>
    <col min="45" max="45" width="28.21875" style="44" bestFit="1" customWidth="1"/>
    <col min="46" max="46" width="5.21875" style="44" bestFit="1" customWidth="1"/>
    <col min="47" max="47" width="10" style="44" bestFit="1" customWidth="1"/>
    <col min="48" max="48" width="9" style="44" bestFit="1" customWidth="1"/>
    <col min="49" max="49" width="10.77734375" style="44" bestFit="1" customWidth="1"/>
    <col min="50" max="50" width="6.5546875" style="44" bestFit="1" customWidth="1"/>
    <col min="51" max="51" width="7.21875" style="44" bestFit="1" customWidth="1"/>
    <col min="52" max="52" width="10.77734375" style="44" bestFit="1" customWidth="1"/>
    <col min="53" max="53" width="10" style="44" bestFit="1" customWidth="1"/>
    <col min="54" max="54" width="7.44140625" style="44" bestFit="1" customWidth="1"/>
    <col min="55" max="55" width="8.44140625" style="44" bestFit="1" customWidth="1"/>
    <col min="56" max="56" width="7.44140625" style="44" bestFit="1" customWidth="1"/>
    <col min="57" max="57" width="8.77734375" style="44" bestFit="1" customWidth="1"/>
    <col min="58" max="58" width="8.21875" style="44" bestFit="1" customWidth="1"/>
    <col min="59" max="59" width="8.77734375" style="44" bestFit="1" customWidth="1"/>
    <col min="60" max="60" width="5.44140625" style="44" bestFit="1" customWidth="1"/>
    <col min="61" max="61" width="10.44140625" style="44" bestFit="1" customWidth="1"/>
    <col min="62" max="62" width="7.77734375" style="1" customWidth="1"/>
    <col min="63" max="63" width="11" style="47" bestFit="1" customWidth="1"/>
    <col min="64" max="64" width="6.77734375" style="47" bestFit="1" customWidth="1"/>
    <col min="65" max="65" width="33.44140625" style="47" bestFit="1" customWidth="1"/>
    <col min="66" max="66" width="5.44140625" style="47" bestFit="1" customWidth="1"/>
    <col min="67" max="67" width="10.44140625" style="47" bestFit="1" customWidth="1"/>
    <col min="68" max="68" width="9" style="47" bestFit="1" customWidth="1"/>
    <col min="69" max="69" width="8" style="47" bestFit="1" customWidth="1"/>
    <col min="70" max="70" width="6.77734375" style="47" bestFit="1" customWidth="1"/>
    <col min="71" max="71" width="7.44140625" style="47" bestFit="1" customWidth="1"/>
    <col min="72" max="72" width="11.44140625" style="47"/>
    <col min="73" max="73" width="10.21875" style="47" bestFit="1" customWidth="1"/>
    <col min="74" max="74" width="7.77734375" style="47" bestFit="1" customWidth="1"/>
    <col min="75" max="75" width="8.77734375" style="47" bestFit="1" customWidth="1"/>
    <col min="76" max="76" width="7.5546875" style="47" bestFit="1" customWidth="1"/>
    <col min="77" max="77" width="9" style="47" bestFit="1" customWidth="1"/>
    <col min="78" max="78" width="8" style="47" bestFit="1" customWidth="1"/>
    <col min="79" max="79" width="8.77734375" style="47" bestFit="1" customWidth="1"/>
    <col min="80" max="80" width="5.21875" style="47" bestFit="1" customWidth="1"/>
    <col min="81" max="81" width="13.21875" style="47" customWidth="1"/>
    <col min="82" max="82" width="11.44140625" style="1"/>
    <col min="83" max="83" width="13.21875" style="1" customWidth="1"/>
    <col min="84" max="84" width="8.21875" style="1" bestFit="1" customWidth="1"/>
    <col min="85" max="85" width="31.77734375" style="1" bestFit="1" customWidth="1"/>
    <col min="86" max="86" width="5.44140625" style="1" bestFit="1" customWidth="1"/>
    <col min="87" max="87" width="8" style="1" bestFit="1" customWidth="1"/>
    <col min="88" max="88" width="9" style="1" bestFit="1" customWidth="1"/>
    <col min="89" max="89" width="8" style="1" bestFit="1" customWidth="1"/>
    <col min="90" max="90" width="6.77734375" style="1" bestFit="1" customWidth="1"/>
    <col min="91" max="91" width="7.44140625" style="1" bestFit="1" customWidth="1"/>
    <col min="92" max="92" width="10.5546875" style="1" bestFit="1" customWidth="1"/>
    <col min="93" max="93" width="10.21875" style="1" bestFit="1" customWidth="1"/>
    <col min="94" max="94" width="7.77734375" style="1" bestFit="1" customWidth="1"/>
    <col min="95" max="95" width="8.77734375" style="1" bestFit="1" customWidth="1"/>
    <col min="96" max="96" width="7.5546875" style="1" bestFit="1" customWidth="1"/>
    <col min="97" max="97" width="9" style="1" bestFit="1" customWidth="1"/>
    <col min="98" max="98" width="8" style="1" bestFit="1" customWidth="1"/>
    <col min="99" max="99" width="8.77734375" style="1" bestFit="1" customWidth="1"/>
    <col min="100" max="100" width="5.21875" style="1" bestFit="1" customWidth="1"/>
    <col min="101" max="101" width="9.21875" style="1" bestFit="1" customWidth="1"/>
    <col min="102" max="102" width="11.44140625" style="1"/>
    <col min="103" max="103" width="11.77734375" style="1" customWidth="1"/>
    <col min="104" max="104" width="8.77734375" style="1" customWidth="1"/>
    <col min="105" max="105" width="31.77734375" style="1" bestFit="1" customWidth="1"/>
    <col min="106" max="106" width="5.44140625" style="1" bestFit="1" customWidth="1"/>
    <col min="107" max="107" width="8" style="1" bestFit="1" customWidth="1"/>
    <col min="108" max="108" width="9" style="1" bestFit="1" customWidth="1"/>
    <col min="109" max="109" width="8" style="1" bestFit="1" customWidth="1"/>
    <col min="110" max="110" width="6.77734375" style="1" bestFit="1" customWidth="1"/>
    <col min="111" max="111" width="7.44140625" style="1" bestFit="1" customWidth="1"/>
    <col min="112" max="112" width="11.44140625" style="1" bestFit="1" customWidth="1"/>
    <col min="113" max="113" width="10.21875" style="1" bestFit="1" customWidth="1"/>
    <col min="114" max="114" width="7.77734375" style="1" bestFit="1" customWidth="1"/>
    <col min="115" max="115" width="8.21875" style="1" bestFit="1" customWidth="1"/>
    <col min="116" max="116" width="7.5546875" style="1" bestFit="1" customWidth="1"/>
    <col min="117" max="117" width="8.5546875" style="1" bestFit="1" customWidth="1"/>
    <col min="118" max="118" width="8" style="1" bestFit="1" customWidth="1"/>
    <col min="119" max="119" width="8.44140625" style="1" bestFit="1" customWidth="1"/>
    <col min="120" max="120" width="5.21875" style="1" bestFit="1" customWidth="1"/>
    <col min="121" max="121" width="18.77734375" style="1" customWidth="1"/>
    <col min="122" max="122" width="8.77734375" style="1" customWidth="1"/>
    <col min="123" max="123" width="10.77734375" style="1" customWidth="1"/>
    <col min="124" max="124" width="8.77734375" style="1" customWidth="1"/>
    <col min="125" max="125" width="31.77734375" style="1" bestFit="1" customWidth="1"/>
    <col min="126" max="142" width="8.77734375" style="1" customWidth="1"/>
    <col min="143" max="143" width="11.21875" style="107" customWidth="1"/>
    <col min="144" max="144" width="6.77734375" style="107" bestFit="1" customWidth="1"/>
    <col min="145" max="145" width="31.77734375" style="47" bestFit="1" customWidth="1"/>
    <col min="146" max="146" width="5.44140625" style="47" bestFit="1" customWidth="1"/>
    <col min="147" max="147" width="8" style="47" bestFit="1" customWidth="1"/>
    <col min="148" max="148" width="9" style="47" bestFit="1" customWidth="1"/>
    <col min="149" max="149" width="8" style="47" bestFit="1" customWidth="1"/>
    <col min="150" max="150" width="6.77734375" style="47" bestFit="1" customWidth="1"/>
    <col min="151" max="151" width="7.44140625" style="47" bestFit="1" customWidth="1"/>
    <col min="152" max="152" width="11.44140625" style="47" bestFit="1" customWidth="1"/>
    <col min="153" max="153" width="7.44140625" style="47" bestFit="1" customWidth="1"/>
    <col min="154" max="155" width="7.77734375" style="47" bestFit="1" customWidth="1"/>
    <col min="156" max="156" width="7.5546875" style="47" bestFit="1" customWidth="1"/>
    <col min="157" max="157" width="8" style="47" bestFit="1" customWidth="1"/>
    <col min="158" max="158" width="12.5546875" style="47" customWidth="1"/>
    <col min="159" max="159" width="5.77734375" style="47" customWidth="1"/>
    <col min="160" max="160" width="11.21875" style="47" customWidth="1"/>
    <col min="161" max="161" width="7" style="1" customWidth="1"/>
    <col min="162" max="162" width="12.77734375" style="1" customWidth="1"/>
    <col min="163" max="163" width="7.21875" style="1" bestFit="1" customWidth="1"/>
    <col min="164" max="164" width="31.77734375" style="1" bestFit="1" customWidth="1"/>
    <col min="165" max="165" width="6" style="1" bestFit="1" customWidth="1"/>
    <col min="166" max="166" width="11.77734375" style="1" bestFit="1" customWidth="1"/>
    <col min="167" max="167" width="9" style="1" bestFit="1" customWidth="1"/>
    <col min="168" max="168" width="8.44140625" style="1" bestFit="1" customWidth="1"/>
    <col min="169" max="169" width="7.44140625" style="1" bestFit="1" customWidth="1"/>
    <col min="170" max="170" width="8.77734375" style="1" bestFit="1" customWidth="1"/>
    <col min="171" max="171" width="11.44140625" style="1" bestFit="1" customWidth="1"/>
    <col min="172" max="172" width="10.21875" style="1" bestFit="1" customWidth="1"/>
    <col min="173" max="175" width="8.77734375" style="1" bestFit="1" customWidth="1"/>
    <col min="176" max="176" width="8" style="1" bestFit="1" customWidth="1"/>
    <col min="177" max="177" width="12.77734375" style="1" bestFit="1" customWidth="1"/>
    <col min="178" max="178" width="5.21875" style="1" bestFit="1" customWidth="1"/>
    <col min="179" max="179" width="8.21875" style="1" bestFit="1" customWidth="1"/>
    <col min="180" max="180" width="12.77734375" style="1" customWidth="1"/>
    <col min="181" max="181" width="10.5546875" style="1" customWidth="1"/>
    <col min="182" max="182" width="6.77734375" style="1" bestFit="1" customWidth="1"/>
    <col min="183" max="183" width="28.77734375" style="1" bestFit="1" customWidth="1"/>
    <col min="184" max="184" width="5.44140625" style="1" bestFit="1" customWidth="1"/>
    <col min="185" max="185" width="8.77734375" style="1" customWidth="1"/>
    <col min="186" max="186" width="9" style="1" bestFit="1" customWidth="1"/>
    <col min="187" max="187" width="8" style="1" bestFit="1" customWidth="1"/>
    <col min="188" max="188" width="6.77734375" style="1" bestFit="1" customWidth="1"/>
    <col min="189" max="189" width="7.44140625" style="1" bestFit="1" customWidth="1"/>
    <col min="190" max="190" width="11.5546875" style="1" customWidth="1"/>
    <col min="191" max="191" width="7.77734375" style="1" bestFit="1" customWidth="1"/>
    <col min="192" max="192" width="8.77734375" style="1" bestFit="1" customWidth="1"/>
    <col min="193" max="193" width="7.5546875" style="1" bestFit="1" customWidth="1"/>
    <col min="194" max="194" width="11.5546875" style="1" bestFit="1" customWidth="1"/>
    <col min="195" max="195" width="8" style="1" bestFit="1" customWidth="1"/>
    <col min="196" max="196" width="12.77734375" style="1" bestFit="1" customWidth="1"/>
    <col min="197" max="197" width="9.77734375" style="1" bestFit="1" customWidth="1"/>
    <col min="198" max="200" width="10.5546875" style="1" customWidth="1"/>
    <col min="201" max="201" width="12.44140625" style="167" bestFit="1" customWidth="1"/>
    <col min="202" max="202" width="8.21875" style="167" bestFit="1" customWidth="1"/>
    <col min="203" max="203" width="35.44140625" style="1" bestFit="1" customWidth="1"/>
    <col min="204" max="204" width="6.5546875" style="1" bestFit="1" customWidth="1"/>
    <col min="205" max="205" width="9.77734375" style="1" bestFit="1" customWidth="1"/>
    <col min="206" max="206" width="11.44140625" style="1"/>
    <col min="207" max="207" width="9.77734375" style="1" bestFit="1" customWidth="1"/>
    <col min="208" max="208" width="8.21875" style="1" bestFit="1" customWidth="1"/>
    <col min="209" max="209" width="9" style="1" bestFit="1" customWidth="1"/>
    <col min="210" max="210" width="13.77734375" style="1" bestFit="1" customWidth="1"/>
    <col min="211" max="211" width="9.44140625" style="1" bestFit="1" customWidth="1"/>
    <col min="212" max="212" width="10.77734375" style="1" bestFit="1" customWidth="1"/>
    <col min="213" max="213" width="9.5546875" style="1" bestFit="1" customWidth="1"/>
    <col min="214" max="214" width="14.21875" style="1" bestFit="1" customWidth="1"/>
    <col min="215" max="215" width="10.21875" style="1" bestFit="1" customWidth="1"/>
    <col min="216" max="216" width="15.77734375" style="1" bestFit="1" customWidth="1"/>
    <col min="217" max="217" width="11.5546875" style="1" bestFit="1" customWidth="1"/>
    <col min="218" max="218" width="7.77734375" style="1" customWidth="1"/>
    <col min="219" max="220" width="11.44140625" style="1"/>
    <col min="221" max="221" width="12.21875" style="1" bestFit="1" customWidth="1"/>
    <col min="222" max="222" width="11.44140625" style="1"/>
    <col min="223" max="223" width="30.44140625" style="1" bestFit="1" customWidth="1"/>
    <col min="224" max="225" width="11.44140625" style="1"/>
    <col min="226" max="226" width="12.21875" style="1" bestFit="1" customWidth="1"/>
    <col min="227" max="229" width="11.44140625" style="1"/>
    <col min="230" max="230" width="14.21875" style="1" bestFit="1" customWidth="1"/>
    <col min="231" max="234" width="11.44140625" style="1"/>
    <col min="235" max="235" width="16.21875" style="1" bestFit="1" customWidth="1"/>
    <col min="236" max="16384" width="11.44140625" style="1"/>
  </cols>
  <sheetData>
    <row r="1" spans="1:240" ht="15.6">
      <c r="W1" s="1046" t="s">
        <v>2912</v>
      </c>
      <c r="CF1"/>
      <c r="CG1"/>
      <c r="CH1"/>
      <c r="CI1"/>
      <c r="CJ1"/>
      <c r="CK1"/>
      <c r="CL1"/>
      <c r="CM1"/>
      <c r="CN1"/>
      <c r="CO1"/>
      <c r="CP1"/>
      <c r="CQ1"/>
      <c r="CR1"/>
      <c r="CS1"/>
      <c r="CT1"/>
      <c r="CU1"/>
      <c r="CV1"/>
      <c r="CW1"/>
      <c r="CX1"/>
    </row>
    <row r="2" spans="1:240" ht="15.6">
      <c r="A2" s="32" t="s">
        <v>3935</v>
      </c>
      <c r="W2" s="1046" t="s">
        <v>2950</v>
      </c>
      <c r="Z2" s="746" t="s">
        <v>2951</v>
      </c>
      <c r="AQ2" s="461" t="s">
        <v>2912</v>
      </c>
      <c r="AR2" s="37"/>
      <c r="AS2" s="37"/>
      <c r="AT2" s="37"/>
      <c r="AU2" s="37"/>
      <c r="AV2" s="37"/>
      <c r="AW2" s="37"/>
      <c r="AX2" s="37"/>
      <c r="AY2" s="37"/>
      <c r="AZ2" s="37"/>
      <c r="BA2" s="37"/>
      <c r="BB2" s="37"/>
      <c r="BC2" s="37"/>
      <c r="BD2" s="37"/>
      <c r="BE2" s="37"/>
      <c r="BF2" s="37"/>
      <c r="BG2" s="37"/>
      <c r="BH2" s="37"/>
      <c r="BI2" s="37"/>
      <c r="BK2" s="1013" t="s">
        <v>2518</v>
      </c>
      <c r="CE2" s="1013" t="s">
        <v>2518</v>
      </c>
      <c r="CF2"/>
      <c r="CG2"/>
      <c r="CH2"/>
      <c r="CI2"/>
      <c r="CJ2"/>
      <c r="CK2"/>
      <c r="CL2"/>
      <c r="CM2"/>
      <c r="CN2"/>
      <c r="CO2"/>
      <c r="CP2"/>
      <c r="CQ2"/>
      <c r="CR2"/>
      <c r="CS2"/>
      <c r="CT2"/>
      <c r="CU2"/>
      <c r="CV2"/>
      <c r="CW2"/>
      <c r="CX2"/>
      <c r="CY2" s="104" t="s">
        <v>1861</v>
      </c>
      <c r="DS2" s="104" t="s">
        <v>1854</v>
      </c>
      <c r="DT2"/>
      <c r="DU2"/>
      <c r="DV2"/>
      <c r="DW2"/>
      <c r="DX2"/>
      <c r="DY2"/>
      <c r="DZ2"/>
      <c r="EA2"/>
      <c r="EB2"/>
      <c r="EC2"/>
      <c r="ED2"/>
      <c r="EE2"/>
      <c r="EF2"/>
      <c r="EG2"/>
      <c r="EH2"/>
      <c r="EI2"/>
      <c r="EJ2"/>
      <c r="EK2"/>
      <c r="EM2" s="1046" t="s">
        <v>1480</v>
      </c>
      <c r="FF2" s="417" t="s">
        <v>1224</v>
      </c>
      <c r="FY2" s="418" t="s">
        <v>1225</v>
      </c>
      <c r="GT2" s="418"/>
      <c r="GU2" s="418"/>
      <c r="GV2" s="418"/>
      <c r="GW2" s="418"/>
      <c r="GX2" s="418"/>
      <c r="GY2" s="418"/>
      <c r="GZ2" s="418"/>
      <c r="HA2" s="418"/>
      <c r="HB2" s="418"/>
      <c r="HC2" s="418"/>
      <c r="HD2" s="418"/>
      <c r="HE2" s="418"/>
      <c r="HF2" s="418"/>
      <c r="HG2" s="418"/>
      <c r="HH2" s="418"/>
      <c r="HI2" s="418"/>
      <c r="HJ2" s="418"/>
      <c r="HK2" s="418"/>
    </row>
    <row r="3" spans="1:240" ht="15.6">
      <c r="A3" s="32" t="s">
        <v>3936</v>
      </c>
      <c r="W3" s="4715" t="s">
        <v>2962</v>
      </c>
      <c r="AQ3" s="461" t="s">
        <v>2913</v>
      </c>
      <c r="AR3" s="37"/>
      <c r="AS3" s="37"/>
      <c r="AT3" s="37"/>
      <c r="AU3" s="37"/>
      <c r="AV3" s="37"/>
      <c r="AW3" s="37"/>
      <c r="AX3" s="37"/>
      <c r="AY3" s="37"/>
      <c r="AZ3" s="37"/>
      <c r="BA3" s="37"/>
      <c r="BB3" s="37"/>
      <c r="BC3" s="37"/>
      <c r="BD3" s="37"/>
      <c r="BE3" s="37"/>
      <c r="BF3" s="37"/>
      <c r="BG3" s="37"/>
      <c r="BH3" s="37"/>
      <c r="BI3" s="37"/>
      <c r="BK3" s="4712" t="s">
        <v>2693</v>
      </c>
      <c r="BN3" s="2554" t="s">
        <v>2719</v>
      </c>
      <c r="CE3" s="1978" t="s">
        <v>2520</v>
      </c>
      <c r="CF3"/>
      <c r="CG3"/>
      <c r="CH3" s="2554" t="s">
        <v>2718</v>
      </c>
      <c r="CI3"/>
      <c r="CJ3"/>
      <c r="CK3"/>
      <c r="CL3"/>
      <c r="CM3"/>
      <c r="CN3"/>
      <c r="CO3"/>
      <c r="CP3"/>
      <c r="CQ3"/>
      <c r="CR3"/>
      <c r="CS3"/>
      <c r="CT3"/>
      <c r="CU3"/>
      <c r="CV3"/>
      <c r="CW3"/>
      <c r="CX3"/>
      <c r="CY3" s="746" t="s">
        <v>1862</v>
      </c>
      <c r="DS3" s="746" t="s">
        <v>1855</v>
      </c>
      <c r="DT3" s="1311"/>
      <c r="DU3" s="1311"/>
      <c r="DV3" s="1311"/>
      <c r="DW3" s="1311"/>
      <c r="DX3" s="1311"/>
      <c r="DY3" s="1311"/>
      <c r="DZ3" s="1311"/>
      <c r="EA3" s="1311"/>
      <c r="EB3" s="1311"/>
      <c r="EC3" s="1311"/>
      <c r="ED3" s="1311"/>
      <c r="EE3" s="1311"/>
      <c r="EF3" s="1311"/>
      <c r="EG3" s="1311"/>
      <c r="EH3" s="1311"/>
      <c r="EI3" s="1311"/>
      <c r="EJ3" s="1311"/>
      <c r="EK3"/>
      <c r="EM3" s="1473" t="s">
        <v>1226</v>
      </c>
      <c r="EN3" s="1047"/>
      <c r="EO3" s="1048"/>
      <c r="EP3" s="1048"/>
      <c r="EQ3" s="1048"/>
      <c r="ER3" s="1048"/>
      <c r="ES3" s="1048"/>
      <c r="ET3" s="1048"/>
      <c r="EU3" s="1048"/>
      <c r="EV3" s="1048"/>
      <c r="EW3" s="1048"/>
      <c r="EX3" s="1048"/>
      <c r="EY3" s="1048"/>
      <c r="EZ3" s="1048"/>
      <c r="FA3" s="1048"/>
      <c r="FB3" s="1048"/>
      <c r="FC3" s="1048"/>
      <c r="FF3" s="1474" t="s">
        <v>1227</v>
      </c>
      <c r="FY3" s="194" t="s">
        <v>1481</v>
      </c>
      <c r="GS3" s="194" t="s">
        <v>1482</v>
      </c>
      <c r="GT3" s="194"/>
      <c r="GU3" s="194"/>
      <c r="GV3" s="194"/>
      <c r="GW3" s="194"/>
      <c r="GX3" s="194"/>
      <c r="GY3" s="194"/>
      <c r="GZ3" s="194"/>
      <c r="HA3" s="194"/>
      <c r="HB3" s="194"/>
      <c r="HC3" s="194"/>
      <c r="HD3" s="194"/>
      <c r="HE3" s="194"/>
      <c r="HF3" s="194"/>
      <c r="HG3" s="194"/>
      <c r="HH3" s="194"/>
      <c r="HI3" s="194"/>
      <c r="HJ3" s="194"/>
      <c r="HK3" s="194"/>
      <c r="HM3" s="106" t="s">
        <v>1483</v>
      </c>
      <c r="HN3" s="106"/>
      <c r="HO3" s="106"/>
      <c r="HP3" s="106"/>
      <c r="HQ3" s="106"/>
      <c r="HR3" s="106"/>
      <c r="HS3" s="106"/>
      <c r="HT3" s="106"/>
      <c r="HU3" s="106"/>
      <c r="HV3" s="106"/>
      <c r="HW3" s="106"/>
      <c r="HX3" s="106"/>
      <c r="HY3" s="106"/>
      <c r="HZ3" s="106"/>
      <c r="IA3" s="106"/>
      <c r="IB3" s="106"/>
      <c r="IC3" s="106"/>
      <c r="ID3" s="106"/>
    </row>
    <row r="4" spans="1:240">
      <c r="A4" s="746" t="s">
        <v>3937</v>
      </c>
      <c r="AQ4" s="746" t="s">
        <v>2914</v>
      </c>
      <c r="AR4" s="37"/>
      <c r="AS4" s="37"/>
      <c r="AT4" s="37"/>
      <c r="AU4" s="37"/>
      <c r="AV4" s="37"/>
      <c r="AW4" s="37"/>
      <c r="AX4" s="37"/>
      <c r="AY4" s="37"/>
      <c r="AZ4" s="37"/>
      <c r="BA4" s="37"/>
      <c r="BB4" s="37"/>
      <c r="BC4" s="37"/>
      <c r="BD4" s="37"/>
      <c r="BE4" s="37"/>
      <c r="BF4" s="37"/>
      <c r="BG4" s="37"/>
      <c r="BH4" s="37"/>
      <c r="BI4" s="37"/>
      <c r="BK4" s="41" t="s">
        <v>2720</v>
      </c>
      <c r="CE4" s="41" t="s">
        <v>2717</v>
      </c>
      <c r="CF4"/>
      <c r="CG4"/>
      <c r="CH4"/>
      <c r="CI4"/>
      <c r="CJ4"/>
      <c r="CK4"/>
      <c r="CL4"/>
      <c r="CM4"/>
      <c r="CN4"/>
      <c r="CO4"/>
      <c r="CP4"/>
      <c r="CQ4"/>
      <c r="CR4"/>
      <c r="CS4"/>
      <c r="CT4"/>
      <c r="CU4"/>
      <c r="CV4"/>
      <c r="CW4"/>
      <c r="CX4"/>
      <c r="CY4" s="41" t="s">
        <v>1896</v>
      </c>
      <c r="DS4" s="41" t="s">
        <v>1856</v>
      </c>
      <c r="DT4" s="1312"/>
      <c r="DU4" s="1312"/>
      <c r="DV4" s="1312"/>
      <c r="DW4" s="1312"/>
      <c r="DX4" s="1312"/>
      <c r="DY4" s="1312"/>
      <c r="DZ4" s="1312"/>
      <c r="EA4" s="1312"/>
      <c r="EB4" s="1312"/>
      <c r="EC4" s="1312"/>
      <c r="ED4" s="1312"/>
      <c r="EE4" s="1312"/>
      <c r="EF4" s="1312"/>
      <c r="EG4" s="1312"/>
      <c r="EH4" s="1312"/>
      <c r="EI4" s="1312"/>
      <c r="EJ4" s="1312"/>
      <c r="EK4"/>
      <c r="EN4" s="1049"/>
      <c r="EO4" s="1050"/>
      <c r="EP4" s="1050"/>
      <c r="EQ4" s="1050"/>
      <c r="ER4" s="1050"/>
      <c r="ES4" s="1050"/>
      <c r="ET4" s="1050"/>
      <c r="EU4" s="1050"/>
      <c r="EV4" s="1050"/>
      <c r="EW4" s="1050"/>
      <c r="EX4" s="1050"/>
      <c r="EY4" s="1050"/>
      <c r="EZ4" s="1050"/>
      <c r="FA4" s="1050"/>
      <c r="FB4" s="1050"/>
      <c r="FC4" s="1050"/>
      <c r="FF4" s="1" t="s">
        <v>1228</v>
      </c>
      <c r="HK4" s="419"/>
    </row>
    <row r="5" spans="1:240" ht="15.6">
      <c r="C5" s="2457"/>
      <c r="D5" s="5624" t="s">
        <v>1229</v>
      </c>
      <c r="E5" s="5624"/>
      <c r="F5" s="5624"/>
      <c r="G5" s="5624"/>
      <c r="H5" s="5624"/>
      <c r="I5" s="5624"/>
      <c r="J5" s="5624"/>
      <c r="K5" s="5624"/>
      <c r="L5" s="5624"/>
      <c r="M5" s="5624"/>
      <c r="N5" s="5624"/>
      <c r="O5" s="5624"/>
      <c r="P5" s="5624"/>
      <c r="Q5" s="5624"/>
      <c r="R5" s="2457"/>
      <c r="S5" s="2457"/>
      <c r="Z5" s="4691"/>
      <c r="AA5" s="4691"/>
      <c r="AB5" s="4691"/>
      <c r="AC5" s="4691"/>
      <c r="AD5" s="4691"/>
      <c r="AE5" s="4691"/>
      <c r="AF5" s="4691"/>
      <c r="AG5" s="4691"/>
      <c r="AH5" s="4691"/>
      <c r="AI5" s="4691"/>
      <c r="AJ5" s="4691"/>
      <c r="AK5" s="4691"/>
      <c r="AL5" s="4691"/>
      <c r="AM5" s="4691"/>
      <c r="AQ5" s="4696"/>
      <c r="AR5" s="4696"/>
      <c r="AS5" s="4696"/>
      <c r="AT5" s="5625" t="s">
        <v>1229</v>
      </c>
      <c r="AU5" s="5625"/>
      <c r="AV5" s="5625"/>
      <c r="AW5" s="5625"/>
      <c r="AX5" s="5625"/>
      <c r="AY5" s="5625"/>
      <c r="AZ5" s="5625"/>
      <c r="BA5" s="5625"/>
      <c r="BB5" s="5625"/>
      <c r="BC5" s="5625"/>
      <c r="BD5" s="5625"/>
      <c r="BE5" s="5625"/>
      <c r="BF5" s="5625"/>
      <c r="BG5" s="5625"/>
      <c r="BH5" s="5625"/>
      <c r="BI5" s="4696"/>
      <c r="BK5" s="41"/>
      <c r="BL5" s="41"/>
      <c r="BM5" s="41"/>
      <c r="BN5" s="5626" t="s">
        <v>1229</v>
      </c>
      <c r="BO5" s="5626"/>
      <c r="BP5" s="5626"/>
      <c r="BQ5" s="5626"/>
      <c r="BR5" s="5626"/>
      <c r="BS5" s="5626"/>
      <c r="BT5" s="5626"/>
      <c r="BU5" s="5626"/>
      <c r="BV5" s="5626"/>
      <c r="BW5" s="5626"/>
      <c r="BX5" s="5626"/>
      <c r="BY5" s="5626"/>
      <c r="BZ5" s="5626"/>
      <c r="CA5" s="5626"/>
      <c r="CB5" s="41"/>
      <c r="CC5" s="41"/>
      <c r="CE5" s="32"/>
      <c r="CF5" s="32"/>
      <c r="CG5" s="32"/>
      <c r="CH5" s="5631" t="s">
        <v>1229</v>
      </c>
      <c r="CI5" s="5631"/>
      <c r="CJ5" s="5631"/>
      <c r="CK5" s="5631"/>
      <c r="CL5" s="5631"/>
      <c r="CM5" s="5631"/>
      <c r="CN5" s="5631"/>
      <c r="CO5" s="5631"/>
      <c r="CP5" s="5631"/>
      <c r="CQ5" s="5631"/>
      <c r="CR5" s="5631"/>
      <c r="CS5" s="5631"/>
      <c r="CT5" s="5631"/>
      <c r="CU5" s="5631"/>
      <c r="CV5" s="5631"/>
      <c r="CW5" s="32"/>
      <c r="CX5"/>
      <c r="DB5" s="5632" t="s">
        <v>1229</v>
      </c>
      <c r="DC5" s="5633"/>
      <c r="DD5" s="5633"/>
      <c r="DE5" s="5633"/>
      <c r="DF5" s="5633"/>
      <c r="DG5" s="5633"/>
      <c r="DH5" s="5633"/>
      <c r="DI5" s="5633"/>
      <c r="DJ5" s="5633"/>
      <c r="DK5" s="5633"/>
      <c r="DL5" s="5633"/>
      <c r="DM5" s="5633"/>
      <c r="DN5" s="5633"/>
      <c r="DO5" s="5633"/>
      <c r="DP5" s="1314"/>
      <c r="DS5" s="32"/>
      <c r="DT5" s="1313"/>
      <c r="DU5" s="1313"/>
      <c r="DV5" s="5632" t="s">
        <v>1229</v>
      </c>
      <c r="DW5" s="5633"/>
      <c r="DX5" s="5633"/>
      <c r="DY5" s="5633"/>
      <c r="DZ5" s="5633"/>
      <c r="EA5" s="5633"/>
      <c r="EB5" s="5633"/>
      <c r="EC5" s="5633"/>
      <c r="ED5" s="5633"/>
      <c r="EE5" s="5633"/>
      <c r="EF5" s="5633"/>
      <c r="EG5" s="5633"/>
      <c r="EH5" s="5633"/>
      <c r="EI5" s="5633"/>
      <c r="EJ5" s="1314"/>
      <c r="EK5"/>
      <c r="EM5" s="145"/>
      <c r="EN5" s="1051"/>
      <c r="EO5" s="1052"/>
      <c r="EP5" s="5611" t="s">
        <v>1229</v>
      </c>
      <c r="EQ5" s="5611"/>
      <c r="ER5" s="5611"/>
      <c r="ES5" s="5611"/>
      <c r="ET5" s="5611"/>
      <c r="EU5" s="5611"/>
      <c r="EV5" s="5611"/>
      <c r="EW5" s="5611"/>
      <c r="EX5" s="5611"/>
      <c r="EY5" s="5611"/>
      <c r="EZ5" s="5611"/>
      <c r="FA5" s="5611"/>
      <c r="FB5" s="5611"/>
      <c r="FC5" s="968"/>
      <c r="FF5" s="47"/>
      <c r="FG5" s="47"/>
      <c r="FH5" s="47"/>
      <c r="FI5" s="5612" t="s">
        <v>1484</v>
      </c>
      <c r="FJ5" s="5613"/>
      <c r="FK5" s="5613"/>
      <c r="FL5" s="5613"/>
      <c r="FM5" s="5613"/>
      <c r="FN5" s="5613"/>
      <c r="FO5" s="5613"/>
      <c r="FP5" s="5613"/>
      <c r="FQ5" s="5613"/>
      <c r="FR5" s="5613"/>
      <c r="FS5" s="5613"/>
      <c r="FT5" s="5613"/>
      <c r="FU5" s="5613"/>
      <c r="FV5" s="5613"/>
      <c r="FW5" s="5614"/>
      <c r="FY5" s="194"/>
      <c r="FZ5" s="1053"/>
      <c r="GA5" s="1053"/>
      <c r="GB5" s="5615" t="s">
        <v>1485</v>
      </c>
      <c r="GC5" s="5616"/>
      <c r="GD5" s="5616"/>
      <c r="GE5" s="5616"/>
      <c r="GF5" s="5616"/>
      <c r="GG5" s="5616"/>
      <c r="GH5" s="5616"/>
      <c r="GI5" s="5616"/>
      <c r="GJ5" s="5616"/>
      <c r="GK5" s="5616"/>
      <c r="GL5" s="5616"/>
      <c r="GM5" s="5616"/>
      <c r="GN5" s="5616"/>
      <c r="GO5" s="5616"/>
      <c r="GP5" s="5617"/>
      <c r="GU5" s="1" t="s">
        <v>327</v>
      </c>
      <c r="GV5" s="5618" t="s">
        <v>1486</v>
      </c>
      <c r="GW5" s="5619"/>
      <c r="GX5" s="5619"/>
      <c r="GY5" s="5619"/>
      <c r="GZ5" s="5619"/>
      <c r="HA5" s="5619"/>
      <c r="HB5" s="5619"/>
      <c r="HC5" s="5619"/>
      <c r="HD5" s="5619"/>
      <c r="HE5" s="5619"/>
      <c r="HF5" s="5619"/>
      <c r="HG5" s="5619"/>
      <c r="HH5" s="5619"/>
      <c r="HI5" s="5619"/>
      <c r="HJ5" s="5620"/>
      <c r="HK5" s="419"/>
      <c r="HP5" s="5628" t="s">
        <v>1229</v>
      </c>
      <c r="HQ5" s="5629"/>
      <c r="HR5" s="5629"/>
      <c r="HS5" s="5629"/>
      <c r="HT5" s="5629"/>
      <c r="HU5" s="5629"/>
      <c r="HV5" s="5629"/>
      <c r="HW5" s="5629"/>
      <c r="HX5" s="5629"/>
      <c r="HY5" s="5629"/>
      <c r="HZ5" s="5629"/>
      <c r="IA5" s="5629"/>
      <c r="IB5" s="5630"/>
    </row>
    <row r="6" spans="1:240" s="167" customFormat="1" ht="49.2" thickBot="1">
      <c r="A6" s="465" t="s">
        <v>0</v>
      </c>
      <c r="B6" s="465" t="s">
        <v>1</v>
      </c>
      <c r="C6" s="465" t="s">
        <v>2</v>
      </c>
      <c r="D6" s="466" t="s">
        <v>1230</v>
      </c>
      <c r="E6" s="1643" t="s">
        <v>1231</v>
      </c>
      <c r="F6" s="466" t="s">
        <v>1232</v>
      </c>
      <c r="G6" s="1643" t="s">
        <v>1233</v>
      </c>
      <c r="H6" s="466" t="s">
        <v>1234</v>
      </c>
      <c r="I6" s="466" t="s">
        <v>1235</v>
      </c>
      <c r="J6" s="1643" t="s">
        <v>1236</v>
      </c>
      <c r="K6" s="466" t="s">
        <v>1237</v>
      </c>
      <c r="L6" s="1643" t="s">
        <v>1238</v>
      </c>
      <c r="M6" s="1643" t="s">
        <v>1239</v>
      </c>
      <c r="N6" s="1643" t="s">
        <v>1240</v>
      </c>
      <c r="O6" s="1643" t="s">
        <v>1243</v>
      </c>
      <c r="P6" s="466" t="s">
        <v>1241</v>
      </c>
      <c r="Q6" s="1643" t="s">
        <v>1857</v>
      </c>
      <c r="R6" s="466" t="s">
        <v>15</v>
      </c>
      <c r="S6" s="1661" t="s">
        <v>66</v>
      </c>
      <c r="T6" s="1"/>
      <c r="U6" s="5563" t="s">
        <v>3939</v>
      </c>
      <c r="V6" s="1"/>
      <c r="W6" s="456" t="s">
        <v>0</v>
      </c>
      <c r="X6" s="456" t="s">
        <v>1</v>
      </c>
      <c r="Y6" s="456" t="s">
        <v>2952</v>
      </c>
      <c r="Z6" s="728" t="s">
        <v>1230</v>
      </c>
      <c r="AA6" s="728" t="s">
        <v>1231</v>
      </c>
      <c r="AB6" s="728" t="s">
        <v>1232</v>
      </c>
      <c r="AC6" s="728" t="s">
        <v>1233</v>
      </c>
      <c r="AD6" s="728" t="s">
        <v>1234</v>
      </c>
      <c r="AE6" s="728" t="s">
        <v>1235</v>
      </c>
      <c r="AF6" s="728" t="s">
        <v>1236</v>
      </c>
      <c r="AG6" s="728" t="s">
        <v>1237</v>
      </c>
      <c r="AH6" s="728" t="s">
        <v>1238</v>
      </c>
      <c r="AI6" s="728" t="s">
        <v>1239</v>
      </c>
      <c r="AJ6" s="728" t="s">
        <v>1240</v>
      </c>
      <c r="AK6" s="728" t="s">
        <v>1243</v>
      </c>
      <c r="AL6" s="728" t="s">
        <v>1241</v>
      </c>
      <c r="AM6" s="728" t="s">
        <v>1857</v>
      </c>
      <c r="AN6" s="456" t="s">
        <v>15</v>
      </c>
      <c r="AO6" s="4690" t="s">
        <v>2953</v>
      </c>
      <c r="AQ6" s="4697" t="s">
        <v>0</v>
      </c>
      <c r="AR6" s="4697" t="s">
        <v>1</v>
      </c>
      <c r="AS6" s="4698" t="s">
        <v>2</v>
      </c>
      <c r="AT6" s="4697" t="s">
        <v>1230</v>
      </c>
      <c r="AU6" s="4699" t="s">
        <v>1231</v>
      </c>
      <c r="AV6" s="4697" t="s">
        <v>1232</v>
      </c>
      <c r="AW6" s="4699" t="s">
        <v>1233</v>
      </c>
      <c r="AX6" s="4697" t="s">
        <v>1234</v>
      </c>
      <c r="AY6" s="4697" t="s">
        <v>1235</v>
      </c>
      <c r="AZ6" s="4699" t="s">
        <v>1236</v>
      </c>
      <c r="BA6" s="4697" t="s">
        <v>1237</v>
      </c>
      <c r="BB6" s="4699" t="s">
        <v>1238</v>
      </c>
      <c r="BC6" s="4699" t="s">
        <v>1239</v>
      </c>
      <c r="BD6" s="4699" t="s">
        <v>1240</v>
      </c>
      <c r="BE6" s="4699" t="s">
        <v>1243</v>
      </c>
      <c r="BF6" s="4697" t="s">
        <v>1241</v>
      </c>
      <c r="BG6" s="4699" t="s">
        <v>1857</v>
      </c>
      <c r="BH6" s="4697" t="s">
        <v>15</v>
      </c>
      <c r="BI6" s="4700" t="s">
        <v>2915</v>
      </c>
      <c r="BK6" s="466" t="s">
        <v>0</v>
      </c>
      <c r="BL6" s="466" t="s">
        <v>1</v>
      </c>
      <c r="BM6" s="466" t="s">
        <v>2</v>
      </c>
      <c r="BN6" s="466" t="s">
        <v>1230</v>
      </c>
      <c r="BO6" s="1643" t="s">
        <v>1231</v>
      </c>
      <c r="BP6" s="466" t="s">
        <v>1232</v>
      </c>
      <c r="BQ6" s="1643" t="s">
        <v>1233</v>
      </c>
      <c r="BR6" s="466" t="s">
        <v>1234</v>
      </c>
      <c r="BS6" s="466" t="s">
        <v>1235</v>
      </c>
      <c r="BT6" s="1643" t="s">
        <v>1236</v>
      </c>
      <c r="BU6" s="466" t="s">
        <v>1237</v>
      </c>
      <c r="BV6" s="1643" t="s">
        <v>1238</v>
      </c>
      <c r="BW6" s="1643" t="s">
        <v>1239</v>
      </c>
      <c r="BX6" s="1643" t="s">
        <v>1240</v>
      </c>
      <c r="BY6" s="1643" t="s">
        <v>1243</v>
      </c>
      <c r="BZ6" s="466" t="s">
        <v>1241</v>
      </c>
      <c r="CA6" s="1643" t="s">
        <v>1857</v>
      </c>
      <c r="CB6" s="466" t="s">
        <v>15</v>
      </c>
      <c r="CC6" s="1643" t="s">
        <v>2695</v>
      </c>
      <c r="CE6" s="465" t="s">
        <v>0</v>
      </c>
      <c r="CF6" s="465" t="s">
        <v>1</v>
      </c>
      <c r="CG6" s="465" t="s">
        <v>2</v>
      </c>
      <c r="CH6" s="466" t="s">
        <v>1230</v>
      </c>
      <c r="CI6" s="1643" t="s">
        <v>1231</v>
      </c>
      <c r="CJ6" s="466" t="s">
        <v>1232</v>
      </c>
      <c r="CK6" s="1643" t="s">
        <v>1233</v>
      </c>
      <c r="CL6" s="466" t="s">
        <v>1234</v>
      </c>
      <c r="CM6" s="466" t="s">
        <v>1235</v>
      </c>
      <c r="CN6" s="1643" t="s">
        <v>1236</v>
      </c>
      <c r="CO6" s="466" t="s">
        <v>1237</v>
      </c>
      <c r="CP6" s="1643" t="s">
        <v>1238</v>
      </c>
      <c r="CQ6" s="1643" t="s">
        <v>1239</v>
      </c>
      <c r="CR6" s="1643" t="s">
        <v>1240</v>
      </c>
      <c r="CS6" s="1643" t="s">
        <v>1243</v>
      </c>
      <c r="CT6" s="466" t="s">
        <v>1241</v>
      </c>
      <c r="CU6" s="1643" t="s">
        <v>1857</v>
      </c>
      <c r="CV6" s="466" t="s">
        <v>15</v>
      </c>
      <c r="CW6" s="1643" t="s">
        <v>2519</v>
      </c>
      <c r="CX6"/>
      <c r="CY6" s="465" t="s">
        <v>0</v>
      </c>
      <c r="CZ6" s="465" t="s">
        <v>1</v>
      </c>
      <c r="DA6" s="465" t="s">
        <v>2</v>
      </c>
      <c r="DB6" s="466" t="s">
        <v>1230</v>
      </c>
      <c r="DC6" s="1643" t="s">
        <v>1231</v>
      </c>
      <c r="DD6" s="466" t="s">
        <v>1232</v>
      </c>
      <c r="DE6" s="1643" t="s">
        <v>1233</v>
      </c>
      <c r="DF6" s="1647" t="s">
        <v>1234</v>
      </c>
      <c r="DG6" s="1647" t="s">
        <v>1235</v>
      </c>
      <c r="DH6" s="1643" t="s">
        <v>1236</v>
      </c>
      <c r="DI6" s="466" t="s">
        <v>1237</v>
      </c>
      <c r="DJ6" s="1643" t="s">
        <v>1238</v>
      </c>
      <c r="DK6" s="1643" t="s">
        <v>1239</v>
      </c>
      <c r="DL6" s="1648" t="s">
        <v>1240</v>
      </c>
      <c r="DM6" s="1643" t="s">
        <v>1243</v>
      </c>
      <c r="DN6" s="466" t="s">
        <v>1241</v>
      </c>
      <c r="DO6" s="1643" t="s">
        <v>1857</v>
      </c>
      <c r="DP6" s="1646" t="s">
        <v>15</v>
      </c>
      <c r="DQ6" s="1643" t="s">
        <v>1925</v>
      </c>
      <c r="DS6" s="1315" t="s">
        <v>0</v>
      </c>
      <c r="DT6" s="1315" t="s">
        <v>1</v>
      </c>
      <c r="DU6" s="1315" t="s">
        <v>2</v>
      </c>
      <c r="DV6" s="1315" t="s">
        <v>1230</v>
      </c>
      <c r="DW6" s="1316" t="s">
        <v>1231</v>
      </c>
      <c r="DX6" s="1316" t="s">
        <v>1232</v>
      </c>
      <c r="DY6" s="1316" t="s">
        <v>1233</v>
      </c>
      <c r="DZ6" s="1316" t="s">
        <v>1234</v>
      </c>
      <c r="EA6" s="1316" t="s">
        <v>1235</v>
      </c>
      <c r="EB6" s="1316" t="s">
        <v>1236</v>
      </c>
      <c r="EC6" s="1316" t="s">
        <v>1237</v>
      </c>
      <c r="ED6" s="1316" t="s">
        <v>1238</v>
      </c>
      <c r="EE6" s="1316" t="s">
        <v>1239</v>
      </c>
      <c r="EF6" s="1316" t="s">
        <v>1240</v>
      </c>
      <c r="EG6" s="1316" t="s">
        <v>1243</v>
      </c>
      <c r="EH6" s="1316" t="s">
        <v>1241</v>
      </c>
      <c r="EI6" s="1316" t="s">
        <v>1857</v>
      </c>
      <c r="EJ6" s="1317" t="s">
        <v>15</v>
      </c>
      <c r="EK6" s="1318" t="s">
        <v>1858</v>
      </c>
      <c r="EM6" s="1054" t="s">
        <v>0</v>
      </c>
      <c r="EN6" s="1054" t="s">
        <v>1</v>
      </c>
      <c r="EO6" s="1055" t="s">
        <v>2</v>
      </c>
      <c r="EP6" s="1054" t="s">
        <v>1230</v>
      </c>
      <c r="EQ6" s="1056" t="s">
        <v>1231</v>
      </c>
      <c r="ER6" s="1054" t="s">
        <v>1232</v>
      </c>
      <c r="ES6" s="1056" t="s">
        <v>1233</v>
      </c>
      <c r="ET6" s="1054" t="s">
        <v>1234</v>
      </c>
      <c r="EU6" s="1054" t="s">
        <v>1235</v>
      </c>
      <c r="EV6" s="1056" t="s">
        <v>1236</v>
      </c>
      <c r="EW6" s="1056" t="s">
        <v>1237</v>
      </c>
      <c r="EX6" s="1056" t="s">
        <v>1238</v>
      </c>
      <c r="EY6" s="1056" t="s">
        <v>1239</v>
      </c>
      <c r="EZ6" s="1056" t="s">
        <v>1240</v>
      </c>
      <c r="FA6" s="1054" t="s">
        <v>1241</v>
      </c>
      <c r="FB6" s="1056" t="s">
        <v>1242</v>
      </c>
      <c r="FC6" s="1054" t="s">
        <v>15</v>
      </c>
      <c r="FD6" s="597" t="s">
        <v>1487</v>
      </c>
      <c r="FE6" s="1"/>
      <c r="FF6" s="650" t="s">
        <v>0</v>
      </c>
      <c r="FG6" s="650" t="s">
        <v>1</v>
      </c>
      <c r="FH6" s="650" t="s">
        <v>2</v>
      </c>
      <c r="FI6" s="754" t="s">
        <v>1230</v>
      </c>
      <c r="FJ6" s="754" t="s">
        <v>1231</v>
      </c>
      <c r="FK6" s="754" t="s">
        <v>1232</v>
      </c>
      <c r="FL6" s="754" t="s">
        <v>1233</v>
      </c>
      <c r="FM6" s="754" t="s">
        <v>1234</v>
      </c>
      <c r="FN6" s="754" t="s">
        <v>1235</v>
      </c>
      <c r="FO6" s="754" t="s">
        <v>1236</v>
      </c>
      <c r="FP6" s="754" t="s">
        <v>1237</v>
      </c>
      <c r="FQ6" s="754" t="s">
        <v>1238</v>
      </c>
      <c r="FR6" s="754" t="s">
        <v>1239</v>
      </c>
      <c r="FS6" s="754" t="s">
        <v>1240</v>
      </c>
      <c r="FT6" s="754" t="s">
        <v>1241</v>
      </c>
      <c r="FU6" s="754" t="s">
        <v>1242</v>
      </c>
      <c r="FV6" s="754" t="s">
        <v>15</v>
      </c>
      <c r="FW6" s="1057" t="s">
        <v>66</v>
      </c>
      <c r="FY6" s="938" t="s">
        <v>0</v>
      </c>
      <c r="FZ6" s="938" t="s">
        <v>1</v>
      </c>
      <c r="GA6" s="938" t="s">
        <v>2</v>
      </c>
      <c r="GB6" s="938" t="s">
        <v>1230</v>
      </c>
      <c r="GC6" s="716" t="s">
        <v>1231</v>
      </c>
      <c r="GD6" s="716" t="s">
        <v>1232</v>
      </c>
      <c r="GE6" s="716" t="s">
        <v>1233</v>
      </c>
      <c r="GF6" s="716" t="s">
        <v>1234</v>
      </c>
      <c r="GG6" s="716" t="s">
        <v>1235</v>
      </c>
      <c r="GH6" s="716" t="s">
        <v>1236</v>
      </c>
      <c r="GI6" s="716" t="s">
        <v>1238</v>
      </c>
      <c r="GJ6" s="716" t="s">
        <v>1239</v>
      </c>
      <c r="GK6" s="716" t="s">
        <v>1240</v>
      </c>
      <c r="GL6" s="716" t="s">
        <v>1243</v>
      </c>
      <c r="GM6" s="716" t="s">
        <v>1241</v>
      </c>
      <c r="GN6" s="716" t="s">
        <v>1242</v>
      </c>
      <c r="GO6" s="716" t="s">
        <v>1244</v>
      </c>
      <c r="GP6" s="938" t="s">
        <v>71</v>
      </c>
      <c r="GQ6" s="1058" t="s">
        <v>66</v>
      </c>
      <c r="GS6" s="456" t="s">
        <v>0</v>
      </c>
      <c r="GT6" s="456" t="s">
        <v>1</v>
      </c>
      <c r="GU6" s="456" t="s">
        <v>2</v>
      </c>
      <c r="GV6" s="728" t="s">
        <v>1230</v>
      </c>
      <c r="GW6" s="728" t="s">
        <v>1231</v>
      </c>
      <c r="GX6" s="728" t="s">
        <v>1232</v>
      </c>
      <c r="GY6" s="728" t="s">
        <v>1233</v>
      </c>
      <c r="GZ6" s="728" t="s">
        <v>1234</v>
      </c>
      <c r="HA6" s="728" t="s">
        <v>1235</v>
      </c>
      <c r="HB6" s="728" t="s">
        <v>1236</v>
      </c>
      <c r="HC6" s="728" t="s">
        <v>1238</v>
      </c>
      <c r="HD6" s="728" t="s">
        <v>1239</v>
      </c>
      <c r="HE6" s="728" t="s">
        <v>1240</v>
      </c>
      <c r="HF6" s="728" t="s">
        <v>1243</v>
      </c>
      <c r="HG6" s="728" t="s">
        <v>1241</v>
      </c>
      <c r="HH6" s="728" t="s">
        <v>1242</v>
      </c>
      <c r="HI6" s="728" t="s">
        <v>1244</v>
      </c>
      <c r="HJ6" s="728" t="s">
        <v>71</v>
      </c>
      <c r="HK6" s="942" t="s">
        <v>66</v>
      </c>
      <c r="HL6" s="107"/>
      <c r="HM6" s="1059" t="s">
        <v>0</v>
      </c>
      <c r="HN6" s="1059" t="s">
        <v>1</v>
      </c>
      <c r="HO6" s="1059" t="s">
        <v>2</v>
      </c>
      <c r="HP6" s="1059" t="s">
        <v>1230</v>
      </c>
      <c r="HQ6" s="1059" t="s">
        <v>1231</v>
      </c>
      <c r="HR6" s="1059" t="s">
        <v>1232</v>
      </c>
      <c r="HS6" s="1059" t="s">
        <v>1233</v>
      </c>
      <c r="HT6" s="1059" t="s">
        <v>1234</v>
      </c>
      <c r="HU6" s="1059" t="s">
        <v>1235</v>
      </c>
      <c r="HV6" s="1059" t="s">
        <v>1236</v>
      </c>
      <c r="HW6" s="1059" t="s">
        <v>1238</v>
      </c>
      <c r="HX6" s="1059" t="s">
        <v>1239</v>
      </c>
      <c r="HY6" s="1059" t="s">
        <v>1240</v>
      </c>
      <c r="HZ6" s="1059" t="s">
        <v>1241</v>
      </c>
      <c r="IA6" s="1059" t="s">
        <v>1242</v>
      </c>
      <c r="IB6" s="1059" t="s">
        <v>15</v>
      </c>
      <c r="IC6" s="1059" t="s">
        <v>1245</v>
      </c>
      <c r="ID6" s="1059" t="s">
        <v>66</v>
      </c>
      <c r="IE6" s="107"/>
      <c r="IF6" s="107"/>
    </row>
    <row r="7" spans="1:240">
      <c r="A7" s="41" t="s">
        <v>3</v>
      </c>
      <c r="B7" s="41" t="s">
        <v>4</v>
      </c>
      <c r="C7" s="41" t="s">
        <v>5</v>
      </c>
      <c r="D7" s="105">
        <v>177</v>
      </c>
      <c r="E7" s="105">
        <v>91</v>
      </c>
      <c r="F7" s="105"/>
      <c r="G7" s="105">
        <v>35</v>
      </c>
      <c r="H7" s="105">
        <v>223</v>
      </c>
      <c r="I7" s="105">
        <v>36</v>
      </c>
      <c r="J7" s="105">
        <v>6</v>
      </c>
      <c r="K7" s="105"/>
      <c r="L7" s="105"/>
      <c r="M7" s="105">
        <v>36</v>
      </c>
      <c r="N7" s="105">
        <v>33</v>
      </c>
      <c r="O7" s="105">
        <v>43</v>
      </c>
      <c r="P7" s="105">
        <v>229</v>
      </c>
      <c r="Q7" s="105">
        <v>0</v>
      </c>
      <c r="R7" s="105">
        <v>909</v>
      </c>
      <c r="S7" s="706">
        <f>+(N7+I7+H7)/(R7-Q7-O7)</f>
        <v>0.33718244803695152</v>
      </c>
      <c r="T7" s="5561">
        <f>R7-U7</f>
        <v>0</v>
      </c>
      <c r="U7" s="5562">
        <v>909</v>
      </c>
      <c r="W7" s="107" t="s">
        <v>3</v>
      </c>
      <c r="X7" s="107" t="s">
        <v>4</v>
      </c>
      <c r="Y7" s="41" t="s">
        <v>5</v>
      </c>
      <c r="Z7" s="41">
        <v>104</v>
      </c>
      <c r="AA7" s="41">
        <v>67</v>
      </c>
      <c r="AB7" s="41"/>
      <c r="AC7" s="41">
        <v>46</v>
      </c>
      <c r="AD7" s="41">
        <v>344</v>
      </c>
      <c r="AE7" s="41">
        <v>37</v>
      </c>
      <c r="AF7" s="41">
        <v>139</v>
      </c>
      <c r="AG7" s="41">
        <v>7</v>
      </c>
      <c r="AH7" s="41"/>
      <c r="AI7" s="41">
        <v>31</v>
      </c>
      <c r="AJ7" s="41">
        <v>33</v>
      </c>
      <c r="AK7" s="41">
        <v>48</v>
      </c>
      <c r="AL7" s="41">
        <v>186</v>
      </c>
      <c r="AM7" s="41">
        <v>0</v>
      </c>
      <c r="AN7" s="461">
        <v>1042</v>
      </c>
      <c r="AO7" s="4692">
        <f>+(AD7+AE7+AJ7)/(AN7-AM7-AK7)</f>
        <v>0.4164989939637827</v>
      </c>
      <c r="AQ7" s="1788" t="s">
        <v>3</v>
      </c>
      <c r="AR7" s="1788" t="s">
        <v>4</v>
      </c>
      <c r="AS7" s="37" t="s">
        <v>5</v>
      </c>
      <c r="AT7" s="1788">
        <v>170</v>
      </c>
      <c r="AU7" s="1788">
        <v>71</v>
      </c>
      <c r="AV7" s="1788"/>
      <c r="AW7" s="1788">
        <v>41</v>
      </c>
      <c r="AX7" s="1788">
        <v>243</v>
      </c>
      <c r="AY7" s="1788">
        <v>52</v>
      </c>
      <c r="AZ7" s="1788">
        <v>75</v>
      </c>
      <c r="BA7" s="1788"/>
      <c r="BB7" s="1788"/>
      <c r="BC7" s="1788">
        <v>35</v>
      </c>
      <c r="BD7" s="1788">
        <v>42</v>
      </c>
      <c r="BE7" s="1788">
        <v>47</v>
      </c>
      <c r="BF7" s="1788">
        <v>198</v>
      </c>
      <c r="BG7" s="1788">
        <v>0</v>
      </c>
      <c r="BH7" s="1788">
        <v>974</v>
      </c>
      <c r="BI7" s="4701">
        <f>+(BD7+AY7+AX7)/(BH7-BG7-BE7)</f>
        <v>0.36353829557713052</v>
      </c>
      <c r="BK7" s="41" t="s">
        <v>3</v>
      </c>
      <c r="BL7" s="41" t="s">
        <v>4</v>
      </c>
      <c r="BM7" s="41" t="s">
        <v>5</v>
      </c>
      <c r="BN7" s="105">
        <v>182</v>
      </c>
      <c r="BO7" s="105">
        <v>81</v>
      </c>
      <c r="BP7" s="105"/>
      <c r="BQ7" s="105">
        <v>2</v>
      </c>
      <c r="BR7" s="105">
        <v>294</v>
      </c>
      <c r="BS7" s="105">
        <v>27</v>
      </c>
      <c r="BT7" s="105">
        <v>72</v>
      </c>
      <c r="BU7" s="105"/>
      <c r="BV7" s="105"/>
      <c r="BW7" s="105">
        <v>36</v>
      </c>
      <c r="BX7" s="105">
        <v>37</v>
      </c>
      <c r="BY7" s="105">
        <v>47</v>
      </c>
      <c r="BZ7" s="105">
        <v>221</v>
      </c>
      <c r="CA7" s="105"/>
      <c r="CB7" s="105">
        <v>999</v>
      </c>
      <c r="CC7" s="635">
        <f>+(BX7+BS7+BR7)/(CB7-CA7-BY7)</f>
        <v>0.37605042016806722</v>
      </c>
      <c r="CE7" s="41" t="s">
        <v>3</v>
      </c>
      <c r="CF7" s="41" t="s">
        <v>4</v>
      </c>
      <c r="CG7" s="41" t="s">
        <v>5</v>
      </c>
      <c r="CH7" s="105">
        <v>187</v>
      </c>
      <c r="CI7" s="105">
        <v>96</v>
      </c>
      <c r="CJ7" s="105"/>
      <c r="CK7" s="105">
        <v>50</v>
      </c>
      <c r="CL7" s="105">
        <v>248</v>
      </c>
      <c r="CM7" s="105">
        <v>45</v>
      </c>
      <c r="CN7" s="105">
        <v>62</v>
      </c>
      <c r="CO7" s="105"/>
      <c r="CP7" s="105"/>
      <c r="CQ7" s="105">
        <v>44</v>
      </c>
      <c r="CR7" s="105">
        <v>49</v>
      </c>
      <c r="CS7" s="105">
        <v>34</v>
      </c>
      <c r="CT7" s="105">
        <v>219</v>
      </c>
      <c r="CU7" s="105">
        <v>0</v>
      </c>
      <c r="CV7" s="105">
        <v>1034</v>
      </c>
      <c r="CW7" s="1644">
        <f t="shared" ref="CW7:CW70" si="0">+(CR7+CM7+CL7)/(CV7-CU7-CS7)</f>
        <v>0.34200000000000003</v>
      </c>
      <c r="CX7"/>
      <c r="CY7" s="41" t="s">
        <v>3</v>
      </c>
      <c r="CZ7" s="41" t="s">
        <v>4</v>
      </c>
      <c r="DA7" s="41" t="s">
        <v>5</v>
      </c>
      <c r="DB7" s="105">
        <v>217</v>
      </c>
      <c r="DC7" s="105">
        <v>100</v>
      </c>
      <c r="DD7" s="105"/>
      <c r="DE7" s="105">
        <v>46</v>
      </c>
      <c r="DF7" s="105">
        <v>212</v>
      </c>
      <c r="DG7" s="105">
        <v>25</v>
      </c>
      <c r="DH7" s="105">
        <v>56</v>
      </c>
      <c r="DI7" s="105">
        <v>27</v>
      </c>
      <c r="DJ7" s="105"/>
      <c r="DK7" s="105">
        <v>58</v>
      </c>
      <c r="DL7" s="105">
        <v>20</v>
      </c>
      <c r="DM7" s="1649">
        <v>22</v>
      </c>
      <c r="DN7" s="105">
        <v>220</v>
      </c>
      <c r="DO7" s="1649">
        <v>0</v>
      </c>
      <c r="DP7" s="1649">
        <v>1003</v>
      </c>
      <c r="DQ7" s="1644">
        <f>+(DF7+DG7+DL7)/(DP7-DO7-DM7)</f>
        <v>0.26197757390417942</v>
      </c>
      <c r="DS7" s="1311" t="s">
        <v>3</v>
      </c>
      <c r="DT7" s="1311" t="s">
        <v>4</v>
      </c>
      <c r="DU7" s="1319" t="s">
        <v>5</v>
      </c>
      <c r="DV7" s="1320">
        <v>289</v>
      </c>
      <c r="DW7" s="1320">
        <v>102</v>
      </c>
      <c r="DX7" s="1321"/>
      <c r="DY7" s="1320">
        <v>46</v>
      </c>
      <c r="DZ7" s="1320">
        <v>186</v>
      </c>
      <c r="EA7" s="1320">
        <v>14</v>
      </c>
      <c r="EB7" s="1320">
        <v>26</v>
      </c>
      <c r="EC7" s="1321"/>
      <c r="ED7" s="1321"/>
      <c r="EE7" s="1320">
        <v>23</v>
      </c>
      <c r="EF7" s="1320">
        <v>33</v>
      </c>
      <c r="EG7" s="1320">
        <v>16</v>
      </c>
      <c r="EH7" s="1320">
        <v>230</v>
      </c>
      <c r="EI7" s="1320">
        <v>0</v>
      </c>
      <c r="EJ7" s="1320">
        <v>965</v>
      </c>
      <c r="EK7" s="1322">
        <f>+(DZ7+EA7+EF7)/(EJ7-EI7-EG7)</f>
        <v>0.24552160168598525</v>
      </c>
      <c r="EM7" s="1047" t="s">
        <v>3</v>
      </c>
      <c r="EN7" s="1047" t="s">
        <v>4</v>
      </c>
      <c r="EO7" s="1060" t="s">
        <v>5</v>
      </c>
      <c r="EP7" s="1061">
        <v>262</v>
      </c>
      <c r="EQ7" s="1061">
        <v>95</v>
      </c>
      <c r="ER7" s="1047"/>
      <c r="ES7" s="1061">
        <v>54</v>
      </c>
      <c r="ET7" s="1061">
        <v>162</v>
      </c>
      <c r="EU7" s="1061">
        <v>13</v>
      </c>
      <c r="EV7" s="1061">
        <v>44</v>
      </c>
      <c r="EW7" s="1047"/>
      <c r="EX7" s="1061">
        <v>0</v>
      </c>
      <c r="EY7" s="1061">
        <v>38</v>
      </c>
      <c r="EZ7" s="1061">
        <v>22</v>
      </c>
      <c r="FA7" s="1061">
        <v>195</v>
      </c>
      <c r="FB7" s="1061">
        <v>0</v>
      </c>
      <c r="FC7" s="1061">
        <v>885</v>
      </c>
      <c r="FD7" s="537">
        <f>+(ET7+EU7+EZ7)/FC7</f>
        <v>0.22259887005649717</v>
      </c>
      <c r="FF7" s="652" t="s">
        <v>3</v>
      </c>
      <c r="FG7" s="652" t="s">
        <v>4</v>
      </c>
      <c r="FH7" s="1062" t="s">
        <v>5</v>
      </c>
      <c r="FI7" s="1063">
        <v>208</v>
      </c>
      <c r="FJ7" s="1063">
        <v>92</v>
      </c>
      <c r="FK7" s="1063">
        <v>0</v>
      </c>
      <c r="FL7" s="1063">
        <v>53</v>
      </c>
      <c r="FM7" s="1063">
        <v>134</v>
      </c>
      <c r="FN7" s="1063">
        <v>24</v>
      </c>
      <c r="FO7" s="1063">
        <v>38</v>
      </c>
      <c r="FP7" s="652"/>
      <c r="FQ7" s="1063">
        <v>0</v>
      </c>
      <c r="FR7" s="1063">
        <v>14</v>
      </c>
      <c r="FS7" s="1063">
        <v>16</v>
      </c>
      <c r="FT7" s="1063">
        <v>165</v>
      </c>
      <c r="FU7" s="1063">
        <v>0</v>
      </c>
      <c r="FV7" s="1063">
        <v>744</v>
      </c>
      <c r="FW7" s="537">
        <f>+(FS7+FN7+FM7)/FV7</f>
        <v>0.23387096774193547</v>
      </c>
      <c r="FY7" s="817" t="s">
        <v>3</v>
      </c>
      <c r="FZ7" s="817" t="s">
        <v>4</v>
      </c>
      <c r="GA7" s="1064" t="s">
        <v>5</v>
      </c>
      <c r="GB7" s="1065">
        <v>180</v>
      </c>
      <c r="GC7" s="1065">
        <v>58</v>
      </c>
      <c r="GD7" s="1065">
        <v>0</v>
      </c>
      <c r="GE7" s="1065">
        <v>43</v>
      </c>
      <c r="GF7" s="1065">
        <v>104</v>
      </c>
      <c r="GG7" s="1065">
        <v>12</v>
      </c>
      <c r="GH7" s="1065">
        <v>34</v>
      </c>
      <c r="GI7" s="1065">
        <v>0</v>
      </c>
      <c r="GJ7" s="1065">
        <v>16</v>
      </c>
      <c r="GK7" s="1065">
        <v>21</v>
      </c>
      <c r="GL7" s="1065">
        <v>165</v>
      </c>
      <c r="GM7" s="1065">
        <v>170</v>
      </c>
      <c r="GN7" s="1065">
        <v>0</v>
      </c>
      <c r="GO7" s="1065">
        <v>2</v>
      </c>
      <c r="GP7" s="1065">
        <v>805</v>
      </c>
      <c r="GQ7" s="1066">
        <f>+(GK7+GG7+GF7)/(GP7-GO7-GL7)</f>
        <v>0.21473354231974923</v>
      </c>
      <c r="GS7" s="107" t="s">
        <v>3</v>
      </c>
      <c r="GT7" s="107" t="s">
        <v>4</v>
      </c>
      <c r="GU7" s="47" t="s">
        <v>5</v>
      </c>
      <c r="GV7" s="47">
        <v>134</v>
      </c>
      <c r="GW7" s="47">
        <v>44</v>
      </c>
      <c r="GX7" s="47"/>
      <c r="GY7" s="47">
        <v>33</v>
      </c>
      <c r="GZ7" s="47">
        <v>83</v>
      </c>
      <c r="HA7" s="47">
        <v>14</v>
      </c>
      <c r="HB7" s="47">
        <v>37</v>
      </c>
      <c r="HC7" s="47">
        <v>0</v>
      </c>
      <c r="HD7" s="47">
        <v>13</v>
      </c>
      <c r="HE7" s="47">
        <v>11</v>
      </c>
      <c r="HF7" s="47">
        <v>125</v>
      </c>
      <c r="HG7" s="47">
        <v>158</v>
      </c>
      <c r="HH7" s="47">
        <v>0</v>
      </c>
      <c r="HI7" s="47">
        <v>1</v>
      </c>
      <c r="HJ7" s="47">
        <v>653</v>
      </c>
      <c r="HK7" s="1067">
        <f t="shared" ref="HK7:HK70" si="1">+(HE7+HA7+GZ7)/(HJ7-HI7-HF7)</f>
        <v>0.2049335863377609</v>
      </c>
      <c r="HL7" s="47"/>
      <c r="HM7" s="420" t="s">
        <v>3</v>
      </c>
      <c r="HN7" s="420" t="s">
        <v>4</v>
      </c>
      <c r="HO7" s="420" t="s">
        <v>5</v>
      </c>
      <c r="HP7" s="1068">
        <v>103</v>
      </c>
      <c r="HQ7" s="1068">
        <v>46</v>
      </c>
      <c r="HR7" s="1068" t="s">
        <v>327</v>
      </c>
      <c r="HS7" s="1068">
        <v>38</v>
      </c>
      <c r="HT7" s="1068">
        <v>69</v>
      </c>
      <c r="HU7" s="1068">
        <v>9</v>
      </c>
      <c r="HV7" s="1068">
        <v>45</v>
      </c>
      <c r="HW7" s="1068" t="s">
        <v>327</v>
      </c>
      <c r="HX7" s="1068">
        <v>28</v>
      </c>
      <c r="HY7" s="1068">
        <v>8</v>
      </c>
      <c r="HZ7" s="1068">
        <v>145</v>
      </c>
      <c r="IA7" s="1068" t="s">
        <v>327</v>
      </c>
      <c r="IB7" s="1068">
        <v>491</v>
      </c>
      <c r="IC7" s="1068">
        <f t="shared" ref="IC7:IC70" si="2">+HY7+HU7+HT7</f>
        <v>86</v>
      </c>
      <c r="ID7" s="1069">
        <f t="shared" ref="ID7:ID70" si="3">+IC7/IB7</f>
        <v>0.17515274949083504</v>
      </c>
      <c r="IE7" s="47"/>
      <c r="IF7" s="47"/>
    </row>
    <row r="8" spans="1:240">
      <c r="A8" s="41"/>
      <c r="B8" s="41"/>
      <c r="C8" s="41" t="s">
        <v>6</v>
      </c>
      <c r="D8" s="105">
        <v>203</v>
      </c>
      <c r="E8" s="105">
        <v>112</v>
      </c>
      <c r="F8" s="105"/>
      <c r="G8" s="105">
        <v>39</v>
      </c>
      <c r="H8" s="105">
        <v>199</v>
      </c>
      <c r="I8" s="105">
        <v>36</v>
      </c>
      <c r="J8" s="105">
        <v>11</v>
      </c>
      <c r="K8" s="105"/>
      <c r="L8" s="105"/>
      <c r="M8" s="105">
        <v>23</v>
      </c>
      <c r="N8" s="105">
        <v>43</v>
      </c>
      <c r="O8" s="105">
        <v>67</v>
      </c>
      <c r="P8" s="105">
        <v>266</v>
      </c>
      <c r="Q8" s="105">
        <v>0</v>
      </c>
      <c r="R8" s="105">
        <v>999</v>
      </c>
      <c r="S8" s="706">
        <f t="shared" ref="S8:S71" si="4">+(N8+I8+H8)/(R8-Q8-O8)</f>
        <v>0.29828326180257508</v>
      </c>
      <c r="T8" s="5561">
        <f t="shared" ref="T8:T71" si="5">R8-U8</f>
        <v>1</v>
      </c>
      <c r="U8" s="5562">
        <v>998</v>
      </c>
      <c r="Y8" s="41" t="s">
        <v>6</v>
      </c>
      <c r="Z8" s="41">
        <v>116</v>
      </c>
      <c r="AA8" s="41">
        <v>78</v>
      </c>
      <c r="AB8" s="41"/>
      <c r="AC8" s="41">
        <v>41</v>
      </c>
      <c r="AD8" s="41">
        <v>301</v>
      </c>
      <c r="AE8" s="41">
        <v>35</v>
      </c>
      <c r="AF8" s="41">
        <v>208</v>
      </c>
      <c r="AG8" s="41">
        <v>7</v>
      </c>
      <c r="AH8" s="41"/>
      <c r="AI8" s="41">
        <v>41</v>
      </c>
      <c r="AJ8" s="41">
        <v>29</v>
      </c>
      <c r="AK8" s="41">
        <v>78</v>
      </c>
      <c r="AL8" s="41">
        <v>234</v>
      </c>
      <c r="AM8" s="41">
        <v>1</v>
      </c>
      <c r="AN8" s="461">
        <v>1169</v>
      </c>
      <c r="AO8" s="4692">
        <f t="shared" ref="AO8:AO71" si="6">+(AD8+AE8+AJ8)/(AN8-AM8-AK8)</f>
        <v>0.33486238532110091</v>
      </c>
      <c r="AQ8" s="1788"/>
      <c r="AR8" s="1788"/>
      <c r="AS8" s="37" t="s">
        <v>6</v>
      </c>
      <c r="AT8" s="1788">
        <v>178</v>
      </c>
      <c r="AU8" s="1788">
        <v>110</v>
      </c>
      <c r="AV8" s="1788"/>
      <c r="AW8" s="1788">
        <v>37</v>
      </c>
      <c r="AX8" s="1788">
        <v>213</v>
      </c>
      <c r="AY8" s="1788">
        <v>47</v>
      </c>
      <c r="AZ8" s="1788">
        <v>111</v>
      </c>
      <c r="BA8" s="1788"/>
      <c r="BB8" s="1788"/>
      <c r="BC8" s="1788">
        <v>28</v>
      </c>
      <c r="BD8" s="1788">
        <v>29</v>
      </c>
      <c r="BE8" s="1788">
        <v>75</v>
      </c>
      <c r="BF8" s="1788">
        <v>236</v>
      </c>
      <c r="BG8" s="1788">
        <v>0</v>
      </c>
      <c r="BH8" s="1788">
        <v>1064</v>
      </c>
      <c r="BI8" s="4701">
        <f t="shared" ref="BI8:BI71" si="7">+(BD8+AY8+AX8)/(BH8-BG8-BE8)</f>
        <v>0.29221435793731043</v>
      </c>
      <c r="BK8" s="41"/>
      <c r="BL8" s="41"/>
      <c r="BM8" s="41" t="s">
        <v>6</v>
      </c>
      <c r="BN8" s="105">
        <v>189</v>
      </c>
      <c r="BO8" s="105">
        <v>101</v>
      </c>
      <c r="BP8" s="105"/>
      <c r="BQ8" s="105">
        <v>1</v>
      </c>
      <c r="BR8" s="105">
        <v>252</v>
      </c>
      <c r="BS8" s="105">
        <v>33</v>
      </c>
      <c r="BT8" s="105">
        <v>108</v>
      </c>
      <c r="BU8" s="105"/>
      <c r="BV8" s="105"/>
      <c r="BW8" s="105">
        <v>58</v>
      </c>
      <c r="BX8" s="105">
        <v>36</v>
      </c>
      <c r="BY8" s="105">
        <v>75</v>
      </c>
      <c r="BZ8" s="105">
        <v>273</v>
      </c>
      <c r="CA8" s="105"/>
      <c r="CB8" s="105">
        <v>1126</v>
      </c>
      <c r="CC8" s="2484">
        <f t="shared" ref="CC8:CC71" si="8">+(BX8+BS8+BR8)/(CB8-CA8-BY8)</f>
        <v>0.30542340627973358</v>
      </c>
      <c r="CE8" s="41"/>
      <c r="CF8" s="41"/>
      <c r="CG8" s="41" t="s">
        <v>6</v>
      </c>
      <c r="CH8" s="105">
        <v>220</v>
      </c>
      <c r="CI8" s="105">
        <v>150</v>
      </c>
      <c r="CJ8" s="105"/>
      <c r="CK8" s="105">
        <v>43</v>
      </c>
      <c r="CL8" s="105">
        <v>187</v>
      </c>
      <c r="CM8" s="105">
        <v>58</v>
      </c>
      <c r="CN8" s="105">
        <v>91</v>
      </c>
      <c r="CO8" s="105"/>
      <c r="CP8" s="105"/>
      <c r="CQ8" s="105">
        <v>48</v>
      </c>
      <c r="CR8" s="105">
        <v>45</v>
      </c>
      <c r="CS8" s="105">
        <v>52</v>
      </c>
      <c r="CT8" s="105">
        <v>274</v>
      </c>
      <c r="CU8" s="105">
        <v>2</v>
      </c>
      <c r="CV8" s="105">
        <v>1170</v>
      </c>
      <c r="CW8" s="1644">
        <f t="shared" si="0"/>
        <v>0.25985663082437277</v>
      </c>
      <c r="CX8"/>
      <c r="CY8" s="41"/>
      <c r="CZ8" s="41"/>
      <c r="DA8" s="41" t="s">
        <v>6</v>
      </c>
      <c r="DB8" s="105">
        <v>253</v>
      </c>
      <c r="DC8" s="105">
        <v>152</v>
      </c>
      <c r="DD8" s="105"/>
      <c r="DE8" s="105">
        <v>43</v>
      </c>
      <c r="DF8" s="105">
        <v>176</v>
      </c>
      <c r="DG8" s="105">
        <v>30</v>
      </c>
      <c r="DH8" s="105">
        <v>71</v>
      </c>
      <c r="DI8" s="105">
        <v>24</v>
      </c>
      <c r="DJ8" s="105"/>
      <c r="DK8" s="105">
        <v>49</v>
      </c>
      <c r="DL8" s="105">
        <v>28</v>
      </c>
      <c r="DM8" s="105">
        <v>32</v>
      </c>
      <c r="DN8" s="105">
        <v>285</v>
      </c>
      <c r="DO8" s="105">
        <v>3</v>
      </c>
      <c r="DP8" s="105">
        <v>1146</v>
      </c>
      <c r="DQ8" s="1644">
        <f t="shared" ref="DQ8:DQ71" si="9">+(DF8+DG8+DL8)/(DP8-DO8-DM8)</f>
        <v>0.21062106210621062</v>
      </c>
      <c r="DS8" s="1311"/>
      <c r="DT8" s="1311"/>
      <c r="DU8" s="1319" t="s">
        <v>6</v>
      </c>
      <c r="DV8" s="1320">
        <v>311</v>
      </c>
      <c r="DW8" s="1320">
        <v>124</v>
      </c>
      <c r="DX8" s="1321"/>
      <c r="DY8" s="1320">
        <v>49</v>
      </c>
      <c r="DZ8" s="1320">
        <v>137</v>
      </c>
      <c r="EA8" s="1320">
        <v>25</v>
      </c>
      <c r="EB8" s="1320">
        <v>61</v>
      </c>
      <c r="EC8" s="1321"/>
      <c r="ED8" s="1321"/>
      <c r="EE8" s="1320">
        <v>48</v>
      </c>
      <c r="EF8" s="1320">
        <v>34</v>
      </c>
      <c r="EG8" s="1320">
        <v>20</v>
      </c>
      <c r="EH8" s="1320">
        <v>306</v>
      </c>
      <c r="EI8" s="1320">
        <v>3</v>
      </c>
      <c r="EJ8" s="1320">
        <v>1118</v>
      </c>
      <c r="EK8" s="1322">
        <f t="shared" ref="EK8:EK71" si="10">+(DZ8+EA8+EF8)/(EJ8-EI8-EG8)</f>
        <v>0.17899543378995433</v>
      </c>
      <c r="EM8" s="1047"/>
      <c r="EN8" s="1047"/>
      <c r="EO8" s="1060" t="s">
        <v>6</v>
      </c>
      <c r="EP8" s="1061">
        <v>322</v>
      </c>
      <c r="EQ8" s="1061">
        <v>111</v>
      </c>
      <c r="ER8" s="1047"/>
      <c r="ES8" s="1061">
        <v>51</v>
      </c>
      <c r="ET8" s="1061">
        <v>130</v>
      </c>
      <c r="EU8" s="1061">
        <v>13</v>
      </c>
      <c r="EV8" s="1061">
        <v>66</v>
      </c>
      <c r="EW8" s="1047"/>
      <c r="EX8" s="1061">
        <v>0</v>
      </c>
      <c r="EY8" s="1061">
        <v>37</v>
      </c>
      <c r="EZ8" s="1061">
        <v>18</v>
      </c>
      <c r="FA8" s="1061">
        <v>310</v>
      </c>
      <c r="FB8" s="1061">
        <v>0</v>
      </c>
      <c r="FC8" s="1061">
        <v>1058</v>
      </c>
      <c r="FD8" s="537">
        <f t="shared" ref="FD8:FD71" si="11">+(ET8+EU8+EZ8)/FC8</f>
        <v>0.15217391304347827</v>
      </c>
      <c r="FF8" s="652"/>
      <c r="FG8" s="652"/>
      <c r="FH8" s="1062" t="s">
        <v>6</v>
      </c>
      <c r="FI8" s="1063">
        <v>259</v>
      </c>
      <c r="FJ8" s="1063">
        <v>97</v>
      </c>
      <c r="FK8" s="1063">
        <v>0</v>
      </c>
      <c r="FL8" s="1063">
        <v>52</v>
      </c>
      <c r="FM8" s="1063">
        <v>106</v>
      </c>
      <c r="FN8" s="1063">
        <v>22</v>
      </c>
      <c r="FO8" s="1063">
        <v>60</v>
      </c>
      <c r="FP8" s="652"/>
      <c r="FQ8" s="1063">
        <v>0</v>
      </c>
      <c r="FR8" s="1063">
        <v>17</v>
      </c>
      <c r="FS8" s="1063">
        <v>18</v>
      </c>
      <c r="FT8" s="1063">
        <v>276</v>
      </c>
      <c r="FU8" s="1063">
        <v>0</v>
      </c>
      <c r="FV8" s="1063">
        <v>907</v>
      </c>
      <c r="FW8" s="537">
        <f t="shared" ref="FW8:FW71" si="12">+(FS8+FN8+FM8)/FV8</f>
        <v>0.16097023153252479</v>
      </c>
      <c r="FY8" s="817"/>
      <c r="FZ8" s="817"/>
      <c r="GA8" s="1064" t="s">
        <v>6</v>
      </c>
      <c r="GB8" s="1065">
        <v>233</v>
      </c>
      <c r="GC8" s="1065">
        <v>63</v>
      </c>
      <c r="GD8" s="1065">
        <v>0</v>
      </c>
      <c r="GE8" s="1065">
        <v>59</v>
      </c>
      <c r="GF8" s="1065">
        <v>88</v>
      </c>
      <c r="GG8" s="1065">
        <v>10</v>
      </c>
      <c r="GH8" s="1065">
        <v>73</v>
      </c>
      <c r="GI8" s="1065">
        <v>0</v>
      </c>
      <c r="GJ8" s="1065">
        <v>10</v>
      </c>
      <c r="GK8" s="1065">
        <v>9</v>
      </c>
      <c r="GL8" s="1065">
        <v>361</v>
      </c>
      <c r="GM8" s="1065">
        <v>282</v>
      </c>
      <c r="GN8" s="1065">
        <v>0</v>
      </c>
      <c r="GO8" s="1065">
        <v>6</v>
      </c>
      <c r="GP8" s="1065">
        <v>1194</v>
      </c>
      <c r="GQ8" s="1066">
        <f t="shared" ref="GQ8:GQ71" si="13">+(GK8+GG8+GF8)/(GP8-GO8-GL8)</f>
        <v>0.1293833131801693</v>
      </c>
      <c r="GS8" s="107"/>
      <c r="GT8" s="107"/>
      <c r="GU8" s="47" t="s">
        <v>6</v>
      </c>
      <c r="GV8" s="47">
        <v>166</v>
      </c>
      <c r="GW8" s="47">
        <v>51</v>
      </c>
      <c r="GX8" s="47"/>
      <c r="GY8" s="47">
        <v>60</v>
      </c>
      <c r="GZ8" s="47">
        <v>79</v>
      </c>
      <c r="HA8" s="47">
        <v>15</v>
      </c>
      <c r="HB8" s="47">
        <v>83</v>
      </c>
      <c r="HC8" s="47">
        <v>0</v>
      </c>
      <c r="HD8" s="47">
        <v>5</v>
      </c>
      <c r="HE8" s="47">
        <v>12</v>
      </c>
      <c r="HF8" s="47">
        <v>321</v>
      </c>
      <c r="HG8" s="47">
        <v>277</v>
      </c>
      <c r="HH8" s="47">
        <v>0</v>
      </c>
      <c r="HI8" s="47">
        <v>3</v>
      </c>
      <c r="HJ8" s="47">
        <v>1072</v>
      </c>
      <c r="HK8" s="1067">
        <f t="shared" si="1"/>
        <v>0.14171122994652408</v>
      </c>
      <c r="HL8" s="47"/>
      <c r="HM8" s="420"/>
      <c r="HN8" s="420"/>
      <c r="HO8" s="420" t="s">
        <v>6</v>
      </c>
      <c r="HP8" s="1068">
        <v>130</v>
      </c>
      <c r="HQ8" s="1068">
        <v>45</v>
      </c>
      <c r="HR8" s="1068" t="s">
        <v>327</v>
      </c>
      <c r="HS8" s="1068">
        <v>67</v>
      </c>
      <c r="HT8" s="1068">
        <v>75</v>
      </c>
      <c r="HU8" s="1068">
        <v>13</v>
      </c>
      <c r="HV8" s="1068">
        <v>103</v>
      </c>
      <c r="HW8" s="1068" t="s">
        <v>327</v>
      </c>
      <c r="HX8" s="1068">
        <v>34</v>
      </c>
      <c r="HY8" s="1068">
        <v>11</v>
      </c>
      <c r="HZ8" s="1068">
        <v>280</v>
      </c>
      <c r="IA8" s="1068" t="s">
        <v>327</v>
      </c>
      <c r="IB8" s="1068">
        <v>758</v>
      </c>
      <c r="IC8" s="1068">
        <f t="shared" si="2"/>
        <v>99</v>
      </c>
      <c r="ID8" s="1069">
        <f t="shared" si="3"/>
        <v>0.13060686015831136</v>
      </c>
      <c r="IE8" s="47"/>
      <c r="IF8" s="47"/>
    </row>
    <row r="9" spans="1:240">
      <c r="A9" s="41"/>
      <c r="B9" s="41"/>
      <c r="C9" s="41" t="s">
        <v>7</v>
      </c>
      <c r="D9" s="105">
        <v>130</v>
      </c>
      <c r="E9" s="105">
        <v>113</v>
      </c>
      <c r="F9" s="105"/>
      <c r="G9" s="105">
        <v>38</v>
      </c>
      <c r="H9" s="105">
        <v>77</v>
      </c>
      <c r="I9" s="105">
        <v>20</v>
      </c>
      <c r="J9" s="105">
        <v>9</v>
      </c>
      <c r="K9" s="105"/>
      <c r="L9" s="105"/>
      <c r="M9" s="105">
        <v>18</v>
      </c>
      <c r="N9" s="105">
        <v>11</v>
      </c>
      <c r="O9" s="105">
        <v>20</v>
      </c>
      <c r="P9" s="105">
        <v>182</v>
      </c>
      <c r="Q9" s="105">
        <v>1</v>
      </c>
      <c r="R9" s="105">
        <v>619</v>
      </c>
      <c r="S9" s="706">
        <f t="shared" si="4"/>
        <v>0.1806020066889632</v>
      </c>
      <c r="T9" s="5561">
        <f t="shared" si="5"/>
        <v>2</v>
      </c>
      <c r="U9" s="5562">
        <v>617</v>
      </c>
      <c r="V9" s="706"/>
      <c r="Y9" s="41" t="s">
        <v>7</v>
      </c>
      <c r="Z9" s="41">
        <v>85</v>
      </c>
      <c r="AA9" s="41">
        <v>83</v>
      </c>
      <c r="AB9" s="41"/>
      <c r="AC9" s="41">
        <v>35</v>
      </c>
      <c r="AD9" s="41">
        <v>107</v>
      </c>
      <c r="AE9" s="41">
        <v>17</v>
      </c>
      <c r="AF9" s="41">
        <v>139</v>
      </c>
      <c r="AG9" s="41">
        <v>0</v>
      </c>
      <c r="AH9" s="41"/>
      <c r="AI9" s="41">
        <v>27</v>
      </c>
      <c r="AJ9" s="41">
        <v>11</v>
      </c>
      <c r="AK9" s="41">
        <v>23</v>
      </c>
      <c r="AL9" s="41">
        <v>152</v>
      </c>
      <c r="AM9" s="41">
        <v>2</v>
      </c>
      <c r="AN9" s="461">
        <v>681</v>
      </c>
      <c r="AO9" s="4692">
        <f t="shared" si="6"/>
        <v>0.20579268292682926</v>
      </c>
      <c r="AQ9" s="1788"/>
      <c r="AR9" s="1788"/>
      <c r="AS9" s="37" t="s">
        <v>7</v>
      </c>
      <c r="AT9" s="1788">
        <v>125</v>
      </c>
      <c r="AU9" s="1788">
        <v>90</v>
      </c>
      <c r="AV9" s="1788"/>
      <c r="AW9" s="1788">
        <v>35</v>
      </c>
      <c r="AX9" s="1788">
        <v>78</v>
      </c>
      <c r="AY9" s="1788">
        <v>27</v>
      </c>
      <c r="AZ9" s="1788">
        <v>76</v>
      </c>
      <c r="BA9" s="1788"/>
      <c r="BB9" s="1788"/>
      <c r="BC9" s="1788">
        <v>38</v>
      </c>
      <c r="BD9" s="1788">
        <v>11</v>
      </c>
      <c r="BE9" s="1788">
        <v>23</v>
      </c>
      <c r="BF9" s="1788">
        <v>160</v>
      </c>
      <c r="BG9" s="1788">
        <v>1</v>
      </c>
      <c r="BH9" s="1788">
        <v>664</v>
      </c>
      <c r="BI9" s="4701">
        <f t="shared" si="7"/>
        <v>0.18124999999999999</v>
      </c>
      <c r="BK9" s="41"/>
      <c r="BL9" s="41"/>
      <c r="BM9" s="41" t="s">
        <v>7</v>
      </c>
      <c r="BN9" s="105">
        <v>131</v>
      </c>
      <c r="BO9" s="105">
        <v>86</v>
      </c>
      <c r="BP9" s="105"/>
      <c r="BQ9" s="105">
        <v>1</v>
      </c>
      <c r="BR9" s="105">
        <v>83</v>
      </c>
      <c r="BS9" s="105">
        <v>14</v>
      </c>
      <c r="BT9" s="105">
        <v>68</v>
      </c>
      <c r="BU9" s="105"/>
      <c r="BV9" s="105"/>
      <c r="BW9" s="105">
        <v>43</v>
      </c>
      <c r="BX9" s="105">
        <v>13</v>
      </c>
      <c r="BY9" s="105">
        <v>23</v>
      </c>
      <c r="BZ9" s="105">
        <v>182</v>
      </c>
      <c r="CA9" s="105"/>
      <c r="CB9" s="105">
        <v>644</v>
      </c>
      <c r="CC9" s="2484">
        <f t="shared" si="8"/>
        <v>0.17713365539452497</v>
      </c>
      <c r="CE9" s="41"/>
      <c r="CF9" s="41"/>
      <c r="CG9" s="41" t="s">
        <v>7</v>
      </c>
      <c r="CH9" s="105">
        <v>144</v>
      </c>
      <c r="CI9" s="105">
        <v>85</v>
      </c>
      <c r="CJ9" s="105"/>
      <c r="CK9" s="105">
        <v>34</v>
      </c>
      <c r="CL9" s="105">
        <v>62</v>
      </c>
      <c r="CM9" s="105">
        <v>19</v>
      </c>
      <c r="CN9" s="105">
        <v>53</v>
      </c>
      <c r="CO9" s="105"/>
      <c r="CP9" s="105"/>
      <c r="CQ9" s="105">
        <v>37</v>
      </c>
      <c r="CR9" s="105">
        <v>18</v>
      </c>
      <c r="CS9" s="105">
        <v>17</v>
      </c>
      <c r="CT9" s="105">
        <v>192</v>
      </c>
      <c r="CU9" s="105">
        <v>2</v>
      </c>
      <c r="CV9" s="105">
        <v>663</v>
      </c>
      <c r="CW9" s="1644">
        <f t="shared" si="0"/>
        <v>0.15372670807453417</v>
      </c>
      <c r="CX9"/>
      <c r="CY9" s="41"/>
      <c r="CZ9" s="41"/>
      <c r="DA9" s="41" t="s">
        <v>7</v>
      </c>
      <c r="DB9" s="105">
        <v>143</v>
      </c>
      <c r="DC9" s="105">
        <v>82</v>
      </c>
      <c r="DD9" s="105"/>
      <c r="DE9" s="105">
        <v>33</v>
      </c>
      <c r="DF9" s="105">
        <v>52</v>
      </c>
      <c r="DG9" s="105">
        <v>10</v>
      </c>
      <c r="DH9" s="105">
        <v>48</v>
      </c>
      <c r="DI9" s="105">
        <v>8</v>
      </c>
      <c r="DJ9" s="105"/>
      <c r="DK9" s="105">
        <v>38</v>
      </c>
      <c r="DL9" s="105">
        <v>8</v>
      </c>
      <c r="DM9" s="105">
        <v>8</v>
      </c>
      <c r="DN9" s="105">
        <v>184</v>
      </c>
      <c r="DO9" s="105">
        <v>1</v>
      </c>
      <c r="DP9" s="105">
        <v>615</v>
      </c>
      <c r="DQ9" s="1644">
        <f t="shared" si="9"/>
        <v>0.11551155115511551</v>
      </c>
      <c r="DS9" s="1311"/>
      <c r="DT9" s="1311"/>
      <c r="DU9" s="1319" t="s">
        <v>7</v>
      </c>
      <c r="DV9" s="1320">
        <v>149</v>
      </c>
      <c r="DW9" s="1320">
        <v>76</v>
      </c>
      <c r="DX9" s="1321"/>
      <c r="DY9" s="1320">
        <v>31</v>
      </c>
      <c r="DZ9" s="1320">
        <v>46</v>
      </c>
      <c r="EA9" s="1320">
        <v>4</v>
      </c>
      <c r="EB9" s="1320">
        <v>25</v>
      </c>
      <c r="EC9" s="1321"/>
      <c r="ED9" s="1321"/>
      <c r="EE9" s="1320">
        <v>32</v>
      </c>
      <c r="EF9" s="1320">
        <v>7</v>
      </c>
      <c r="EG9" s="1320">
        <v>6</v>
      </c>
      <c r="EH9" s="1320">
        <v>190</v>
      </c>
      <c r="EI9" s="1320">
        <v>1</v>
      </c>
      <c r="EJ9" s="1320">
        <v>567</v>
      </c>
      <c r="EK9" s="1322">
        <f t="shared" si="10"/>
        <v>0.10178571428571428</v>
      </c>
      <c r="EM9" s="1047"/>
      <c r="EN9" s="1047"/>
      <c r="EO9" s="1060" t="s">
        <v>7</v>
      </c>
      <c r="EP9" s="1061">
        <v>124</v>
      </c>
      <c r="EQ9" s="1061">
        <v>63</v>
      </c>
      <c r="ER9" s="1047"/>
      <c r="ES9" s="1061">
        <v>37</v>
      </c>
      <c r="ET9" s="1061">
        <v>42</v>
      </c>
      <c r="EU9" s="1061">
        <v>5</v>
      </c>
      <c r="EV9" s="1061">
        <v>61</v>
      </c>
      <c r="EW9" s="1047"/>
      <c r="EX9" s="1061">
        <v>0</v>
      </c>
      <c r="EY9" s="1061">
        <v>17</v>
      </c>
      <c r="EZ9" s="1061">
        <v>5</v>
      </c>
      <c r="FA9" s="1061">
        <v>170</v>
      </c>
      <c r="FB9" s="1061">
        <v>0</v>
      </c>
      <c r="FC9" s="1061">
        <v>524</v>
      </c>
      <c r="FD9" s="537">
        <f t="shared" si="11"/>
        <v>9.9236641221374045E-2</v>
      </c>
      <c r="FF9" s="652"/>
      <c r="FG9" s="652"/>
      <c r="FH9" s="1062" t="s">
        <v>7</v>
      </c>
      <c r="FI9" s="1063">
        <v>112</v>
      </c>
      <c r="FJ9" s="1063">
        <v>66</v>
      </c>
      <c r="FK9" s="1063">
        <v>0</v>
      </c>
      <c r="FL9" s="1063">
        <v>42</v>
      </c>
      <c r="FM9" s="1063">
        <v>34</v>
      </c>
      <c r="FN9" s="1063">
        <v>9</v>
      </c>
      <c r="FO9" s="1063">
        <v>37</v>
      </c>
      <c r="FP9" s="652"/>
      <c r="FQ9" s="1063">
        <v>0</v>
      </c>
      <c r="FR9" s="1063">
        <v>15</v>
      </c>
      <c r="FS9" s="1063">
        <v>5</v>
      </c>
      <c r="FT9" s="1063">
        <v>188</v>
      </c>
      <c r="FU9" s="1063">
        <v>0</v>
      </c>
      <c r="FV9" s="1063">
        <v>508</v>
      </c>
      <c r="FW9" s="537">
        <f t="shared" si="12"/>
        <v>9.4488188976377951E-2</v>
      </c>
      <c r="FY9" s="817"/>
      <c r="FZ9" s="817"/>
      <c r="GA9" s="1064" t="s">
        <v>7</v>
      </c>
      <c r="GB9" s="1065">
        <v>96</v>
      </c>
      <c r="GC9" s="1065">
        <v>39</v>
      </c>
      <c r="GD9" s="1065">
        <v>0</v>
      </c>
      <c r="GE9" s="1065">
        <v>45</v>
      </c>
      <c r="GF9" s="1065">
        <v>26</v>
      </c>
      <c r="GG9" s="1065">
        <v>11</v>
      </c>
      <c r="GH9" s="1065">
        <v>40</v>
      </c>
      <c r="GI9" s="1065">
        <v>0</v>
      </c>
      <c r="GJ9" s="1065">
        <v>14</v>
      </c>
      <c r="GK9" s="1065">
        <v>2</v>
      </c>
      <c r="GL9" s="1065">
        <v>101</v>
      </c>
      <c r="GM9" s="1065">
        <v>196</v>
      </c>
      <c r="GN9" s="1065">
        <v>0</v>
      </c>
      <c r="GO9" s="1065">
        <v>3</v>
      </c>
      <c r="GP9" s="1065">
        <v>573</v>
      </c>
      <c r="GQ9" s="1066">
        <f t="shared" si="13"/>
        <v>8.3155650319829424E-2</v>
      </c>
      <c r="GS9" s="107"/>
      <c r="GT9" s="107"/>
      <c r="GU9" s="47" t="s">
        <v>7</v>
      </c>
      <c r="GV9" s="47">
        <v>92</v>
      </c>
      <c r="GW9" s="47">
        <v>41</v>
      </c>
      <c r="GX9" s="47"/>
      <c r="GY9" s="47">
        <v>50</v>
      </c>
      <c r="GZ9" s="47">
        <v>25</v>
      </c>
      <c r="HA9" s="47">
        <v>9</v>
      </c>
      <c r="HB9" s="47">
        <v>36</v>
      </c>
      <c r="HC9" s="47">
        <v>0</v>
      </c>
      <c r="HD9" s="47">
        <v>5</v>
      </c>
      <c r="HE9" s="47">
        <v>4</v>
      </c>
      <c r="HF9" s="47">
        <v>96</v>
      </c>
      <c r="HG9" s="47">
        <v>174</v>
      </c>
      <c r="HH9" s="47">
        <v>0</v>
      </c>
      <c r="HI9" s="47">
        <v>2</v>
      </c>
      <c r="HJ9" s="47">
        <v>534</v>
      </c>
      <c r="HK9" s="1067">
        <f t="shared" si="1"/>
        <v>8.7155963302752298E-2</v>
      </c>
      <c r="HL9" s="47"/>
      <c r="HM9" s="420"/>
      <c r="HN9" s="420"/>
      <c r="HO9" s="420" t="s">
        <v>7</v>
      </c>
      <c r="HP9" s="1068">
        <v>65</v>
      </c>
      <c r="HQ9" s="1068">
        <v>30</v>
      </c>
      <c r="HR9" s="1068" t="s">
        <v>327</v>
      </c>
      <c r="HS9" s="1068">
        <v>51</v>
      </c>
      <c r="HT9" s="1068">
        <v>19</v>
      </c>
      <c r="HU9" s="1068">
        <v>9</v>
      </c>
      <c r="HV9" s="1068">
        <v>53</v>
      </c>
      <c r="HW9" s="1068" t="s">
        <v>327</v>
      </c>
      <c r="HX9" s="1068">
        <v>28</v>
      </c>
      <c r="HY9" s="1068">
        <v>1</v>
      </c>
      <c r="HZ9" s="1068">
        <v>172</v>
      </c>
      <c r="IA9" s="1068" t="s">
        <v>327</v>
      </c>
      <c r="IB9" s="1068">
        <v>428</v>
      </c>
      <c r="IC9" s="1068">
        <f t="shared" si="2"/>
        <v>29</v>
      </c>
      <c r="ID9" s="1069">
        <f t="shared" si="3"/>
        <v>6.7757009345794386E-2</v>
      </c>
      <c r="IE9" s="47"/>
      <c r="IF9" s="47"/>
    </row>
    <row r="10" spans="1:240">
      <c r="A10" s="41"/>
      <c r="B10" s="41"/>
      <c r="C10" s="41" t="s">
        <v>8</v>
      </c>
      <c r="D10" s="105">
        <v>181</v>
      </c>
      <c r="E10" s="105">
        <v>96</v>
      </c>
      <c r="F10" s="105"/>
      <c r="G10" s="105">
        <v>58</v>
      </c>
      <c r="H10" s="105">
        <v>81</v>
      </c>
      <c r="I10" s="105">
        <v>29</v>
      </c>
      <c r="J10" s="105">
        <v>12</v>
      </c>
      <c r="K10" s="105"/>
      <c r="L10" s="105"/>
      <c r="M10" s="105">
        <v>16</v>
      </c>
      <c r="N10" s="105">
        <v>23</v>
      </c>
      <c r="O10" s="105">
        <v>47</v>
      </c>
      <c r="P10" s="105">
        <v>195</v>
      </c>
      <c r="Q10" s="105">
        <v>1</v>
      </c>
      <c r="R10" s="105">
        <v>739</v>
      </c>
      <c r="S10" s="706">
        <f t="shared" si="4"/>
        <v>0.19247467438494936</v>
      </c>
      <c r="T10" s="5561">
        <f t="shared" si="5"/>
        <v>0</v>
      </c>
      <c r="U10" s="5562">
        <v>739</v>
      </c>
      <c r="V10" s="706"/>
      <c r="Y10" s="41" t="s">
        <v>8</v>
      </c>
      <c r="Z10" s="41">
        <v>95</v>
      </c>
      <c r="AA10" s="41">
        <v>65</v>
      </c>
      <c r="AB10" s="41"/>
      <c r="AC10" s="41">
        <v>58</v>
      </c>
      <c r="AD10" s="41">
        <v>112</v>
      </c>
      <c r="AE10" s="41">
        <v>21</v>
      </c>
      <c r="AF10" s="41">
        <v>86</v>
      </c>
      <c r="AG10" s="41">
        <v>4</v>
      </c>
      <c r="AH10" s="41"/>
      <c r="AI10" s="41">
        <v>22</v>
      </c>
      <c r="AJ10" s="41">
        <v>20</v>
      </c>
      <c r="AK10" s="41">
        <v>52</v>
      </c>
      <c r="AL10" s="41">
        <v>165</v>
      </c>
      <c r="AM10" s="41">
        <v>1</v>
      </c>
      <c r="AN10" s="461">
        <v>701</v>
      </c>
      <c r="AO10" s="4692">
        <f t="shared" si="6"/>
        <v>0.2361111111111111</v>
      </c>
      <c r="AQ10" s="1788"/>
      <c r="AR10" s="1788"/>
      <c r="AS10" s="37" t="s">
        <v>8</v>
      </c>
      <c r="AT10" s="1788">
        <v>157</v>
      </c>
      <c r="AU10" s="1788">
        <v>87</v>
      </c>
      <c r="AV10" s="1788"/>
      <c r="AW10" s="1788">
        <v>60</v>
      </c>
      <c r="AX10" s="1788">
        <v>83</v>
      </c>
      <c r="AY10" s="1788">
        <v>22</v>
      </c>
      <c r="AZ10" s="1788">
        <v>46</v>
      </c>
      <c r="BA10" s="1788"/>
      <c r="BB10" s="1788"/>
      <c r="BC10" s="1788">
        <v>25</v>
      </c>
      <c r="BD10" s="1788">
        <v>12</v>
      </c>
      <c r="BE10" s="1788">
        <v>51</v>
      </c>
      <c r="BF10" s="1788">
        <v>174</v>
      </c>
      <c r="BG10" s="1788">
        <v>1</v>
      </c>
      <c r="BH10" s="1788">
        <v>718</v>
      </c>
      <c r="BI10" s="4701">
        <f t="shared" si="7"/>
        <v>0.17567567567567569</v>
      </c>
      <c r="BK10" s="41"/>
      <c r="BL10" s="41"/>
      <c r="BM10" s="41" t="s">
        <v>8</v>
      </c>
      <c r="BN10" s="105">
        <v>163</v>
      </c>
      <c r="BO10" s="105">
        <v>68</v>
      </c>
      <c r="BP10" s="105"/>
      <c r="BQ10" s="105">
        <v>2</v>
      </c>
      <c r="BR10" s="105">
        <v>87</v>
      </c>
      <c r="BS10" s="105">
        <v>14</v>
      </c>
      <c r="BT10" s="105">
        <v>52</v>
      </c>
      <c r="BU10" s="105"/>
      <c r="BV10" s="105"/>
      <c r="BW10" s="105">
        <v>28</v>
      </c>
      <c r="BX10" s="105">
        <v>12</v>
      </c>
      <c r="BY10" s="105">
        <v>51</v>
      </c>
      <c r="BZ10" s="105">
        <v>170</v>
      </c>
      <c r="CA10" s="105"/>
      <c r="CB10" s="105">
        <v>647</v>
      </c>
      <c r="CC10" s="2484">
        <f t="shared" si="8"/>
        <v>0.18959731543624161</v>
      </c>
      <c r="CE10" s="41"/>
      <c r="CF10" s="41"/>
      <c r="CG10" s="41" t="s">
        <v>8</v>
      </c>
      <c r="CH10" s="105">
        <v>150</v>
      </c>
      <c r="CI10" s="105">
        <v>82</v>
      </c>
      <c r="CJ10" s="105"/>
      <c r="CK10" s="105">
        <v>46</v>
      </c>
      <c r="CL10" s="105">
        <v>66</v>
      </c>
      <c r="CM10" s="105">
        <v>16</v>
      </c>
      <c r="CN10" s="105">
        <v>34</v>
      </c>
      <c r="CO10" s="105"/>
      <c r="CP10" s="105"/>
      <c r="CQ10" s="105">
        <v>30</v>
      </c>
      <c r="CR10" s="105">
        <v>9</v>
      </c>
      <c r="CS10" s="105">
        <v>38</v>
      </c>
      <c r="CT10" s="105">
        <v>147</v>
      </c>
      <c r="CU10" s="105">
        <v>1</v>
      </c>
      <c r="CV10" s="105">
        <v>619</v>
      </c>
      <c r="CW10" s="1644">
        <f t="shared" si="0"/>
        <v>0.15689655172413794</v>
      </c>
      <c r="CX10"/>
      <c r="CY10" s="41"/>
      <c r="CZ10" s="41"/>
      <c r="DA10" s="41" t="s">
        <v>8</v>
      </c>
      <c r="DB10" s="105">
        <v>131</v>
      </c>
      <c r="DC10" s="105">
        <v>82</v>
      </c>
      <c r="DD10" s="105"/>
      <c r="DE10" s="105">
        <v>42</v>
      </c>
      <c r="DF10" s="105">
        <v>66</v>
      </c>
      <c r="DG10" s="105">
        <v>11</v>
      </c>
      <c r="DH10" s="105">
        <v>25</v>
      </c>
      <c r="DI10" s="105">
        <v>3</v>
      </c>
      <c r="DJ10" s="105"/>
      <c r="DK10" s="105">
        <v>16</v>
      </c>
      <c r="DL10" s="105">
        <v>5</v>
      </c>
      <c r="DM10" s="105">
        <v>21</v>
      </c>
      <c r="DN10" s="105">
        <v>124</v>
      </c>
      <c r="DO10" s="105">
        <v>1</v>
      </c>
      <c r="DP10" s="105">
        <v>527</v>
      </c>
      <c r="DQ10" s="1644">
        <f t="shared" si="9"/>
        <v>0.16237623762376238</v>
      </c>
      <c r="DS10" s="1311"/>
      <c r="DT10" s="1311"/>
      <c r="DU10" s="1319" t="s">
        <v>8</v>
      </c>
      <c r="DV10" s="1320">
        <v>128</v>
      </c>
      <c r="DW10" s="1320">
        <v>65</v>
      </c>
      <c r="DX10" s="1321"/>
      <c r="DY10" s="1320">
        <v>41</v>
      </c>
      <c r="DZ10" s="1320">
        <v>73</v>
      </c>
      <c r="EA10" s="1320">
        <v>9</v>
      </c>
      <c r="EB10" s="1320">
        <v>36</v>
      </c>
      <c r="EC10" s="1321"/>
      <c r="ED10" s="1321"/>
      <c r="EE10" s="1320">
        <v>17</v>
      </c>
      <c r="EF10" s="1320">
        <v>6</v>
      </c>
      <c r="EG10" s="1320">
        <v>12</v>
      </c>
      <c r="EH10" s="1320">
        <v>113</v>
      </c>
      <c r="EI10" s="1320">
        <v>1</v>
      </c>
      <c r="EJ10" s="1320">
        <v>501</v>
      </c>
      <c r="EK10" s="1322">
        <f t="shared" si="10"/>
        <v>0.18032786885245902</v>
      </c>
      <c r="EM10" s="1047"/>
      <c r="EN10" s="1047"/>
      <c r="EO10" s="1060" t="s">
        <v>8</v>
      </c>
      <c r="EP10" s="1061">
        <v>99</v>
      </c>
      <c r="EQ10" s="1061">
        <v>49</v>
      </c>
      <c r="ER10" s="1047"/>
      <c r="ES10" s="1061">
        <v>37</v>
      </c>
      <c r="ET10" s="1061">
        <v>75</v>
      </c>
      <c r="EU10" s="1061">
        <v>10</v>
      </c>
      <c r="EV10" s="1061">
        <v>23</v>
      </c>
      <c r="EW10" s="1047"/>
      <c r="EX10" s="1061">
        <v>0</v>
      </c>
      <c r="EY10" s="1061">
        <v>24</v>
      </c>
      <c r="EZ10" s="1061">
        <v>6</v>
      </c>
      <c r="FA10" s="1061">
        <v>106</v>
      </c>
      <c r="FB10" s="1061">
        <v>0</v>
      </c>
      <c r="FC10" s="1061">
        <v>429</v>
      </c>
      <c r="FD10" s="537">
        <f t="shared" si="11"/>
        <v>0.21212121212121213</v>
      </c>
      <c r="FF10" s="652"/>
      <c r="FG10" s="652"/>
      <c r="FH10" s="1062" t="s">
        <v>8</v>
      </c>
      <c r="FI10" s="1063">
        <v>111</v>
      </c>
      <c r="FJ10" s="1063">
        <v>29</v>
      </c>
      <c r="FK10" s="1063">
        <v>0</v>
      </c>
      <c r="FL10" s="1063">
        <v>37</v>
      </c>
      <c r="FM10" s="1063">
        <v>64</v>
      </c>
      <c r="FN10" s="1063">
        <v>6</v>
      </c>
      <c r="FO10" s="1063">
        <v>21</v>
      </c>
      <c r="FP10" s="652"/>
      <c r="FQ10" s="1063">
        <v>0</v>
      </c>
      <c r="FR10" s="1063">
        <v>7</v>
      </c>
      <c r="FS10" s="1063">
        <v>8</v>
      </c>
      <c r="FT10" s="1063">
        <v>97</v>
      </c>
      <c r="FU10" s="1063">
        <v>0</v>
      </c>
      <c r="FV10" s="1063">
        <v>380</v>
      </c>
      <c r="FW10" s="537">
        <f t="shared" si="12"/>
        <v>0.20526315789473684</v>
      </c>
      <c r="FY10" s="817"/>
      <c r="FZ10" s="817"/>
      <c r="GA10" s="1064" t="s">
        <v>8</v>
      </c>
      <c r="GB10" s="1065">
        <v>91</v>
      </c>
      <c r="GC10" s="1065">
        <v>23</v>
      </c>
      <c r="GD10" s="1065">
        <v>0</v>
      </c>
      <c r="GE10" s="1065">
        <v>37</v>
      </c>
      <c r="GF10" s="1065">
        <v>64</v>
      </c>
      <c r="GG10" s="1065">
        <v>4</v>
      </c>
      <c r="GH10" s="1065">
        <v>25</v>
      </c>
      <c r="GI10" s="1065">
        <v>0</v>
      </c>
      <c r="GJ10" s="1065">
        <v>8</v>
      </c>
      <c r="GK10" s="1065">
        <v>7</v>
      </c>
      <c r="GL10" s="1065">
        <v>83</v>
      </c>
      <c r="GM10" s="1065">
        <v>97</v>
      </c>
      <c r="GN10" s="1065">
        <v>0</v>
      </c>
      <c r="GO10" s="1065">
        <v>1</v>
      </c>
      <c r="GP10" s="1065">
        <v>440</v>
      </c>
      <c r="GQ10" s="1066">
        <f t="shared" si="13"/>
        <v>0.21067415730337077</v>
      </c>
      <c r="GS10" s="107"/>
      <c r="GT10" s="107"/>
      <c r="GU10" s="47" t="s">
        <v>8</v>
      </c>
      <c r="GV10" s="47">
        <v>80</v>
      </c>
      <c r="GW10" s="47">
        <v>27</v>
      </c>
      <c r="GX10" s="47"/>
      <c r="GY10" s="47">
        <v>36</v>
      </c>
      <c r="GZ10" s="47">
        <v>63</v>
      </c>
      <c r="HA10" s="47">
        <v>6</v>
      </c>
      <c r="HB10" s="47">
        <v>32</v>
      </c>
      <c r="HC10" s="47">
        <v>0</v>
      </c>
      <c r="HD10" s="47">
        <v>5</v>
      </c>
      <c r="HE10" s="47">
        <v>3</v>
      </c>
      <c r="HF10" s="47">
        <v>74</v>
      </c>
      <c r="HG10" s="47">
        <v>90</v>
      </c>
      <c r="HH10" s="47">
        <v>0</v>
      </c>
      <c r="HI10" s="47">
        <v>1</v>
      </c>
      <c r="HJ10" s="47">
        <v>417</v>
      </c>
      <c r="HK10" s="1067">
        <f t="shared" si="1"/>
        <v>0.21052631578947367</v>
      </c>
      <c r="HL10" s="47"/>
      <c r="HM10" s="420"/>
      <c r="HN10" s="420"/>
      <c r="HO10" s="420" t="s">
        <v>8</v>
      </c>
      <c r="HP10" s="1068">
        <v>68</v>
      </c>
      <c r="HQ10" s="1068">
        <v>19</v>
      </c>
      <c r="HR10" s="1068" t="s">
        <v>327</v>
      </c>
      <c r="HS10" s="1068">
        <v>40</v>
      </c>
      <c r="HT10" s="1068">
        <v>64</v>
      </c>
      <c r="HU10" s="1068">
        <v>7</v>
      </c>
      <c r="HV10" s="1068">
        <v>38</v>
      </c>
      <c r="HW10" s="1068" t="s">
        <v>327</v>
      </c>
      <c r="HX10" s="1068">
        <v>17</v>
      </c>
      <c r="HY10" s="1068">
        <v>4</v>
      </c>
      <c r="HZ10" s="1068">
        <v>102</v>
      </c>
      <c r="IA10" s="1068" t="s">
        <v>327</v>
      </c>
      <c r="IB10" s="1068">
        <v>359</v>
      </c>
      <c r="IC10" s="1068">
        <f t="shared" si="2"/>
        <v>75</v>
      </c>
      <c r="ID10" s="1069">
        <f t="shared" si="3"/>
        <v>0.20891364902506965</v>
      </c>
      <c r="IE10" s="47"/>
      <c r="IF10" s="47"/>
    </row>
    <row r="11" spans="1:240">
      <c r="A11" s="41"/>
      <c r="B11" s="41"/>
      <c r="C11" s="41" t="s">
        <v>9</v>
      </c>
      <c r="D11" s="105">
        <v>171</v>
      </c>
      <c r="E11" s="105">
        <v>92</v>
      </c>
      <c r="F11" s="105"/>
      <c r="G11" s="105">
        <v>43</v>
      </c>
      <c r="H11" s="105">
        <v>206</v>
      </c>
      <c r="I11" s="105">
        <v>55</v>
      </c>
      <c r="J11" s="105">
        <v>7</v>
      </c>
      <c r="K11" s="105"/>
      <c r="L11" s="105"/>
      <c r="M11" s="105">
        <v>19</v>
      </c>
      <c r="N11" s="105">
        <v>39</v>
      </c>
      <c r="O11" s="105">
        <v>63</v>
      </c>
      <c r="P11" s="105">
        <v>247</v>
      </c>
      <c r="Q11" s="105">
        <v>1</v>
      </c>
      <c r="R11" s="105">
        <v>943</v>
      </c>
      <c r="S11" s="706">
        <f t="shared" si="4"/>
        <v>0.34129692832764508</v>
      </c>
      <c r="T11" s="5561">
        <f t="shared" si="5"/>
        <v>4</v>
      </c>
      <c r="U11" s="5562">
        <v>939</v>
      </c>
      <c r="V11" s="706"/>
      <c r="Y11" s="41" t="s">
        <v>9</v>
      </c>
      <c r="Z11" s="41">
        <v>88</v>
      </c>
      <c r="AA11" s="41">
        <v>72</v>
      </c>
      <c r="AB11" s="41"/>
      <c r="AC11" s="41">
        <v>43</v>
      </c>
      <c r="AD11" s="41">
        <v>317</v>
      </c>
      <c r="AE11" s="41">
        <v>71</v>
      </c>
      <c r="AF11" s="41">
        <v>194</v>
      </c>
      <c r="AG11" s="41">
        <v>6</v>
      </c>
      <c r="AH11" s="41"/>
      <c r="AI11" s="41">
        <v>21</v>
      </c>
      <c r="AJ11" s="41">
        <v>43</v>
      </c>
      <c r="AK11" s="41">
        <v>66</v>
      </c>
      <c r="AL11" s="41">
        <v>206</v>
      </c>
      <c r="AM11" s="41">
        <v>2</v>
      </c>
      <c r="AN11" s="461">
        <v>1129</v>
      </c>
      <c r="AO11" s="4692">
        <f t="shared" si="6"/>
        <v>0.4062205466540999</v>
      </c>
      <c r="AQ11" s="1788"/>
      <c r="AR11" s="1788"/>
      <c r="AS11" s="37" t="s">
        <v>9</v>
      </c>
      <c r="AT11" s="1788">
        <v>139</v>
      </c>
      <c r="AU11" s="1788">
        <v>79</v>
      </c>
      <c r="AV11" s="1788"/>
      <c r="AW11" s="1788">
        <v>40</v>
      </c>
      <c r="AX11" s="1788">
        <v>215</v>
      </c>
      <c r="AY11" s="1788">
        <v>74</v>
      </c>
      <c r="AZ11" s="1788">
        <v>91</v>
      </c>
      <c r="BA11" s="1788"/>
      <c r="BB11" s="1788"/>
      <c r="BC11" s="1788">
        <v>30</v>
      </c>
      <c r="BD11" s="1788">
        <v>43</v>
      </c>
      <c r="BE11" s="1788">
        <v>65</v>
      </c>
      <c r="BF11" s="1788">
        <v>213</v>
      </c>
      <c r="BG11" s="1788">
        <v>1</v>
      </c>
      <c r="BH11" s="1788">
        <v>990</v>
      </c>
      <c r="BI11" s="4701">
        <f t="shared" si="7"/>
        <v>0.3593073593073593</v>
      </c>
      <c r="BK11" s="41"/>
      <c r="BL11" s="41"/>
      <c r="BM11" s="41" t="s">
        <v>9</v>
      </c>
      <c r="BN11" s="105">
        <v>170</v>
      </c>
      <c r="BO11" s="105">
        <v>87</v>
      </c>
      <c r="BP11" s="105"/>
      <c r="BQ11" s="105">
        <v>1</v>
      </c>
      <c r="BR11" s="105">
        <v>281</v>
      </c>
      <c r="BS11" s="105">
        <v>37</v>
      </c>
      <c r="BT11" s="105">
        <v>112</v>
      </c>
      <c r="BU11" s="105"/>
      <c r="BV11" s="105"/>
      <c r="BW11" s="105">
        <v>41</v>
      </c>
      <c r="BX11" s="105">
        <v>50</v>
      </c>
      <c r="BY11" s="105">
        <v>65</v>
      </c>
      <c r="BZ11" s="105">
        <v>241</v>
      </c>
      <c r="CA11" s="105"/>
      <c r="CB11" s="105">
        <v>1085</v>
      </c>
      <c r="CC11" s="2484">
        <f t="shared" si="8"/>
        <v>0.36078431372549019</v>
      </c>
      <c r="CE11" s="41"/>
      <c r="CF11" s="41"/>
      <c r="CG11" s="41" t="s">
        <v>9</v>
      </c>
      <c r="CH11" s="105">
        <v>187</v>
      </c>
      <c r="CI11" s="105">
        <v>111</v>
      </c>
      <c r="CJ11" s="105"/>
      <c r="CK11" s="105">
        <v>60</v>
      </c>
      <c r="CL11" s="105">
        <v>263</v>
      </c>
      <c r="CM11" s="105">
        <v>54</v>
      </c>
      <c r="CN11" s="105">
        <v>136</v>
      </c>
      <c r="CO11" s="105"/>
      <c r="CP11" s="105"/>
      <c r="CQ11" s="105">
        <v>41</v>
      </c>
      <c r="CR11" s="105">
        <v>68</v>
      </c>
      <c r="CS11" s="105">
        <v>49</v>
      </c>
      <c r="CT11" s="105">
        <v>269</v>
      </c>
      <c r="CU11" s="105">
        <v>2</v>
      </c>
      <c r="CV11" s="105">
        <v>1240</v>
      </c>
      <c r="CW11" s="1644">
        <f t="shared" si="0"/>
        <v>0.32380151387720774</v>
      </c>
      <c r="CX11"/>
      <c r="CY11" s="41"/>
      <c r="CZ11" s="41"/>
      <c r="DA11" s="41" t="s">
        <v>9</v>
      </c>
      <c r="DB11" s="105">
        <v>217</v>
      </c>
      <c r="DC11" s="105">
        <v>146</v>
      </c>
      <c r="DD11" s="105"/>
      <c r="DE11" s="105">
        <v>66</v>
      </c>
      <c r="DF11" s="105">
        <v>273</v>
      </c>
      <c r="DG11" s="105">
        <v>47</v>
      </c>
      <c r="DH11" s="105">
        <v>126</v>
      </c>
      <c r="DI11" s="105">
        <v>18</v>
      </c>
      <c r="DJ11" s="105"/>
      <c r="DK11" s="105">
        <v>43</v>
      </c>
      <c r="DL11" s="105">
        <v>55</v>
      </c>
      <c r="DM11" s="105">
        <v>19</v>
      </c>
      <c r="DN11" s="105">
        <v>318</v>
      </c>
      <c r="DO11" s="105">
        <v>2</v>
      </c>
      <c r="DP11" s="105">
        <v>1330</v>
      </c>
      <c r="DQ11" s="1644">
        <f t="shared" si="9"/>
        <v>0.28647822765469827</v>
      </c>
      <c r="DS11" s="1311"/>
      <c r="DT11" s="1311"/>
      <c r="DU11" s="1319" t="s">
        <v>9</v>
      </c>
      <c r="DV11" s="1320">
        <v>305</v>
      </c>
      <c r="DW11" s="1320">
        <v>122</v>
      </c>
      <c r="DX11" s="1321"/>
      <c r="DY11" s="1320">
        <v>70</v>
      </c>
      <c r="DZ11" s="1320">
        <v>288</v>
      </c>
      <c r="EA11" s="1320">
        <v>31</v>
      </c>
      <c r="EB11" s="1320">
        <v>106</v>
      </c>
      <c r="EC11" s="1321"/>
      <c r="ED11" s="1321"/>
      <c r="EE11" s="1320">
        <v>50</v>
      </c>
      <c r="EF11" s="1320">
        <v>53</v>
      </c>
      <c r="EG11" s="1320">
        <v>9</v>
      </c>
      <c r="EH11" s="1320">
        <v>380</v>
      </c>
      <c r="EI11" s="1320">
        <v>2</v>
      </c>
      <c r="EJ11" s="1320">
        <v>1416</v>
      </c>
      <c r="EK11" s="1322">
        <f t="shared" si="10"/>
        <v>0.26476868327402137</v>
      </c>
      <c r="EM11" s="1047"/>
      <c r="EN11" s="1047"/>
      <c r="EO11" s="1060" t="s">
        <v>9</v>
      </c>
      <c r="EP11" s="1061">
        <v>300</v>
      </c>
      <c r="EQ11" s="1061">
        <v>155</v>
      </c>
      <c r="ER11" s="1047"/>
      <c r="ES11" s="1061">
        <v>89</v>
      </c>
      <c r="ET11" s="1061">
        <v>330</v>
      </c>
      <c r="EU11" s="1061">
        <v>32</v>
      </c>
      <c r="EV11" s="1061">
        <v>136</v>
      </c>
      <c r="EW11" s="1047"/>
      <c r="EX11" s="1061">
        <v>0</v>
      </c>
      <c r="EY11" s="1061">
        <v>52</v>
      </c>
      <c r="EZ11" s="1061">
        <v>45</v>
      </c>
      <c r="FA11" s="1061">
        <v>399</v>
      </c>
      <c r="FB11" s="1061">
        <v>0</v>
      </c>
      <c r="FC11" s="1061">
        <v>1538</v>
      </c>
      <c r="FD11" s="537">
        <f t="shared" si="11"/>
        <v>0.26462938881664499</v>
      </c>
      <c r="FF11" s="652"/>
      <c r="FG11" s="652"/>
      <c r="FH11" s="1062" t="s">
        <v>9</v>
      </c>
      <c r="FI11" s="1063">
        <v>305</v>
      </c>
      <c r="FJ11" s="1063">
        <v>168</v>
      </c>
      <c r="FK11" s="1063">
        <v>1</v>
      </c>
      <c r="FL11" s="1063">
        <v>106</v>
      </c>
      <c r="FM11" s="1063">
        <v>292</v>
      </c>
      <c r="FN11" s="1063">
        <v>66</v>
      </c>
      <c r="FO11" s="1063">
        <v>110</v>
      </c>
      <c r="FP11" s="652"/>
      <c r="FQ11" s="1063">
        <v>0</v>
      </c>
      <c r="FR11" s="1063">
        <v>32</v>
      </c>
      <c r="FS11" s="1063">
        <v>40</v>
      </c>
      <c r="FT11" s="1063">
        <v>426</v>
      </c>
      <c r="FU11" s="1063">
        <v>0</v>
      </c>
      <c r="FV11" s="1063">
        <v>1546</v>
      </c>
      <c r="FW11" s="537">
        <f t="shared" si="12"/>
        <v>0.25743855109961189</v>
      </c>
      <c r="FY11" s="817"/>
      <c r="FZ11" s="817"/>
      <c r="GA11" s="1064" t="s">
        <v>9</v>
      </c>
      <c r="GB11" s="1065">
        <v>343</v>
      </c>
      <c r="GC11" s="1065">
        <v>128</v>
      </c>
      <c r="GD11" s="1065">
        <v>0</v>
      </c>
      <c r="GE11" s="1065">
        <v>135</v>
      </c>
      <c r="GF11" s="1065">
        <v>272</v>
      </c>
      <c r="GG11" s="1065">
        <v>33</v>
      </c>
      <c r="GH11" s="1065">
        <v>106</v>
      </c>
      <c r="GI11" s="1065">
        <v>0</v>
      </c>
      <c r="GJ11" s="1065">
        <v>45</v>
      </c>
      <c r="GK11" s="1065">
        <v>40</v>
      </c>
      <c r="GL11" s="1065">
        <v>475</v>
      </c>
      <c r="GM11" s="1065">
        <v>488</v>
      </c>
      <c r="GN11" s="1065">
        <v>0</v>
      </c>
      <c r="GO11" s="1065">
        <v>3</v>
      </c>
      <c r="GP11" s="1065">
        <v>2068</v>
      </c>
      <c r="GQ11" s="1066">
        <f t="shared" si="13"/>
        <v>0.21698113207547171</v>
      </c>
      <c r="GS11" s="107"/>
      <c r="GT11" s="107"/>
      <c r="GU11" s="47" t="s">
        <v>9</v>
      </c>
      <c r="GV11" s="47">
        <v>328</v>
      </c>
      <c r="GW11" s="47">
        <v>117</v>
      </c>
      <c r="GX11" s="47"/>
      <c r="GY11" s="47">
        <v>143</v>
      </c>
      <c r="GZ11" s="47">
        <v>282</v>
      </c>
      <c r="HA11" s="47">
        <v>39</v>
      </c>
      <c r="HB11" s="47">
        <v>125</v>
      </c>
      <c r="HC11" s="47">
        <v>0</v>
      </c>
      <c r="HD11" s="47">
        <v>27</v>
      </c>
      <c r="HE11" s="47">
        <v>29</v>
      </c>
      <c r="HF11" s="47">
        <v>424</v>
      </c>
      <c r="HG11" s="47">
        <v>504</v>
      </c>
      <c r="HH11" s="47">
        <v>0</v>
      </c>
      <c r="HI11" s="47">
        <v>3</v>
      </c>
      <c r="HJ11" s="47">
        <v>2021</v>
      </c>
      <c r="HK11" s="1067">
        <f t="shared" si="1"/>
        <v>0.21957340025094102</v>
      </c>
      <c r="HL11" s="47"/>
      <c r="HM11" s="420"/>
      <c r="HN11" s="420"/>
      <c r="HO11" s="420" t="s">
        <v>9</v>
      </c>
      <c r="HP11" s="1068">
        <v>258</v>
      </c>
      <c r="HQ11" s="1068">
        <v>130</v>
      </c>
      <c r="HR11" s="1068" t="s">
        <v>327</v>
      </c>
      <c r="HS11" s="1068">
        <v>148</v>
      </c>
      <c r="HT11" s="1068">
        <v>272</v>
      </c>
      <c r="HU11" s="1068">
        <v>34</v>
      </c>
      <c r="HV11" s="1068">
        <v>155</v>
      </c>
      <c r="HW11" s="1068" t="s">
        <v>327</v>
      </c>
      <c r="HX11" s="1068">
        <v>79</v>
      </c>
      <c r="HY11" s="1068">
        <v>39</v>
      </c>
      <c r="HZ11" s="1068">
        <v>481</v>
      </c>
      <c r="IA11" s="1068" t="s">
        <v>327</v>
      </c>
      <c r="IB11" s="1068">
        <v>1596</v>
      </c>
      <c r="IC11" s="1068">
        <f t="shared" si="2"/>
        <v>345</v>
      </c>
      <c r="ID11" s="1069">
        <f t="shared" si="3"/>
        <v>0.21616541353383459</v>
      </c>
      <c r="IE11" s="47"/>
      <c r="IF11" s="47"/>
    </row>
    <row r="12" spans="1:240">
      <c r="A12" s="41"/>
      <c r="B12" s="41"/>
      <c r="C12" s="41" t="s">
        <v>10</v>
      </c>
      <c r="D12" s="105">
        <v>211</v>
      </c>
      <c r="E12" s="105">
        <v>97</v>
      </c>
      <c r="F12" s="105"/>
      <c r="G12" s="105">
        <v>45</v>
      </c>
      <c r="H12" s="105">
        <v>137</v>
      </c>
      <c r="I12" s="105">
        <v>49</v>
      </c>
      <c r="J12" s="105">
        <v>10</v>
      </c>
      <c r="K12" s="105"/>
      <c r="L12" s="105"/>
      <c r="M12" s="105">
        <v>22</v>
      </c>
      <c r="N12" s="105">
        <v>29</v>
      </c>
      <c r="O12" s="105">
        <v>71</v>
      </c>
      <c r="P12" s="105">
        <v>247</v>
      </c>
      <c r="Q12" s="105">
        <v>0</v>
      </c>
      <c r="R12" s="105">
        <v>918</v>
      </c>
      <c r="S12" s="706">
        <f t="shared" si="4"/>
        <v>0.25383707201889022</v>
      </c>
      <c r="T12" s="5561">
        <f t="shared" si="5"/>
        <v>1</v>
      </c>
      <c r="U12" s="5562">
        <v>917</v>
      </c>
      <c r="V12" s="706"/>
      <c r="Y12" s="41" t="s">
        <v>10</v>
      </c>
      <c r="Z12" s="41">
        <v>105</v>
      </c>
      <c r="AA12" s="41">
        <v>81</v>
      </c>
      <c r="AB12" s="41"/>
      <c r="AC12" s="41">
        <v>49</v>
      </c>
      <c r="AD12" s="41">
        <v>188</v>
      </c>
      <c r="AE12" s="41">
        <v>53</v>
      </c>
      <c r="AF12" s="41">
        <v>210</v>
      </c>
      <c r="AG12" s="41">
        <v>6</v>
      </c>
      <c r="AH12" s="41"/>
      <c r="AI12" s="41">
        <v>29</v>
      </c>
      <c r="AJ12" s="41">
        <v>30</v>
      </c>
      <c r="AK12" s="41">
        <v>81</v>
      </c>
      <c r="AL12" s="41">
        <v>203</v>
      </c>
      <c r="AM12" s="41">
        <v>0</v>
      </c>
      <c r="AN12" s="461">
        <v>1035</v>
      </c>
      <c r="AO12" s="4692">
        <f t="shared" si="6"/>
        <v>0.28406708595387842</v>
      </c>
      <c r="AQ12" s="1788"/>
      <c r="AR12" s="1788"/>
      <c r="AS12" s="37" t="s">
        <v>10</v>
      </c>
      <c r="AT12" s="1788">
        <v>173</v>
      </c>
      <c r="AU12" s="1788">
        <v>86</v>
      </c>
      <c r="AV12" s="1788"/>
      <c r="AW12" s="1788">
        <v>49</v>
      </c>
      <c r="AX12" s="1788">
        <v>134</v>
      </c>
      <c r="AY12" s="1788">
        <v>51</v>
      </c>
      <c r="AZ12" s="1788">
        <v>100</v>
      </c>
      <c r="BA12" s="1788"/>
      <c r="BB12" s="1788"/>
      <c r="BC12" s="1788">
        <v>30</v>
      </c>
      <c r="BD12" s="1788">
        <v>36</v>
      </c>
      <c r="BE12" s="1788">
        <v>75</v>
      </c>
      <c r="BF12" s="1788">
        <v>210</v>
      </c>
      <c r="BG12" s="1788">
        <v>0</v>
      </c>
      <c r="BH12" s="1788">
        <v>944</v>
      </c>
      <c r="BI12" s="4701">
        <f t="shared" si="7"/>
        <v>0.25431530494821636</v>
      </c>
      <c r="BK12" s="41"/>
      <c r="BL12" s="41"/>
      <c r="BM12" s="41" t="s">
        <v>10</v>
      </c>
      <c r="BN12" s="105">
        <v>182</v>
      </c>
      <c r="BO12" s="105">
        <v>87</v>
      </c>
      <c r="BP12" s="105"/>
      <c r="BQ12" s="105">
        <v>1</v>
      </c>
      <c r="BR12" s="105">
        <v>155</v>
      </c>
      <c r="BS12" s="105">
        <v>29</v>
      </c>
      <c r="BT12" s="105">
        <v>120</v>
      </c>
      <c r="BU12" s="105"/>
      <c r="BV12" s="105"/>
      <c r="BW12" s="105">
        <v>45</v>
      </c>
      <c r="BX12" s="105">
        <v>37</v>
      </c>
      <c r="BY12" s="105">
        <v>75</v>
      </c>
      <c r="BZ12" s="105">
        <v>253</v>
      </c>
      <c r="CA12" s="105"/>
      <c r="CB12" s="105">
        <v>984</v>
      </c>
      <c r="CC12" s="2484">
        <f t="shared" si="8"/>
        <v>0.24312431243124313</v>
      </c>
      <c r="CE12" s="41"/>
      <c r="CF12" s="41"/>
      <c r="CG12" s="41" t="s">
        <v>10</v>
      </c>
      <c r="CH12" s="105">
        <v>215</v>
      </c>
      <c r="CI12" s="105">
        <v>130</v>
      </c>
      <c r="CJ12" s="105"/>
      <c r="CK12" s="105">
        <v>55</v>
      </c>
      <c r="CL12" s="105">
        <v>140</v>
      </c>
      <c r="CM12" s="105">
        <v>32</v>
      </c>
      <c r="CN12" s="105">
        <v>95</v>
      </c>
      <c r="CO12" s="105"/>
      <c r="CP12" s="105"/>
      <c r="CQ12" s="105">
        <v>29</v>
      </c>
      <c r="CR12" s="105">
        <v>38</v>
      </c>
      <c r="CS12" s="105">
        <v>56</v>
      </c>
      <c r="CT12" s="105">
        <v>272</v>
      </c>
      <c r="CU12" s="105">
        <v>0</v>
      </c>
      <c r="CV12" s="105">
        <v>1062</v>
      </c>
      <c r="CW12" s="1644">
        <f t="shared" si="0"/>
        <v>0.20874751491053678</v>
      </c>
      <c r="CX12"/>
      <c r="CY12" s="41"/>
      <c r="CZ12" s="41"/>
      <c r="DA12" s="41" t="s">
        <v>10</v>
      </c>
      <c r="DB12" s="105">
        <v>207</v>
      </c>
      <c r="DC12" s="105">
        <v>154</v>
      </c>
      <c r="DD12" s="105"/>
      <c r="DE12" s="105">
        <v>62</v>
      </c>
      <c r="DF12" s="105">
        <v>140</v>
      </c>
      <c r="DG12" s="105">
        <v>18</v>
      </c>
      <c r="DH12" s="105">
        <v>120</v>
      </c>
      <c r="DI12" s="105">
        <v>13</v>
      </c>
      <c r="DJ12" s="105"/>
      <c r="DK12" s="105">
        <v>41</v>
      </c>
      <c r="DL12" s="105">
        <v>25</v>
      </c>
      <c r="DM12" s="105">
        <v>29</v>
      </c>
      <c r="DN12" s="105">
        <v>286</v>
      </c>
      <c r="DO12" s="105">
        <v>0</v>
      </c>
      <c r="DP12" s="105">
        <v>1095</v>
      </c>
      <c r="DQ12" s="1644">
        <f t="shared" si="9"/>
        <v>0.17166979362101314</v>
      </c>
      <c r="DS12" s="1311"/>
      <c r="DT12" s="1311"/>
      <c r="DU12" s="1319" t="s">
        <v>10</v>
      </c>
      <c r="DV12" s="1320">
        <v>263</v>
      </c>
      <c r="DW12" s="1320">
        <v>139</v>
      </c>
      <c r="DX12" s="1321"/>
      <c r="DY12" s="1320">
        <v>63</v>
      </c>
      <c r="DZ12" s="1320">
        <v>136</v>
      </c>
      <c r="EA12" s="1320">
        <v>22</v>
      </c>
      <c r="EB12" s="1320">
        <v>85</v>
      </c>
      <c r="EC12" s="1321"/>
      <c r="ED12" s="1321"/>
      <c r="EE12" s="1320">
        <v>49</v>
      </c>
      <c r="EF12" s="1320">
        <v>21</v>
      </c>
      <c r="EG12" s="1320">
        <v>20</v>
      </c>
      <c r="EH12" s="1320">
        <v>340</v>
      </c>
      <c r="EI12" s="1320">
        <v>0</v>
      </c>
      <c r="EJ12" s="1320">
        <v>1138</v>
      </c>
      <c r="EK12" s="1322">
        <f t="shared" si="10"/>
        <v>0.16010733452593917</v>
      </c>
      <c r="EM12" s="1047"/>
      <c r="EN12" s="1047"/>
      <c r="EO12" s="1060" t="s">
        <v>10</v>
      </c>
      <c r="EP12" s="1061">
        <v>265</v>
      </c>
      <c r="EQ12" s="1061">
        <v>133</v>
      </c>
      <c r="ER12" s="1047"/>
      <c r="ES12" s="1061">
        <v>75</v>
      </c>
      <c r="ET12" s="1061">
        <v>127</v>
      </c>
      <c r="EU12" s="1061">
        <v>20</v>
      </c>
      <c r="EV12" s="1061">
        <v>110</v>
      </c>
      <c r="EW12" s="1047"/>
      <c r="EX12" s="1061">
        <v>0</v>
      </c>
      <c r="EY12" s="1061">
        <v>41</v>
      </c>
      <c r="EZ12" s="1061">
        <v>19</v>
      </c>
      <c r="FA12" s="1061">
        <v>350</v>
      </c>
      <c r="FB12" s="1061">
        <v>0</v>
      </c>
      <c r="FC12" s="1061">
        <v>1140</v>
      </c>
      <c r="FD12" s="537">
        <f t="shared" si="11"/>
        <v>0.14561403508771931</v>
      </c>
      <c r="FF12" s="652"/>
      <c r="FG12" s="652"/>
      <c r="FH12" s="1062" t="s">
        <v>10</v>
      </c>
      <c r="FI12" s="1063">
        <v>228</v>
      </c>
      <c r="FJ12" s="1063">
        <v>125</v>
      </c>
      <c r="FK12" s="1063">
        <v>0</v>
      </c>
      <c r="FL12" s="1063">
        <v>81</v>
      </c>
      <c r="FM12" s="1063">
        <v>133</v>
      </c>
      <c r="FN12" s="1063">
        <v>26</v>
      </c>
      <c r="FO12" s="1063">
        <v>78</v>
      </c>
      <c r="FP12" s="652"/>
      <c r="FQ12" s="1063">
        <v>0</v>
      </c>
      <c r="FR12" s="1063">
        <v>24</v>
      </c>
      <c r="FS12" s="1063">
        <v>13</v>
      </c>
      <c r="FT12" s="1063">
        <v>358</v>
      </c>
      <c r="FU12" s="1063">
        <v>0</v>
      </c>
      <c r="FV12" s="1063">
        <v>1066</v>
      </c>
      <c r="FW12" s="537">
        <f t="shared" si="12"/>
        <v>0.16135084427767354</v>
      </c>
      <c r="FY12" s="817"/>
      <c r="FZ12" s="817"/>
      <c r="GA12" s="1064" t="s">
        <v>10</v>
      </c>
      <c r="GB12" s="1065">
        <v>239</v>
      </c>
      <c r="GC12" s="1065">
        <v>91</v>
      </c>
      <c r="GD12" s="1065">
        <v>0</v>
      </c>
      <c r="GE12" s="1065">
        <v>84</v>
      </c>
      <c r="GF12" s="1065">
        <v>124</v>
      </c>
      <c r="GG12" s="1065">
        <v>17</v>
      </c>
      <c r="GH12" s="1065">
        <v>97</v>
      </c>
      <c r="GI12" s="1065">
        <v>0</v>
      </c>
      <c r="GJ12" s="1065">
        <v>24</v>
      </c>
      <c r="GK12" s="1065">
        <v>18</v>
      </c>
      <c r="GL12" s="1065">
        <v>458</v>
      </c>
      <c r="GM12" s="1065">
        <v>380</v>
      </c>
      <c r="GN12" s="1065">
        <v>0</v>
      </c>
      <c r="GO12" s="1065">
        <v>3</v>
      </c>
      <c r="GP12" s="1065">
        <v>1535</v>
      </c>
      <c r="GQ12" s="1066">
        <f t="shared" si="13"/>
        <v>0.14804469273743018</v>
      </c>
      <c r="GS12" s="107"/>
      <c r="GT12" s="107"/>
      <c r="GU12" s="47" t="s">
        <v>10</v>
      </c>
      <c r="GV12" s="47">
        <v>224</v>
      </c>
      <c r="GW12" s="47">
        <v>87</v>
      </c>
      <c r="GX12" s="47"/>
      <c r="GY12" s="47">
        <v>93</v>
      </c>
      <c r="GZ12" s="47">
        <v>120</v>
      </c>
      <c r="HA12" s="47">
        <v>19</v>
      </c>
      <c r="HB12" s="47">
        <v>119</v>
      </c>
      <c r="HC12" s="47">
        <v>0</v>
      </c>
      <c r="HD12" s="47">
        <v>16</v>
      </c>
      <c r="HE12" s="47">
        <v>10</v>
      </c>
      <c r="HF12" s="47">
        <v>422</v>
      </c>
      <c r="HG12" s="47">
        <v>383</v>
      </c>
      <c r="HH12" s="47">
        <v>0</v>
      </c>
      <c r="HI12" s="47">
        <v>3</v>
      </c>
      <c r="HJ12" s="47">
        <v>1496</v>
      </c>
      <c r="HK12" s="1067">
        <f t="shared" si="1"/>
        <v>0.13912231559290383</v>
      </c>
      <c r="HL12" s="47"/>
      <c r="HM12" s="420"/>
      <c r="HN12" s="420"/>
      <c r="HO12" s="420" t="s">
        <v>10</v>
      </c>
      <c r="HP12" s="1068">
        <v>204</v>
      </c>
      <c r="HQ12" s="1068">
        <v>82</v>
      </c>
      <c r="HR12" s="1068" t="s">
        <v>327</v>
      </c>
      <c r="HS12" s="1068">
        <v>103</v>
      </c>
      <c r="HT12" s="1068">
        <v>119</v>
      </c>
      <c r="HU12" s="1068">
        <v>18</v>
      </c>
      <c r="HV12" s="1068">
        <v>112</v>
      </c>
      <c r="HW12" s="1068" t="s">
        <v>327</v>
      </c>
      <c r="HX12" s="1068">
        <v>19</v>
      </c>
      <c r="HY12" s="1068">
        <v>9</v>
      </c>
      <c r="HZ12" s="1068">
        <v>420</v>
      </c>
      <c r="IA12" s="1068" t="s">
        <v>327</v>
      </c>
      <c r="IB12" s="1068">
        <v>1086</v>
      </c>
      <c r="IC12" s="1068">
        <f t="shared" si="2"/>
        <v>146</v>
      </c>
      <c r="ID12" s="1069">
        <f t="shared" si="3"/>
        <v>0.13443830570902393</v>
      </c>
      <c r="IE12" s="47"/>
      <c r="IF12" s="47"/>
    </row>
    <row r="13" spans="1:240">
      <c r="A13" s="41"/>
      <c r="B13" s="41"/>
      <c r="C13" s="41" t="s">
        <v>11</v>
      </c>
      <c r="D13" s="105">
        <v>169</v>
      </c>
      <c r="E13" s="105">
        <v>91</v>
      </c>
      <c r="F13" s="105"/>
      <c r="G13" s="105">
        <v>34</v>
      </c>
      <c r="H13" s="105">
        <v>57</v>
      </c>
      <c r="I13" s="105">
        <v>17</v>
      </c>
      <c r="J13" s="105">
        <v>3</v>
      </c>
      <c r="K13" s="105"/>
      <c r="L13" s="105"/>
      <c r="M13" s="105">
        <v>29</v>
      </c>
      <c r="N13" s="105">
        <v>9</v>
      </c>
      <c r="O13" s="105">
        <v>24</v>
      </c>
      <c r="P13" s="105">
        <v>149</v>
      </c>
      <c r="Q13" s="105">
        <v>0</v>
      </c>
      <c r="R13" s="105">
        <v>582</v>
      </c>
      <c r="S13" s="706">
        <f t="shared" si="4"/>
        <v>0.14874551971326164</v>
      </c>
      <c r="T13" s="5561">
        <f t="shared" si="5"/>
        <v>2</v>
      </c>
      <c r="U13" s="5562">
        <v>580</v>
      </c>
      <c r="V13" s="706"/>
      <c r="Y13" s="41" t="s">
        <v>11</v>
      </c>
      <c r="Z13" s="41">
        <v>78</v>
      </c>
      <c r="AA13" s="41">
        <v>64</v>
      </c>
      <c r="AB13" s="41"/>
      <c r="AC13" s="41">
        <v>36</v>
      </c>
      <c r="AD13" s="41">
        <v>74</v>
      </c>
      <c r="AE13" s="41">
        <v>22</v>
      </c>
      <c r="AF13" s="41">
        <v>55</v>
      </c>
      <c r="AG13" s="41">
        <v>4</v>
      </c>
      <c r="AH13" s="41"/>
      <c r="AI13" s="41">
        <v>45</v>
      </c>
      <c r="AJ13" s="41">
        <v>10</v>
      </c>
      <c r="AK13" s="41">
        <v>27</v>
      </c>
      <c r="AL13" s="41">
        <v>127</v>
      </c>
      <c r="AM13" s="41">
        <v>1</v>
      </c>
      <c r="AN13" s="461">
        <v>543</v>
      </c>
      <c r="AO13" s="4692">
        <f t="shared" si="6"/>
        <v>0.2058252427184466</v>
      </c>
      <c r="AQ13" s="1788"/>
      <c r="AR13" s="1788"/>
      <c r="AS13" s="37" t="s">
        <v>11</v>
      </c>
      <c r="AT13" s="1788">
        <v>162</v>
      </c>
      <c r="AU13" s="1788">
        <v>62</v>
      </c>
      <c r="AV13" s="1788"/>
      <c r="AW13" s="1788">
        <v>39</v>
      </c>
      <c r="AX13" s="1788">
        <v>45</v>
      </c>
      <c r="AY13" s="1788">
        <v>29</v>
      </c>
      <c r="AZ13" s="1788">
        <v>38</v>
      </c>
      <c r="BA13" s="1788"/>
      <c r="BB13" s="1788"/>
      <c r="BC13" s="1788">
        <v>34</v>
      </c>
      <c r="BD13" s="1788">
        <v>14</v>
      </c>
      <c r="BE13" s="1788">
        <v>25</v>
      </c>
      <c r="BF13" s="1788">
        <v>133</v>
      </c>
      <c r="BG13" s="1788">
        <v>0</v>
      </c>
      <c r="BH13" s="1788">
        <v>581</v>
      </c>
      <c r="BI13" s="4701">
        <f t="shared" si="7"/>
        <v>0.15827338129496402</v>
      </c>
      <c r="BK13" s="41"/>
      <c r="BL13" s="41"/>
      <c r="BM13" s="41" t="s">
        <v>11</v>
      </c>
      <c r="BN13" s="105">
        <v>160</v>
      </c>
      <c r="BO13" s="105">
        <v>64</v>
      </c>
      <c r="BP13" s="105"/>
      <c r="BQ13" s="105">
        <v>0</v>
      </c>
      <c r="BR13" s="105">
        <v>52</v>
      </c>
      <c r="BS13" s="105">
        <v>10</v>
      </c>
      <c r="BT13" s="105">
        <v>20</v>
      </c>
      <c r="BU13" s="105"/>
      <c r="BV13" s="105"/>
      <c r="BW13" s="105">
        <v>30</v>
      </c>
      <c r="BX13" s="105">
        <v>13</v>
      </c>
      <c r="BY13" s="105">
        <v>25</v>
      </c>
      <c r="BZ13" s="105">
        <v>135</v>
      </c>
      <c r="CA13" s="105"/>
      <c r="CB13" s="105">
        <v>509</v>
      </c>
      <c r="CC13" s="2484">
        <f t="shared" si="8"/>
        <v>0.15495867768595042</v>
      </c>
      <c r="CE13" s="41"/>
      <c r="CF13" s="41"/>
      <c r="CG13" s="41" t="s">
        <v>11</v>
      </c>
      <c r="CH13" s="105">
        <v>132</v>
      </c>
      <c r="CI13" s="105">
        <v>70</v>
      </c>
      <c r="CJ13" s="105"/>
      <c r="CK13" s="105">
        <v>34</v>
      </c>
      <c r="CL13" s="105">
        <v>48</v>
      </c>
      <c r="CM13" s="105">
        <v>11</v>
      </c>
      <c r="CN13" s="105">
        <v>14</v>
      </c>
      <c r="CO13" s="105"/>
      <c r="CP13" s="105"/>
      <c r="CQ13" s="105">
        <v>27</v>
      </c>
      <c r="CR13" s="105">
        <v>9</v>
      </c>
      <c r="CS13" s="105">
        <v>21</v>
      </c>
      <c r="CT13" s="105">
        <v>104</v>
      </c>
      <c r="CU13" s="105">
        <v>1</v>
      </c>
      <c r="CV13" s="105">
        <v>471</v>
      </c>
      <c r="CW13" s="1644">
        <f t="shared" si="0"/>
        <v>0.15144766146993319</v>
      </c>
      <c r="CX13"/>
      <c r="CY13" s="41"/>
      <c r="CZ13" s="41"/>
      <c r="DA13" s="41" t="s">
        <v>11</v>
      </c>
      <c r="DB13" s="105">
        <v>111</v>
      </c>
      <c r="DC13" s="105">
        <v>66</v>
      </c>
      <c r="DD13" s="105"/>
      <c r="DE13" s="105">
        <v>31</v>
      </c>
      <c r="DF13" s="105">
        <v>45</v>
      </c>
      <c r="DG13" s="105">
        <v>6</v>
      </c>
      <c r="DH13" s="105">
        <v>13</v>
      </c>
      <c r="DI13" s="105">
        <v>2</v>
      </c>
      <c r="DJ13" s="105"/>
      <c r="DK13" s="105">
        <v>15</v>
      </c>
      <c r="DL13" s="105">
        <v>3</v>
      </c>
      <c r="DM13" s="105">
        <v>12</v>
      </c>
      <c r="DN13" s="105">
        <v>87</v>
      </c>
      <c r="DO13" s="105">
        <v>1</v>
      </c>
      <c r="DP13" s="105">
        <v>392</v>
      </c>
      <c r="DQ13" s="1644">
        <f t="shared" si="9"/>
        <v>0.14248021108179421</v>
      </c>
      <c r="DS13" s="1311"/>
      <c r="DT13" s="1311"/>
      <c r="DU13" s="1319" t="s">
        <v>11</v>
      </c>
      <c r="DV13" s="1320">
        <v>96</v>
      </c>
      <c r="DW13" s="1320">
        <v>43</v>
      </c>
      <c r="DX13" s="1321"/>
      <c r="DY13" s="1320">
        <v>27</v>
      </c>
      <c r="DZ13" s="1320">
        <v>39</v>
      </c>
      <c r="EA13" s="1320">
        <v>7</v>
      </c>
      <c r="EB13" s="1320">
        <v>13</v>
      </c>
      <c r="EC13" s="1321"/>
      <c r="ED13" s="1321"/>
      <c r="EE13" s="1320">
        <v>10</v>
      </c>
      <c r="EF13" s="1320">
        <v>7</v>
      </c>
      <c r="EG13" s="1320">
        <v>7</v>
      </c>
      <c r="EH13" s="1320">
        <v>81</v>
      </c>
      <c r="EI13" s="1320">
        <v>1</v>
      </c>
      <c r="EJ13" s="1320">
        <v>331</v>
      </c>
      <c r="EK13" s="1322">
        <f t="shared" si="10"/>
        <v>0.16408668730650156</v>
      </c>
      <c r="EM13" s="1047"/>
      <c r="EN13" s="1047"/>
      <c r="EO13" s="1060" t="s">
        <v>11</v>
      </c>
      <c r="EP13" s="1061">
        <v>75</v>
      </c>
      <c r="EQ13" s="1061">
        <v>27</v>
      </c>
      <c r="ER13" s="1047"/>
      <c r="ES13" s="1061">
        <v>27</v>
      </c>
      <c r="ET13" s="1061">
        <v>31</v>
      </c>
      <c r="EU13" s="1061">
        <v>3</v>
      </c>
      <c r="EV13" s="1061">
        <v>11</v>
      </c>
      <c r="EW13" s="1047"/>
      <c r="EX13" s="1061">
        <v>1</v>
      </c>
      <c r="EY13" s="1061">
        <v>12</v>
      </c>
      <c r="EZ13" s="1061">
        <v>9</v>
      </c>
      <c r="FA13" s="1061">
        <v>64</v>
      </c>
      <c r="FB13" s="1061">
        <v>0</v>
      </c>
      <c r="FC13" s="1061">
        <v>260</v>
      </c>
      <c r="FD13" s="537">
        <f t="shared" si="11"/>
        <v>0.16538461538461538</v>
      </c>
      <c r="FF13" s="652"/>
      <c r="FG13" s="652"/>
      <c r="FH13" s="1062" t="s">
        <v>11</v>
      </c>
      <c r="FI13" s="1063">
        <v>75</v>
      </c>
      <c r="FJ13" s="1063">
        <v>26</v>
      </c>
      <c r="FK13" s="1063">
        <v>0</v>
      </c>
      <c r="FL13" s="1063">
        <v>25</v>
      </c>
      <c r="FM13" s="1063">
        <v>22</v>
      </c>
      <c r="FN13" s="1063">
        <v>3</v>
      </c>
      <c r="FO13" s="1063">
        <v>9</v>
      </c>
      <c r="FP13" s="652"/>
      <c r="FQ13" s="1063">
        <v>1</v>
      </c>
      <c r="FR13" s="1063">
        <v>5</v>
      </c>
      <c r="FS13" s="1063">
        <v>4</v>
      </c>
      <c r="FT13" s="1063">
        <v>51</v>
      </c>
      <c r="FU13" s="1063">
        <v>0</v>
      </c>
      <c r="FV13" s="1063">
        <v>221</v>
      </c>
      <c r="FW13" s="537">
        <f t="shared" si="12"/>
        <v>0.13122171945701358</v>
      </c>
      <c r="FY13" s="817"/>
      <c r="FZ13" s="817"/>
      <c r="GA13" s="1064" t="s">
        <v>11</v>
      </c>
      <c r="GB13" s="1065">
        <v>56</v>
      </c>
      <c r="GC13" s="1065">
        <v>14</v>
      </c>
      <c r="GD13" s="1065">
        <v>0</v>
      </c>
      <c r="GE13" s="1065">
        <v>21</v>
      </c>
      <c r="GF13" s="1065">
        <v>18</v>
      </c>
      <c r="GG13" s="1065">
        <v>3</v>
      </c>
      <c r="GH13" s="1065">
        <v>13</v>
      </c>
      <c r="GI13" s="1065">
        <v>1</v>
      </c>
      <c r="GJ13" s="1065">
        <v>1</v>
      </c>
      <c r="GK13" s="1065">
        <v>1</v>
      </c>
      <c r="GL13" s="1065">
        <v>44</v>
      </c>
      <c r="GM13" s="1065">
        <v>48</v>
      </c>
      <c r="GN13" s="1065">
        <v>0</v>
      </c>
      <c r="GO13" s="1065">
        <v>1</v>
      </c>
      <c r="GP13" s="1065">
        <v>221</v>
      </c>
      <c r="GQ13" s="1066">
        <f t="shared" si="13"/>
        <v>0.125</v>
      </c>
      <c r="GS13" s="107"/>
      <c r="GT13" s="107"/>
      <c r="GU13" s="47" t="s">
        <v>11</v>
      </c>
      <c r="GV13" s="47">
        <v>43</v>
      </c>
      <c r="GW13" s="47">
        <v>9</v>
      </c>
      <c r="GX13" s="47"/>
      <c r="GY13" s="47">
        <v>24</v>
      </c>
      <c r="GZ13" s="47">
        <v>16</v>
      </c>
      <c r="HA13" s="47">
        <v>4</v>
      </c>
      <c r="HB13" s="47">
        <v>16</v>
      </c>
      <c r="HC13" s="47">
        <v>1</v>
      </c>
      <c r="HD13" s="47">
        <v>3</v>
      </c>
      <c r="HE13" s="47">
        <v>1</v>
      </c>
      <c r="HF13" s="47">
        <v>38</v>
      </c>
      <c r="HG13" s="47">
        <v>47</v>
      </c>
      <c r="HH13" s="47">
        <v>0</v>
      </c>
      <c r="HI13" s="47">
        <v>0</v>
      </c>
      <c r="HJ13" s="47">
        <v>202</v>
      </c>
      <c r="HK13" s="1067">
        <f t="shared" si="1"/>
        <v>0.12804878048780488</v>
      </c>
      <c r="HL13" s="47"/>
      <c r="HM13" s="420"/>
      <c r="HN13" s="420"/>
      <c r="HO13" s="420" t="s">
        <v>11</v>
      </c>
      <c r="HP13" s="1068">
        <v>37</v>
      </c>
      <c r="HQ13" s="1068">
        <v>6</v>
      </c>
      <c r="HR13" s="1068" t="s">
        <v>327</v>
      </c>
      <c r="HS13" s="1068">
        <v>22</v>
      </c>
      <c r="HT13" s="1068">
        <v>18</v>
      </c>
      <c r="HU13" s="1068">
        <v>1</v>
      </c>
      <c r="HV13" s="1068">
        <v>13</v>
      </c>
      <c r="HW13" s="1068">
        <v>1</v>
      </c>
      <c r="HX13" s="1068">
        <v>4</v>
      </c>
      <c r="HY13" s="1068">
        <v>2</v>
      </c>
      <c r="HZ13" s="1068">
        <v>51</v>
      </c>
      <c r="IA13" s="1068" t="s">
        <v>327</v>
      </c>
      <c r="IB13" s="1068">
        <v>155</v>
      </c>
      <c r="IC13" s="1068">
        <f t="shared" si="2"/>
        <v>21</v>
      </c>
      <c r="ID13" s="1069">
        <f t="shared" si="3"/>
        <v>0.13548387096774195</v>
      </c>
      <c r="IE13" s="47"/>
      <c r="IF13" s="47"/>
    </row>
    <row r="14" spans="1:240">
      <c r="A14" s="41"/>
      <c r="B14" s="41"/>
      <c r="C14" s="41" t="s">
        <v>12</v>
      </c>
      <c r="D14" s="105">
        <v>223</v>
      </c>
      <c r="E14" s="105">
        <v>97</v>
      </c>
      <c r="F14" s="105"/>
      <c r="G14" s="105">
        <v>37</v>
      </c>
      <c r="H14" s="105">
        <v>173</v>
      </c>
      <c r="I14" s="105">
        <v>30</v>
      </c>
      <c r="J14" s="105">
        <v>6</v>
      </c>
      <c r="K14" s="105"/>
      <c r="L14" s="105"/>
      <c r="M14" s="105">
        <v>32</v>
      </c>
      <c r="N14" s="105">
        <v>27</v>
      </c>
      <c r="O14" s="105">
        <v>68</v>
      </c>
      <c r="P14" s="105">
        <v>210</v>
      </c>
      <c r="Q14" s="105">
        <v>1</v>
      </c>
      <c r="R14" s="105">
        <v>904</v>
      </c>
      <c r="S14" s="706">
        <f t="shared" si="4"/>
        <v>0.27544910179640719</v>
      </c>
      <c r="T14" s="5561">
        <f t="shared" si="5"/>
        <v>1</v>
      </c>
      <c r="U14" s="5562">
        <v>903</v>
      </c>
      <c r="V14" s="706"/>
      <c r="Y14" s="41" t="s">
        <v>12</v>
      </c>
      <c r="Z14" s="41">
        <v>118</v>
      </c>
      <c r="AA14" s="41">
        <v>71</v>
      </c>
      <c r="AB14" s="41"/>
      <c r="AC14" s="41">
        <v>50</v>
      </c>
      <c r="AD14" s="41">
        <v>272</v>
      </c>
      <c r="AE14" s="41">
        <v>33</v>
      </c>
      <c r="AF14" s="41">
        <v>168</v>
      </c>
      <c r="AG14" s="41">
        <v>7</v>
      </c>
      <c r="AH14" s="41"/>
      <c r="AI14" s="41">
        <v>29</v>
      </c>
      <c r="AJ14" s="41">
        <v>27</v>
      </c>
      <c r="AK14" s="41">
        <v>78</v>
      </c>
      <c r="AL14" s="41">
        <v>174</v>
      </c>
      <c r="AM14" s="41">
        <v>2</v>
      </c>
      <c r="AN14" s="461">
        <v>1029</v>
      </c>
      <c r="AO14" s="4692">
        <f t="shared" si="6"/>
        <v>0.34984193888303478</v>
      </c>
      <c r="AQ14" s="1788"/>
      <c r="AR14" s="1788"/>
      <c r="AS14" s="37" t="s">
        <v>12</v>
      </c>
      <c r="AT14" s="1788">
        <v>187</v>
      </c>
      <c r="AU14" s="1788">
        <v>81</v>
      </c>
      <c r="AV14" s="1788"/>
      <c r="AW14" s="1788">
        <v>39</v>
      </c>
      <c r="AX14" s="1788">
        <v>194</v>
      </c>
      <c r="AY14" s="1788">
        <v>46</v>
      </c>
      <c r="AZ14" s="1788">
        <v>83</v>
      </c>
      <c r="BA14" s="1788"/>
      <c r="BB14" s="1788"/>
      <c r="BC14" s="1788">
        <v>27</v>
      </c>
      <c r="BD14" s="1788">
        <v>25</v>
      </c>
      <c r="BE14" s="1788">
        <v>75</v>
      </c>
      <c r="BF14" s="1788">
        <v>177</v>
      </c>
      <c r="BG14" s="1788">
        <v>1</v>
      </c>
      <c r="BH14" s="1788">
        <v>935</v>
      </c>
      <c r="BI14" s="4701">
        <f t="shared" si="7"/>
        <v>0.30849825378346912</v>
      </c>
      <c r="BK14" s="41"/>
      <c r="BL14" s="41"/>
      <c r="BM14" s="41" t="s">
        <v>12</v>
      </c>
      <c r="BN14" s="105">
        <v>195</v>
      </c>
      <c r="BO14" s="105">
        <v>79</v>
      </c>
      <c r="BP14" s="105"/>
      <c r="BQ14" s="105">
        <v>1</v>
      </c>
      <c r="BR14" s="105">
        <v>235</v>
      </c>
      <c r="BS14" s="105">
        <v>23</v>
      </c>
      <c r="BT14" s="105">
        <v>91</v>
      </c>
      <c r="BU14" s="105"/>
      <c r="BV14" s="105"/>
      <c r="BW14" s="105">
        <v>31</v>
      </c>
      <c r="BX14" s="105">
        <v>31</v>
      </c>
      <c r="BY14" s="105">
        <v>75</v>
      </c>
      <c r="BZ14" s="105">
        <v>215</v>
      </c>
      <c r="CA14" s="105"/>
      <c r="CB14" s="105">
        <v>976</v>
      </c>
      <c r="CC14" s="2484">
        <f t="shared" si="8"/>
        <v>0.32075471698113206</v>
      </c>
      <c r="CE14" s="41"/>
      <c r="CF14" s="41"/>
      <c r="CG14" s="41" t="s">
        <v>12</v>
      </c>
      <c r="CH14" s="105">
        <v>205</v>
      </c>
      <c r="CI14" s="105">
        <v>113</v>
      </c>
      <c r="CJ14" s="105"/>
      <c r="CK14" s="105">
        <v>55</v>
      </c>
      <c r="CL14" s="105">
        <v>213</v>
      </c>
      <c r="CM14" s="105">
        <v>37</v>
      </c>
      <c r="CN14" s="105">
        <v>92</v>
      </c>
      <c r="CO14" s="105"/>
      <c r="CP14" s="105"/>
      <c r="CQ14" s="105">
        <v>32</v>
      </c>
      <c r="CR14" s="105">
        <v>40</v>
      </c>
      <c r="CS14" s="105">
        <v>51</v>
      </c>
      <c r="CT14" s="105">
        <v>222</v>
      </c>
      <c r="CU14" s="105">
        <v>2</v>
      </c>
      <c r="CV14" s="105">
        <v>1062</v>
      </c>
      <c r="CW14" s="1644">
        <f t="shared" si="0"/>
        <v>0.28741328047571851</v>
      </c>
      <c r="CX14"/>
      <c r="CY14" s="41"/>
      <c r="CZ14" s="41"/>
      <c r="DA14" s="41" t="s">
        <v>12</v>
      </c>
      <c r="DB14" s="105">
        <v>216</v>
      </c>
      <c r="DC14" s="105">
        <v>129</v>
      </c>
      <c r="DD14" s="105"/>
      <c r="DE14" s="105">
        <v>52</v>
      </c>
      <c r="DF14" s="105">
        <v>220</v>
      </c>
      <c r="DG14" s="105">
        <v>26</v>
      </c>
      <c r="DH14" s="105">
        <v>74</v>
      </c>
      <c r="DI14" s="105">
        <v>9</v>
      </c>
      <c r="DJ14" s="105"/>
      <c r="DK14" s="105">
        <v>36</v>
      </c>
      <c r="DL14" s="105">
        <v>32</v>
      </c>
      <c r="DM14" s="105">
        <v>31</v>
      </c>
      <c r="DN14" s="105">
        <v>238</v>
      </c>
      <c r="DO14" s="105">
        <v>2</v>
      </c>
      <c r="DP14" s="105">
        <v>1065</v>
      </c>
      <c r="DQ14" s="1644">
        <f t="shared" si="9"/>
        <v>0.26937984496124029</v>
      </c>
      <c r="DS14" s="1311"/>
      <c r="DT14" s="1311"/>
      <c r="DU14" s="1319" t="s">
        <v>12</v>
      </c>
      <c r="DV14" s="1320">
        <v>243</v>
      </c>
      <c r="DW14" s="1320">
        <v>119</v>
      </c>
      <c r="DX14" s="1321"/>
      <c r="DY14" s="1320">
        <v>51</v>
      </c>
      <c r="DZ14" s="1320">
        <v>197</v>
      </c>
      <c r="EA14" s="1320">
        <v>21</v>
      </c>
      <c r="EB14" s="1320">
        <v>72</v>
      </c>
      <c r="EC14" s="1321"/>
      <c r="ED14" s="1321"/>
      <c r="EE14" s="1320">
        <v>45</v>
      </c>
      <c r="EF14" s="1320">
        <v>43</v>
      </c>
      <c r="EG14" s="1320">
        <v>19</v>
      </c>
      <c r="EH14" s="1320">
        <v>257</v>
      </c>
      <c r="EI14" s="1320">
        <v>1</v>
      </c>
      <c r="EJ14" s="1320">
        <v>1068</v>
      </c>
      <c r="EK14" s="1322">
        <f t="shared" si="10"/>
        <v>0.24904580152671757</v>
      </c>
      <c r="EM14" s="1047"/>
      <c r="EN14" s="1047"/>
      <c r="EO14" s="1060" t="s">
        <v>12</v>
      </c>
      <c r="EP14" s="1061">
        <v>270</v>
      </c>
      <c r="EQ14" s="1061">
        <v>100</v>
      </c>
      <c r="ER14" s="1047"/>
      <c r="ES14" s="1061">
        <v>59</v>
      </c>
      <c r="ET14" s="1061">
        <v>197</v>
      </c>
      <c r="EU14" s="1061">
        <v>17</v>
      </c>
      <c r="EV14" s="1061">
        <v>79</v>
      </c>
      <c r="EW14" s="1047"/>
      <c r="EX14" s="1061">
        <v>0</v>
      </c>
      <c r="EY14" s="1061">
        <v>35</v>
      </c>
      <c r="EZ14" s="1061">
        <v>31</v>
      </c>
      <c r="FA14" s="1061">
        <v>277</v>
      </c>
      <c r="FB14" s="1061">
        <v>0</v>
      </c>
      <c r="FC14" s="1061">
        <v>1065</v>
      </c>
      <c r="FD14" s="537">
        <f t="shared" si="11"/>
        <v>0.2300469483568075</v>
      </c>
      <c r="FF14" s="652"/>
      <c r="FG14" s="652"/>
      <c r="FH14" s="1062" t="s">
        <v>12</v>
      </c>
      <c r="FI14" s="1063">
        <v>266</v>
      </c>
      <c r="FJ14" s="1063">
        <v>89</v>
      </c>
      <c r="FK14" s="1063">
        <v>0</v>
      </c>
      <c r="FL14" s="1063">
        <v>70</v>
      </c>
      <c r="FM14" s="1063">
        <v>167</v>
      </c>
      <c r="FN14" s="1063">
        <v>22</v>
      </c>
      <c r="FO14" s="1063">
        <v>74</v>
      </c>
      <c r="FP14" s="652"/>
      <c r="FQ14" s="1063">
        <v>0</v>
      </c>
      <c r="FR14" s="1063">
        <v>20</v>
      </c>
      <c r="FS14" s="1063">
        <v>16</v>
      </c>
      <c r="FT14" s="1063">
        <v>285</v>
      </c>
      <c r="FU14" s="1063">
        <v>0</v>
      </c>
      <c r="FV14" s="1063">
        <v>1009</v>
      </c>
      <c r="FW14" s="537">
        <f t="shared" si="12"/>
        <v>0.20317145688800792</v>
      </c>
      <c r="FY14" s="817"/>
      <c r="FZ14" s="817"/>
      <c r="GA14" s="1064" t="s">
        <v>12</v>
      </c>
      <c r="GB14" s="1065">
        <v>237</v>
      </c>
      <c r="GC14" s="1065">
        <v>63</v>
      </c>
      <c r="GD14" s="1065">
        <v>0</v>
      </c>
      <c r="GE14" s="1065">
        <v>74</v>
      </c>
      <c r="GF14" s="1065">
        <v>168</v>
      </c>
      <c r="GG14" s="1065">
        <v>22</v>
      </c>
      <c r="GH14" s="1065">
        <v>70</v>
      </c>
      <c r="GI14" s="1065">
        <v>0</v>
      </c>
      <c r="GJ14" s="1065">
        <v>18</v>
      </c>
      <c r="GK14" s="1065">
        <v>7</v>
      </c>
      <c r="GL14" s="1065">
        <v>320</v>
      </c>
      <c r="GM14" s="1065">
        <v>313</v>
      </c>
      <c r="GN14" s="1065">
        <v>0</v>
      </c>
      <c r="GO14" s="1065">
        <v>2</v>
      </c>
      <c r="GP14" s="1065">
        <v>1294</v>
      </c>
      <c r="GQ14" s="1066">
        <f t="shared" si="13"/>
        <v>0.20267489711934156</v>
      </c>
      <c r="GS14" s="107"/>
      <c r="GT14" s="107"/>
      <c r="GU14" s="47" t="s">
        <v>12</v>
      </c>
      <c r="GV14" s="47">
        <v>196</v>
      </c>
      <c r="GW14" s="47">
        <v>64</v>
      </c>
      <c r="GX14" s="47"/>
      <c r="GY14" s="47">
        <v>66</v>
      </c>
      <c r="GZ14" s="47">
        <v>150</v>
      </c>
      <c r="HA14" s="47">
        <v>28</v>
      </c>
      <c r="HB14" s="47">
        <v>90</v>
      </c>
      <c r="HC14" s="47">
        <v>0</v>
      </c>
      <c r="HD14" s="47">
        <v>12</v>
      </c>
      <c r="HE14" s="47">
        <v>4</v>
      </c>
      <c r="HF14" s="47">
        <v>283</v>
      </c>
      <c r="HG14" s="47">
        <v>309</v>
      </c>
      <c r="HH14" s="47">
        <v>0</v>
      </c>
      <c r="HI14" s="47">
        <v>1</v>
      </c>
      <c r="HJ14" s="47">
        <v>1203</v>
      </c>
      <c r="HK14" s="1067">
        <f t="shared" si="1"/>
        <v>0.19804134929270947</v>
      </c>
      <c r="HL14" s="47"/>
      <c r="HM14" s="420"/>
      <c r="HN14" s="420"/>
      <c r="HO14" s="420" t="s">
        <v>12</v>
      </c>
      <c r="HP14" s="1068">
        <v>158</v>
      </c>
      <c r="HQ14" s="1068">
        <v>60</v>
      </c>
      <c r="HR14" s="1068" t="s">
        <v>327</v>
      </c>
      <c r="HS14" s="1068">
        <v>84</v>
      </c>
      <c r="HT14" s="1068">
        <v>138</v>
      </c>
      <c r="HU14" s="1068">
        <v>29</v>
      </c>
      <c r="HV14" s="1068">
        <v>106</v>
      </c>
      <c r="HW14" s="1068" t="s">
        <v>327</v>
      </c>
      <c r="HX14" s="1068">
        <v>26</v>
      </c>
      <c r="HY14" s="1068">
        <v>16</v>
      </c>
      <c r="HZ14" s="1068">
        <v>314</v>
      </c>
      <c r="IA14" s="1068" t="s">
        <v>327</v>
      </c>
      <c r="IB14" s="1068">
        <v>931</v>
      </c>
      <c r="IC14" s="1068">
        <f t="shared" si="2"/>
        <v>183</v>
      </c>
      <c r="ID14" s="1069">
        <f t="shared" si="3"/>
        <v>0.19656283566058003</v>
      </c>
      <c r="IE14" s="47"/>
      <c r="IF14" s="47"/>
    </row>
    <row r="15" spans="1:240">
      <c r="A15" s="41"/>
      <c r="B15" s="41"/>
      <c r="C15" s="41" t="s">
        <v>13</v>
      </c>
      <c r="D15" s="105">
        <v>197</v>
      </c>
      <c r="E15" s="105">
        <v>142</v>
      </c>
      <c r="F15" s="105"/>
      <c r="G15" s="105">
        <v>38</v>
      </c>
      <c r="H15" s="105">
        <v>106</v>
      </c>
      <c r="I15" s="105">
        <v>36</v>
      </c>
      <c r="J15" s="105">
        <v>20</v>
      </c>
      <c r="K15" s="105"/>
      <c r="L15" s="105"/>
      <c r="M15" s="105">
        <v>27</v>
      </c>
      <c r="N15" s="105">
        <v>18</v>
      </c>
      <c r="O15" s="105">
        <v>48</v>
      </c>
      <c r="P15" s="105">
        <v>308</v>
      </c>
      <c r="Q15" s="105">
        <v>0</v>
      </c>
      <c r="R15" s="105">
        <v>940</v>
      </c>
      <c r="S15" s="706">
        <f t="shared" si="4"/>
        <v>0.17937219730941703</v>
      </c>
      <c r="T15" s="5561">
        <f t="shared" si="5"/>
        <v>5</v>
      </c>
      <c r="U15" s="5562">
        <v>935</v>
      </c>
      <c r="V15" s="706"/>
      <c r="Y15" s="41" t="s">
        <v>13</v>
      </c>
      <c r="Z15" s="41">
        <v>124</v>
      </c>
      <c r="AA15" s="41">
        <v>109</v>
      </c>
      <c r="AB15" s="41"/>
      <c r="AC15" s="41">
        <v>48</v>
      </c>
      <c r="AD15" s="41">
        <v>192</v>
      </c>
      <c r="AE15" s="41">
        <v>36</v>
      </c>
      <c r="AF15" s="41">
        <v>225</v>
      </c>
      <c r="AG15" s="41">
        <v>10</v>
      </c>
      <c r="AH15" s="41"/>
      <c r="AI15" s="41">
        <v>42</v>
      </c>
      <c r="AJ15" s="41">
        <v>28</v>
      </c>
      <c r="AK15" s="41">
        <v>66</v>
      </c>
      <c r="AL15" s="41">
        <v>257</v>
      </c>
      <c r="AM15" s="41">
        <v>0</v>
      </c>
      <c r="AN15" s="461">
        <v>1137</v>
      </c>
      <c r="AO15" s="4692">
        <f t="shared" si="6"/>
        <v>0.23902894491129786</v>
      </c>
      <c r="AQ15" s="1788"/>
      <c r="AR15" s="1788"/>
      <c r="AS15" s="37" t="s">
        <v>13</v>
      </c>
      <c r="AT15" s="1788">
        <v>170</v>
      </c>
      <c r="AU15" s="1788">
        <v>118</v>
      </c>
      <c r="AV15" s="1788"/>
      <c r="AW15" s="1788">
        <v>45</v>
      </c>
      <c r="AX15" s="1788">
        <v>125</v>
      </c>
      <c r="AY15" s="1788">
        <v>24</v>
      </c>
      <c r="AZ15" s="1788">
        <v>128</v>
      </c>
      <c r="BA15" s="1788"/>
      <c r="BB15" s="1788"/>
      <c r="BC15" s="1788">
        <v>62</v>
      </c>
      <c r="BD15" s="1788">
        <v>30</v>
      </c>
      <c r="BE15" s="1788">
        <v>58</v>
      </c>
      <c r="BF15" s="1788">
        <v>263</v>
      </c>
      <c r="BG15" s="1788">
        <v>0</v>
      </c>
      <c r="BH15" s="1788">
        <v>1023</v>
      </c>
      <c r="BI15" s="4701">
        <f t="shared" si="7"/>
        <v>0.18549222797927462</v>
      </c>
      <c r="BK15" s="41"/>
      <c r="BL15" s="41"/>
      <c r="BM15" s="41" t="s">
        <v>13</v>
      </c>
      <c r="BN15" s="105">
        <v>220</v>
      </c>
      <c r="BO15" s="105">
        <v>133</v>
      </c>
      <c r="BP15" s="105"/>
      <c r="BQ15" s="105">
        <v>5</v>
      </c>
      <c r="BR15" s="105">
        <v>164</v>
      </c>
      <c r="BS15" s="105">
        <v>19</v>
      </c>
      <c r="BT15" s="105">
        <v>117</v>
      </c>
      <c r="BU15" s="105"/>
      <c r="BV15" s="105"/>
      <c r="BW15" s="105">
        <v>60</v>
      </c>
      <c r="BX15" s="105">
        <v>25</v>
      </c>
      <c r="BY15" s="105">
        <v>58</v>
      </c>
      <c r="BZ15" s="105">
        <v>287</v>
      </c>
      <c r="CA15" s="105"/>
      <c r="CB15" s="105">
        <v>1088</v>
      </c>
      <c r="CC15" s="2484">
        <f t="shared" si="8"/>
        <v>0.20194174757281552</v>
      </c>
      <c r="CE15" s="41"/>
      <c r="CF15" s="41"/>
      <c r="CG15" s="41" t="s">
        <v>13</v>
      </c>
      <c r="CH15" s="105">
        <v>257</v>
      </c>
      <c r="CI15" s="105">
        <v>155</v>
      </c>
      <c r="CJ15" s="105"/>
      <c r="CK15" s="105">
        <v>52</v>
      </c>
      <c r="CL15" s="105">
        <v>155</v>
      </c>
      <c r="CM15" s="105">
        <v>29</v>
      </c>
      <c r="CN15" s="105">
        <v>176</v>
      </c>
      <c r="CO15" s="105"/>
      <c r="CP15" s="105"/>
      <c r="CQ15" s="105">
        <v>67</v>
      </c>
      <c r="CR15" s="105">
        <v>38</v>
      </c>
      <c r="CS15" s="105">
        <v>51</v>
      </c>
      <c r="CT15" s="105">
        <v>280</v>
      </c>
      <c r="CU15" s="105">
        <v>0</v>
      </c>
      <c r="CV15" s="105">
        <v>1260</v>
      </c>
      <c r="CW15" s="1644">
        <f t="shared" si="0"/>
        <v>0.18362282878411912</v>
      </c>
      <c r="CX15"/>
      <c r="CY15" s="41"/>
      <c r="CZ15" s="41"/>
      <c r="DA15" s="41" t="s">
        <v>13</v>
      </c>
      <c r="DB15" s="105">
        <v>285</v>
      </c>
      <c r="DC15" s="105">
        <v>179</v>
      </c>
      <c r="DD15" s="105"/>
      <c r="DE15" s="105">
        <v>73</v>
      </c>
      <c r="DF15" s="105">
        <v>171</v>
      </c>
      <c r="DG15" s="105">
        <v>29</v>
      </c>
      <c r="DH15" s="105">
        <v>167</v>
      </c>
      <c r="DI15" s="105">
        <v>8</v>
      </c>
      <c r="DJ15" s="105"/>
      <c r="DK15" s="105">
        <v>75</v>
      </c>
      <c r="DL15" s="105">
        <v>23</v>
      </c>
      <c r="DM15" s="105">
        <v>38</v>
      </c>
      <c r="DN15" s="105">
        <v>347</v>
      </c>
      <c r="DO15" s="105">
        <v>2</v>
      </c>
      <c r="DP15" s="105">
        <v>1397</v>
      </c>
      <c r="DQ15" s="1644">
        <f t="shared" si="9"/>
        <v>0.1643330876934414</v>
      </c>
      <c r="DS15" s="1311"/>
      <c r="DT15" s="1311"/>
      <c r="DU15" s="1319" t="s">
        <v>13</v>
      </c>
      <c r="DV15" s="1320">
        <v>354</v>
      </c>
      <c r="DW15" s="1320">
        <v>168</v>
      </c>
      <c r="DX15" s="1321"/>
      <c r="DY15" s="1320">
        <v>95</v>
      </c>
      <c r="DZ15" s="1320">
        <v>166</v>
      </c>
      <c r="EA15" s="1320">
        <v>30</v>
      </c>
      <c r="EB15" s="1320">
        <v>158</v>
      </c>
      <c r="EC15" s="1321"/>
      <c r="ED15" s="1321"/>
      <c r="EE15" s="1320">
        <v>78</v>
      </c>
      <c r="EF15" s="1320">
        <v>33</v>
      </c>
      <c r="EG15" s="1320">
        <v>24</v>
      </c>
      <c r="EH15" s="1320">
        <v>420</v>
      </c>
      <c r="EI15" s="1320">
        <v>2</v>
      </c>
      <c r="EJ15" s="1320">
        <v>1528</v>
      </c>
      <c r="EK15" s="1322">
        <f t="shared" si="10"/>
        <v>0.15246338215712382</v>
      </c>
      <c r="EM15" s="1047"/>
      <c r="EN15" s="1047"/>
      <c r="EO15" s="1060" t="s">
        <v>13</v>
      </c>
      <c r="EP15" s="1061">
        <v>373</v>
      </c>
      <c r="EQ15" s="1061">
        <v>184</v>
      </c>
      <c r="ER15" s="1047"/>
      <c r="ES15" s="1061">
        <v>130</v>
      </c>
      <c r="ET15" s="1061">
        <v>194</v>
      </c>
      <c r="EU15" s="1061">
        <v>38</v>
      </c>
      <c r="EV15" s="1061">
        <v>188</v>
      </c>
      <c r="EW15" s="1047"/>
      <c r="EX15" s="1061">
        <v>0</v>
      </c>
      <c r="EY15" s="1061">
        <v>53</v>
      </c>
      <c r="EZ15" s="1061">
        <v>22</v>
      </c>
      <c r="FA15" s="1061">
        <v>480</v>
      </c>
      <c r="FB15" s="1061">
        <v>18</v>
      </c>
      <c r="FC15" s="1061">
        <v>1680</v>
      </c>
      <c r="FD15" s="537">
        <f t="shared" si="11"/>
        <v>0.15119047619047618</v>
      </c>
      <c r="FF15" s="652"/>
      <c r="FG15" s="652"/>
      <c r="FH15" s="1062" t="s">
        <v>13</v>
      </c>
      <c r="FI15" s="1063">
        <v>354</v>
      </c>
      <c r="FJ15" s="1063">
        <v>180</v>
      </c>
      <c r="FK15" s="1063">
        <v>0</v>
      </c>
      <c r="FL15" s="1063">
        <v>148</v>
      </c>
      <c r="FM15" s="1063">
        <v>192</v>
      </c>
      <c r="FN15" s="1063">
        <v>44</v>
      </c>
      <c r="FO15" s="1063">
        <v>130</v>
      </c>
      <c r="FP15" s="652"/>
      <c r="FQ15" s="1063">
        <v>0</v>
      </c>
      <c r="FR15" s="1063">
        <v>41</v>
      </c>
      <c r="FS15" s="1063">
        <v>20</v>
      </c>
      <c r="FT15" s="1063">
        <v>536</v>
      </c>
      <c r="FU15" s="1063">
        <v>18</v>
      </c>
      <c r="FV15" s="1063">
        <v>1663</v>
      </c>
      <c r="FW15" s="537">
        <f t="shared" si="12"/>
        <v>0.15393866506313891</v>
      </c>
      <c r="FY15" s="817"/>
      <c r="FZ15" s="817"/>
      <c r="GA15" s="1064" t="s">
        <v>13</v>
      </c>
      <c r="GB15" s="1065">
        <v>364</v>
      </c>
      <c r="GC15" s="1065">
        <v>137</v>
      </c>
      <c r="GD15" s="1065">
        <v>0</v>
      </c>
      <c r="GE15" s="1065">
        <v>171</v>
      </c>
      <c r="GF15" s="1065">
        <v>193</v>
      </c>
      <c r="GG15" s="1065">
        <v>46</v>
      </c>
      <c r="GH15" s="1065">
        <v>147</v>
      </c>
      <c r="GI15" s="1065">
        <v>0</v>
      </c>
      <c r="GJ15" s="1065">
        <v>39</v>
      </c>
      <c r="GK15" s="1065">
        <v>19</v>
      </c>
      <c r="GL15" s="1065">
        <v>457</v>
      </c>
      <c r="GM15" s="1065">
        <v>606</v>
      </c>
      <c r="GN15" s="1065">
        <v>18</v>
      </c>
      <c r="GO15" s="1065">
        <v>6</v>
      </c>
      <c r="GP15" s="1065">
        <v>2203</v>
      </c>
      <c r="GQ15" s="1066">
        <f t="shared" si="13"/>
        <v>0.14827586206896551</v>
      </c>
      <c r="GS15" s="107"/>
      <c r="GT15" s="107"/>
      <c r="GU15" s="47" t="s">
        <v>13</v>
      </c>
      <c r="GV15" s="47">
        <v>387</v>
      </c>
      <c r="GW15" s="47">
        <v>127</v>
      </c>
      <c r="GX15" s="47"/>
      <c r="GY15" s="47">
        <v>200</v>
      </c>
      <c r="GZ15" s="47">
        <v>200</v>
      </c>
      <c r="HA15" s="47">
        <v>39</v>
      </c>
      <c r="HB15" s="47">
        <v>176</v>
      </c>
      <c r="HC15" s="47">
        <v>0</v>
      </c>
      <c r="HD15" s="47">
        <v>32</v>
      </c>
      <c r="HE15" s="47">
        <v>26</v>
      </c>
      <c r="HF15" s="47">
        <v>437</v>
      </c>
      <c r="HG15" s="47">
        <v>642</v>
      </c>
      <c r="HH15" s="47">
        <v>18</v>
      </c>
      <c r="HI15" s="47">
        <v>5</v>
      </c>
      <c r="HJ15" s="47">
        <v>2289</v>
      </c>
      <c r="HK15" s="1067">
        <f t="shared" si="1"/>
        <v>0.14347590687601516</v>
      </c>
      <c r="HL15" s="47"/>
      <c r="HM15" s="420"/>
      <c r="HN15" s="420"/>
      <c r="HO15" s="420" t="s">
        <v>13</v>
      </c>
      <c r="HP15" s="1068">
        <v>334</v>
      </c>
      <c r="HQ15" s="1068">
        <v>149</v>
      </c>
      <c r="HR15" s="1068" t="s">
        <v>327</v>
      </c>
      <c r="HS15" s="1068">
        <v>200</v>
      </c>
      <c r="HT15" s="1068">
        <v>233</v>
      </c>
      <c r="HU15" s="1068">
        <v>30</v>
      </c>
      <c r="HV15" s="1068">
        <v>177</v>
      </c>
      <c r="HW15" s="1068" t="s">
        <v>327</v>
      </c>
      <c r="HX15" s="1068">
        <v>94</v>
      </c>
      <c r="HY15" s="1068">
        <v>21</v>
      </c>
      <c r="HZ15" s="1068">
        <v>652</v>
      </c>
      <c r="IA15" s="1068">
        <v>18</v>
      </c>
      <c r="IB15" s="1068">
        <v>1908</v>
      </c>
      <c r="IC15" s="1068">
        <f t="shared" si="2"/>
        <v>284</v>
      </c>
      <c r="ID15" s="1069">
        <f t="shared" si="3"/>
        <v>0.1488469601677149</v>
      </c>
      <c r="IE15" s="47"/>
      <c r="IF15" s="47"/>
    </row>
    <row r="16" spans="1:240">
      <c r="A16" s="41"/>
      <c r="B16" s="41"/>
      <c r="C16" s="41" t="s">
        <v>14</v>
      </c>
      <c r="D16" s="105">
        <v>212</v>
      </c>
      <c r="E16" s="105">
        <v>136</v>
      </c>
      <c r="F16" s="105"/>
      <c r="G16" s="105">
        <v>39</v>
      </c>
      <c r="H16" s="105">
        <v>137</v>
      </c>
      <c r="I16" s="105">
        <v>32</v>
      </c>
      <c r="J16" s="105">
        <v>11</v>
      </c>
      <c r="K16" s="105"/>
      <c r="L16" s="105"/>
      <c r="M16" s="105">
        <v>41</v>
      </c>
      <c r="N16" s="105">
        <v>40</v>
      </c>
      <c r="O16" s="105">
        <v>52</v>
      </c>
      <c r="P16" s="105">
        <v>290</v>
      </c>
      <c r="Q16" s="105">
        <v>2</v>
      </c>
      <c r="R16" s="105">
        <v>992</v>
      </c>
      <c r="S16" s="706">
        <f t="shared" si="4"/>
        <v>0.22281449893390193</v>
      </c>
      <c r="T16" s="5561">
        <f t="shared" si="5"/>
        <v>2</v>
      </c>
      <c r="U16" s="5562">
        <v>990</v>
      </c>
      <c r="V16" s="706"/>
      <c r="Y16" s="41" t="s">
        <v>14</v>
      </c>
      <c r="Z16" s="41">
        <v>100</v>
      </c>
      <c r="AA16" s="41">
        <v>111</v>
      </c>
      <c r="AB16" s="41"/>
      <c r="AC16" s="41">
        <v>45</v>
      </c>
      <c r="AD16" s="41">
        <v>261</v>
      </c>
      <c r="AE16" s="41">
        <v>29</v>
      </c>
      <c r="AF16" s="41">
        <v>338</v>
      </c>
      <c r="AG16" s="41">
        <v>8</v>
      </c>
      <c r="AH16" s="41"/>
      <c r="AI16" s="41">
        <v>36</v>
      </c>
      <c r="AJ16" s="41">
        <v>35</v>
      </c>
      <c r="AK16" s="41">
        <v>67</v>
      </c>
      <c r="AL16" s="41">
        <v>244</v>
      </c>
      <c r="AM16" s="41">
        <v>3</v>
      </c>
      <c r="AN16" s="461">
        <v>1277</v>
      </c>
      <c r="AO16" s="4692">
        <f t="shared" si="6"/>
        <v>0.26926263463131733</v>
      </c>
      <c r="AQ16" s="1788"/>
      <c r="AR16" s="1788"/>
      <c r="AS16" s="37" t="s">
        <v>14</v>
      </c>
      <c r="AT16" s="1788">
        <v>171</v>
      </c>
      <c r="AU16" s="1788">
        <v>108</v>
      </c>
      <c r="AV16" s="1788"/>
      <c r="AW16" s="1788">
        <v>39</v>
      </c>
      <c r="AX16" s="1788">
        <v>181</v>
      </c>
      <c r="AY16" s="1788">
        <v>31</v>
      </c>
      <c r="AZ16" s="1788">
        <v>145</v>
      </c>
      <c r="BA16" s="1788"/>
      <c r="BB16" s="1788"/>
      <c r="BC16" s="1788">
        <v>47</v>
      </c>
      <c r="BD16" s="1788">
        <v>30</v>
      </c>
      <c r="BE16" s="1788">
        <v>63</v>
      </c>
      <c r="BF16" s="1788">
        <v>250</v>
      </c>
      <c r="BG16" s="1788">
        <v>2</v>
      </c>
      <c r="BH16" s="1788">
        <v>1067</v>
      </c>
      <c r="BI16" s="4701">
        <f t="shared" si="7"/>
        <v>0.24151696606786427</v>
      </c>
      <c r="BK16" s="41"/>
      <c r="BL16" s="41"/>
      <c r="BM16" s="41" t="s">
        <v>14</v>
      </c>
      <c r="BN16" s="105">
        <v>173</v>
      </c>
      <c r="BO16" s="105">
        <v>117</v>
      </c>
      <c r="BP16" s="105"/>
      <c r="BQ16" s="105">
        <v>0</v>
      </c>
      <c r="BR16" s="105">
        <v>232</v>
      </c>
      <c r="BS16" s="105">
        <v>22</v>
      </c>
      <c r="BT16" s="105">
        <v>208</v>
      </c>
      <c r="BU16" s="105"/>
      <c r="BV16" s="105"/>
      <c r="BW16" s="105">
        <v>56</v>
      </c>
      <c r="BX16" s="105">
        <v>42</v>
      </c>
      <c r="BY16" s="105">
        <v>63</v>
      </c>
      <c r="BZ16" s="105">
        <v>311</v>
      </c>
      <c r="CA16" s="105"/>
      <c r="CB16" s="105">
        <v>1224</v>
      </c>
      <c r="CC16" s="2484">
        <f t="shared" si="8"/>
        <v>0.2549526270456503</v>
      </c>
      <c r="CE16" s="41"/>
      <c r="CF16" s="41"/>
      <c r="CG16" s="41" t="s">
        <v>14</v>
      </c>
      <c r="CH16" s="105">
        <v>219</v>
      </c>
      <c r="CI16" s="105">
        <v>176</v>
      </c>
      <c r="CJ16" s="105"/>
      <c r="CK16" s="105">
        <v>52</v>
      </c>
      <c r="CL16" s="105">
        <v>221</v>
      </c>
      <c r="CM16" s="105">
        <v>47</v>
      </c>
      <c r="CN16" s="105">
        <v>178</v>
      </c>
      <c r="CO16" s="105"/>
      <c r="CP16" s="105"/>
      <c r="CQ16" s="105">
        <v>63</v>
      </c>
      <c r="CR16" s="105">
        <v>46</v>
      </c>
      <c r="CS16" s="105">
        <v>51</v>
      </c>
      <c r="CT16" s="105">
        <v>365</v>
      </c>
      <c r="CU16" s="105">
        <v>2</v>
      </c>
      <c r="CV16" s="105">
        <v>1420</v>
      </c>
      <c r="CW16" s="1644">
        <f t="shared" si="0"/>
        <v>0.22970007315288954</v>
      </c>
      <c r="CX16"/>
      <c r="CY16" s="41"/>
      <c r="CZ16" s="41"/>
      <c r="DA16" s="41" t="s">
        <v>14</v>
      </c>
      <c r="DB16" s="105">
        <v>267</v>
      </c>
      <c r="DC16" s="105">
        <v>202</v>
      </c>
      <c r="DD16" s="105"/>
      <c r="DE16" s="105">
        <v>71</v>
      </c>
      <c r="DF16" s="105">
        <v>250</v>
      </c>
      <c r="DG16" s="105">
        <v>33</v>
      </c>
      <c r="DH16" s="105">
        <v>247</v>
      </c>
      <c r="DI16" s="105">
        <v>18</v>
      </c>
      <c r="DJ16" s="105"/>
      <c r="DK16" s="105">
        <v>72</v>
      </c>
      <c r="DL16" s="105">
        <v>38</v>
      </c>
      <c r="DM16" s="105">
        <v>30</v>
      </c>
      <c r="DN16" s="105">
        <v>436</v>
      </c>
      <c r="DO16" s="105">
        <v>5</v>
      </c>
      <c r="DP16" s="105">
        <v>1669</v>
      </c>
      <c r="DQ16" s="1644">
        <f t="shared" si="9"/>
        <v>0.19645042839657284</v>
      </c>
      <c r="DS16" s="1311"/>
      <c r="DT16" s="1311"/>
      <c r="DU16" s="1319" t="s">
        <v>14</v>
      </c>
      <c r="DV16" s="1320">
        <v>386</v>
      </c>
      <c r="DW16" s="1320">
        <v>200</v>
      </c>
      <c r="DX16" s="1321"/>
      <c r="DY16" s="1320">
        <v>91</v>
      </c>
      <c r="DZ16" s="1320">
        <v>271</v>
      </c>
      <c r="EA16" s="1320">
        <v>33</v>
      </c>
      <c r="EB16" s="1320">
        <v>203</v>
      </c>
      <c r="EC16" s="1321"/>
      <c r="ED16" s="1321"/>
      <c r="EE16" s="1320">
        <v>89</v>
      </c>
      <c r="EF16" s="1320">
        <v>40</v>
      </c>
      <c r="EG16" s="1320">
        <v>24</v>
      </c>
      <c r="EH16" s="1320">
        <v>564</v>
      </c>
      <c r="EI16" s="1320">
        <v>5</v>
      </c>
      <c r="EJ16" s="1320">
        <v>1906</v>
      </c>
      <c r="EK16" s="1322">
        <f t="shared" si="10"/>
        <v>0.18327117741076185</v>
      </c>
      <c r="EM16" s="1047"/>
      <c r="EN16" s="1047"/>
      <c r="EO16" s="1060" t="s">
        <v>14</v>
      </c>
      <c r="EP16" s="1061">
        <v>430</v>
      </c>
      <c r="EQ16" s="1061">
        <v>238</v>
      </c>
      <c r="ER16" s="1047"/>
      <c r="ES16" s="1061">
        <v>127</v>
      </c>
      <c r="ET16" s="1061">
        <v>279</v>
      </c>
      <c r="EU16" s="1061">
        <v>44</v>
      </c>
      <c r="EV16" s="1061">
        <v>247</v>
      </c>
      <c r="EW16" s="1047"/>
      <c r="EX16" s="1061">
        <v>0</v>
      </c>
      <c r="EY16" s="1061">
        <v>92</v>
      </c>
      <c r="EZ16" s="1061">
        <v>60</v>
      </c>
      <c r="FA16" s="1061">
        <v>642</v>
      </c>
      <c r="FB16" s="1061">
        <v>0</v>
      </c>
      <c r="FC16" s="1061">
        <v>2159</v>
      </c>
      <c r="FD16" s="537">
        <f t="shared" si="11"/>
        <v>0.17739694302918019</v>
      </c>
      <c r="FF16" s="652"/>
      <c r="FG16" s="652"/>
      <c r="FH16" s="1062" t="s">
        <v>14</v>
      </c>
      <c r="FI16" s="1063">
        <v>524</v>
      </c>
      <c r="FJ16" s="1063">
        <v>247</v>
      </c>
      <c r="FK16" s="1063">
        <v>0</v>
      </c>
      <c r="FL16" s="1063">
        <v>133</v>
      </c>
      <c r="FM16" s="1063">
        <v>211</v>
      </c>
      <c r="FN16" s="1063">
        <v>42</v>
      </c>
      <c r="FO16" s="1063">
        <v>86</v>
      </c>
      <c r="FP16" s="652"/>
      <c r="FQ16" s="1063">
        <v>0</v>
      </c>
      <c r="FR16" s="1063">
        <v>67</v>
      </c>
      <c r="FS16" s="1063">
        <v>32</v>
      </c>
      <c r="FT16" s="1063">
        <v>693</v>
      </c>
      <c r="FU16" s="1063">
        <v>0</v>
      </c>
      <c r="FV16" s="1063">
        <v>2035</v>
      </c>
      <c r="FW16" s="537">
        <f t="shared" si="12"/>
        <v>0.14004914004914004</v>
      </c>
      <c r="FY16" s="817"/>
      <c r="FZ16" s="817"/>
      <c r="GA16" s="1064" t="s">
        <v>14</v>
      </c>
      <c r="GB16" s="1065">
        <v>473</v>
      </c>
      <c r="GC16" s="1065">
        <v>219</v>
      </c>
      <c r="GD16" s="1065">
        <v>0</v>
      </c>
      <c r="GE16" s="1065">
        <v>126</v>
      </c>
      <c r="GF16" s="1065">
        <v>155</v>
      </c>
      <c r="GG16" s="1065">
        <v>27</v>
      </c>
      <c r="GH16" s="1065">
        <v>31</v>
      </c>
      <c r="GI16" s="1065">
        <v>0</v>
      </c>
      <c r="GJ16" s="1065">
        <v>78</v>
      </c>
      <c r="GK16" s="1065">
        <v>34</v>
      </c>
      <c r="GL16" s="1065">
        <v>456</v>
      </c>
      <c r="GM16" s="1065">
        <v>680</v>
      </c>
      <c r="GN16" s="1065">
        <v>0</v>
      </c>
      <c r="GO16" s="1065">
        <v>8</v>
      </c>
      <c r="GP16" s="1065">
        <v>2287</v>
      </c>
      <c r="GQ16" s="1066">
        <f t="shared" si="13"/>
        <v>0.11848601206801974</v>
      </c>
      <c r="GS16" s="107"/>
      <c r="GT16" s="107"/>
      <c r="GU16" s="47" t="s">
        <v>14</v>
      </c>
      <c r="GV16" s="47">
        <v>464</v>
      </c>
      <c r="GW16" s="47">
        <v>199</v>
      </c>
      <c r="GX16" s="47"/>
      <c r="GY16" s="47">
        <v>108</v>
      </c>
      <c r="GZ16" s="47">
        <v>96</v>
      </c>
      <c r="HA16" s="47">
        <v>35</v>
      </c>
      <c r="HB16" s="47">
        <v>26</v>
      </c>
      <c r="HC16" s="47">
        <v>0</v>
      </c>
      <c r="HD16" s="47">
        <v>47</v>
      </c>
      <c r="HE16" s="47">
        <v>32</v>
      </c>
      <c r="HF16" s="47">
        <v>375</v>
      </c>
      <c r="HG16" s="47">
        <v>530</v>
      </c>
      <c r="HH16" s="47">
        <v>0</v>
      </c>
      <c r="HI16" s="47">
        <v>6</v>
      </c>
      <c r="HJ16" s="47">
        <v>1918</v>
      </c>
      <c r="HK16" s="1067">
        <f t="shared" si="1"/>
        <v>0.10605074821080027</v>
      </c>
      <c r="HL16" s="47"/>
      <c r="HM16" s="420"/>
      <c r="HN16" s="420"/>
      <c r="HO16" s="420" t="s">
        <v>14</v>
      </c>
      <c r="HP16" s="1068">
        <v>437</v>
      </c>
      <c r="HQ16" s="1068">
        <v>166</v>
      </c>
      <c r="HR16" s="1068" t="s">
        <v>327</v>
      </c>
      <c r="HS16" s="1068">
        <v>85</v>
      </c>
      <c r="HT16" s="1068">
        <v>58</v>
      </c>
      <c r="HU16" s="1068">
        <v>21</v>
      </c>
      <c r="HV16" s="1068">
        <v>21</v>
      </c>
      <c r="HW16" s="1068" t="s">
        <v>327</v>
      </c>
      <c r="HX16" s="1068">
        <v>65</v>
      </c>
      <c r="HY16" s="1068">
        <v>20</v>
      </c>
      <c r="HZ16" s="1068">
        <v>397</v>
      </c>
      <c r="IA16" s="1068" t="s">
        <v>327</v>
      </c>
      <c r="IB16" s="1068">
        <v>1270</v>
      </c>
      <c r="IC16" s="1068">
        <f t="shared" si="2"/>
        <v>99</v>
      </c>
      <c r="ID16" s="1069">
        <f t="shared" si="3"/>
        <v>7.7952755905511817E-2</v>
      </c>
      <c r="IE16" s="47"/>
      <c r="IF16" s="47"/>
    </row>
    <row r="17" spans="1:240">
      <c r="A17" s="41"/>
      <c r="B17" s="41"/>
      <c r="C17" s="461" t="s">
        <v>544</v>
      </c>
      <c r="D17" s="5556">
        <v>1874</v>
      </c>
      <c r="E17" s="5556">
        <v>1067</v>
      </c>
      <c r="F17" s="5556"/>
      <c r="G17" s="5556">
        <v>406</v>
      </c>
      <c r="H17" s="5556">
        <v>1396</v>
      </c>
      <c r="I17" s="5556">
        <v>340</v>
      </c>
      <c r="J17" s="5556">
        <v>95</v>
      </c>
      <c r="K17" s="5556"/>
      <c r="L17" s="5556"/>
      <c r="M17" s="5556">
        <v>263</v>
      </c>
      <c r="N17" s="5556">
        <v>272</v>
      </c>
      <c r="O17" s="5556">
        <v>503</v>
      </c>
      <c r="P17" s="5556">
        <v>2323</v>
      </c>
      <c r="Q17" s="5556">
        <v>6</v>
      </c>
      <c r="R17" s="5556">
        <v>8545</v>
      </c>
      <c r="S17" s="706">
        <f t="shared" si="4"/>
        <v>0.24987555998008959</v>
      </c>
      <c r="T17" s="5561"/>
      <c r="U17" s="5562"/>
      <c r="V17" s="706"/>
      <c r="Y17" s="41" t="s">
        <v>15</v>
      </c>
      <c r="Z17" s="41">
        <v>1013</v>
      </c>
      <c r="AA17" s="41">
        <v>801</v>
      </c>
      <c r="AB17" s="41"/>
      <c r="AC17" s="41">
        <v>451</v>
      </c>
      <c r="AD17" s="41">
        <v>2168</v>
      </c>
      <c r="AE17" s="41">
        <v>354</v>
      </c>
      <c r="AF17" s="41">
        <v>1762</v>
      </c>
      <c r="AG17" s="41">
        <v>59</v>
      </c>
      <c r="AH17" s="41"/>
      <c r="AI17" s="41">
        <v>323</v>
      </c>
      <c r="AJ17" s="41">
        <v>266</v>
      </c>
      <c r="AK17" s="41">
        <v>586</v>
      </c>
      <c r="AL17" s="41">
        <v>1948</v>
      </c>
      <c r="AM17" s="41">
        <v>12</v>
      </c>
      <c r="AN17" s="461">
        <v>9743</v>
      </c>
      <c r="AO17" s="4692">
        <f t="shared" si="6"/>
        <v>0.30486604702022962</v>
      </c>
      <c r="AQ17" s="1788"/>
      <c r="AR17" s="1788"/>
      <c r="AS17" s="1793" t="s">
        <v>544</v>
      </c>
      <c r="AT17" s="4702">
        <v>1632</v>
      </c>
      <c r="AU17" s="4702">
        <v>892</v>
      </c>
      <c r="AV17" s="4702"/>
      <c r="AW17" s="4702">
        <v>424</v>
      </c>
      <c r="AX17" s="4702">
        <v>1511</v>
      </c>
      <c r="AY17" s="4702">
        <v>403</v>
      </c>
      <c r="AZ17" s="4702">
        <v>893</v>
      </c>
      <c r="BA17" s="4702"/>
      <c r="BB17" s="4702"/>
      <c r="BC17" s="4702">
        <v>356</v>
      </c>
      <c r="BD17" s="4702">
        <v>272</v>
      </c>
      <c r="BE17" s="4702">
        <v>557</v>
      </c>
      <c r="BF17" s="4702">
        <v>2014</v>
      </c>
      <c r="BG17" s="4702">
        <v>6</v>
      </c>
      <c r="BH17" s="4702">
        <v>8960</v>
      </c>
      <c r="BI17" s="4703">
        <f t="shared" si="7"/>
        <v>0.26033107062045968</v>
      </c>
      <c r="BK17" s="41"/>
      <c r="BL17" s="41"/>
      <c r="BM17" s="461" t="s">
        <v>544</v>
      </c>
      <c r="BN17" s="2473">
        <v>1765</v>
      </c>
      <c r="BO17" s="2473">
        <v>903</v>
      </c>
      <c r="BP17" s="2473"/>
      <c r="BQ17" s="2473">
        <v>14</v>
      </c>
      <c r="BR17" s="2473">
        <v>1835</v>
      </c>
      <c r="BS17" s="2473">
        <v>228</v>
      </c>
      <c r="BT17" s="2473">
        <v>968</v>
      </c>
      <c r="BU17" s="2473"/>
      <c r="BV17" s="2473"/>
      <c r="BW17" s="2473">
        <v>428</v>
      </c>
      <c r="BX17" s="2473">
        <v>296</v>
      </c>
      <c r="BY17" s="2473">
        <v>557</v>
      </c>
      <c r="BZ17" s="2473">
        <v>2288</v>
      </c>
      <c r="CA17" s="2473"/>
      <c r="CB17" s="2473">
        <v>9282</v>
      </c>
      <c r="CC17" s="2484">
        <f t="shared" si="8"/>
        <v>0.27037249283667619</v>
      </c>
      <c r="CE17" s="41"/>
      <c r="CF17" s="41"/>
      <c r="CG17" s="461" t="s">
        <v>544</v>
      </c>
      <c r="CH17" s="96">
        <v>1916</v>
      </c>
      <c r="CI17" s="96">
        <v>1168</v>
      </c>
      <c r="CJ17" s="96"/>
      <c r="CK17" s="96">
        <v>481</v>
      </c>
      <c r="CL17" s="96">
        <v>1603</v>
      </c>
      <c r="CM17" s="96">
        <v>348</v>
      </c>
      <c r="CN17" s="96">
        <v>931</v>
      </c>
      <c r="CO17" s="96"/>
      <c r="CP17" s="96"/>
      <c r="CQ17" s="96">
        <v>418</v>
      </c>
      <c r="CR17" s="96">
        <v>360</v>
      </c>
      <c r="CS17" s="96">
        <v>420</v>
      </c>
      <c r="CT17" s="96">
        <v>2344</v>
      </c>
      <c r="CU17" s="96">
        <v>12</v>
      </c>
      <c r="CV17" s="96">
        <v>10001</v>
      </c>
      <c r="CW17" s="635">
        <f t="shared" si="0"/>
        <v>0.24150903960706449</v>
      </c>
      <c r="CX17" s="1977"/>
      <c r="CY17" s="41"/>
      <c r="CZ17" s="41"/>
      <c r="DA17" s="461" t="s">
        <v>544</v>
      </c>
      <c r="DB17" s="96">
        <v>2047</v>
      </c>
      <c r="DC17" s="96">
        <v>1292</v>
      </c>
      <c r="DD17" s="96"/>
      <c r="DE17" s="96">
        <v>519</v>
      </c>
      <c r="DF17" s="96">
        <v>1605</v>
      </c>
      <c r="DG17" s="96">
        <v>235</v>
      </c>
      <c r="DH17" s="96">
        <v>947</v>
      </c>
      <c r="DI17" s="96">
        <v>130</v>
      </c>
      <c r="DJ17" s="96"/>
      <c r="DK17" s="96">
        <v>443</v>
      </c>
      <c r="DL17" s="96">
        <v>237</v>
      </c>
      <c r="DM17" s="96">
        <v>242</v>
      </c>
      <c r="DN17" s="96">
        <v>2525</v>
      </c>
      <c r="DO17" s="96">
        <v>17</v>
      </c>
      <c r="DP17" s="96">
        <v>10239</v>
      </c>
      <c r="DQ17" s="635">
        <f t="shared" si="9"/>
        <v>0.20811623246492986</v>
      </c>
      <c r="DS17" s="1311"/>
      <c r="DT17" s="1311"/>
      <c r="DU17" s="1313" t="s">
        <v>544</v>
      </c>
      <c r="DV17" s="1323">
        <v>2524</v>
      </c>
      <c r="DW17" s="1323">
        <v>1158</v>
      </c>
      <c r="DX17" s="1324"/>
      <c r="DY17" s="1323">
        <v>564</v>
      </c>
      <c r="DZ17" s="1323">
        <v>1539</v>
      </c>
      <c r="EA17" s="1323">
        <v>196</v>
      </c>
      <c r="EB17" s="1323">
        <v>785</v>
      </c>
      <c r="EC17" s="1324"/>
      <c r="ED17" s="1324"/>
      <c r="EE17" s="1323">
        <v>441</v>
      </c>
      <c r="EF17" s="1323">
        <v>277</v>
      </c>
      <c r="EG17" s="1323">
        <v>157</v>
      </c>
      <c r="EH17" s="1323">
        <v>2881</v>
      </c>
      <c r="EI17" s="1323">
        <v>16</v>
      </c>
      <c r="EJ17" s="1323">
        <v>10538</v>
      </c>
      <c r="EK17" s="1325">
        <f t="shared" si="10"/>
        <v>0.19411480945489629</v>
      </c>
      <c r="EM17" s="1047"/>
      <c r="EN17" s="1047"/>
      <c r="EO17" s="1070" t="s">
        <v>544</v>
      </c>
      <c r="EP17" s="1071">
        <v>2520</v>
      </c>
      <c r="EQ17" s="1071">
        <v>1155</v>
      </c>
      <c r="ER17" s="1072"/>
      <c r="ES17" s="1071">
        <v>686</v>
      </c>
      <c r="ET17" s="1071">
        <v>1567</v>
      </c>
      <c r="EU17" s="1071">
        <v>195</v>
      </c>
      <c r="EV17" s="1071">
        <v>965</v>
      </c>
      <c r="EW17" s="1072"/>
      <c r="EX17" s="1071">
        <v>1</v>
      </c>
      <c r="EY17" s="1071">
        <v>401</v>
      </c>
      <c r="EZ17" s="1071">
        <v>237</v>
      </c>
      <c r="FA17" s="1071">
        <v>2993</v>
      </c>
      <c r="FB17" s="1071">
        <v>18</v>
      </c>
      <c r="FC17" s="1071">
        <v>10738</v>
      </c>
      <c r="FD17" s="1073">
        <f t="shared" si="11"/>
        <v>0.18616129633078785</v>
      </c>
      <c r="FF17" s="652"/>
      <c r="FG17" s="652"/>
      <c r="FH17" s="813" t="s">
        <v>544</v>
      </c>
      <c r="FI17" s="1074">
        <v>2442</v>
      </c>
      <c r="FJ17" s="1074">
        <v>1119</v>
      </c>
      <c r="FK17" s="1074">
        <v>1</v>
      </c>
      <c r="FL17" s="1074">
        <v>747</v>
      </c>
      <c r="FM17" s="1074">
        <v>1355</v>
      </c>
      <c r="FN17" s="1074">
        <v>264</v>
      </c>
      <c r="FO17" s="1074">
        <v>643</v>
      </c>
      <c r="FP17" s="816"/>
      <c r="FQ17" s="1074">
        <v>1</v>
      </c>
      <c r="FR17" s="1074">
        <v>242</v>
      </c>
      <c r="FS17" s="1074">
        <v>172</v>
      </c>
      <c r="FT17" s="1074">
        <v>3075</v>
      </c>
      <c r="FU17" s="1074">
        <v>18</v>
      </c>
      <c r="FV17" s="1074">
        <v>10079</v>
      </c>
      <c r="FW17" s="526">
        <f t="shared" si="12"/>
        <v>0.17769620001984324</v>
      </c>
      <c r="FY17" s="817"/>
      <c r="FZ17" s="817"/>
      <c r="GA17" s="1053" t="s">
        <v>544</v>
      </c>
      <c r="GB17" s="1075">
        <v>2312</v>
      </c>
      <c r="GC17" s="1075">
        <v>835</v>
      </c>
      <c r="GD17" s="1075">
        <v>0</v>
      </c>
      <c r="GE17" s="1075">
        <v>795</v>
      </c>
      <c r="GF17" s="1075">
        <v>1212</v>
      </c>
      <c r="GG17" s="1075">
        <v>185</v>
      </c>
      <c r="GH17" s="1075">
        <v>636</v>
      </c>
      <c r="GI17" s="1075">
        <v>1</v>
      </c>
      <c r="GJ17" s="1075">
        <v>253</v>
      </c>
      <c r="GK17" s="1075">
        <v>158</v>
      </c>
      <c r="GL17" s="1075">
        <v>2920</v>
      </c>
      <c r="GM17" s="1075">
        <v>3260</v>
      </c>
      <c r="GN17" s="1075">
        <v>18</v>
      </c>
      <c r="GO17" s="1075">
        <v>35</v>
      </c>
      <c r="GP17" s="1075">
        <v>12620</v>
      </c>
      <c r="GQ17" s="1076">
        <f t="shared" si="13"/>
        <v>0.16088980858768753</v>
      </c>
      <c r="GS17" s="107"/>
      <c r="GT17" s="107"/>
      <c r="GU17" s="47" t="s">
        <v>15</v>
      </c>
      <c r="GV17" s="47">
        <v>2114</v>
      </c>
      <c r="GW17" s="47">
        <v>766</v>
      </c>
      <c r="GX17" s="47"/>
      <c r="GY17" s="47">
        <v>813</v>
      </c>
      <c r="GZ17" s="47">
        <v>1114</v>
      </c>
      <c r="HA17" s="47">
        <v>208</v>
      </c>
      <c r="HB17" s="47">
        <v>740</v>
      </c>
      <c r="HC17" s="47">
        <v>1</v>
      </c>
      <c r="HD17" s="47">
        <v>165</v>
      </c>
      <c r="HE17" s="47">
        <v>132</v>
      </c>
      <c r="HF17" s="47">
        <v>2595</v>
      </c>
      <c r="HG17" s="47">
        <v>3114</v>
      </c>
      <c r="HH17" s="47">
        <v>18</v>
      </c>
      <c r="HI17" s="47">
        <v>25</v>
      </c>
      <c r="HJ17" s="47">
        <v>11805</v>
      </c>
      <c r="HK17" s="1067">
        <f t="shared" si="1"/>
        <v>0.15830157866086009</v>
      </c>
      <c r="HL17" s="47"/>
      <c r="HM17" s="420"/>
      <c r="HN17" s="420"/>
      <c r="HO17" s="1077" t="s">
        <v>15</v>
      </c>
      <c r="HP17" s="1078">
        <v>1794</v>
      </c>
      <c r="HQ17" s="1078">
        <v>733</v>
      </c>
      <c r="HR17" s="1078" t="s">
        <v>327</v>
      </c>
      <c r="HS17" s="1078">
        <v>838</v>
      </c>
      <c r="HT17" s="1078">
        <v>1065</v>
      </c>
      <c r="HU17" s="1078">
        <v>171</v>
      </c>
      <c r="HV17" s="1078">
        <v>823</v>
      </c>
      <c r="HW17" s="1078">
        <v>1</v>
      </c>
      <c r="HX17" s="1078">
        <v>394</v>
      </c>
      <c r="HY17" s="1078">
        <v>131</v>
      </c>
      <c r="HZ17" s="1078">
        <v>3014</v>
      </c>
      <c r="IA17" s="1078">
        <v>18</v>
      </c>
      <c r="IB17" s="1078">
        <v>8982</v>
      </c>
      <c r="IC17" s="1078">
        <f t="shared" si="2"/>
        <v>1367</v>
      </c>
      <c r="ID17" s="1079">
        <f t="shared" si="3"/>
        <v>0.15219327543976843</v>
      </c>
      <c r="IE17" s="47"/>
      <c r="IF17" s="47"/>
    </row>
    <row r="18" spans="1:240">
      <c r="A18" s="41"/>
      <c r="B18" s="41" t="s">
        <v>16</v>
      </c>
      <c r="C18" s="41" t="s">
        <v>17</v>
      </c>
      <c r="D18" s="105">
        <v>240</v>
      </c>
      <c r="E18" s="105">
        <v>174</v>
      </c>
      <c r="F18" s="105"/>
      <c r="G18" s="105">
        <v>47</v>
      </c>
      <c r="H18" s="105">
        <v>608</v>
      </c>
      <c r="I18" s="105">
        <v>210</v>
      </c>
      <c r="J18" s="105">
        <v>9</v>
      </c>
      <c r="K18" s="105"/>
      <c r="L18" s="105"/>
      <c r="M18" s="105">
        <v>18</v>
      </c>
      <c r="N18" s="105">
        <v>241</v>
      </c>
      <c r="O18" s="105"/>
      <c r="P18" s="105">
        <v>339</v>
      </c>
      <c r="Q18" s="105">
        <v>0</v>
      </c>
      <c r="R18" s="105">
        <v>1886</v>
      </c>
      <c r="S18" s="706">
        <f t="shared" si="4"/>
        <v>0.56150583244962882</v>
      </c>
      <c r="T18" s="5561">
        <f t="shared" si="5"/>
        <v>13</v>
      </c>
      <c r="U18" s="5562">
        <v>1873</v>
      </c>
      <c r="V18" s="706"/>
      <c r="X18" s="107" t="s">
        <v>16</v>
      </c>
      <c r="Y18" s="41" t="s">
        <v>17</v>
      </c>
      <c r="Z18" s="41">
        <v>67</v>
      </c>
      <c r="AA18" s="41">
        <v>101</v>
      </c>
      <c r="AB18" s="41">
        <v>0</v>
      </c>
      <c r="AC18" s="41">
        <v>44</v>
      </c>
      <c r="AD18" s="41">
        <v>855</v>
      </c>
      <c r="AE18" s="41">
        <v>203</v>
      </c>
      <c r="AF18" s="41">
        <v>159</v>
      </c>
      <c r="AG18" s="41">
        <v>0</v>
      </c>
      <c r="AH18" s="41"/>
      <c r="AI18" s="41">
        <v>20</v>
      </c>
      <c r="AJ18" s="41">
        <v>161</v>
      </c>
      <c r="AK18" s="41"/>
      <c r="AL18" s="41">
        <v>273</v>
      </c>
      <c r="AM18" s="41">
        <v>1</v>
      </c>
      <c r="AN18" s="461">
        <v>1884</v>
      </c>
      <c r="AO18" s="4692">
        <f t="shared" si="6"/>
        <v>0.64737121614445037</v>
      </c>
      <c r="AQ18" s="1788"/>
      <c r="AR18" s="1788" t="s">
        <v>16</v>
      </c>
      <c r="AS18" s="37" t="s">
        <v>17</v>
      </c>
      <c r="AT18" s="1788">
        <v>216</v>
      </c>
      <c r="AU18" s="1788">
        <v>138</v>
      </c>
      <c r="AV18" s="1788">
        <v>0</v>
      </c>
      <c r="AW18" s="1788">
        <v>46</v>
      </c>
      <c r="AX18" s="1788">
        <v>623</v>
      </c>
      <c r="AY18" s="1788">
        <v>237</v>
      </c>
      <c r="AZ18" s="1788">
        <v>94</v>
      </c>
      <c r="BA18" s="1788"/>
      <c r="BB18" s="1788"/>
      <c r="BC18" s="1788">
        <v>38</v>
      </c>
      <c r="BD18" s="1788">
        <v>189</v>
      </c>
      <c r="BE18" s="1788"/>
      <c r="BF18" s="1788">
        <v>296</v>
      </c>
      <c r="BG18" s="1788">
        <v>1</v>
      </c>
      <c r="BH18" s="1788">
        <v>1878</v>
      </c>
      <c r="BI18" s="4701">
        <f t="shared" si="7"/>
        <v>0.55887053809270115</v>
      </c>
      <c r="BK18" s="41"/>
      <c r="BL18" s="41" t="s">
        <v>16</v>
      </c>
      <c r="BM18" s="41" t="s">
        <v>17</v>
      </c>
      <c r="BN18" s="105">
        <v>183</v>
      </c>
      <c r="BO18" s="105">
        <v>124</v>
      </c>
      <c r="BP18" s="105"/>
      <c r="BQ18" s="105">
        <v>3</v>
      </c>
      <c r="BR18" s="105">
        <v>708</v>
      </c>
      <c r="BS18" s="105">
        <v>202</v>
      </c>
      <c r="BT18" s="105">
        <v>79</v>
      </c>
      <c r="BU18" s="105"/>
      <c r="BV18" s="105"/>
      <c r="BW18" s="105">
        <v>27</v>
      </c>
      <c r="BX18" s="105">
        <v>224</v>
      </c>
      <c r="BY18" s="105"/>
      <c r="BZ18" s="105">
        <v>296</v>
      </c>
      <c r="CA18" s="105">
        <v>1</v>
      </c>
      <c r="CB18" s="105">
        <v>1847</v>
      </c>
      <c r="CC18" s="2484">
        <f t="shared" si="8"/>
        <v>0.61430119176598053</v>
      </c>
      <c r="CE18" s="41"/>
      <c r="CF18" s="41" t="s">
        <v>16</v>
      </c>
      <c r="CG18" s="41" t="s">
        <v>17</v>
      </c>
      <c r="CH18" s="105">
        <v>202</v>
      </c>
      <c r="CI18" s="105">
        <v>122</v>
      </c>
      <c r="CJ18" s="105"/>
      <c r="CK18" s="105">
        <v>40</v>
      </c>
      <c r="CL18" s="105">
        <v>586</v>
      </c>
      <c r="CM18" s="105">
        <v>285</v>
      </c>
      <c r="CN18" s="105">
        <v>90</v>
      </c>
      <c r="CO18" s="105"/>
      <c r="CP18" s="105"/>
      <c r="CQ18" s="105">
        <v>23</v>
      </c>
      <c r="CR18" s="105">
        <v>224</v>
      </c>
      <c r="CS18" s="105"/>
      <c r="CT18" s="105">
        <v>286</v>
      </c>
      <c r="CU18" s="105">
        <v>3</v>
      </c>
      <c r="CV18" s="105">
        <v>1861</v>
      </c>
      <c r="CW18" s="1644">
        <f t="shared" si="0"/>
        <v>0.58934337997847153</v>
      </c>
      <c r="CX18" s="1976"/>
      <c r="CY18" s="41"/>
      <c r="CZ18" s="41" t="s">
        <v>16</v>
      </c>
      <c r="DA18" s="41" t="s">
        <v>17</v>
      </c>
      <c r="DB18" s="105">
        <v>57</v>
      </c>
      <c r="DC18" s="105">
        <v>243</v>
      </c>
      <c r="DD18" s="105"/>
      <c r="DE18" s="105">
        <v>39</v>
      </c>
      <c r="DF18" s="105">
        <v>416</v>
      </c>
      <c r="DG18" s="105">
        <v>327</v>
      </c>
      <c r="DH18" s="105">
        <v>101</v>
      </c>
      <c r="DI18" s="105">
        <v>1</v>
      </c>
      <c r="DJ18" s="105"/>
      <c r="DK18" s="105">
        <v>27</v>
      </c>
      <c r="DL18" s="105">
        <v>299</v>
      </c>
      <c r="DM18" s="105"/>
      <c r="DN18" s="105">
        <v>294</v>
      </c>
      <c r="DO18" s="105">
        <v>3</v>
      </c>
      <c r="DP18" s="105">
        <v>1807</v>
      </c>
      <c r="DQ18" s="1644">
        <f t="shared" si="9"/>
        <v>0.57760532150776056</v>
      </c>
      <c r="DS18" s="1311"/>
      <c r="DT18" s="1311" t="s">
        <v>16</v>
      </c>
      <c r="DU18" s="1319" t="s">
        <v>17</v>
      </c>
      <c r="DV18" s="1320">
        <v>179</v>
      </c>
      <c r="DW18" s="1320">
        <v>94</v>
      </c>
      <c r="DX18" s="1320">
        <v>1</v>
      </c>
      <c r="DY18" s="1320">
        <v>41</v>
      </c>
      <c r="DZ18" s="1320">
        <v>424</v>
      </c>
      <c r="EA18" s="1320">
        <v>279</v>
      </c>
      <c r="EB18" s="1320">
        <v>114</v>
      </c>
      <c r="EC18" s="1321"/>
      <c r="ED18" s="1321"/>
      <c r="EE18" s="1320">
        <v>23</v>
      </c>
      <c r="EF18" s="1320">
        <v>305</v>
      </c>
      <c r="EG18" s="1321"/>
      <c r="EH18" s="1320">
        <v>310</v>
      </c>
      <c r="EI18" s="1320">
        <v>3</v>
      </c>
      <c r="EJ18" s="1320">
        <v>1773</v>
      </c>
      <c r="EK18" s="1322">
        <f t="shared" si="10"/>
        <v>0.56949152542372883</v>
      </c>
      <c r="EM18" s="1047"/>
      <c r="EN18" s="1047" t="s">
        <v>16</v>
      </c>
      <c r="EO18" s="1060" t="s">
        <v>17</v>
      </c>
      <c r="EP18" s="1061">
        <v>203</v>
      </c>
      <c r="EQ18" s="1061">
        <v>103</v>
      </c>
      <c r="ER18" s="1047"/>
      <c r="ES18" s="1061">
        <v>52</v>
      </c>
      <c r="ET18" s="1061">
        <v>388</v>
      </c>
      <c r="EU18" s="1061">
        <v>321</v>
      </c>
      <c r="EV18" s="1061">
        <v>122</v>
      </c>
      <c r="EW18" s="1047"/>
      <c r="EX18" s="1047"/>
      <c r="EY18" s="1061">
        <v>27</v>
      </c>
      <c r="EZ18" s="1061">
        <v>286</v>
      </c>
      <c r="FA18" s="1061">
        <v>419</v>
      </c>
      <c r="FB18" s="1047"/>
      <c r="FC18" s="1061">
        <v>1921</v>
      </c>
      <c r="FD18" s="537">
        <f t="shared" si="11"/>
        <v>0.5179593961478397</v>
      </c>
      <c r="FF18" s="652"/>
      <c r="FG18" s="652" t="s">
        <v>16</v>
      </c>
      <c r="FH18" s="1062" t="s">
        <v>17</v>
      </c>
      <c r="FI18" s="1063">
        <v>224</v>
      </c>
      <c r="FJ18" s="1063">
        <v>112</v>
      </c>
      <c r="FK18" s="652"/>
      <c r="FL18" s="1063">
        <v>55</v>
      </c>
      <c r="FM18" s="1063">
        <v>376</v>
      </c>
      <c r="FN18" s="1063">
        <v>312</v>
      </c>
      <c r="FO18" s="1063">
        <v>135</v>
      </c>
      <c r="FP18" s="1063">
        <v>0</v>
      </c>
      <c r="FQ18" s="652"/>
      <c r="FR18" s="1063">
        <v>13</v>
      </c>
      <c r="FS18" s="1063">
        <v>273</v>
      </c>
      <c r="FT18" s="1063">
        <v>428</v>
      </c>
      <c r="FU18" s="652"/>
      <c r="FV18" s="1063">
        <v>1928</v>
      </c>
      <c r="FW18" s="537">
        <f t="shared" si="12"/>
        <v>0.49844398340248963</v>
      </c>
      <c r="FY18" s="817"/>
      <c r="FZ18" s="817" t="s">
        <v>16</v>
      </c>
      <c r="GA18" s="1064" t="s">
        <v>17</v>
      </c>
      <c r="GB18" s="1065">
        <v>240</v>
      </c>
      <c r="GC18" s="1065">
        <v>82</v>
      </c>
      <c r="GD18" s="1065">
        <v>0</v>
      </c>
      <c r="GE18" s="1065">
        <v>59</v>
      </c>
      <c r="GF18" s="1065">
        <v>365</v>
      </c>
      <c r="GG18" s="1065">
        <v>272</v>
      </c>
      <c r="GH18" s="1065">
        <v>141</v>
      </c>
      <c r="GI18" s="1065">
        <v>0</v>
      </c>
      <c r="GJ18" s="1065">
        <v>14</v>
      </c>
      <c r="GK18" s="1065">
        <v>263</v>
      </c>
      <c r="GL18" s="1065">
        <v>424</v>
      </c>
      <c r="GM18" s="1065">
        <v>474</v>
      </c>
      <c r="GN18" s="1065">
        <v>0</v>
      </c>
      <c r="GO18" s="1065">
        <v>10</v>
      </c>
      <c r="GP18" s="1065">
        <v>2344</v>
      </c>
      <c r="GQ18" s="1066">
        <f t="shared" si="13"/>
        <v>0.47120418848167539</v>
      </c>
      <c r="GS18" s="107"/>
      <c r="GT18" s="107" t="s">
        <v>16</v>
      </c>
      <c r="GU18" s="47" t="s">
        <v>17</v>
      </c>
      <c r="GV18" s="47">
        <v>225</v>
      </c>
      <c r="GW18" s="47">
        <v>80</v>
      </c>
      <c r="GX18" s="47"/>
      <c r="GY18" s="47">
        <v>60</v>
      </c>
      <c r="GZ18" s="47">
        <v>381</v>
      </c>
      <c r="HA18" s="47">
        <v>256</v>
      </c>
      <c r="HB18" s="47">
        <v>123</v>
      </c>
      <c r="HC18" s="47"/>
      <c r="HD18" s="47">
        <v>7</v>
      </c>
      <c r="HE18" s="47">
        <v>242</v>
      </c>
      <c r="HF18" s="47">
        <v>409</v>
      </c>
      <c r="HG18" s="47">
        <v>488</v>
      </c>
      <c r="HH18" s="47"/>
      <c r="HI18" s="47">
        <v>8</v>
      </c>
      <c r="HJ18" s="47">
        <v>2279</v>
      </c>
      <c r="HK18" s="1067">
        <f t="shared" si="1"/>
        <v>0.47207303974221265</v>
      </c>
      <c r="HL18" s="47"/>
      <c r="HM18" s="420"/>
      <c r="HN18" s="420" t="s">
        <v>16</v>
      </c>
      <c r="HO18" s="420" t="s">
        <v>17</v>
      </c>
      <c r="HP18" s="1068">
        <v>189</v>
      </c>
      <c r="HQ18" s="1068">
        <v>95</v>
      </c>
      <c r="HR18" s="1068" t="s">
        <v>327</v>
      </c>
      <c r="HS18" s="1068">
        <v>51</v>
      </c>
      <c r="HT18" s="1068">
        <v>421</v>
      </c>
      <c r="HU18" s="1068">
        <v>255</v>
      </c>
      <c r="HV18" s="1068">
        <v>139</v>
      </c>
      <c r="HW18" s="1068" t="s">
        <v>327</v>
      </c>
      <c r="HX18" s="1068">
        <v>35</v>
      </c>
      <c r="HY18" s="1068">
        <v>256</v>
      </c>
      <c r="HZ18" s="1068">
        <v>449</v>
      </c>
      <c r="IA18" s="1068" t="s">
        <v>327</v>
      </c>
      <c r="IB18" s="1068">
        <v>1890</v>
      </c>
      <c r="IC18" s="1068">
        <f t="shared" si="2"/>
        <v>932</v>
      </c>
      <c r="ID18" s="1069">
        <f t="shared" si="3"/>
        <v>0.49312169312169313</v>
      </c>
      <c r="IE18" s="47"/>
      <c r="IF18" s="47"/>
    </row>
    <row r="19" spans="1:240">
      <c r="A19" s="41"/>
      <c r="B19" s="41"/>
      <c r="C19" s="41" t="s">
        <v>18</v>
      </c>
      <c r="D19" s="105">
        <v>484</v>
      </c>
      <c r="E19" s="105">
        <v>266</v>
      </c>
      <c r="F19" s="105"/>
      <c r="G19" s="105">
        <v>67</v>
      </c>
      <c r="H19" s="105">
        <v>1133</v>
      </c>
      <c r="I19" s="105">
        <v>183</v>
      </c>
      <c r="J19" s="105">
        <v>16</v>
      </c>
      <c r="K19" s="105"/>
      <c r="L19" s="105"/>
      <c r="M19" s="105">
        <v>87</v>
      </c>
      <c r="N19" s="105">
        <v>400</v>
      </c>
      <c r="O19" s="105"/>
      <c r="P19" s="105">
        <v>458</v>
      </c>
      <c r="Q19" s="105">
        <v>3</v>
      </c>
      <c r="R19" s="105">
        <v>3097</v>
      </c>
      <c r="S19" s="706">
        <f t="shared" si="4"/>
        <v>0.55462184873949583</v>
      </c>
      <c r="T19" s="5561">
        <f t="shared" si="5"/>
        <v>66</v>
      </c>
      <c r="U19" s="5562">
        <v>3031</v>
      </c>
      <c r="V19" s="706"/>
      <c r="Y19" s="41" t="s">
        <v>18</v>
      </c>
      <c r="Z19" s="41">
        <v>170</v>
      </c>
      <c r="AA19" s="41">
        <v>167</v>
      </c>
      <c r="AB19" s="41">
        <v>1</v>
      </c>
      <c r="AC19" s="41">
        <v>66</v>
      </c>
      <c r="AD19" s="41">
        <v>1600</v>
      </c>
      <c r="AE19" s="41">
        <v>140</v>
      </c>
      <c r="AF19" s="41">
        <v>258</v>
      </c>
      <c r="AG19" s="41">
        <v>10</v>
      </c>
      <c r="AH19" s="41"/>
      <c r="AI19" s="41">
        <v>73</v>
      </c>
      <c r="AJ19" s="41">
        <v>147</v>
      </c>
      <c r="AK19" s="41"/>
      <c r="AL19" s="41">
        <v>367</v>
      </c>
      <c r="AM19" s="41">
        <v>3</v>
      </c>
      <c r="AN19" s="461">
        <v>3002</v>
      </c>
      <c r="AO19" s="4692">
        <f t="shared" si="6"/>
        <v>0.62920973657885959</v>
      </c>
      <c r="AQ19" s="1788"/>
      <c r="AR19" s="1788"/>
      <c r="AS19" s="37" t="s">
        <v>18</v>
      </c>
      <c r="AT19" s="1788">
        <v>431</v>
      </c>
      <c r="AU19" s="1788">
        <v>256</v>
      </c>
      <c r="AV19" s="1788">
        <v>1</v>
      </c>
      <c r="AW19" s="1788">
        <v>67</v>
      </c>
      <c r="AX19" s="1788">
        <v>1253</v>
      </c>
      <c r="AY19" s="1788">
        <v>206</v>
      </c>
      <c r="AZ19" s="1788">
        <v>138</v>
      </c>
      <c r="BA19" s="1788"/>
      <c r="BB19" s="1788"/>
      <c r="BC19" s="1788">
        <v>90</v>
      </c>
      <c r="BD19" s="1788">
        <v>222</v>
      </c>
      <c r="BE19" s="1788"/>
      <c r="BF19" s="1788">
        <v>388</v>
      </c>
      <c r="BG19" s="1788">
        <v>3</v>
      </c>
      <c r="BH19" s="1788">
        <v>3055</v>
      </c>
      <c r="BI19" s="4701">
        <f t="shared" si="7"/>
        <v>0.55078636959370908</v>
      </c>
      <c r="BK19" s="41"/>
      <c r="BL19" s="41"/>
      <c r="BM19" s="41" t="s">
        <v>18</v>
      </c>
      <c r="BN19" s="105">
        <v>327</v>
      </c>
      <c r="BO19" s="105">
        <v>214</v>
      </c>
      <c r="BP19" s="105"/>
      <c r="BQ19" s="105">
        <v>1</v>
      </c>
      <c r="BR19" s="105">
        <v>1308</v>
      </c>
      <c r="BS19" s="105">
        <v>260</v>
      </c>
      <c r="BT19" s="105">
        <v>144</v>
      </c>
      <c r="BU19" s="105"/>
      <c r="BV19" s="105"/>
      <c r="BW19" s="105">
        <v>95</v>
      </c>
      <c r="BX19" s="105">
        <v>180</v>
      </c>
      <c r="BY19" s="105"/>
      <c r="BZ19" s="105">
        <v>408</v>
      </c>
      <c r="CA19" s="105">
        <v>0</v>
      </c>
      <c r="CB19" s="105">
        <v>2937</v>
      </c>
      <c r="CC19" s="2484">
        <f t="shared" si="8"/>
        <v>0.59516513449097719</v>
      </c>
      <c r="CE19" s="41"/>
      <c r="CF19" s="41"/>
      <c r="CG19" s="41" t="s">
        <v>18</v>
      </c>
      <c r="CH19" s="105">
        <v>330</v>
      </c>
      <c r="CI19" s="105">
        <v>256</v>
      </c>
      <c r="CJ19" s="105"/>
      <c r="CK19" s="105">
        <v>59</v>
      </c>
      <c r="CL19" s="105">
        <v>704</v>
      </c>
      <c r="CM19" s="105">
        <v>463</v>
      </c>
      <c r="CN19" s="105">
        <v>110</v>
      </c>
      <c r="CO19" s="105"/>
      <c r="CP19" s="105"/>
      <c r="CQ19" s="105">
        <v>93</v>
      </c>
      <c r="CR19" s="105">
        <v>446</v>
      </c>
      <c r="CS19" s="105"/>
      <c r="CT19" s="105">
        <v>385</v>
      </c>
      <c r="CU19" s="105">
        <v>3</v>
      </c>
      <c r="CV19" s="105">
        <v>2849</v>
      </c>
      <c r="CW19" s="1644">
        <f t="shared" si="0"/>
        <v>0.56676036542515806</v>
      </c>
      <c r="CX19" s="1976"/>
      <c r="CY19" s="41"/>
      <c r="CZ19" s="41"/>
      <c r="DA19" s="41" t="s">
        <v>18</v>
      </c>
      <c r="DB19" s="105">
        <v>120</v>
      </c>
      <c r="DC19" s="105">
        <v>489</v>
      </c>
      <c r="DD19" s="105"/>
      <c r="DE19" s="105">
        <v>58</v>
      </c>
      <c r="DF19" s="105">
        <v>660</v>
      </c>
      <c r="DG19" s="105">
        <v>421</v>
      </c>
      <c r="DH19" s="105">
        <v>125</v>
      </c>
      <c r="DI19" s="105">
        <v>10</v>
      </c>
      <c r="DJ19" s="105"/>
      <c r="DK19" s="105">
        <v>78</v>
      </c>
      <c r="DL19" s="105">
        <v>405</v>
      </c>
      <c r="DM19" s="105"/>
      <c r="DN19" s="105">
        <v>333</v>
      </c>
      <c r="DO19" s="105">
        <v>3</v>
      </c>
      <c r="DP19" s="105">
        <v>2702</v>
      </c>
      <c r="DQ19" s="1644">
        <f t="shared" si="9"/>
        <v>0.5505742867728789</v>
      </c>
      <c r="DS19" s="1311"/>
      <c r="DT19" s="1311"/>
      <c r="DU19" s="1319" t="s">
        <v>18</v>
      </c>
      <c r="DV19" s="1320">
        <v>346</v>
      </c>
      <c r="DW19" s="1320">
        <v>183</v>
      </c>
      <c r="DX19" s="1320">
        <v>0</v>
      </c>
      <c r="DY19" s="1320">
        <v>62</v>
      </c>
      <c r="DZ19" s="1320">
        <v>601</v>
      </c>
      <c r="EA19" s="1320">
        <v>415</v>
      </c>
      <c r="EB19" s="1320">
        <v>124</v>
      </c>
      <c r="EC19" s="1321"/>
      <c r="ED19" s="1321"/>
      <c r="EE19" s="1320">
        <v>92</v>
      </c>
      <c r="EF19" s="1320">
        <v>390</v>
      </c>
      <c r="EG19" s="1321"/>
      <c r="EH19" s="1320">
        <v>366</v>
      </c>
      <c r="EI19" s="1320">
        <v>3</v>
      </c>
      <c r="EJ19" s="1320">
        <v>2582</v>
      </c>
      <c r="EK19" s="1322">
        <f t="shared" si="10"/>
        <v>0.54517254749903066</v>
      </c>
      <c r="EM19" s="1047"/>
      <c r="EN19" s="1047"/>
      <c r="EO19" s="1060" t="s">
        <v>18</v>
      </c>
      <c r="EP19" s="1061">
        <v>328</v>
      </c>
      <c r="EQ19" s="1061">
        <v>205</v>
      </c>
      <c r="ER19" s="1047"/>
      <c r="ES19" s="1061">
        <v>88</v>
      </c>
      <c r="ET19" s="1061">
        <v>612</v>
      </c>
      <c r="EU19" s="1061">
        <v>384</v>
      </c>
      <c r="EV19" s="1061">
        <v>139</v>
      </c>
      <c r="EW19" s="1047"/>
      <c r="EX19" s="1047"/>
      <c r="EY19" s="1061">
        <v>68</v>
      </c>
      <c r="EZ19" s="1061">
        <v>366</v>
      </c>
      <c r="FA19" s="1061">
        <v>473</v>
      </c>
      <c r="FB19" s="1047"/>
      <c r="FC19" s="1061">
        <v>2663</v>
      </c>
      <c r="FD19" s="537">
        <f t="shared" si="11"/>
        <v>0.51145324821629745</v>
      </c>
      <c r="FF19" s="652"/>
      <c r="FG19" s="652"/>
      <c r="FH19" s="1062" t="s">
        <v>18</v>
      </c>
      <c r="FI19" s="1063">
        <v>321</v>
      </c>
      <c r="FJ19" s="1063">
        <v>182</v>
      </c>
      <c r="FK19" s="652"/>
      <c r="FL19" s="1063">
        <v>101</v>
      </c>
      <c r="FM19" s="1063">
        <v>607</v>
      </c>
      <c r="FN19" s="1063">
        <v>379</v>
      </c>
      <c r="FO19" s="1063">
        <v>162</v>
      </c>
      <c r="FP19" s="1063">
        <v>1</v>
      </c>
      <c r="FQ19" s="652"/>
      <c r="FR19" s="1063">
        <v>50</v>
      </c>
      <c r="FS19" s="1063">
        <v>363</v>
      </c>
      <c r="FT19" s="1063">
        <v>471</v>
      </c>
      <c r="FU19" s="652"/>
      <c r="FV19" s="1063">
        <v>2637</v>
      </c>
      <c r="FW19" s="537">
        <f t="shared" si="12"/>
        <v>0.51156617368221469</v>
      </c>
      <c r="FY19" s="817"/>
      <c r="FZ19" s="817"/>
      <c r="GA19" s="1064" t="s">
        <v>18</v>
      </c>
      <c r="GB19" s="1065">
        <v>367</v>
      </c>
      <c r="GC19" s="1065">
        <v>139</v>
      </c>
      <c r="GD19" s="1065">
        <v>0</v>
      </c>
      <c r="GE19" s="1065">
        <v>102</v>
      </c>
      <c r="GF19" s="1065">
        <v>595</v>
      </c>
      <c r="GG19" s="1065">
        <v>281</v>
      </c>
      <c r="GH19" s="1065">
        <v>212</v>
      </c>
      <c r="GI19" s="1065">
        <v>0</v>
      </c>
      <c r="GJ19" s="1065">
        <v>41</v>
      </c>
      <c r="GK19" s="1065">
        <v>350</v>
      </c>
      <c r="GL19" s="1065">
        <v>546</v>
      </c>
      <c r="GM19" s="1065">
        <v>527</v>
      </c>
      <c r="GN19" s="1065">
        <v>0</v>
      </c>
      <c r="GO19" s="1065">
        <v>14</v>
      </c>
      <c r="GP19" s="1065">
        <v>3174</v>
      </c>
      <c r="GQ19" s="1066">
        <f t="shared" si="13"/>
        <v>0.46901300688599845</v>
      </c>
      <c r="GS19" s="107"/>
      <c r="GT19" s="107"/>
      <c r="GU19" s="47" t="s">
        <v>18</v>
      </c>
      <c r="GV19" s="47">
        <v>306</v>
      </c>
      <c r="GW19" s="47">
        <v>139</v>
      </c>
      <c r="GX19" s="47"/>
      <c r="GY19" s="47">
        <v>101</v>
      </c>
      <c r="GZ19" s="47">
        <v>610</v>
      </c>
      <c r="HA19" s="47">
        <v>300</v>
      </c>
      <c r="HB19" s="47">
        <v>215</v>
      </c>
      <c r="HC19" s="47"/>
      <c r="HD19" s="47">
        <v>34</v>
      </c>
      <c r="HE19" s="47">
        <v>301</v>
      </c>
      <c r="HF19" s="47">
        <v>552</v>
      </c>
      <c r="HG19" s="47">
        <v>559</v>
      </c>
      <c r="HH19" s="47"/>
      <c r="HI19" s="47">
        <v>10</v>
      </c>
      <c r="HJ19" s="47">
        <v>3127</v>
      </c>
      <c r="HK19" s="1067">
        <f t="shared" si="1"/>
        <v>0.47212475633528267</v>
      </c>
      <c r="HL19" s="47"/>
      <c r="HM19" s="420"/>
      <c r="HN19" s="420"/>
      <c r="HO19" s="420" t="s">
        <v>18</v>
      </c>
      <c r="HP19" s="1068">
        <v>277</v>
      </c>
      <c r="HQ19" s="1068">
        <v>133</v>
      </c>
      <c r="HR19" s="1068" t="s">
        <v>327</v>
      </c>
      <c r="HS19" s="1068">
        <v>99</v>
      </c>
      <c r="HT19" s="1068">
        <v>629</v>
      </c>
      <c r="HU19" s="1068">
        <v>313</v>
      </c>
      <c r="HV19" s="1068">
        <v>219</v>
      </c>
      <c r="HW19" s="1068" t="s">
        <v>327</v>
      </c>
      <c r="HX19" s="1068">
        <v>57</v>
      </c>
      <c r="HY19" s="1068">
        <v>334</v>
      </c>
      <c r="HZ19" s="1068">
        <v>606</v>
      </c>
      <c r="IA19" s="1068" t="s">
        <v>327</v>
      </c>
      <c r="IB19" s="1068">
        <v>2667</v>
      </c>
      <c r="IC19" s="1068">
        <f t="shared" si="2"/>
        <v>1276</v>
      </c>
      <c r="ID19" s="1069">
        <f t="shared" si="3"/>
        <v>0.47844019497562806</v>
      </c>
      <c r="IE19" s="47"/>
      <c r="IF19" s="47"/>
    </row>
    <row r="20" spans="1:240">
      <c r="A20" s="41"/>
      <c r="B20" s="41"/>
      <c r="C20" s="41" t="s">
        <v>19</v>
      </c>
      <c r="D20" s="105">
        <v>365</v>
      </c>
      <c r="E20" s="105">
        <v>243</v>
      </c>
      <c r="F20" s="105"/>
      <c r="G20" s="105">
        <v>67</v>
      </c>
      <c r="H20" s="105">
        <v>233</v>
      </c>
      <c r="I20" s="105">
        <v>39</v>
      </c>
      <c r="J20" s="105">
        <v>12</v>
      </c>
      <c r="K20" s="105"/>
      <c r="L20" s="105"/>
      <c r="M20" s="105">
        <v>79</v>
      </c>
      <c r="N20" s="105">
        <v>44</v>
      </c>
      <c r="O20" s="105"/>
      <c r="P20" s="105">
        <v>329</v>
      </c>
      <c r="Q20" s="105">
        <v>3</v>
      </c>
      <c r="R20" s="105">
        <v>1414</v>
      </c>
      <c r="S20" s="706">
        <f t="shared" si="4"/>
        <v>0.22395464209780297</v>
      </c>
      <c r="T20" s="5561">
        <f t="shared" si="5"/>
        <v>10</v>
      </c>
      <c r="U20" s="5562">
        <v>1404</v>
      </c>
      <c r="V20" s="706"/>
      <c r="Y20" s="41" t="s">
        <v>19</v>
      </c>
      <c r="Z20" s="41">
        <v>183</v>
      </c>
      <c r="AA20" s="41">
        <v>146</v>
      </c>
      <c r="AB20" s="41">
        <v>0</v>
      </c>
      <c r="AC20" s="41">
        <v>83</v>
      </c>
      <c r="AD20" s="41">
        <v>362</v>
      </c>
      <c r="AE20" s="41">
        <v>34</v>
      </c>
      <c r="AF20" s="41">
        <v>168</v>
      </c>
      <c r="AG20" s="41">
        <v>2</v>
      </c>
      <c r="AH20" s="41"/>
      <c r="AI20" s="41">
        <v>74</v>
      </c>
      <c r="AJ20" s="41">
        <v>30</v>
      </c>
      <c r="AK20" s="41"/>
      <c r="AL20" s="41">
        <v>253</v>
      </c>
      <c r="AM20" s="41">
        <v>1</v>
      </c>
      <c r="AN20" s="461">
        <v>1336</v>
      </c>
      <c r="AO20" s="4692">
        <f t="shared" si="6"/>
        <v>0.31910112359550563</v>
      </c>
      <c r="AQ20" s="1788"/>
      <c r="AR20" s="1788"/>
      <c r="AS20" s="37" t="s">
        <v>19</v>
      </c>
      <c r="AT20" s="1788">
        <v>288</v>
      </c>
      <c r="AU20" s="1788">
        <v>191</v>
      </c>
      <c r="AV20" s="1788">
        <v>0</v>
      </c>
      <c r="AW20" s="1788">
        <v>71</v>
      </c>
      <c r="AX20" s="1788">
        <v>254</v>
      </c>
      <c r="AY20" s="1788">
        <v>50</v>
      </c>
      <c r="AZ20" s="1788">
        <v>107</v>
      </c>
      <c r="BA20" s="1788"/>
      <c r="BB20" s="1788"/>
      <c r="BC20" s="1788">
        <v>91</v>
      </c>
      <c r="BD20" s="1788">
        <v>25</v>
      </c>
      <c r="BE20" s="1788"/>
      <c r="BF20" s="1788">
        <v>270</v>
      </c>
      <c r="BG20" s="1788">
        <v>2</v>
      </c>
      <c r="BH20" s="1788">
        <v>1349</v>
      </c>
      <c r="BI20" s="4701">
        <f t="shared" si="7"/>
        <v>0.24424647364513735</v>
      </c>
      <c r="BK20" s="41"/>
      <c r="BL20" s="41"/>
      <c r="BM20" s="41" t="s">
        <v>19</v>
      </c>
      <c r="BN20" s="105">
        <v>286</v>
      </c>
      <c r="BO20" s="105">
        <v>169</v>
      </c>
      <c r="BP20" s="105"/>
      <c r="BQ20" s="105">
        <v>1</v>
      </c>
      <c r="BR20" s="105">
        <v>308</v>
      </c>
      <c r="BS20" s="105">
        <v>29</v>
      </c>
      <c r="BT20" s="105">
        <v>74</v>
      </c>
      <c r="BU20" s="105"/>
      <c r="BV20" s="105"/>
      <c r="BW20" s="105">
        <v>72</v>
      </c>
      <c r="BX20" s="105">
        <v>25</v>
      </c>
      <c r="BY20" s="105"/>
      <c r="BZ20" s="105">
        <v>292</v>
      </c>
      <c r="CA20" s="105">
        <v>0</v>
      </c>
      <c r="CB20" s="105">
        <v>1256</v>
      </c>
      <c r="CC20" s="2484">
        <f t="shared" si="8"/>
        <v>0.28821656050955413</v>
      </c>
      <c r="CE20" s="41"/>
      <c r="CF20" s="41"/>
      <c r="CG20" s="41" t="s">
        <v>19</v>
      </c>
      <c r="CH20" s="105">
        <v>249</v>
      </c>
      <c r="CI20" s="105">
        <v>197</v>
      </c>
      <c r="CJ20" s="105"/>
      <c r="CK20" s="105">
        <v>72</v>
      </c>
      <c r="CL20" s="105">
        <v>273</v>
      </c>
      <c r="CM20" s="105">
        <v>53</v>
      </c>
      <c r="CN20" s="105">
        <v>89</v>
      </c>
      <c r="CO20" s="105"/>
      <c r="CP20" s="105"/>
      <c r="CQ20" s="105">
        <v>83</v>
      </c>
      <c r="CR20" s="105">
        <v>32</v>
      </c>
      <c r="CS20" s="105"/>
      <c r="CT20" s="105">
        <v>252</v>
      </c>
      <c r="CU20" s="105">
        <v>1</v>
      </c>
      <c r="CV20" s="105">
        <v>1301</v>
      </c>
      <c r="CW20" s="1644">
        <f t="shared" si="0"/>
        <v>0.27538461538461539</v>
      </c>
      <c r="CX20" s="1976"/>
      <c r="CY20" s="41"/>
      <c r="CZ20" s="41"/>
      <c r="DA20" s="41" t="s">
        <v>19</v>
      </c>
      <c r="DB20" s="105">
        <v>103</v>
      </c>
      <c r="DC20" s="105">
        <v>339</v>
      </c>
      <c r="DD20" s="105"/>
      <c r="DE20" s="105">
        <v>76</v>
      </c>
      <c r="DF20" s="105">
        <v>281</v>
      </c>
      <c r="DG20" s="105">
        <v>20</v>
      </c>
      <c r="DH20" s="105">
        <v>93</v>
      </c>
      <c r="DI20" s="105">
        <v>0</v>
      </c>
      <c r="DJ20" s="105"/>
      <c r="DK20" s="105">
        <v>60</v>
      </c>
      <c r="DL20" s="105">
        <v>30</v>
      </c>
      <c r="DM20" s="105"/>
      <c r="DN20" s="105">
        <v>243</v>
      </c>
      <c r="DO20" s="105">
        <v>1</v>
      </c>
      <c r="DP20" s="105">
        <v>1246</v>
      </c>
      <c r="DQ20" s="1644">
        <f t="shared" si="9"/>
        <v>0.26586345381526105</v>
      </c>
      <c r="DS20" s="1311"/>
      <c r="DT20" s="1311"/>
      <c r="DU20" s="1319" t="s">
        <v>19</v>
      </c>
      <c r="DV20" s="1320">
        <v>217</v>
      </c>
      <c r="DW20" s="1320">
        <v>157</v>
      </c>
      <c r="DX20" s="1320">
        <v>0</v>
      </c>
      <c r="DY20" s="1320">
        <v>73</v>
      </c>
      <c r="DZ20" s="1320">
        <v>270</v>
      </c>
      <c r="EA20" s="1320">
        <v>10</v>
      </c>
      <c r="EB20" s="1320">
        <v>89</v>
      </c>
      <c r="EC20" s="1321"/>
      <c r="ED20" s="1321"/>
      <c r="EE20" s="1320">
        <v>84</v>
      </c>
      <c r="EF20" s="1320">
        <v>41</v>
      </c>
      <c r="EG20" s="1321"/>
      <c r="EH20" s="1320">
        <v>259</v>
      </c>
      <c r="EI20" s="1320">
        <v>0</v>
      </c>
      <c r="EJ20" s="1320">
        <v>1200</v>
      </c>
      <c r="EK20" s="1322">
        <f t="shared" si="10"/>
        <v>0.26750000000000002</v>
      </c>
      <c r="EM20" s="1047"/>
      <c r="EN20" s="1047"/>
      <c r="EO20" s="1060" t="s">
        <v>19</v>
      </c>
      <c r="EP20" s="1061">
        <v>243</v>
      </c>
      <c r="EQ20" s="1061">
        <v>143</v>
      </c>
      <c r="ER20" s="1047"/>
      <c r="ES20" s="1061">
        <v>96</v>
      </c>
      <c r="ET20" s="1061">
        <v>280</v>
      </c>
      <c r="EU20" s="1061">
        <v>21</v>
      </c>
      <c r="EV20" s="1061">
        <v>107</v>
      </c>
      <c r="EW20" s="1047"/>
      <c r="EX20" s="1047"/>
      <c r="EY20" s="1061">
        <v>56</v>
      </c>
      <c r="EZ20" s="1061">
        <v>14</v>
      </c>
      <c r="FA20" s="1061">
        <v>358</v>
      </c>
      <c r="FB20" s="1047"/>
      <c r="FC20" s="1061">
        <v>1318</v>
      </c>
      <c r="FD20" s="537">
        <f t="shared" si="11"/>
        <v>0.23899848254931716</v>
      </c>
      <c r="FF20" s="652"/>
      <c r="FG20" s="652"/>
      <c r="FH20" s="1062" t="s">
        <v>19</v>
      </c>
      <c r="FI20" s="1063">
        <v>211</v>
      </c>
      <c r="FJ20" s="1063">
        <v>164</v>
      </c>
      <c r="FK20" s="652"/>
      <c r="FL20" s="1063">
        <v>104</v>
      </c>
      <c r="FM20" s="1063">
        <v>284</v>
      </c>
      <c r="FN20" s="1063">
        <v>28</v>
      </c>
      <c r="FO20" s="1063">
        <v>81</v>
      </c>
      <c r="FP20" s="1063">
        <v>8</v>
      </c>
      <c r="FQ20" s="652"/>
      <c r="FR20" s="1063">
        <v>32</v>
      </c>
      <c r="FS20" s="1063">
        <v>16</v>
      </c>
      <c r="FT20" s="1063">
        <v>353</v>
      </c>
      <c r="FU20" s="652"/>
      <c r="FV20" s="1063">
        <v>1281</v>
      </c>
      <c r="FW20" s="537">
        <f t="shared" si="12"/>
        <v>0.25604996096799376</v>
      </c>
      <c r="FY20" s="817"/>
      <c r="FZ20" s="817"/>
      <c r="GA20" s="1064" t="s">
        <v>19</v>
      </c>
      <c r="GB20" s="1065">
        <v>215</v>
      </c>
      <c r="GC20" s="1065">
        <v>109</v>
      </c>
      <c r="GD20" s="1065">
        <v>0</v>
      </c>
      <c r="GE20" s="1065">
        <v>109</v>
      </c>
      <c r="GF20" s="1065">
        <v>247</v>
      </c>
      <c r="GG20" s="1065">
        <v>34</v>
      </c>
      <c r="GH20" s="1065">
        <v>109</v>
      </c>
      <c r="GI20" s="1065">
        <v>0</v>
      </c>
      <c r="GJ20" s="1065">
        <v>53</v>
      </c>
      <c r="GK20" s="1065">
        <v>19</v>
      </c>
      <c r="GL20" s="1065">
        <v>327</v>
      </c>
      <c r="GM20" s="1065">
        <v>354</v>
      </c>
      <c r="GN20" s="1065">
        <v>0</v>
      </c>
      <c r="GO20" s="1065">
        <v>6</v>
      </c>
      <c r="GP20" s="1065">
        <v>1582</v>
      </c>
      <c r="GQ20" s="1066">
        <f t="shared" si="13"/>
        <v>0.24019215372297839</v>
      </c>
      <c r="GS20" s="107"/>
      <c r="GT20" s="107"/>
      <c r="GU20" s="47" t="s">
        <v>19</v>
      </c>
      <c r="GV20" s="47">
        <v>197</v>
      </c>
      <c r="GW20" s="47">
        <v>123</v>
      </c>
      <c r="GX20" s="47"/>
      <c r="GY20" s="47">
        <v>103</v>
      </c>
      <c r="GZ20" s="47">
        <v>262</v>
      </c>
      <c r="HA20" s="47">
        <v>26</v>
      </c>
      <c r="HB20" s="47">
        <v>123</v>
      </c>
      <c r="HC20" s="47"/>
      <c r="HD20" s="47">
        <v>35</v>
      </c>
      <c r="HE20" s="47">
        <v>14</v>
      </c>
      <c r="HF20" s="47">
        <v>299</v>
      </c>
      <c r="HG20" s="47">
        <v>347</v>
      </c>
      <c r="HH20" s="47"/>
      <c r="HI20" s="47">
        <v>2</v>
      </c>
      <c r="HJ20" s="47">
        <v>1531</v>
      </c>
      <c r="HK20" s="1067">
        <f t="shared" si="1"/>
        <v>0.24552845528455283</v>
      </c>
      <c r="HL20" s="47"/>
      <c r="HM20" s="420"/>
      <c r="HN20" s="420"/>
      <c r="HO20" s="420" t="s">
        <v>19</v>
      </c>
      <c r="HP20" s="1068">
        <v>173</v>
      </c>
      <c r="HQ20" s="1068">
        <v>96</v>
      </c>
      <c r="HR20" s="1068" t="s">
        <v>327</v>
      </c>
      <c r="HS20" s="1068">
        <v>110</v>
      </c>
      <c r="HT20" s="1068">
        <v>260</v>
      </c>
      <c r="HU20" s="1068">
        <v>20</v>
      </c>
      <c r="HV20" s="1068">
        <v>130</v>
      </c>
      <c r="HW20" s="1068" t="s">
        <v>327</v>
      </c>
      <c r="HX20" s="1068">
        <v>59</v>
      </c>
      <c r="HY20" s="1068">
        <v>25</v>
      </c>
      <c r="HZ20" s="1068">
        <v>366</v>
      </c>
      <c r="IA20" s="1068" t="s">
        <v>327</v>
      </c>
      <c r="IB20" s="1068">
        <v>1239</v>
      </c>
      <c r="IC20" s="1068">
        <f t="shared" si="2"/>
        <v>305</v>
      </c>
      <c r="ID20" s="1069">
        <f t="shared" si="3"/>
        <v>0.24616626311541565</v>
      </c>
      <c r="IE20" s="47"/>
      <c r="IF20" s="47"/>
    </row>
    <row r="21" spans="1:240">
      <c r="A21" s="41"/>
      <c r="B21" s="41"/>
      <c r="C21" s="41" t="s">
        <v>20</v>
      </c>
      <c r="D21" s="105">
        <v>244</v>
      </c>
      <c r="E21" s="105">
        <v>269</v>
      </c>
      <c r="F21" s="105"/>
      <c r="G21" s="105">
        <v>42</v>
      </c>
      <c r="H21" s="105">
        <v>266</v>
      </c>
      <c r="I21" s="105">
        <v>58</v>
      </c>
      <c r="J21" s="105">
        <v>7</v>
      </c>
      <c r="K21" s="105"/>
      <c r="L21" s="105"/>
      <c r="M21" s="105">
        <v>136</v>
      </c>
      <c r="N21" s="105">
        <v>59</v>
      </c>
      <c r="O21" s="105"/>
      <c r="P21" s="105">
        <v>277</v>
      </c>
      <c r="Q21" s="105">
        <v>0</v>
      </c>
      <c r="R21" s="105">
        <v>1358</v>
      </c>
      <c r="S21" s="706">
        <f t="shared" si="4"/>
        <v>0.28203240058910162</v>
      </c>
      <c r="T21" s="5561">
        <f t="shared" si="5"/>
        <v>7</v>
      </c>
      <c r="U21" s="5562">
        <v>1351</v>
      </c>
      <c r="V21" s="706"/>
      <c r="Y21" s="41" t="s">
        <v>20</v>
      </c>
      <c r="Z21" s="41">
        <v>106</v>
      </c>
      <c r="AA21" s="41">
        <v>211</v>
      </c>
      <c r="AB21" s="41">
        <v>1</v>
      </c>
      <c r="AC21" s="41">
        <v>48</v>
      </c>
      <c r="AD21" s="41">
        <v>405</v>
      </c>
      <c r="AE21" s="41">
        <v>53</v>
      </c>
      <c r="AF21" s="41">
        <v>169</v>
      </c>
      <c r="AG21" s="41">
        <v>2</v>
      </c>
      <c r="AH21" s="41"/>
      <c r="AI21" s="41">
        <v>131</v>
      </c>
      <c r="AJ21" s="41">
        <v>33</v>
      </c>
      <c r="AK21" s="41"/>
      <c r="AL21" s="41">
        <v>214</v>
      </c>
      <c r="AM21" s="41">
        <v>1</v>
      </c>
      <c r="AN21" s="461">
        <v>1374</v>
      </c>
      <c r="AO21" s="4692">
        <f t="shared" si="6"/>
        <v>0.35761107064821557</v>
      </c>
      <c r="AQ21" s="1788"/>
      <c r="AR21" s="1788"/>
      <c r="AS21" s="37" t="s">
        <v>20</v>
      </c>
      <c r="AT21" s="1788">
        <v>203</v>
      </c>
      <c r="AU21" s="1788">
        <v>227</v>
      </c>
      <c r="AV21" s="1788">
        <v>1</v>
      </c>
      <c r="AW21" s="1788">
        <v>46</v>
      </c>
      <c r="AX21" s="1788">
        <v>269</v>
      </c>
      <c r="AY21" s="1788">
        <v>70</v>
      </c>
      <c r="AZ21" s="1788">
        <v>80</v>
      </c>
      <c r="BA21" s="1788"/>
      <c r="BB21" s="1788"/>
      <c r="BC21" s="1788">
        <v>173</v>
      </c>
      <c r="BD21" s="1788">
        <v>55</v>
      </c>
      <c r="BE21" s="1788"/>
      <c r="BF21" s="1788">
        <v>224</v>
      </c>
      <c r="BG21" s="1788">
        <v>0</v>
      </c>
      <c r="BH21" s="1788">
        <v>1348</v>
      </c>
      <c r="BI21" s="4701">
        <f t="shared" si="7"/>
        <v>0.29228486646884272</v>
      </c>
      <c r="BK21" s="41"/>
      <c r="BL21" s="41"/>
      <c r="BM21" s="41" t="s">
        <v>20</v>
      </c>
      <c r="BN21" s="105">
        <v>216</v>
      </c>
      <c r="BO21" s="105">
        <v>213</v>
      </c>
      <c r="BP21" s="105"/>
      <c r="BQ21" s="105">
        <v>4</v>
      </c>
      <c r="BR21" s="105">
        <v>329</v>
      </c>
      <c r="BS21" s="105">
        <v>46</v>
      </c>
      <c r="BT21" s="105">
        <v>102</v>
      </c>
      <c r="BU21" s="105"/>
      <c r="BV21" s="105"/>
      <c r="BW21" s="105">
        <v>140</v>
      </c>
      <c r="BX21" s="105">
        <v>51</v>
      </c>
      <c r="BY21" s="105"/>
      <c r="BZ21" s="105">
        <v>229</v>
      </c>
      <c r="CA21" s="105">
        <v>0</v>
      </c>
      <c r="CB21" s="105">
        <v>1330</v>
      </c>
      <c r="CC21" s="2484">
        <f t="shared" si="8"/>
        <v>0.32030075187969925</v>
      </c>
      <c r="CE21" s="41"/>
      <c r="CF21" s="41"/>
      <c r="CG21" s="41" t="s">
        <v>20</v>
      </c>
      <c r="CH21" s="105">
        <v>195</v>
      </c>
      <c r="CI21" s="105">
        <v>230</v>
      </c>
      <c r="CJ21" s="105"/>
      <c r="CK21" s="105">
        <v>49</v>
      </c>
      <c r="CL21" s="105">
        <v>291</v>
      </c>
      <c r="CM21" s="105">
        <v>70</v>
      </c>
      <c r="CN21" s="105">
        <v>89</v>
      </c>
      <c r="CO21" s="105"/>
      <c r="CP21" s="105"/>
      <c r="CQ21" s="105">
        <v>142</v>
      </c>
      <c r="CR21" s="105">
        <v>52</v>
      </c>
      <c r="CS21" s="105"/>
      <c r="CT21" s="105">
        <v>235</v>
      </c>
      <c r="CU21" s="105">
        <v>1</v>
      </c>
      <c r="CV21" s="105">
        <v>1354</v>
      </c>
      <c r="CW21" s="1644">
        <f t="shared" si="0"/>
        <v>0.30524759793052475</v>
      </c>
      <c r="CX21" s="1976"/>
      <c r="CY21" s="41"/>
      <c r="CZ21" s="41"/>
      <c r="DA21" s="41" t="s">
        <v>20</v>
      </c>
      <c r="DB21" s="105">
        <v>95</v>
      </c>
      <c r="DC21" s="105">
        <v>345</v>
      </c>
      <c r="DD21" s="105"/>
      <c r="DE21" s="105">
        <v>55</v>
      </c>
      <c r="DF21" s="105">
        <v>280</v>
      </c>
      <c r="DG21" s="105">
        <v>51</v>
      </c>
      <c r="DH21" s="105">
        <v>84</v>
      </c>
      <c r="DI21" s="105">
        <v>12</v>
      </c>
      <c r="DJ21" s="105"/>
      <c r="DK21" s="105">
        <v>115</v>
      </c>
      <c r="DL21" s="105">
        <v>41</v>
      </c>
      <c r="DM21" s="105"/>
      <c r="DN21" s="105">
        <v>233</v>
      </c>
      <c r="DO21" s="105">
        <v>1</v>
      </c>
      <c r="DP21" s="105">
        <v>1312</v>
      </c>
      <c r="DQ21" s="1644">
        <f t="shared" si="9"/>
        <v>0.28375286041189929</v>
      </c>
      <c r="DS21" s="1311"/>
      <c r="DT21" s="1311"/>
      <c r="DU21" s="1319" t="s">
        <v>20</v>
      </c>
      <c r="DV21" s="1320">
        <v>198</v>
      </c>
      <c r="DW21" s="1320">
        <v>164</v>
      </c>
      <c r="DX21" s="1320">
        <v>0</v>
      </c>
      <c r="DY21" s="1320">
        <v>54</v>
      </c>
      <c r="DZ21" s="1320">
        <v>257</v>
      </c>
      <c r="EA21" s="1320">
        <v>46</v>
      </c>
      <c r="EB21" s="1320">
        <v>97</v>
      </c>
      <c r="EC21" s="1321"/>
      <c r="ED21" s="1321"/>
      <c r="EE21" s="1320">
        <v>127</v>
      </c>
      <c r="EF21" s="1320">
        <v>66</v>
      </c>
      <c r="EG21" s="1321"/>
      <c r="EH21" s="1320">
        <v>248</v>
      </c>
      <c r="EI21" s="1320">
        <v>1</v>
      </c>
      <c r="EJ21" s="1320">
        <v>1258</v>
      </c>
      <c r="EK21" s="1322">
        <f t="shared" si="10"/>
        <v>0.2935560859188544</v>
      </c>
      <c r="EM21" s="1047"/>
      <c r="EN21" s="1047"/>
      <c r="EO21" s="1060" t="s">
        <v>20</v>
      </c>
      <c r="EP21" s="1061">
        <v>216</v>
      </c>
      <c r="EQ21" s="1061">
        <v>185</v>
      </c>
      <c r="ER21" s="1047"/>
      <c r="ES21" s="1061">
        <v>84</v>
      </c>
      <c r="ET21" s="1061">
        <v>251</v>
      </c>
      <c r="EU21" s="1061">
        <v>49</v>
      </c>
      <c r="EV21" s="1061">
        <v>128</v>
      </c>
      <c r="EW21" s="1047"/>
      <c r="EX21" s="1047"/>
      <c r="EY21" s="1061">
        <v>94</v>
      </c>
      <c r="EZ21" s="1061">
        <v>46</v>
      </c>
      <c r="FA21" s="1061">
        <v>305</v>
      </c>
      <c r="FB21" s="1047"/>
      <c r="FC21" s="1061">
        <v>1358</v>
      </c>
      <c r="FD21" s="537">
        <f t="shared" si="11"/>
        <v>0.25478645066273931</v>
      </c>
      <c r="FF21" s="652"/>
      <c r="FG21" s="652"/>
      <c r="FH21" s="1062" t="s">
        <v>20</v>
      </c>
      <c r="FI21" s="1063">
        <v>213</v>
      </c>
      <c r="FJ21" s="1063">
        <v>209</v>
      </c>
      <c r="FK21" s="652"/>
      <c r="FL21" s="1063">
        <v>92</v>
      </c>
      <c r="FM21" s="1063">
        <v>249</v>
      </c>
      <c r="FN21" s="1063">
        <v>49</v>
      </c>
      <c r="FO21" s="1063">
        <v>121</v>
      </c>
      <c r="FP21" s="1063">
        <v>0</v>
      </c>
      <c r="FQ21" s="652"/>
      <c r="FR21" s="1063">
        <v>79</v>
      </c>
      <c r="FS21" s="1063">
        <v>31</v>
      </c>
      <c r="FT21" s="1063">
        <v>323</v>
      </c>
      <c r="FU21" s="652"/>
      <c r="FV21" s="1063">
        <v>1366</v>
      </c>
      <c r="FW21" s="537">
        <f t="shared" si="12"/>
        <v>0.24084919472913616</v>
      </c>
      <c r="FY21" s="817"/>
      <c r="FZ21" s="817"/>
      <c r="GA21" s="1064" t="s">
        <v>20</v>
      </c>
      <c r="GB21" s="1065">
        <v>225</v>
      </c>
      <c r="GC21" s="1065">
        <v>140</v>
      </c>
      <c r="GD21" s="1065">
        <v>0</v>
      </c>
      <c r="GE21" s="1065">
        <v>90</v>
      </c>
      <c r="GF21" s="1065">
        <v>222</v>
      </c>
      <c r="GG21" s="1065">
        <v>40</v>
      </c>
      <c r="GH21" s="1065">
        <v>118</v>
      </c>
      <c r="GI21" s="1065">
        <v>0</v>
      </c>
      <c r="GJ21" s="1065">
        <v>89</v>
      </c>
      <c r="GK21" s="1065">
        <v>29</v>
      </c>
      <c r="GL21" s="1065">
        <v>234</v>
      </c>
      <c r="GM21" s="1065">
        <v>390</v>
      </c>
      <c r="GN21" s="1065">
        <v>0</v>
      </c>
      <c r="GO21" s="1065">
        <v>5</v>
      </c>
      <c r="GP21" s="1065">
        <v>1582</v>
      </c>
      <c r="GQ21" s="1066">
        <f t="shared" si="13"/>
        <v>0.21667907669396871</v>
      </c>
      <c r="GS21" s="107"/>
      <c r="GT21" s="107"/>
      <c r="GU21" s="47" t="s">
        <v>20</v>
      </c>
      <c r="GV21" s="47">
        <v>166</v>
      </c>
      <c r="GW21" s="47">
        <v>143</v>
      </c>
      <c r="GX21" s="47"/>
      <c r="GY21" s="47">
        <v>97</v>
      </c>
      <c r="GZ21" s="47">
        <v>210</v>
      </c>
      <c r="HA21" s="47">
        <v>58</v>
      </c>
      <c r="HB21" s="47">
        <v>143</v>
      </c>
      <c r="HC21" s="47"/>
      <c r="HD21" s="47">
        <v>76</v>
      </c>
      <c r="HE21" s="47">
        <v>24</v>
      </c>
      <c r="HF21" s="47">
        <v>227</v>
      </c>
      <c r="HG21" s="47">
        <v>385</v>
      </c>
      <c r="HH21" s="47"/>
      <c r="HI21" s="47">
        <v>5</v>
      </c>
      <c r="HJ21" s="47">
        <v>1534</v>
      </c>
      <c r="HK21" s="1067">
        <f t="shared" si="1"/>
        <v>0.22427035330261136</v>
      </c>
      <c r="HL21" s="47"/>
      <c r="HM21" s="420"/>
      <c r="HN21" s="420"/>
      <c r="HO21" s="420" t="s">
        <v>20</v>
      </c>
      <c r="HP21" s="1068">
        <v>151</v>
      </c>
      <c r="HQ21" s="1068">
        <v>129</v>
      </c>
      <c r="HR21" s="1068" t="s">
        <v>327</v>
      </c>
      <c r="HS21" s="1068">
        <v>100</v>
      </c>
      <c r="HT21" s="1068">
        <v>215</v>
      </c>
      <c r="HU21" s="1068">
        <v>37</v>
      </c>
      <c r="HV21" s="1068">
        <v>135</v>
      </c>
      <c r="HW21" s="1068" t="s">
        <v>327</v>
      </c>
      <c r="HX21" s="1068">
        <v>111</v>
      </c>
      <c r="HY21" s="1068">
        <v>33</v>
      </c>
      <c r="HZ21" s="1068">
        <v>417</v>
      </c>
      <c r="IA21" s="1068" t="s">
        <v>327</v>
      </c>
      <c r="IB21" s="1068">
        <v>1328</v>
      </c>
      <c r="IC21" s="1068">
        <f t="shared" si="2"/>
        <v>285</v>
      </c>
      <c r="ID21" s="1069">
        <f t="shared" si="3"/>
        <v>0.21460843373493976</v>
      </c>
      <c r="IE21" s="47"/>
      <c r="IF21" s="47"/>
    </row>
    <row r="22" spans="1:240">
      <c r="A22" s="41"/>
      <c r="B22" s="41"/>
      <c r="C22" s="461" t="s">
        <v>545</v>
      </c>
      <c r="D22" s="5556">
        <v>1333</v>
      </c>
      <c r="E22" s="5556">
        <v>952</v>
      </c>
      <c r="F22" s="5556"/>
      <c r="G22" s="5556">
        <v>223</v>
      </c>
      <c r="H22" s="5556">
        <v>2240</v>
      </c>
      <c r="I22" s="5556">
        <v>490</v>
      </c>
      <c r="J22" s="5556">
        <v>44</v>
      </c>
      <c r="K22" s="5556"/>
      <c r="L22" s="5556"/>
      <c r="M22" s="5556">
        <v>320</v>
      </c>
      <c r="N22" s="5556">
        <v>744</v>
      </c>
      <c r="O22" s="5556"/>
      <c r="P22" s="5556">
        <v>1403</v>
      </c>
      <c r="Q22" s="5556">
        <v>6</v>
      </c>
      <c r="R22" s="5556">
        <v>7755</v>
      </c>
      <c r="S22" s="706">
        <f t="shared" si="4"/>
        <v>0.44831591173054586</v>
      </c>
      <c r="T22" s="5561"/>
      <c r="U22" s="5562"/>
      <c r="V22" s="706"/>
      <c r="Y22" s="41" t="s">
        <v>15</v>
      </c>
      <c r="Z22" s="41">
        <v>526</v>
      </c>
      <c r="AA22" s="41">
        <v>625</v>
      </c>
      <c r="AB22" s="41">
        <v>2</v>
      </c>
      <c r="AC22" s="41">
        <v>241</v>
      </c>
      <c r="AD22" s="41">
        <v>3222</v>
      </c>
      <c r="AE22" s="41">
        <v>430</v>
      </c>
      <c r="AF22" s="41">
        <v>754</v>
      </c>
      <c r="AG22" s="41">
        <v>14</v>
      </c>
      <c r="AH22" s="41"/>
      <c r="AI22" s="41">
        <v>298</v>
      </c>
      <c r="AJ22" s="41">
        <v>371</v>
      </c>
      <c r="AK22" s="41"/>
      <c r="AL22" s="41">
        <v>1107</v>
      </c>
      <c r="AM22" s="41">
        <v>6</v>
      </c>
      <c r="AN22" s="461">
        <v>7596</v>
      </c>
      <c r="AO22" s="4692">
        <f t="shared" si="6"/>
        <v>0.53003952569169965</v>
      </c>
      <c r="AQ22" s="1788"/>
      <c r="AR22" s="1788"/>
      <c r="AS22" s="1793" t="s">
        <v>545</v>
      </c>
      <c r="AT22" s="4702">
        <v>1138</v>
      </c>
      <c r="AU22" s="4702">
        <v>812</v>
      </c>
      <c r="AV22" s="4702">
        <v>2</v>
      </c>
      <c r="AW22" s="4702">
        <v>230</v>
      </c>
      <c r="AX22" s="4702">
        <v>2399</v>
      </c>
      <c r="AY22" s="4702">
        <v>563</v>
      </c>
      <c r="AZ22" s="4702">
        <v>419</v>
      </c>
      <c r="BA22" s="4702"/>
      <c r="BB22" s="4702"/>
      <c r="BC22" s="4702">
        <v>392</v>
      </c>
      <c r="BD22" s="4702">
        <v>491</v>
      </c>
      <c r="BE22" s="4702"/>
      <c r="BF22" s="4702">
        <v>1178</v>
      </c>
      <c r="BG22" s="4702">
        <v>6</v>
      </c>
      <c r="BH22" s="4702">
        <v>7630</v>
      </c>
      <c r="BI22" s="4703">
        <f t="shared" si="7"/>
        <v>0.45291185729275968</v>
      </c>
      <c r="BK22" s="41"/>
      <c r="BL22" s="41"/>
      <c r="BM22" s="461" t="s">
        <v>545</v>
      </c>
      <c r="BN22" s="2473">
        <v>1012</v>
      </c>
      <c r="BO22" s="2473">
        <v>720</v>
      </c>
      <c r="BP22" s="2473"/>
      <c r="BQ22" s="2473">
        <v>9</v>
      </c>
      <c r="BR22" s="2473">
        <v>2653</v>
      </c>
      <c r="BS22" s="2473">
        <v>537</v>
      </c>
      <c r="BT22" s="2473">
        <v>399</v>
      </c>
      <c r="BU22" s="2473"/>
      <c r="BV22" s="2473"/>
      <c r="BW22" s="2473">
        <v>334</v>
      </c>
      <c r="BX22" s="2473">
        <v>480</v>
      </c>
      <c r="BY22" s="2473"/>
      <c r="BZ22" s="2473">
        <v>1225</v>
      </c>
      <c r="CA22" s="2473">
        <v>1</v>
      </c>
      <c r="CB22" s="2473">
        <v>7370</v>
      </c>
      <c r="CC22" s="2484">
        <f t="shared" si="8"/>
        <v>0.49803229746234223</v>
      </c>
      <c r="CE22" s="41"/>
      <c r="CF22" s="41"/>
      <c r="CG22" s="461" t="s">
        <v>545</v>
      </c>
      <c r="CH22" s="96">
        <v>976</v>
      </c>
      <c r="CI22" s="96">
        <v>805</v>
      </c>
      <c r="CJ22" s="96"/>
      <c r="CK22" s="96">
        <v>220</v>
      </c>
      <c r="CL22" s="96">
        <v>1854</v>
      </c>
      <c r="CM22" s="96">
        <v>871</v>
      </c>
      <c r="CN22" s="96">
        <v>378</v>
      </c>
      <c r="CO22" s="96"/>
      <c r="CP22" s="96"/>
      <c r="CQ22" s="96">
        <v>341</v>
      </c>
      <c r="CR22" s="96">
        <v>754</v>
      </c>
      <c r="CS22" s="96"/>
      <c r="CT22" s="96">
        <v>1158</v>
      </c>
      <c r="CU22" s="96">
        <v>8</v>
      </c>
      <c r="CV22" s="96">
        <v>7365</v>
      </c>
      <c r="CW22" s="635">
        <f t="shared" si="0"/>
        <v>0.47288296860133205</v>
      </c>
      <c r="CX22" s="1977"/>
      <c r="CY22" s="41"/>
      <c r="CZ22" s="41"/>
      <c r="DA22" s="461" t="s">
        <v>545</v>
      </c>
      <c r="DB22" s="96">
        <v>375</v>
      </c>
      <c r="DC22" s="96">
        <v>1416</v>
      </c>
      <c r="DD22" s="96"/>
      <c r="DE22" s="96">
        <v>228</v>
      </c>
      <c r="DF22" s="96">
        <v>1637</v>
      </c>
      <c r="DG22" s="96">
        <v>819</v>
      </c>
      <c r="DH22" s="96">
        <v>403</v>
      </c>
      <c r="DI22" s="96">
        <v>23</v>
      </c>
      <c r="DJ22" s="96"/>
      <c r="DK22" s="96">
        <v>280</v>
      </c>
      <c r="DL22" s="96">
        <v>775</v>
      </c>
      <c r="DM22" s="96"/>
      <c r="DN22" s="96">
        <v>1103</v>
      </c>
      <c r="DO22" s="96">
        <v>8</v>
      </c>
      <c r="DP22" s="96">
        <v>7067</v>
      </c>
      <c r="DQ22" s="635">
        <f t="shared" si="9"/>
        <v>0.45771355716107098</v>
      </c>
      <c r="DS22" s="1311"/>
      <c r="DT22" s="1311"/>
      <c r="DU22" s="1313" t="s">
        <v>545</v>
      </c>
      <c r="DV22" s="1323">
        <v>940</v>
      </c>
      <c r="DW22" s="1323">
        <v>598</v>
      </c>
      <c r="DX22" s="1323">
        <v>1</v>
      </c>
      <c r="DY22" s="1323">
        <v>230</v>
      </c>
      <c r="DZ22" s="1323">
        <v>1552</v>
      </c>
      <c r="EA22" s="1323">
        <v>750</v>
      </c>
      <c r="EB22" s="1323">
        <v>424</v>
      </c>
      <c r="EC22" s="1324"/>
      <c r="ED22" s="1324"/>
      <c r="EE22" s="1323">
        <v>326</v>
      </c>
      <c r="EF22" s="1323">
        <v>802</v>
      </c>
      <c r="EG22" s="1324"/>
      <c r="EH22" s="1323">
        <v>1183</v>
      </c>
      <c r="EI22" s="1323">
        <v>7</v>
      </c>
      <c r="EJ22" s="1323">
        <v>6813</v>
      </c>
      <c r="EK22" s="1325">
        <f t="shared" si="10"/>
        <v>0.4560681751395827</v>
      </c>
      <c r="EM22" s="1047"/>
      <c r="EN22" s="1047"/>
      <c r="EO22" s="1070" t="s">
        <v>545</v>
      </c>
      <c r="EP22" s="1071">
        <v>990</v>
      </c>
      <c r="EQ22" s="1071">
        <v>636</v>
      </c>
      <c r="ER22" s="1072"/>
      <c r="ES22" s="1071">
        <v>320</v>
      </c>
      <c r="ET22" s="1071">
        <v>1531</v>
      </c>
      <c r="EU22" s="1071">
        <v>775</v>
      </c>
      <c r="EV22" s="1071">
        <v>496</v>
      </c>
      <c r="EW22" s="1072"/>
      <c r="EX22" s="1071"/>
      <c r="EY22" s="1071">
        <v>245</v>
      </c>
      <c r="EZ22" s="1071">
        <v>712</v>
      </c>
      <c r="FA22" s="1071">
        <v>1555</v>
      </c>
      <c r="FB22" s="1071"/>
      <c r="FC22" s="1071">
        <v>7260</v>
      </c>
      <c r="FD22" s="1073">
        <f t="shared" si="11"/>
        <v>0.41570247933884297</v>
      </c>
      <c r="FF22" s="652"/>
      <c r="FG22" s="652"/>
      <c r="FH22" s="813" t="s">
        <v>545</v>
      </c>
      <c r="FI22" s="1074">
        <v>969</v>
      </c>
      <c r="FJ22" s="1074">
        <v>667</v>
      </c>
      <c r="FK22" s="816"/>
      <c r="FL22" s="1074">
        <v>352</v>
      </c>
      <c r="FM22" s="1074">
        <v>1516</v>
      </c>
      <c r="FN22" s="1074">
        <v>768</v>
      </c>
      <c r="FO22" s="1074">
        <v>499</v>
      </c>
      <c r="FP22" s="1074">
        <v>9</v>
      </c>
      <c r="FQ22" s="816"/>
      <c r="FR22" s="1074">
        <v>174</v>
      </c>
      <c r="FS22" s="1074">
        <v>683</v>
      </c>
      <c r="FT22" s="1074">
        <v>1575</v>
      </c>
      <c r="FU22" s="816"/>
      <c r="FV22" s="1074">
        <v>7212</v>
      </c>
      <c r="FW22" s="526">
        <f t="shared" si="12"/>
        <v>0.41139767054908488</v>
      </c>
      <c r="FY22" s="817"/>
      <c r="FZ22" s="817"/>
      <c r="GA22" s="1053" t="s">
        <v>545</v>
      </c>
      <c r="GB22" s="1075">
        <v>1047</v>
      </c>
      <c r="GC22" s="1075">
        <v>470</v>
      </c>
      <c r="GD22" s="1075">
        <v>0</v>
      </c>
      <c r="GE22" s="1075">
        <v>360</v>
      </c>
      <c r="GF22" s="1075">
        <v>1429</v>
      </c>
      <c r="GG22" s="1075">
        <v>627</v>
      </c>
      <c r="GH22" s="1075">
        <v>580</v>
      </c>
      <c r="GI22" s="1075">
        <v>0</v>
      </c>
      <c r="GJ22" s="1075">
        <v>197</v>
      </c>
      <c r="GK22" s="1075">
        <v>661</v>
      </c>
      <c r="GL22" s="1075">
        <v>1531</v>
      </c>
      <c r="GM22" s="1075">
        <v>1745</v>
      </c>
      <c r="GN22" s="1075">
        <v>0</v>
      </c>
      <c r="GO22" s="1075">
        <v>35</v>
      </c>
      <c r="GP22" s="1075">
        <v>8682</v>
      </c>
      <c r="GQ22" s="1076">
        <f t="shared" si="13"/>
        <v>0.38181562675660485</v>
      </c>
      <c r="GS22" s="107"/>
      <c r="GT22" s="107"/>
      <c r="GU22" s="47" t="s">
        <v>15</v>
      </c>
      <c r="GV22" s="47">
        <v>894</v>
      </c>
      <c r="GW22" s="47">
        <v>485</v>
      </c>
      <c r="GX22" s="47"/>
      <c r="GY22" s="47">
        <v>361</v>
      </c>
      <c r="GZ22" s="47">
        <v>1463</v>
      </c>
      <c r="HA22" s="47">
        <v>640</v>
      </c>
      <c r="HB22" s="47">
        <v>604</v>
      </c>
      <c r="HC22" s="47"/>
      <c r="HD22" s="47">
        <v>152</v>
      </c>
      <c r="HE22" s="47">
        <v>581</v>
      </c>
      <c r="HF22" s="47">
        <v>1487</v>
      </c>
      <c r="HG22" s="47">
        <v>1779</v>
      </c>
      <c r="HH22" s="47"/>
      <c r="HI22" s="47">
        <v>25</v>
      </c>
      <c r="HJ22" s="47">
        <v>8471</v>
      </c>
      <c r="HK22" s="1067">
        <f t="shared" si="1"/>
        <v>0.38568759879293002</v>
      </c>
      <c r="HL22" s="47"/>
      <c r="HM22" s="420"/>
      <c r="HN22" s="420"/>
      <c r="HO22" s="1077" t="s">
        <v>15</v>
      </c>
      <c r="HP22" s="1078">
        <v>790</v>
      </c>
      <c r="HQ22" s="1078">
        <v>453</v>
      </c>
      <c r="HR22" s="1078" t="s">
        <v>327</v>
      </c>
      <c r="HS22" s="1078">
        <v>360</v>
      </c>
      <c r="HT22" s="1078">
        <v>1525</v>
      </c>
      <c r="HU22" s="1078">
        <v>625</v>
      </c>
      <c r="HV22" s="1078">
        <v>623</v>
      </c>
      <c r="HW22" s="1078" t="s">
        <v>327</v>
      </c>
      <c r="HX22" s="1078">
        <v>262</v>
      </c>
      <c r="HY22" s="1078">
        <v>648</v>
      </c>
      <c r="HZ22" s="1078">
        <v>1838</v>
      </c>
      <c r="IA22" s="1078" t="s">
        <v>327</v>
      </c>
      <c r="IB22" s="1078">
        <v>7124</v>
      </c>
      <c r="IC22" s="1078">
        <f t="shared" si="2"/>
        <v>2798</v>
      </c>
      <c r="ID22" s="1079">
        <f t="shared" si="3"/>
        <v>0.39275687815833799</v>
      </c>
      <c r="IE22" s="47"/>
      <c r="IF22" s="47"/>
    </row>
    <row r="23" spans="1:240">
      <c r="A23" s="41"/>
      <c r="B23" s="41" t="s">
        <v>21</v>
      </c>
      <c r="C23" s="41" t="s">
        <v>22</v>
      </c>
      <c r="D23" s="105">
        <v>239</v>
      </c>
      <c r="E23" s="105">
        <v>109</v>
      </c>
      <c r="F23" s="105"/>
      <c r="G23" s="105">
        <v>41</v>
      </c>
      <c r="H23" s="105">
        <v>338</v>
      </c>
      <c r="I23" s="105">
        <v>59</v>
      </c>
      <c r="J23" s="105">
        <v>46</v>
      </c>
      <c r="K23" s="105"/>
      <c r="L23" s="105"/>
      <c r="M23" s="105">
        <v>37</v>
      </c>
      <c r="N23" s="105">
        <v>190</v>
      </c>
      <c r="O23" s="105"/>
      <c r="P23" s="105">
        <v>193</v>
      </c>
      <c r="Q23" s="105">
        <v>1</v>
      </c>
      <c r="R23" s="105">
        <v>1253</v>
      </c>
      <c r="S23" s="706">
        <f t="shared" si="4"/>
        <v>0.46884984025559107</v>
      </c>
      <c r="T23" s="5561">
        <f t="shared" si="5"/>
        <v>5</v>
      </c>
      <c r="U23" s="5562">
        <v>1248</v>
      </c>
      <c r="V23" s="706"/>
      <c r="X23" s="107" t="s">
        <v>21</v>
      </c>
      <c r="Y23" s="41" t="s">
        <v>22</v>
      </c>
      <c r="Z23" s="41">
        <v>137</v>
      </c>
      <c r="AA23" s="41">
        <v>83</v>
      </c>
      <c r="AB23" s="41"/>
      <c r="AC23" s="41">
        <v>53</v>
      </c>
      <c r="AD23" s="41">
        <v>523</v>
      </c>
      <c r="AE23" s="41">
        <v>57</v>
      </c>
      <c r="AF23" s="41">
        <v>201</v>
      </c>
      <c r="AG23" s="41">
        <v>1</v>
      </c>
      <c r="AH23" s="41"/>
      <c r="AI23" s="41">
        <v>39</v>
      </c>
      <c r="AJ23" s="41">
        <v>121</v>
      </c>
      <c r="AK23" s="41"/>
      <c r="AL23" s="41">
        <v>156</v>
      </c>
      <c r="AM23" s="41">
        <v>2</v>
      </c>
      <c r="AN23" s="461">
        <v>1373</v>
      </c>
      <c r="AO23" s="4692">
        <f t="shared" si="6"/>
        <v>0.51130561633843907</v>
      </c>
      <c r="AQ23" s="1788"/>
      <c r="AR23" s="1788" t="s">
        <v>21</v>
      </c>
      <c r="AS23" s="37" t="s">
        <v>22</v>
      </c>
      <c r="AT23" s="1788">
        <v>252</v>
      </c>
      <c r="AU23" s="1788">
        <v>92</v>
      </c>
      <c r="AV23" s="1788"/>
      <c r="AW23" s="1788">
        <v>46</v>
      </c>
      <c r="AX23" s="1788">
        <v>370</v>
      </c>
      <c r="AY23" s="1788">
        <v>77</v>
      </c>
      <c r="AZ23" s="1788">
        <v>119</v>
      </c>
      <c r="BA23" s="1788"/>
      <c r="BB23" s="1788"/>
      <c r="BC23" s="1788">
        <v>31</v>
      </c>
      <c r="BD23" s="1788">
        <v>147</v>
      </c>
      <c r="BE23" s="1788"/>
      <c r="BF23" s="1788">
        <v>170</v>
      </c>
      <c r="BG23" s="1788">
        <v>1</v>
      </c>
      <c r="BH23" s="1788">
        <v>1305</v>
      </c>
      <c r="BI23" s="4701">
        <f t="shared" si="7"/>
        <v>0.45552147239263802</v>
      </c>
      <c r="BK23" s="41"/>
      <c r="BL23" s="41" t="s">
        <v>21</v>
      </c>
      <c r="BM23" s="41" t="s">
        <v>22</v>
      </c>
      <c r="BN23" s="105">
        <v>245</v>
      </c>
      <c r="BO23" s="105">
        <v>102</v>
      </c>
      <c r="BP23" s="105">
        <v>1</v>
      </c>
      <c r="BQ23" s="105">
        <v>0</v>
      </c>
      <c r="BR23" s="105">
        <v>431</v>
      </c>
      <c r="BS23" s="105">
        <v>67</v>
      </c>
      <c r="BT23" s="105">
        <v>138</v>
      </c>
      <c r="BU23" s="105"/>
      <c r="BV23" s="105"/>
      <c r="BW23" s="105">
        <v>40</v>
      </c>
      <c r="BX23" s="105">
        <v>124</v>
      </c>
      <c r="BY23" s="105"/>
      <c r="BZ23" s="105">
        <v>173</v>
      </c>
      <c r="CA23" s="105"/>
      <c r="CB23" s="105">
        <v>1321</v>
      </c>
      <c r="CC23" s="2484">
        <f t="shared" si="8"/>
        <v>0.4708554125662377</v>
      </c>
      <c r="CE23" s="41"/>
      <c r="CF23" s="41" t="s">
        <v>21</v>
      </c>
      <c r="CG23" s="41" t="s">
        <v>22</v>
      </c>
      <c r="CH23" s="105">
        <v>220</v>
      </c>
      <c r="CI23" s="105">
        <v>145</v>
      </c>
      <c r="CJ23" s="105"/>
      <c r="CK23" s="105">
        <v>51</v>
      </c>
      <c r="CL23" s="105">
        <v>376</v>
      </c>
      <c r="CM23" s="105">
        <v>89</v>
      </c>
      <c r="CN23" s="105">
        <v>154</v>
      </c>
      <c r="CO23" s="105"/>
      <c r="CP23" s="105"/>
      <c r="CQ23" s="105">
        <v>39</v>
      </c>
      <c r="CR23" s="105">
        <v>171</v>
      </c>
      <c r="CS23" s="105"/>
      <c r="CT23" s="105">
        <v>175</v>
      </c>
      <c r="CU23" s="105">
        <v>3</v>
      </c>
      <c r="CV23" s="105">
        <v>1423</v>
      </c>
      <c r="CW23" s="1644">
        <f t="shared" si="0"/>
        <v>0.44788732394366199</v>
      </c>
      <c r="CX23" s="1976"/>
      <c r="CY23" s="41"/>
      <c r="CZ23" s="41" t="s">
        <v>21</v>
      </c>
      <c r="DA23" s="41" t="s">
        <v>22</v>
      </c>
      <c r="DB23" s="105">
        <v>272</v>
      </c>
      <c r="DC23" s="105">
        <v>152</v>
      </c>
      <c r="DD23" s="105"/>
      <c r="DE23" s="105">
        <v>56</v>
      </c>
      <c r="DF23" s="105">
        <v>386</v>
      </c>
      <c r="DG23" s="105">
        <v>72</v>
      </c>
      <c r="DH23" s="105">
        <v>155</v>
      </c>
      <c r="DI23" s="105">
        <v>7</v>
      </c>
      <c r="DJ23" s="105"/>
      <c r="DK23" s="105">
        <v>37</v>
      </c>
      <c r="DL23" s="105">
        <v>137</v>
      </c>
      <c r="DM23" s="105"/>
      <c r="DN23" s="105">
        <v>188</v>
      </c>
      <c r="DO23" s="105">
        <v>3</v>
      </c>
      <c r="DP23" s="105">
        <v>1465</v>
      </c>
      <c r="DQ23" s="1644">
        <f t="shared" si="9"/>
        <v>0.40697674418604651</v>
      </c>
      <c r="DS23" s="1311"/>
      <c r="DT23" s="1311" t="s">
        <v>21</v>
      </c>
      <c r="DU23" s="1319" t="s">
        <v>22</v>
      </c>
      <c r="DV23" s="1320">
        <v>303</v>
      </c>
      <c r="DW23" s="1320">
        <v>128</v>
      </c>
      <c r="DX23" s="1321"/>
      <c r="DY23" s="1320">
        <v>64</v>
      </c>
      <c r="DZ23" s="1320">
        <v>410</v>
      </c>
      <c r="EA23" s="1320">
        <v>58</v>
      </c>
      <c r="EB23" s="1320">
        <v>137</v>
      </c>
      <c r="EC23" s="1321"/>
      <c r="ED23" s="1321"/>
      <c r="EE23" s="1320">
        <v>43</v>
      </c>
      <c r="EF23" s="1320">
        <v>136</v>
      </c>
      <c r="EG23" s="1321"/>
      <c r="EH23" s="1320">
        <v>212</v>
      </c>
      <c r="EI23" s="1320">
        <v>4</v>
      </c>
      <c r="EJ23" s="1320">
        <v>1495</v>
      </c>
      <c r="EK23" s="1322">
        <f t="shared" si="10"/>
        <v>0.40509725016767273</v>
      </c>
      <c r="EM23" s="1047"/>
      <c r="EN23" s="1047" t="s">
        <v>21</v>
      </c>
      <c r="EO23" s="1060" t="s">
        <v>22</v>
      </c>
      <c r="EP23" s="1061">
        <v>324</v>
      </c>
      <c r="EQ23" s="1061">
        <v>133</v>
      </c>
      <c r="ER23" s="1061">
        <v>1</v>
      </c>
      <c r="ES23" s="1061">
        <v>91</v>
      </c>
      <c r="ET23" s="1061">
        <v>452</v>
      </c>
      <c r="EU23" s="1061">
        <v>63</v>
      </c>
      <c r="EV23" s="1061">
        <v>151</v>
      </c>
      <c r="EW23" s="1047"/>
      <c r="EX23" s="1047"/>
      <c r="EY23" s="1061">
        <v>33</v>
      </c>
      <c r="EZ23" s="1061">
        <v>115</v>
      </c>
      <c r="FA23" s="1061">
        <v>303</v>
      </c>
      <c r="FB23" s="1047"/>
      <c r="FC23" s="1061">
        <v>1666</v>
      </c>
      <c r="FD23" s="537">
        <f t="shared" si="11"/>
        <v>0.37815126050420167</v>
      </c>
      <c r="FF23" s="652"/>
      <c r="FG23" s="652" t="s">
        <v>21</v>
      </c>
      <c r="FH23" s="1062" t="s">
        <v>22</v>
      </c>
      <c r="FI23" s="1063">
        <v>324</v>
      </c>
      <c r="FJ23" s="1063">
        <v>144</v>
      </c>
      <c r="FK23" s="652"/>
      <c r="FL23" s="1063">
        <v>95</v>
      </c>
      <c r="FM23" s="1063">
        <v>469</v>
      </c>
      <c r="FN23" s="1063">
        <v>102</v>
      </c>
      <c r="FO23" s="1063">
        <v>151</v>
      </c>
      <c r="FP23" s="652"/>
      <c r="FQ23" s="652"/>
      <c r="FR23" s="1063">
        <v>33</v>
      </c>
      <c r="FS23" s="1063">
        <v>86</v>
      </c>
      <c r="FT23" s="1063">
        <v>314</v>
      </c>
      <c r="FU23" s="652"/>
      <c r="FV23" s="1063">
        <v>1718</v>
      </c>
      <c r="FW23" s="537">
        <f t="shared" si="12"/>
        <v>0.38242142025611175</v>
      </c>
      <c r="FY23" s="817"/>
      <c r="FZ23" s="817" t="s">
        <v>21</v>
      </c>
      <c r="GA23" s="1064" t="s">
        <v>22</v>
      </c>
      <c r="GB23" s="1065">
        <v>357</v>
      </c>
      <c r="GC23" s="1065">
        <v>114</v>
      </c>
      <c r="GD23" s="1065">
        <v>0</v>
      </c>
      <c r="GE23" s="1065">
        <v>97</v>
      </c>
      <c r="GF23" s="1065">
        <v>452</v>
      </c>
      <c r="GG23" s="1065">
        <v>86</v>
      </c>
      <c r="GH23" s="1065">
        <v>137</v>
      </c>
      <c r="GI23" s="1065">
        <v>0</v>
      </c>
      <c r="GJ23" s="1065">
        <v>19</v>
      </c>
      <c r="GK23" s="1065">
        <v>84</v>
      </c>
      <c r="GL23" s="1065">
        <v>408</v>
      </c>
      <c r="GM23" s="1065">
        <v>371</v>
      </c>
      <c r="GN23" s="1065">
        <v>0</v>
      </c>
      <c r="GO23" s="1065">
        <v>11</v>
      </c>
      <c r="GP23" s="1065">
        <v>2136</v>
      </c>
      <c r="GQ23" s="1066">
        <f t="shared" si="13"/>
        <v>0.36225975538730343</v>
      </c>
      <c r="GS23" s="107"/>
      <c r="GT23" s="107" t="s">
        <v>21</v>
      </c>
      <c r="GU23" s="47" t="s">
        <v>22</v>
      </c>
      <c r="GV23" s="47">
        <v>304</v>
      </c>
      <c r="GW23" s="47">
        <v>119</v>
      </c>
      <c r="GX23" s="47"/>
      <c r="GY23" s="47">
        <v>92</v>
      </c>
      <c r="GZ23" s="47">
        <v>479</v>
      </c>
      <c r="HA23" s="47">
        <v>90</v>
      </c>
      <c r="HB23" s="47">
        <v>140</v>
      </c>
      <c r="HC23" s="47"/>
      <c r="HD23" s="47">
        <v>13</v>
      </c>
      <c r="HE23" s="47">
        <v>81</v>
      </c>
      <c r="HF23" s="47">
        <v>405</v>
      </c>
      <c r="HG23" s="47">
        <v>374</v>
      </c>
      <c r="HH23" s="47"/>
      <c r="HI23" s="47">
        <v>5</v>
      </c>
      <c r="HJ23" s="47">
        <v>2102</v>
      </c>
      <c r="HK23" s="1067">
        <f t="shared" si="1"/>
        <v>0.38416075650118203</v>
      </c>
      <c r="HL23" s="47"/>
      <c r="HM23" s="420"/>
      <c r="HN23" s="420" t="s">
        <v>21</v>
      </c>
      <c r="HO23" s="420" t="s">
        <v>22</v>
      </c>
      <c r="HP23" s="1068">
        <v>279</v>
      </c>
      <c r="HQ23" s="1068">
        <v>109</v>
      </c>
      <c r="HR23" s="1068" t="s">
        <v>327</v>
      </c>
      <c r="HS23" s="1068">
        <v>90</v>
      </c>
      <c r="HT23" s="1068">
        <v>495</v>
      </c>
      <c r="HU23" s="1068">
        <v>78</v>
      </c>
      <c r="HV23" s="1068">
        <v>132</v>
      </c>
      <c r="HW23" s="1068" t="s">
        <v>327</v>
      </c>
      <c r="HX23" s="1068">
        <v>15</v>
      </c>
      <c r="HY23" s="1068">
        <v>100</v>
      </c>
      <c r="HZ23" s="1068">
        <v>377</v>
      </c>
      <c r="IA23" s="1068" t="s">
        <v>327</v>
      </c>
      <c r="IB23" s="1068">
        <v>1675</v>
      </c>
      <c r="IC23" s="1068">
        <f t="shared" si="2"/>
        <v>673</v>
      </c>
      <c r="ID23" s="1069">
        <f t="shared" si="3"/>
        <v>0.40179104477611938</v>
      </c>
      <c r="IE23" s="47"/>
      <c r="IF23" s="47"/>
    </row>
    <row r="24" spans="1:240">
      <c r="A24" s="41"/>
      <c r="B24" s="41"/>
      <c r="C24" s="41" t="s">
        <v>23</v>
      </c>
      <c r="D24" s="105">
        <v>240</v>
      </c>
      <c r="E24" s="105">
        <v>141</v>
      </c>
      <c r="F24" s="105"/>
      <c r="G24" s="105">
        <v>38</v>
      </c>
      <c r="H24" s="105">
        <v>380</v>
      </c>
      <c r="I24" s="105">
        <v>135</v>
      </c>
      <c r="J24" s="105">
        <v>31</v>
      </c>
      <c r="K24" s="105"/>
      <c r="L24" s="105"/>
      <c r="M24" s="105">
        <v>21</v>
      </c>
      <c r="N24" s="105">
        <v>355</v>
      </c>
      <c r="O24" s="105"/>
      <c r="P24" s="105">
        <v>209</v>
      </c>
      <c r="Q24" s="105">
        <v>1</v>
      </c>
      <c r="R24" s="105">
        <v>1551</v>
      </c>
      <c r="S24" s="706">
        <f t="shared" si="4"/>
        <v>0.56129032258064515</v>
      </c>
      <c r="T24" s="5561">
        <f t="shared" si="5"/>
        <v>3</v>
      </c>
      <c r="U24" s="5562">
        <v>1548</v>
      </c>
      <c r="V24" s="706"/>
      <c r="Y24" s="41" t="s">
        <v>23</v>
      </c>
      <c r="Z24" s="41">
        <v>115</v>
      </c>
      <c r="AA24" s="41">
        <v>95</v>
      </c>
      <c r="AB24" s="41"/>
      <c r="AC24" s="41">
        <v>30</v>
      </c>
      <c r="AD24" s="41">
        <v>500</v>
      </c>
      <c r="AE24" s="41">
        <v>135</v>
      </c>
      <c r="AF24" s="41">
        <v>126</v>
      </c>
      <c r="AG24" s="41">
        <v>0</v>
      </c>
      <c r="AH24" s="41"/>
      <c r="AI24" s="41">
        <v>15</v>
      </c>
      <c r="AJ24" s="41">
        <v>198</v>
      </c>
      <c r="AK24" s="41"/>
      <c r="AL24" s="41">
        <v>155</v>
      </c>
      <c r="AM24" s="41">
        <v>1</v>
      </c>
      <c r="AN24" s="461">
        <v>1370</v>
      </c>
      <c r="AO24" s="4692">
        <f t="shared" si="6"/>
        <v>0.60847333820306793</v>
      </c>
      <c r="AQ24" s="1788"/>
      <c r="AR24" s="1788"/>
      <c r="AS24" s="37" t="s">
        <v>23</v>
      </c>
      <c r="AT24" s="1788">
        <v>222</v>
      </c>
      <c r="AU24" s="1788">
        <v>119</v>
      </c>
      <c r="AV24" s="1788"/>
      <c r="AW24" s="1788">
        <v>32</v>
      </c>
      <c r="AX24" s="1788">
        <v>385</v>
      </c>
      <c r="AY24" s="1788">
        <v>153</v>
      </c>
      <c r="AZ24" s="1788">
        <v>77</v>
      </c>
      <c r="BA24" s="1788"/>
      <c r="BB24" s="1788"/>
      <c r="BC24" s="1788">
        <v>37</v>
      </c>
      <c r="BD24" s="1788">
        <v>253</v>
      </c>
      <c r="BE24" s="1788"/>
      <c r="BF24" s="1788">
        <v>169</v>
      </c>
      <c r="BG24" s="1788">
        <v>1</v>
      </c>
      <c r="BH24" s="1788">
        <v>1448</v>
      </c>
      <c r="BI24" s="4701">
        <f t="shared" si="7"/>
        <v>0.54664823773324123</v>
      </c>
      <c r="BK24" s="41"/>
      <c r="BL24" s="41"/>
      <c r="BM24" s="41" t="s">
        <v>23</v>
      </c>
      <c r="BN24" s="105">
        <v>212</v>
      </c>
      <c r="BO24" s="105">
        <v>97</v>
      </c>
      <c r="BP24" s="105">
        <v>0</v>
      </c>
      <c r="BQ24" s="105">
        <v>2</v>
      </c>
      <c r="BR24" s="105">
        <v>419</v>
      </c>
      <c r="BS24" s="105">
        <v>120</v>
      </c>
      <c r="BT24" s="105">
        <v>82</v>
      </c>
      <c r="BU24" s="105"/>
      <c r="BV24" s="105"/>
      <c r="BW24" s="105">
        <v>26</v>
      </c>
      <c r="BX24" s="105">
        <v>216</v>
      </c>
      <c r="BY24" s="105"/>
      <c r="BZ24" s="105">
        <v>170</v>
      </c>
      <c r="CA24" s="105"/>
      <c r="CB24" s="105">
        <v>1344</v>
      </c>
      <c r="CC24" s="2484">
        <f t="shared" si="8"/>
        <v>0.56175595238095233</v>
      </c>
      <c r="CE24" s="41"/>
      <c r="CF24" s="41"/>
      <c r="CG24" s="41" t="s">
        <v>23</v>
      </c>
      <c r="CH24" s="105">
        <v>187</v>
      </c>
      <c r="CI24" s="105">
        <v>118</v>
      </c>
      <c r="CJ24" s="105"/>
      <c r="CK24" s="105">
        <v>23</v>
      </c>
      <c r="CL24" s="105">
        <v>379</v>
      </c>
      <c r="CM24" s="105">
        <v>130</v>
      </c>
      <c r="CN24" s="105">
        <v>71</v>
      </c>
      <c r="CO24" s="105"/>
      <c r="CP24" s="105"/>
      <c r="CQ24" s="105">
        <v>25</v>
      </c>
      <c r="CR24" s="105">
        <v>210</v>
      </c>
      <c r="CS24" s="105"/>
      <c r="CT24" s="105">
        <v>151</v>
      </c>
      <c r="CU24" s="105">
        <v>1</v>
      </c>
      <c r="CV24" s="105">
        <v>1295</v>
      </c>
      <c r="CW24" s="1644">
        <f t="shared" si="0"/>
        <v>0.55564142194744981</v>
      </c>
      <c r="CX24" s="1976"/>
      <c r="CY24" s="41"/>
      <c r="CZ24" s="41"/>
      <c r="DA24" s="41" t="s">
        <v>23</v>
      </c>
      <c r="DB24" s="105">
        <v>193</v>
      </c>
      <c r="DC24" s="105">
        <v>114</v>
      </c>
      <c r="DD24" s="105"/>
      <c r="DE24" s="105">
        <v>19</v>
      </c>
      <c r="DF24" s="105">
        <v>385</v>
      </c>
      <c r="DG24" s="105">
        <v>89</v>
      </c>
      <c r="DH24" s="105">
        <v>70</v>
      </c>
      <c r="DI24" s="105">
        <v>15</v>
      </c>
      <c r="DJ24" s="105"/>
      <c r="DK24" s="105">
        <v>18</v>
      </c>
      <c r="DL24" s="105">
        <v>164</v>
      </c>
      <c r="DM24" s="105"/>
      <c r="DN24" s="105">
        <v>131</v>
      </c>
      <c r="DO24" s="105">
        <v>0</v>
      </c>
      <c r="DP24" s="105">
        <v>1198</v>
      </c>
      <c r="DQ24" s="1644">
        <f t="shared" si="9"/>
        <v>0.53255425709515858</v>
      </c>
      <c r="DS24" s="1311"/>
      <c r="DT24" s="1311"/>
      <c r="DU24" s="1319" t="s">
        <v>23</v>
      </c>
      <c r="DV24" s="1320">
        <v>200</v>
      </c>
      <c r="DW24" s="1320">
        <v>101</v>
      </c>
      <c r="DX24" s="1321"/>
      <c r="DY24" s="1320">
        <v>20</v>
      </c>
      <c r="DZ24" s="1320">
        <v>419</v>
      </c>
      <c r="EA24" s="1320">
        <v>82</v>
      </c>
      <c r="EB24" s="1320">
        <v>78</v>
      </c>
      <c r="EC24" s="1321"/>
      <c r="ED24" s="1321"/>
      <c r="EE24" s="1320">
        <v>25</v>
      </c>
      <c r="EF24" s="1320">
        <v>143</v>
      </c>
      <c r="EG24" s="1321"/>
      <c r="EH24" s="1320">
        <v>133</v>
      </c>
      <c r="EI24" s="1320">
        <v>1</v>
      </c>
      <c r="EJ24" s="1320">
        <v>1202</v>
      </c>
      <c r="EK24" s="1322">
        <f t="shared" si="10"/>
        <v>0.53621981681931719</v>
      </c>
      <c r="EM24" s="1047"/>
      <c r="EN24" s="1047"/>
      <c r="EO24" s="1060" t="s">
        <v>23</v>
      </c>
      <c r="EP24" s="1061">
        <v>162</v>
      </c>
      <c r="EQ24" s="1061">
        <v>99</v>
      </c>
      <c r="ER24" s="1061">
        <v>0</v>
      </c>
      <c r="ES24" s="1061">
        <v>35</v>
      </c>
      <c r="ET24" s="1061">
        <v>457</v>
      </c>
      <c r="EU24" s="1061">
        <v>88</v>
      </c>
      <c r="EV24" s="1061">
        <v>95</v>
      </c>
      <c r="EW24" s="1047"/>
      <c r="EX24" s="1047"/>
      <c r="EY24" s="1061">
        <v>22</v>
      </c>
      <c r="EZ24" s="1061">
        <v>138</v>
      </c>
      <c r="FA24" s="1061">
        <v>186</v>
      </c>
      <c r="FB24" s="1047"/>
      <c r="FC24" s="1061">
        <v>1282</v>
      </c>
      <c r="FD24" s="537">
        <f t="shared" si="11"/>
        <v>0.53276131045241815</v>
      </c>
      <c r="FF24" s="652"/>
      <c r="FG24" s="652"/>
      <c r="FH24" s="1062" t="s">
        <v>23</v>
      </c>
      <c r="FI24" s="1063">
        <v>194</v>
      </c>
      <c r="FJ24" s="1063">
        <v>92</v>
      </c>
      <c r="FK24" s="652"/>
      <c r="FL24" s="1063">
        <v>44</v>
      </c>
      <c r="FM24" s="1063">
        <v>483</v>
      </c>
      <c r="FN24" s="1063">
        <v>106</v>
      </c>
      <c r="FO24" s="1063">
        <v>109</v>
      </c>
      <c r="FP24" s="652"/>
      <c r="FQ24" s="652"/>
      <c r="FR24" s="1063">
        <v>29</v>
      </c>
      <c r="FS24" s="1063">
        <v>136</v>
      </c>
      <c r="FT24" s="1063">
        <v>187</v>
      </c>
      <c r="FU24" s="652"/>
      <c r="FV24" s="1063">
        <v>1380</v>
      </c>
      <c r="FW24" s="537">
        <f t="shared" si="12"/>
        <v>0.52536231884057971</v>
      </c>
      <c r="FY24" s="817"/>
      <c r="FZ24" s="817"/>
      <c r="GA24" s="1064" t="s">
        <v>23</v>
      </c>
      <c r="GB24" s="1065">
        <v>187</v>
      </c>
      <c r="GC24" s="1065">
        <v>86</v>
      </c>
      <c r="GD24" s="1065">
        <v>0</v>
      </c>
      <c r="GE24" s="1065">
        <v>50</v>
      </c>
      <c r="GF24" s="1065">
        <v>506</v>
      </c>
      <c r="GG24" s="1065">
        <v>126</v>
      </c>
      <c r="GH24" s="1065">
        <v>103</v>
      </c>
      <c r="GI24" s="1065">
        <v>0</v>
      </c>
      <c r="GJ24" s="1065">
        <v>12</v>
      </c>
      <c r="GK24" s="1065">
        <v>133</v>
      </c>
      <c r="GL24" s="1065">
        <v>148</v>
      </c>
      <c r="GM24" s="1065">
        <v>250</v>
      </c>
      <c r="GN24" s="1065">
        <v>0</v>
      </c>
      <c r="GO24" s="1065">
        <v>5</v>
      </c>
      <c r="GP24" s="1065">
        <v>1606</v>
      </c>
      <c r="GQ24" s="1066">
        <f t="shared" si="13"/>
        <v>0.52649690295939433</v>
      </c>
      <c r="GS24" s="107"/>
      <c r="GT24" s="107"/>
      <c r="GU24" s="47" t="s">
        <v>23</v>
      </c>
      <c r="GV24" s="47">
        <v>167</v>
      </c>
      <c r="GW24" s="47">
        <v>84</v>
      </c>
      <c r="GX24" s="47"/>
      <c r="GY24" s="47">
        <v>50</v>
      </c>
      <c r="GZ24" s="47">
        <v>532</v>
      </c>
      <c r="HA24" s="47">
        <v>137</v>
      </c>
      <c r="HB24" s="47">
        <v>95</v>
      </c>
      <c r="HC24" s="47"/>
      <c r="HD24" s="47">
        <v>15</v>
      </c>
      <c r="HE24" s="47">
        <v>133</v>
      </c>
      <c r="HF24" s="47">
        <v>148</v>
      </c>
      <c r="HG24" s="47">
        <v>291</v>
      </c>
      <c r="HH24" s="47"/>
      <c r="HI24" s="47">
        <v>4</v>
      </c>
      <c r="HJ24" s="47">
        <v>1656</v>
      </c>
      <c r="HK24" s="1067">
        <f t="shared" si="1"/>
        <v>0.5332446808510638</v>
      </c>
      <c r="HL24" s="47"/>
      <c r="HM24" s="420"/>
      <c r="HN24" s="420"/>
      <c r="HO24" s="420" t="s">
        <v>23</v>
      </c>
      <c r="HP24" s="1068">
        <v>156</v>
      </c>
      <c r="HQ24" s="1068">
        <v>75</v>
      </c>
      <c r="HR24" s="1068" t="s">
        <v>327</v>
      </c>
      <c r="HS24" s="1068">
        <v>57</v>
      </c>
      <c r="HT24" s="1068">
        <v>492</v>
      </c>
      <c r="HU24" s="1068">
        <v>143</v>
      </c>
      <c r="HV24" s="1068">
        <v>85</v>
      </c>
      <c r="HW24" s="1068" t="s">
        <v>327</v>
      </c>
      <c r="HX24" s="1068">
        <v>14</v>
      </c>
      <c r="HY24" s="1068">
        <v>164</v>
      </c>
      <c r="HZ24" s="1068">
        <v>320</v>
      </c>
      <c r="IA24" s="1068" t="s">
        <v>327</v>
      </c>
      <c r="IB24" s="1068">
        <v>1506</v>
      </c>
      <c r="IC24" s="1068">
        <f t="shared" si="2"/>
        <v>799</v>
      </c>
      <c r="ID24" s="1069">
        <f t="shared" si="3"/>
        <v>0.53054448871181936</v>
      </c>
      <c r="IE24" s="47"/>
      <c r="IF24" s="47"/>
    </row>
    <row r="25" spans="1:240">
      <c r="A25" s="41"/>
      <c r="B25" s="41"/>
      <c r="C25" s="41" t="s">
        <v>24</v>
      </c>
      <c r="D25" s="105">
        <v>186</v>
      </c>
      <c r="E25" s="105">
        <v>125</v>
      </c>
      <c r="F25" s="105"/>
      <c r="G25" s="105">
        <v>35</v>
      </c>
      <c r="H25" s="105">
        <v>272</v>
      </c>
      <c r="I25" s="105">
        <v>65</v>
      </c>
      <c r="J25" s="105">
        <v>11</v>
      </c>
      <c r="K25" s="105"/>
      <c r="L25" s="105"/>
      <c r="M25" s="105">
        <v>24</v>
      </c>
      <c r="N25" s="105">
        <v>229</v>
      </c>
      <c r="O25" s="105"/>
      <c r="P25" s="105">
        <v>158</v>
      </c>
      <c r="Q25" s="105">
        <v>1</v>
      </c>
      <c r="R25" s="105">
        <v>1106</v>
      </c>
      <c r="S25" s="706">
        <f t="shared" si="4"/>
        <v>0.5122171945701357</v>
      </c>
      <c r="T25" s="5561">
        <f t="shared" si="5"/>
        <v>9</v>
      </c>
      <c r="U25" s="5562">
        <v>1097</v>
      </c>
      <c r="V25" s="706"/>
      <c r="Y25" s="41" t="s">
        <v>24</v>
      </c>
      <c r="Z25" s="41">
        <v>52</v>
      </c>
      <c r="AA25" s="41">
        <v>88</v>
      </c>
      <c r="AB25" s="41"/>
      <c r="AC25" s="41">
        <v>30</v>
      </c>
      <c r="AD25" s="41">
        <v>382</v>
      </c>
      <c r="AE25" s="41">
        <v>73</v>
      </c>
      <c r="AF25" s="41">
        <v>100</v>
      </c>
      <c r="AG25" s="41">
        <v>1</v>
      </c>
      <c r="AH25" s="41"/>
      <c r="AI25" s="41">
        <v>17</v>
      </c>
      <c r="AJ25" s="41">
        <v>149</v>
      </c>
      <c r="AK25" s="41"/>
      <c r="AL25" s="41">
        <v>123</v>
      </c>
      <c r="AM25" s="41">
        <v>1</v>
      </c>
      <c r="AN25" s="461">
        <v>1016</v>
      </c>
      <c r="AO25" s="4692">
        <f t="shared" si="6"/>
        <v>0.59507389162561575</v>
      </c>
      <c r="AQ25" s="1788"/>
      <c r="AR25" s="1788"/>
      <c r="AS25" s="37" t="s">
        <v>24</v>
      </c>
      <c r="AT25" s="1788">
        <v>167</v>
      </c>
      <c r="AU25" s="1788">
        <v>113</v>
      </c>
      <c r="AV25" s="1788"/>
      <c r="AW25" s="1788">
        <v>35</v>
      </c>
      <c r="AX25" s="1788">
        <v>269</v>
      </c>
      <c r="AY25" s="1788">
        <v>113</v>
      </c>
      <c r="AZ25" s="1788">
        <v>62</v>
      </c>
      <c r="BA25" s="1788"/>
      <c r="BB25" s="1788"/>
      <c r="BC25" s="1788">
        <v>16</v>
      </c>
      <c r="BD25" s="1788">
        <v>165</v>
      </c>
      <c r="BE25" s="1788"/>
      <c r="BF25" s="1788">
        <v>129</v>
      </c>
      <c r="BG25" s="1788">
        <v>0</v>
      </c>
      <c r="BH25" s="1788">
        <v>1069</v>
      </c>
      <c r="BI25" s="4701">
        <f t="shared" si="7"/>
        <v>0.51169317118802615</v>
      </c>
      <c r="BK25" s="41"/>
      <c r="BL25" s="41"/>
      <c r="BM25" s="41" t="s">
        <v>24</v>
      </c>
      <c r="BN25" s="105">
        <v>146</v>
      </c>
      <c r="BO25" s="105">
        <v>93</v>
      </c>
      <c r="BP25" s="105">
        <v>0</v>
      </c>
      <c r="BQ25" s="105">
        <v>1</v>
      </c>
      <c r="BR25" s="105">
        <v>302</v>
      </c>
      <c r="BS25" s="105">
        <v>77</v>
      </c>
      <c r="BT25" s="105">
        <v>50</v>
      </c>
      <c r="BU25" s="105"/>
      <c r="BV25" s="105"/>
      <c r="BW25" s="105">
        <v>23</v>
      </c>
      <c r="BX25" s="105">
        <v>163</v>
      </c>
      <c r="BY25" s="105"/>
      <c r="BZ25" s="105">
        <v>132</v>
      </c>
      <c r="CA25" s="105"/>
      <c r="CB25" s="105">
        <v>987</v>
      </c>
      <c r="CC25" s="2484">
        <f t="shared" si="8"/>
        <v>0.54913880445795338</v>
      </c>
      <c r="CE25" s="41"/>
      <c r="CF25" s="41"/>
      <c r="CG25" s="41" t="s">
        <v>24</v>
      </c>
      <c r="CH25" s="105">
        <v>155</v>
      </c>
      <c r="CI25" s="105">
        <v>120</v>
      </c>
      <c r="CJ25" s="105"/>
      <c r="CK25" s="105">
        <v>24</v>
      </c>
      <c r="CL25" s="105">
        <v>268</v>
      </c>
      <c r="CM25" s="105">
        <v>78</v>
      </c>
      <c r="CN25" s="105">
        <v>53</v>
      </c>
      <c r="CO25" s="105"/>
      <c r="CP25" s="105"/>
      <c r="CQ25" s="105">
        <v>20</v>
      </c>
      <c r="CR25" s="105">
        <v>159</v>
      </c>
      <c r="CS25" s="105"/>
      <c r="CT25" s="105">
        <v>103</v>
      </c>
      <c r="CU25" s="105">
        <v>1</v>
      </c>
      <c r="CV25" s="105">
        <v>981</v>
      </c>
      <c r="CW25" s="1644">
        <f t="shared" si="0"/>
        <v>0.51530612244897955</v>
      </c>
      <c r="CX25" s="1976"/>
      <c r="CY25" s="41"/>
      <c r="CZ25" s="41"/>
      <c r="DA25" s="41" t="s">
        <v>24</v>
      </c>
      <c r="DB25" s="105">
        <v>176</v>
      </c>
      <c r="DC25" s="105">
        <v>101</v>
      </c>
      <c r="DD25" s="105"/>
      <c r="DE25" s="105">
        <v>22</v>
      </c>
      <c r="DF25" s="105">
        <v>261</v>
      </c>
      <c r="DG25" s="105">
        <v>67</v>
      </c>
      <c r="DH25" s="105">
        <v>55</v>
      </c>
      <c r="DI25" s="105">
        <v>0</v>
      </c>
      <c r="DJ25" s="105"/>
      <c r="DK25" s="105">
        <v>16</v>
      </c>
      <c r="DL25" s="105">
        <v>133</v>
      </c>
      <c r="DM25" s="105"/>
      <c r="DN25" s="105">
        <v>102</v>
      </c>
      <c r="DO25" s="105">
        <v>1</v>
      </c>
      <c r="DP25" s="105">
        <v>934</v>
      </c>
      <c r="DQ25" s="1644">
        <f t="shared" si="9"/>
        <v>0.49410503751339763</v>
      </c>
      <c r="DS25" s="1311"/>
      <c r="DT25" s="1311"/>
      <c r="DU25" s="1319" t="s">
        <v>24</v>
      </c>
      <c r="DV25" s="1320">
        <v>169</v>
      </c>
      <c r="DW25" s="1320">
        <v>81</v>
      </c>
      <c r="DX25" s="1321"/>
      <c r="DY25" s="1320">
        <v>26</v>
      </c>
      <c r="DZ25" s="1320">
        <v>266</v>
      </c>
      <c r="EA25" s="1320">
        <v>68</v>
      </c>
      <c r="EB25" s="1320">
        <v>60</v>
      </c>
      <c r="EC25" s="1321"/>
      <c r="ED25" s="1321"/>
      <c r="EE25" s="1320">
        <v>27</v>
      </c>
      <c r="EF25" s="1320">
        <v>114</v>
      </c>
      <c r="EG25" s="1321"/>
      <c r="EH25" s="1320">
        <v>112</v>
      </c>
      <c r="EI25" s="1320">
        <v>1</v>
      </c>
      <c r="EJ25" s="1320">
        <v>924</v>
      </c>
      <c r="EK25" s="1322">
        <f t="shared" si="10"/>
        <v>0.48537378114842905</v>
      </c>
      <c r="EM25" s="1047"/>
      <c r="EN25" s="1047"/>
      <c r="EO25" s="1060" t="s">
        <v>24</v>
      </c>
      <c r="EP25" s="1061">
        <v>162</v>
      </c>
      <c r="EQ25" s="1061">
        <v>99</v>
      </c>
      <c r="ER25" s="1061">
        <v>1</v>
      </c>
      <c r="ES25" s="1061">
        <v>31</v>
      </c>
      <c r="ET25" s="1061">
        <v>295</v>
      </c>
      <c r="EU25" s="1061">
        <v>55</v>
      </c>
      <c r="EV25" s="1061">
        <v>68</v>
      </c>
      <c r="EW25" s="1047"/>
      <c r="EX25" s="1047"/>
      <c r="EY25" s="1061">
        <v>23</v>
      </c>
      <c r="EZ25" s="1061">
        <v>91</v>
      </c>
      <c r="FA25" s="1061">
        <v>131</v>
      </c>
      <c r="FB25" s="1047"/>
      <c r="FC25" s="1061">
        <v>956</v>
      </c>
      <c r="FD25" s="537">
        <f t="shared" si="11"/>
        <v>0.46129707112970714</v>
      </c>
      <c r="FF25" s="652"/>
      <c r="FG25" s="652"/>
      <c r="FH25" s="1062" t="s">
        <v>24</v>
      </c>
      <c r="FI25" s="1063">
        <v>177</v>
      </c>
      <c r="FJ25" s="1063">
        <v>88</v>
      </c>
      <c r="FK25" s="652"/>
      <c r="FL25" s="1063">
        <v>41</v>
      </c>
      <c r="FM25" s="1063">
        <v>282</v>
      </c>
      <c r="FN25" s="1063">
        <v>65</v>
      </c>
      <c r="FO25" s="1063">
        <v>73</v>
      </c>
      <c r="FP25" s="652"/>
      <c r="FQ25" s="652"/>
      <c r="FR25" s="1063">
        <v>21</v>
      </c>
      <c r="FS25" s="1063">
        <v>76</v>
      </c>
      <c r="FT25" s="1063">
        <v>139</v>
      </c>
      <c r="FU25" s="652"/>
      <c r="FV25" s="1063">
        <v>962</v>
      </c>
      <c r="FW25" s="537">
        <f t="shared" si="12"/>
        <v>0.43970893970893971</v>
      </c>
      <c r="FY25" s="817"/>
      <c r="FZ25" s="817"/>
      <c r="GA25" s="1064" t="s">
        <v>24</v>
      </c>
      <c r="GB25" s="1065">
        <v>182</v>
      </c>
      <c r="GC25" s="1065">
        <v>64</v>
      </c>
      <c r="GD25" s="1065">
        <v>0</v>
      </c>
      <c r="GE25" s="1065">
        <v>45</v>
      </c>
      <c r="GF25" s="1065">
        <v>259</v>
      </c>
      <c r="GG25" s="1065">
        <v>56</v>
      </c>
      <c r="GH25" s="1065">
        <v>66</v>
      </c>
      <c r="GI25" s="1065">
        <v>0</v>
      </c>
      <c r="GJ25" s="1065">
        <v>8</v>
      </c>
      <c r="GK25" s="1065">
        <v>73</v>
      </c>
      <c r="GL25" s="1065">
        <v>90</v>
      </c>
      <c r="GM25" s="1065">
        <v>167</v>
      </c>
      <c r="GN25" s="1065">
        <v>0</v>
      </c>
      <c r="GO25" s="1065">
        <v>4</v>
      </c>
      <c r="GP25" s="1065">
        <v>1014</v>
      </c>
      <c r="GQ25" s="1066">
        <f t="shared" si="13"/>
        <v>0.42173913043478262</v>
      </c>
      <c r="GS25" s="107"/>
      <c r="GT25" s="107"/>
      <c r="GU25" s="47" t="s">
        <v>24</v>
      </c>
      <c r="GV25" s="47">
        <v>161</v>
      </c>
      <c r="GW25" s="47">
        <v>80</v>
      </c>
      <c r="GX25" s="47"/>
      <c r="GY25" s="47">
        <v>46</v>
      </c>
      <c r="GZ25" s="47">
        <v>264</v>
      </c>
      <c r="HA25" s="47">
        <v>61</v>
      </c>
      <c r="HB25" s="47">
        <v>79</v>
      </c>
      <c r="HC25" s="47"/>
      <c r="HD25" s="47">
        <v>10</v>
      </c>
      <c r="HE25" s="47">
        <v>68</v>
      </c>
      <c r="HF25" s="47">
        <v>89</v>
      </c>
      <c r="HG25" s="47">
        <v>174</v>
      </c>
      <c r="HH25" s="47"/>
      <c r="HI25" s="47">
        <v>2</v>
      </c>
      <c r="HJ25" s="47">
        <v>1034</v>
      </c>
      <c r="HK25" s="1067">
        <f t="shared" si="1"/>
        <v>0.41675503711558853</v>
      </c>
      <c r="HL25" s="47"/>
      <c r="HM25" s="420"/>
      <c r="HN25" s="420"/>
      <c r="HO25" s="420" t="s">
        <v>24</v>
      </c>
      <c r="HP25" s="1068">
        <v>160</v>
      </c>
      <c r="HQ25" s="1068">
        <v>74</v>
      </c>
      <c r="HR25" s="1068" t="s">
        <v>327</v>
      </c>
      <c r="HS25" s="1068">
        <v>51</v>
      </c>
      <c r="HT25" s="1068">
        <v>245</v>
      </c>
      <c r="HU25" s="1068">
        <v>61</v>
      </c>
      <c r="HV25" s="1068">
        <v>86</v>
      </c>
      <c r="HW25" s="1068" t="s">
        <v>327</v>
      </c>
      <c r="HX25" s="1068">
        <v>21</v>
      </c>
      <c r="HY25" s="1068">
        <v>83</v>
      </c>
      <c r="HZ25" s="1068">
        <v>194</v>
      </c>
      <c r="IA25" s="1068" t="s">
        <v>327</v>
      </c>
      <c r="IB25" s="1068">
        <v>975</v>
      </c>
      <c r="IC25" s="1068">
        <f t="shared" si="2"/>
        <v>389</v>
      </c>
      <c r="ID25" s="1069">
        <f t="shared" si="3"/>
        <v>0.39897435897435896</v>
      </c>
      <c r="IE25" s="47"/>
      <c r="IF25" s="47"/>
    </row>
    <row r="26" spans="1:240">
      <c r="A26" s="41"/>
      <c r="B26" s="41"/>
      <c r="C26" s="461" t="s">
        <v>546</v>
      </c>
      <c r="D26" s="5556">
        <v>665</v>
      </c>
      <c r="E26" s="5556">
        <v>375</v>
      </c>
      <c r="F26" s="5556"/>
      <c r="G26" s="5556">
        <v>114</v>
      </c>
      <c r="H26" s="5556">
        <v>990</v>
      </c>
      <c r="I26" s="5556">
        <v>259</v>
      </c>
      <c r="J26" s="5556">
        <v>88</v>
      </c>
      <c r="K26" s="5556"/>
      <c r="L26" s="5556"/>
      <c r="M26" s="5556">
        <v>82</v>
      </c>
      <c r="N26" s="5556">
        <v>774</v>
      </c>
      <c r="O26" s="5556"/>
      <c r="P26" s="5556">
        <v>560</v>
      </c>
      <c r="Q26" s="5556">
        <v>3</v>
      </c>
      <c r="R26" s="5556">
        <v>3910</v>
      </c>
      <c r="S26" s="706">
        <f t="shared" si="4"/>
        <v>0.51778858459175836</v>
      </c>
      <c r="T26" s="5561"/>
      <c r="U26" s="5562"/>
      <c r="V26" s="706"/>
      <c r="Y26" s="41" t="s">
        <v>15</v>
      </c>
      <c r="Z26" s="41">
        <v>304</v>
      </c>
      <c r="AA26" s="41">
        <v>266</v>
      </c>
      <c r="AB26" s="41"/>
      <c r="AC26" s="41">
        <v>113</v>
      </c>
      <c r="AD26" s="41">
        <v>1405</v>
      </c>
      <c r="AE26" s="41">
        <v>265</v>
      </c>
      <c r="AF26" s="41">
        <v>427</v>
      </c>
      <c r="AG26" s="41">
        <v>2</v>
      </c>
      <c r="AH26" s="41"/>
      <c r="AI26" s="41">
        <v>71</v>
      </c>
      <c r="AJ26" s="41">
        <v>468</v>
      </c>
      <c r="AK26" s="41"/>
      <c r="AL26" s="41">
        <v>434</v>
      </c>
      <c r="AM26" s="41">
        <v>4</v>
      </c>
      <c r="AN26" s="461">
        <v>3759</v>
      </c>
      <c r="AO26" s="4692">
        <f t="shared" si="6"/>
        <v>0.56937416777629823</v>
      </c>
      <c r="AQ26" s="1788"/>
      <c r="AR26" s="1788"/>
      <c r="AS26" s="1793" t="s">
        <v>546</v>
      </c>
      <c r="AT26" s="4702">
        <v>641</v>
      </c>
      <c r="AU26" s="4702">
        <v>324</v>
      </c>
      <c r="AV26" s="4702"/>
      <c r="AW26" s="4702">
        <v>113</v>
      </c>
      <c r="AX26" s="4702">
        <v>1024</v>
      </c>
      <c r="AY26" s="4702">
        <v>343</v>
      </c>
      <c r="AZ26" s="4702">
        <v>258</v>
      </c>
      <c r="BA26" s="4702"/>
      <c r="BB26" s="4702"/>
      <c r="BC26" s="4702">
        <v>84</v>
      </c>
      <c r="BD26" s="4702">
        <v>565</v>
      </c>
      <c r="BE26" s="4702"/>
      <c r="BF26" s="4702">
        <v>468</v>
      </c>
      <c r="BG26" s="4702">
        <v>2</v>
      </c>
      <c r="BH26" s="4702">
        <v>3822</v>
      </c>
      <c r="BI26" s="4703">
        <f t="shared" si="7"/>
        <v>0.50575916230366491</v>
      </c>
      <c r="BK26" s="41"/>
      <c r="BL26" s="41"/>
      <c r="BM26" s="461" t="s">
        <v>546</v>
      </c>
      <c r="BN26" s="2473">
        <v>603</v>
      </c>
      <c r="BO26" s="2473">
        <v>292</v>
      </c>
      <c r="BP26" s="2473">
        <v>1</v>
      </c>
      <c r="BQ26" s="2473">
        <v>3</v>
      </c>
      <c r="BR26" s="2473">
        <v>1152</v>
      </c>
      <c r="BS26" s="2473">
        <v>264</v>
      </c>
      <c r="BT26" s="2473">
        <v>270</v>
      </c>
      <c r="BU26" s="2473"/>
      <c r="BV26" s="2473"/>
      <c r="BW26" s="2473">
        <v>89</v>
      </c>
      <c r="BX26" s="2473">
        <v>503</v>
      </c>
      <c r="BY26" s="2473"/>
      <c r="BZ26" s="2473">
        <v>475</v>
      </c>
      <c r="CA26" s="2473"/>
      <c r="CB26" s="2473">
        <v>3652</v>
      </c>
      <c r="CC26" s="2484">
        <f t="shared" si="8"/>
        <v>0.52546549835706458</v>
      </c>
      <c r="CE26" s="41"/>
      <c r="CF26" s="41"/>
      <c r="CG26" s="461" t="s">
        <v>546</v>
      </c>
      <c r="CH26" s="96">
        <v>562</v>
      </c>
      <c r="CI26" s="96">
        <v>383</v>
      </c>
      <c r="CJ26" s="96"/>
      <c r="CK26" s="96">
        <v>98</v>
      </c>
      <c r="CL26" s="96">
        <v>1023</v>
      </c>
      <c r="CM26" s="96">
        <v>297</v>
      </c>
      <c r="CN26" s="96">
        <v>278</v>
      </c>
      <c r="CO26" s="96"/>
      <c r="CP26" s="96"/>
      <c r="CQ26" s="96">
        <v>84</v>
      </c>
      <c r="CR26" s="96">
        <v>540</v>
      </c>
      <c r="CS26" s="96"/>
      <c r="CT26" s="96">
        <v>429</v>
      </c>
      <c r="CU26" s="96">
        <v>5</v>
      </c>
      <c r="CV26" s="96">
        <v>3699</v>
      </c>
      <c r="CW26" s="635">
        <f t="shared" si="0"/>
        <v>0.50351922035733621</v>
      </c>
      <c r="CX26" s="1977"/>
      <c r="CY26" s="41"/>
      <c r="CZ26" s="41"/>
      <c r="DA26" s="461" t="s">
        <v>546</v>
      </c>
      <c r="DB26" s="96">
        <v>641</v>
      </c>
      <c r="DC26" s="96">
        <v>367</v>
      </c>
      <c r="DD26" s="96"/>
      <c r="DE26" s="96">
        <v>97</v>
      </c>
      <c r="DF26" s="96">
        <v>1032</v>
      </c>
      <c r="DG26" s="96">
        <v>228</v>
      </c>
      <c r="DH26" s="96">
        <v>280</v>
      </c>
      <c r="DI26" s="96">
        <v>22</v>
      </c>
      <c r="DJ26" s="96"/>
      <c r="DK26" s="96">
        <v>71</v>
      </c>
      <c r="DL26" s="96">
        <v>434</v>
      </c>
      <c r="DM26" s="96"/>
      <c r="DN26" s="96">
        <v>421</v>
      </c>
      <c r="DO26" s="96">
        <v>4</v>
      </c>
      <c r="DP26" s="96">
        <v>3597</v>
      </c>
      <c r="DQ26" s="635">
        <f t="shared" si="9"/>
        <v>0.4714723072641247</v>
      </c>
      <c r="DS26" s="1311"/>
      <c r="DT26" s="1311"/>
      <c r="DU26" s="1313" t="s">
        <v>546</v>
      </c>
      <c r="DV26" s="1323">
        <v>672</v>
      </c>
      <c r="DW26" s="1323">
        <v>310</v>
      </c>
      <c r="DX26" s="1324"/>
      <c r="DY26" s="1323">
        <v>110</v>
      </c>
      <c r="DZ26" s="1323">
        <v>1095</v>
      </c>
      <c r="EA26" s="1323">
        <v>208</v>
      </c>
      <c r="EB26" s="1323">
        <v>275</v>
      </c>
      <c r="EC26" s="1324"/>
      <c r="ED26" s="1324"/>
      <c r="EE26" s="1323">
        <v>95</v>
      </c>
      <c r="EF26" s="1323">
        <v>393</v>
      </c>
      <c r="EG26" s="1324"/>
      <c r="EH26" s="1323">
        <v>457</v>
      </c>
      <c r="EI26" s="1323">
        <v>6</v>
      </c>
      <c r="EJ26" s="1323">
        <v>3621</v>
      </c>
      <c r="EK26" s="1325">
        <f t="shared" si="10"/>
        <v>0.46915629322268326</v>
      </c>
      <c r="EM26" s="1047"/>
      <c r="EN26" s="1047"/>
      <c r="EO26" s="1070" t="s">
        <v>546</v>
      </c>
      <c r="EP26" s="1071">
        <v>648</v>
      </c>
      <c r="EQ26" s="1071">
        <v>331</v>
      </c>
      <c r="ER26" s="1071">
        <v>2</v>
      </c>
      <c r="ES26" s="1071">
        <v>157</v>
      </c>
      <c r="ET26" s="1071">
        <v>1204</v>
      </c>
      <c r="EU26" s="1071">
        <v>206</v>
      </c>
      <c r="EV26" s="1071">
        <v>314</v>
      </c>
      <c r="EW26" s="1072"/>
      <c r="EX26" s="1072"/>
      <c r="EY26" s="1071">
        <v>78</v>
      </c>
      <c r="EZ26" s="1071">
        <v>344</v>
      </c>
      <c r="FA26" s="1071">
        <v>620</v>
      </c>
      <c r="FB26" s="1071"/>
      <c r="FC26" s="1071">
        <v>3904</v>
      </c>
      <c r="FD26" s="1073">
        <f t="shared" si="11"/>
        <v>0.44928278688524592</v>
      </c>
      <c r="FF26" s="652"/>
      <c r="FG26" s="652"/>
      <c r="FH26" s="813" t="s">
        <v>844</v>
      </c>
      <c r="FI26" s="1074">
        <v>695</v>
      </c>
      <c r="FJ26" s="1074">
        <v>324</v>
      </c>
      <c r="FK26" s="816"/>
      <c r="FL26" s="1074">
        <v>180</v>
      </c>
      <c r="FM26" s="1074">
        <v>1234</v>
      </c>
      <c r="FN26" s="1074">
        <v>273</v>
      </c>
      <c r="FO26" s="1074">
        <v>333</v>
      </c>
      <c r="FP26" s="816"/>
      <c r="FQ26" s="816"/>
      <c r="FR26" s="1074">
        <v>83</v>
      </c>
      <c r="FS26" s="1074">
        <v>298</v>
      </c>
      <c r="FT26" s="1074">
        <v>640</v>
      </c>
      <c r="FU26" s="816"/>
      <c r="FV26" s="1074">
        <v>4060</v>
      </c>
      <c r="FW26" s="526">
        <f t="shared" si="12"/>
        <v>0.44458128078817732</v>
      </c>
      <c r="FY26" s="1080"/>
      <c r="FZ26" s="1080"/>
      <c r="GA26" s="1081" t="s">
        <v>546</v>
      </c>
      <c r="GB26" s="1082">
        <v>726</v>
      </c>
      <c r="GC26" s="1082">
        <v>264</v>
      </c>
      <c r="GD26" s="1082">
        <v>0</v>
      </c>
      <c r="GE26" s="1082">
        <v>192</v>
      </c>
      <c r="GF26" s="1082">
        <v>1217</v>
      </c>
      <c r="GG26" s="1082">
        <v>268</v>
      </c>
      <c r="GH26" s="1082">
        <v>306</v>
      </c>
      <c r="GI26" s="1082">
        <v>0</v>
      </c>
      <c r="GJ26" s="1082">
        <v>39</v>
      </c>
      <c r="GK26" s="1082">
        <v>290</v>
      </c>
      <c r="GL26" s="1082">
        <v>646</v>
      </c>
      <c r="GM26" s="1082">
        <v>788</v>
      </c>
      <c r="GN26" s="1082">
        <v>0</v>
      </c>
      <c r="GO26" s="1082">
        <v>20</v>
      </c>
      <c r="GP26" s="1082">
        <v>4756</v>
      </c>
      <c r="GQ26" s="1083">
        <f t="shared" si="13"/>
        <v>0.43398533007334961</v>
      </c>
      <c r="GS26" s="107"/>
      <c r="GT26" s="107"/>
      <c r="GU26" s="47" t="s">
        <v>15</v>
      </c>
      <c r="GV26" s="47">
        <v>632</v>
      </c>
      <c r="GW26" s="47">
        <v>283</v>
      </c>
      <c r="GX26" s="47"/>
      <c r="GY26" s="47">
        <v>188</v>
      </c>
      <c r="GZ26" s="47">
        <v>1275</v>
      </c>
      <c r="HA26" s="47">
        <v>288</v>
      </c>
      <c r="HB26" s="47">
        <v>314</v>
      </c>
      <c r="HC26" s="47"/>
      <c r="HD26" s="47">
        <v>38</v>
      </c>
      <c r="HE26" s="47">
        <v>282</v>
      </c>
      <c r="HF26" s="47">
        <v>642</v>
      </c>
      <c r="HG26" s="47">
        <v>839</v>
      </c>
      <c r="HH26" s="47"/>
      <c r="HI26" s="47">
        <v>11</v>
      </c>
      <c r="HJ26" s="47">
        <v>4792</v>
      </c>
      <c r="HK26" s="1067">
        <f t="shared" si="1"/>
        <v>0.44575984537327856</v>
      </c>
      <c r="HL26" s="47"/>
      <c r="HM26" s="420"/>
      <c r="HN26" s="420"/>
      <c r="HO26" s="1077" t="s">
        <v>15</v>
      </c>
      <c r="HP26" s="1078">
        <v>595</v>
      </c>
      <c r="HQ26" s="1078">
        <v>258</v>
      </c>
      <c r="HR26" s="1078" t="s">
        <v>327</v>
      </c>
      <c r="HS26" s="1078">
        <v>198</v>
      </c>
      <c r="HT26" s="1078">
        <v>1232</v>
      </c>
      <c r="HU26" s="1078">
        <v>282</v>
      </c>
      <c r="HV26" s="1078">
        <v>303</v>
      </c>
      <c r="HW26" s="1078" t="s">
        <v>327</v>
      </c>
      <c r="HX26" s="1078">
        <v>50</v>
      </c>
      <c r="HY26" s="1078">
        <v>347</v>
      </c>
      <c r="HZ26" s="1078">
        <v>891</v>
      </c>
      <c r="IA26" s="1078" t="s">
        <v>327</v>
      </c>
      <c r="IB26" s="1078">
        <v>4156</v>
      </c>
      <c r="IC26" s="1078">
        <f t="shared" si="2"/>
        <v>1861</v>
      </c>
      <c r="ID26" s="1079">
        <f t="shared" si="3"/>
        <v>0.44778633301251203</v>
      </c>
      <c r="IE26" s="47"/>
      <c r="IF26" s="47"/>
    </row>
    <row r="27" spans="1:240">
      <c r="A27" s="41"/>
      <c r="B27" s="41"/>
      <c r="C27" s="461" t="s">
        <v>106</v>
      </c>
      <c r="D27" s="5556">
        <v>3872</v>
      </c>
      <c r="E27" s="5556">
        <v>2394</v>
      </c>
      <c r="F27" s="5556"/>
      <c r="G27" s="5556">
        <v>743</v>
      </c>
      <c r="H27" s="5556">
        <v>4626</v>
      </c>
      <c r="I27" s="5556">
        <v>1089</v>
      </c>
      <c r="J27" s="5556">
        <v>227</v>
      </c>
      <c r="K27" s="5556"/>
      <c r="L27" s="5556"/>
      <c r="M27" s="5556">
        <v>665</v>
      </c>
      <c r="N27" s="5556">
        <v>1790</v>
      </c>
      <c r="O27" s="5556">
        <v>503</v>
      </c>
      <c r="P27" s="5556">
        <v>4286</v>
      </c>
      <c r="Q27" s="5556">
        <v>15</v>
      </c>
      <c r="R27" s="5556">
        <v>20210</v>
      </c>
      <c r="S27" s="706">
        <f t="shared" si="4"/>
        <v>0.38111923623806621</v>
      </c>
      <c r="T27" s="5561"/>
      <c r="U27" s="5562"/>
      <c r="V27" s="706"/>
      <c r="W27" s="4693"/>
      <c r="X27" s="4693"/>
      <c r="Y27" s="4694" t="s">
        <v>15</v>
      </c>
      <c r="Z27" s="4694">
        <v>1843</v>
      </c>
      <c r="AA27" s="4694">
        <v>1692</v>
      </c>
      <c r="AB27" s="4694">
        <v>2</v>
      </c>
      <c r="AC27" s="4694">
        <v>805</v>
      </c>
      <c r="AD27" s="4694">
        <v>6795</v>
      </c>
      <c r="AE27" s="4694">
        <v>1049</v>
      </c>
      <c r="AF27" s="4694">
        <v>2943</v>
      </c>
      <c r="AG27" s="4694">
        <v>75</v>
      </c>
      <c r="AH27" s="4694"/>
      <c r="AI27" s="4694">
        <v>692</v>
      </c>
      <c r="AJ27" s="4694">
        <v>1105</v>
      </c>
      <c r="AK27" s="4694">
        <v>586</v>
      </c>
      <c r="AL27" s="4694">
        <v>3489</v>
      </c>
      <c r="AM27" s="4694">
        <v>22</v>
      </c>
      <c r="AN27" s="4585">
        <v>21098</v>
      </c>
      <c r="AO27" s="4695">
        <f t="shared" si="6"/>
        <v>0.43674963396778915</v>
      </c>
      <c r="AQ27" s="1788"/>
      <c r="AR27" s="1788"/>
      <c r="AS27" s="4704" t="s">
        <v>106</v>
      </c>
      <c r="AT27" s="4705">
        <v>3411</v>
      </c>
      <c r="AU27" s="4705">
        <v>2028</v>
      </c>
      <c r="AV27" s="4705">
        <v>2</v>
      </c>
      <c r="AW27" s="4705">
        <v>767</v>
      </c>
      <c r="AX27" s="4705">
        <v>4934</v>
      </c>
      <c r="AY27" s="4705">
        <v>1309</v>
      </c>
      <c r="AZ27" s="4705">
        <v>1570</v>
      </c>
      <c r="BA27" s="4705"/>
      <c r="BB27" s="4705"/>
      <c r="BC27" s="4705">
        <v>832</v>
      </c>
      <c r="BD27" s="4705">
        <v>1328</v>
      </c>
      <c r="BE27" s="4705">
        <v>557</v>
      </c>
      <c r="BF27" s="4705">
        <v>3660</v>
      </c>
      <c r="BG27" s="4705">
        <v>14</v>
      </c>
      <c r="BH27" s="4705">
        <v>20412</v>
      </c>
      <c r="BI27" s="4706">
        <f t="shared" si="7"/>
        <v>0.3815835895368177</v>
      </c>
      <c r="BK27" s="41"/>
      <c r="BL27" s="41"/>
      <c r="BM27" s="461" t="s">
        <v>106</v>
      </c>
      <c r="BN27" s="2473">
        <v>3380</v>
      </c>
      <c r="BO27" s="2473">
        <v>1915</v>
      </c>
      <c r="BP27" s="2473">
        <v>1</v>
      </c>
      <c r="BQ27" s="2473">
        <v>26</v>
      </c>
      <c r="BR27" s="2473">
        <v>5640</v>
      </c>
      <c r="BS27" s="2473">
        <v>1029</v>
      </c>
      <c r="BT27" s="2473">
        <v>1637</v>
      </c>
      <c r="BU27" s="2473"/>
      <c r="BV27" s="2473"/>
      <c r="BW27" s="2473">
        <v>851</v>
      </c>
      <c r="BX27" s="2473">
        <v>1279</v>
      </c>
      <c r="BY27" s="2473">
        <v>557</v>
      </c>
      <c r="BZ27" s="2473">
        <v>3988</v>
      </c>
      <c r="CA27" s="2473">
        <v>1</v>
      </c>
      <c r="CB27" s="2473">
        <v>20304</v>
      </c>
      <c r="CC27" s="2484">
        <f t="shared" si="8"/>
        <v>0.40251190114453561</v>
      </c>
      <c r="CE27" s="41"/>
      <c r="CF27" s="41"/>
      <c r="CG27" s="461" t="s">
        <v>106</v>
      </c>
      <c r="CH27" s="96">
        <v>3454</v>
      </c>
      <c r="CI27" s="96">
        <v>2356</v>
      </c>
      <c r="CJ27" s="96"/>
      <c r="CK27" s="96">
        <v>799</v>
      </c>
      <c r="CL27" s="96">
        <v>4480</v>
      </c>
      <c r="CM27" s="96">
        <v>1516</v>
      </c>
      <c r="CN27" s="96">
        <v>1587</v>
      </c>
      <c r="CO27" s="96"/>
      <c r="CP27" s="96"/>
      <c r="CQ27" s="96">
        <v>843</v>
      </c>
      <c r="CR27" s="96">
        <v>1654</v>
      </c>
      <c r="CS27" s="96">
        <v>420</v>
      </c>
      <c r="CT27" s="96">
        <v>3931</v>
      </c>
      <c r="CU27" s="96">
        <v>25</v>
      </c>
      <c r="CV27" s="96">
        <v>21065</v>
      </c>
      <c r="CW27" s="635">
        <f t="shared" si="0"/>
        <v>0.37099903006789525</v>
      </c>
      <c r="CX27" s="1977"/>
      <c r="CY27" s="41"/>
      <c r="CZ27" s="41"/>
      <c r="DA27" s="461" t="s">
        <v>106</v>
      </c>
      <c r="DB27" s="96">
        <v>3063</v>
      </c>
      <c r="DC27" s="96">
        <v>3075</v>
      </c>
      <c r="DD27" s="96"/>
      <c r="DE27" s="96">
        <v>844</v>
      </c>
      <c r="DF27" s="96">
        <v>4274</v>
      </c>
      <c r="DG27" s="96">
        <v>1282</v>
      </c>
      <c r="DH27" s="96">
        <v>1630</v>
      </c>
      <c r="DI27" s="96">
        <v>175</v>
      </c>
      <c r="DJ27" s="96"/>
      <c r="DK27" s="96">
        <v>794</v>
      </c>
      <c r="DL27" s="96">
        <v>1446</v>
      </c>
      <c r="DM27" s="96">
        <v>242</v>
      </c>
      <c r="DN27" s="96">
        <v>4049</v>
      </c>
      <c r="DO27" s="96">
        <v>29</v>
      </c>
      <c r="DP27" s="96">
        <v>20903</v>
      </c>
      <c r="DQ27" s="635">
        <f t="shared" si="9"/>
        <v>0.33937572702597907</v>
      </c>
      <c r="DS27" s="1311"/>
      <c r="DT27" s="1311"/>
      <c r="DU27" s="1313" t="s">
        <v>106</v>
      </c>
      <c r="DV27" s="1323">
        <v>4136</v>
      </c>
      <c r="DW27" s="1323">
        <v>2066</v>
      </c>
      <c r="DX27" s="1323">
        <v>1</v>
      </c>
      <c r="DY27" s="1323">
        <v>904</v>
      </c>
      <c r="DZ27" s="1323">
        <v>4186</v>
      </c>
      <c r="EA27" s="1323">
        <v>1154</v>
      </c>
      <c r="EB27" s="1323">
        <v>1484</v>
      </c>
      <c r="EC27" s="1324"/>
      <c r="ED27" s="1324"/>
      <c r="EE27" s="1323">
        <v>862</v>
      </c>
      <c r="EF27" s="1323">
        <v>1472</v>
      </c>
      <c r="EG27" s="1323">
        <v>157</v>
      </c>
      <c r="EH27" s="1323">
        <v>4521</v>
      </c>
      <c r="EI27" s="1323">
        <v>29</v>
      </c>
      <c r="EJ27" s="1323">
        <v>20972</v>
      </c>
      <c r="EK27" s="1325">
        <f t="shared" si="10"/>
        <v>0.32772058116039643</v>
      </c>
      <c r="EM27" s="1047"/>
      <c r="EN27" s="1047"/>
      <c r="EO27" s="1084" t="s">
        <v>106</v>
      </c>
      <c r="EP27" s="1085">
        <v>4158</v>
      </c>
      <c r="EQ27" s="1085">
        <v>2122</v>
      </c>
      <c r="ER27" s="1085">
        <v>2</v>
      </c>
      <c r="ES27" s="1085">
        <v>1163</v>
      </c>
      <c r="ET27" s="1085">
        <v>4302</v>
      </c>
      <c r="EU27" s="1085">
        <v>1176</v>
      </c>
      <c r="EV27" s="1085">
        <v>1775</v>
      </c>
      <c r="EW27" s="1086"/>
      <c r="EX27" s="1085">
        <v>1</v>
      </c>
      <c r="EY27" s="1085">
        <v>724</v>
      </c>
      <c r="EZ27" s="1085">
        <v>1293</v>
      </c>
      <c r="FA27" s="1085">
        <v>5168</v>
      </c>
      <c r="FB27" s="1085">
        <v>18</v>
      </c>
      <c r="FC27" s="1085">
        <v>21902</v>
      </c>
      <c r="FD27" s="1087">
        <f t="shared" si="11"/>
        <v>0.30914984932882844</v>
      </c>
      <c r="FF27" s="652"/>
      <c r="FG27" s="652"/>
      <c r="FH27" s="813" t="s">
        <v>106</v>
      </c>
      <c r="FI27" s="1074">
        <v>4106</v>
      </c>
      <c r="FJ27" s="1074">
        <v>2110</v>
      </c>
      <c r="FK27" s="1074">
        <v>1</v>
      </c>
      <c r="FL27" s="1074">
        <v>1279</v>
      </c>
      <c r="FM27" s="1074">
        <v>4105</v>
      </c>
      <c r="FN27" s="1074">
        <v>1305</v>
      </c>
      <c r="FO27" s="1074">
        <v>1475</v>
      </c>
      <c r="FP27" s="1074">
        <v>9</v>
      </c>
      <c r="FQ27" s="1074">
        <v>1</v>
      </c>
      <c r="FR27" s="1074">
        <v>499</v>
      </c>
      <c r="FS27" s="1074">
        <v>1153</v>
      </c>
      <c r="FT27" s="1074">
        <v>5290</v>
      </c>
      <c r="FU27" s="1074">
        <v>18</v>
      </c>
      <c r="FV27" s="1074">
        <v>21351</v>
      </c>
      <c r="FW27" s="526">
        <f t="shared" si="12"/>
        <v>0.30738607091002762</v>
      </c>
      <c r="FY27" s="817" t="s">
        <v>25</v>
      </c>
      <c r="FZ27" s="817" t="s">
        <v>4</v>
      </c>
      <c r="GA27" s="1064" t="s">
        <v>26</v>
      </c>
      <c r="GB27" s="1065">
        <v>124</v>
      </c>
      <c r="GC27" s="1065">
        <v>39</v>
      </c>
      <c r="GD27" s="1065">
        <v>0</v>
      </c>
      <c r="GE27" s="1065">
        <v>121</v>
      </c>
      <c r="GF27" s="1065">
        <v>128</v>
      </c>
      <c r="GG27" s="1065">
        <v>18</v>
      </c>
      <c r="GH27" s="1065">
        <v>41</v>
      </c>
      <c r="GI27" s="1065">
        <v>0</v>
      </c>
      <c r="GJ27" s="1065">
        <v>26</v>
      </c>
      <c r="GK27" s="1065">
        <v>8</v>
      </c>
      <c r="GL27" s="1065">
        <v>137</v>
      </c>
      <c r="GM27" s="1065">
        <v>188</v>
      </c>
      <c r="GN27" s="1065">
        <v>0</v>
      </c>
      <c r="GO27" s="1065">
        <v>0</v>
      </c>
      <c r="GP27" s="1065">
        <v>830</v>
      </c>
      <c r="GQ27" s="1066">
        <f t="shared" si="13"/>
        <v>0.22222222222222221</v>
      </c>
      <c r="GS27" s="107" t="s">
        <v>25</v>
      </c>
      <c r="GT27" s="107" t="s">
        <v>4</v>
      </c>
      <c r="GU27" s="47" t="s">
        <v>26</v>
      </c>
      <c r="GV27" s="47">
        <v>113</v>
      </c>
      <c r="GW27" s="47">
        <v>54</v>
      </c>
      <c r="GX27" s="47"/>
      <c r="GY27" s="47">
        <v>116</v>
      </c>
      <c r="GZ27" s="47">
        <v>127</v>
      </c>
      <c r="HA27" s="47">
        <v>17</v>
      </c>
      <c r="HB27" s="47">
        <v>40</v>
      </c>
      <c r="HC27" s="47"/>
      <c r="HD27" s="47">
        <v>24</v>
      </c>
      <c r="HE27" s="47">
        <v>15</v>
      </c>
      <c r="HF27" s="47">
        <v>131</v>
      </c>
      <c r="HG27" s="47">
        <v>173</v>
      </c>
      <c r="HH27" s="47"/>
      <c r="HI27" s="47">
        <v>0</v>
      </c>
      <c r="HJ27" s="47">
        <v>810</v>
      </c>
      <c r="HK27" s="1067">
        <f t="shared" si="1"/>
        <v>0.2341678939617084</v>
      </c>
      <c r="HL27" s="47"/>
      <c r="HM27" s="420" t="s">
        <v>25</v>
      </c>
      <c r="HN27" s="420" t="s">
        <v>4</v>
      </c>
      <c r="HO27" s="420" t="s">
        <v>26</v>
      </c>
      <c r="HP27" s="1068">
        <v>126</v>
      </c>
      <c r="HQ27" s="1068">
        <v>47</v>
      </c>
      <c r="HR27" s="1068" t="s">
        <v>327</v>
      </c>
      <c r="HS27" s="1068">
        <v>109</v>
      </c>
      <c r="HT27" s="1068">
        <v>125</v>
      </c>
      <c r="HU27" s="1068">
        <v>21</v>
      </c>
      <c r="HV27" s="1068">
        <v>57</v>
      </c>
      <c r="HW27" s="1068" t="s">
        <v>327</v>
      </c>
      <c r="HX27" s="1068">
        <v>26</v>
      </c>
      <c r="HY27" s="1068">
        <v>20</v>
      </c>
      <c r="HZ27" s="1068">
        <v>181</v>
      </c>
      <c r="IA27" s="1068" t="s">
        <v>327</v>
      </c>
      <c r="IB27" s="1068">
        <v>712</v>
      </c>
      <c r="IC27" s="1068">
        <f t="shared" si="2"/>
        <v>166</v>
      </c>
      <c r="ID27" s="1069">
        <f t="shared" si="3"/>
        <v>0.23314606741573032</v>
      </c>
      <c r="IE27" s="47"/>
      <c r="IF27" s="47"/>
    </row>
    <row r="28" spans="1:240">
      <c r="A28" s="41" t="s">
        <v>25</v>
      </c>
      <c r="B28" s="41" t="s">
        <v>4</v>
      </c>
      <c r="C28" s="41" t="s">
        <v>26</v>
      </c>
      <c r="D28" s="105">
        <v>208</v>
      </c>
      <c r="E28" s="105">
        <v>81</v>
      </c>
      <c r="F28" s="105">
        <v>0</v>
      </c>
      <c r="G28" s="105">
        <v>87</v>
      </c>
      <c r="H28" s="105">
        <v>88</v>
      </c>
      <c r="I28" s="105">
        <v>45</v>
      </c>
      <c r="J28" s="105">
        <v>24</v>
      </c>
      <c r="K28" s="105"/>
      <c r="L28" s="105">
        <v>0</v>
      </c>
      <c r="M28" s="105">
        <v>32</v>
      </c>
      <c r="N28" s="105">
        <v>28</v>
      </c>
      <c r="O28" s="105">
        <v>70</v>
      </c>
      <c r="P28" s="105">
        <v>142</v>
      </c>
      <c r="Q28" s="105">
        <v>3</v>
      </c>
      <c r="R28" s="105">
        <v>808</v>
      </c>
      <c r="S28" s="706">
        <f t="shared" si="4"/>
        <v>0.21904761904761905</v>
      </c>
      <c r="T28" s="5561">
        <f t="shared" si="5"/>
        <v>0</v>
      </c>
      <c r="U28" s="5562">
        <v>808</v>
      </c>
      <c r="V28" s="706"/>
      <c r="W28" s="107" t="s">
        <v>25</v>
      </c>
      <c r="X28" s="107" t="s">
        <v>4</v>
      </c>
      <c r="Y28" s="41" t="s">
        <v>26</v>
      </c>
      <c r="Z28" s="41">
        <v>98</v>
      </c>
      <c r="AA28" s="41">
        <v>60</v>
      </c>
      <c r="AB28" s="41">
        <v>0</v>
      </c>
      <c r="AC28" s="41">
        <v>80</v>
      </c>
      <c r="AD28" s="41">
        <v>145</v>
      </c>
      <c r="AE28" s="41">
        <v>20</v>
      </c>
      <c r="AF28" s="41">
        <v>115</v>
      </c>
      <c r="AG28" s="41"/>
      <c r="AH28" s="41">
        <v>0</v>
      </c>
      <c r="AI28" s="41">
        <v>38</v>
      </c>
      <c r="AJ28" s="41">
        <v>33</v>
      </c>
      <c r="AK28" s="41">
        <v>47</v>
      </c>
      <c r="AL28" s="41">
        <v>115</v>
      </c>
      <c r="AM28" s="41">
        <v>4</v>
      </c>
      <c r="AN28" s="461">
        <v>755</v>
      </c>
      <c r="AO28" s="4692">
        <f t="shared" si="6"/>
        <v>0.28125</v>
      </c>
      <c r="AQ28" s="1788" t="s">
        <v>25</v>
      </c>
      <c r="AR28" s="1788" t="s">
        <v>4</v>
      </c>
      <c r="AS28" s="37" t="s">
        <v>26</v>
      </c>
      <c r="AT28" s="1788">
        <v>193</v>
      </c>
      <c r="AU28" s="1788">
        <v>72</v>
      </c>
      <c r="AV28" s="1788">
        <v>0</v>
      </c>
      <c r="AW28" s="1788">
        <v>89</v>
      </c>
      <c r="AX28" s="1788">
        <v>94</v>
      </c>
      <c r="AY28" s="1788">
        <v>34</v>
      </c>
      <c r="AZ28" s="1788">
        <v>34</v>
      </c>
      <c r="BA28" s="1788"/>
      <c r="BB28" s="1788">
        <v>0</v>
      </c>
      <c r="BC28" s="1788">
        <v>29</v>
      </c>
      <c r="BD28" s="1788">
        <v>24</v>
      </c>
      <c r="BE28" s="1788">
        <v>53</v>
      </c>
      <c r="BF28" s="1788">
        <v>159</v>
      </c>
      <c r="BG28" s="1788">
        <v>3</v>
      </c>
      <c r="BH28" s="1788">
        <v>784</v>
      </c>
      <c r="BI28" s="4701">
        <f t="shared" si="7"/>
        <v>0.2087912087912088</v>
      </c>
      <c r="BK28" s="41" t="s">
        <v>25</v>
      </c>
      <c r="BL28" s="41" t="s">
        <v>4</v>
      </c>
      <c r="BM28" s="41" t="s">
        <v>26</v>
      </c>
      <c r="BN28" s="105">
        <v>166</v>
      </c>
      <c r="BO28" s="105">
        <v>61</v>
      </c>
      <c r="BP28" s="105"/>
      <c r="BQ28" s="105">
        <v>8</v>
      </c>
      <c r="BR28" s="105">
        <v>94</v>
      </c>
      <c r="BS28" s="105">
        <v>22</v>
      </c>
      <c r="BT28" s="105">
        <v>72</v>
      </c>
      <c r="BU28" s="105"/>
      <c r="BV28" s="105"/>
      <c r="BW28" s="105">
        <v>45</v>
      </c>
      <c r="BX28" s="105">
        <v>28</v>
      </c>
      <c r="BY28" s="105">
        <v>47</v>
      </c>
      <c r="BZ28" s="105">
        <v>137</v>
      </c>
      <c r="CA28" s="105">
        <v>0</v>
      </c>
      <c r="CB28" s="105">
        <v>680</v>
      </c>
      <c r="CC28" s="2484">
        <f>+(BX28+BS28+BR28)/(CB28-CA28-BY28)</f>
        <v>0.22748815165876776</v>
      </c>
      <c r="CE28" s="41" t="s">
        <v>25</v>
      </c>
      <c r="CF28" s="41" t="s">
        <v>4</v>
      </c>
      <c r="CG28" s="41" t="s">
        <v>26</v>
      </c>
      <c r="CH28" s="105">
        <v>172</v>
      </c>
      <c r="CI28" s="105">
        <v>59</v>
      </c>
      <c r="CJ28" s="105"/>
      <c r="CK28" s="105">
        <v>79</v>
      </c>
      <c r="CL28" s="105">
        <v>67</v>
      </c>
      <c r="CM28" s="105">
        <v>18</v>
      </c>
      <c r="CN28" s="105">
        <v>58</v>
      </c>
      <c r="CO28" s="105"/>
      <c r="CP28" s="105">
        <v>0</v>
      </c>
      <c r="CQ28" s="105">
        <v>52</v>
      </c>
      <c r="CR28" s="105">
        <v>24</v>
      </c>
      <c r="CS28" s="105">
        <v>19</v>
      </c>
      <c r="CT28" s="105">
        <v>143</v>
      </c>
      <c r="CU28" s="105">
        <v>4</v>
      </c>
      <c r="CV28" s="105">
        <v>695</v>
      </c>
      <c r="CW28" s="1644">
        <f t="shared" si="0"/>
        <v>0.16220238095238096</v>
      </c>
      <c r="CX28" s="1976"/>
      <c r="CY28" s="41" t="s">
        <v>25</v>
      </c>
      <c r="CZ28" s="41" t="s">
        <v>4</v>
      </c>
      <c r="DA28" s="41" t="s">
        <v>26</v>
      </c>
      <c r="DB28" s="105">
        <v>157</v>
      </c>
      <c r="DC28" s="105">
        <v>61</v>
      </c>
      <c r="DD28" s="105"/>
      <c r="DE28" s="105">
        <v>74</v>
      </c>
      <c r="DF28" s="105">
        <v>80</v>
      </c>
      <c r="DG28" s="105">
        <v>14</v>
      </c>
      <c r="DH28" s="105">
        <v>58</v>
      </c>
      <c r="DI28" s="105">
        <v>0</v>
      </c>
      <c r="DJ28" s="105">
        <v>0</v>
      </c>
      <c r="DK28" s="105">
        <v>42</v>
      </c>
      <c r="DL28" s="105">
        <v>16</v>
      </c>
      <c r="DM28" s="105">
        <v>8</v>
      </c>
      <c r="DN28" s="105">
        <v>141</v>
      </c>
      <c r="DO28" s="105">
        <v>4</v>
      </c>
      <c r="DP28" s="105">
        <v>655</v>
      </c>
      <c r="DQ28" s="1644">
        <f t="shared" si="9"/>
        <v>0.17107309486780714</v>
      </c>
      <c r="DS28" s="1311" t="s">
        <v>25</v>
      </c>
      <c r="DT28" s="1311" t="s">
        <v>4</v>
      </c>
      <c r="DU28" s="1319" t="s">
        <v>26</v>
      </c>
      <c r="DV28" s="1320">
        <v>162</v>
      </c>
      <c r="DW28" s="1320">
        <v>59</v>
      </c>
      <c r="DX28" s="1321"/>
      <c r="DY28" s="1320">
        <v>72</v>
      </c>
      <c r="DZ28" s="1320">
        <v>111</v>
      </c>
      <c r="EA28" s="1320">
        <v>8</v>
      </c>
      <c r="EB28" s="1320">
        <v>56</v>
      </c>
      <c r="EC28" s="1321"/>
      <c r="ED28" s="1320">
        <v>0</v>
      </c>
      <c r="EE28" s="1320">
        <v>23</v>
      </c>
      <c r="EF28" s="1320">
        <v>16</v>
      </c>
      <c r="EG28" s="1320">
        <v>2</v>
      </c>
      <c r="EH28" s="1320">
        <v>138</v>
      </c>
      <c r="EI28" s="1320">
        <v>2</v>
      </c>
      <c r="EJ28" s="1320">
        <v>649</v>
      </c>
      <c r="EK28" s="1322">
        <f t="shared" si="10"/>
        <v>0.20930232558139536</v>
      </c>
      <c r="EM28" s="1047" t="s">
        <v>25</v>
      </c>
      <c r="EN28" s="1047" t="s">
        <v>4</v>
      </c>
      <c r="EO28" s="1060" t="s">
        <v>26</v>
      </c>
      <c r="EP28" s="1061">
        <v>126</v>
      </c>
      <c r="EQ28" s="1061">
        <v>58</v>
      </c>
      <c r="ER28" s="1047"/>
      <c r="ES28" s="1061">
        <v>104</v>
      </c>
      <c r="ET28" s="1061">
        <v>125</v>
      </c>
      <c r="EU28" s="1061">
        <v>11</v>
      </c>
      <c r="EV28" s="1061">
        <v>53</v>
      </c>
      <c r="EW28" s="1047"/>
      <c r="EX28" s="1061">
        <v>0</v>
      </c>
      <c r="EY28" s="1061">
        <v>35</v>
      </c>
      <c r="EZ28" s="1061">
        <v>15</v>
      </c>
      <c r="FA28" s="1061">
        <v>175</v>
      </c>
      <c r="FB28" s="1047"/>
      <c r="FC28" s="1061">
        <v>702</v>
      </c>
      <c r="FD28" s="537">
        <f t="shared" si="11"/>
        <v>0.21509971509971509</v>
      </c>
      <c r="FF28" s="652" t="s">
        <v>25</v>
      </c>
      <c r="FG28" s="652" t="s">
        <v>4</v>
      </c>
      <c r="FH28" s="1062" t="s">
        <v>26</v>
      </c>
      <c r="FI28" s="1063">
        <v>125</v>
      </c>
      <c r="FJ28" s="1063">
        <v>70</v>
      </c>
      <c r="FK28" s="1063">
        <v>0</v>
      </c>
      <c r="FL28" s="1063">
        <v>117</v>
      </c>
      <c r="FM28" s="1063">
        <v>121</v>
      </c>
      <c r="FN28" s="1063">
        <v>17</v>
      </c>
      <c r="FO28" s="1063">
        <v>53</v>
      </c>
      <c r="FP28" s="652"/>
      <c r="FQ28" s="652"/>
      <c r="FR28" s="1063">
        <v>18</v>
      </c>
      <c r="FS28" s="1063">
        <v>9</v>
      </c>
      <c r="FT28" s="1063">
        <v>177</v>
      </c>
      <c r="FU28" s="652"/>
      <c r="FV28" s="1063">
        <v>707</v>
      </c>
      <c r="FW28" s="537">
        <f t="shared" si="12"/>
        <v>0.20792079207920791</v>
      </c>
      <c r="FY28" s="817"/>
      <c r="FZ28" s="817"/>
      <c r="GA28" s="1064" t="s">
        <v>27</v>
      </c>
      <c r="GB28" s="1065">
        <v>25</v>
      </c>
      <c r="GC28" s="1065">
        <v>10</v>
      </c>
      <c r="GD28" s="1065">
        <v>0</v>
      </c>
      <c r="GE28" s="1065">
        <v>20</v>
      </c>
      <c r="GF28" s="1065">
        <v>19</v>
      </c>
      <c r="GG28" s="1065">
        <v>2</v>
      </c>
      <c r="GH28" s="1065">
        <v>8</v>
      </c>
      <c r="GI28" s="1065">
        <v>0</v>
      </c>
      <c r="GJ28" s="1065">
        <v>0</v>
      </c>
      <c r="GK28" s="1065">
        <v>4</v>
      </c>
      <c r="GL28" s="1065">
        <v>24</v>
      </c>
      <c r="GM28" s="1065">
        <v>31</v>
      </c>
      <c r="GN28" s="1065">
        <v>0</v>
      </c>
      <c r="GO28" s="1065">
        <v>0</v>
      </c>
      <c r="GP28" s="1065">
        <v>143</v>
      </c>
      <c r="GQ28" s="1066">
        <f t="shared" si="13"/>
        <v>0.21008403361344538</v>
      </c>
      <c r="GS28" s="107"/>
      <c r="GT28" s="107"/>
      <c r="GU28" s="47" t="s">
        <v>27</v>
      </c>
      <c r="GV28" s="47">
        <v>16</v>
      </c>
      <c r="GW28" s="47">
        <v>7</v>
      </c>
      <c r="GX28" s="47"/>
      <c r="GY28" s="47">
        <v>19</v>
      </c>
      <c r="GZ28" s="47">
        <v>13</v>
      </c>
      <c r="HA28" s="47">
        <v>3</v>
      </c>
      <c r="HB28" s="47">
        <v>6</v>
      </c>
      <c r="HC28" s="47"/>
      <c r="HD28" s="47">
        <v>3</v>
      </c>
      <c r="HE28" s="47">
        <v>6</v>
      </c>
      <c r="HF28" s="47">
        <v>19</v>
      </c>
      <c r="HG28" s="47">
        <v>33</v>
      </c>
      <c r="HH28" s="47"/>
      <c r="HI28" s="47">
        <v>0</v>
      </c>
      <c r="HJ28" s="47">
        <v>125</v>
      </c>
      <c r="HK28" s="1067">
        <f t="shared" si="1"/>
        <v>0.20754716981132076</v>
      </c>
      <c r="HL28" s="47"/>
      <c r="HM28" s="420"/>
      <c r="HN28" s="420"/>
      <c r="HO28" s="420" t="s">
        <v>27</v>
      </c>
      <c r="HP28" s="1068">
        <v>11</v>
      </c>
      <c r="HQ28" s="1068">
        <v>8</v>
      </c>
      <c r="HR28" s="1068" t="s">
        <v>327</v>
      </c>
      <c r="HS28" s="1068">
        <v>15</v>
      </c>
      <c r="HT28" s="1068">
        <v>12</v>
      </c>
      <c r="HU28" s="1068">
        <v>4</v>
      </c>
      <c r="HV28" s="1068">
        <v>11</v>
      </c>
      <c r="HW28" s="1068" t="s">
        <v>327</v>
      </c>
      <c r="HX28" s="1068">
        <v>1</v>
      </c>
      <c r="HY28" s="1068">
        <v>6</v>
      </c>
      <c r="HZ28" s="1068">
        <v>31</v>
      </c>
      <c r="IA28" s="1068" t="s">
        <v>327</v>
      </c>
      <c r="IB28" s="1068">
        <v>99</v>
      </c>
      <c r="IC28" s="1068">
        <f t="shared" si="2"/>
        <v>22</v>
      </c>
      <c r="ID28" s="1069">
        <f t="shared" si="3"/>
        <v>0.22222222222222221</v>
      </c>
      <c r="IE28" s="47"/>
      <c r="IF28" s="47"/>
    </row>
    <row r="29" spans="1:240">
      <c r="A29" s="41"/>
      <c r="B29" s="41"/>
      <c r="C29" s="41" t="s">
        <v>27</v>
      </c>
      <c r="D29" s="105">
        <v>51</v>
      </c>
      <c r="E29" s="105">
        <v>19</v>
      </c>
      <c r="F29" s="105">
        <v>1</v>
      </c>
      <c r="G29" s="105">
        <v>19</v>
      </c>
      <c r="H29" s="105">
        <v>10</v>
      </c>
      <c r="I29" s="105">
        <v>7</v>
      </c>
      <c r="J29" s="105">
        <v>3</v>
      </c>
      <c r="K29" s="105"/>
      <c r="L29" s="105">
        <v>1</v>
      </c>
      <c r="M29" s="105">
        <v>9</v>
      </c>
      <c r="N29" s="105">
        <v>5</v>
      </c>
      <c r="O29" s="105">
        <v>2</v>
      </c>
      <c r="P29" s="105">
        <v>41</v>
      </c>
      <c r="Q29" s="105">
        <v>0</v>
      </c>
      <c r="R29" s="105">
        <v>168</v>
      </c>
      <c r="S29" s="706">
        <f t="shared" si="4"/>
        <v>0.13253012048192772</v>
      </c>
      <c r="T29" s="5561">
        <f t="shared" si="5"/>
        <v>0</v>
      </c>
      <c r="U29" s="5562">
        <v>168</v>
      </c>
      <c r="V29" s="706"/>
      <c r="Y29" s="41" t="s">
        <v>27</v>
      </c>
      <c r="Z29" s="41">
        <v>35</v>
      </c>
      <c r="AA29" s="41">
        <v>15</v>
      </c>
      <c r="AB29" s="41">
        <v>0</v>
      </c>
      <c r="AC29" s="41">
        <v>22</v>
      </c>
      <c r="AD29" s="41">
        <v>30</v>
      </c>
      <c r="AE29" s="41">
        <v>2</v>
      </c>
      <c r="AF29" s="41">
        <v>17</v>
      </c>
      <c r="AG29" s="41"/>
      <c r="AH29" s="41">
        <v>1</v>
      </c>
      <c r="AI29" s="41">
        <v>11</v>
      </c>
      <c r="AJ29" s="41">
        <v>5</v>
      </c>
      <c r="AK29" s="41">
        <v>0</v>
      </c>
      <c r="AL29" s="41">
        <v>34</v>
      </c>
      <c r="AM29" s="41">
        <v>0</v>
      </c>
      <c r="AN29" s="461">
        <v>172</v>
      </c>
      <c r="AO29" s="4692">
        <f t="shared" si="6"/>
        <v>0.21511627906976744</v>
      </c>
      <c r="AQ29" s="1788"/>
      <c r="AR29" s="1788"/>
      <c r="AS29" s="37" t="s">
        <v>27</v>
      </c>
      <c r="AT29" s="1788">
        <v>53</v>
      </c>
      <c r="AU29" s="1788">
        <v>23</v>
      </c>
      <c r="AV29" s="1788">
        <v>0</v>
      </c>
      <c r="AW29" s="1788">
        <v>20</v>
      </c>
      <c r="AX29" s="1788">
        <v>15</v>
      </c>
      <c r="AY29" s="1788">
        <v>1</v>
      </c>
      <c r="AZ29" s="1788">
        <v>4</v>
      </c>
      <c r="BA29" s="1788"/>
      <c r="BB29" s="1788">
        <v>1</v>
      </c>
      <c r="BC29" s="1788">
        <v>9</v>
      </c>
      <c r="BD29" s="1788">
        <v>3</v>
      </c>
      <c r="BE29" s="1788">
        <v>1</v>
      </c>
      <c r="BF29" s="1788">
        <v>37</v>
      </c>
      <c r="BG29" s="1788">
        <v>0</v>
      </c>
      <c r="BH29" s="1788">
        <v>167</v>
      </c>
      <c r="BI29" s="4701">
        <f t="shared" si="7"/>
        <v>0.1144578313253012</v>
      </c>
      <c r="BK29" s="41"/>
      <c r="BL29" s="41"/>
      <c r="BM29" s="41" t="s">
        <v>27</v>
      </c>
      <c r="BN29" s="105">
        <v>50</v>
      </c>
      <c r="BO29" s="105">
        <v>15</v>
      </c>
      <c r="BP29" s="105"/>
      <c r="BQ29" s="105">
        <v>2</v>
      </c>
      <c r="BR29" s="105">
        <v>29</v>
      </c>
      <c r="BS29" s="105">
        <v>0</v>
      </c>
      <c r="BT29" s="105">
        <v>15</v>
      </c>
      <c r="BU29" s="105"/>
      <c r="BV29" s="105"/>
      <c r="BW29" s="105">
        <v>6</v>
      </c>
      <c r="BX29" s="105">
        <v>1</v>
      </c>
      <c r="BY29" s="105">
        <v>0</v>
      </c>
      <c r="BZ29" s="105">
        <v>34</v>
      </c>
      <c r="CA29" s="105">
        <v>0</v>
      </c>
      <c r="CB29" s="105">
        <v>152</v>
      </c>
      <c r="CC29" s="2484">
        <f t="shared" si="8"/>
        <v>0.19736842105263158</v>
      </c>
      <c r="CE29" s="41"/>
      <c r="CF29" s="41"/>
      <c r="CG29" s="41" t="s">
        <v>27</v>
      </c>
      <c r="CH29" s="105">
        <v>41</v>
      </c>
      <c r="CI29" s="105">
        <v>15</v>
      </c>
      <c r="CJ29" s="105"/>
      <c r="CK29" s="105">
        <v>23</v>
      </c>
      <c r="CL29" s="105">
        <v>30</v>
      </c>
      <c r="CM29" s="105">
        <v>8</v>
      </c>
      <c r="CN29" s="105">
        <v>8</v>
      </c>
      <c r="CO29" s="105"/>
      <c r="CP29" s="105">
        <v>1</v>
      </c>
      <c r="CQ29" s="105">
        <v>5</v>
      </c>
      <c r="CR29" s="105">
        <v>3</v>
      </c>
      <c r="CS29" s="105">
        <v>0</v>
      </c>
      <c r="CT29" s="105">
        <v>31</v>
      </c>
      <c r="CU29" s="105">
        <v>0</v>
      </c>
      <c r="CV29" s="105">
        <v>165</v>
      </c>
      <c r="CW29" s="1644">
        <f t="shared" si="0"/>
        <v>0.24848484848484848</v>
      </c>
      <c r="CX29" s="1976"/>
      <c r="CY29" s="41"/>
      <c r="CZ29" s="41"/>
      <c r="DA29" s="41" t="s">
        <v>27</v>
      </c>
      <c r="DB29" s="105">
        <v>37</v>
      </c>
      <c r="DC29" s="105">
        <v>19</v>
      </c>
      <c r="DD29" s="105"/>
      <c r="DE29" s="105">
        <v>22</v>
      </c>
      <c r="DF29" s="105">
        <v>27</v>
      </c>
      <c r="DG29" s="105">
        <v>5</v>
      </c>
      <c r="DH29" s="105">
        <v>6</v>
      </c>
      <c r="DI29" s="105">
        <v>0</v>
      </c>
      <c r="DJ29" s="105">
        <v>1</v>
      </c>
      <c r="DK29" s="105">
        <v>3</v>
      </c>
      <c r="DL29" s="105">
        <v>5</v>
      </c>
      <c r="DM29" s="105">
        <v>0</v>
      </c>
      <c r="DN29" s="105">
        <v>27</v>
      </c>
      <c r="DO29" s="105">
        <v>0</v>
      </c>
      <c r="DP29" s="105">
        <v>152</v>
      </c>
      <c r="DQ29" s="1644">
        <f t="shared" si="9"/>
        <v>0.24342105263157895</v>
      </c>
      <c r="DS29" s="1311"/>
      <c r="DT29" s="1311"/>
      <c r="DU29" s="1311" t="s">
        <v>15</v>
      </c>
      <c r="DV29" s="1320">
        <v>27</v>
      </c>
      <c r="DW29" s="1320">
        <v>11</v>
      </c>
      <c r="DX29" s="1321"/>
      <c r="DY29" s="1320">
        <v>18</v>
      </c>
      <c r="DZ29" s="1320">
        <v>27</v>
      </c>
      <c r="EA29" s="1320">
        <v>4</v>
      </c>
      <c r="EB29" s="1320">
        <v>8</v>
      </c>
      <c r="EC29" s="1321"/>
      <c r="ED29" s="1320">
        <v>1</v>
      </c>
      <c r="EE29" s="1320">
        <v>3</v>
      </c>
      <c r="EF29" s="1320">
        <v>3</v>
      </c>
      <c r="EG29" s="1320">
        <v>0</v>
      </c>
      <c r="EH29" s="1320">
        <v>25</v>
      </c>
      <c r="EI29" s="1320">
        <v>0</v>
      </c>
      <c r="EJ29" s="1320">
        <v>127</v>
      </c>
      <c r="EK29" s="1322">
        <f t="shared" si="10"/>
        <v>0.26771653543307089</v>
      </c>
      <c r="EM29" s="1047"/>
      <c r="EN29" s="1047"/>
      <c r="EO29" s="1060" t="s">
        <v>27</v>
      </c>
      <c r="EP29" s="1061">
        <v>26</v>
      </c>
      <c r="EQ29" s="1061">
        <v>6</v>
      </c>
      <c r="ER29" s="1047"/>
      <c r="ES29" s="1061">
        <v>22</v>
      </c>
      <c r="ET29" s="1061">
        <v>15</v>
      </c>
      <c r="EU29" s="1061">
        <v>6</v>
      </c>
      <c r="EV29" s="1061">
        <v>3</v>
      </c>
      <c r="EW29" s="1047"/>
      <c r="EX29" s="1061">
        <v>1</v>
      </c>
      <c r="EY29" s="1061">
        <v>6</v>
      </c>
      <c r="EZ29" s="1061">
        <v>10</v>
      </c>
      <c r="FA29" s="1061">
        <v>33</v>
      </c>
      <c r="FB29" s="1047"/>
      <c r="FC29" s="1061">
        <v>128</v>
      </c>
      <c r="FD29" s="537">
        <f t="shared" si="11"/>
        <v>0.2421875</v>
      </c>
      <c r="FF29" s="652"/>
      <c r="FG29" s="652"/>
      <c r="FH29" s="1062" t="s">
        <v>27</v>
      </c>
      <c r="FI29" s="1063">
        <v>33</v>
      </c>
      <c r="FJ29" s="1063">
        <v>10</v>
      </c>
      <c r="FK29" s="1063">
        <v>0</v>
      </c>
      <c r="FL29" s="1063">
        <v>21</v>
      </c>
      <c r="FM29" s="1063">
        <v>19</v>
      </c>
      <c r="FN29" s="1063">
        <v>0</v>
      </c>
      <c r="FO29" s="1063">
        <v>9</v>
      </c>
      <c r="FP29" s="652"/>
      <c r="FQ29" s="652"/>
      <c r="FR29" s="1063">
        <v>1</v>
      </c>
      <c r="FS29" s="1063">
        <v>4</v>
      </c>
      <c r="FT29" s="1063">
        <v>29</v>
      </c>
      <c r="FU29" s="652"/>
      <c r="FV29" s="1063">
        <v>126</v>
      </c>
      <c r="FW29" s="537">
        <f t="shared" si="12"/>
        <v>0.18253968253968253</v>
      </c>
      <c r="FY29" s="817"/>
      <c r="FZ29" s="817"/>
      <c r="GA29" s="1064" t="s">
        <v>12</v>
      </c>
      <c r="GB29" s="1065">
        <v>61</v>
      </c>
      <c r="GC29" s="1065">
        <v>19</v>
      </c>
      <c r="GD29" s="1065">
        <v>0</v>
      </c>
      <c r="GE29" s="1065">
        <v>76</v>
      </c>
      <c r="GF29" s="1065">
        <v>72</v>
      </c>
      <c r="GG29" s="1065">
        <v>13</v>
      </c>
      <c r="GH29" s="1065">
        <v>30</v>
      </c>
      <c r="GI29" s="1065">
        <v>0</v>
      </c>
      <c r="GJ29" s="1065">
        <v>5</v>
      </c>
      <c r="GK29" s="1065">
        <v>11</v>
      </c>
      <c r="GL29" s="1065">
        <v>133</v>
      </c>
      <c r="GM29" s="1065">
        <v>129</v>
      </c>
      <c r="GN29" s="1065">
        <v>0</v>
      </c>
      <c r="GO29" s="1065">
        <v>4</v>
      </c>
      <c r="GP29" s="1065">
        <v>553</v>
      </c>
      <c r="GQ29" s="1066">
        <f t="shared" si="13"/>
        <v>0.23076923076923078</v>
      </c>
      <c r="GS29" s="107"/>
      <c r="GT29" s="107"/>
      <c r="GU29" s="47" t="s">
        <v>12</v>
      </c>
      <c r="GV29" s="47">
        <v>57</v>
      </c>
      <c r="GW29" s="47">
        <v>12</v>
      </c>
      <c r="GX29" s="47"/>
      <c r="GY29" s="47">
        <v>74</v>
      </c>
      <c r="GZ29" s="47">
        <v>73</v>
      </c>
      <c r="HA29" s="47">
        <v>13</v>
      </c>
      <c r="HB29" s="47">
        <v>33</v>
      </c>
      <c r="HC29" s="47"/>
      <c r="HD29" s="47">
        <v>5</v>
      </c>
      <c r="HE29" s="47">
        <v>7</v>
      </c>
      <c r="HF29" s="47">
        <v>122</v>
      </c>
      <c r="HG29" s="47">
        <v>129</v>
      </c>
      <c r="HH29" s="47"/>
      <c r="HI29" s="47">
        <v>1</v>
      </c>
      <c r="HJ29" s="47">
        <v>526</v>
      </c>
      <c r="HK29" s="1067">
        <f t="shared" si="1"/>
        <v>0.23076923076923078</v>
      </c>
      <c r="HL29" s="47"/>
      <c r="HM29" s="420"/>
      <c r="HN29" s="420"/>
      <c r="HO29" s="420" t="s">
        <v>12</v>
      </c>
      <c r="HP29" s="1068">
        <v>50</v>
      </c>
      <c r="HQ29" s="1068">
        <v>14</v>
      </c>
      <c r="HR29" s="1068" t="s">
        <v>327</v>
      </c>
      <c r="HS29" s="1068">
        <v>74</v>
      </c>
      <c r="HT29" s="1068">
        <v>70</v>
      </c>
      <c r="HU29" s="1068">
        <v>7</v>
      </c>
      <c r="HV29" s="1068">
        <v>46</v>
      </c>
      <c r="HW29" s="1068" t="s">
        <v>327</v>
      </c>
      <c r="HX29" s="1068">
        <v>16</v>
      </c>
      <c r="HY29" s="1068">
        <v>15</v>
      </c>
      <c r="HZ29" s="1068">
        <v>129</v>
      </c>
      <c r="IA29" s="1068" t="s">
        <v>327</v>
      </c>
      <c r="IB29" s="1068">
        <v>421</v>
      </c>
      <c r="IC29" s="1068">
        <f t="shared" si="2"/>
        <v>92</v>
      </c>
      <c r="ID29" s="1069">
        <f t="shared" si="3"/>
        <v>0.21852731591448932</v>
      </c>
      <c r="IE29" s="47"/>
      <c r="IF29" s="47"/>
    </row>
    <row r="30" spans="1:240">
      <c r="A30" s="41"/>
      <c r="B30" s="41"/>
      <c r="C30" s="41" t="s">
        <v>12</v>
      </c>
      <c r="D30" s="105">
        <v>167</v>
      </c>
      <c r="E30" s="105">
        <v>74</v>
      </c>
      <c r="F30" s="105">
        <v>0</v>
      </c>
      <c r="G30" s="105">
        <v>61</v>
      </c>
      <c r="H30" s="105">
        <v>135</v>
      </c>
      <c r="I30" s="105">
        <v>31</v>
      </c>
      <c r="J30" s="105">
        <v>19</v>
      </c>
      <c r="K30" s="105"/>
      <c r="L30" s="105">
        <v>0</v>
      </c>
      <c r="M30" s="105">
        <v>26</v>
      </c>
      <c r="N30" s="105">
        <v>29</v>
      </c>
      <c r="O30" s="105">
        <v>36</v>
      </c>
      <c r="P30" s="105">
        <v>149</v>
      </c>
      <c r="Q30" s="105">
        <v>0</v>
      </c>
      <c r="R30" s="105">
        <v>727</v>
      </c>
      <c r="S30" s="706">
        <f t="shared" si="4"/>
        <v>0.28219971056439941</v>
      </c>
      <c r="T30" s="5561">
        <f t="shared" si="5"/>
        <v>1</v>
      </c>
      <c r="U30" s="5562">
        <v>726</v>
      </c>
      <c r="V30" s="706"/>
      <c r="Y30" s="41" t="s">
        <v>12</v>
      </c>
      <c r="Z30" s="41">
        <v>77</v>
      </c>
      <c r="AA30" s="41">
        <v>64</v>
      </c>
      <c r="AB30" s="41">
        <v>0</v>
      </c>
      <c r="AC30" s="41">
        <v>67</v>
      </c>
      <c r="AD30" s="41">
        <v>159</v>
      </c>
      <c r="AE30" s="41">
        <v>30</v>
      </c>
      <c r="AF30" s="41">
        <v>82</v>
      </c>
      <c r="AG30" s="41"/>
      <c r="AH30" s="41">
        <v>0</v>
      </c>
      <c r="AI30" s="41">
        <v>25</v>
      </c>
      <c r="AJ30" s="41">
        <v>21</v>
      </c>
      <c r="AK30" s="41">
        <v>19</v>
      </c>
      <c r="AL30" s="41">
        <v>120</v>
      </c>
      <c r="AM30" s="41">
        <v>0</v>
      </c>
      <c r="AN30" s="461">
        <v>664</v>
      </c>
      <c r="AO30" s="4692">
        <f t="shared" si="6"/>
        <v>0.32558139534883723</v>
      </c>
      <c r="AQ30" s="1788"/>
      <c r="AR30" s="1788"/>
      <c r="AS30" s="37" t="s">
        <v>12</v>
      </c>
      <c r="AT30" s="1788">
        <v>143</v>
      </c>
      <c r="AU30" s="1788">
        <v>79</v>
      </c>
      <c r="AV30" s="1788">
        <v>0</v>
      </c>
      <c r="AW30" s="1788">
        <v>58</v>
      </c>
      <c r="AX30" s="1788">
        <v>105</v>
      </c>
      <c r="AY30" s="1788">
        <v>47</v>
      </c>
      <c r="AZ30" s="1788">
        <v>29</v>
      </c>
      <c r="BA30" s="1788"/>
      <c r="BB30" s="1788">
        <v>0</v>
      </c>
      <c r="BC30" s="1788">
        <v>32</v>
      </c>
      <c r="BD30" s="1788">
        <v>22</v>
      </c>
      <c r="BE30" s="1788">
        <v>25</v>
      </c>
      <c r="BF30" s="1788">
        <v>144</v>
      </c>
      <c r="BG30" s="1788">
        <v>0</v>
      </c>
      <c r="BH30" s="1788">
        <v>684</v>
      </c>
      <c r="BI30" s="4701">
        <f t="shared" si="7"/>
        <v>0.26403641881638845</v>
      </c>
      <c r="BK30" s="41"/>
      <c r="BL30" s="41"/>
      <c r="BM30" s="41" t="s">
        <v>12</v>
      </c>
      <c r="BN30" s="105">
        <v>159</v>
      </c>
      <c r="BO30" s="105">
        <v>70</v>
      </c>
      <c r="BP30" s="105"/>
      <c r="BQ30" s="105">
        <v>3</v>
      </c>
      <c r="BR30" s="105">
        <v>116</v>
      </c>
      <c r="BS30" s="105">
        <v>15</v>
      </c>
      <c r="BT30" s="105">
        <v>55</v>
      </c>
      <c r="BU30" s="105"/>
      <c r="BV30" s="105"/>
      <c r="BW30" s="105">
        <v>33</v>
      </c>
      <c r="BX30" s="105">
        <v>21</v>
      </c>
      <c r="BY30" s="105">
        <v>19</v>
      </c>
      <c r="BZ30" s="105">
        <v>116</v>
      </c>
      <c r="CA30" s="105">
        <v>0</v>
      </c>
      <c r="CB30" s="105">
        <v>607</v>
      </c>
      <c r="CC30" s="2484">
        <f t="shared" si="8"/>
        <v>0.25850340136054423</v>
      </c>
      <c r="CE30" s="41"/>
      <c r="CF30" s="41"/>
      <c r="CG30" s="41" t="s">
        <v>12</v>
      </c>
      <c r="CH30" s="105">
        <v>156</v>
      </c>
      <c r="CI30" s="105">
        <v>61</v>
      </c>
      <c r="CJ30" s="105"/>
      <c r="CK30" s="105">
        <v>71</v>
      </c>
      <c r="CL30" s="105">
        <v>93</v>
      </c>
      <c r="CM30" s="105">
        <v>14</v>
      </c>
      <c r="CN30" s="105">
        <v>27</v>
      </c>
      <c r="CO30" s="105"/>
      <c r="CP30" s="105">
        <v>0</v>
      </c>
      <c r="CQ30" s="105">
        <v>43</v>
      </c>
      <c r="CR30" s="105">
        <v>17</v>
      </c>
      <c r="CS30" s="105">
        <v>11</v>
      </c>
      <c r="CT30" s="105">
        <v>118</v>
      </c>
      <c r="CU30" s="105">
        <v>0</v>
      </c>
      <c r="CV30" s="105">
        <v>611</v>
      </c>
      <c r="CW30" s="1644">
        <f t="shared" si="0"/>
        <v>0.20666666666666667</v>
      </c>
      <c r="CX30" s="1976"/>
      <c r="CY30" s="41"/>
      <c r="CZ30" s="41"/>
      <c r="DA30" s="41" t="s">
        <v>12</v>
      </c>
      <c r="DB30" s="105">
        <v>133</v>
      </c>
      <c r="DC30" s="105">
        <v>55</v>
      </c>
      <c r="DD30" s="105"/>
      <c r="DE30" s="105">
        <v>70</v>
      </c>
      <c r="DF30" s="105">
        <v>76</v>
      </c>
      <c r="DG30" s="105">
        <v>21</v>
      </c>
      <c r="DH30" s="105">
        <v>35</v>
      </c>
      <c r="DI30" s="105">
        <v>0</v>
      </c>
      <c r="DJ30" s="105">
        <v>0</v>
      </c>
      <c r="DK30" s="105">
        <v>33</v>
      </c>
      <c r="DL30" s="105">
        <v>15</v>
      </c>
      <c r="DM30" s="105">
        <v>1</v>
      </c>
      <c r="DN30" s="105">
        <v>90</v>
      </c>
      <c r="DO30" s="105">
        <v>0</v>
      </c>
      <c r="DP30" s="105">
        <v>529</v>
      </c>
      <c r="DQ30" s="1644">
        <f t="shared" si="9"/>
        <v>0.21212121212121213</v>
      </c>
      <c r="DS30" s="1311"/>
      <c r="DT30" s="1311"/>
      <c r="DU30" s="1319" t="s">
        <v>12</v>
      </c>
      <c r="DV30" s="1320">
        <v>126</v>
      </c>
      <c r="DW30" s="1320">
        <v>34</v>
      </c>
      <c r="DX30" s="1321"/>
      <c r="DY30" s="1320">
        <v>69</v>
      </c>
      <c r="DZ30" s="1320">
        <v>88</v>
      </c>
      <c r="EA30" s="1320">
        <v>5</v>
      </c>
      <c r="EB30" s="1320">
        <v>28</v>
      </c>
      <c r="EC30" s="1321"/>
      <c r="ED30" s="1320">
        <v>0</v>
      </c>
      <c r="EE30" s="1320">
        <v>31</v>
      </c>
      <c r="EF30" s="1320">
        <v>7</v>
      </c>
      <c r="EG30" s="1320">
        <v>0</v>
      </c>
      <c r="EH30" s="1320">
        <v>101</v>
      </c>
      <c r="EI30" s="1320">
        <v>0</v>
      </c>
      <c r="EJ30" s="1320">
        <v>489</v>
      </c>
      <c r="EK30" s="1322">
        <f t="shared" si="10"/>
        <v>0.20449897750511248</v>
      </c>
      <c r="EM30" s="1047"/>
      <c r="EN30" s="1047"/>
      <c r="EO30" s="1060" t="s">
        <v>12</v>
      </c>
      <c r="EP30" s="1061">
        <v>102</v>
      </c>
      <c r="EQ30" s="1061">
        <v>37</v>
      </c>
      <c r="ER30" s="1047"/>
      <c r="ES30" s="1061">
        <v>86</v>
      </c>
      <c r="ET30" s="1061">
        <v>89</v>
      </c>
      <c r="EU30" s="1061">
        <v>7</v>
      </c>
      <c r="EV30" s="1061">
        <v>29</v>
      </c>
      <c r="EW30" s="1047"/>
      <c r="EX30" s="1061">
        <v>0</v>
      </c>
      <c r="EY30" s="1061">
        <v>23</v>
      </c>
      <c r="EZ30" s="1061">
        <v>4</v>
      </c>
      <c r="FA30" s="1061">
        <v>121</v>
      </c>
      <c r="FB30" s="1047"/>
      <c r="FC30" s="1061">
        <v>498</v>
      </c>
      <c r="FD30" s="537">
        <f t="shared" si="11"/>
        <v>0.20080321285140562</v>
      </c>
      <c r="FF30" s="652"/>
      <c r="FG30" s="652"/>
      <c r="FH30" s="1062" t="s">
        <v>12</v>
      </c>
      <c r="FI30" s="1063">
        <v>64</v>
      </c>
      <c r="FJ30" s="1063">
        <v>22</v>
      </c>
      <c r="FK30" s="1063">
        <v>0</v>
      </c>
      <c r="FL30" s="1063">
        <v>81</v>
      </c>
      <c r="FM30" s="1063">
        <v>83</v>
      </c>
      <c r="FN30" s="1063">
        <v>15</v>
      </c>
      <c r="FO30" s="1063">
        <v>21</v>
      </c>
      <c r="FP30" s="652"/>
      <c r="FQ30" s="652"/>
      <c r="FR30" s="1063">
        <v>8</v>
      </c>
      <c r="FS30" s="1063">
        <v>6</v>
      </c>
      <c r="FT30" s="1063">
        <v>129</v>
      </c>
      <c r="FU30" s="652"/>
      <c r="FV30" s="1063">
        <v>429</v>
      </c>
      <c r="FW30" s="537">
        <f t="shared" si="12"/>
        <v>0.24242424242424243</v>
      </c>
      <c r="FY30" s="817"/>
      <c r="FZ30" s="817"/>
      <c r="GA30" s="1064" t="s">
        <v>28</v>
      </c>
      <c r="GB30" s="1065">
        <v>52</v>
      </c>
      <c r="GC30" s="1065">
        <v>21</v>
      </c>
      <c r="GD30" s="1065">
        <v>0</v>
      </c>
      <c r="GE30" s="1065">
        <v>69</v>
      </c>
      <c r="GF30" s="1065">
        <v>47</v>
      </c>
      <c r="GG30" s="1065">
        <v>16</v>
      </c>
      <c r="GH30" s="1065">
        <v>29</v>
      </c>
      <c r="GI30" s="1065">
        <v>0</v>
      </c>
      <c r="GJ30" s="1065">
        <v>7</v>
      </c>
      <c r="GK30" s="1065">
        <v>12</v>
      </c>
      <c r="GL30" s="1065">
        <v>54</v>
      </c>
      <c r="GM30" s="1065">
        <v>104</v>
      </c>
      <c r="GN30" s="1065">
        <v>0</v>
      </c>
      <c r="GO30" s="1065">
        <v>2</v>
      </c>
      <c r="GP30" s="1065">
        <v>413</v>
      </c>
      <c r="GQ30" s="1066">
        <f t="shared" si="13"/>
        <v>0.21008403361344538</v>
      </c>
      <c r="GS30" s="107"/>
      <c r="GT30" s="107"/>
      <c r="GU30" s="47" t="s">
        <v>28</v>
      </c>
      <c r="GV30" s="47">
        <v>50</v>
      </c>
      <c r="GW30" s="47">
        <v>17</v>
      </c>
      <c r="GX30" s="47"/>
      <c r="GY30" s="47">
        <v>59</v>
      </c>
      <c r="GZ30" s="47">
        <v>39</v>
      </c>
      <c r="HA30" s="47">
        <v>14</v>
      </c>
      <c r="HB30" s="47">
        <v>19</v>
      </c>
      <c r="HC30" s="47"/>
      <c r="HD30" s="47">
        <v>5</v>
      </c>
      <c r="HE30" s="47">
        <v>13</v>
      </c>
      <c r="HF30" s="47">
        <v>55</v>
      </c>
      <c r="HG30" s="47">
        <v>99</v>
      </c>
      <c r="HH30" s="47"/>
      <c r="HI30" s="47">
        <v>1</v>
      </c>
      <c r="HJ30" s="47">
        <v>371</v>
      </c>
      <c r="HK30" s="1067">
        <f t="shared" si="1"/>
        <v>0.20952380952380953</v>
      </c>
      <c r="HL30" s="47"/>
      <c r="HM30" s="420"/>
      <c r="HN30" s="420"/>
      <c r="HO30" s="420" t="s">
        <v>28</v>
      </c>
      <c r="HP30" s="1068">
        <v>48</v>
      </c>
      <c r="HQ30" s="1068">
        <v>14</v>
      </c>
      <c r="HR30" s="1068" t="s">
        <v>327</v>
      </c>
      <c r="HS30" s="1068">
        <v>61</v>
      </c>
      <c r="HT30" s="1068">
        <v>43</v>
      </c>
      <c r="HU30" s="1068">
        <v>9</v>
      </c>
      <c r="HV30" s="1068">
        <v>38</v>
      </c>
      <c r="HW30" s="1068" t="s">
        <v>327</v>
      </c>
      <c r="HX30" s="1068">
        <v>8</v>
      </c>
      <c r="HY30" s="1068">
        <v>13</v>
      </c>
      <c r="HZ30" s="1068">
        <v>86</v>
      </c>
      <c r="IA30" s="1068" t="s">
        <v>327</v>
      </c>
      <c r="IB30" s="1068">
        <v>320</v>
      </c>
      <c r="IC30" s="1068">
        <f t="shared" si="2"/>
        <v>65</v>
      </c>
      <c r="ID30" s="1069">
        <f t="shared" si="3"/>
        <v>0.203125</v>
      </c>
      <c r="IE30" s="47"/>
      <c r="IF30" s="47"/>
    </row>
    <row r="31" spans="1:240">
      <c r="A31" s="41"/>
      <c r="B31" s="41"/>
      <c r="C31" s="41" t="s">
        <v>28</v>
      </c>
      <c r="D31" s="105">
        <v>133</v>
      </c>
      <c r="E31" s="105">
        <v>76</v>
      </c>
      <c r="F31" s="105">
        <v>0</v>
      </c>
      <c r="G31" s="105">
        <v>91</v>
      </c>
      <c r="H31" s="105">
        <v>94</v>
      </c>
      <c r="I31" s="105">
        <v>26</v>
      </c>
      <c r="J31" s="105">
        <v>32</v>
      </c>
      <c r="K31" s="105"/>
      <c r="L31" s="105">
        <v>0</v>
      </c>
      <c r="M31" s="105">
        <v>27</v>
      </c>
      <c r="N31" s="105">
        <v>22</v>
      </c>
      <c r="O31" s="105">
        <v>25</v>
      </c>
      <c r="P31" s="105">
        <v>189</v>
      </c>
      <c r="Q31" s="105">
        <v>1</v>
      </c>
      <c r="R31" s="105">
        <v>716</v>
      </c>
      <c r="S31" s="706">
        <f t="shared" si="4"/>
        <v>0.20579710144927535</v>
      </c>
      <c r="T31" s="5561">
        <f t="shared" si="5"/>
        <v>0</v>
      </c>
      <c r="U31" s="5562">
        <v>716</v>
      </c>
      <c r="V31" s="706"/>
      <c r="Y31" s="41" t="s">
        <v>28</v>
      </c>
      <c r="Z31" s="41">
        <v>72</v>
      </c>
      <c r="AA31" s="41">
        <v>54</v>
      </c>
      <c r="AB31" s="41">
        <v>1</v>
      </c>
      <c r="AC31" s="41">
        <v>90</v>
      </c>
      <c r="AD31" s="41">
        <v>117</v>
      </c>
      <c r="AE31" s="41">
        <v>19</v>
      </c>
      <c r="AF31" s="41">
        <v>90</v>
      </c>
      <c r="AG31" s="41"/>
      <c r="AH31" s="41">
        <v>0</v>
      </c>
      <c r="AI31" s="41">
        <v>26</v>
      </c>
      <c r="AJ31" s="41">
        <v>14</v>
      </c>
      <c r="AK31" s="41">
        <v>19</v>
      </c>
      <c r="AL31" s="41">
        <v>147</v>
      </c>
      <c r="AM31" s="41">
        <v>0</v>
      </c>
      <c r="AN31" s="461">
        <v>649</v>
      </c>
      <c r="AO31" s="4692">
        <f t="shared" si="6"/>
        <v>0.23809523809523808</v>
      </c>
      <c r="AQ31" s="1788"/>
      <c r="AR31" s="1788"/>
      <c r="AS31" s="37" t="s">
        <v>28</v>
      </c>
      <c r="AT31" s="1788">
        <v>124</v>
      </c>
      <c r="AU31" s="1788">
        <v>79</v>
      </c>
      <c r="AV31" s="1788">
        <v>1</v>
      </c>
      <c r="AW31" s="1788">
        <v>86</v>
      </c>
      <c r="AX31" s="1788">
        <v>83</v>
      </c>
      <c r="AY31" s="1788">
        <v>28</v>
      </c>
      <c r="AZ31" s="1788">
        <v>42</v>
      </c>
      <c r="BA31" s="1788"/>
      <c r="BB31" s="1788">
        <v>0</v>
      </c>
      <c r="BC31" s="1788">
        <v>30</v>
      </c>
      <c r="BD31" s="1788">
        <v>15</v>
      </c>
      <c r="BE31" s="1788">
        <v>20</v>
      </c>
      <c r="BF31" s="1788">
        <v>172</v>
      </c>
      <c r="BG31" s="1788">
        <v>0</v>
      </c>
      <c r="BH31" s="1788">
        <v>680</v>
      </c>
      <c r="BI31" s="4701">
        <f t="shared" si="7"/>
        <v>0.19090909090909092</v>
      </c>
      <c r="BK31" s="41"/>
      <c r="BL31" s="41"/>
      <c r="BM31" s="41" t="s">
        <v>28</v>
      </c>
      <c r="BN31" s="105">
        <v>118</v>
      </c>
      <c r="BO31" s="105">
        <v>60</v>
      </c>
      <c r="BP31" s="105"/>
      <c r="BQ31" s="105">
        <v>2</v>
      </c>
      <c r="BR31" s="105">
        <v>86</v>
      </c>
      <c r="BS31" s="105">
        <v>16</v>
      </c>
      <c r="BT31" s="105">
        <v>57</v>
      </c>
      <c r="BU31" s="105"/>
      <c r="BV31" s="105"/>
      <c r="BW31" s="105">
        <v>36</v>
      </c>
      <c r="BX31" s="105">
        <v>18</v>
      </c>
      <c r="BY31" s="105">
        <v>19</v>
      </c>
      <c r="BZ31" s="105">
        <v>149</v>
      </c>
      <c r="CA31" s="105">
        <v>0</v>
      </c>
      <c r="CB31" s="105">
        <v>561</v>
      </c>
      <c r="CC31" s="2484">
        <f t="shared" si="8"/>
        <v>0.22140221402214022</v>
      </c>
      <c r="CE31" s="41"/>
      <c r="CF31" s="41"/>
      <c r="CG31" s="41" t="s">
        <v>28</v>
      </c>
      <c r="CH31" s="105">
        <v>124</v>
      </c>
      <c r="CI31" s="105">
        <v>61</v>
      </c>
      <c r="CJ31" s="105"/>
      <c r="CK31" s="105">
        <v>82</v>
      </c>
      <c r="CL31" s="105">
        <v>66</v>
      </c>
      <c r="CM31" s="105">
        <v>12</v>
      </c>
      <c r="CN31" s="105">
        <v>45</v>
      </c>
      <c r="CO31" s="105"/>
      <c r="CP31" s="105">
        <v>0</v>
      </c>
      <c r="CQ31" s="105">
        <v>20</v>
      </c>
      <c r="CR31" s="105">
        <v>15</v>
      </c>
      <c r="CS31" s="105">
        <v>15</v>
      </c>
      <c r="CT31" s="105">
        <v>139</v>
      </c>
      <c r="CU31" s="105">
        <v>0</v>
      </c>
      <c r="CV31" s="105">
        <v>579</v>
      </c>
      <c r="CW31" s="1644">
        <f t="shared" si="0"/>
        <v>0.16489361702127658</v>
      </c>
      <c r="CX31" s="1976"/>
      <c r="CY31" s="41"/>
      <c r="CZ31" s="41"/>
      <c r="DA31" s="41" t="s">
        <v>28</v>
      </c>
      <c r="DB31" s="105">
        <v>106</v>
      </c>
      <c r="DC31" s="105">
        <v>44</v>
      </c>
      <c r="DD31" s="105"/>
      <c r="DE31" s="105">
        <v>69</v>
      </c>
      <c r="DF31" s="105">
        <v>56</v>
      </c>
      <c r="DG31" s="105">
        <v>15</v>
      </c>
      <c r="DH31" s="105">
        <v>22</v>
      </c>
      <c r="DI31" s="105">
        <v>0</v>
      </c>
      <c r="DJ31" s="105">
        <v>0</v>
      </c>
      <c r="DK31" s="105">
        <v>16</v>
      </c>
      <c r="DL31" s="105">
        <v>15</v>
      </c>
      <c r="DM31" s="105">
        <v>6</v>
      </c>
      <c r="DN31" s="105">
        <v>127</v>
      </c>
      <c r="DO31" s="105">
        <v>0</v>
      </c>
      <c r="DP31" s="105">
        <v>476</v>
      </c>
      <c r="DQ31" s="1644">
        <f t="shared" si="9"/>
        <v>0.18297872340425531</v>
      </c>
      <c r="DS31" s="1311"/>
      <c r="DT31" s="1311"/>
      <c r="DU31" s="1319" t="s">
        <v>28</v>
      </c>
      <c r="DV31" s="1320">
        <v>91</v>
      </c>
      <c r="DW31" s="1320">
        <v>36</v>
      </c>
      <c r="DX31" s="1321"/>
      <c r="DY31" s="1320">
        <v>65</v>
      </c>
      <c r="DZ31" s="1320">
        <v>62</v>
      </c>
      <c r="EA31" s="1320">
        <v>7</v>
      </c>
      <c r="EB31" s="1320">
        <v>33</v>
      </c>
      <c r="EC31" s="1321"/>
      <c r="ED31" s="1320">
        <v>0</v>
      </c>
      <c r="EE31" s="1320">
        <v>19</v>
      </c>
      <c r="EF31" s="1320">
        <v>16</v>
      </c>
      <c r="EG31" s="1320">
        <v>1</v>
      </c>
      <c r="EH31" s="1320">
        <v>110</v>
      </c>
      <c r="EI31" s="1320">
        <v>0</v>
      </c>
      <c r="EJ31" s="1320">
        <v>440</v>
      </c>
      <c r="EK31" s="1322">
        <f t="shared" si="10"/>
        <v>0.19362186788154898</v>
      </c>
      <c r="EM31" s="1047"/>
      <c r="EN31" s="1047"/>
      <c r="EO31" s="1060" t="s">
        <v>28</v>
      </c>
      <c r="EP31" s="1061">
        <v>71</v>
      </c>
      <c r="EQ31" s="1061">
        <v>25</v>
      </c>
      <c r="ER31" s="1047"/>
      <c r="ES31" s="1061">
        <v>73</v>
      </c>
      <c r="ET31" s="1061">
        <v>59</v>
      </c>
      <c r="EU31" s="1061">
        <v>11</v>
      </c>
      <c r="EV31" s="1061">
        <v>26</v>
      </c>
      <c r="EW31" s="1047"/>
      <c r="EX31" s="1061">
        <v>0</v>
      </c>
      <c r="EY31" s="1061">
        <v>15</v>
      </c>
      <c r="EZ31" s="1061">
        <v>8</v>
      </c>
      <c r="FA31" s="1061">
        <v>128</v>
      </c>
      <c r="FB31" s="1047"/>
      <c r="FC31" s="1061">
        <v>416</v>
      </c>
      <c r="FD31" s="537">
        <f t="shared" si="11"/>
        <v>0.1875</v>
      </c>
      <c r="FF31" s="652"/>
      <c r="FG31" s="652"/>
      <c r="FH31" s="1062" t="s">
        <v>28</v>
      </c>
      <c r="FI31" s="1063">
        <v>61</v>
      </c>
      <c r="FJ31" s="1063">
        <v>25</v>
      </c>
      <c r="FK31" s="1063">
        <v>0</v>
      </c>
      <c r="FL31" s="1063">
        <v>70</v>
      </c>
      <c r="FM31" s="1063">
        <v>54</v>
      </c>
      <c r="FN31" s="1063">
        <v>12</v>
      </c>
      <c r="FO31" s="1063">
        <v>30</v>
      </c>
      <c r="FP31" s="652"/>
      <c r="FQ31" s="652"/>
      <c r="FR31" s="1063">
        <v>5</v>
      </c>
      <c r="FS31" s="1063">
        <v>14</v>
      </c>
      <c r="FT31" s="1063">
        <v>108</v>
      </c>
      <c r="FU31" s="652"/>
      <c r="FV31" s="1063">
        <v>379</v>
      </c>
      <c r="FW31" s="537">
        <f t="shared" si="12"/>
        <v>0.21108179419525067</v>
      </c>
      <c r="FY31" s="817"/>
      <c r="FZ31" s="817"/>
      <c r="GA31" s="1064" t="s">
        <v>29</v>
      </c>
      <c r="GB31" s="1065">
        <v>51</v>
      </c>
      <c r="GC31" s="1065">
        <v>9</v>
      </c>
      <c r="GD31" s="1065">
        <v>0</v>
      </c>
      <c r="GE31" s="1065">
        <v>73</v>
      </c>
      <c r="GF31" s="1065">
        <v>39</v>
      </c>
      <c r="GG31" s="1065">
        <v>2</v>
      </c>
      <c r="GH31" s="1065">
        <v>29</v>
      </c>
      <c r="GI31" s="1065">
        <v>0</v>
      </c>
      <c r="GJ31" s="1065">
        <v>3</v>
      </c>
      <c r="GK31" s="1065">
        <v>4</v>
      </c>
      <c r="GL31" s="1065">
        <v>77</v>
      </c>
      <c r="GM31" s="1065">
        <v>77</v>
      </c>
      <c r="GN31" s="1065">
        <v>0</v>
      </c>
      <c r="GO31" s="1065">
        <v>1</v>
      </c>
      <c r="GP31" s="1065">
        <v>365</v>
      </c>
      <c r="GQ31" s="1066">
        <f t="shared" si="13"/>
        <v>0.156794425087108</v>
      </c>
      <c r="GS31" s="107"/>
      <c r="GT31" s="107"/>
      <c r="GU31" s="47" t="s">
        <v>29</v>
      </c>
      <c r="GV31" s="47">
        <v>40</v>
      </c>
      <c r="GW31" s="47">
        <v>12</v>
      </c>
      <c r="GX31" s="47"/>
      <c r="GY31" s="47">
        <v>67</v>
      </c>
      <c r="GZ31" s="47">
        <v>35</v>
      </c>
      <c r="HA31" s="47">
        <v>3</v>
      </c>
      <c r="HB31" s="47">
        <v>23</v>
      </c>
      <c r="HC31" s="47"/>
      <c r="HD31" s="47">
        <v>4</v>
      </c>
      <c r="HE31" s="47">
        <v>4</v>
      </c>
      <c r="HF31" s="47">
        <v>71</v>
      </c>
      <c r="HG31" s="47">
        <v>82</v>
      </c>
      <c r="HH31" s="47"/>
      <c r="HI31" s="47">
        <v>1</v>
      </c>
      <c r="HJ31" s="47">
        <v>342</v>
      </c>
      <c r="HK31" s="1067">
        <f t="shared" si="1"/>
        <v>0.15555555555555556</v>
      </c>
      <c r="HL31" s="47"/>
      <c r="HM31" s="420"/>
      <c r="HN31" s="420"/>
      <c r="HO31" s="420" t="s">
        <v>29</v>
      </c>
      <c r="HP31" s="1068">
        <v>37</v>
      </c>
      <c r="HQ31" s="1068">
        <v>15</v>
      </c>
      <c r="HR31" s="1068" t="s">
        <v>327</v>
      </c>
      <c r="HS31" s="1068">
        <v>63</v>
      </c>
      <c r="HT31" s="1068">
        <v>34</v>
      </c>
      <c r="HU31" s="1068">
        <v>4</v>
      </c>
      <c r="HV31" s="1068">
        <v>43</v>
      </c>
      <c r="HW31" s="1068" t="s">
        <v>327</v>
      </c>
      <c r="HX31" s="1068">
        <v>6</v>
      </c>
      <c r="HY31" s="1068">
        <v>4</v>
      </c>
      <c r="HZ31" s="1068">
        <v>79</v>
      </c>
      <c r="IA31" s="1068" t="s">
        <v>327</v>
      </c>
      <c r="IB31" s="1068">
        <v>285</v>
      </c>
      <c r="IC31" s="1068">
        <f t="shared" si="2"/>
        <v>42</v>
      </c>
      <c r="ID31" s="1069">
        <f t="shared" si="3"/>
        <v>0.14736842105263157</v>
      </c>
      <c r="IE31" s="47"/>
      <c r="IF31" s="47"/>
    </row>
    <row r="32" spans="1:240">
      <c r="A32" s="41"/>
      <c r="B32" s="41"/>
      <c r="C32" s="41" t="s">
        <v>29</v>
      </c>
      <c r="D32" s="105">
        <v>174</v>
      </c>
      <c r="E32" s="105">
        <v>81</v>
      </c>
      <c r="F32" s="105">
        <v>0</v>
      </c>
      <c r="G32" s="105">
        <v>94</v>
      </c>
      <c r="H32" s="105">
        <v>97</v>
      </c>
      <c r="I32" s="105">
        <v>25</v>
      </c>
      <c r="J32" s="105">
        <v>28</v>
      </c>
      <c r="K32" s="105"/>
      <c r="L32" s="105">
        <v>0</v>
      </c>
      <c r="M32" s="105">
        <v>20</v>
      </c>
      <c r="N32" s="105">
        <v>10</v>
      </c>
      <c r="O32" s="105">
        <v>44</v>
      </c>
      <c r="P32" s="105">
        <v>179</v>
      </c>
      <c r="Q32" s="105">
        <v>0</v>
      </c>
      <c r="R32" s="105">
        <v>752</v>
      </c>
      <c r="S32" s="706">
        <f t="shared" si="4"/>
        <v>0.1864406779661017</v>
      </c>
      <c r="T32" s="5561">
        <f t="shared" si="5"/>
        <v>0</v>
      </c>
      <c r="U32" s="5562">
        <v>752</v>
      </c>
      <c r="V32" s="706"/>
      <c r="Y32" s="41" t="s">
        <v>29</v>
      </c>
      <c r="Z32" s="41">
        <v>87</v>
      </c>
      <c r="AA32" s="41">
        <v>46</v>
      </c>
      <c r="AB32" s="41">
        <v>0</v>
      </c>
      <c r="AC32" s="41">
        <v>86</v>
      </c>
      <c r="AD32" s="41">
        <v>121</v>
      </c>
      <c r="AE32" s="41">
        <v>13</v>
      </c>
      <c r="AF32" s="41">
        <v>56</v>
      </c>
      <c r="AG32" s="41"/>
      <c r="AH32" s="41">
        <v>0</v>
      </c>
      <c r="AI32" s="41">
        <v>24</v>
      </c>
      <c r="AJ32" s="41">
        <v>7</v>
      </c>
      <c r="AK32" s="41">
        <v>24</v>
      </c>
      <c r="AL32" s="41">
        <v>147</v>
      </c>
      <c r="AM32" s="41">
        <v>0</v>
      </c>
      <c r="AN32" s="461">
        <v>611</v>
      </c>
      <c r="AO32" s="4692">
        <f t="shared" si="6"/>
        <v>0.24020442930153321</v>
      </c>
      <c r="AQ32" s="1788"/>
      <c r="AR32" s="1788"/>
      <c r="AS32" s="37" t="s">
        <v>29</v>
      </c>
      <c r="AT32" s="1788">
        <v>152</v>
      </c>
      <c r="AU32" s="1788">
        <v>68</v>
      </c>
      <c r="AV32" s="1788">
        <v>0</v>
      </c>
      <c r="AW32" s="1788">
        <v>92</v>
      </c>
      <c r="AX32" s="1788">
        <v>97</v>
      </c>
      <c r="AY32" s="1788">
        <v>16</v>
      </c>
      <c r="AZ32" s="1788">
        <v>31</v>
      </c>
      <c r="BA32" s="1788"/>
      <c r="BB32" s="1788">
        <v>0</v>
      </c>
      <c r="BC32" s="1788">
        <v>20</v>
      </c>
      <c r="BD32" s="1788">
        <v>7</v>
      </c>
      <c r="BE32" s="1788">
        <v>28</v>
      </c>
      <c r="BF32" s="1788">
        <v>173</v>
      </c>
      <c r="BG32" s="1788">
        <v>0</v>
      </c>
      <c r="BH32" s="1788">
        <v>684</v>
      </c>
      <c r="BI32" s="4701">
        <f t="shared" si="7"/>
        <v>0.18292682926829268</v>
      </c>
      <c r="BK32" s="41"/>
      <c r="BL32" s="41"/>
      <c r="BM32" s="41" t="s">
        <v>29</v>
      </c>
      <c r="BN32" s="105">
        <v>141</v>
      </c>
      <c r="BO32" s="105">
        <v>32</v>
      </c>
      <c r="BP32" s="105"/>
      <c r="BQ32" s="105">
        <v>3</v>
      </c>
      <c r="BR32" s="105">
        <v>98</v>
      </c>
      <c r="BS32" s="105">
        <v>10</v>
      </c>
      <c r="BT32" s="105">
        <v>34</v>
      </c>
      <c r="BU32" s="105"/>
      <c r="BV32" s="105"/>
      <c r="BW32" s="105">
        <v>27</v>
      </c>
      <c r="BX32" s="105">
        <v>8</v>
      </c>
      <c r="BY32" s="105">
        <v>24</v>
      </c>
      <c r="BZ32" s="105">
        <v>155</v>
      </c>
      <c r="CA32" s="105">
        <v>0</v>
      </c>
      <c r="CB32" s="105">
        <v>532</v>
      </c>
      <c r="CC32" s="2484">
        <f t="shared" si="8"/>
        <v>0.2283464566929134</v>
      </c>
      <c r="CE32" s="41"/>
      <c r="CF32" s="41"/>
      <c r="CG32" s="41" t="s">
        <v>29</v>
      </c>
      <c r="CH32" s="105">
        <v>139</v>
      </c>
      <c r="CI32" s="105">
        <v>53</v>
      </c>
      <c r="CJ32" s="105"/>
      <c r="CK32" s="105">
        <v>68</v>
      </c>
      <c r="CL32" s="105">
        <v>82</v>
      </c>
      <c r="CM32" s="105">
        <v>9</v>
      </c>
      <c r="CN32" s="105">
        <v>29</v>
      </c>
      <c r="CO32" s="105"/>
      <c r="CP32" s="105">
        <v>0</v>
      </c>
      <c r="CQ32" s="105">
        <v>11</v>
      </c>
      <c r="CR32" s="105">
        <v>8</v>
      </c>
      <c r="CS32" s="105">
        <v>16</v>
      </c>
      <c r="CT32" s="105">
        <v>121</v>
      </c>
      <c r="CU32" s="105">
        <v>0</v>
      </c>
      <c r="CV32" s="105">
        <v>536</v>
      </c>
      <c r="CW32" s="1644">
        <f t="shared" si="0"/>
        <v>0.19038461538461537</v>
      </c>
      <c r="CX32" s="1976"/>
      <c r="CY32" s="41"/>
      <c r="CZ32" s="41"/>
      <c r="DA32" s="41" t="s">
        <v>29</v>
      </c>
      <c r="DB32" s="105">
        <v>116</v>
      </c>
      <c r="DC32" s="105">
        <v>64</v>
      </c>
      <c r="DD32" s="105"/>
      <c r="DE32" s="105">
        <v>61</v>
      </c>
      <c r="DF32" s="105">
        <v>64</v>
      </c>
      <c r="DG32" s="105">
        <v>6</v>
      </c>
      <c r="DH32" s="105">
        <v>30</v>
      </c>
      <c r="DI32" s="105">
        <v>3</v>
      </c>
      <c r="DJ32" s="105">
        <v>0</v>
      </c>
      <c r="DK32" s="105">
        <v>16</v>
      </c>
      <c r="DL32" s="105">
        <v>11</v>
      </c>
      <c r="DM32" s="105">
        <v>5</v>
      </c>
      <c r="DN32" s="105">
        <v>93</v>
      </c>
      <c r="DO32" s="105">
        <v>0</v>
      </c>
      <c r="DP32" s="105">
        <v>469</v>
      </c>
      <c r="DQ32" s="1644">
        <f t="shared" si="9"/>
        <v>0.17456896551724138</v>
      </c>
      <c r="DS32" s="1311"/>
      <c r="DT32" s="1311"/>
      <c r="DU32" s="1319" t="s">
        <v>29</v>
      </c>
      <c r="DV32" s="1320">
        <v>101</v>
      </c>
      <c r="DW32" s="1320">
        <v>41</v>
      </c>
      <c r="DX32" s="1321"/>
      <c r="DY32" s="1320">
        <v>54</v>
      </c>
      <c r="DZ32" s="1320">
        <v>49</v>
      </c>
      <c r="EA32" s="1320">
        <v>2</v>
      </c>
      <c r="EB32" s="1320">
        <v>22</v>
      </c>
      <c r="EC32" s="1321"/>
      <c r="ED32" s="1320">
        <v>0</v>
      </c>
      <c r="EE32" s="1320">
        <v>10</v>
      </c>
      <c r="EF32" s="1320">
        <v>11</v>
      </c>
      <c r="EG32" s="1320">
        <v>0</v>
      </c>
      <c r="EH32" s="1320">
        <v>88</v>
      </c>
      <c r="EI32" s="1320">
        <v>0</v>
      </c>
      <c r="EJ32" s="1320">
        <v>378</v>
      </c>
      <c r="EK32" s="1322">
        <f t="shared" si="10"/>
        <v>0.16402116402116401</v>
      </c>
      <c r="EM32" s="1047"/>
      <c r="EN32" s="1047"/>
      <c r="EO32" s="1060" t="s">
        <v>29</v>
      </c>
      <c r="EP32" s="1061">
        <v>76</v>
      </c>
      <c r="EQ32" s="1061">
        <v>24</v>
      </c>
      <c r="ER32" s="1047"/>
      <c r="ES32" s="1061">
        <v>65</v>
      </c>
      <c r="ET32" s="1061">
        <v>37</v>
      </c>
      <c r="EU32" s="1061">
        <v>0</v>
      </c>
      <c r="EV32" s="1061">
        <v>17</v>
      </c>
      <c r="EW32" s="1047"/>
      <c r="EX32" s="1061">
        <v>0</v>
      </c>
      <c r="EY32" s="1061">
        <v>10</v>
      </c>
      <c r="EZ32" s="1061">
        <v>11</v>
      </c>
      <c r="FA32" s="1061">
        <v>100</v>
      </c>
      <c r="FB32" s="1047"/>
      <c r="FC32" s="1061">
        <v>340</v>
      </c>
      <c r="FD32" s="537">
        <f t="shared" si="11"/>
        <v>0.14117647058823529</v>
      </c>
      <c r="FF32" s="652"/>
      <c r="FG32" s="652"/>
      <c r="FH32" s="1062" t="s">
        <v>29</v>
      </c>
      <c r="FI32" s="1063">
        <v>64</v>
      </c>
      <c r="FJ32" s="1063">
        <v>17</v>
      </c>
      <c r="FK32" s="1063">
        <v>0</v>
      </c>
      <c r="FL32" s="1063">
        <v>54</v>
      </c>
      <c r="FM32" s="1063">
        <v>30</v>
      </c>
      <c r="FN32" s="1063">
        <v>4</v>
      </c>
      <c r="FO32" s="1063">
        <v>19</v>
      </c>
      <c r="FP32" s="652"/>
      <c r="FQ32" s="652"/>
      <c r="FR32" s="1063">
        <v>3</v>
      </c>
      <c r="FS32" s="1063">
        <v>4</v>
      </c>
      <c r="FT32" s="1063">
        <v>83</v>
      </c>
      <c r="FU32" s="652"/>
      <c r="FV32" s="1063">
        <v>278</v>
      </c>
      <c r="FW32" s="537">
        <f t="shared" si="12"/>
        <v>0.1366906474820144</v>
      </c>
      <c r="FY32" s="817"/>
      <c r="FZ32" s="817"/>
      <c r="GA32" s="1064" t="s">
        <v>13</v>
      </c>
      <c r="GB32" s="1065">
        <v>129</v>
      </c>
      <c r="GC32" s="1065">
        <v>46</v>
      </c>
      <c r="GD32" s="1065">
        <v>0</v>
      </c>
      <c r="GE32" s="1065">
        <v>130</v>
      </c>
      <c r="GF32" s="1065">
        <v>110</v>
      </c>
      <c r="GG32" s="1065">
        <v>34</v>
      </c>
      <c r="GH32" s="1065">
        <v>83</v>
      </c>
      <c r="GI32" s="1065">
        <v>0</v>
      </c>
      <c r="GJ32" s="1065">
        <v>9</v>
      </c>
      <c r="GK32" s="1065">
        <v>22</v>
      </c>
      <c r="GL32" s="1065">
        <v>247</v>
      </c>
      <c r="GM32" s="1065">
        <v>246</v>
      </c>
      <c r="GN32" s="1065">
        <v>0</v>
      </c>
      <c r="GO32" s="1065">
        <v>2</v>
      </c>
      <c r="GP32" s="1065">
        <v>1058</v>
      </c>
      <c r="GQ32" s="1066">
        <f t="shared" si="13"/>
        <v>0.20519159456118666</v>
      </c>
      <c r="GS32" s="107"/>
      <c r="GT32" s="107"/>
      <c r="GU32" s="47" t="s">
        <v>13</v>
      </c>
      <c r="GV32" s="47">
        <v>125</v>
      </c>
      <c r="GW32" s="47">
        <v>48</v>
      </c>
      <c r="GX32" s="47"/>
      <c r="GY32" s="47">
        <v>128</v>
      </c>
      <c r="GZ32" s="47">
        <v>115</v>
      </c>
      <c r="HA32" s="47">
        <v>29</v>
      </c>
      <c r="HB32" s="47">
        <v>94</v>
      </c>
      <c r="HC32" s="47"/>
      <c r="HD32" s="47">
        <v>9</v>
      </c>
      <c r="HE32" s="47">
        <v>15</v>
      </c>
      <c r="HF32" s="47">
        <v>235</v>
      </c>
      <c r="HG32" s="47">
        <v>265</v>
      </c>
      <c r="HH32" s="47"/>
      <c r="HI32" s="47">
        <v>2</v>
      </c>
      <c r="HJ32" s="47">
        <v>1065</v>
      </c>
      <c r="HK32" s="1067">
        <f t="shared" si="1"/>
        <v>0.19202898550724637</v>
      </c>
      <c r="HL32" s="47"/>
      <c r="HM32" s="420"/>
      <c r="HN32" s="420"/>
      <c r="HO32" s="420" t="s">
        <v>13</v>
      </c>
      <c r="HP32" s="1068">
        <v>117</v>
      </c>
      <c r="HQ32" s="1068">
        <v>42</v>
      </c>
      <c r="HR32" s="1068" t="s">
        <v>327</v>
      </c>
      <c r="HS32" s="1068">
        <v>131</v>
      </c>
      <c r="HT32" s="1068">
        <v>123</v>
      </c>
      <c r="HU32" s="1068">
        <v>27</v>
      </c>
      <c r="HV32" s="1068">
        <v>107</v>
      </c>
      <c r="HW32" s="1068" t="s">
        <v>327</v>
      </c>
      <c r="HX32" s="1068">
        <v>19</v>
      </c>
      <c r="HY32" s="1068">
        <v>26</v>
      </c>
      <c r="HZ32" s="1068">
        <v>293</v>
      </c>
      <c r="IA32" s="1068" t="s">
        <v>327</v>
      </c>
      <c r="IB32" s="1068">
        <v>885</v>
      </c>
      <c r="IC32" s="1068">
        <f t="shared" si="2"/>
        <v>176</v>
      </c>
      <c r="ID32" s="1069">
        <f t="shared" si="3"/>
        <v>0.19887005649717515</v>
      </c>
      <c r="IE32" s="47"/>
      <c r="IF32" s="47"/>
    </row>
    <row r="33" spans="1:240">
      <c r="A33" s="41"/>
      <c r="B33" s="41"/>
      <c r="C33" s="41" t="s">
        <v>13</v>
      </c>
      <c r="D33" s="105">
        <v>130</v>
      </c>
      <c r="E33" s="105">
        <v>75</v>
      </c>
      <c r="F33" s="105">
        <v>0</v>
      </c>
      <c r="G33" s="105">
        <v>51</v>
      </c>
      <c r="H33" s="105">
        <v>80</v>
      </c>
      <c r="I33" s="105">
        <v>34</v>
      </c>
      <c r="J33" s="105">
        <v>9</v>
      </c>
      <c r="K33" s="105"/>
      <c r="L33" s="105">
        <v>0</v>
      </c>
      <c r="M33" s="105">
        <v>15</v>
      </c>
      <c r="N33" s="105">
        <v>19</v>
      </c>
      <c r="O33" s="105">
        <v>34</v>
      </c>
      <c r="P33" s="105">
        <v>160</v>
      </c>
      <c r="Q33" s="105">
        <v>0</v>
      </c>
      <c r="R33" s="105">
        <v>607</v>
      </c>
      <c r="S33" s="706">
        <f t="shared" si="4"/>
        <v>0.23211169284467714</v>
      </c>
      <c r="T33" s="5561">
        <f t="shared" si="5"/>
        <v>0</v>
      </c>
      <c r="U33" s="5562">
        <v>607</v>
      </c>
      <c r="V33" s="706"/>
      <c r="Y33" s="41" t="s">
        <v>13</v>
      </c>
      <c r="Z33" s="41">
        <v>74</v>
      </c>
      <c r="AA33" s="41">
        <v>65</v>
      </c>
      <c r="AB33" s="41">
        <v>0</v>
      </c>
      <c r="AC33" s="41">
        <v>69</v>
      </c>
      <c r="AD33" s="41">
        <v>125</v>
      </c>
      <c r="AE33" s="41">
        <v>19</v>
      </c>
      <c r="AF33" s="41">
        <v>103</v>
      </c>
      <c r="AG33" s="41"/>
      <c r="AH33" s="41">
        <v>0</v>
      </c>
      <c r="AI33" s="41">
        <v>22</v>
      </c>
      <c r="AJ33" s="41">
        <v>15</v>
      </c>
      <c r="AK33" s="41">
        <v>20</v>
      </c>
      <c r="AL33" s="41">
        <v>126</v>
      </c>
      <c r="AM33" s="41">
        <v>0</v>
      </c>
      <c r="AN33" s="461">
        <v>638</v>
      </c>
      <c r="AO33" s="4692">
        <f t="shared" si="6"/>
        <v>0.25728155339805825</v>
      </c>
      <c r="AQ33" s="1788"/>
      <c r="AR33" s="1788"/>
      <c r="AS33" s="37" t="s">
        <v>13</v>
      </c>
      <c r="AT33" s="1788">
        <v>121</v>
      </c>
      <c r="AU33" s="1788">
        <v>75</v>
      </c>
      <c r="AV33" s="1788">
        <v>0</v>
      </c>
      <c r="AW33" s="1788">
        <v>64</v>
      </c>
      <c r="AX33" s="1788">
        <v>78</v>
      </c>
      <c r="AY33" s="1788">
        <v>26</v>
      </c>
      <c r="AZ33" s="1788">
        <v>33</v>
      </c>
      <c r="BA33" s="1788"/>
      <c r="BB33" s="1788">
        <v>0</v>
      </c>
      <c r="BC33" s="1788">
        <v>14</v>
      </c>
      <c r="BD33" s="1788">
        <v>18</v>
      </c>
      <c r="BE33" s="1788">
        <v>23</v>
      </c>
      <c r="BF33" s="1788">
        <v>154</v>
      </c>
      <c r="BG33" s="1788">
        <v>0</v>
      </c>
      <c r="BH33" s="1788">
        <v>606</v>
      </c>
      <c r="BI33" s="4701">
        <f t="shared" si="7"/>
        <v>0.20926243567753003</v>
      </c>
      <c r="BK33" s="41"/>
      <c r="BL33" s="41"/>
      <c r="BM33" s="41" t="s">
        <v>13</v>
      </c>
      <c r="BN33" s="105">
        <v>137</v>
      </c>
      <c r="BO33" s="105">
        <v>66</v>
      </c>
      <c r="BP33" s="105"/>
      <c r="BQ33" s="105">
        <v>7</v>
      </c>
      <c r="BR33" s="105">
        <v>94</v>
      </c>
      <c r="BS33" s="105">
        <v>13</v>
      </c>
      <c r="BT33" s="105">
        <v>57</v>
      </c>
      <c r="BU33" s="105"/>
      <c r="BV33" s="105"/>
      <c r="BW33" s="105">
        <v>23</v>
      </c>
      <c r="BX33" s="105">
        <v>19</v>
      </c>
      <c r="BY33" s="105">
        <v>20</v>
      </c>
      <c r="BZ33" s="105">
        <v>144</v>
      </c>
      <c r="CA33" s="105">
        <v>0</v>
      </c>
      <c r="CB33" s="105">
        <v>580</v>
      </c>
      <c r="CC33" s="2484">
        <f t="shared" si="8"/>
        <v>0.22500000000000001</v>
      </c>
      <c r="CE33" s="41"/>
      <c r="CF33" s="41"/>
      <c r="CG33" s="41" t="s">
        <v>13</v>
      </c>
      <c r="CH33" s="105">
        <v>141</v>
      </c>
      <c r="CI33" s="105">
        <v>77</v>
      </c>
      <c r="CJ33" s="105"/>
      <c r="CK33" s="105">
        <v>77</v>
      </c>
      <c r="CL33" s="105">
        <v>96</v>
      </c>
      <c r="CM33" s="105">
        <v>24</v>
      </c>
      <c r="CN33" s="105">
        <v>50</v>
      </c>
      <c r="CO33" s="105"/>
      <c r="CP33" s="105">
        <v>0</v>
      </c>
      <c r="CQ33" s="105">
        <v>21</v>
      </c>
      <c r="CR33" s="105">
        <v>10</v>
      </c>
      <c r="CS33" s="105">
        <v>14</v>
      </c>
      <c r="CT33" s="105">
        <v>139</v>
      </c>
      <c r="CU33" s="105">
        <v>0</v>
      </c>
      <c r="CV33" s="105">
        <v>649</v>
      </c>
      <c r="CW33" s="1644">
        <f t="shared" si="0"/>
        <v>0.20472440944881889</v>
      </c>
      <c r="CX33" s="1976"/>
      <c r="CY33" s="41"/>
      <c r="CZ33" s="41"/>
      <c r="DA33" s="41" t="s">
        <v>13</v>
      </c>
      <c r="DB33" s="105">
        <v>126</v>
      </c>
      <c r="DC33" s="105">
        <v>67</v>
      </c>
      <c r="DD33" s="105"/>
      <c r="DE33" s="105">
        <v>79</v>
      </c>
      <c r="DF33" s="105">
        <v>107</v>
      </c>
      <c r="DG33" s="105">
        <v>19</v>
      </c>
      <c r="DH33" s="105">
        <v>55</v>
      </c>
      <c r="DI33" s="105">
        <v>0</v>
      </c>
      <c r="DJ33" s="105">
        <v>0</v>
      </c>
      <c r="DK33" s="105">
        <v>25</v>
      </c>
      <c r="DL33" s="105">
        <v>21</v>
      </c>
      <c r="DM33" s="105">
        <v>1</v>
      </c>
      <c r="DN33" s="105">
        <v>141</v>
      </c>
      <c r="DO33" s="105">
        <v>0</v>
      </c>
      <c r="DP33" s="105">
        <v>641</v>
      </c>
      <c r="DQ33" s="1644">
        <f t="shared" si="9"/>
        <v>0.22968749999999999</v>
      </c>
      <c r="DS33" s="1311"/>
      <c r="DT33" s="1311"/>
      <c r="DU33" s="1319" t="s">
        <v>13</v>
      </c>
      <c r="DV33" s="1320">
        <v>132</v>
      </c>
      <c r="DW33" s="1320">
        <v>54</v>
      </c>
      <c r="DX33" s="1321"/>
      <c r="DY33" s="1320">
        <v>84</v>
      </c>
      <c r="DZ33" s="1320">
        <v>114</v>
      </c>
      <c r="EA33" s="1320">
        <v>19</v>
      </c>
      <c r="EB33" s="1320">
        <v>60</v>
      </c>
      <c r="EC33" s="1321"/>
      <c r="ED33" s="1320">
        <v>0</v>
      </c>
      <c r="EE33" s="1320">
        <v>17</v>
      </c>
      <c r="EF33" s="1320">
        <v>15</v>
      </c>
      <c r="EG33" s="1320">
        <v>0</v>
      </c>
      <c r="EH33" s="1320">
        <v>153</v>
      </c>
      <c r="EI33" s="1320">
        <v>1</v>
      </c>
      <c r="EJ33" s="1320">
        <v>649</v>
      </c>
      <c r="EK33" s="1322">
        <f t="shared" si="10"/>
        <v>0.22839506172839505</v>
      </c>
      <c r="EM33" s="1047"/>
      <c r="EN33" s="1047"/>
      <c r="EO33" s="1060" t="s">
        <v>13</v>
      </c>
      <c r="EP33" s="1061">
        <v>129</v>
      </c>
      <c r="EQ33" s="1061">
        <v>55</v>
      </c>
      <c r="ER33" s="1047"/>
      <c r="ES33" s="1061">
        <v>118</v>
      </c>
      <c r="ET33" s="1061">
        <v>102</v>
      </c>
      <c r="EU33" s="1061">
        <v>26</v>
      </c>
      <c r="EV33" s="1061">
        <v>76</v>
      </c>
      <c r="EW33" s="1047"/>
      <c r="EX33" s="1061">
        <v>0</v>
      </c>
      <c r="EY33" s="1061">
        <v>25</v>
      </c>
      <c r="EZ33" s="1061">
        <v>23</v>
      </c>
      <c r="FA33" s="1061">
        <v>205</v>
      </c>
      <c r="FB33" s="1047"/>
      <c r="FC33" s="1061">
        <v>759</v>
      </c>
      <c r="FD33" s="537">
        <f t="shared" si="11"/>
        <v>0.19894598155467721</v>
      </c>
      <c r="FF33" s="652"/>
      <c r="FG33" s="652"/>
      <c r="FH33" s="1062" t="s">
        <v>13</v>
      </c>
      <c r="FI33" s="1063">
        <v>125</v>
      </c>
      <c r="FJ33" s="1063">
        <v>70</v>
      </c>
      <c r="FK33" s="1063">
        <v>1</v>
      </c>
      <c r="FL33" s="1063">
        <v>126</v>
      </c>
      <c r="FM33" s="1063">
        <v>104</v>
      </c>
      <c r="FN33" s="1063">
        <v>30</v>
      </c>
      <c r="FO33" s="1063">
        <v>73</v>
      </c>
      <c r="FP33" s="652"/>
      <c r="FQ33" s="652"/>
      <c r="FR33" s="1063">
        <v>6</v>
      </c>
      <c r="FS33" s="1063">
        <v>12</v>
      </c>
      <c r="FT33" s="1063">
        <v>227</v>
      </c>
      <c r="FU33" s="652"/>
      <c r="FV33" s="1063">
        <v>774</v>
      </c>
      <c r="FW33" s="537">
        <f t="shared" si="12"/>
        <v>0.18863049095607234</v>
      </c>
      <c r="FY33" s="817"/>
      <c r="FZ33" s="817"/>
      <c r="GA33" s="1064" t="s">
        <v>30</v>
      </c>
      <c r="GB33" s="1065">
        <v>99</v>
      </c>
      <c r="GC33" s="1065">
        <v>36</v>
      </c>
      <c r="GD33" s="1065">
        <v>0</v>
      </c>
      <c r="GE33" s="1065">
        <v>95</v>
      </c>
      <c r="GF33" s="1065">
        <v>51</v>
      </c>
      <c r="GG33" s="1065">
        <v>4</v>
      </c>
      <c r="GH33" s="1065">
        <v>63</v>
      </c>
      <c r="GI33" s="1065">
        <v>0</v>
      </c>
      <c r="GJ33" s="1065">
        <v>9</v>
      </c>
      <c r="GK33" s="1065">
        <v>6</v>
      </c>
      <c r="GL33" s="1065">
        <v>153</v>
      </c>
      <c r="GM33" s="1065">
        <v>196</v>
      </c>
      <c r="GN33" s="1065">
        <v>0</v>
      </c>
      <c r="GO33" s="1065">
        <v>3</v>
      </c>
      <c r="GP33" s="1065">
        <v>715</v>
      </c>
      <c r="GQ33" s="1066">
        <f t="shared" si="13"/>
        <v>0.10912343470483005</v>
      </c>
      <c r="GS33" s="107"/>
      <c r="GT33" s="107"/>
      <c r="GU33" s="47" t="s">
        <v>30</v>
      </c>
      <c r="GV33" s="47">
        <v>86</v>
      </c>
      <c r="GW33" s="47">
        <v>39</v>
      </c>
      <c r="GX33" s="47"/>
      <c r="GY33" s="47">
        <v>80</v>
      </c>
      <c r="GZ33" s="47">
        <v>45</v>
      </c>
      <c r="HA33" s="47">
        <v>4</v>
      </c>
      <c r="HB33" s="47">
        <v>54</v>
      </c>
      <c r="HC33" s="47"/>
      <c r="HD33" s="47">
        <v>7</v>
      </c>
      <c r="HE33" s="47">
        <v>5</v>
      </c>
      <c r="HF33" s="47">
        <v>140</v>
      </c>
      <c r="HG33" s="47">
        <v>207</v>
      </c>
      <c r="HH33" s="47"/>
      <c r="HI33" s="47">
        <v>3</v>
      </c>
      <c r="HJ33" s="47">
        <v>670</v>
      </c>
      <c r="HK33" s="1067">
        <f t="shared" si="1"/>
        <v>0.10246679316888045</v>
      </c>
      <c r="HL33" s="47"/>
      <c r="HM33" s="420"/>
      <c r="HN33" s="420"/>
      <c r="HO33" s="420" t="s">
        <v>30</v>
      </c>
      <c r="HP33" s="1068">
        <v>80</v>
      </c>
      <c r="HQ33" s="1068">
        <v>36</v>
      </c>
      <c r="HR33" s="1068" t="s">
        <v>327</v>
      </c>
      <c r="HS33" s="1068">
        <v>89</v>
      </c>
      <c r="HT33" s="1068">
        <v>42</v>
      </c>
      <c r="HU33" s="1068">
        <v>1</v>
      </c>
      <c r="HV33" s="1068">
        <v>67</v>
      </c>
      <c r="HW33" s="1068" t="s">
        <v>327</v>
      </c>
      <c r="HX33" s="1068">
        <v>18</v>
      </c>
      <c r="HY33" s="1068">
        <v>8</v>
      </c>
      <c r="HZ33" s="1068">
        <v>230</v>
      </c>
      <c r="IA33" s="1068" t="s">
        <v>327</v>
      </c>
      <c r="IB33" s="1068">
        <v>571</v>
      </c>
      <c r="IC33" s="1068">
        <f t="shared" si="2"/>
        <v>51</v>
      </c>
      <c r="ID33" s="1069">
        <f t="shared" si="3"/>
        <v>8.9316987740805598E-2</v>
      </c>
      <c r="IE33" s="47"/>
      <c r="IF33" s="47"/>
    </row>
    <row r="34" spans="1:240">
      <c r="A34" s="41"/>
      <c r="B34" s="41"/>
      <c r="C34" s="41" t="s">
        <v>30</v>
      </c>
      <c r="D34" s="105">
        <v>108</v>
      </c>
      <c r="E34" s="105">
        <v>66</v>
      </c>
      <c r="F34" s="105">
        <v>0</v>
      </c>
      <c r="G34" s="105">
        <v>66</v>
      </c>
      <c r="H34" s="105">
        <v>62</v>
      </c>
      <c r="I34" s="105">
        <v>21</v>
      </c>
      <c r="J34" s="105">
        <v>15</v>
      </c>
      <c r="K34" s="105"/>
      <c r="L34" s="105">
        <v>0</v>
      </c>
      <c r="M34" s="105">
        <v>12</v>
      </c>
      <c r="N34" s="105">
        <v>8</v>
      </c>
      <c r="O34" s="105">
        <v>31</v>
      </c>
      <c r="P34" s="105">
        <v>133</v>
      </c>
      <c r="Q34" s="105">
        <v>0</v>
      </c>
      <c r="R34" s="105">
        <v>522</v>
      </c>
      <c r="S34" s="706">
        <f t="shared" si="4"/>
        <v>0.18533604887983707</v>
      </c>
      <c r="T34" s="5561">
        <f t="shared" si="5"/>
        <v>1</v>
      </c>
      <c r="U34" s="5562">
        <v>521</v>
      </c>
      <c r="V34" s="706"/>
      <c r="Y34" s="41" t="s">
        <v>30</v>
      </c>
      <c r="Z34" s="41">
        <v>68</v>
      </c>
      <c r="AA34" s="41">
        <v>36</v>
      </c>
      <c r="AB34" s="41">
        <v>0</v>
      </c>
      <c r="AC34" s="41">
        <v>60</v>
      </c>
      <c r="AD34" s="41">
        <v>101</v>
      </c>
      <c r="AE34" s="41">
        <v>4</v>
      </c>
      <c r="AF34" s="41">
        <v>61</v>
      </c>
      <c r="AG34" s="41"/>
      <c r="AH34" s="41">
        <v>0</v>
      </c>
      <c r="AI34" s="41">
        <v>16</v>
      </c>
      <c r="AJ34" s="41">
        <v>8</v>
      </c>
      <c r="AK34" s="41">
        <v>16</v>
      </c>
      <c r="AL34" s="41">
        <v>89</v>
      </c>
      <c r="AM34" s="41">
        <v>1</v>
      </c>
      <c r="AN34" s="461">
        <v>460</v>
      </c>
      <c r="AO34" s="4692">
        <f t="shared" si="6"/>
        <v>0.25507900677200901</v>
      </c>
      <c r="AQ34" s="1788"/>
      <c r="AR34" s="1788"/>
      <c r="AS34" s="37" t="s">
        <v>30</v>
      </c>
      <c r="AT34" s="1788">
        <v>102</v>
      </c>
      <c r="AU34" s="1788">
        <v>68</v>
      </c>
      <c r="AV34" s="1788">
        <v>0</v>
      </c>
      <c r="AW34" s="1788">
        <v>62</v>
      </c>
      <c r="AX34" s="1788">
        <v>70</v>
      </c>
      <c r="AY34" s="1788">
        <v>10</v>
      </c>
      <c r="AZ34" s="1788">
        <v>16</v>
      </c>
      <c r="BA34" s="1788"/>
      <c r="BB34" s="1788">
        <v>0</v>
      </c>
      <c r="BC34" s="1788">
        <v>18</v>
      </c>
      <c r="BD34" s="1788">
        <v>2</v>
      </c>
      <c r="BE34" s="1788">
        <v>18</v>
      </c>
      <c r="BF34" s="1788">
        <v>116</v>
      </c>
      <c r="BG34" s="1788">
        <v>0</v>
      </c>
      <c r="BH34" s="1788">
        <v>482</v>
      </c>
      <c r="BI34" s="4701">
        <f t="shared" si="7"/>
        <v>0.17672413793103448</v>
      </c>
      <c r="BK34" s="41"/>
      <c r="BL34" s="41"/>
      <c r="BM34" s="41" t="s">
        <v>30</v>
      </c>
      <c r="BN34" s="105">
        <v>108</v>
      </c>
      <c r="BO34" s="105">
        <v>40</v>
      </c>
      <c r="BP34" s="105"/>
      <c r="BQ34" s="105">
        <v>4</v>
      </c>
      <c r="BR34" s="105">
        <v>86</v>
      </c>
      <c r="BS34" s="105">
        <v>3</v>
      </c>
      <c r="BT34" s="105">
        <v>37</v>
      </c>
      <c r="BU34" s="105"/>
      <c r="BV34" s="105"/>
      <c r="BW34" s="105">
        <v>16</v>
      </c>
      <c r="BX34" s="105">
        <v>5</v>
      </c>
      <c r="BY34" s="105">
        <v>16</v>
      </c>
      <c r="BZ34" s="105">
        <v>92</v>
      </c>
      <c r="CA34" s="105">
        <v>0</v>
      </c>
      <c r="CB34" s="105">
        <v>407</v>
      </c>
      <c r="CC34" s="2484">
        <f t="shared" si="8"/>
        <v>0.24040920716112532</v>
      </c>
      <c r="CE34" s="41"/>
      <c r="CF34" s="41"/>
      <c r="CG34" s="41" t="s">
        <v>30</v>
      </c>
      <c r="CH34" s="105">
        <v>107</v>
      </c>
      <c r="CI34" s="105">
        <v>31</v>
      </c>
      <c r="CJ34" s="105"/>
      <c r="CK34" s="105">
        <v>53</v>
      </c>
      <c r="CL34" s="105">
        <v>72</v>
      </c>
      <c r="CM34" s="105">
        <v>4</v>
      </c>
      <c r="CN34" s="105">
        <v>30</v>
      </c>
      <c r="CO34" s="105"/>
      <c r="CP34" s="105">
        <v>0</v>
      </c>
      <c r="CQ34" s="105">
        <v>17</v>
      </c>
      <c r="CR34" s="105">
        <v>10</v>
      </c>
      <c r="CS34" s="105">
        <v>7</v>
      </c>
      <c r="CT34" s="105">
        <v>95</v>
      </c>
      <c r="CU34" s="105">
        <v>1</v>
      </c>
      <c r="CV34" s="105">
        <v>427</v>
      </c>
      <c r="CW34" s="1644">
        <f t="shared" si="0"/>
        <v>0.2052505966587112</v>
      </c>
      <c r="CX34" s="1976"/>
      <c r="CY34" s="41"/>
      <c r="CZ34" s="41"/>
      <c r="DA34" s="41" t="s">
        <v>30</v>
      </c>
      <c r="DB34" s="105">
        <v>90</v>
      </c>
      <c r="DC34" s="105">
        <v>37</v>
      </c>
      <c r="DD34" s="105"/>
      <c r="DE34" s="105">
        <v>59</v>
      </c>
      <c r="DF34" s="105">
        <v>75</v>
      </c>
      <c r="DG34" s="105">
        <v>5</v>
      </c>
      <c r="DH34" s="105">
        <v>37</v>
      </c>
      <c r="DI34" s="105">
        <v>0</v>
      </c>
      <c r="DJ34" s="105">
        <v>0</v>
      </c>
      <c r="DK34" s="105">
        <v>13</v>
      </c>
      <c r="DL34" s="105">
        <v>9</v>
      </c>
      <c r="DM34" s="105">
        <v>0</v>
      </c>
      <c r="DN34" s="105">
        <v>85</v>
      </c>
      <c r="DO34" s="105">
        <v>1</v>
      </c>
      <c r="DP34" s="105">
        <v>411</v>
      </c>
      <c r="DQ34" s="1644">
        <f t="shared" si="9"/>
        <v>0.21707317073170732</v>
      </c>
      <c r="DS34" s="1311"/>
      <c r="DT34" s="1311"/>
      <c r="DU34" s="1319" t="s">
        <v>30</v>
      </c>
      <c r="DV34" s="1320">
        <v>88</v>
      </c>
      <c r="DW34" s="1320">
        <v>29</v>
      </c>
      <c r="DX34" s="1321"/>
      <c r="DY34" s="1320">
        <v>60</v>
      </c>
      <c r="DZ34" s="1320">
        <v>81</v>
      </c>
      <c r="EA34" s="1320">
        <v>5</v>
      </c>
      <c r="EB34" s="1320">
        <v>25</v>
      </c>
      <c r="EC34" s="1321"/>
      <c r="ED34" s="1320">
        <v>0</v>
      </c>
      <c r="EE34" s="1320">
        <v>11</v>
      </c>
      <c r="EF34" s="1320">
        <v>4</v>
      </c>
      <c r="EG34" s="1320">
        <v>0</v>
      </c>
      <c r="EH34" s="1320">
        <v>100</v>
      </c>
      <c r="EI34" s="1320">
        <v>1</v>
      </c>
      <c r="EJ34" s="1320">
        <v>404</v>
      </c>
      <c r="EK34" s="1322">
        <f t="shared" si="10"/>
        <v>0.22332506203473945</v>
      </c>
      <c r="EM34" s="1047"/>
      <c r="EN34" s="1047"/>
      <c r="EO34" s="1060" t="s">
        <v>30</v>
      </c>
      <c r="EP34" s="1061">
        <v>80</v>
      </c>
      <c r="EQ34" s="1061">
        <v>38</v>
      </c>
      <c r="ER34" s="1047"/>
      <c r="ES34" s="1061">
        <v>94</v>
      </c>
      <c r="ET34" s="1061">
        <v>78</v>
      </c>
      <c r="EU34" s="1061">
        <v>8</v>
      </c>
      <c r="EV34" s="1061">
        <v>55</v>
      </c>
      <c r="EW34" s="1047"/>
      <c r="EX34" s="1061">
        <v>0</v>
      </c>
      <c r="EY34" s="1061">
        <v>9</v>
      </c>
      <c r="EZ34" s="1061">
        <v>8</v>
      </c>
      <c r="FA34" s="1061">
        <v>158</v>
      </c>
      <c r="FB34" s="1047"/>
      <c r="FC34" s="1061">
        <v>528</v>
      </c>
      <c r="FD34" s="537">
        <f t="shared" si="11"/>
        <v>0.17803030303030304</v>
      </c>
      <c r="FF34" s="652"/>
      <c r="FG34" s="652"/>
      <c r="FH34" s="1062" t="s">
        <v>30</v>
      </c>
      <c r="FI34" s="1063">
        <v>95</v>
      </c>
      <c r="FJ34" s="1063">
        <v>43</v>
      </c>
      <c r="FK34" s="1063">
        <v>0</v>
      </c>
      <c r="FL34" s="1063">
        <v>98</v>
      </c>
      <c r="FM34" s="1063">
        <v>62</v>
      </c>
      <c r="FN34" s="1063">
        <v>11</v>
      </c>
      <c r="FO34" s="1063">
        <v>59</v>
      </c>
      <c r="FP34" s="652"/>
      <c r="FQ34" s="652"/>
      <c r="FR34" s="1063">
        <v>5</v>
      </c>
      <c r="FS34" s="1063">
        <v>7</v>
      </c>
      <c r="FT34" s="1063">
        <v>171</v>
      </c>
      <c r="FU34" s="652"/>
      <c r="FV34" s="1063">
        <v>551</v>
      </c>
      <c r="FW34" s="537">
        <f t="shared" si="12"/>
        <v>0.14519056261343014</v>
      </c>
      <c r="FY34" s="817"/>
      <c r="FZ34" s="817"/>
      <c r="GA34" s="1064" t="s">
        <v>31</v>
      </c>
      <c r="GB34" s="1065">
        <v>31</v>
      </c>
      <c r="GC34" s="1065">
        <v>8</v>
      </c>
      <c r="GD34" s="1065">
        <v>0</v>
      </c>
      <c r="GE34" s="1065">
        <v>24</v>
      </c>
      <c r="GF34" s="1065">
        <v>28</v>
      </c>
      <c r="GG34" s="1065">
        <v>8</v>
      </c>
      <c r="GH34" s="1065">
        <v>15</v>
      </c>
      <c r="GI34" s="1065">
        <v>0</v>
      </c>
      <c r="GJ34" s="1065">
        <v>0</v>
      </c>
      <c r="GK34" s="1065">
        <v>4</v>
      </c>
      <c r="GL34" s="1065">
        <v>37</v>
      </c>
      <c r="GM34" s="1065">
        <v>48</v>
      </c>
      <c r="GN34" s="1065">
        <v>0</v>
      </c>
      <c r="GO34" s="1065">
        <v>0</v>
      </c>
      <c r="GP34" s="1065">
        <v>203</v>
      </c>
      <c r="GQ34" s="1066">
        <f t="shared" si="13"/>
        <v>0.24096385542168675</v>
      </c>
      <c r="GS34" s="107"/>
      <c r="GT34" s="107"/>
      <c r="GU34" s="47" t="s">
        <v>31</v>
      </c>
      <c r="GV34" s="47">
        <v>25</v>
      </c>
      <c r="GW34" s="47">
        <v>8</v>
      </c>
      <c r="GX34" s="47"/>
      <c r="GY34" s="47">
        <v>14</v>
      </c>
      <c r="GZ34" s="47">
        <v>22</v>
      </c>
      <c r="HA34" s="47">
        <v>3</v>
      </c>
      <c r="HB34" s="47">
        <v>10</v>
      </c>
      <c r="HC34" s="47"/>
      <c r="HD34" s="47">
        <v>0</v>
      </c>
      <c r="HE34" s="47">
        <v>6</v>
      </c>
      <c r="HF34" s="47">
        <v>29</v>
      </c>
      <c r="HG34" s="47">
        <v>41</v>
      </c>
      <c r="HH34" s="47"/>
      <c r="HI34" s="47">
        <v>0</v>
      </c>
      <c r="HJ34" s="47">
        <v>158</v>
      </c>
      <c r="HK34" s="1067">
        <f t="shared" si="1"/>
        <v>0.24031007751937986</v>
      </c>
      <c r="HL34" s="47"/>
      <c r="HM34" s="420"/>
      <c r="HN34" s="420"/>
      <c r="HO34" s="420" t="s">
        <v>31</v>
      </c>
      <c r="HP34" s="1068">
        <v>20</v>
      </c>
      <c r="HQ34" s="1068">
        <v>7</v>
      </c>
      <c r="HR34" s="1068" t="s">
        <v>327</v>
      </c>
      <c r="HS34" s="1068">
        <v>10</v>
      </c>
      <c r="HT34" s="1068">
        <v>23</v>
      </c>
      <c r="HU34" s="1068">
        <v>0</v>
      </c>
      <c r="HV34" s="1068">
        <v>18</v>
      </c>
      <c r="HW34" s="1068" t="s">
        <v>327</v>
      </c>
      <c r="HX34" s="1068">
        <v>1</v>
      </c>
      <c r="HY34" s="1068">
        <v>3</v>
      </c>
      <c r="HZ34" s="1068">
        <v>38</v>
      </c>
      <c r="IA34" s="1068" t="s">
        <v>327</v>
      </c>
      <c r="IB34" s="1068">
        <v>120</v>
      </c>
      <c r="IC34" s="1068">
        <f t="shared" si="2"/>
        <v>26</v>
      </c>
      <c r="ID34" s="1069">
        <f t="shared" si="3"/>
        <v>0.21666666666666667</v>
      </c>
      <c r="IE34" s="47"/>
      <c r="IF34" s="47"/>
    </row>
    <row r="35" spans="1:240">
      <c r="A35" s="41"/>
      <c r="B35" s="41"/>
      <c r="C35" s="41" t="s">
        <v>31</v>
      </c>
      <c r="D35" s="105">
        <v>137</v>
      </c>
      <c r="E35" s="105">
        <v>43</v>
      </c>
      <c r="F35" s="105">
        <v>0</v>
      </c>
      <c r="G35" s="105">
        <v>52</v>
      </c>
      <c r="H35" s="105">
        <v>54</v>
      </c>
      <c r="I35" s="105">
        <v>22</v>
      </c>
      <c r="J35" s="105">
        <v>9</v>
      </c>
      <c r="K35" s="105"/>
      <c r="L35" s="105">
        <v>0</v>
      </c>
      <c r="M35" s="105">
        <v>14</v>
      </c>
      <c r="N35" s="105">
        <v>12</v>
      </c>
      <c r="O35" s="105">
        <v>12</v>
      </c>
      <c r="P35" s="105">
        <v>80</v>
      </c>
      <c r="Q35" s="105">
        <v>1</v>
      </c>
      <c r="R35" s="105">
        <v>436</v>
      </c>
      <c r="S35" s="706">
        <f t="shared" si="4"/>
        <v>0.20803782505910165</v>
      </c>
      <c r="T35" s="5561">
        <f t="shared" si="5"/>
        <v>3</v>
      </c>
      <c r="U35" s="5562">
        <v>433</v>
      </c>
      <c r="V35" s="706"/>
      <c r="Y35" s="41" t="s">
        <v>31</v>
      </c>
      <c r="Z35" s="41">
        <v>59</v>
      </c>
      <c r="AA35" s="41">
        <v>29</v>
      </c>
      <c r="AB35" s="41">
        <v>0</v>
      </c>
      <c r="AC35" s="41">
        <v>47</v>
      </c>
      <c r="AD35" s="41">
        <v>75</v>
      </c>
      <c r="AE35" s="41">
        <v>18</v>
      </c>
      <c r="AF35" s="41">
        <v>25</v>
      </c>
      <c r="AG35" s="41"/>
      <c r="AH35" s="41">
        <v>0</v>
      </c>
      <c r="AI35" s="41">
        <v>21</v>
      </c>
      <c r="AJ35" s="41">
        <v>12</v>
      </c>
      <c r="AK35" s="41">
        <v>9</v>
      </c>
      <c r="AL35" s="41">
        <v>65</v>
      </c>
      <c r="AM35" s="41">
        <v>1</v>
      </c>
      <c r="AN35" s="461">
        <v>361</v>
      </c>
      <c r="AO35" s="4692">
        <f t="shared" si="6"/>
        <v>0.29914529914529914</v>
      </c>
      <c r="AQ35" s="1788"/>
      <c r="AR35" s="1788"/>
      <c r="AS35" s="37" t="s">
        <v>31</v>
      </c>
      <c r="AT35" s="1788">
        <v>113</v>
      </c>
      <c r="AU35" s="1788">
        <v>32</v>
      </c>
      <c r="AV35" s="1788">
        <v>0</v>
      </c>
      <c r="AW35" s="1788">
        <v>50</v>
      </c>
      <c r="AX35" s="1788">
        <v>48</v>
      </c>
      <c r="AY35" s="1788">
        <v>19</v>
      </c>
      <c r="AZ35" s="1788">
        <v>9</v>
      </c>
      <c r="BA35" s="1788"/>
      <c r="BB35" s="1788">
        <v>0</v>
      </c>
      <c r="BC35" s="1788">
        <v>18</v>
      </c>
      <c r="BD35" s="1788">
        <v>13</v>
      </c>
      <c r="BE35" s="1788">
        <v>11</v>
      </c>
      <c r="BF35" s="1788">
        <v>71</v>
      </c>
      <c r="BG35" s="1788">
        <v>1</v>
      </c>
      <c r="BH35" s="1788">
        <v>385</v>
      </c>
      <c r="BI35" s="4701">
        <f t="shared" si="7"/>
        <v>0.21447721179624665</v>
      </c>
      <c r="BK35" s="41"/>
      <c r="BL35" s="41"/>
      <c r="BM35" s="41" t="s">
        <v>31</v>
      </c>
      <c r="BN35" s="105">
        <v>103</v>
      </c>
      <c r="BO35" s="105">
        <v>26</v>
      </c>
      <c r="BP35" s="105"/>
      <c r="BQ35" s="105">
        <v>4</v>
      </c>
      <c r="BR35" s="105">
        <v>62</v>
      </c>
      <c r="BS35" s="105">
        <v>6</v>
      </c>
      <c r="BT35" s="105">
        <v>18</v>
      </c>
      <c r="BU35" s="105"/>
      <c r="BV35" s="105"/>
      <c r="BW35" s="105">
        <v>9</v>
      </c>
      <c r="BX35" s="105">
        <v>16</v>
      </c>
      <c r="BY35" s="105">
        <v>9</v>
      </c>
      <c r="BZ35" s="105">
        <v>64</v>
      </c>
      <c r="CA35" s="105">
        <v>1</v>
      </c>
      <c r="CB35" s="105">
        <v>318</v>
      </c>
      <c r="CC35" s="2484">
        <f t="shared" si="8"/>
        <v>0.27272727272727271</v>
      </c>
      <c r="CE35" s="41"/>
      <c r="CF35" s="41"/>
      <c r="CG35" s="41" t="s">
        <v>31</v>
      </c>
      <c r="CH35" s="105">
        <v>96</v>
      </c>
      <c r="CI35" s="105">
        <v>33</v>
      </c>
      <c r="CJ35" s="105"/>
      <c r="CK35" s="105">
        <v>46</v>
      </c>
      <c r="CL35" s="105">
        <v>58</v>
      </c>
      <c r="CM35" s="105">
        <v>6</v>
      </c>
      <c r="CN35" s="105">
        <v>19</v>
      </c>
      <c r="CO35" s="105"/>
      <c r="CP35" s="105">
        <v>0</v>
      </c>
      <c r="CQ35" s="105">
        <v>7</v>
      </c>
      <c r="CR35" s="105">
        <v>8</v>
      </c>
      <c r="CS35" s="105">
        <v>4</v>
      </c>
      <c r="CT35" s="105">
        <v>53</v>
      </c>
      <c r="CU35" s="105">
        <v>0</v>
      </c>
      <c r="CV35" s="105">
        <v>330</v>
      </c>
      <c r="CW35" s="1644">
        <f t="shared" si="0"/>
        <v>0.22085889570552147</v>
      </c>
      <c r="CX35" s="1976"/>
      <c r="CY35" s="41"/>
      <c r="CZ35" s="41"/>
      <c r="DA35" s="41" t="s">
        <v>31</v>
      </c>
      <c r="DB35" s="105">
        <v>74</v>
      </c>
      <c r="DC35" s="105">
        <v>24</v>
      </c>
      <c r="DD35" s="105"/>
      <c r="DE35" s="105">
        <v>39</v>
      </c>
      <c r="DF35" s="105">
        <v>49</v>
      </c>
      <c r="DG35" s="105">
        <v>7</v>
      </c>
      <c r="DH35" s="105">
        <v>10</v>
      </c>
      <c r="DI35" s="105">
        <v>0</v>
      </c>
      <c r="DJ35" s="105">
        <v>0</v>
      </c>
      <c r="DK35" s="105">
        <v>8</v>
      </c>
      <c r="DL35" s="105">
        <v>6</v>
      </c>
      <c r="DM35" s="105">
        <v>1</v>
      </c>
      <c r="DN35" s="105">
        <v>47</v>
      </c>
      <c r="DO35" s="105">
        <v>0</v>
      </c>
      <c r="DP35" s="105">
        <v>265</v>
      </c>
      <c r="DQ35" s="1644">
        <f t="shared" si="9"/>
        <v>0.23484848484848486</v>
      </c>
      <c r="DS35" s="1311"/>
      <c r="DT35" s="1311"/>
      <c r="DU35" s="1319" t="s">
        <v>31</v>
      </c>
      <c r="DV35" s="1320">
        <v>62</v>
      </c>
      <c r="DW35" s="1320">
        <v>14</v>
      </c>
      <c r="DX35" s="1321"/>
      <c r="DY35" s="1320">
        <v>33</v>
      </c>
      <c r="DZ35" s="1320">
        <v>44</v>
      </c>
      <c r="EA35" s="1320">
        <v>3</v>
      </c>
      <c r="EB35" s="1320">
        <v>15</v>
      </c>
      <c r="EC35" s="1321"/>
      <c r="ED35" s="1320">
        <v>0</v>
      </c>
      <c r="EE35" s="1320">
        <v>6</v>
      </c>
      <c r="EF35" s="1320">
        <v>7</v>
      </c>
      <c r="EG35" s="1320">
        <v>0</v>
      </c>
      <c r="EH35" s="1320">
        <v>39</v>
      </c>
      <c r="EI35" s="1320">
        <v>0</v>
      </c>
      <c r="EJ35" s="1320">
        <v>223</v>
      </c>
      <c r="EK35" s="1322">
        <f t="shared" si="10"/>
        <v>0.24215246636771301</v>
      </c>
      <c r="EM35" s="1047"/>
      <c r="EN35" s="1047"/>
      <c r="EO35" s="1060" t="s">
        <v>31</v>
      </c>
      <c r="EP35" s="1061">
        <v>46</v>
      </c>
      <c r="EQ35" s="1061">
        <v>10</v>
      </c>
      <c r="ER35" s="1047"/>
      <c r="ES35" s="1061">
        <v>38</v>
      </c>
      <c r="ET35" s="1061">
        <v>41</v>
      </c>
      <c r="EU35" s="1061">
        <v>5</v>
      </c>
      <c r="EV35" s="1061">
        <v>12</v>
      </c>
      <c r="EW35" s="1047"/>
      <c r="EX35" s="1061">
        <v>0</v>
      </c>
      <c r="EY35" s="1061">
        <v>5</v>
      </c>
      <c r="EZ35" s="1061">
        <v>5</v>
      </c>
      <c r="FA35" s="1061">
        <v>47</v>
      </c>
      <c r="FB35" s="1047"/>
      <c r="FC35" s="1061">
        <v>209</v>
      </c>
      <c r="FD35" s="537">
        <f t="shared" si="11"/>
        <v>0.24401913875598086</v>
      </c>
      <c r="FF35" s="652"/>
      <c r="FG35" s="652"/>
      <c r="FH35" s="1062" t="s">
        <v>31</v>
      </c>
      <c r="FI35" s="1063">
        <v>36</v>
      </c>
      <c r="FJ35" s="1063">
        <v>4</v>
      </c>
      <c r="FK35" s="1063">
        <v>0</v>
      </c>
      <c r="FL35" s="1063">
        <v>32</v>
      </c>
      <c r="FM35" s="1063">
        <v>35</v>
      </c>
      <c r="FN35" s="1063">
        <v>6</v>
      </c>
      <c r="FO35" s="1063">
        <v>14</v>
      </c>
      <c r="FP35" s="652"/>
      <c r="FQ35" s="652"/>
      <c r="FR35" s="1063">
        <v>0</v>
      </c>
      <c r="FS35" s="1063">
        <v>5</v>
      </c>
      <c r="FT35" s="1063">
        <v>46</v>
      </c>
      <c r="FU35" s="652"/>
      <c r="FV35" s="1063">
        <v>178</v>
      </c>
      <c r="FW35" s="537">
        <f t="shared" si="12"/>
        <v>0.25842696629213485</v>
      </c>
      <c r="FY35" s="817"/>
      <c r="FZ35" s="817"/>
      <c r="GA35" s="1064" t="s">
        <v>32</v>
      </c>
      <c r="GB35" s="1065">
        <v>156</v>
      </c>
      <c r="GC35" s="1065">
        <v>72</v>
      </c>
      <c r="GD35" s="1065">
        <v>0</v>
      </c>
      <c r="GE35" s="1065">
        <v>155</v>
      </c>
      <c r="GF35" s="1065">
        <v>141</v>
      </c>
      <c r="GG35" s="1065">
        <v>21</v>
      </c>
      <c r="GH35" s="1065">
        <v>112</v>
      </c>
      <c r="GI35" s="1065">
        <v>0</v>
      </c>
      <c r="GJ35" s="1065">
        <v>14</v>
      </c>
      <c r="GK35" s="1065">
        <v>35</v>
      </c>
      <c r="GL35" s="1065">
        <v>175</v>
      </c>
      <c r="GM35" s="1065">
        <v>381</v>
      </c>
      <c r="GN35" s="1065">
        <v>0</v>
      </c>
      <c r="GO35" s="1065">
        <v>1</v>
      </c>
      <c r="GP35" s="1065">
        <v>1263</v>
      </c>
      <c r="GQ35" s="1066">
        <f t="shared" si="13"/>
        <v>0.18123275068997241</v>
      </c>
      <c r="GS35" s="107"/>
      <c r="GT35" s="107"/>
      <c r="GU35" s="47" t="s">
        <v>32</v>
      </c>
      <c r="GV35" s="47">
        <v>155</v>
      </c>
      <c r="GW35" s="47">
        <v>72</v>
      </c>
      <c r="GX35" s="47"/>
      <c r="GY35" s="47">
        <v>160</v>
      </c>
      <c r="GZ35" s="47">
        <v>134</v>
      </c>
      <c r="HA35" s="47">
        <v>32</v>
      </c>
      <c r="HB35" s="47">
        <v>108</v>
      </c>
      <c r="HC35" s="47"/>
      <c r="HD35" s="47">
        <v>19</v>
      </c>
      <c r="HE35" s="47">
        <v>31</v>
      </c>
      <c r="HF35" s="47">
        <v>167</v>
      </c>
      <c r="HG35" s="47">
        <v>401</v>
      </c>
      <c r="HH35" s="47"/>
      <c r="HI35" s="47">
        <v>2</v>
      </c>
      <c r="HJ35" s="47">
        <v>1281</v>
      </c>
      <c r="HK35" s="1067">
        <f t="shared" si="1"/>
        <v>0.17715827338129497</v>
      </c>
      <c r="HL35" s="47"/>
      <c r="HM35" s="420"/>
      <c r="HN35" s="420"/>
      <c r="HO35" s="420" t="s">
        <v>32</v>
      </c>
      <c r="HP35" s="1068">
        <v>148</v>
      </c>
      <c r="HQ35" s="1068">
        <v>65</v>
      </c>
      <c r="HR35" s="1068" t="s">
        <v>327</v>
      </c>
      <c r="HS35" s="1068">
        <v>157</v>
      </c>
      <c r="HT35" s="1068">
        <v>122</v>
      </c>
      <c r="HU35" s="1068">
        <v>44</v>
      </c>
      <c r="HV35" s="1068">
        <v>125</v>
      </c>
      <c r="HW35" s="1068" t="s">
        <v>327</v>
      </c>
      <c r="HX35" s="1068">
        <v>32</v>
      </c>
      <c r="HY35" s="1068">
        <v>31</v>
      </c>
      <c r="HZ35" s="1068">
        <v>421</v>
      </c>
      <c r="IA35" s="1068" t="s">
        <v>327</v>
      </c>
      <c r="IB35" s="1068">
        <v>1145</v>
      </c>
      <c r="IC35" s="1068">
        <f t="shared" si="2"/>
        <v>197</v>
      </c>
      <c r="ID35" s="1069">
        <f t="shared" si="3"/>
        <v>0.1720524017467249</v>
      </c>
      <c r="IE35" s="47"/>
      <c r="IF35" s="47"/>
    </row>
    <row r="36" spans="1:240">
      <c r="A36" s="41"/>
      <c r="B36" s="41"/>
      <c r="C36" s="41" t="s">
        <v>32</v>
      </c>
      <c r="D36" s="105">
        <v>150</v>
      </c>
      <c r="E36" s="105">
        <v>81</v>
      </c>
      <c r="F36" s="105">
        <v>0</v>
      </c>
      <c r="G36" s="105">
        <v>57</v>
      </c>
      <c r="H36" s="105">
        <v>117</v>
      </c>
      <c r="I36" s="105">
        <v>33</v>
      </c>
      <c r="J36" s="105">
        <v>13</v>
      </c>
      <c r="K36" s="105"/>
      <c r="L36" s="105">
        <v>0</v>
      </c>
      <c r="M36" s="105">
        <v>24</v>
      </c>
      <c r="N36" s="105">
        <v>28</v>
      </c>
      <c r="O36" s="105">
        <v>17</v>
      </c>
      <c r="P36" s="105">
        <v>204</v>
      </c>
      <c r="Q36" s="105">
        <v>0</v>
      </c>
      <c r="R36" s="105">
        <v>724</v>
      </c>
      <c r="S36" s="706">
        <f t="shared" si="4"/>
        <v>0.25176803394625175</v>
      </c>
      <c r="T36" s="5561">
        <f t="shared" si="5"/>
        <v>1</v>
      </c>
      <c r="U36" s="5562">
        <v>723</v>
      </c>
      <c r="V36" s="706"/>
      <c r="Y36" s="41" t="s">
        <v>32</v>
      </c>
      <c r="Z36" s="41">
        <v>87</v>
      </c>
      <c r="AA36" s="41">
        <v>62</v>
      </c>
      <c r="AB36" s="41">
        <v>0</v>
      </c>
      <c r="AC36" s="41">
        <v>68</v>
      </c>
      <c r="AD36" s="41">
        <v>167</v>
      </c>
      <c r="AE36" s="41">
        <v>31</v>
      </c>
      <c r="AF36" s="41">
        <v>116</v>
      </c>
      <c r="AG36" s="41"/>
      <c r="AH36" s="41">
        <v>0</v>
      </c>
      <c r="AI36" s="41">
        <v>28</v>
      </c>
      <c r="AJ36" s="41">
        <v>26</v>
      </c>
      <c r="AK36" s="41">
        <v>10</v>
      </c>
      <c r="AL36" s="41">
        <v>179</v>
      </c>
      <c r="AM36" s="41">
        <v>0</v>
      </c>
      <c r="AN36" s="461">
        <v>774</v>
      </c>
      <c r="AO36" s="4692">
        <f t="shared" si="6"/>
        <v>0.29319371727748689</v>
      </c>
      <c r="AQ36" s="1788"/>
      <c r="AR36" s="1788"/>
      <c r="AS36" s="37" t="s">
        <v>32</v>
      </c>
      <c r="AT36" s="1788">
        <v>133</v>
      </c>
      <c r="AU36" s="1788">
        <v>85</v>
      </c>
      <c r="AV36" s="1788">
        <v>0</v>
      </c>
      <c r="AW36" s="1788">
        <v>63</v>
      </c>
      <c r="AX36" s="1788">
        <v>113</v>
      </c>
      <c r="AY36" s="1788">
        <v>40</v>
      </c>
      <c r="AZ36" s="1788">
        <v>31</v>
      </c>
      <c r="BA36" s="1788"/>
      <c r="BB36" s="1788">
        <v>0</v>
      </c>
      <c r="BC36" s="1788">
        <v>24</v>
      </c>
      <c r="BD36" s="1788">
        <v>26</v>
      </c>
      <c r="BE36" s="1788">
        <v>12</v>
      </c>
      <c r="BF36" s="1788">
        <v>205</v>
      </c>
      <c r="BG36" s="1788">
        <v>0</v>
      </c>
      <c r="BH36" s="1788">
        <v>732</v>
      </c>
      <c r="BI36" s="4701">
        <f t="shared" si="7"/>
        <v>0.24861111111111112</v>
      </c>
      <c r="BK36" s="41"/>
      <c r="BL36" s="41"/>
      <c r="BM36" s="41" t="s">
        <v>32</v>
      </c>
      <c r="BN36" s="105">
        <v>165</v>
      </c>
      <c r="BO36" s="105">
        <v>73</v>
      </c>
      <c r="BP36" s="105"/>
      <c r="BQ36" s="105">
        <v>3</v>
      </c>
      <c r="BR36" s="105">
        <v>127</v>
      </c>
      <c r="BS36" s="105">
        <v>21</v>
      </c>
      <c r="BT36" s="105">
        <v>77</v>
      </c>
      <c r="BU36" s="105"/>
      <c r="BV36" s="105"/>
      <c r="BW36" s="105">
        <v>15</v>
      </c>
      <c r="BX36" s="105">
        <v>31</v>
      </c>
      <c r="BY36" s="105">
        <v>10</v>
      </c>
      <c r="BZ36" s="105">
        <v>189</v>
      </c>
      <c r="CA36" s="105">
        <v>0</v>
      </c>
      <c r="CB36" s="105">
        <v>711</v>
      </c>
      <c r="CC36" s="2484">
        <f t="shared" si="8"/>
        <v>0.25534950071326679</v>
      </c>
      <c r="CE36" s="41"/>
      <c r="CF36" s="41"/>
      <c r="CG36" s="41" t="s">
        <v>32</v>
      </c>
      <c r="CH36" s="105">
        <v>199</v>
      </c>
      <c r="CI36" s="105">
        <v>77</v>
      </c>
      <c r="CJ36" s="105"/>
      <c r="CK36" s="105">
        <v>67</v>
      </c>
      <c r="CL36" s="105">
        <v>94</v>
      </c>
      <c r="CM36" s="105">
        <v>24</v>
      </c>
      <c r="CN36" s="105">
        <v>67</v>
      </c>
      <c r="CO36" s="105"/>
      <c r="CP36" s="105">
        <v>0</v>
      </c>
      <c r="CQ36" s="105">
        <v>23</v>
      </c>
      <c r="CR36" s="105">
        <v>43</v>
      </c>
      <c r="CS36" s="105">
        <v>7</v>
      </c>
      <c r="CT36" s="105">
        <v>191</v>
      </c>
      <c r="CU36" s="105">
        <v>0</v>
      </c>
      <c r="CV36" s="105">
        <v>792</v>
      </c>
      <c r="CW36" s="1644">
        <f t="shared" si="0"/>
        <v>0.2050955414012739</v>
      </c>
      <c r="CX36" s="1976"/>
      <c r="CY36" s="41"/>
      <c r="CZ36" s="41"/>
      <c r="DA36" s="41" t="s">
        <v>32</v>
      </c>
      <c r="DB36" s="105">
        <v>176</v>
      </c>
      <c r="DC36" s="105">
        <v>93</v>
      </c>
      <c r="DD36" s="105"/>
      <c r="DE36" s="105">
        <v>79</v>
      </c>
      <c r="DF36" s="105">
        <v>88</v>
      </c>
      <c r="DG36" s="105">
        <v>23</v>
      </c>
      <c r="DH36" s="105">
        <v>72</v>
      </c>
      <c r="DI36" s="105">
        <v>0</v>
      </c>
      <c r="DJ36" s="105">
        <v>0</v>
      </c>
      <c r="DK36" s="105">
        <v>22</v>
      </c>
      <c r="DL36" s="105">
        <v>35</v>
      </c>
      <c r="DM36" s="105">
        <v>0</v>
      </c>
      <c r="DN36" s="105">
        <v>200</v>
      </c>
      <c r="DO36" s="105">
        <v>0</v>
      </c>
      <c r="DP36" s="105">
        <v>788</v>
      </c>
      <c r="DQ36" s="1644">
        <f t="shared" si="9"/>
        <v>0.18527918781725888</v>
      </c>
      <c r="DS36" s="1311"/>
      <c r="DT36" s="1311"/>
      <c r="DU36" s="1319" t="s">
        <v>32</v>
      </c>
      <c r="DV36" s="1320">
        <v>191</v>
      </c>
      <c r="DW36" s="1320">
        <v>77</v>
      </c>
      <c r="DX36" s="1321"/>
      <c r="DY36" s="1320">
        <v>90</v>
      </c>
      <c r="DZ36" s="1320">
        <v>116</v>
      </c>
      <c r="EA36" s="1320">
        <v>18</v>
      </c>
      <c r="EB36" s="1320">
        <v>67</v>
      </c>
      <c r="EC36" s="1321"/>
      <c r="ED36" s="1320">
        <v>0</v>
      </c>
      <c r="EE36" s="1320">
        <v>25</v>
      </c>
      <c r="EF36" s="1320">
        <v>21</v>
      </c>
      <c r="EG36" s="1320">
        <v>0</v>
      </c>
      <c r="EH36" s="1320">
        <v>210</v>
      </c>
      <c r="EI36" s="1320">
        <v>0</v>
      </c>
      <c r="EJ36" s="1320">
        <v>815</v>
      </c>
      <c r="EK36" s="1322">
        <f t="shared" si="10"/>
        <v>0.19018404907975461</v>
      </c>
      <c r="EM36" s="1047"/>
      <c r="EN36" s="1047"/>
      <c r="EO36" s="1060" t="s">
        <v>32</v>
      </c>
      <c r="EP36" s="1061">
        <v>167</v>
      </c>
      <c r="EQ36" s="1061">
        <v>61</v>
      </c>
      <c r="ER36" s="1047"/>
      <c r="ES36" s="1061">
        <v>146</v>
      </c>
      <c r="ET36" s="1061">
        <v>131</v>
      </c>
      <c r="EU36" s="1061">
        <v>18</v>
      </c>
      <c r="EV36" s="1061">
        <v>98</v>
      </c>
      <c r="EW36" s="1047"/>
      <c r="EX36" s="1061">
        <v>0</v>
      </c>
      <c r="EY36" s="1061">
        <v>27</v>
      </c>
      <c r="EZ36" s="1061">
        <v>33</v>
      </c>
      <c r="FA36" s="1061">
        <v>333</v>
      </c>
      <c r="FB36" s="1047"/>
      <c r="FC36" s="1061">
        <v>1014</v>
      </c>
      <c r="FD36" s="537">
        <f t="shared" si="11"/>
        <v>0.17948717948717949</v>
      </c>
      <c r="FF36" s="652"/>
      <c r="FG36" s="652"/>
      <c r="FH36" s="1062" t="s">
        <v>32</v>
      </c>
      <c r="FI36" s="1063">
        <v>164</v>
      </c>
      <c r="FJ36" s="1063">
        <v>63</v>
      </c>
      <c r="FK36" s="1063">
        <v>0</v>
      </c>
      <c r="FL36" s="1063">
        <v>154</v>
      </c>
      <c r="FM36" s="1063">
        <v>135</v>
      </c>
      <c r="FN36" s="1063">
        <v>22</v>
      </c>
      <c r="FO36" s="1063">
        <v>86</v>
      </c>
      <c r="FP36" s="652"/>
      <c r="FQ36" s="652"/>
      <c r="FR36" s="1063">
        <v>13</v>
      </c>
      <c r="FS36" s="1063">
        <v>38</v>
      </c>
      <c r="FT36" s="1063">
        <v>366</v>
      </c>
      <c r="FU36" s="652"/>
      <c r="FV36" s="1063">
        <v>1041</v>
      </c>
      <c r="FW36" s="537">
        <f t="shared" si="12"/>
        <v>0.18731988472622479</v>
      </c>
      <c r="FY36" s="817"/>
      <c r="FZ36" s="817"/>
      <c r="GA36" s="1053" t="s">
        <v>544</v>
      </c>
      <c r="GB36" s="1075">
        <v>728</v>
      </c>
      <c r="GC36" s="1075">
        <v>260</v>
      </c>
      <c r="GD36" s="1075">
        <v>0</v>
      </c>
      <c r="GE36" s="1075">
        <v>763</v>
      </c>
      <c r="GF36" s="1075">
        <v>635</v>
      </c>
      <c r="GG36" s="1075">
        <v>118</v>
      </c>
      <c r="GH36" s="1075">
        <v>410</v>
      </c>
      <c r="GI36" s="1075">
        <v>0</v>
      </c>
      <c r="GJ36" s="1075">
        <v>73</v>
      </c>
      <c r="GK36" s="1075">
        <v>106</v>
      </c>
      <c r="GL36" s="1075">
        <v>1037</v>
      </c>
      <c r="GM36" s="1075">
        <v>1400</v>
      </c>
      <c r="GN36" s="1075">
        <v>0</v>
      </c>
      <c r="GO36" s="1075">
        <v>13</v>
      </c>
      <c r="GP36" s="1075">
        <v>5543</v>
      </c>
      <c r="GQ36" s="1076">
        <f t="shared" si="13"/>
        <v>0.19118628978410862</v>
      </c>
      <c r="GS36" s="107"/>
      <c r="GT36" s="107"/>
      <c r="GU36" s="47" t="s">
        <v>15</v>
      </c>
      <c r="GV36" s="47">
        <v>667</v>
      </c>
      <c r="GW36" s="47">
        <v>269</v>
      </c>
      <c r="GX36" s="47"/>
      <c r="GY36" s="47">
        <v>717</v>
      </c>
      <c r="GZ36" s="47">
        <v>603</v>
      </c>
      <c r="HA36" s="47">
        <v>118</v>
      </c>
      <c r="HB36" s="47">
        <v>387</v>
      </c>
      <c r="HC36" s="47"/>
      <c r="HD36" s="47">
        <v>76</v>
      </c>
      <c r="HE36" s="47">
        <v>102</v>
      </c>
      <c r="HF36" s="47">
        <v>969</v>
      </c>
      <c r="HG36" s="47">
        <v>1430</v>
      </c>
      <c r="HH36" s="47"/>
      <c r="HI36" s="47">
        <v>10</v>
      </c>
      <c r="HJ36" s="47">
        <v>5348</v>
      </c>
      <c r="HK36" s="1067">
        <f t="shared" si="1"/>
        <v>0.18837262531471732</v>
      </c>
      <c r="HL36" s="47"/>
      <c r="HM36" s="420"/>
      <c r="HN36" s="420"/>
      <c r="HO36" s="1077" t="s">
        <v>15</v>
      </c>
      <c r="HP36" s="1078">
        <v>637</v>
      </c>
      <c r="HQ36" s="1078">
        <v>248</v>
      </c>
      <c r="HR36" s="1078" t="s">
        <v>327</v>
      </c>
      <c r="HS36" s="1078">
        <v>709</v>
      </c>
      <c r="HT36" s="1078">
        <v>594</v>
      </c>
      <c r="HU36" s="1078">
        <v>117</v>
      </c>
      <c r="HV36" s="1078">
        <v>512</v>
      </c>
      <c r="HW36" s="1078" t="s">
        <v>327</v>
      </c>
      <c r="HX36" s="1078">
        <v>127</v>
      </c>
      <c r="HY36" s="1078">
        <v>126</v>
      </c>
      <c r="HZ36" s="1078">
        <v>1488</v>
      </c>
      <c r="IA36" s="1078" t="s">
        <v>327</v>
      </c>
      <c r="IB36" s="1078">
        <v>4558</v>
      </c>
      <c r="IC36" s="1078">
        <f t="shared" si="2"/>
        <v>837</v>
      </c>
      <c r="ID36" s="1079">
        <f t="shared" si="3"/>
        <v>0.18363317244405442</v>
      </c>
      <c r="IE36" s="47"/>
      <c r="IF36" s="47"/>
    </row>
    <row r="37" spans="1:240">
      <c r="A37" s="41"/>
      <c r="B37" s="41"/>
      <c r="C37" s="41" t="s">
        <v>3860</v>
      </c>
      <c r="D37" s="105">
        <v>8</v>
      </c>
      <c r="E37" s="105">
        <v>9</v>
      </c>
      <c r="F37" s="105">
        <v>0</v>
      </c>
      <c r="G37" s="105">
        <v>2</v>
      </c>
      <c r="H37" s="105">
        <v>0</v>
      </c>
      <c r="I37" s="105">
        <v>0</v>
      </c>
      <c r="J37" s="105">
        <v>1</v>
      </c>
      <c r="K37" s="105"/>
      <c r="L37" s="105">
        <v>0</v>
      </c>
      <c r="M37" s="105">
        <v>3</v>
      </c>
      <c r="N37" s="105">
        <v>0</v>
      </c>
      <c r="O37" s="105">
        <v>3</v>
      </c>
      <c r="P37" s="105">
        <v>1</v>
      </c>
      <c r="Q37" s="105">
        <v>0</v>
      </c>
      <c r="R37" s="105">
        <v>27</v>
      </c>
      <c r="S37" s="706">
        <f t="shared" si="4"/>
        <v>0</v>
      </c>
      <c r="T37" s="5561">
        <f t="shared" si="5"/>
        <v>0</v>
      </c>
      <c r="U37" s="5562">
        <v>27</v>
      </c>
      <c r="V37" s="706"/>
      <c r="Y37" s="41" t="s">
        <v>15</v>
      </c>
      <c r="Z37" s="41">
        <v>657</v>
      </c>
      <c r="AA37" s="41">
        <v>431</v>
      </c>
      <c r="AB37" s="41">
        <v>1</v>
      </c>
      <c r="AC37" s="41">
        <v>589</v>
      </c>
      <c r="AD37" s="41">
        <v>1040</v>
      </c>
      <c r="AE37" s="41">
        <v>156</v>
      </c>
      <c r="AF37" s="41">
        <v>665</v>
      </c>
      <c r="AG37" s="41"/>
      <c r="AH37" s="41">
        <v>1</v>
      </c>
      <c r="AI37" s="41">
        <v>211</v>
      </c>
      <c r="AJ37" s="41">
        <v>141</v>
      </c>
      <c r="AK37" s="41">
        <v>164</v>
      </c>
      <c r="AL37" s="41">
        <v>1022</v>
      </c>
      <c r="AM37" s="41">
        <v>6</v>
      </c>
      <c r="AN37" s="461">
        <v>5084</v>
      </c>
      <c r="AO37" s="4692">
        <f t="shared" si="6"/>
        <v>0.27207977207977208</v>
      </c>
      <c r="AQ37" s="1788"/>
      <c r="AR37" s="1788"/>
      <c r="AS37" s="1793" t="s">
        <v>544</v>
      </c>
      <c r="AT37" s="4702">
        <v>1134</v>
      </c>
      <c r="AU37" s="4702">
        <v>581</v>
      </c>
      <c r="AV37" s="4702">
        <v>1</v>
      </c>
      <c r="AW37" s="4702">
        <v>584</v>
      </c>
      <c r="AX37" s="4702">
        <v>703</v>
      </c>
      <c r="AY37" s="4702">
        <v>221</v>
      </c>
      <c r="AZ37" s="4702">
        <v>229</v>
      </c>
      <c r="BA37" s="4702"/>
      <c r="BB37" s="4702">
        <v>1</v>
      </c>
      <c r="BC37" s="4702">
        <v>194</v>
      </c>
      <c r="BD37" s="4702">
        <v>130</v>
      </c>
      <c r="BE37" s="4702">
        <v>191</v>
      </c>
      <c r="BF37" s="4702">
        <v>1231</v>
      </c>
      <c r="BG37" s="4702">
        <v>4</v>
      </c>
      <c r="BH37" s="4702">
        <v>5204</v>
      </c>
      <c r="BI37" s="4703">
        <f t="shared" si="7"/>
        <v>0.21042124176482332</v>
      </c>
      <c r="BK37" s="41"/>
      <c r="BL37" s="41"/>
      <c r="BM37" s="461" t="s">
        <v>544</v>
      </c>
      <c r="BN37" s="2473">
        <v>1147</v>
      </c>
      <c r="BO37" s="2473">
        <v>443</v>
      </c>
      <c r="BP37" s="2473"/>
      <c r="BQ37" s="2473">
        <v>36</v>
      </c>
      <c r="BR37" s="2473">
        <v>792</v>
      </c>
      <c r="BS37" s="2473">
        <v>106</v>
      </c>
      <c r="BT37" s="2473">
        <v>422</v>
      </c>
      <c r="BU37" s="2473"/>
      <c r="BV37" s="2473"/>
      <c r="BW37" s="2473">
        <v>210</v>
      </c>
      <c r="BX37" s="2473">
        <v>147</v>
      </c>
      <c r="BY37" s="2473">
        <v>164</v>
      </c>
      <c r="BZ37" s="2473">
        <v>1080</v>
      </c>
      <c r="CA37" s="2473">
        <v>1</v>
      </c>
      <c r="CB37" s="2473">
        <v>4548</v>
      </c>
      <c r="CC37" s="2484">
        <f t="shared" si="8"/>
        <v>0.23842117271275381</v>
      </c>
      <c r="CE37" s="41"/>
      <c r="CF37" s="41"/>
      <c r="CG37" s="461" t="s">
        <v>544</v>
      </c>
      <c r="CH37" s="96">
        <v>1175</v>
      </c>
      <c r="CI37" s="96">
        <v>467</v>
      </c>
      <c r="CJ37" s="96"/>
      <c r="CK37" s="96">
        <v>566</v>
      </c>
      <c r="CL37" s="96">
        <v>658</v>
      </c>
      <c r="CM37" s="96">
        <v>119</v>
      </c>
      <c r="CN37" s="96">
        <v>333</v>
      </c>
      <c r="CO37" s="96"/>
      <c r="CP37" s="96">
        <v>1</v>
      </c>
      <c r="CQ37" s="96">
        <v>199</v>
      </c>
      <c r="CR37" s="96">
        <v>138</v>
      </c>
      <c r="CS37" s="96">
        <v>93</v>
      </c>
      <c r="CT37" s="96">
        <v>1030</v>
      </c>
      <c r="CU37" s="96">
        <v>5</v>
      </c>
      <c r="CV37" s="96">
        <v>4784</v>
      </c>
      <c r="CW37" s="635">
        <f t="shared" si="0"/>
        <v>0.19526248399487836</v>
      </c>
      <c r="CX37" s="1977"/>
      <c r="CY37" s="41"/>
      <c r="CZ37" s="41"/>
      <c r="DA37" s="461" t="s">
        <v>544</v>
      </c>
      <c r="DB37" s="96">
        <v>1015</v>
      </c>
      <c r="DC37" s="96">
        <v>464</v>
      </c>
      <c r="DD37" s="96"/>
      <c r="DE37" s="96">
        <v>552</v>
      </c>
      <c r="DF37" s="96">
        <v>622</v>
      </c>
      <c r="DG37" s="96">
        <v>115</v>
      </c>
      <c r="DH37" s="96">
        <v>325</v>
      </c>
      <c r="DI37" s="96">
        <v>3</v>
      </c>
      <c r="DJ37" s="96">
        <v>1</v>
      </c>
      <c r="DK37" s="96">
        <v>178</v>
      </c>
      <c r="DL37" s="96">
        <v>133</v>
      </c>
      <c r="DM37" s="96">
        <v>22</v>
      </c>
      <c r="DN37" s="96">
        <v>951</v>
      </c>
      <c r="DO37" s="96">
        <v>5</v>
      </c>
      <c r="DP37" s="96">
        <v>4386</v>
      </c>
      <c r="DQ37" s="635">
        <f t="shared" si="9"/>
        <v>0.19958706125258086</v>
      </c>
      <c r="DS37" s="1311"/>
      <c r="DT37" s="1311"/>
      <c r="DU37" s="1313" t="s">
        <v>544</v>
      </c>
      <c r="DV37" s="1323">
        <v>980</v>
      </c>
      <c r="DW37" s="1323">
        <v>355</v>
      </c>
      <c r="DX37" s="1324"/>
      <c r="DY37" s="1323">
        <v>545</v>
      </c>
      <c r="DZ37" s="1323">
        <v>692</v>
      </c>
      <c r="EA37" s="1323">
        <v>71</v>
      </c>
      <c r="EB37" s="1323">
        <v>314</v>
      </c>
      <c r="EC37" s="1324"/>
      <c r="ED37" s="1323">
        <v>1</v>
      </c>
      <c r="EE37" s="1323">
        <v>145</v>
      </c>
      <c r="EF37" s="1323">
        <v>100</v>
      </c>
      <c r="EG37" s="1323">
        <v>3</v>
      </c>
      <c r="EH37" s="1323">
        <v>964</v>
      </c>
      <c r="EI37" s="1323">
        <v>4</v>
      </c>
      <c r="EJ37" s="1323">
        <v>4174</v>
      </c>
      <c r="EK37" s="1325">
        <f t="shared" si="10"/>
        <v>0.20710343172546197</v>
      </c>
      <c r="EM37" s="1047"/>
      <c r="EN37" s="1047"/>
      <c r="EO37" s="1070" t="s">
        <v>544</v>
      </c>
      <c r="EP37" s="1071">
        <v>823</v>
      </c>
      <c r="EQ37" s="1071">
        <v>314</v>
      </c>
      <c r="ER37" s="1072"/>
      <c r="ES37" s="1071">
        <v>746</v>
      </c>
      <c r="ET37" s="1071">
        <v>677</v>
      </c>
      <c r="EU37" s="1071">
        <v>92</v>
      </c>
      <c r="EV37" s="1071">
        <v>369</v>
      </c>
      <c r="EW37" s="1072"/>
      <c r="EX37" s="1071">
        <v>1</v>
      </c>
      <c r="EY37" s="1071">
        <v>155</v>
      </c>
      <c r="EZ37" s="1071">
        <v>117</v>
      </c>
      <c r="FA37" s="1071">
        <v>1300</v>
      </c>
      <c r="FB37" s="1071"/>
      <c r="FC37" s="1071">
        <v>4594</v>
      </c>
      <c r="FD37" s="1073">
        <f t="shared" si="11"/>
        <v>0.19286025250326513</v>
      </c>
      <c r="FF37" s="652"/>
      <c r="FG37" s="652"/>
      <c r="FH37" s="813" t="s">
        <v>544</v>
      </c>
      <c r="FI37" s="1074">
        <v>767</v>
      </c>
      <c r="FJ37" s="1074">
        <v>324</v>
      </c>
      <c r="FK37" s="1074">
        <v>1</v>
      </c>
      <c r="FL37" s="1074">
        <v>753</v>
      </c>
      <c r="FM37" s="1074">
        <v>643</v>
      </c>
      <c r="FN37" s="1074">
        <v>117</v>
      </c>
      <c r="FO37" s="1074">
        <v>364</v>
      </c>
      <c r="FP37" s="816"/>
      <c r="FQ37" s="816"/>
      <c r="FR37" s="1074">
        <v>59</v>
      </c>
      <c r="FS37" s="1074">
        <v>99</v>
      </c>
      <c r="FT37" s="1074">
        <v>1336</v>
      </c>
      <c r="FU37" s="816"/>
      <c r="FV37" s="1074">
        <v>4463</v>
      </c>
      <c r="FW37" s="526">
        <f t="shared" si="12"/>
        <v>0.19247143177235043</v>
      </c>
      <c r="FY37" s="817"/>
      <c r="FZ37" s="817" t="s">
        <v>16</v>
      </c>
      <c r="GA37" s="1064" t="s">
        <v>17</v>
      </c>
      <c r="GB37" s="1065">
        <v>271</v>
      </c>
      <c r="GC37" s="1065">
        <v>122</v>
      </c>
      <c r="GD37" s="1065">
        <v>0</v>
      </c>
      <c r="GE37" s="1065">
        <v>53</v>
      </c>
      <c r="GF37" s="1065">
        <v>590</v>
      </c>
      <c r="GG37" s="1065">
        <v>84</v>
      </c>
      <c r="GH37" s="1065">
        <v>107</v>
      </c>
      <c r="GI37" s="1065">
        <v>0</v>
      </c>
      <c r="GJ37" s="1065">
        <v>24</v>
      </c>
      <c r="GK37" s="1065">
        <v>75</v>
      </c>
      <c r="GL37" s="1065">
        <v>270</v>
      </c>
      <c r="GM37" s="1065">
        <v>357</v>
      </c>
      <c r="GN37" s="1065">
        <v>0</v>
      </c>
      <c r="GO37" s="1065">
        <v>7</v>
      </c>
      <c r="GP37" s="1065">
        <v>1960</v>
      </c>
      <c r="GQ37" s="1066">
        <f t="shared" si="13"/>
        <v>0.44503862150920975</v>
      </c>
      <c r="GS37" s="107"/>
      <c r="GT37" s="107" t="s">
        <v>16</v>
      </c>
      <c r="GU37" s="47" t="s">
        <v>17</v>
      </c>
      <c r="GV37" s="47">
        <v>244</v>
      </c>
      <c r="GW37" s="47">
        <v>114</v>
      </c>
      <c r="GX37" s="47"/>
      <c r="GY37" s="47">
        <v>50</v>
      </c>
      <c r="GZ37" s="47">
        <v>606</v>
      </c>
      <c r="HA37" s="47">
        <v>87</v>
      </c>
      <c r="HB37" s="47">
        <v>80</v>
      </c>
      <c r="HC37" s="47">
        <v>0</v>
      </c>
      <c r="HD37" s="47">
        <v>17</v>
      </c>
      <c r="HE37" s="47">
        <v>63</v>
      </c>
      <c r="HF37" s="47">
        <v>245</v>
      </c>
      <c r="HG37" s="47">
        <v>379</v>
      </c>
      <c r="HH37" s="47"/>
      <c r="HI37" s="47">
        <v>10</v>
      </c>
      <c r="HJ37" s="47">
        <v>1895</v>
      </c>
      <c r="HK37" s="1067">
        <f t="shared" si="1"/>
        <v>0.46097560975609758</v>
      </c>
      <c r="HL37" s="47"/>
      <c r="HM37" s="420"/>
      <c r="HN37" s="420" t="s">
        <v>16</v>
      </c>
      <c r="HO37" s="420" t="s">
        <v>17</v>
      </c>
      <c r="HP37" s="1068">
        <v>185</v>
      </c>
      <c r="HQ37" s="1068">
        <v>102</v>
      </c>
      <c r="HR37" s="1068" t="s">
        <v>327</v>
      </c>
      <c r="HS37" s="1068">
        <v>46</v>
      </c>
      <c r="HT37" s="1068">
        <v>574</v>
      </c>
      <c r="HU37" s="1068">
        <v>82</v>
      </c>
      <c r="HV37" s="1068">
        <v>94</v>
      </c>
      <c r="HW37" s="1068" t="s">
        <v>327</v>
      </c>
      <c r="HX37" s="1068">
        <v>24</v>
      </c>
      <c r="HY37" s="1068">
        <v>91</v>
      </c>
      <c r="HZ37" s="1068">
        <v>368</v>
      </c>
      <c r="IA37" s="1068" t="s">
        <v>327</v>
      </c>
      <c r="IB37" s="1068">
        <v>1566</v>
      </c>
      <c r="IC37" s="1068">
        <f t="shared" si="2"/>
        <v>747</v>
      </c>
      <c r="ID37" s="1069">
        <f t="shared" si="3"/>
        <v>0.47701149425287354</v>
      </c>
      <c r="IE37" s="47"/>
      <c r="IF37" s="47"/>
    </row>
    <row r="38" spans="1:240">
      <c r="A38" s="41"/>
      <c r="B38" s="41"/>
      <c r="C38" s="461" t="s">
        <v>544</v>
      </c>
      <c r="D38" s="5556">
        <v>1266</v>
      </c>
      <c r="E38" s="5556">
        <v>605</v>
      </c>
      <c r="F38" s="5556">
        <v>1</v>
      </c>
      <c r="G38" s="5556">
        <v>580</v>
      </c>
      <c r="H38" s="5556">
        <v>737</v>
      </c>
      <c r="I38" s="5556">
        <v>244</v>
      </c>
      <c r="J38" s="5556">
        <v>153</v>
      </c>
      <c r="K38" s="5556"/>
      <c r="L38" s="5556">
        <v>1</v>
      </c>
      <c r="M38" s="5556">
        <v>182</v>
      </c>
      <c r="N38" s="5556">
        <v>161</v>
      </c>
      <c r="O38" s="5556">
        <v>274</v>
      </c>
      <c r="P38" s="5556">
        <v>1278</v>
      </c>
      <c r="Q38" s="5556">
        <v>5</v>
      </c>
      <c r="R38" s="5556">
        <v>5487</v>
      </c>
      <c r="S38" s="706">
        <f t="shared" si="4"/>
        <v>0.21927803379416283</v>
      </c>
      <c r="T38" s="5561"/>
      <c r="U38" s="5562"/>
      <c r="V38" s="706"/>
      <c r="X38" s="107" t="s">
        <v>16</v>
      </c>
      <c r="Y38" s="41" t="s">
        <v>17</v>
      </c>
      <c r="Z38" s="41">
        <v>75</v>
      </c>
      <c r="AA38" s="41">
        <v>114</v>
      </c>
      <c r="AB38" s="41"/>
      <c r="AC38" s="41">
        <v>29</v>
      </c>
      <c r="AD38" s="41">
        <v>777</v>
      </c>
      <c r="AE38" s="41">
        <v>71</v>
      </c>
      <c r="AF38" s="41">
        <v>145</v>
      </c>
      <c r="AG38" s="41">
        <v>0</v>
      </c>
      <c r="AH38" s="41">
        <v>1</v>
      </c>
      <c r="AI38" s="41">
        <v>41</v>
      </c>
      <c r="AJ38" s="41">
        <v>58</v>
      </c>
      <c r="AK38" s="41"/>
      <c r="AL38" s="41">
        <v>209</v>
      </c>
      <c r="AM38" s="41">
        <v>0</v>
      </c>
      <c r="AN38" s="461">
        <v>1520</v>
      </c>
      <c r="AO38" s="4692">
        <f t="shared" si="6"/>
        <v>0.59605263157894739</v>
      </c>
      <c r="AQ38" s="1788"/>
      <c r="AR38" s="1788" t="s">
        <v>16</v>
      </c>
      <c r="AS38" s="37" t="s">
        <v>17</v>
      </c>
      <c r="AT38" s="1788">
        <v>179</v>
      </c>
      <c r="AU38" s="1788">
        <v>159</v>
      </c>
      <c r="AV38" s="1788"/>
      <c r="AW38" s="1788">
        <v>25</v>
      </c>
      <c r="AX38" s="1788">
        <v>553</v>
      </c>
      <c r="AY38" s="1788">
        <v>122</v>
      </c>
      <c r="AZ38" s="1788">
        <v>59</v>
      </c>
      <c r="BA38" s="1788">
        <v>0</v>
      </c>
      <c r="BB38" s="1788">
        <v>1</v>
      </c>
      <c r="BC38" s="1788">
        <v>47</v>
      </c>
      <c r="BD38" s="1788">
        <v>78</v>
      </c>
      <c r="BE38" s="1788"/>
      <c r="BF38" s="1788">
        <v>226</v>
      </c>
      <c r="BG38" s="1788">
        <v>0</v>
      </c>
      <c r="BH38" s="1788">
        <v>1449</v>
      </c>
      <c r="BI38" s="4701">
        <f t="shared" si="7"/>
        <v>0.51966873706004135</v>
      </c>
      <c r="BK38" s="41"/>
      <c r="BL38" s="41" t="s">
        <v>16</v>
      </c>
      <c r="BM38" s="41" t="s">
        <v>17</v>
      </c>
      <c r="BN38" s="105">
        <v>144</v>
      </c>
      <c r="BO38" s="105">
        <v>158</v>
      </c>
      <c r="BP38" s="105"/>
      <c r="BQ38" s="105">
        <v>1</v>
      </c>
      <c r="BR38" s="105">
        <v>655</v>
      </c>
      <c r="BS38" s="105">
        <v>83</v>
      </c>
      <c r="BT38" s="105">
        <v>77</v>
      </c>
      <c r="BU38" s="105"/>
      <c r="BV38" s="105">
        <v>0</v>
      </c>
      <c r="BW38" s="105">
        <v>54</v>
      </c>
      <c r="BX38" s="105">
        <v>93</v>
      </c>
      <c r="BY38" s="105"/>
      <c r="BZ38" s="105">
        <v>225</v>
      </c>
      <c r="CA38" s="105">
        <v>0</v>
      </c>
      <c r="CB38" s="105">
        <v>1490</v>
      </c>
      <c r="CC38" s="2484">
        <f t="shared" si="8"/>
        <v>0.55771812080536909</v>
      </c>
      <c r="CE38" s="41"/>
      <c r="CF38" s="41" t="s">
        <v>16</v>
      </c>
      <c r="CG38" s="41" t="s">
        <v>17</v>
      </c>
      <c r="CH38" s="105">
        <v>147</v>
      </c>
      <c r="CI38" s="105">
        <v>168</v>
      </c>
      <c r="CJ38" s="105">
        <v>0</v>
      </c>
      <c r="CK38" s="105">
        <v>28</v>
      </c>
      <c r="CL38" s="105">
        <v>652</v>
      </c>
      <c r="CM38" s="105">
        <v>93</v>
      </c>
      <c r="CN38" s="105">
        <v>118</v>
      </c>
      <c r="CO38" s="105"/>
      <c r="CP38" s="105">
        <v>0</v>
      </c>
      <c r="CQ38" s="105">
        <v>58</v>
      </c>
      <c r="CR38" s="105">
        <v>99</v>
      </c>
      <c r="CS38" s="105"/>
      <c r="CT38" s="105">
        <v>217</v>
      </c>
      <c r="CU38" s="105">
        <v>1</v>
      </c>
      <c r="CV38" s="105">
        <v>1581</v>
      </c>
      <c r="CW38" s="1644">
        <f t="shared" si="0"/>
        <v>0.53417721518987338</v>
      </c>
      <c r="CX38" s="1976"/>
      <c r="CY38" s="41"/>
      <c r="CZ38" s="41" t="s">
        <v>16</v>
      </c>
      <c r="DA38" s="41" t="s">
        <v>17</v>
      </c>
      <c r="DB38" s="105">
        <v>154</v>
      </c>
      <c r="DC38" s="105">
        <v>172</v>
      </c>
      <c r="DD38" s="105"/>
      <c r="DE38" s="105">
        <v>28</v>
      </c>
      <c r="DF38" s="105">
        <v>689</v>
      </c>
      <c r="DG38" s="105">
        <v>73</v>
      </c>
      <c r="DH38" s="105">
        <v>83</v>
      </c>
      <c r="DI38" s="105">
        <v>1</v>
      </c>
      <c r="DJ38" s="105">
        <v>0</v>
      </c>
      <c r="DK38" s="105">
        <v>63</v>
      </c>
      <c r="DL38" s="105">
        <v>84</v>
      </c>
      <c r="DM38" s="105"/>
      <c r="DN38" s="105">
        <v>237</v>
      </c>
      <c r="DO38" s="105">
        <v>1</v>
      </c>
      <c r="DP38" s="105">
        <v>1585</v>
      </c>
      <c r="DQ38" s="1644">
        <f t="shared" si="9"/>
        <v>0.53409090909090906</v>
      </c>
      <c r="DS38" s="1311"/>
      <c r="DT38" s="1311" t="s">
        <v>16</v>
      </c>
      <c r="DU38" s="1319" t="s">
        <v>17</v>
      </c>
      <c r="DV38" s="1320">
        <v>150</v>
      </c>
      <c r="DW38" s="1320">
        <v>139</v>
      </c>
      <c r="DX38" s="1321"/>
      <c r="DY38" s="1320">
        <v>27</v>
      </c>
      <c r="DZ38" s="1320">
        <v>694</v>
      </c>
      <c r="EA38" s="1320">
        <v>88</v>
      </c>
      <c r="EB38" s="1320">
        <v>84</v>
      </c>
      <c r="EC38" s="1321"/>
      <c r="ED38" s="1320">
        <v>0</v>
      </c>
      <c r="EE38" s="1320">
        <v>66</v>
      </c>
      <c r="EF38" s="1320">
        <v>79</v>
      </c>
      <c r="EG38" s="1321"/>
      <c r="EH38" s="1320">
        <v>260</v>
      </c>
      <c r="EI38" s="1320">
        <v>1</v>
      </c>
      <c r="EJ38" s="1320">
        <v>1588</v>
      </c>
      <c r="EK38" s="1322">
        <f t="shared" si="10"/>
        <v>0.5425330812854442</v>
      </c>
      <c r="EM38" s="1047"/>
      <c r="EN38" s="1047" t="s">
        <v>16</v>
      </c>
      <c r="EO38" s="1060" t="s">
        <v>17</v>
      </c>
      <c r="EP38" s="1061">
        <v>174</v>
      </c>
      <c r="EQ38" s="1061">
        <v>129</v>
      </c>
      <c r="ER38" s="1047"/>
      <c r="ES38" s="1061">
        <v>44</v>
      </c>
      <c r="ET38" s="1061">
        <v>698</v>
      </c>
      <c r="EU38" s="1061">
        <v>70</v>
      </c>
      <c r="EV38" s="1061">
        <v>95</v>
      </c>
      <c r="EW38" s="1047"/>
      <c r="EX38" s="1061">
        <v>0</v>
      </c>
      <c r="EY38" s="1061">
        <v>67</v>
      </c>
      <c r="EZ38" s="1061">
        <v>93</v>
      </c>
      <c r="FA38" s="1061">
        <v>350</v>
      </c>
      <c r="FB38" s="1047"/>
      <c r="FC38" s="1061">
        <v>1720</v>
      </c>
      <c r="FD38" s="537">
        <f t="shared" si="11"/>
        <v>0.50058139534883717</v>
      </c>
      <c r="FF38" s="652"/>
      <c r="FG38" s="652" t="s">
        <v>16</v>
      </c>
      <c r="FH38" s="1062" t="s">
        <v>17</v>
      </c>
      <c r="FI38" s="1063">
        <v>213</v>
      </c>
      <c r="FJ38" s="1063">
        <v>143</v>
      </c>
      <c r="FK38" s="1063">
        <v>0</v>
      </c>
      <c r="FL38" s="1063">
        <v>52</v>
      </c>
      <c r="FM38" s="1063">
        <v>630</v>
      </c>
      <c r="FN38" s="1063">
        <v>104</v>
      </c>
      <c r="FO38" s="1063">
        <v>95</v>
      </c>
      <c r="FP38" s="652"/>
      <c r="FQ38" s="1063">
        <v>0</v>
      </c>
      <c r="FR38" s="1063">
        <v>41</v>
      </c>
      <c r="FS38" s="1063">
        <v>93</v>
      </c>
      <c r="FT38" s="1063">
        <v>338</v>
      </c>
      <c r="FU38" s="652"/>
      <c r="FV38" s="1063">
        <v>1709</v>
      </c>
      <c r="FW38" s="537">
        <f t="shared" si="12"/>
        <v>0.48390871854885897</v>
      </c>
      <c r="FY38" s="817"/>
      <c r="FZ38" s="817"/>
      <c r="GA38" s="1064" t="s">
        <v>33</v>
      </c>
      <c r="GB38" s="1065">
        <v>55</v>
      </c>
      <c r="GC38" s="1065">
        <v>59</v>
      </c>
      <c r="GD38" s="1065">
        <v>0</v>
      </c>
      <c r="GE38" s="1065">
        <v>24</v>
      </c>
      <c r="GF38" s="1065">
        <v>89</v>
      </c>
      <c r="GG38" s="1065">
        <v>12</v>
      </c>
      <c r="GH38" s="1065">
        <v>30</v>
      </c>
      <c r="GI38" s="1065">
        <v>0</v>
      </c>
      <c r="GJ38" s="1065">
        <v>40</v>
      </c>
      <c r="GK38" s="1065">
        <v>15</v>
      </c>
      <c r="GL38" s="1065">
        <v>56</v>
      </c>
      <c r="GM38" s="1065">
        <v>103</v>
      </c>
      <c r="GN38" s="1065">
        <v>0</v>
      </c>
      <c r="GO38" s="1065">
        <v>0</v>
      </c>
      <c r="GP38" s="1065">
        <v>483</v>
      </c>
      <c r="GQ38" s="1066">
        <f t="shared" si="13"/>
        <v>0.27166276346604218</v>
      </c>
      <c r="GS38" s="107"/>
      <c r="GT38" s="107"/>
      <c r="GU38" s="47" t="s">
        <v>33</v>
      </c>
      <c r="GV38" s="47">
        <v>62</v>
      </c>
      <c r="GW38" s="47">
        <v>54</v>
      </c>
      <c r="GX38" s="47"/>
      <c r="GY38" s="47">
        <v>22</v>
      </c>
      <c r="GZ38" s="47">
        <v>84</v>
      </c>
      <c r="HA38" s="47">
        <v>8</v>
      </c>
      <c r="HB38" s="47">
        <v>23</v>
      </c>
      <c r="HC38" s="47">
        <v>0</v>
      </c>
      <c r="HD38" s="47">
        <v>38</v>
      </c>
      <c r="HE38" s="47">
        <v>5</v>
      </c>
      <c r="HF38" s="47">
        <v>57</v>
      </c>
      <c r="HG38" s="47">
        <v>114</v>
      </c>
      <c r="HH38" s="47"/>
      <c r="HI38" s="47">
        <v>0</v>
      </c>
      <c r="HJ38" s="47">
        <v>467</v>
      </c>
      <c r="HK38" s="1067">
        <f t="shared" si="1"/>
        <v>0.23658536585365852</v>
      </c>
      <c r="HL38" s="47"/>
      <c r="HM38" s="420"/>
      <c r="HN38" s="420"/>
      <c r="HO38" s="420" t="s">
        <v>33</v>
      </c>
      <c r="HP38" s="1068">
        <v>38</v>
      </c>
      <c r="HQ38" s="1068">
        <v>64</v>
      </c>
      <c r="HR38" s="1068" t="s">
        <v>327</v>
      </c>
      <c r="HS38" s="1068">
        <v>29</v>
      </c>
      <c r="HT38" s="1068">
        <v>67</v>
      </c>
      <c r="HU38" s="1068">
        <v>9</v>
      </c>
      <c r="HV38" s="1068">
        <v>25</v>
      </c>
      <c r="HW38" s="1068" t="s">
        <v>327</v>
      </c>
      <c r="HX38" s="1068">
        <v>26</v>
      </c>
      <c r="HY38" s="1068">
        <v>10</v>
      </c>
      <c r="HZ38" s="1068">
        <v>112</v>
      </c>
      <c r="IA38" s="1068" t="s">
        <v>327</v>
      </c>
      <c r="IB38" s="1068">
        <v>380</v>
      </c>
      <c r="IC38" s="1068">
        <f t="shared" si="2"/>
        <v>86</v>
      </c>
      <c r="ID38" s="1069">
        <f t="shared" si="3"/>
        <v>0.22631578947368422</v>
      </c>
      <c r="IE38" s="47"/>
      <c r="IF38" s="47"/>
    </row>
    <row r="39" spans="1:240">
      <c r="A39" s="41"/>
      <c r="B39" s="41" t="s">
        <v>16</v>
      </c>
      <c r="C39" s="41" t="s">
        <v>17</v>
      </c>
      <c r="D39" s="105">
        <v>192</v>
      </c>
      <c r="E39" s="105">
        <v>145</v>
      </c>
      <c r="F39" s="105">
        <v>0</v>
      </c>
      <c r="G39" s="105">
        <v>28</v>
      </c>
      <c r="H39" s="105">
        <v>524</v>
      </c>
      <c r="I39" s="105">
        <v>112</v>
      </c>
      <c r="J39" s="105">
        <v>8</v>
      </c>
      <c r="K39" s="105"/>
      <c r="L39" s="105">
        <v>1</v>
      </c>
      <c r="M39" s="105">
        <v>49</v>
      </c>
      <c r="N39" s="105">
        <v>125</v>
      </c>
      <c r="O39" s="105"/>
      <c r="P39" s="105">
        <v>259</v>
      </c>
      <c r="Q39" s="105">
        <v>0</v>
      </c>
      <c r="R39" s="105">
        <v>1443</v>
      </c>
      <c r="S39" s="706">
        <f t="shared" si="4"/>
        <v>0.52737352737352738</v>
      </c>
      <c r="T39" s="5561">
        <f t="shared" si="5"/>
        <v>13</v>
      </c>
      <c r="U39" s="5562">
        <v>1430</v>
      </c>
      <c r="V39" s="706"/>
      <c r="Y39" s="41" t="s">
        <v>33</v>
      </c>
      <c r="Z39" s="41">
        <v>28</v>
      </c>
      <c r="AA39" s="41">
        <v>69</v>
      </c>
      <c r="AB39" s="41"/>
      <c r="AC39" s="41">
        <v>14</v>
      </c>
      <c r="AD39" s="41">
        <v>142</v>
      </c>
      <c r="AE39" s="41">
        <v>15</v>
      </c>
      <c r="AF39" s="41">
        <v>57</v>
      </c>
      <c r="AG39" s="41">
        <v>0</v>
      </c>
      <c r="AH39" s="41">
        <v>0</v>
      </c>
      <c r="AI39" s="41">
        <v>41</v>
      </c>
      <c r="AJ39" s="41">
        <v>4</v>
      </c>
      <c r="AK39" s="41"/>
      <c r="AL39" s="41">
        <v>66</v>
      </c>
      <c r="AM39" s="41">
        <v>0</v>
      </c>
      <c r="AN39" s="461">
        <v>436</v>
      </c>
      <c r="AO39" s="4692">
        <f t="shared" si="6"/>
        <v>0.36926605504587157</v>
      </c>
      <c r="AQ39" s="1788"/>
      <c r="AR39" s="1788"/>
      <c r="AS39" s="37" t="s">
        <v>33</v>
      </c>
      <c r="AT39" s="1788">
        <v>46</v>
      </c>
      <c r="AU39" s="1788">
        <v>87</v>
      </c>
      <c r="AV39" s="1788"/>
      <c r="AW39" s="1788">
        <v>16</v>
      </c>
      <c r="AX39" s="1788">
        <v>99</v>
      </c>
      <c r="AY39" s="1788">
        <v>16</v>
      </c>
      <c r="AZ39" s="1788">
        <v>6</v>
      </c>
      <c r="BA39" s="1788">
        <v>0</v>
      </c>
      <c r="BB39" s="1788">
        <v>0</v>
      </c>
      <c r="BC39" s="1788">
        <v>56</v>
      </c>
      <c r="BD39" s="1788">
        <v>8</v>
      </c>
      <c r="BE39" s="1788"/>
      <c r="BF39" s="1788">
        <v>96</v>
      </c>
      <c r="BG39" s="1788">
        <v>0</v>
      </c>
      <c r="BH39" s="1788">
        <v>430</v>
      </c>
      <c r="BI39" s="4701">
        <f t="shared" si="7"/>
        <v>0.28604651162790695</v>
      </c>
      <c r="BK39" s="41"/>
      <c r="BL39" s="41"/>
      <c r="BM39" s="41" t="s">
        <v>33</v>
      </c>
      <c r="BN39" s="105">
        <v>57</v>
      </c>
      <c r="BO39" s="105">
        <v>70</v>
      </c>
      <c r="BP39" s="105"/>
      <c r="BQ39" s="105">
        <v>1</v>
      </c>
      <c r="BR39" s="105">
        <v>130</v>
      </c>
      <c r="BS39" s="105">
        <v>6</v>
      </c>
      <c r="BT39" s="105">
        <v>27</v>
      </c>
      <c r="BU39" s="105"/>
      <c r="BV39" s="105">
        <v>0</v>
      </c>
      <c r="BW39" s="105">
        <v>45</v>
      </c>
      <c r="BX39" s="105">
        <v>5</v>
      </c>
      <c r="BY39" s="105"/>
      <c r="BZ39" s="105">
        <v>82</v>
      </c>
      <c r="CA39" s="105">
        <v>0</v>
      </c>
      <c r="CB39" s="105">
        <v>423</v>
      </c>
      <c r="CC39" s="2484">
        <f t="shared" si="8"/>
        <v>0.33333333333333331</v>
      </c>
      <c r="CE39" s="41"/>
      <c r="CF39" s="41"/>
      <c r="CG39" s="41" t="s">
        <v>33</v>
      </c>
      <c r="CH39" s="105">
        <v>45</v>
      </c>
      <c r="CI39" s="105">
        <v>78</v>
      </c>
      <c r="CJ39" s="105">
        <v>0</v>
      </c>
      <c r="CK39" s="105">
        <v>12</v>
      </c>
      <c r="CL39" s="105">
        <v>136</v>
      </c>
      <c r="CM39" s="105">
        <v>4</v>
      </c>
      <c r="CN39" s="105">
        <v>41</v>
      </c>
      <c r="CO39" s="105"/>
      <c r="CP39" s="105">
        <v>0</v>
      </c>
      <c r="CQ39" s="105">
        <v>55</v>
      </c>
      <c r="CR39" s="105">
        <v>12</v>
      </c>
      <c r="CS39" s="105"/>
      <c r="CT39" s="105">
        <v>70</v>
      </c>
      <c r="CU39" s="105">
        <v>0</v>
      </c>
      <c r="CV39" s="105">
        <v>453</v>
      </c>
      <c r="CW39" s="1644">
        <f t="shared" si="0"/>
        <v>0.33554083885209712</v>
      </c>
      <c r="CX39" s="1976"/>
      <c r="CY39" s="41"/>
      <c r="CZ39" s="41"/>
      <c r="DA39" s="41" t="s">
        <v>33</v>
      </c>
      <c r="DB39" s="105">
        <v>41</v>
      </c>
      <c r="DC39" s="105">
        <v>86</v>
      </c>
      <c r="DD39" s="105"/>
      <c r="DE39" s="105">
        <v>14</v>
      </c>
      <c r="DF39" s="105">
        <v>123</v>
      </c>
      <c r="DG39" s="105">
        <v>14</v>
      </c>
      <c r="DH39" s="105">
        <v>29</v>
      </c>
      <c r="DI39" s="105">
        <v>0</v>
      </c>
      <c r="DJ39" s="105">
        <v>0</v>
      </c>
      <c r="DK39" s="105">
        <v>55</v>
      </c>
      <c r="DL39" s="105">
        <v>9</v>
      </c>
      <c r="DM39" s="105"/>
      <c r="DN39" s="105">
        <v>60</v>
      </c>
      <c r="DO39" s="105">
        <v>0</v>
      </c>
      <c r="DP39" s="105">
        <v>431</v>
      </c>
      <c r="DQ39" s="1644">
        <f t="shared" si="9"/>
        <v>0.33874709976798145</v>
      </c>
      <c r="DS39" s="1311"/>
      <c r="DT39" s="1311"/>
      <c r="DU39" s="1319" t="s">
        <v>33</v>
      </c>
      <c r="DV39" s="1320">
        <v>56</v>
      </c>
      <c r="DW39" s="1320">
        <v>72</v>
      </c>
      <c r="DX39" s="1321"/>
      <c r="DY39" s="1320">
        <v>17</v>
      </c>
      <c r="DZ39" s="1320">
        <v>123</v>
      </c>
      <c r="EA39" s="1320">
        <v>4</v>
      </c>
      <c r="EB39" s="1320">
        <v>39</v>
      </c>
      <c r="EC39" s="1321"/>
      <c r="ED39" s="1320">
        <v>0</v>
      </c>
      <c r="EE39" s="1320">
        <v>54</v>
      </c>
      <c r="EF39" s="1320">
        <v>9</v>
      </c>
      <c r="EG39" s="1321"/>
      <c r="EH39" s="1320">
        <v>65</v>
      </c>
      <c r="EI39" s="1320">
        <v>0</v>
      </c>
      <c r="EJ39" s="1320">
        <v>439</v>
      </c>
      <c r="EK39" s="1322">
        <f t="shared" si="10"/>
        <v>0.30979498861047838</v>
      </c>
      <c r="EM39" s="1047"/>
      <c r="EN39" s="1047"/>
      <c r="EO39" s="1060" t="s">
        <v>33</v>
      </c>
      <c r="EP39" s="1061">
        <v>52</v>
      </c>
      <c r="EQ39" s="1061">
        <v>69</v>
      </c>
      <c r="ER39" s="1047"/>
      <c r="ES39" s="1061">
        <v>23</v>
      </c>
      <c r="ET39" s="1061">
        <v>119</v>
      </c>
      <c r="EU39" s="1061">
        <v>4</v>
      </c>
      <c r="EV39" s="1061">
        <v>36</v>
      </c>
      <c r="EW39" s="1047"/>
      <c r="EX39" s="1061">
        <v>0</v>
      </c>
      <c r="EY39" s="1061">
        <v>62</v>
      </c>
      <c r="EZ39" s="1061">
        <v>9</v>
      </c>
      <c r="FA39" s="1061">
        <v>95</v>
      </c>
      <c r="FB39" s="1047"/>
      <c r="FC39" s="1061">
        <v>469</v>
      </c>
      <c r="FD39" s="537">
        <f t="shared" si="11"/>
        <v>0.28144989339019189</v>
      </c>
      <c r="FF39" s="652"/>
      <c r="FG39" s="652"/>
      <c r="FH39" s="1062" t="s">
        <v>33</v>
      </c>
      <c r="FI39" s="1063">
        <v>54</v>
      </c>
      <c r="FJ39" s="1063">
        <v>72</v>
      </c>
      <c r="FK39" s="1063">
        <v>0</v>
      </c>
      <c r="FL39" s="1063">
        <v>26</v>
      </c>
      <c r="FM39" s="1063">
        <v>106</v>
      </c>
      <c r="FN39" s="1063">
        <v>15</v>
      </c>
      <c r="FO39" s="1063">
        <v>20</v>
      </c>
      <c r="FP39" s="652"/>
      <c r="FQ39" s="1063">
        <v>0</v>
      </c>
      <c r="FR39" s="1063">
        <v>53</v>
      </c>
      <c r="FS39" s="1063">
        <v>6</v>
      </c>
      <c r="FT39" s="1063">
        <v>95</v>
      </c>
      <c r="FU39" s="652"/>
      <c r="FV39" s="1063">
        <v>447</v>
      </c>
      <c r="FW39" s="537">
        <f t="shared" si="12"/>
        <v>0.28411633109619688</v>
      </c>
      <c r="FY39" s="817"/>
      <c r="FZ39" s="817"/>
      <c r="GA39" s="1064" t="s">
        <v>34</v>
      </c>
      <c r="GB39" s="1065">
        <v>76</v>
      </c>
      <c r="GC39" s="1065">
        <v>46</v>
      </c>
      <c r="GD39" s="1065">
        <v>0</v>
      </c>
      <c r="GE39" s="1065">
        <v>37</v>
      </c>
      <c r="GF39" s="1065">
        <v>105</v>
      </c>
      <c r="GG39" s="1065">
        <v>14</v>
      </c>
      <c r="GH39" s="1065">
        <v>36</v>
      </c>
      <c r="GI39" s="1065">
        <v>0</v>
      </c>
      <c r="GJ39" s="1065">
        <v>26</v>
      </c>
      <c r="GK39" s="1065">
        <v>10</v>
      </c>
      <c r="GL39" s="1065">
        <v>86</v>
      </c>
      <c r="GM39" s="1065">
        <v>111</v>
      </c>
      <c r="GN39" s="1065">
        <v>0</v>
      </c>
      <c r="GO39" s="1065">
        <v>2</v>
      </c>
      <c r="GP39" s="1065">
        <v>549</v>
      </c>
      <c r="GQ39" s="1066">
        <f t="shared" si="13"/>
        <v>0.27982646420824298</v>
      </c>
      <c r="GS39" s="107"/>
      <c r="GT39" s="107"/>
      <c r="GU39" s="47" t="s">
        <v>34</v>
      </c>
      <c r="GV39" s="47">
        <v>80</v>
      </c>
      <c r="GW39" s="47">
        <v>52</v>
      </c>
      <c r="GX39" s="47"/>
      <c r="GY39" s="47">
        <v>34</v>
      </c>
      <c r="GZ39" s="47">
        <v>101</v>
      </c>
      <c r="HA39" s="47">
        <v>11</v>
      </c>
      <c r="HB39" s="47">
        <v>35</v>
      </c>
      <c r="HC39" s="47">
        <v>0</v>
      </c>
      <c r="HD39" s="47">
        <v>26</v>
      </c>
      <c r="HE39" s="47">
        <v>10</v>
      </c>
      <c r="HF39" s="47">
        <v>81</v>
      </c>
      <c r="HG39" s="47">
        <v>106</v>
      </c>
      <c r="HH39" s="47"/>
      <c r="HI39" s="47">
        <v>1</v>
      </c>
      <c r="HJ39" s="47">
        <v>537</v>
      </c>
      <c r="HK39" s="1067">
        <f t="shared" si="1"/>
        <v>0.26813186813186812</v>
      </c>
      <c r="HL39" s="47"/>
      <c r="HM39" s="420"/>
      <c r="HN39" s="420"/>
      <c r="HO39" s="420" t="s">
        <v>34</v>
      </c>
      <c r="HP39" s="1068">
        <v>61</v>
      </c>
      <c r="HQ39" s="1068">
        <v>49</v>
      </c>
      <c r="HR39" s="1068" t="s">
        <v>327</v>
      </c>
      <c r="HS39" s="1068">
        <v>28</v>
      </c>
      <c r="HT39" s="1068">
        <v>89</v>
      </c>
      <c r="HU39" s="1068">
        <v>10</v>
      </c>
      <c r="HV39" s="1068">
        <v>45</v>
      </c>
      <c r="HW39" s="1068" t="s">
        <v>327</v>
      </c>
      <c r="HX39" s="1068">
        <v>40</v>
      </c>
      <c r="HY39" s="1068">
        <v>10</v>
      </c>
      <c r="HZ39" s="1068">
        <v>110</v>
      </c>
      <c r="IA39" s="1068" t="s">
        <v>327</v>
      </c>
      <c r="IB39" s="1068">
        <v>442</v>
      </c>
      <c r="IC39" s="1068">
        <f t="shared" si="2"/>
        <v>109</v>
      </c>
      <c r="ID39" s="1069">
        <f t="shared" si="3"/>
        <v>0.24660633484162897</v>
      </c>
      <c r="IE39" s="47"/>
      <c r="IF39" s="47"/>
    </row>
    <row r="40" spans="1:240">
      <c r="A40" s="41"/>
      <c r="B40" s="41"/>
      <c r="C40" s="41" t="s">
        <v>33</v>
      </c>
      <c r="D40" s="105">
        <v>66</v>
      </c>
      <c r="E40" s="105">
        <v>75</v>
      </c>
      <c r="F40" s="105">
        <v>0</v>
      </c>
      <c r="G40" s="105">
        <v>19</v>
      </c>
      <c r="H40" s="105">
        <v>89</v>
      </c>
      <c r="I40" s="105">
        <v>20</v>
      </c>
      <c r="J40" s="105">
        <v>5</v>
      </c>
      <c r="K40" s="105"/>
      <c r="L40" s="105">
        <v>0</v>
      </c>
      <c r="M40" s="105">
        <v>47</v>
      </c>
      <c r="N40" s="105">
        <v>9</v>
      </c>
      <c r="O40" s="105"/>
      <c r="P40" s="105">
        <v>92</v>
      </c>
      <c r="Q40" s="105">
        <v>0</v>
      </c>
      <c r="R40" s="105">
        <v>422</v>
      </c>
      <c r="S40" s="706">
        <f t="shared" si="4"/>
        <v>0.27962085308056872</v>
      </c>
      <c r="T40" s="5561">
        <f t="shared" si="5"/>
        <v>14</v>
      </c>
      <c r="U40" s="5562">
        <v>408</v>
      </c>
      <c r="V40" s="706"/>
      <c r="Y40" s="41" t="s">
        <v>34</v>
      </c>
      <c r="Z40" s="41">
        <v>40</v>
      </c>
      <c r="AA40" s="41">
        <v>67</v>
      </c>
      <c r="AB40" s="41"/>
      <c r="AC40" s="41">
        <v>17</v>
      </c>
      <c r="AD40" s="41">
        <v>128</v>
      </c>
      <c r="AE40" s="41">
        <v>12</v>
      </c>
      <c r="AF40" s="41">
        <v>57</v>
      </c>
      <c r="AG40" s="41">
        <v>0</v>
      </c>
      <c r="AH40" s="41">
        <v>0</v>
      </c>
      <c r="AI40" s="41">
        <v>37</v>
      </c>
      <c r="AJ40" s="41">
        <v>7</v>
      </c>
      <c r="AK40" s="41"/>
      <c r="AL40" s="41">
        <v>81</v>
      </c>
      <c r="AM40" s="41">
        <v>0</v>
      </c>
      <c r="AN40" s="461">
        <v>446</v>
      </c>
      <c r="AO40" s="4692">
        <f t="shared" si="6"/>
        <v>0.32959641255605382</v>
      </c>
      <c r="AQ40" s="1788"/>
      <c r="AR40" s="1788"/>
      <c r="AS40" s="37" t="s">
        <v>34</v>
      </c>
      <c r="AT40" s="1788">
        <v>72</v>
      </c>
      <c r="AU40" s="1788">
        <v>94</v>
      </c>
      <c r="AV40" s="1788"/>
      <c r="AW40" s="1788">
        <v>17</v>
      </c>
      <c r="AX40" s="1788">
        <v>79</v>
      </c>
      <c r="AY40" s="1788">
        <v>21</v>
      </c>
      <c r="AZ40" s="1788">
        <v>6</v>
      </c>
      <c r="BA40" s="1788">
        <v>0</v>
      </c>
      <c r="BB40" s="1788">
        <v>0</v>
      </c>
      <c r="BC40" s="1788">
        <v>45</v>
      </c>
      <c r="BD40" s="1788">
        <v>15</v>
      </c>
      <c r="BE40" s="1788"/>
      <c r="BF40" s="1788">
        <v>95</v>
      </c>
      <c r="BG40" s="1788">
        <v>0</v>
      </c>
      <c r="BH40" s="1788">
        <v>444</v>
      </c>
      <c r="BI40" s="4701">
        <f t="shared" si="7"/>
        <v>0.25900900900900903</v>
      </c>
      <c r="BK40" s="41"/>
      <c r="BL40" s="41"/>
      <c r="BM40" s="41" t="s">
        <v>34</v>
      </c>
      <c r="BN40" s="105">
        <v>77</v>
      </c>
      <c r="BO40" s="105">
        <v>73</v>
      </c>
      <c r="BP40" s="105"/>
      <c r="BQ40" s="105">
        <v>1</v>
      </c>
      <c r="BR40" s="105">
        <v>109</v>
      </c>
      <c r="BS40" s="105">
        <v>9</v>
      </c>
      <c r="BT40" s="105">
        <v>33</v>
      </c>
      <c r="BU40" s="105"/>
      <c r="BV40" s="105">
        <v>0</v>
      </c>
      <c r="BW40" s="105">
        <v>37</v>
      </c>
      <c r="BX40" s="105">
        <v>8</v>
      </c>
      <c r="BY40" s="105"/>
      <c r="BZ40" s="105">
        <v>83</v>
      </c>
      <c r="CA40" s="105">
        <v>0</v>
      </c>
      <c r="CB40" s="105">
        <v>430</v>
      </c>
      <c r="CC40" s="2484">
        <f t="shared" si="8"/>
        <v>0.2930232558139535</v>
      </c>
      <c r="CE40" s="41"/>
      <c r="CF40" s="41"/>
      <c r="CG40" s="41" t="s">
        <v>34</v>
      </c>
      <c r="CH40" s="105">
        <v>91</v>
      </c>
      <c r="CI40" s="105">
        <v>69</v>
      </c>
      <c r="CJ40" s="105">
        <v>2</v>
      </c>
      <c r="CK40" s="105">
        <v>16</v>
      </c>
      <c r="CL40" s="105">
        <v>98</v>
      </c>
      <c r="CM40" s="105">
        <v>15</v>
      </c>
      <c r="CN40" s="105">
        <v>44</v>
      </c>
      <c r="CO40" s="105"/>
      <c r="CP40" s="105">
        <v>0</v>
      </c>
      <c r="CQ40" s="105">
        <v>39</v>
      </c>
      <c r="CR40" s="105">
        <v>11</v>
      </c>
      <c r="CS40" s="105"/>
      <c r="CT40" s="105">
        <v>76</v>
      </c>
      <c r="CU40" s="105">
        <v>0</v>
      </c>
      <c r="CV40" s="105">
        <v>461</v>
      </c>
      <c r="CW40" s="1644">
        <f t="shared" si="0"/>
        <v>0.26898047722342733</v>
      </c>
      <c r="CX40" s="1976"/>
      <c r="CY40" s="41"/>
      <c r="CZ40" s="41"/>
      <c r="DA40" s="41" t="s">
        <v>34</v>
      </c>
      <c r="DB40" s="105">
        <v>98</v>
      </c>
      <c r="DC40" s="105">
        <v>56</v>
      </c>
      <c r="DD40" s="105"/>
      <c r="DE40" s="105">
        <v>16</v>
      </c>
      <c r="DF40" s="105">
        <v>121</v>
      </c>
      <c r="DG40" s="105">
        <v>4</v>
      </c>
      <c r="DH40" s="105">
        <v>21</v>
      </c>
      <c r="DI40" s="105">
        <v>0</v>
      </c>
      <c r="DJ40" s="105">
        <v>0</v>
      </c>
      <c r="DK40" s="105">
        <v>39</v>
      </c>
      <c r="DL40" s="105">
        <v>10</v>
      </c>
      <c r="DM40" s="105"/>
      <c r="DN40" s="105">
        <v>85</v>
      </c>
      <c r="DO40" s="105">
        <v>0</v>
      </c>
      <c r="DP40" s="105">
        <v>450</v>
      </c>
      <c r="DQ40" s="1644">
        <f t="shared" si="9"/>
        <v>0.3</v>
      </c>
      <c r="DS40" s="1311"/>
      <c r="DT40" s="1311"/>
      <c r="DU40" s="1319" t="s">
        <v>34</v>
      </c>
      <c r="DV40" s="1320">
        <v>80</v>
      </c>
      <c r="DW40" s="1320">
        <v>47</v>
      </c>
      <c r="DX40" s="1321"/>
      <c r="DY40" s="1320">
        <v>21</v>
      </c>
      <c r="DZ40" s="1320">
        <v>129</v>
      </c>
      <c r="EA40" s="1320">
        <v>5</v>
      </c>
      <c r="EB40" s="1320">
        <v>29</v>
      </c>
      <c r="EC40" s="1321"/>
      <c r="ED40" s="1320">
        <v>0</v>
      </c>
      <c r="EE40" s="1320">
        <v>37</v>
      </c>
      <c r="EF40" s="1320">
        <v>12</v>
      </c>
      <c r="EG40" s="1321"/>
      <c r="EH40" s="1320">
        <v>84</v>
      </c>
      <c r="EI40" s="1320">
        <v>0</v>
      </c>
      <c r="EJ40" s="1320">
        <v>444</v>
      </c>
      <c r="EK40" s="1322">
        <f t="shared" si="10"/>
        <v>0.32882882882882886</v>
      </c>
      <c r="EM40" s="1047"/>
      <c r="EN40" s="1047"/>
      <c r="EO40" s="1060" t="s">
        <v>34</v>
      </c>
      <c r="EP40" s="1061">
        <v>76</v>
      </c>
      <c r="EQ40" s="1061">
        <v>43</v>
      </c>
      <c r="ER40" s="1047"/>
      <c r="ES40" s="1061">
        <v>34</v>
      </c>
      <c r="ET40" s="1061">
        <v>136</v>
      </c>
      <c r="EU40" s="1061">
        <v>3</v>
      </c>
      <c r="EV40" s="1061">
        <v>30</v>
      </c>
      <c r="EW40" s="1047"/>
      <c r="EX40" s="1061">
        <v>0</v>
      </c>
      <c r="EY40" s="1061">
        <v>41</v>
      </c>
      <c r="EZ40" s="1061">
        <v>15</v>
      </c>
      <c r="FA40" s="1061">
        <v>99</v>
      </c>
      <c r="FB40" s="1047"/>
      <c r="FC40" s="1061">
        <v>477</v>
      </c>
      <c r="FD40" s="537">
        <f t="shared" si="11"/>
        <v>0.32285115303983231</v>
      </c>
      <c r="FF40" s="652"/>
      <c r="FG40" s="652"/>
      <c r="FH40" s="1062" t="s">
        <v>34</v>
      </c>
      <c r="FI40" s="1063">
        <v>65</v>
      </c>
      <c r="FJ40" s="1063">
        <v>52</v>
      </c>
      <c r="FK40" s="1063">
        <v>0</v>
      </c>
      <c r="FL40" s="1063">
        <v>38</v>
      </c>
      <c r="FM40" s="1063">
        <v>119</v>
      </c>
      <c r="FN40" s="1063">
        <v>16</v>
      </c>
      <c r="FO40" s="1063">
        <v>44</v>
      </c>
      <c r="FP40" s="652"/>
      <c r="FQ40" s="1063">
        <v>0</v>
      </c>
      <c r="FR40" s="1063">
        <v>29</v>
      </c>
      <c r="FS40" s="1063">
        <v>15</v>
      </c>
      <c r="FT40" s="1063">
        <v>93</v>
      </c>
      <c r="FU40" s="652"/>
      <c r="FV40" s="1063">
        <v>471</v>
      </c>
      <c r="FW40" s="537">
        <f t="shared" si="12"/>
        <v>0.31847133757961782</v>
      </c>
      <c r="FY40" s="817"/>
      <c r="FZ40" s="817"/>
      <c r="GA40" s="1064" t="s">
        <v>35</v>
      </c>
      <c r="GB40" s="1065">
        <v>97</v>
      </c>
      <c r="GC40" s="1065">
        <v>38</v>
      </c>
      <c r="GD40" s="1065">
        <v>0</v>
      </c>
      <c r="GE40" s="1065">
        <v>29</v>
      </c>
      <c r="GF40" s="1065">
        <v>119</v>
      </c>
      <c r="GG40" s="1065">
        <v>7</v>
      </c>
      <c r="GH40" s="1065">
        <v>35</v>
      </c>
      <c r="GI40" s="1065">
        <v>1</v>
      </c>
      <c r="GJ40" s="1065">
        <v>32</v>
      </c>
      <c r="GK40" s="1065">
        <v>7</v>
      </c>
      <c r="GL40" s="1065">
        <v>52</v>
      </c>
      <c r="GM40" s="1065">
        <v>114</v>
      </c>
      <c r="GN40" s="1065">
        <v>0</v>
      </c>
      <c r="GO40" s="1065">
        <v>4</v>
      </c>
      <c r="GP40" s="1065">
        <v>535</v>
      </c>
      <c r="GQ40" s="1066">
        <f t="shared" si="13"/>
        <v>0.27766179540709812</v>
      </c>
      <c r="GS40" s="107"/>
      <c r="GT40" s="107"/>
      <c r="GU40" s="47" t="s">
        <v>35</v>
      </c>
      <c r="GV40" s="47">
        <v>86</v>
      </c>
      <c r="GW40" s="47">
        <v>45</v>
      </c>
      <c r="GX40" s="47"/>
      <c r="GY40" s="47">
        <v>29</v>
      </c>
      <c r="GZ40" s="47">
        <v>118</v>
      </c>
      <c r="HA40" s="47">
        <v>12</v>
      </c>
      <c r="HB40" s="47">
        <v>26</v>
      </c>
      <c r="HC40" s="47">
        <v>1</v>
      </c>
      <c r="HD40" s="47">
        <v>23</v>
      </c>
      <c r="HE40" s="47">
        <v>9</v>
      </c>
      <c r="HF40" s="47">
        <v>43</v>
      </c>
      <c r="HG40" s="47">
        <v>118</v>
      </c>
      <c r="HH40" s="47"/>
      <c r="HI40" s="47">
        <v>4</v>
      </c>
      <c r="HJ40" s="47">
        <v>514</v>
      </c>
      <c r="HK40" s="1067">
        <f t="shared" si="1"/>
        <v>0.29764453961456105</v>
      </c>
      <c r="HL40" s="47"/>
      <c r="HM40" s="420"/>
      <c r="HN40" s="420"/>
      <c r="HO40" s="420" t="s">
        <v>35</v>
      </c>
      <c r="HP40" s="1068">
        <v>59</v>
      </c>
      <c r="HQ40" s="1068">
        <v>55</v>
      </c>
      <c r="HR40" s="1068" t="s">
        <v>327</v>
      </c>
      <c r="HS40" s="1068">
        <v>30</v>
      </c>
      <c r="HT40" s="1068">
        <v>99</v>
      </c>
      <c r="HU40" s="1068">
        <v>15</v>
      </c>
      <c r="HV40" s="1068">
        <v>40</v>
      </c>
      <c r="HW40" s="1068" t="s">
        <v>327</v>
      </c>
      <c r="HX40" s="1068">
        <v>35</v>
      </c>
      <c r="HY40" s="1068">
        <v>11</v>
      </c>
      <c r="HZ40" s="1068">
        <v>110</v>
      </c>
      <c r="IA40" s="1068" t="s">
        <v>327</v>
      </c>
      <c r="IB40" s="1068">
        <v>454</v>
      </c>
      <c r="IC40" s="1068">
        <f t="shared" si="2"/>
        <v>125</v>
      </c>
      <c r="ID40" s="1069">
        <f t="shared" si="3"/>
        <v>0.2753303964757709</v>
      </c>
      <c r="IE40" s="47"/>
      <c r="IF40" s="47"/>
    </row>
    <row r="41" spans="1:240">
      <c r="A41" s="41"/>
      <c r="B41" s="41"/>
      <c r="C41" s="41" t="s">
        <v>34</v>
      </c>
      <c r="D41" s="105">
        <v>74</v>
      </c>
      <c r="E41" s="105">
        <v>97</v>
      </c>
      <c r="F41" s="105">
        <v>1</v>
      </c>
      <c r="G41" s="105">
        <v>15</v>
      </c>
      <c r="H41" s="105">
        <v>79</v>
      </c>
      <c r="I41" s="105">
        <v>21</v>
      </c>
      <c r="J41" s="105">
        <v>6</v>
      </c>
      <c r="K41" s="105"/>
      <c r="L41" s="105">
        <v>0</v>
      </c>
      <c r="M41" s="105">
        <v>36</v>
      </c>
      <c r="N41" s="105">
        <v>19</v>
      </c>
      <c r="O41" s="105"/>
      <c r="P41" s="105">
        <v>98</v>
      </c>
      <c r="Q41" s="105">
        <v>0</v>
      </c>
      <c r="R41" s="105">
        <v>446</v>
      </c>
      <c r="S41" s="706">
        <f t="shared" si="4"/>
        <v>0.26681614349775784</v>
      </c>
      <c r="T41" s="5561">
        <f t="shared" si="5"/>
        <v>13</v>
      </c>
      <c r="U41" s="5562">
        <v>433</v>
      </c>
      <c r="V41" s="706"/>
      <c r="Y41" s="41" t="s">
        <v>35</v>
      </c>
      <c r="Z41" s="41">
        <v>46</v>
      </c>
      <c r="AA41" s="41">
        <v>68</v>
      </c>
      <c r="AB41" s="41"/>
      <c r="AC41" s="41">
        <v>32</v>
      </c>
      <c r="AD41" s="41">
        <v>154</v>
      </c>
      <c r="AE41" s="41">
        <v>10</v>
      </c>
      <c r="AF41" s="41">
        <v>84</v>
      </c>
      <c r="AG41" s="41">
        <v>0</v>
      </c>
      <c r="AH41" s="41">
        <v>1</v>
      </c>
      <c r="AI41" s="41">
        <v>51</v>
      </c>
      <c r="AJ41" s="41">
        <v>11</v>
      </c>
      <c r="AK41" s="41"/>
      <c r="AL41" s="41">
        <v>69</v>
      </c>
      <c r="AM41" s="41">
        <v>0</v>
      </c>
      <c r="AN41" s="461">
        <v>526</v>
      </c>
      <c r="AO41" s="4692">
        <f t="shared" si="6"/>
        <v>0.33269961977186313</v>
      </c>
      <c r="AQ41" s="1788"/>
      <c r="AR41" s="1788"/>
      <c r="AS41" s="37" t="s">
        <v>35</v>
      </c>
      <c r="AT41" s="1788">
        <v>83</v>
      </c>
      <c r="AU41" s="1788">
        <v>101</v>
      </c>
      <c r="AV41" s="1788"/>
      <c r="AW41" s="1788">
        <v>30</v>
      </c>
      <c r="AX41" s="1788">
        <v>105</v>
      </c>
      <c r="AY41" s="1788">
        <v>24</v>
      </c>
      <c r="AZ41" s="1788">
        <v>9</v>
      </c>
      <c r="BA41" s="1788">
        <v>0</v>
      </c>
      <c r="BB41" s="1788">
        <v>2</v>
      </c>
      <c r="BC41" s="1788">
        <v>52</v>
      </c>
      <c r="BD41" s="1788">
        <v>14</v>
      </c>
      <c r="BE41" s="1788"/>
      <c r="BF41" s="1788">
        <v>95</v>
      </c>
      <c r="BG41" s="1788">
        <v>0</v>
      </c>
      <c r="BH41" s="1788">
        <v>515</v>
      </c>
      <c r="BI41" s="4701">
        <f t="shared" si="7"/>
        <v>0.27766990291262134</v>
      </c>
      <c r="BK41" s="41"/>
      <c r="BL41" s="41"/>
      <c r="BM41" s="41" t="s">
        <v>35</v>
      </c>
      <c r="BN41" s="105">
        <v>101</v>
      </c>
      <c r="BO41" s="105">
        <v>70</v>
      </c>
      <c r="BP41" s="105"/>
      <c r="BQ41" s="105">
        <v>5</v>
      </c>
      <c r="BR41" s="105">
        <v>125</v>
      </c>
      <c r="BS41" s="105">
        <v>12</v>
      </c>
      <c r="BT41" s="105">
        <v>49</v>
      </c>
      <c r="BU41" s="105"/>
      <c r="BV41" s="105">
        <v>1</v>
      </c>
      <c r="BW41" s="105">
        <v>43</v>
      </c>
      <c r="BX41" s="105">
        <v>9</v>
      </c>
      <c r="BY41" s="105"/>
      <c r="BZ41" s="105">
        <v>83</v>
      </c>
      <c r="CA41" s="105">
        <v>0</v>
      </c>
      <c r="CB41" s="105">
        <v>498</v>
      </c>
      <c r="CC41" s="2484">
        <f t="shared" si="8"/>
        <v>0.29317269076305219</v>
      </c>
      <c r="CE41" s="41"/>
      <c r="CF41" s="41"/>
      <c r="CG41" s="41" t="s">
        <v>35</v>
      </c>
      <c r="CH41" s="105">
        <v>111</v>
      </c>
      <c r="CI41" s="105">
        <v>64</v>
      </c>
      <c r="CJ41" s="105">
        <v>0</v>
      </c>
      <c r="CK41" s="105">
        <v>24</v>
      </c>
      <c r="CL41" s="105">
        <v>131</v>
      </c>
      <c r="CM41" s="105">
        <v>10</v>
      </c>
      <c r="CN41" s="105">
        <v>38</v>
      </c>
      <c r="CO41" s="105"/>
      <c r="CP41" s="105">
        <v>1</v>
      </c>
      <c r="CQ41" s="105">
        <v>45</v>
      </c>
      <c r="CR41" s="105">
        <v>13</v>
      </c>
      <c r="CS41" s="105"/>
      <c r="CT41" s="105">
        <v>85</v>
      </c>
      <c r="CU41" s="105">
        <v>1</v>
      </c>
      <c r="CV41" s="105">
        <v>523</v>
      </c>
      <c r="CW41" s="1644">
        <f t="shared" si="0"/>
        <v>0.2950191570881226</v>
      </c>
      <c r="CX41" s="1976"/>
      <c r="CY41" s="41"/>
      <c r="CZ41" s="41"/>
      <c r="DA41" s="41" t="s">
        <v>35</v>
      </c>
      <c r="DB41" s="105">
        <v>99</v>
      </c>
      <c r="DC41" s="105">
        <v>67</v>
      </c>
      <c r="DD41" s="105"/>
      <c r="DE41" s="105">
        <v>20</v>
      </c>
      <c r="DF41" s="105">
        <v>142</v>
      </c>
      <c r="DG41" s="105">
        <v>11</v>
      </c>
      <c r="DH41" s="105">
        <v>30</v>
      </c>
      <c r="DI41" s="105">
        <v>0</v>
      </c>
      <c r="DJ41" s="105">
        <v>1</v>
      </c>
      <c r="DK41" s="105">
        <v>38</v>
      </c>
      <c r="DL41" s="105">
        <v>13</v>
      </c>
      <c r="DM41" s="105"/>
      <c r="DN41" s="105">
        <v>73</v>
      </c>
      <c r="DO41" s="105">
        <v>2</v>
      </c>
      <c r="DP41" s="105">
        <v>496</v>
      </c>
      <c r="DQ41" s="1644">
        <f t="shared" si="9"/>
        <v>0.33603238866396762</v>
      </c>
      <c r="DS41" s="1311"/>
      <c r="DT41" s="1311"/>
      <c r="DU41" s="1319" t="s">
        <v>35</v>
      </c>
      <c r="DV41" s="1320">
        <v>88</v>
      </c>
      <c r="DW41" s="1320">
        <v>76</v>
      </c>
      <c r="DX41" s="1321"/>
      <c r="DY41" s="1320">
        <v>17</v>
      </c>
      <c r="DZ41" s="1320">
        <v>141</v>
      </c>
      <c r="EA41" s="1320">
        <v>3</v>
      </c>
      <c r="EB41" s="1320">
        <v>42</v>
      </c>
      <c r="EC41" s="1321"/>
      <c r="ED41" s="1320">
        <v>1</v>
      </c>
      <c r="EE41" s="1320">
        <v>35</v>
      </c>
      <c r="EF41" s="1320">
        <v>17</v>
      </c>
      <c r="EG41" s="1321"/>
      <c r="EH41" s="1320">
        <v>75</v>
      </c>
      <c r="EI41" s="1320">
        <v>2</v>
      </c>
      <c r="EJ41" s="1320">
        <v>497</v>
      </c>
      <c r="EK41" s="1322">
        <f t="shared" si="10"/>
        <v>0.32525252525252524</v>
      </c>
      <c r="EM41" s="1047"/>
      <c r="EN41" s="1047"/>
      <c r="EO41" s="1060" t="s">
        <v>35</v>
      </c>
      <c r="EP41" s="1061">
        <v>78</v>
      </c>
      <c r="EQ41" s="1061">
        <v>60</v>
      </c>
      <c r="ER41" s="1047"/>
      <c r="ES41" s="1061">
        <v>25</v>
      </c>
      <c r="ET41" s="1061">
        <v>150</v>
      </c>
      <c r="EU41" s="1061">
        <v>6</v>
      </c>
      <c r="EV41" s="1061">
        <v>45</v>
      </c>
      <c r="EW41" s="1047"/>
      <c r="EX41" s="1061">
        <v>1</v>
      </c>
      <c r="EY41" s="1061">
        <v>55</v>
      </c>
      <c r="EZ41" s="1061">
        <v>4</v>
      </c>
      <c r="FA41" s="1061">
        <v>103</v>
      </c>
      <c r="FB41" s="1047"/>
      <c r="FC41" s="1061">
        <v>527</v>
      </c>
      <c r="FD41" s="537">
        <f t="shared" si="11"/>
        <v>0.30360531309297911</v>
      </c>
      <c r="FF41" s="652"/>
      <c r="FG41" s="652"/>
      <c r="FH41" s="1062" t="s">
        <v>35</v>
      </c>
      <c r="FI41" s="1063">
        <v>96</v>
      </c>
      <c r="FJ41" s="1063">
        <v>59</v>
      </c>
      <c r="FK41" s="1063">
        <v>0</v>
      </c>
      <c r="FL41" s="1063">
        <v>24</v>
      </c>
      <c r="FM41" s="1063">
        <v>136</v>
      </c>
      <c r="FN41" s="1063">
        <v>8</v>
      </c>
      <c r="FO41" s="1063">
        <v>30</v>
      </c>
      <c r="FP41" s="652"/>
      <c r="FQ41" s="1063">
        <v>1</v>
      </c>
      <c r="FR41" s="1063">
        <v>34</v>
      </c>
      <c r="FS41" s="1063">
        <v>7</v>
      </c>
      <c r="FT41" s="1063">
        <v>101</v>
      </c>
      <c r="FU41" s="652"/>
      <c r="FV41" s="1063">
        <v>496</v>
      </c>
      <c r="FW41" s="537">
        <f t="shared" si="12"/>
        <v>0.30443548387096775</v>
      </c>
      <c r="FY41" s="817"/>
      <c r="FZ41" s="817"/>
      <c r="GA41" s="1064" t="s">
        <v>19</v>
      </c>
      <c r="GB41" s="1065">
        <v>114</v>
      </c>
      <c r="GC41" s="1065">
        <v>58</v>
      </c>
      <c r="GD41" s="1065">
        <v>0</v>
      </c>
      <c r="GE41" s="1065">
        <v>35</v>
      </c>
      <c r="GF41" s="1065">
        <v>175</v>
      </c>
      <c r="GG41" s="1065">
        <v>31</v>
      </c>
      <c r="GH41" s="1065">
        <v>41</v>
      </c>
      <c r="GI41" s="1065">
        <v>0</v>
      </c>
      <c r="GJ41" s="1065">
        <v>14</v>
      </c>
      <c r="GK41" s="1065">
        <v>18</v>
      </c>
      <c r="GL41" s="1065">
        <v>147</v>
      </c>
      <c r="GM41" s="1065">
        <v>151</v>
      </c>
      <c r="GN41" s="1065">
        <v>0</v>
      </c>
      <c r="GO41" s="1065">
        <v>6</v>
      </c>
      <c r="GP41" s="1065">
        <v>790</v>
      </c>
      <c r="GQ41" s="1066">
        <f t="shared" si="13"/>
        <v>0.35164835164835168</v>
      </c>
      <c r="GS41" s="107"/>
      <c r="GT41" s="107"/>
      <c r="GU41" s="47" t="s">
        <v>19</v>
      </c>
      <c r="GV41" s="47">
        <v>92</v>
      </c>
      <c r="GW41" s="47">
        <v>44</v>
      </c>
      <c r="GX41" s="47"/>
      <c r="GY41" s="47">
        <v>38</v>
      </c>
      <c r="GZ41" s="47">
        <v>175</v>
      </c>
      <c r="HA41" s="47">
        <v>28</v>
      </c>
      <c r="HB41" s="47">
        <v>42</v>
      </c>
      <c r="HC41" s="47">
        <v>0</v>
      </c>
      <c r="HD41" s="47">
        <v>9</v>
      </c>
      <c r="HE41" s="47">
        <v>17</v>
      </c>
      <c r="HF41" s="47">
        <v>129</v>
      </c>
      <c r="HG41" s="47">
        <v>147</v>
      </c>
      <c r="HH41" s="47"/>
      <c r="HI41" s="47">
        <v>2</v>
      </c>
      <c r="HJ41" s="47">
        <v>723</v>
      </c>
      <c r="HK41" s="1067">
        <f t="shared" si="1"/>
        <v>0.3716216216216216</v>
      </c>
      <c r="HL41" s="47"/>
      <c r="HM41" s="420"/>
      <c r="HN41" s="420"/>
      <c r="HO41" s="420" t="s">
        <v>19</v>
      </c>
      <c r="HP41" s="1068">
        <v>60</v>
      </c>
      <c r="HQ41" s="1068">
        <v>49</v>
      </c>
      <c r="HR41" s="1068" t="s">
        <v>327</v>
      </c>
      <c r="HS41" s="1068">
        <v>39</v>
      </c>
      <c r="HT41" s="1068">
        <v>158</v>
      </c>
      <c r="HU41" s="1068">
        <v>29</v>
      </c>
      <c r="HV41" s="1068">
        <v>56</v>
      </c>
      <c r="HW41" s="1068" t="s">
        <v>327</v>
      </c>
      <c r="HX41" s="1068">
        <v>15</v>
      </c>
      <c r="HY41" s="1068">
        <v>29</v>
      </c>
      <c r="HZ41" s="1068">
        <v>141</v>
      </c>
      <c r="IA41" s="1068" t="s">
        <v>327</v>
      </c>
      <c r="IB41" s="1068">
        <v>576</v>
      </c>
      <c r="IC41" s="1068">
        <f t="shared" si="2"/>
        <v>216</v>
      </c>
      <c r="ID41" s="1069">
        <f t="shared" si="3"/>
        <v>0.375</v>
      </c>
      <c r="IE41" s="47"/>
      <c r="IF41" s="47"/>
    </row>
    <row r="42" spans="1:240">
      <c r="A42" s="41"/>
      <c r="B42" s="41"/>
      <c r="C42" s="41" t="s">
        <v>35</v>
      </c>
      <c r="D42" s="105">
        <v>106</v>
      </c>
      <c r="E42" s="105">
        <v>104</v>
      </c>
      <c r="F42" s="105">
        <v>0</v>
      </c>
      <c r="G42" s="105">
        <v>31</v>
      </c>
      <c r="H42" s="105">
        <v>98</v>
      </c>
      <c r="I42" s="105">
        <v>21</v>
      </c>
      <c r="J42" s="105">
        <v>7</v>
      </c>
      <c r="K42" s="105"/>
      <c r="L42" s="105">
        <v>2</v>
      </c>
      <c r="M42" s="105">
        <v>41</v>
      </c>
      <c r="N42" s="105">
        <v>12</v>
      </c>
      <c r="O42" s="105"/>
      <c r="P42" s="105">
        <v>88</v>
      </c>
      <c r="Q42" s="105">
        <v>0</v>
      </c>
      <c r="R42" s="105">
        <v>510</v>
      </c>
      <c r="S42" s="706">
        <f t="shared" si="4"/>
        <v>0.25686274509803919</v>
      </c>
      <c r="T42" s="5561">
        <f t="shared" si="5"/>
        <v>6</v>
      </c>
      <c r="U42" s="5562">
        <v>504</v>
      </c>
      <c r="V42" s="706"/>
      <c r="Y42" s="41" t="s">
        <v>19</v>
      </c>
      <c r="Z42" s="41">
        <v>76</v>
      </c>
      <c r="AA42" s="41">
        <v>62</v>
      </c>
      <c r="AB42" s="41"/>
      <c r="AC42" s="41">
        <v>43</v>
      </c>
      <c r="AD42" s="41">
        <v>245</v>
      </c>
      <c r="AE42" s="41">
        <v>32</v>
      </c>
      <c r="AF42" s="41">
        <v>99</v>
      </c>
      <c r="AG42" s="41">
        <v>0</v>
      </c>
      <c r="AH42" s="41">
        <v>0</v>
      </c>
      <c r="AI42" s="41">
        <v>37</v>
      </c>
      <c r="AJ42" s="41">
        <v>23</v>
      </c>
      <c r="AK42" s="41"/>
      <c r="AL42" s="41">
        <v>154</v>
      </c>
      <c r="AM42" s="41">
        <v>4</v>
      </c>
      <c r="AN42" s="461">
        <v>775</v>
      </c>
      <c r="AO42" s="4692">
        <f t="shared" si="6"/>
        <v>0.38910505836575876</v>
      </c>
      <c r="AQ42" s="1788"/>
      <c r="AR42" s="1788"/>
      <c r="AS42" s="37" t="s">
        <v>19</v>
      </c>
      <c r="AT42" s="1788">
        <v>155</v>
      </c>
      <c r="AU42" s="1788">
        <v>103</v>
      </c>
      <c r="AV42" s="1788"/>
      <c r="AW42" s="1788">
        <v>39</v>
      </c>
      <c r="AX42" s="1788">
        <v>178</v>
      </c>
      <c r="AY42" s="1788">
        <v>36</v>
      </c>
      <c r="AZ42" s="1788">
        <v>13</v>
      </c>
      <c r="BA42" s="1788">
        <v>0</v>
      </c>
      <c r="BB42" s="1788">
        <v>0</v>
      </c>
      <c r="BC42" s="1788">
        <v>37</v>
      </c>
      <c r="BD42" s="1788">
        <v>24</v>
      </c>
      <c r="BE42" s="1788"/>
      <c r="BF42" s="1788">
        <v>184</v>
      </c>
      <c r="BG42" s="1788">
        <v>3</v>
      </c>
      <c r="BH42" s="1788">
        <v>772</v>
      </c>
      <c r="BI42" s="4701">
        <f t="shared" si="7"/>
        <v>0.30949284785435632</v>
      </c>
      <c r="BK42" s="41"/>
      <c r="BL42" s="41"/>
      <c r="BM42" s="41" t="s">
        <v>19</v>
      </c>
      <c r="BN42" s="105">
        <v>134</v>
      </c>
      <c r="BO42" s="105">
        <v>98</v>
      </c>
      <c r="BP42" s="105"/>
      <c r="BQ42" s="105">
        <v>3</v>
      </c>
      <c r="BR42" s="105">
        <v>211</v>
      </c>
      <c r="BS42" s="105">
        <v>32</v>
      </c>
      <c r="BT42" s="105">
        <v>57</v>
      </c>
      <c r="BU42" s="105"/>
      <c r="BV42" s="105">
        <v>0</v>
      </c>
      <c r="BW42" s="105">
        <v>26</v>
      </c>
      <c r="BX42" s="105">
        <v>18</v>
      </c>
      <c r="BY42" s="105"/>
      <c r="BZ42" s="105">
        <v>153</v>
      </c>
      <c r="CA42" s="105">
        <v>2</v>
      </c>
      <c r="CB42" s="105">
        <v>734</v>
      </c>
      <c r="CC42" s="2484">
        <f t="shared" si="8"/>
        <v>0.35655737704918034</v>
      </c>
      <c r="CE42" s="41"/>
      <c r="CF42" s="41"/>
      <c r="CG42" s="41" t="s">
        <v>19</v>
      </c>
      <c r="CH42" s="105">
        <v>113</v>
      </c>
      <c r="CI42" s="105">
        <v>110</v>
      </c>
      <c r="CJ42" s="105">
        <v>0</v>
      </c>
      <c r="CK42" s="105">
        <v>39</v>
      </c>
      <c r="CL42" s="105">
        <v>205</v>
      </c>
      <c r="CM42" s="105">
        <v>43</v>
      </c>
      <c r="CN42" s="105">
        <v>44</v>
      </c>
      <c r="CO42" s="105"/>
      <c r="CP42" s="105">
        <v>0</v>
      </c>
      <c r="CQ42" s="105">
        <v>20</v>
      </c>
      <c r="CR42" s="105">
        <v>30</v>
      </c>
      <c r="CS42" s="105"/>
      <c r="CT42" s="105">
        <v>131</v>
      </c>
      <c r="CU42" s="105">
        <v>3</v>
      </c>
      <c r="CV42" s="105">
        <v>738</v>
      </c>
      <c r="CW42" s="1644">
        <f t="shared" si="0"/>
        <v>0.37823129251700682</v>
      </c>
      <c r="CX42" s="1976"/>
      <c r="CY42" s="41"/>
      <c r="CZ42" s="41"/>
      <c r="DA42" s="41" t="s">
        <v>19</v>
      </c>
      <c r="DB42" s="105">
        <v>118</v>
      </c>
      <c r="DC42" s="105">
        <v>101</v>
      </c>
      <c r="DD42" s="105"/>
      <c r="DE42" s="105">
        <v>40</v>
      </c>
      <c r="DF42" s="105">
        <v>209</v>
      </c>
      <c r="DG42" s="105">
        <v>20</v>
      </c>
      <c r="DH42" s="105">
        <v>42</v>
      </c>
      <c r="DI42" s="105">
        <v>0</v>
      </c>
      <c r="DJ42" s="105">
        <v>0</v>
      </c>
      <c r="DK42" s="105">
        <v>26</v>
      </c>
      <c r="DL42" s="105">
        <v>30</v>
      </c>
      <c r="DM42" s="105"/>
      <c r="DN42" s="105">
        <v>119</v>
      </c>
      <c r="DO42" s="105">
        <v>2</v>
      </c>
      <c r="DP42" s="105">
        <v>707</v>
      </c>
      <c r="DQ42" s="1644">
        <f t="shared" si="9"/>
        <v>0.36737588652482267</v>
      </c>
      <c r="DS42" s="1311"/>
      <c r="DT42" s="1311"/>
      <c r="DU42" s="1319" t="s">
        <v>19</v>
      </c>
      <c r="DV42" s="1320">
        <v>116</v>
      </c>
      <c r="DW42" s="1320">
        <v>74</v>
      </c>
      <c r="DX42" s="1321"/>
      <c r="DY42" s="1320">
        <v>35</v>
      </c>
      <c r="DZ42" s="1320">
        <v>209</v>
      </c>
      <c r="EA42" s="1320">
        <v>13</v>
      </c>
      <c r="EB42" s="1320">
        <v>51</v>
      </c>
      <c r="EC42" s="1321"/>
      <c r="ED42" s="1320">
        <v>0</v>
      </c>
      <c r="EE42" s="1320">
        <v>35</v>
      </c>
      <c r="EF42" s="1320">
        <v>43</v>
      </c>
      <c r="EG42" s="1321"/>
      <c r="EH42" s="1320">
        <v>113</v>
      </c>
      <c r="EI42" s="1320">
        <v>2</v>
      </c>
      <c r="EJ42" s="1320">
        <v>691</v>
      </c>
      <c r="EK42" s="1322">
        <f t="shared" si="10"/>
        <v>0.38461538461538464</v>
      </c>
      <c r="EM42" s="1047"/>
      <c r="EN42" s="1047"/>
      <c r="EO42" s="1060" t="s">
        <v>19</v>
      </c>
      <c r="EP42" s="1061">
        <v>118</v>
      </c>
      <c r="EQ42" s="1061">
        <v>71</v>
      </c>
      <c r="ER42" s="1047"/>
      <c r="ES42" s="1061">
        <v>37</v>
      </c>
      <c r="ET42" s="1061">
        <v>209</v>
      </c>
      <c r="EU42" s="1061">
        <v>20</v>
      </c>
      <c r="EV42" s="1061">
        <v>40</v>
      </c>
      <c r="EW42" s="1047"/>
      <c r="EX42" s="1061">
        <v>0</v>
      </c>
      <c r="EY42" s="1061">
        <v>37</v>
      </c>
      <c r="EZ42" s="1061">
        <v>17</v>
      </c>
      <c r="FA42" s="1061">
        <v>167</v>
      </c>
      <c r="FB42" s="1047"/>
      <c r="FC42" s="1061">
        <v>716</v>
      </c>
      <c r="FD42" s="537">
        <f t="shared" si="11"/>
        <v>0.34357541899441341</v>
      </c>
      <c r="FF42" s="652"/>
      <c r="FG42" s="652"/>
      <c r="FH42" s="1062" t="s">
        <v>19</v>
      </c>
      <c r="FI42" s="1063">
        <v>115</v>
      </c>
      <c r="FJ42" s="1063">
        <v>76</v>
      </c>
      <c r="FK42" s="1063">
        <v>1</v>
      </c>
      <c r="FL42" s="1063">
        <v>37</v>
      </c>
      <c r="FM42" s="1063">
        <v>189</v>
      </c>
      <c r="FN42" s="1063">
        <v>37</v>
      </c>
      <c r="FO42" s="1063">
        <v>40</v>
      </c>
      <c r="FP42" s="652"/>
      <c r="FQ42" s="1063">
        <v>0</v>
      </c>
      <c r="FR42" s="1063">
        <v>15</v>
      </c>
      <c r="FS42" s="1063">
        <v>15</v>
      </c>
      <c r="FT42" s="1063">
        <v>148</v>
      </c>
      <c r="FU42" s="652"/>
      <c r="FV42" s="1063">
        <v>673</v>
      </c>
      <c r="FW42" s="537">
        <f t="shared" si="12"/>
        <v>0.35809806835066865</v>
      </c>
      <c r="FY42" s="817"/>
      <c r="FZ42" s="817"/>
      <c r="GA42" s="1064" t="s">
        <v>20</v>
      </c>
      <c r="GB42" s="1065">
        <v>116</v>
      </c>
      <c r="GC42" s="1065">
        <v>57</v>
      </c>
      <c r="GD42" s="1065">
        <v>0</v>
      </c>
      <c r="GE42" s="1065">
        <v>34</v>
      </c>
      <c r="GF42" s="1065">
        <v>141</v>
      </c>
      <c r="GG42" s="1065">
        <v>12</v>
      </c>
      <c r="GH42" s="1065">
        <v>46</v>
      </c>
      <c r="GI42" s="1065">
        <v>1</v>
      </c>
      <c r="GJ42" s="1065">
        <v>24</v>
      </c>
      <c r="GK42" s="1065">
        <v>14</v>
      </c>
      <c r="GL42" s="1065">
        <v>76</v>
      </c>
      <c r="GM42" s="1065">
        <v>119</v>
      </c>
      <c r="GN42" s="1065">
        <v>0</v>
      </c>
      <c r="GO42" s="1065">
        <v>2</v>
      </c>
      <c r="GP42" s="1065">
        <v>642</v>
      </c>
      <c r="GQ42" s="1066">
        <f t="shared" si="13"/>
        <v>0.29609929078014185</v>
      </c>
      <c r="GS42" s="107"/>
      <c r="GT42" s="107"/>
      <c r="GU42" s="47" t="s">
        <v>20</v>
      </c>
      <c r="GV42" s="47">
        <v>94</v>
      </c>
      <c r="GW42" s="47">
        <v>70</v>
      </c>
      <c r="GX42" s="47"/>
      <c r="GY42" s="47">
        <v>34</v>
      </c>
      <c r="GZ42" s="47">
        <v>138</v>
      </c>
      <c r="HA42" s="47">
        <v>20</v>
      </c>
      <c r="HB42" s="47">
        <v>48</v>
      </c>
      <c r="HC42" s="47">
        <v>1</v>
      </c>
      <c r="HD42" s="47">
        <v>15</v>
      </c>
      <c r="HE42" s="47">
        <v>20</v>
      </c>
      <c r="HF42" s="47">
        <v>69</v>
      </c>
      <c r="HG42" s="47">
        <v>121</v>
      </c>
      <c r="HH42" s="47"/>
      <c r="HI42" s="47">
        <v>4</v>
      </c>
      <c r="HJ42" s="47">
        <v>634</v>
      </c>
      <c r="HK42" s="1067">
        <f t="shared" si="1"/>
        <v>0.3172905525846702</v>
      </c>
      <c r="HL42" s="47"/>
      <c r="HM42" s="420"/>
      <c r="HN42" s="420"/>
      <c r="HO42" s="420" t="s">
        <v>20</v>
      </c>
      <c r="HP42" s="1068">
        <v>69</v>
      </c>
      <c r="HQ42" s="1068">
        <v>75</v>
      </c>
      <c r="HR42" s="1068" t="s">
        <v>327</v>
      </c>
      <c r="HS42" s="1068">
        <v>32</v>
      </c>
      <c r="HT42" s="1068">
        <v>139</v>
      </c>
      <c r="HU42" s="1068">
        <v>12</v>
      </c>
      <c r="HV42" s="1068">
        <v>47</v>
      </c>
      <c r="HW42" s="1068" t="s">
        <v>327</v>
      </c>
      <c r="HX42" s="1068">
        <v>38</v>
      </c>
      <c r="HY42" s="1068">
        <v>22</v>
      </c>
      <c r="HZ42" s="1068">
        <v>128</v>
      </c>
      <c r="IA42" s="1068" t="s">
        <v>327</v>
      </c>
      <c r="IB42" s="1068">
        <v>562</v>
      </c>
      <c r="IC42" s="1068">
        <f t="shared" si="2"/>
        <v>173</v>
      </c>
      <c r="ID42" s="1069">
        <f t="shared" si="3"/>
        <v>0.30782918149466193</v>
      </c>
      <c r="IE42" s="47"/>
      <c r="IF42" s="47"/>
    </row>
    <row r="43" spans="1:240">
      <c r="A43" s="41"/>
      <c r="B43" s="41"/>
      <c r="C43" s="41" t="s">
        <v>19</v>
      </c>
      <c r="D43" s="105">
        <v>164</v>
      </c>
      <c r="E43" s="105">
        <v>99</v>
      </c>
      <c r="F43" s="105">
        <v>0</v>
      </c>
      <c r="G43" s="105">
        <v>39</v>
      </c>
      <c r="H43" s="105">
        <v>155</v>
      </c>
      <c r="I43" s="105">
        <v>50</v>
      </c>
      <c r="J43" s="105">
        <v>13</v>
      </c>
      <c r="K43" s="105"/>
      <c r="L43" s="105">
        <v>0</v>
      </c>
      <c r="M43" s="105">
        <v>33</v>
      </c>
      <c r="N43" s="105">
        <v>44</v>
      </c>
      <c r="O43" s="105"/>
      <c r="P43" s="105">
        <v>188</v>
      </c>
      <c r="Q43" s="105">
        <v>3</v>
      </c>
      <c r="R43" s="105">
        <v>788</v>
      </c>
      <c r="S43" s="706">
        <f t="shared" si="4"/>
        <v>0.31719745222929935</v>
      </c>
      <c r="T43" s="5561">
        <f t="shared" si="5"/>
        <v>8</v>
      </c>
      <c r="U43" s="5562">
        <v>780</v>
      </c>
      <c r="V43" s="706"/>
      <c r="Y43" s="41" t="s">
        <v>20</v>
      </c>
      <c r="Z43" s="41">
        <v>58</v>
      </c>
      <c r="AA43" s="41">
        <v>85</v>
      </c>
      <c r="AB43" s="41"/>
      <c r="AC43" s="41">
        <v>13</v>
      </c>
      <c r="AD43" s="41">
        <v>214</v>
      </c>
      <c r="AE43" s="41">
        <v>14</v>
      </c>
      <c r="AF43" s="41">
        <v>76</v>
      </c>
      <c r="AG43" s="41">
        <v>0</v>
      </c>
      <c r="AH43" s="41">
        <v>0</v>
      </c>
      <c r="AI43" s="41">
        <v>62</v>
      </c>
      <c r="AJ43" s="41">
        <v>10</v>
      </c>
      <c r="AK43" s="41"/>
      <c r="AL43" s="41">
        <v>92</v>
      </c>
      <c r="AM43" s="41">
        <v>3</v>
      </c>
      <c r="AN43" s="461">
        <v>627</v>
      </c>
      <c r="AO43" s="4692">
        <f t="shared" si="6"/>
        <v>0.38141025641025639</v>
      </c>
      <c r="AQ43" s="1788"/>
      <c r="AR43" s="1788"/>
      <c r="AS43" s="37" t="s">
        <v>20</v>
      </c>
      <c r="AT43" s="1788">
        <v>126</v>
      </c>
      <c r="AU43" s="1788">
        <v>117</v>
      </c>
      <c r="AV43" s="1788"/>
      <c r="AW43" s="1788">
        <v>15</v>
      </c>
      <c r="AX43" s="1788">
        <v>151</v>
      </c>
      <c r="AY43" s="1788">
        <v>33</v>
      </c>
      <c r="AZ43" s="1788">
        <v>7</v>
      </c>
      <c r="BA43" s="1788">
        <v>1</v>
      </c>
      <c r="BB43" s="1788">
        <v>0</v>
      </c>
      <c r="BC43" s="1788">
        <v>48</v>
      </c>
      <c r="BD43" s="1788">
        <v>14</v>
      </c>
      <c r="BE43" s="1788"/>
      <c r="BF43" s="1788">
        <v>111</v>
      </c>
      <c r="BG43" s="1788">
        <v>3</v>
      </c>
      <c r="BH43" s="1788">
        <v>626</v>
      </c>
      <c r="BI43" s="4701">
        <f t="shared" si="7"/>
        <v>0.31781701444622795</v>
      </c>
      <c r="BK43" s="41"/>
      <c r="BL43" s="41"/>
      <c r="BM43" s="41" t="s">
        <v>20</v>
      </c>
      <c r="BN43" s="105">
        <v>118</v>
      </c>
      <c r="BO43" s="105">
        <v>92</v>
      </c>
      <c r="BP43" s="105"/>
      <c r="BQ43" s="105">
        <v>4</v>
      </c>
      <c r="BR43" s="105">
        <v>173</v>
      </c>
      <c r="BS43" s="105">
        <v>23</v>
      </c>
      <c r="BT43" s="105">
        <v>47</v>
      </c>
      <c r="BU43" s="105"/>
      <c r="BV43" s="105">
        <v>0</v>
      </c>
      <c r="BW43" s="105">
        <v>43</v>
      </c>
      <c r="BX43" s="105">
        <v>21</v>
      </c>
      <c r="BY43" s="105"/>
      <c r="BZ43" s="105">
        <v>94</v>
      </c>
      <c r="CA43" s="105">
        <v>0</v>
      </c>
      <c r="CB43" s="105">
        <v>615</v>
      </c>
      <c r="CC43" s="2484">
        <f t="shared" si="8"/>
        <v>0.35284552845528455</v>
      </c>
      <c r="CE43" s="41"/>
      <c r="CF43" s="41"/>
      <c r="CG43" s="41" t="s">
        <v>20</v>
      </c>
      <c r="CH43" s="105">
        <v>110</v>
      </c>
      <c r="CI43" s="105">
        <v>109</v>
      </c>
      <c r="CJ43" s="105">
        <v>0</v>
      </c>
      <c r="CK43" s="105">
        <v>13</v>
      </c>
      <c r="CL43" s="105">
        <v>163</v>
      </c>
      <c r="CM43" s="105">
        <v>26</v>
      </c>
      <c r="CN43" s="105">
        <v>35</v>
      </c>
      <c r="CO43" s="105"/>
      <c r="CP43" s="105">
        <v>0</v>
      </c>
      <c r="CQ43" s="105">
        <v>47</v>
      </c>
      <c r="CR43" s="105">
        <v>27</v>
      </c>
      <c r="CS43" s="105"/>
      <c r="CT43" s="105">
        <v>87</v>
      </c>
      <c r="CU43" s="105">
        <v>2</v>
      </c>
      <c r="CV43" s="105">
        <v>619</v>
      </c>
      <c r="CW43" s="1644">
        <f t="shared" si="0"/>
        <v>0.35008103727714751</v>
      </c>
      <c r="CX43" s="1976"/>
      <c r="CY43" s="41"/>
      <c r="CZ43" s="41"/>
      <c r="DA43" s="41" t="s">
        <v>20</v>
      </c>
      <c r="DB43" s="105">
        <v>103</v>
      </c>
      <c r="DC43" s="105">
        <v>111</v>
      </c>
      <c r="DD43" s="105"/>
      <c r="DE43" s="105">
        <v>13</v>
      </c>
      <c r="DF43" s="105">
        <v>163</v>
      </c>
      <c r="DG43" s="105">
        <v>15</v>
      </c>
      <c r="DH43" s="105">
        <v>48</v>
      </c>
      <c r="DI43" s="105">
        <v>0</v>
      </c>
      <c r="DJ43" s="105">
        <v>0</v>
      </c>
      <c r="DK43" s="105">
        <v>48</v>
      </c>
      <c r="DL43" s="105">
        <v>26</v>
      </c>
      <c r="DM43" s="105"/>
      <c r="DN43" s="105">
        <v>68</v>
      </c>
      <c r="DO43" s="105">
        <v>2</v>
      </c>
      <c r="DP43" s="105">
        <v>597</v>
      </c>
      <c r="DQ43" s="1644">
        <f t="shared" si="9"/>
        <v>0.34285714285714286</v>
      </c>
      <c r="DS43" s="1311"/>
      <c r="DT43" s="1311"/>
      <c r="DU43" s="1319" t="s">
        <v>20</v>
      </c>
      <c r="DV43" s="1320">
        <v>119</v>
      </c>
      <c r="DW43" s="1320">
        <v>88</v>
      </c>
      <c r="DX43" s="1321"/>
      <c r="DY43" s="1320">
        <v>13</v>
      </c>
      <c r="DZ43" s="1320">
        <v>158</v>
      </c>
      <c r="EA43" s="1320">
        <v>21</v>
      </c>
      <c r="EB43" s="1320">
        <v>41</v>
      </c>
      <c r="EC43" s="1321"/>
      <c r="ED43" s="1320">
        <v>1</v>
      </c>
      <c r="EE43" s="1320">
        <v>44</v>
      </c>
      <c r="EF43" s="1320">
        <v>23</v>
      </c>
      <c r="EG43" s="1321"/>
      <c r="EH43" s="1320">
        <v>83</v>
      </c>
      <c r="EI43" s="1320">
        <v>0</v>
      </c>
      <c r="EJ43" s="1320">
        <v>591</v>
      </c>
      <c r="EK43" s="1322">
        <f t="shared" si="10"/>
        <v>0.34179357021996615</v>
      </c>
      <c r="EM43" s="1047"/>
      <c r="EN43" s="1047"/>
      <c r="EO43" s="1060" t="s">
        <v>20</v>
      </c>
      <c r="EP43" s="1061">
        <v>107</v>
      </c>
      <c r="EQ43" s="1061">
        <v>81</v>
      </c>
      <c r="ER43" s="1047"/>
      <c r="ES43" s="1061">
        <v>27</v>
      </c>
      <c r="ET43" s="1061">
        <v>149</v>
      </c>
      <c r="EU43" s="1061">
        <v>16</v>
      </c>
      <c r="EV43" s="1061">
        <v>45</v>
      </c>
      <c r="EW43" s="1047"/>
      <c r="EX43" s="1061">
        <v>1</v>
      </c>
      <c r="EY43" s="1061">
        <v>43</v>
      </c>
      <c r="EZ43" s="1061">
        <v>38</v>
      </c>
      <c r="FA43" s="1061">
        <v>102</v>
      </c>
      <c r="FB43" s="1047"/>
      <c r="FC43" s="1061">
        <v>609</v>
      </c>
      <c r="FD43" s="537">
        <f t="shared" si="11"/>
        <v>0.33333333333333331</v>
      </c>
      <c r="FF43" s="652"/>
      <c r="FG43" s="652"/>
      <c r="FH43" s="1062" t="s">
        <v>20</v>
      </c>
      <c r="FI43" s="1063">
        <v>110</v>
      </c>
      <c r="FJ43" s="1063">
        <v>74</v>
      </c>
      <c r="FK43" s="1063">
        <v>0</v>
      </c>
      <c r="FL43" s="1063">
        <v>28</v>
      </c>
      <c r="FM43" s="1063">
        <v>141</v>
      </c>
      <c r="FN43" s="1063">
        <v>23</v>
      </c>
      <c r="FO43" s="1063">
        <v>37</v>
      </c>
      <c r="FP43" s="652"/>
      <c r="FQ43" s="1063">
        <v>1</v>
      </c>
      <c r="FR43" s="1063">
        <v>30</v>
      </c>
      <c r="FS43" s="1063">
        <v>13</v>
      </c>
      <c r="FT43" s="1063">
        <v>109</v>
      </c>
      <c r="FU43" s="652"/>
      <c r="FV43" s="1063">
        <v>566</v>
      </c>
      <c r="FW43" s="537">
        <f t="shared" si="12"/>
        <v>0.3127208480565371</v>
      </c>
      <c r="FY43" s="817"/>
      <c r="FZ43" s="817"/>
      <c r="GA43" s="1064" t="s">
        <v>36</v>
      </c>
      <c r="GB43" s="1065">
        <v>90</v>
      </c>
      <c r="GC43" s="1065">
        <v>64</v>
      </c>
      <c r="GD43" s="1065">
        <v>0</v>
      </c>
      <c r="GE43" s="1065">
        <v>50</v>
      </c>
      <c r="GF43" s="1065">
        <v>115</v>
      </c>
      <c r="GG43" s="1065">
        <v>6</v>
      </c>
      <c r="GH43" s="1065">
        <v>47</v>
      </c>
      <c r="GI43" s="1065">
        <v>1</v>
      </c>
      <c r="GJ43" s="1065">
        <v>34</v>
      </c>
      <c r="GK43" s="1065">
        <v>9</v>
      </c>
      <c r="GL43" s="1065">
        <v>98</v>
      </c>
      <c r="GM43" s="1065">
        <v>159</v>
      </c>
      <c r="GN43" s="1065">
        <v>0</v>
      </c>
      <c r="GO43" s="1065">
        <v>2</v>
      </c>
      <c r="GP43" s="1065">
        <v>675</v>
      </c>
      <c r="GQ43" s="1066">
        <f t="shared" si="13"/>
        <v>0.22608695652173913</v>
      </c>
      <c r="GS43" s="107"/>
      <c r="GT43" s="107"/>
      <c r="GU43" s="47" t="s">
        <v>36</v>
      </c>
      <c r="GV43" s="47">
        <v>89</v>
      </c>
      <c r="GW43" s="47">
        <v>65</v>
      </c>
      <c r="GX43" s="47"/>
      <c r="GY43" s="47">
        <v>44</v>
      </c>
      <c r="GZ43" s="47">
        <v>117</v>
      </c>
      <c r="HA43" s="47">
        <v>6</v>
      </c>
      <c r="HB43" s="47">
        <v>47</v>
      </c>
      <c r="HC43" s="47">
        <v>1</v>
      </c>
      <c r="HD43" s="47">
        <v>39</v>
      </c>
      <c r="HE43" s="47">
        <v>4</v>
      </c>
      <c r="HF43" s="47">
        <v>89</v>
      </c>
      <c r="HG43" s="47">
        <v>158</v>
      </c>
      <c r="HH43" s="47"/>
      <c r="HI43" s="47">
        <v>2</v>
      </c>
      <c r="HJ43" s="47">
        <v>661</v>
      </c>
      <c r="HK43" s="1067">
        <f t="shared" si="1"/>
        <v>0.22280701754385965</v>
      </c>
      <c r="HL43" s="47"/>
      <c r="HM43" s="420"/>
      <c r="HN43" s="420"/>
      <c r="HO43" s="420" t="s">
        <v>36</v>
      </c>
      <c r="HP43" s="1068">
        <v>71</v>
      </c>
      <c r="HQ43" s="1068">
        <v>76</v>
      </c>
      <c r="HR43" s="1068" t="s">
        <v>327</v>
      </c>
      <c r="HS43" s="1068">
        <v>41</v>
      </c>
      <c r="HT43" s="1068">
        <v>124</v>
      </c>
      <c r="HU43" s="1068">
        <v>6</v>
      </c>
      <c r="HV43" s="1068">
        <v>44</v>
      </c>
      <c r="HW43" s="1068" t="s">
        <v>327</v>
      </c>
      <c r="HX43" s="1068">
        <v>45</v>
      </c>
      <c r="HY43" s="1068">
        <v>5</v>
      </c>
      <c r="HZ43" s="1068">
        <v>154</v>
      </c>
      <c r="IA43" s="1068" t="s">
        <v>327</v>
      </c>
      <c r="IB43" s="1068">
        <v>566</v>
      </c>
      <c r="IC43" s="1068">
        <f t="shared" si="2"/>
        <v>135</v>
      </c>
      <c r="ID43" s="1069">
        <f t="shared" si="3"/>
        <v>0.23851590106007067</v>
      </c>
      <c r="IE43" s="47"/>
      <c r="IF43" s="47"/>
    </row>
    <row r="44" spans="1:240">
      <c r="A44" s="41"/>
      <c r="B44" s="41"/>
      <c r="C44" s="41" t="s">
        <v>20</v>
      </c>
      <c r="D44" s="105">
        <v>125</v>
      </c>
      <c r="E44" s="105">
        <v>132</v>
      </c>
      <c r="F44" s="105">
        <v>0</v>
      </c>
      <c r="G44" s="105">
        <v>18</v>
      </c>
      <c r="H44" s="105">
        <v>135</v>
      </c>
      <c r="I44" s="105">
        <v>26</v>
      </c>
      <c r="J44" s="105">
        <v>8</v>
      </c>
      <c r="K44" s="105"/>
      <c r="L44" s="105">
        <v>0</v>
      </c>
      <c r="M44" s="105">
        <v>51</v>
      </c>
      <c r="N44" s="105">
        <v>22</v>
      </c>
      <c r="O44" s="105"/>
      <c r="P44" s="105">
        <v>108</v>
      </c>
      <c r="Q44" s="105">
        <v>3</v>
      </c>
      <c r="R44" s="105">
        <v>628</v>
      </c>
      <c r="S44" s="706">
        <f t="shared" si="4"/>
        <v>0.2928</v>
      </c>
      <c r="T44" s="5561">
        <f t="shared" si="5"/>
        <v>5</v>
      </c>
      <c r="U44" s="5562">
        <v>623</v>
      </c>
      <c r="V44" s="706"/>
      <c r="Y44" s="41" t="s">
        <v>36</v>
      </c>
      <c r="Z44" s="41">
        <v>50</v>
      </c>
      <c r="AA44" s="41">
        <v>69</v>
      </c>
      <c r="AB44" s="41"/>
      <c r="AC44" s="41">
        <v>23</v>
      </c>
      <c r="AD44" s="41">
        <v>159</v>
      </c>
      <c r="AE44" s="41">
        <v>8</v>
      </c>
      <c r="AF44" s="41">
        <v>74</v>
      </c>
      <c r="AG44" s="41">
        <v>0</v>
      </c>
      <c r="AH44" s="41">
        <v>1</v>
      </c>
      <c r="AI44" s="41">
        <v>63</v>
      </c>
      <c r="AJ44" s="41">
        <v>11</v>
      </c>
      <c r="AK44" s="41"/>
      <c r="AL44" s="41">
        <v>81</v>
      </c>
      <c r="AM44" s="41">
        <v>0</v>
      </c>
      <c r="AN44" s="461">
        <v>539</v>
      </c>
      <c r="AO44" s="4692">
        <f t="shared" si="6"/>
        <v>0.33024118738404451</v>
      </c>
      <c r="AQ44" s="1788"/>
      <c r="AR44" s="1788"/>
      <c r="AS44" s="37" t="s">
        <v>36</v>
      </c>
      <c r="AT44" s="1788">
        <v>102</v>
      </c>
      <c r="AU44" s="1788">
        <v>104</v>
      </c>
      <c r="AV44" s="1788"/>
      <c r="AW44" s="1788">
        <v>25</v>
      </c>
      <c r="AX44" s="1788">
        <v>117</v>
      </c>
      <c r="AY44" s="1788">
        <v>14</v>
      </c>
      <c r="AZ44" s="1788">
        <v>9</v>
      </c>
      <c r="BA44" s="1788">
        <v>0</v>
      </c>
      <c r="BB44" s="1788">
        <v>1</v>
      </c>
      <c r="BC44" s="1788">
        <v>44</v>
      </c>
      <c r="BD44" s="1788">
        <v>8</v>
      </c>
      <c r="BE44" s="1788"/>
      <c r="BF44" s="1788">
        <v>116</v>
      </c>
      <c r="BG44" s="1788">
        <v>1</v>
      </c>
      <c r="BH44" s="1788">
        <v>541</v>
      </c>
      <c r="BI44" s="4701">
        <f t="shared" si="7"/>
        <v>0.25740740740740742</v>
      </c>
      <c r="BK44" s="41"/>
      <c r="BL44" s="41"/>
      <c r="BM44" s="41" t="s">
        <v>36</v>
      </c>
      <c r="BN44" s="105">
        <v>101</v>
      </c>
      <c r="BO44" s="105">
        <v>72</v>
      </c>
      <c r="BP44" s="105"/>
      <c r="BQ44" s="105">
        <v>1</v>
      </c>
      <c r="BR44" s="105">
        <v>140</v>
      </c>
      <c r="BS44" s="105">
        <v>9</v>
      </c>
      <c r="BT44" s="105">
        <v>38</v>
      </c>
      <c r="BU44" s="105"/>
      <c r="BV44" s="105">
        <v>0</v>
      </c>
      <c r="BW44" s="105">
        <v>55</v>
      </c>
      <c r="BX44" s="105">
        <v>8</v>
      </c>
      <c r="BY44" s="105"/>
      <c r="BZ44" s="105">
        <v>93</v>
      </c>
      <c r="CA44" s="105">
        <v>0</v>
      </c>
      <c r="CB44" s="105">
        <v>517</v>
      </c>
      <c r="CC44" s="2484">
        <f t="shared" si="8"/>
        <v>0.30367504835589942</v>
      </c>
      <c r="CE44" s="41"/>
      <c r="CF44" s="41"/>
      <c r="CG44" s="41" t="s">
        <v>36</v>
      </c>
      <c r="CH44" s="105">
        <v>97</v>
      </c>
      <c r="CI44" s="105">
        <v>83</v>
      </c>
      <c r="CJ44" s="105">
        <v>0</v>
      </c>
      <c r="CK44" s="105">
        <v>23</v>
      </c>
      <c r="CL44" s="105">
        <v>127</v>
      </c>
      <c r="CM44" s="105">
        <v>12</v>
      </c>
      <c r="CN44" s="105">
        <v>45</v>
      </c>
      <c r="CO44" s="105"/>
      <c r="CP44" s="105">
        <v>1</v>
      </c>
      <c r="CQ44" s="105">
        <v>45</v>
      </c>
      <c r="CR44" s="105">
        <v>12</v>
      </c>
      <c r="CS44" s="105"/>
      <c r="CT44" s="105">
        <v>84</v>
      </c>
      <c r="CU44" s="105">
        <v>0</v>
      </c>
      <c r="CV44" s="105">
        <v>529</v>
      </c>
      <c r="CW44" s="1644">
        <f t="shared" si="0"/>
        <v>0.28544423440453687</v>
      </c>
      <c r="CX44" s="1976"/>
      <c r="CY44" s="41"/>
      <c r="CZ44" s="41"/>
      <c r="DA44" s="41" t="s">
        <v>36</v>
      </c>
      <c r="DB44" s="105">
        <v>85</v>
      </c>
      <c r="DC44" s="105">
        <v>71</v>
      </c>
      <c r="DD44" s="105"/>
      <c r="DE44" s="105">
        <v>22</v>
      </c>
      <c r="DF44" s="105">
        <v>124</v>
      </c>
      <c r="DG44" s="105">
        <v>1</v>
      </c>
      <c r="DH44" s="105">
        <v>49</v>
      </c>
      <c r="DI44" s="105">
        <v>0</v>
      </c>
      <c r="DJ44" s="105">
        <v>1</v>
      </c>
      <c r="DK44" s="105">
        <v>61</v>
      </c>
      <c r="DL44" s="105">
        <v>17</v>
      </c>
      <c r="DM44" s="105"/>
      <c r="DN44" s="105">
        <v>79</v>
      </c>
      <c r="DO44" s="105">
        <v>0</v>
      </c>
      <c r="DP44" s="105">
        <v>510</v>
      </c>
      <c r="DQ44" s="1644">
        <f t="shared" si="9"/>
        <v>0.27843137254901962</v>
      </c>
      <c r="DS44" s="1311"/>
      <c r="DT44" s="1311"/>
      <c r="DU44" s="1319" t="s">
        <v>36</v>
      </c>
      <c r="DV44" s="1320">
        <v>84</v>
      </c>
      <c r="DW44" s="1320">
        <v>66</v>
      </c>
      <c r="DX44" s="1321"/>
      <c r="DY44" s="1320">
        <v>22</v>
      </c>
      <c r="DZ44" s="1320">
        <v>120</v>
      </c>
      <c r="EA44" s="1320">
        <v>8</v>
      </c>
      <c r="EB44" s="1320">
        <v>55</v>
      </c>
      <c r="EC44" s="1321"/>
      <c r="ED44" s="1320">
        <v>2</v>
      </c>
      <c r="EE44" s="1320">
        <v>45</v>
      </c>
      <c r="EF44" s="1320">
        <v>14</v>
      </c>
      <c r="EG44" s="1321"/>
      <c r="EH44" s="1320">
        <v>91</v>
      </c>
      <c r="EI44" s="1320">
        <v>0</v>
      </c>
      <c r="EJ44" s="1320">
        <v>507</v>
      </c>
      <c r="EK44" s="1322">
        <f t="shared" si="10"/>
        <v>0.28007889546351084</v>
      </c>
      <c r="EM44" s="1047"/>
      <c r="EN44" s="1047"/>
      <c r="EO44" s="1060" t="s">
        <v>36</v>
      </c>
      <c r="EP44" s="1061">
        <v>85</v>
      </c>
      <c r="EQ44" s="1061">
        <v>75</v>
      </c>
      <c r="ER44" s="1047"/>
      <c r="ES44" s="1061">
        <v>37</v>
      </c>
      <c r="ET44" s="1061">
        <v>120</v>
      </c>
      <c r="EU44" s="1061">
        <v>4</v>
      </c>
      <c r="EV44" s="1061">
        <v>54</v>
      </c>
      <c r="EW44" s="1047"/>
      <c r="EX44" s="1061">
        <v>2</v>
      </c>
      <c r="EY44" s="1061">
        <v>49</v>
      </c>
      <c r="EZ44" s="1061">
        <v>16</v>
      </c>
      <c r="FA44" s="1061">
        <v>149</v>
      </c>
      <c r="FB44" s="1047"/>
      <c r="FC44" s="1061">
        <v>591</v>
      </c>
      <c r="FD44" s="537">
        <f t="shared" si="11"/>
        <v>0.23688663282571912</v>
      </c>
      <c r="FF44" s="652"/>
      <c r="FG44" s="652"/>
      <c r="FH44" s="1062" t="s">
        <v>36</v>
      </c>
      <c r="FI44" s="1063">
        <v>104</v>
      </c>
      <c r="FJ44" s="1063">
        <v>68</v>
      </c>
      <c r="FK44" s="1063">
        <v>0</v>
      </c>
      <c r="FL44" s="1063">
        <v>45</v>
      </c>
      <c r="FM44" s="1063">
        <v>120</v>
      </c>
      <c r="FN44" s="1063">
        <v>14</v>
      </c>
      <c r="FO44" s="1063">
        <v>48</v>
      </c>
      <c r="FP44" s="652"/>
      <c r="FQ44" s="1063">
        <v>2</v>
      </c>
      <c r="FR44" s="1063">
        <v>33</v>
      </c>
      <c r="FS44" s="1063">
        <v>3</v>
      </c>
      <c r="FT44" s="1063">
        <v>149</v>
      </c>
      <c r="FU44" s="652"/>
      <c r="FV44" s="1063">
        <v>586</v>
      </c>
      <c r="FW44" s="537">
        <f t="shared" si="12"/>
        <v>0.23378839590443687</v>
      </c>
      <c r="FY44" s="817"/>
      <c r="FZ44" s="817"/>
      <c r="GA44" s="1064" t="s">
        <v>37</v>
      </c>
      <c r="GB44" s="1065">
        <v>38</v>
      </c>
      <c r="GC44" s="1065">
        <v>22</v>
      </c>
      <c r="GD44" s="1065">
        <v>0</v>
      </c>
      <c r="GE44" s="1065">
        <v>18</v>
      </c>
      <c r="GF44" s="1065">
        <v>54</v>
      </c>
      <c r="GG44" s="1065">
        <v>9</v>
      </c>
      <c r="GH44" s="1065">
        <v>27</v>
      </c>
      <c r="GI44" s="1065">
        <v>0</v>
      </c>
      <c r="GJ44" s="1065">
        <v>5</v>
      </c>
      <c r="GK44" s="1065">
        <v>9</v>
      </c>
      <c r="GL44" s="1065">
        <v>48</v>
      </c>
      <c r="GM44" s="1065">
        <v>76</v>
      </c>
      <c r="GN44" s="1065">
        <v>0</v>
      </c>
      <c r="GO44" s="1065">
        <v>0</v>
      </c>
      <c r="GP44" s="1065">
        <v>306</v>
      </c>
      <c r="GQ44" s="1066">
        <f t="shared" si="13"/>
        <v>0.27906976744186046</v>
      </c>
      <c r="GS44" s="107"/>
      <c r="GT44" s="107"/>
      <c r="GU44" s="47" t="s">
        <v>37</v>
      </c>
      <c r="GV44" s="47">
        <v>31</v>
      </c>
      <c r="GW44" s="47">
        <v>16</v>
      </c>
      <c r="GX44" s="47"/>
      <c r="GY44" s="47">
        <v>18</v>
      </c>
      <c r="GZ44" s="47">
        <v>53</v>
      </c>
      <c r="HA44" s="47">
        <v>7</v>
      </c>
      <c r="HB44" s="47">
        <v>19</v>
      </c>
      <c r="HC44" s="47">
        <v>0</v>
      </c>
      <c r="HD44" s="47">
        <v>4</v>
      </c>
      <c r="HE44" s="47">
        <v>5</v>
      </c>
      <c r="HF44" s="47">
        <v>43</v>
      </c>
      <c r="HG44" s="47">
        <v>83</v>
      </c>
      <c r="HH44" s="47"/>
      <c r="HI44" s="47">
        <v>0</v>
      </c>
      <c r="HJ44" s="47">
        <v>279</v>
      </c>
      <c r="HK44" s="1067">
        <f t="shared" si="1"/>
        <v>0.27542372881355931</v>
      </c>
      <c r="HL44" s="47"/>
      <c r="HM44" s="420"/>
      <c r="HN44" s="420"/>
      <c r="HO44" s="420" t="s">
        <v>37</v>
      </c>
      <c r="HP44" s="1068">
        <v>19</v>
      </c>
      <c r="HQ44" s="1068">
        <v>24</v>
      </c>
      <c r="HR44" s="1068" t="s">
        <v>327</v>
      </c>
      <c r="HS44" s="1068">
        <v>15</v>
      </c>
      <c r="HT44" s="1068">
        <v>58</v>
      </c>
      <c r="HU44" s="1068">
        <v>8</v>
      </c>
      <c r="HV44" s="1068">
        <v>19</v>
      </c>
      <c r="HW44" s="1068" t="s">
        <v>327</v>
      </c>
      <c r="HX44" s="1068">
        <v>9</v>
      </c>
      <c r="HY44" s="1068">
        <v>2</v>
      </c>
      <c r="HZ44" s="1068">
        <v>79</v>
      </c>
      <c r="IA44" s="1068" t="s">
        <v>327</v>
      </c>
      <c r="IB44" s="1068">
        <v>233</v>
      </c>
      <c r="IC44" s="1068">
        <f t="shared" si="2"/>
        <v>68</v>
      </c>
      <c r="ID44" s="1069">
        <f t="shared" si="3"/>
        <v>0.29184549356223177</v>
      </c>
      <c r="IE44" s="47"/>
      <c r="IF44" s="47"/>
    </row>
    <row r="45" spans="1:240">
      <c r="A45" s="41"/>
      <c r="B45" s="41"/>
      <c r="C45" s="41" t="s">
        <v>36</v>
      </c>
      <c r="D45" s="105">
        <v>127</v>
      </c>
      <c r="E45" s="105">
        <v>93</v>
      </c>
      <c r="F45" s="105">
        <v>0</v>
      </c>
      <c r="G45" s="105">
        <v>23</v>
      </c>
      <c r="H45" s="105">
        <v>98</v>
      </c>
      <c r="I45" s="105">
        <v>13</v>
      </c>
      <c r="J45" s="105">
        <v>8</v>
      </c>
      <c r="K45" s="105"/>
      <c r="L45" s="105">
        <v>0</v>
      </c>
      <c r="M45" s="105">
        <v>57</v>
      </c>
      <c r="N45" s="105">
        <v>14</v>
      </c>
      <c r="O45" s="105"/>
      <c r="P45" s="105">
        <v>106</v>
      </c>
      <c r="Q45" s="105">
        <v>1</v>
      </c>
      <c r="R45" s="105">
        <v>540</v>
      </c>
      <c r="S45" s="706">
        <f t="shared" si="4"/>
        <v>0.23191094619666047</v>
      </c>
      <c r="T45" s="5561">
        <f t="shared" si="5"/>
        <v>8</v>
      </c>
      <c r="U45" s="5562">
        <v>532</v>
      </c>
      <c r="V45" s="706"/>
      <c r="Y45" s="41" t="s">
        <v>37</v>
      </c>
      <c r="Z45" s="41">
        <v>24</v>
      </c>
      <c r="AA45" s="41">
        <v>33</v>
      </c>
      <c r="AB45" s="41"/>
      <c r="AC45" s="41">
        <v>19</v>
      </c>
      <c r="AD45" s="41">
        <v>107</v>
      </c>
      <c r="AE45" s="41">
        <v>8</v>
      </c>
      <c r="AF45" s="41">
        <v>46</v>
      </c>
      <c r="AG45" s="41">
        <v>0</v>
      </c>
      <c r="AH45" s="41">
        <v>0</v>
      </c>
      <c r="AI45" s="41">
        <v>14</v>
      </c>
      <c r="AJ45" s="41">
        <v>9</v>
      </c>
      <c r="AK45" s="41"/>
      <c r="AL45" s="41">
        <v>85</v>
      </c>
      <c r="AM45" s="41">
        <v>1</v>
      </c>
      <c r="AN45" s="461">
        <v>346</v>
      </c>
      <c r="AO45" s="4692">
        <f t="shared" si="6"/>
        <v>0.35942028985507246</v>
      </c>
      <c r="AQ45" s="1788"/>
      <c r="AR45" s="1788"/>
      <c r="AS45" s="37" t="s">
        <v>37</v>
      </c>
      <c r="AT45" s="1788">
        <v>51</v>
      </c>
      <c r="AU45" s="1788">
        <v>57</v>
      </c>
      <c r="AV45" s="1788"/>
      <c r="AW45" s="1788">
        <v>17</v>
      </c>
      <c r="AX45" s="1788">
        <v>81</v>
      </c>
      <c r="AY45" s="1788">
        <v>14</v>
      </c>
      <c r="AZ45" s="1788">
        <v>8</v>
      </c>
      <c r="BA45" s="1788">
        <v>0</v>
      </c>
      <c r="BB45" s="1788">
        <v>0</v>
      </c>
      <c r="BC45" s="1788">
        <v>7</v>
      </c>
      <c r="BD45" s="1788">
        <v>10</v>
      </c>
      <c r="BE45" s="1788"/>
      <c r="BF45" s="1788">
        <v>97</v>
      </c>
      <c r="BG45" s="1788">
        <v>1</v>
      </c>
      <c r="BH45" s="1788">
        <v>343</v>
      </c>
      <c r="BI45" s="4701">
        <f t="shared" si="7"/>
        <v>0.30701754385964913</v>
      </c>
      <c r="BK45" s="41"/>
      <c r="BL45" s="41"/>
      <c r="BM45" s="41" t="s">
        <v>37</v>
      </c>
      <c r="BN45" s="105">
        <v>44</v>
      </c>
      <c r="BO45" s="105">
        <v>38</v>
      </c>
      <c r="BP45" s="105"/>
      <c r="BQ45" s="105">
        <v>1</v>
      </c>
      <c r="BR45" s="105">
        <v>91</v>
      </c>
      <c r="BS45" s="105">
        <v>8</v>
      </c>
      <c r="BT45" s="105">
        <v>32</v>
      </c>
      <c r="BU45" s="105"/>
      <c r="BV45" s="105">
        <v>0</v>
      </c>
      <c r="BW45" s="105">
        <v>15</v>
      </c>
      <c r="BX45" s="105">
        <v>13</v>
      </c>
      <c r="BY45" s="105"/>
      <c r="BZ45" s="105">
        <v>86</v>
      </c>
      <c r="CA45" s="105">
        <v>0</v>
      </c>
      <c r="CB45" s="105">
        <v>328</v>
      </c>
      <c r="CC45" s="2484">
        <f t="shared" si="8"/>
        <v>0.34146341463414637</v>
      </c>
      <c r="CE45" s="41"/>
      <c r="CF45" s="41"/>
      <c r="CG45" s="41" t="s">
        <v>37</v>
      </c>
      <c r="CH45" s="105">
        <v>40</v>
      </c>
      <c r="CI45" s="105">
        <v>47</v>
      </c>
      <c r="CJ45" s="105">
        <v>0</v>
      </c>
      <c r="CK45" s="105">
        <v>17</v>
      </c>
      <c r="CL45" s="105">
        <v>75</v>
      </c>
      <c r="CM45" s="105">
        <v>7</v>
      </c>
      <c r="CN45" s="105">
        <v>22</v>
      </c>
      <c r="CO45" s="105"/>
      <c r="CP45" s="105">
        <v>0</v>
      </c>
      <c r="CQ45" s="105">
        <v>12</v>
      </c>
      <c r="CR45" s="105">
        <v>19</v>
      </c>
      <c r="CS45" s="105"/>
      <c r="CT45" s="105">
        <v>80</v>
      </c>
      <c r="CU45" s="105">
        <v>1</v>
      </c>
      <c r="CV45" s="105">
        <v>320</v>
      </c>
      <c r="CW45" s="1644">
        <f t="shared" si="0"/>
        <v>0.31661442006269591</v>
      </c>
      <c r="CX45" s="1976"/>
      <c r="CY45" s="41"/>
      <c r="CZ45" s="41"/>
      <c r="DA45" s="41" t="s">
        <v>37</v>
      </c>
      <c r="DB45" s="105">
        <v>45</v>
      </c>
      <c r="DC45" s="105">
        <v>49</v>
      </c>
      <c r="DD45" s="105"/>
      <c r="DE45" s="105">
        <v>16</v>
      </c>
      <c r="DF45" s="105">
        <v>71</v>
      </c>
      <c r="DG45" s="105">
        <v>9</v>
      </c>
      <c r="DH45" s="105">
        <v>27</v>
      </c>
      <c r="DI45" s="105">
        <v>0</v>
      </c>
      <c r="DJ45" s="105">
        <v>0</v>
      </c>
      <c r="DK45" s="105">
        <v>15</v>
      </c>
      <c r="DL45" s="105">
        <v>10</v>
      </c>
      <c r="DM45" s="105"/>
      <c r="DN45" s="105">
        <v>61</v>
      </c>
      <c r="DO45" s="105">
        <v>0</v>
      </c>
      <c r="DP45" s="105">
        <v>303</v>
      </c>
      <c r="DQ45" s="1644">
        <f t="shared" si="9"/>
        <v>0.29702970297029702</v>
      </c>
      <c r="DS45" s="1311"/>
      <c r="DT45" s="1311"/>
      <c r="DU45" s="1319" t="s">
        <v>37</v>
      </c>
      <c r="DV45" s="1320">
        <v>47</v>
      </c>
      <c r="DW45" s="1320">
        <v>41</v>
      </c>
      <c r="DX45" s="1321"/>
      <c r="DY45" s="1320">
        <v>14</v>
      </c>
      <c r="DZ45" s="1320">
        <v>63</v>
      </c>
      <c r="EA45" s="1320">
        <v>3</v>
      </c>
      <c r="EB45" s="1320">
        <v>21</v>
      </c>
      <c r="EC45" s="1321"/>
      <c r="ED45" s="1320">
        <v>0</v>
      </c>
      <c r="EE45" s="1320">
        <v>12</v>
      </c>
      <c r="EF45" s="1320">
        <v>17</v>
      </c>
      <c r="EG45" s="1321"/>
      <c r="EH45" s="1320">
        <v>64</v>
      </c>
      <c r="EI45" s="1320">
        <v>0</v>
      </c>
      <c r="EJ45" s="1320">
        <v>282</v>
      </c>
      <c r="EK45" s="1322">
        <f t="shared" si="10"/>
        <v>0.29432624113475175</v>
      </c>
      <c r="EM45" s="1047"/>
      <c r="EN45" s="1047"/>
      <c r="EO45" s="1060" t="s">
        <v>37</v>
      </c>
      <c r="EP45" s="1061">
        <v>49</v>
      </c>
      <c r="EQ45" s="1061">
        <v>34</v>
      </c>
      <c r="ER45" s="1047"/>
      <c r="ES45" s="1061">
        <v>20</v>
      </c>
      <c r="ET45" s="1061">
        <v>64</v>
      </c>
      <c r="EU45" s="1061">
        <v>5</v>
      </c>
      <c r="EV45" s="1061">
        <v>28</v>
      </c>
      <c r="EW45" s="1047"/>
      <c r="EX45" s="1061">
        <v>0</v>
      </c>
      <c r="EY45" s="1061">
        <v>14</v>
      </c>
      <c r="EZ45" s="1061">
        <v>7</v>
      </c>
      <c r="FA45" s="1061">
        <v>78</v>
      </c>
      <c r="FB45" s="1047"/>
      <c r="FC45" s="1061">
        <v>299</v>
      </c>
      <c r="FD45" s="537">
        <f t="shared" si="11"/>
        <v>0.25418060200668896</v>
      </c>
      <c r="FF45" s="652"/>
      <c r="FG45" s="652"/>
      <c r="FH45" s="1062" t="s">
        <v>37</v>
      </c>
      <c r="FI45" s="1063">
        <v>39</v>
      </c>
      <c r="FJ45" s="1063">
        <v>33</v>
      </c>
      <c r="FK45" s="1063">
        <v>0</v>
      </c>
      <c r="FL45" s="1063">
        <v>20</v>
      </c>
      <c r="FM45" s="1063">
        <v>55</v>
      </c>
      <c r="FN45" s="1063">
        <v>9</v>
      </c>
      <c r="FO45" s="1063">
        <v>17</v>
      </c>
      <c r="FP45" s="652"/>
      <c r="FQ45" s="1063">
        <v>0</v>
      </c>
      <c r="FR45" s="1063">
        <v>6</v>
      </c>
      <c r="FS45" s="1063">
        <v>11</v>
      </c>
      <c r="FT45" s="1063">
        <v>77</v>
      </c>
      <c r="FU45" s="652"/>
      <c r="FV45" s="1063">
        <v>267</v>
      </c>
      <c r="FW45" s="537">
        <f t="shared" si="12"/>
        <v>0.2808988764044944</v>
      </c>
      <c r="FY45" s="817"/>
      <c r="FZ45" s="817"/>
      <c r="GA45" s="1064" t="s">
        <v>38</v>
      </c>
      <c r="GB45" s="1065">
        <v>144</v>
      </c>
      <c r="GC45" s="1065">
        <v>80</v>
      </c>
      <c r="GD45" s="1065">
        <v>0</v>
      </c>
      <c r="GE45" s="1065">
        <v>39</v>
      </c>
      <c r="GF45" s="1065">
        <v>154</v>
      </c>
      <c r="GG45" s="1065">
        <v>19</v>
      </c>
      <c r="GH45" s="1065">
        <v>45</v>
      </c>
      <c r="GI45" s="1065">
        <v>1</v>
      </c>
      <c r="GJ45" s="1065">
        <v>46</v>
      </c>
      <c r="GK45" s="1065">
        <v>14</v>
      </c>
      <c r="GL45" s="1065">
        <v>134</v>
      </c>
      <c r="GM45" s="1065">
        <v>148</v>
      </c>
      <c r="GN45" s="1065">
        <v>0</v>
      </c>
      <c r="GO45" s="1065">
        <v>2</v>
      </c>
      <c r="GP45" s="1065">
        <v>826</v>
      </c>
      <c r="GQ45" s="1066">
        <f t="shared" si="13"/>
        <v>0.27101449275362322</v>
      </c>
      <c r="GS45" s="107"/>
      <c r="GT45" s="107"/>
      <c r="GU45" s="47" t="s">
        <v>38</v>
      </c>
      <c r="GV45" s="47">
        <v>114</v>
      </c>
      <c r="GW45" s="47">
        <v>100</v>
      </c>
      <c r="GX45" s="47"/>
      <c r="GY45" s="47">
        <v>38</v>
      </c>
      <c r="GZ45" s="47">
        <v>150</v>
      </c>
      <c r="HA45" s="47">
        <v>15</v>
      </c>
      <c r="HB45" s="47">
        <v>44</v>
      </c>
      <c r="HC45" s="47">
        <v>1</v>
      </c>
      <c r="HD45" s="47">
        <v>52</v>
      </c>
      <c r="HE45" s="47">
        <v>4</v>
      </c>
      <c r="HF45" s="47">
        <v>126</v>
      </c>
      <c r="HG45" s="47">
        <v>150</v>
      </c>
      <c r="HH45" s="47"/>
      <c r="HI45" s="47">
        <v>1</v>
      </c>
      <c r="HJ45" s="47">
        <v>795</v>
      </c>
      <c r="HK45" s="1067">
        <f t="shared" si="1"/>
        <v>0.25299401197604793</v>
      </c>
      <c r="HL45" s="47"/>
      <c r="HM45" s="420"/>
      <c r="HN45" s="420"/>
      <c r="HO45" s="420" t="s">
        <v>38</v>
      </c>
      <c r="HP45" s="1068">
        <v>97</v>
      </c>
      <c r="HQ45" s="1068">
        <v>93</v>
      </c>
      <c r="HR45" s="1068" t="s">
        <v>327</v>
      </c>
      <c r="HS45" s="1068">
        <v>32</v>
      </c>
      <c r="HT45" s="1068">
        <v>162</v>
      </c>
      <c r="HU45" s="1068">
        <v>16</v>
      </c>
      <c r="HV45" s="1068">
        <v>73</v>
      </c>
      <c r="HW45" s="1068" t="s">
        <v>327</v>
      </c>
      <c r="HX45" s="1068">
        <v>47</v>
      </c>
      <c r="HY45" s="1068">
        <v>7</v>
      </c>
      <c r="HZ45" s="1068">
        <v>143</v>
      </c>
      <c r="IA45" s="1068" t="s">
        <v>327</v>
      </c>
      <c r="IB45" s="1068">
        <v>670</v>
      </c>
      <c r="IC45" s="1068">
        <f t="shared" si="2"/>
        <v>185</v>
      </c>
      <c r="ID45" s="1069">
        <f t="shared" si="3"/>
        <v>0.27611940298507465</v>
      </c>
      <c r="IE45" s="47"/>
      <c r="IF45" s="47"/>
    </row>
    <row r="46" spans="1:240">
      <c r="A46" s="41"/>
      <c r="B46" s="41"/>
      <c r="C46" s="41" t="s">
        <v>37</v>
      </c>
      <c r="D46" s="105">
        <v>56</v>
      </c>
      <c r="E46" s="105">
        <v>50</v>
      </c>
      <c r="F46" s="105">
        <v>0</v>
      </c>
      <c r="G46" s="105">
        <v>16</v>
      </c>
      <c r="H46" s="105">
        <v>81</v>
      </c>
      <c r="I46" s="105">
        <v>5</v>
      </c>
      <c r="J46" s="105">
        <v>5</v>
      </c>
      <c r="K46" s="105"/>
      <c r="L46" s="105">
        <v>0</v>
      </c>
      <c r="M46" s="105">
        <v>10</v>
      </c>
      <c r="N46" s="105">
        <v>20</v>
      </c>
      <c r="O46" s="105"/>
      <c r="P46" s="105">
        <v>106</v>
      </c>
      <c r="Q46" s="105">
        <v>1</v>
      </c>
      <c r="R46" s="105">
        <v>350</v>
      </c>
      <c r="S46" s="706">
        <f t="shared" si="4"/>
        <v>0.30372492836676218</v>
      </c>
      <c r="T46" s="5561">
        <f t="shared" si="5"/>
        <v>7</v>
      </c>
      <c r="U46" s="5562">
        <v>343</v>
      </c>
      <c r="V46" s="706"/>
      <c r="Y46" s="41" t="s">
        <v>38</v>
      </c>
      <c r="Z46" s="41">
        <v>49</v>
      </c>
      <c r="AA46" s="41">
        <v>94</v>
      </c>
      <c r="AB46" s="41"/>
      <c r="AC46" s="41">
        <v>15</v>
      </c>
      <c r="AD46" s="41">
        <v>270</v>
      </c>
      <c r="AE46" s="41">
        <v>19</v>
      </c>
      <c r="AF46" s="41">
        <v>94</v>
      </c>
      <c r="AG46" s="41">
        <v>2</v>
      </c>
      <c r="AH46" s="41">
        <v>0</v>
      </c>
      <c r="AI46" s="41">
        <v>52</v>
      </c>
      <c r="AJ46" s="41">
        <v>17</v>
      </c>
      <c r="AK46" s="41"/>
      <c r="AL46" s="41">
        <v>86</v>
      </c>
      <c r="AM46" s="41">
        <v>0</v>
      </c>
      <c r="AN46" s="461">
        <v>698</v>
      </c>
      <c r="AO46" s="4692">
        <f t="shared" si="6"/>
        <v>0.43839541547277938</v>
      </c>
      <c r="AQ46" s="1788"/>
      <c r="AR46" s="1788"/>
      <c r="AS46" s="37" t="s">
        <v>38</v>
      </c>
      <c r="AT46" s="1788">
        <v>112</v>
      </c>
      <c r="AU46" s="1788">
        <v>136</v>
      </c>
      <c r="AV46" s="1788"/>
      <c r="AW46" s="1788">
        <v>13</v>
      </c>
      <c r="AX46" s="1788">
        <v>202</v>
      </c>
      <c r="AY46" s="1788">
        <v>30</v>
      </c>
      <c r="AZ46" s="1788">
        <v>6</v>
      </c>
      <c r="BA46" s="1788">
        <v>0</v>
      </c>
      <c r="BB46" s="1788">
        <v>0</v>
      </c>
      <c r="BC46" s="1788">
        <v>39</v>
      </c>
      <c r="BD46" s="1788">
        <v>32</v>
      </c>
      <c r="BE46" s="1788"/>
      <c r="BF46" s="1788">
        <v>123</v>
      </c>
      <c r="BG46" s="1788">
        <v>0</v>
      </c>
      <c r="BH46" s="1788">
        <v>693</v>
      </c>
      <c r="BI46" s="4701">
        <f t="shared" si="7"/>
        <v>0.38095238095238093</v>
      </c>
      <c r="BK46" s="41"/>
      <c r="BL46" s="41"/>
      <c r="BM46" s="41" t="s">
        <v>38</v>
      </c>
      <c r="BN46" s="105">
        <v>104</v>
      </c>
      <c r="BO46" s="105">
        <v>91</v>
      </c>
      <c r="BP46" s="105"/>
      <c r="BQ46" s="105">
        <v>0</v>
      </c>
      <c r="BR46" s="105">
        <v>230</v>
      </c>
      <c r="BS46" s="105">
        <v>16</v>
      </c>
      <c r="BT46" s="105">
        <v>50</v>
      </c>
      <c r="BU46" s="105"/>
      <c r="BV46" s="105">
        <v>0</v>
      </c>
      <c r="BW46" s="105">
        <v>64</v>
      </c>
      <c r="BX46" s="105">
        <v>28</v>
      </c>
      <c r="BY46" s="105"/>
      <c r="BZ46" s="105">
        <v>100</v>
      </c>
      <c r="CA46" s="105">
        <v>0</v>
      </c>
      <c r="CB46" s="105">
        <v>683</v>
      </c>
      <c r="CC46" s="2484">
        <f t="shared" si="8"/>
        <v>0.40117130307467058</v>
      </c>
      <c r="CE46" s="41"/>
      <c r="CF46" s="41"/>
      <c r="CG46" s="41" t="s">
        <v>38</v>
      </c>
      <c r="CH46" s="105">
        <v>112</v>
      </c>
      <c r="CI46" s="105">
        <v>113</v>
      </c>
      <c r="CJ46" s="105">
        <v>0</v>
      </c>
      <c r="CK46" s="105">
        <v>21</v>
      </c>
      <c r="CL46" s="105">
        <v>223</v>
      </c>
      <c r="CM46" s="105">
        <v>23</v>
      </c>
      <c r="CN46" s="105">
        <v>68</v>
      </c>
      <c r="CO46" s="105"/>
      <c r="CP46" s="105">
        <v>0</v>
      </c>
      <c r="CQ46" s="105">
        <v>62</v>
      </c>
      <c r="CR46" s="105">
        <v>34</v>
      </c>
      <c r="CS46" s="105"/>
      <c r="CT46" s="105">
        <v>78</v>
      </c>
      <c r="CU46" s="105">
        <v>0</v>
      </c>
      <c r="CV46" s="105">
        <v>734</v>
      </c>
      <c r="CW46" s="1644">
        <f t="shared" si="0"/>
        <v>0.38147138964577659</v>
      </c>
      <c r="CX46" s="1976"/>
      <c r="CY46" s="41"/>
      <c r="CZ46" s="41"/>
      <c r="DA46" s="41" t="s">
        <v>38</v>
      </c>
      <c r="DB46" s="105">
        <v>113</v>
      </c>
      <c r="DC46" s="105">
        <v>124</v>
      </c>
      <c r="DD46" s="105"/>
      <c r="DE46" s="105">
        <v>25</v>
      </c>
      <c r="DF46" s="105">
        <v>227</v>
      </c>
      <c r="DG46" s="105">
        <v>11</v>
      </c>
      <c r="DH46" s="105">
        <v>44</v>
      </c>
      <c r="DI46" s="105">
        <v>11</v>
      </c>
      <c r="DJ46" s="105">
        <v>0</v>
      </c>
      <c r="DK46" s="105">
        <v>59</v>
      </c>
      <c r="DL46" s="105">
        <v>24</v>
      </c>
      <c r="DM46" s="105"/>
      <c r="DN46" s="105">
        <v>83</v>
      </c>
      <c r="DO46" s="105">
        <v>0</v>
      </c>
      <c r="DP46" s="105">
        <v>721</v>
      </c>
      <c r="DQ46" s="1644">
        <f t="shared" si="9"/>
        <v>0.36338418862690708</v>
      </c>
      <c r="DS46" s="1311"/>
      <c r="DT46" s="1311"/>
      <c r="DU46" s="1319" t="s">
        <v>38</v>
      </c>
      <c r="DV46" s="1320">
        <v>121</v>
      </c>
      <c r="DW46" s="1320">
        <v>110</v>
      </c>
      <c r="DX46" s="1321"/>
      <c r="DY46" s="1320">
        <v>22</v>
      </c>
      <c r="DZ46" s="1320">
        <v>227</v>
      </c>
      <c r="EA46" s="1320">
        <v>9</v>
      </c>
      <c r="EB46" s="1320">
        <v>37</v>
      </c>
      <c r="EC46" s="1321"/>
      <c r="ED46" s="1320">
        <v>0</v>
      </c>
      <c r="EE46" s="1320">
        <v>46</v>
      </c>
      <c r="EF46" s="1320">
        <v>31</v>
      </c>
      <c r="EG46" s="1321"/>
      <c r="EH46" s="1320">
        <v>102</v>
      </c>
      <c r="EI46" s="1320">
        <v>0</v>
      </c>
      <c r="EJ46" s="1320">
        <v>705</v>
      </c>
      <c r="EK46" s="1322">
        <f t="shared" si="10"/>
        <v>0.37872340425531914</v>
      </c>
      <c r="EM46" s="1047"/>
      <c r="EN46" s="1047"/>
      <c r="EO46" s="1060" t="s">
        <v>38</v>
      </c>
      <c r="EP46" s="1061">
        <v>116</v>
      </c>
      <c r="EQ46" s="1061">
        <v>106</v>
      </c>
      <c r="ER46" s="1047"/>
      <c r="ES46" s="1061">
        <v>31</v>
      </c>
      <c r="ET46" s="1061">
        <v>217</v>
      </c>
      <c r="EU46" s="1061">
        <v>11</v>
      </c>
      <c r="EV46" s="1061">
        <v>39</v>
      </c>
      <c r="EW46" s="1047"/>
      <c r="EX46" s="1061">
        <v>0</v>
      </c>
      <c r="EY46" s="1061">
        <v>58</v>
      </c>
      <c r="EZ46" s="1061">
        <v>28</v>
      </c>
      <c r="FA46" s="1061">
        <v>136</v>
      </c>
      <c r="FB46" s="1047"/>
      <c r="FC46" s="1061">
        <v>742</v>
      </c>
      <c r="FD46" s="537">
        <f t="shared" si="11"/>
        <v>0.34501347708894881</v>
      </c>
      <c r="FF46" s="652"/>
      <c r="FG46" s="652"/>
      <c r="FH46" s="1062" t="s">
        <v>38</v>
      </c>
      <c r="FI46" s="1063">
        <v>125</v>
      </c>
      <c r="FJ46" s="1063">
        <v>103</v>
      </c>
      <c r="FK46" s="1063">
        <v>0</v>
      </c>
      <c r="FL46" s="1063">
        <v>36</v>
      </c>
      <c r="FM46" s="1063">
        <v>198</v>
      </c>
      <c r="FN46" s="1063">
        <v>30</v>
      </c>
      <c r="FO46" s="1063">
        <v>42</v>
      </c>
      <c r="FP46" s="652"/>
      <c r="FQ46" s="1063">
        <v>1</v>
      </c>
      <c r="FR46" s="1063">
        <v>44</v>
      </c>
      <c r="FS46" s="1063">
        <v>14</v>
      </c>
      <c r="FT46" s="1063">
        <v>129</v>
      </c>
      <c r="FU46" s="652"/>
      <c r="FV46" s="1063">
        <v>722</v>
      </c>
      <c r="FW46" s="537">
        <f t="shared" si="12"/>
        <v>0.33518005540166207</v>
      </c>
      <c r="FY46" s="817"/>
      <c r="FZ46" s="817"/>
      <c r="GA46" s="1064" t="s">
        <v>39</v>
      </c>
      <c r="GB46" s="1065">
        <v>173</v>
      </c>
      <c r="GC46" s="1065">
        <v>116</v>
      </c>
      <c r="GD46" s="1065">
        <v>0</v>
      </c>
      <c r="GE46" s="1065">
        <v>66</v>
      </c>
      <c r="GF46" s="1065">
        <v>473</v>
      </c>
      <c r="GG46" s="1065">
        <v>61</v>
      </c>
      <c r="GH46" s="1065">
        <v>78</v>
      </c>
      <c r="GI46" s="1065">
        <v>0</v>
      </c>
      <c r="GJ46" s="1065">
        <v>31</v>
      </c>
      <c r="GK46" s="1065">
        <v>59</v>
      </c>
      <c r="GL46" s="1065">
        <v>178</v>
      </c>
      <c r="GM46" s="1065">
        <v>313</v>
      </c>
      <c r="GN46" s="1065">
        <v>0</v>
      </c>
      <c r="GO46" s="1065">
        <v>5</v>
      </c>
      <c r="GP46" s="1065">
        <v>1553</v>
      </c>
      <c r="GQ46" s="1066">
        <f t="shared" si="13"/>
        <v>0.43284671532846714</v>
      </c>
      <c r="GS46" s="107"/>
      <c r="GT46" s="107"/>
      <c r="GU46" s="47" t="s">
        <v>39</v>
      </c>
      <c r="GV46" s="47">
        <v>180</v>
      </c>
      <c r="GW46" s="47">
        <v>110</v>
      </c>
      <c r="GX46" s="47"/>
      <c r="GY46" s="47">
        <v>73</v>
      </c>
      <c r="GZ46" s="47">
        <v>413</v>
      </c>
      <c r="HA46" s="47">
        <v>47</v>
      </c>
      <c r="HB46" s="47">
        <v>88</v>
      </c>
      <c r="HC46" s="47">
        <v>0</v>
      </c>
      <c r="HD46" s="47">
        <v>41</v>
      </c>
      <c r="HE46" s="47">
        <v>58</v>
      </c>
      <c r="HF46" s="47">
        <v>177</v>
      </c>
      <c r="HG46" s="47">
        <v>317</v>
      </c>
      <c r="HH46" s="47"/>
      <c r="HI46" s="47">
        <v>4</v>
      </c>
      <c r="HJ46" s="47">
        <v>1508</v>
      </c>
      <c r="HK46" s="1067">
        <f t="shared" si="1"/>
        <v>0.39035418236623964</v>
      </c>
      <c r="HL46" s="47"/>
      <c r="HM46" s="420"/>
      <c r="HN46" s="420"/>
      <c r="HO46" s="420" t="s">
        <v>39</v>
      </c>
      <c r="HP46" s="1068">
        <v>139</v>
      </c>
      <c r="HQ46" s="1068">
        <v>112</v>
      </c>
      <c r="HR46" s="1068" t="s">
        <v>327</v>
      </c>
      <c r="HS46" s="1068">
        <v>70</v>
      </c>
      <c r="HT46" s="1068">
        <v>398</v>
      </c>
      <c r="HU46" s="1068">
        <v>56</v>
      </c>
      <c r="HV46" s="1068">
        <v>92</v>
      </c>
      <c r="HW46" s="1068" t="s">
        <v>327</v>
      </c>
      <c r="HX46" s="1068">
        <v>42</v>
      </c>
      <c r="HY46" s="1068">
        <v>49</v>
      </c>
      <c r="HZ46" s="1068">
        <v>308</v>
      </c>
      <c r="IA46" s="1068" t="s">
        <v>327</v>
      </c>
      <c r="IB46" s="1068">
        <v>1266</v>
      </c>
      <c r="IC46" s="1068">
        <f t="shared" si="2"/>
        <v>503</v>
      </c>
      <c r="ID46" s="1069">
        <f t="shared" si="3"/>
        <v>0.39731437598736175</v>
      </c>
      <c r="IE46" s="47"/>
      <c r="IF46" s="47"/>
    </row>
    <row r="47" spans="1:240">
      <c r="A47" s="41"/>
      <c r="B47" s="41"/>
      <c r="C47" s="41" t="s">
        <v>38</v>
      </c>
      <c r="D47" s="105">
        <v>149</v>
      </c>
      <c r="E47" s="105">
        <v>132</v>
      </c>
      <c r="F47" s="105">
        <v>0</v>
      </c>
      <c r="G47" s="105">
        <v>17</v>
      </c>
      <c r="H47" s="105">
        <v>188</v>
      </c>
      <c r="I47" s="105">
        <v>29</v>
      </c>
      <c r="J47" s="105">
        <v>4</v>
      </c>
      <c r="K47" s="105"/>
      <c r="L47" s="105">
        <v>0</v>
      </c>
      <c r="M47" s="105">
        <v>37</v>
      </c>
      <c r="N47" s="105">
        <v>33</v>
      </c>
      <c r="O47" s="105"/>
      <c r="P47" s="105">
        <v>106</v>
      </c>
      <c r="Q47" s="105">
        <v>0</v>
      </c>
      <c r="R47" s="105">
        <v>695</v>
      </c>
      <c r="S47" s="706">
        <f t="shared" si="4"/>
        <v>0.35971223021582732</v>
      </c>
      <c r="T47" s="5561">
        <f t="shared" si="5"/>
        <v>7</v>
      </c>
      <c r="U47" s="5562">
        <v>688</v>
      </c>
      <c r="V47" s="706"/>
      <c r="Y47" s="41" t="s">
        <v>39</v>
      </c>
      <c r="Z47" s="41">
        <v>83</v>
      </c>
      <c r="AA47" s="41">
        <v>83</v>
      </c>
      <c r="AB47" s="41"/>
      <c r="AC47" s="41">
        <v>29</v>
      </c>
      <c r="AD47" s="41">
        <v>586</v>
      </c>
      <c r="AE47" s="41">
        <v>63</v>
      </c>
      <c r="AF47" s="41">
        <v>134</v>
      </c>
      <c r="AG47" s="41">
        <v>0</v>
      </c>
      <c r="AH47" s="41">
        <v>0</v>
      </c>
      <c r="AI47" s="41">
        <v>42</v>
      </c>
      <c r="AJ47" s="41">
        <v>48</v>
      </c>
      <c r="AK47" s="41"/>
      <c r="AL47" s="41">
        <v>186</v>
      </c>
      <c r="AM47" s="41">
        <v>0</v>
      </c>
      <c r="AN47" s="461">
        <v>1254</v>
      </c>
      <c r="AO47" s="4692">
        <f t="shared" si="6"/>
        <v>0.55582137161084533</v>
      </c>
      <c r="AQ47" s="1788"/>
      <c r="AR47" s="1788"/>
      <c r="AS47" s="37" t="s">
        <v>39</v>
      </c>
      <c r="AT47" s="1788">
        <v>154</v>
      </c>
      <c r="AU47" s="1788">
        <v>137</v>
      </c>
      <c r="AV47" s="1788"/>
      <c r="AW47" s="1788">
        <v>23</v>
      </c>
      <c r="AX47" s="1788">
        <v>411</v>
      </c>
      <c r="AY47" s="1788">
        <v>103</v>
      </c>
      <c r="AZ47" s="1788">
        <v>27</v>
      </c>
      <c r="BA47" s="1788">
        <v>1</v>
      </c>
      <c r="BB47" s="1788">
        <v>0</v>
      </c>
      <c r="BC47" s="1788">
        <v>44</v>
      </c>
      <c r="BD47" s="1788">
        <v>92</v>
      </c>
      <c r="BE47" s="1788"/>
      <c r="BF47" s="1788">
        <v>227</v>
      </c>
      <c r="BG47" s="1788">
        <v>0</v>
      </c>
      <c r="BH47" s="1788">
        <v>1219</v>
      </c>
      <c r="BI47" s="4701">
        <f t="shared" si="7"/>
        <v>0.49712879409351929</v>
      </c>
      <c r="BK47" s="41"/>
      <c r="BL47" s="41"/>
      <c r="BM47" s="41" t="s">
        <v>39</v>
      </c>
      <c r="BN47" s="105">
        <v>170</v>
      </c>
      <c r="BO47" s="105">
        <v>97</v>
      </c>
      <c r="BP47" s="105"/>
      <c r="BQ47" s="105">
        <v>1</v>
      </c>
      <c r="BR47" s="105">
        <v>504</v>
      </c>
      <c r="BS47" s="105">
        <v>56</v>
      </c>
      <c r="BT47" s="105">
        <v>76</v>
      </c>
      <c r="BU47" s="105"/>
      <c r="BV47" s="105">
        <v>0</v>
      </c>
      <c r="BW47" s="105">
        <v>42</v>
      </c>
      <c r="BX47" s="105">
        <v>70</v>
      </c>
      <c r="BY47" s="105"/>
      <c r="BZ47" s="105">
        <v>208</v>
      </c>
      <c r="CA47" s="105">
        <v>0</v>
      </c>
      <c r="CB47" s="105">
        <v>1224</v>
      </c>
      <c r="CC47" s="2484">
        <f t="shared" si="8"/>
        <v>0.51470588235294112</v>
      </c>
      <c r="CE47" s="41"/>
      <c r="CF47" s="41"/>
      <c r="CG47" s="41" t="s">
        <v>39</v>
      </c>
      <c r="CH47" s="105">
        <v>143</v>
      </c>
      <c r="CI47" s="105">
        <v>125</v>
      </c>
      <c r="CJ47" s="105">
        <v>0</v>
      </c>
      <c r="CK47" s="105">
        <v>25</v>
      </c>
      <c r="CL47" s="105">
        <v>502</v>
      </c>
      <c r="CM47" s="105">
        <v>82</v>
      </c>
      <c r="CN47" s="105">
        <v>88</v>
      </c>
      <c r="CO47" s="105"/>
      <c r="CP47" s="105">
        <v>0</v>
      </c>
      <c r="CQ47" s="105">
        <v>42</v>
      </c>
      <c r="CR47" s="105">
        <v>94</v>
      </c>
      <c r="CS47" s="105"/>
      <c r="CT47" s="105">
        <v>207</v>
      </c>
      <c r="CU47" s="105">
        <v>0</v>
      </c>
      <c r="CV47" s="105">
        <v>1308</v>
      </c>
      <c r="CW47" s="1644">
        <f t="shared" si="0"/>
        <v>0.51834862385321101</v>
      </c>
      <c r="CX47" s="1976"/>
      <c r="CY47" s="41"/>
      <c r="CZ47" s="41"/>
      <c r="DA47" s="41" t="s">
        <v>39</v>
      </c>
      <c r="DB47" s="105">
        <v>135</v>
      </c>
      <c r="DC47" s="105">
        <v>138</v>
      </c>
      <c r="DD47" s="105"/>
      <c r="DE47" s="105">
        <v>27</v>
      </c>
      <c r="DF47" s="105">
        <v>489</v>
      </c>
      <c r="DG47" s="105">
        <v>83</v>
      </c>
      <c r="DH47" s="105">
        <v>75</v>
      </c>
      <c r="DI47" s="105">
        <v>0</v>
      </c>
      <c r="DJ47" s="105">
        <v>0</v>
      </c>
      <c r="DK47" s="105">
        <v>42</v>
      </c>
      <c r="DL47" s="105">
        <v>93</v>
      </c>
      <c r="DM47" s="105"/>
      <c r="DN47" s="105">
        <v>221</v>
      </c>
      <c r="DO47" s="105">
        <v>0</v>
      </c>
      <c r="DP47" s="105">
        <v>1303</v>
      </c>
      <c r="DQ47" s="1644">
        <f t="shared" si="9"/>
        <v>0.51036070606293171</v>
      </c>
      <c r="DS47" s="1311"/>
      <c r="DT47" s="1311"/>
      <c r="DU47" s="1319" t="s">
        <v>39</v>
      </c>
      <c r="DV47" s="1320">
        <v>166</v>
      </c>
      <c r="DW47" s="1320">
        <v>111</v>
      </c>
      <c r="DX47" s="1321"/>
      <c r="DY47" s="1320">
        <v>24</v>
      </c>
      <c r="DZ47" s="1320">
        <v>524</v>
      </c>
      <c r="EA47" s="1320">
        <v>47</v>
      </c>
      <c r="EB47" s="1320">
        <v>72</v>
      </c>
      <c r="EC47" s="1321"/>
      <c r="ED47" s="1320">
        <v>0</v>
      </c>
      <c r="EE47" s="1320">
        <v>56</v>
      </c>
      <c r="EF47" s="1320">
        <v>61</v>
      </c>
      <c r="EG47" s="1321"/>
      <c r="EH47" s="1320">
        <v>241</v>
      </c>
      <c r="EI47" s="1320">
        <v>1</v>
      </c>
      <c r="EJ47" s="1320">
        <v>1303</v>
      </c>
      <c r="EK47" s="1322">
        <f t="shared" si="10"/>
        <v>0.48540706605222733</v>
      </c>
      <c r="EM47" s="1047"/>
      <c r="EN47" s="1047"/>
      <c r="EO47" s="1060" t="s">
        <v>39</v>
      </c>
      <c r="EP47" s="1061">
        <v>149</v>
      </c>
      <c r="EQ47" s="1061">
        <v>116</v>
      </c>
      <c r="ER47" s="1047"/>
      <c r="ES47" s="1061">
        <v>37</v>
      </c>
      <c r="ET47" s="1061">
        <v>537</v>
      </c>
      <c r="EU47" s="1061">
        <v>65</v>
      </c>
      <c r="EV47" s="1061">
        <v>89</v>
      </c>
      <c r="EW47" s="1047"/>
      <c r="EX47" s="1061">
        <v>0</v>
      </c>
      <c r="EY47" s="1061">
        <v>48</v>
      </c>
      <c r="EZ47" s="1061">
        <v>58</v>
      </c>
      <c r="FA47" s="1061">
        <v>298</v>
      </c>
      <c r="FB47" s="1047"/>
      <c r="FC47" s="1061">
        <v>1397</v>
      </c>
      <c r="FD47" s="537">
        <f t="shared" si="11"/>
        <v>0.47244094488188976</v>
      </c>
      <c r="FF47" s="652"/>
      <c r="FG47" s="652"/>
      <c r="FH47" s="1062" t="s">
        <v>39</v>
      </c>
      <c r="FI47" s="1063">
        <v>151</v>
      </c>
      <c r="FJ47" s="1063">
        <v>150</v>
      </c>
      <c r="FK47" s="1063">
        <v>0</v>
      </c>
      <c r="FL47" s="1063">
        <v>53</v>
      </c>
      <c r="FM47" s="1063">
        <v>489</v>
      </c>
      <c r="FN47" s="1063">
        <v>66</v>
      </c>
      <c r="FO47" s="1063">
        <v>78</v>
      </c>
      <c r="FP47" s="652"/>
      <c r="FQ47" s="1063">
        <v>0</v>
      </c>
      <c r="FR47" s="1063">
        <v>42</v>
      </c>
      <c r="FS47" s="1063">
        <v>66</v>
      </c>
      <c r="FT47" s="1063">
        <v>281</v>
      </c>
      <c r="FU47" s="652"/>
      <c r="FV47" s="1063">
        <v>1376</v>
      </c>
      <c r="FW47" s="537">
        <f t="shared" si="12"/>
        <v>0.45130813953488375</v>
      </c>
      <c r="FY47" s="817"/>
      <c r="FZ47" s="817"/>
      <c r="GA47" s="1064" t="s">
        <v>40</v>
      </c>
      <c r="GB47" s="1065">
        <v>56</v>
      </c>
      <c r="GC47" s="1065">
        <v>22</v>
      </c>
      <c r="GD47" s="1065">
        <v>0</v>
      </c>
      <c r="GE47" s="1065">
        <v>10</v>
      </c>
      <c r="GF47" s="1065">
        <v>34</v>
      </c>
      <c r="GG47" s="1065">
        <v>2</v>
      </c>
      <c r="GH47" s="1065">
        <v>25</v>
      </c>
      <c r="GI47" s="1065">
        <v>0</v>
      </c>
      <c r="GJ47" s="1065">
        <v>17</v>
      </c>
      <c r="GK47" s="1065">
        <v>2</v>
      </c>
      <c r="GL47" s="1065">
        <v>46</v>
      </c>
      <c r="GM47" s="1065">
        <v>73</v>
      </c>
      <c r="GN47" s="1065">
        <v>0</v>
      </c>
      <c r="GO47" s="1065">
        <v>2</v>
      </c>
      <c r="GP47" s="1065">
        <v>289</v>
      </c>
      <c r="GQ47" s="1066">
        <f t="shared" si="13"/>
        <v>0.15767634854771784</v>
      </c>
      <c r="GS47" s="107"/>
      <c r="GT47" s="107"/>
      <c r="GU47" s="47" t="s">
        <v>40</v>
      </c>
      <c r="GV47" s="47">
        <v>38</v>
      </c>
      <c r="GW47" s="47">
        <v>30</v>
      </c>
      <c r="GX47" s="47"/>
      <c r="GY47" s="47">
        <v>10</v>
      </c>
      <c r="GZ47" s="47">
        <v>31</v>
      </c>
      <c r="HA47" s="47">
        <v>0</v>
      </c>
      <c r="HB47" s="47">
        <v>2</v>
      </c>
      <c r="HC47" s="47">
        <v>0</v>
      </c>
      <c r="HD47" s="47">
        <v>14</v>
      </c>
      <c r="HE47" s="47">
        <v>0</v>
      </c>
      <c r="HF47" s="47">
        <v>38</v>
      </c>
      <c r="HG47" s="47">
        <v>81</v>
      </c>
      <c r="HH47" s="47"/>
      <c r="HI47" s="47">
        <v>2</v>
      </c>
      <c r="HJ47" s="47">
        <v>246</v>
      </c>
      <c r="HK47" s="1067">
        <f t="shared" si="1"/>
        <v>0.15048543689320387</v>
      </c>
      <c r="HL47" s="47"/>
      <c r="HM47" s="420"/>
      <c r="HN47" s="420"/>
      <c r="HO47" s="420" t="s">
        <v>40</v>
      </c>
      <c r="HP47" s="1068">
        <v>19</v>
      </c>
      <c r="HQ47" s="1068">
        <v>29</v>
      </c>
      <c r="HR47" s="1068" t="s">
        <v>327</v>
      </c>
      <c r="HS47" s="1068">
        <v>9</v>
      </c>
      <c r="HT47" s="1068">
        <v>25</v>
      </c>
      <c r="HU47" s="1068">
        <v>0</v>
      </c>
      <c r="HV47" s="1068" t="s">
        <v>327</v>
      </c>
      <c r="HW47" s="1068" t="s">
        <v>327</v>
      </c>
      <c r="HX47" s="1068">
        <v>29</v>
      </c>
      <c r="HY47" s="1068">
        <v>2</v>
      </c>
      <c r="HZ47" s="1068">
        <v>62</v>
      </c>
      <c r="IA47" s="1068" t="s">
        <v>327</v>
      </c>
      <c r="IB47" s="1068">
        <v>175</v>
      </c>
      <c r="IC47" s="1068">
        <f t="shared" si="2"/>
        <v>27</v>
      </c>
      <c r="ID47" s="1069">
        <f t="shared" si="3"/>
        <v>0.15428571428571428</v>
      </c>
      <c r="IE47" s="47"/>
      <c r="IF47" s="47"/>
    </row>
    <row r="48" spans="1:240">
      <c r="A48" s="41"/>
      <c r="B48" s="41"/>
      <c r="C48" s="41" t="s">
        <v>39</v>
      </c>
      <c r="D48" s="105">
        <v>187</v>
      </c>
      <c r="E48" s="105">
        <v>128</v>
      </c>
      <c r="F48" s="105">
        <v>0</v>
      </c>
      <c r="G48" s="105">
        <v>23</v>
      </c>
      <c r="H48" s="105">
        <v>390</v>
      </c>
      <c r="I48" s="105">
        <v>86</v>
      </c>
      <c r="J48" s="105">
        <v>7</v>
      </c>
      <c r="K48" s="105"/>
      <c r="L48" s="105">
        <v>0</v>
      </c>
      <c r="M48" s="105">
        <v>63</v>
      </c>
      <c r="N48" s="105">
        <v>110</v>
      </c>
      <c r="O48" s="105"/>
      <c r="P48" s="105">
        <v>227</v>
      </c>
      <c r="Q48" s="105">
        <v>0</v>
      </c>
      <c r="R48" s="105">
        <v>1221</v>
      </c>
      <c r="S48" s="706">
        <f t="shared" si="4"/>
        <v>0.47993447993447991</v>
      </c>
      <c r="T48" s="5561">
        <f t="shared" si="5"/>
        <v>19</v>
      </c>
      <c r="U48" s="5562">
        <v>1202</v>
      </c>
      <c r="V48" s="706"/>
      <c r="Y48" s="41" t="s">
        <v>40</v>
      </c>
      <c r="Z48" s="41">
        <v>27</v>
      </c>
      <c r="AA48" s="41">
        <v>43</v>
      </c>
      <c r="AB48" s="41"/>
      <c r="AC48" s="41">
        <v>7</v>
      </c>
      <c r="AD48" s="41">
        <v>51</v>
      </c>
      <c r="AE48" s="41">
        <v>1</v>
      </c>
      <c r="AF48" s="41">
        <v>36</v>
      </c>
      <c r="AG48" s="41">
        <v>0</v>
      </c>
      <c r="AH48" s="41">
        <v>0</v>
      </c>
      <c r="AI48" s="41">
        <v>37</v>
      </c>
      <c r="AJ48" s="41">
        <v>6</v>
      </c>
      <c r="AK48" s="41"/>
      <c r="AL48" s="41">
        <v>48</v>
      </c>
      <c r="AM48" s="41">
        <v>0</v>
      </c>
      <c r="AN48" s="461">
        <v>256</v>
      </c>
      <c r="AO48" s="4692">
        <f t="shared" si="6"/>
        <v>0.2265625</v>
      </c>
      <c r="AQ48" s="1788"/>
      <c r="AR48" s="1788"/>
      <c r="AS48" s="37" t="s">
        <v>40</v>
      </c>
      <c r="AT48" s="1788">
        <v>50</v>
      </c>
      <c r="AU48" s="1788">
        <v>61</v>
      </c>
      <c r="AV48" s="1788"/>
      <c r="AW48" s="1788">
        <v>8</v>
      </c>
      <c r="AX48" s="1788">
        <v>36</v>
      </c>
      <c r="AY48" s="1788">
        <v>8</v>
      </c>
      <c r="AZ48" s="1788">
        <v>1</v>
      </c>
      <c r="BA48" s="1788">
        <v>0</v>
      </c>
      <c r="BB48" s="1788">
        <v>0</v>
      </c>
      <c r="BC48" s="1788">
        <v>41</v>
      </c>
      <c r="BD48" s="1788">
        <v>2</v>
      </c>
      <c r="BE48" s="1788"/>
      <c r="BF48" s="1788">
        <v>51</v>
      </c>
      <c r="BG48" s="1788">
        <v>0</v>
      </c>
      <c r="BH48" s="1788">
        <v>258</v>
      </c>
      <c r="BI48" s="4701">
        <f t="shared" si="7"/>
        <v>0.17829457364341086</v>
      </c>
      <c r="BK48" s="41"/>
      <c r="BL48" s="41"/>
      <c r="BM48" s="41" t="s">
        <v>40</v>
      </c>
      <c r="BN48" s="105">
        <v>48</v>
      </c>
      <c r="BO48" s="105">
        <v>53</v>
      </c>
      <c r="BP48" s="105"/>
      <c r="BQ48" s="105">
        <v>1</v>
      </c>
      <c r="BR48" s="105">
        <v>39</v>
      </c>
      <c r="BS48" s="105">
        <v>4</v>
      </c>
      <c r="BT48" s="105">
        <v>23</v>
      </c>
      <c r="BU48" s="105"/>
      <c r="BV48" s="105">
        <v>0</v>
      </c>
      <c r="BW48" s="105">
        <v>38</v>
      </c>
      <c r="BX48" s="105">
        <v>6</v>
      </c>
      <c r="BY48" s="105"/>
      <c r="BZ48" s="105">
        <v>40</v>
      </c>
      <c r="CA48" s="105">
        <v>0</v>
      </c>
      <c r="CB48" s="105">
        <v>252</v>
      </c>
      <c r="CC48" s="2484">
        <f t="shared" si="8"/>
        <v>0.19444444444444445</v>
      </c>
      <c r="CE48" s="41"/>
      <c r="CF48" s="41"/>
      <c r="CG48" s="41" t="s">
        <v>40</v>
      </c>
      <c r="CH48" s="105">
        <v>56</v>
      </c>
      <c r="CI48" s="105">
        <v>64</v>
      </c>
      <c r="CJ48" s="105">
        <v>0</v>
      </c>
      <c r="CK48" s="105">
        <v>4</v>
      </c>
      <c r="CL48" s="105">
        <v>32</v>
      </c>
      <c r="CM48" s="105">
        <v>7</v>
      </c>
      <c r="CN48" s="105">
        <v>23</v>
      </c>
      <c r="CO48" s="105"/>
      <c r="CP48" s="105">
        <v>0</v>
      </c>
      <c r="CQ48" s="105">
        <v>35</v>
      </c>
      <c r="CR48" s="105">
        <v>1</v>
      </c>
      <c r="CS48" s="105"/>
      <c r="CT48" s="105">
        <v>28</v>
      </c>
      <c r="CU48" s="105">
        <v>0</v>
      </c>
      <c r="CV48" s="105">
        <v>250</v>
      </c>
      <c r="CW48" s="1644">
        <f t="shared" si="0"/>
        <v>0.16</v>
      </c>
      <c r="CX48" s="1976"/>
      <c r="CY48" s="41"/>
      <c r="CZ48" s="41"/>
      <c r="DA48" s="41" t="s">
        <v>40</v>
      </c>
      <c r="DB48" s="105">
        <v>70</v>
      </c>
      <c r="DC48" s="105">
        <v>53</v>
      </c>
      <c r="DD48" s="105"/>
      <c r="DE48" s="105">
        <v>5</v>
      </c>
      <c r="DF48" s="105">
        <v>27</v>
      </c>
      <c r="DG48" s="105">
        <v>1</v>
      </c>
      <c r="DH48" s="105">
        <v>17</v>
      </c>
      <c r="DI48" s="105">
        <v>0</v>
      </c>
      <c r="DJ48" s="105">
        <v>0</v>
      </c>
      <c r="DK48" s="105">
        <v>29</v>
      </c>
      <c r="DL48" s="105">
        <v>6</v>
      </c>
      <c r="DM48" s="105"/>
      <c r="DN48" s="105">
        <v>31</v>
      </c>
      <c r="DO48" s="105">
        <v>1</v>
      </c>
      <c r="DP48" s="105">
        <v>240</v>
      </c>
      <c r="DQ48" s="1644">
        <f t="shared" si="9"/>
        <v>0.14225941422594143</v>
      </c>
      <c r="DS48" s="1311"/>
      <c r="DT48" s="1311"/>
      <c r="DU48" s="1319" t="s">
        <v>40</v>
      </c>
      <c r="DV48" s="1320">
        <v>69</v>
      </c>
      <c r="DW48" s="1320">
        <v>34</v>
      </c>
      <c r="DX48" s="1321"/>
      <c r="DY48" s="1320">
        <v>6</v>
      </c>
      <c r="DZ48" s="1320">
        <v>22</v>
      </c>
      <c r="EA48" s="1320">
        <v>1</v>
      </c>
      <c r="EB48" s="1320">
        <v>20</v>
      </c>
      <c r="EC48" s="1321"/>
      <c r="ED48" s="1320">
        <v>0</v>
      </c>
      <c r="EE48" s="1320">
        <v>34</v>
      </c>
      <c r="EF48" s="1320">
        <v>8</v>
      </c>
      <c r="EG48" s="1321"/>
      <c r="EH48" s="1320">
        <v>34</v>
      </c>
      <c r="EI48" s="1320">
        <v>1</v>
      </c>
      <c r="EJ48" s="1320">
        <v>229</v>
      </c>
      <c r="EK48" s="1322">
        <f t="shared" si="10"/>
        <v>0.13596491228070176</v>
      </c>
      <c r="EM48" s="1047"/>
      <c r="EN48" s="1047"/>
      <c r="EO48" s="1060" t="s">
        <v>40</v>
      </c>
      <c r="EP48" s="1061">
        <v>51</v>
      </c>
      <c r="EQ48" s="1061">
        <v>35</v>
      </c>
      <c r="ER48" s="1047"/>
      <c r="ES48" s="1061">
        <v>15</v>
      </c>
      <c r="ET48" s="1061">
        <v>27</v>
      </c>
      <c r="EU48" s="1061">
        <v>0</v>
      </c>
      <c r="EV48" s="1061">
        <v>21</v>
      </c>
      <c r="EW48" s="1047"/>
      <c r="EX48" s="1061">
        <v>0</v>
      </c>
      <c r="EY48" s="1061">
        <v>40</v>
      </c>
      <c r="EZ48" s="1061">
        <v>5</v>
      </c>
      <c r="FA48" s="1061">
        <v>54</v>
      </c>
      <c r="FB48" s="1047"/>
      <c r="FC48" s="1061">
        <v>248</v>
      </c>
      <c r="FD48" s="537">
        <f t="shared" si="11"/>
        <v>0.12903225806451613</v>
      </c>
      <c r="FF48" s="652"/>
      <c r="FG48" s="652"/>
      <c r="FH48" s="1062" t="s">
        <v>40</v>
      </c>
      <c r="FI48" s="1063">
        <v>68</v>
      </c>
      <c r="FJ48" s="1063">
        <v>24</v>
      </c>
      <c r="FK48" s="1063">
        <v>0</v>
      </c>
      <c r="FL48" s="1063">
        <v>16</v>
      </c>
      <c r="FM48" s="1063">
        <v>29</v>
      </c>
      <c r="FN48" s="1063">
        <v>1</v>
      </c>
      <c r="FO48" s="1063">
        <v>22</v>
      </c>
      <c r="FP48" s="652"/>
      <c r="FQ48" s="1063">
        <v>0</v>
      </c>
      <c r="FR48" s="1063">
        <v>18</v>
      </c>
      <c r="FS48" s="1063">
        <v>5</v>
      </c>
      <c r="FT48" s="1063">
        <v>60</v>
      </c>
      <c r="FU48" s="652"/>
      <c r="FV48" s="1063">
        <v>243</v>
      </c>
      <c r="FW48" s="537">
        <f t="shared" si="12"/>
        <v>0.1440329218106996</v>
      </c>
      <c r="FY48" s="817"/>
      <c r="FZ48" s="817"/>
      <c r="GA48" s="1053" t="s">
        <v>545</v>
      </c>
      <c r="GB48" s="1075">
        <v>1230</v>
      </c>
      <c r="GC48" s="1075">
        <v>684</v>
      </c>
      <c r="GD48" s="1075">
        <v>0</v>
      </c>
      <c r="GE48" s="1075">
        <v>395</v>
      </c>
      <c r="GF48" s="1075">
        <v>2049</v>
      </c>
      <c r="GG48" s="1075">
        <v>257</v>
      </c>
      <c r="GH48" s="1075">
        <v>517</v>
      </c>
      <c r="GI48" s="1075">
        <v>4</v>
      </c>
      <c r="GJ48" s="1075">
        <v>293</v>
      </c>
      <c r="GK48" s="1075">
        <v>232</v>
      </c>
      <c r="GL48" s="1075">
        <v>1191</v>
      </c>
      <c r="GM48" s="1075">
        <v>1724</v>
      </c>
      <c r="GN48" s="1075">
        <v>0</v>
      </c>
      <c r="GO48" s="1075">
        <v>32</v>
      </c>
      <c r="GP48" s="1075">
        <v>8608</v>
      </c>
      <c r="GQ48" s="1076">
        <f t="shared" si="13"/>
        <v>0.34366960054163848</v>
      </c>
      <c r="GS48" s="107"/>
      <c r="GT48" s="107"/>
      <c r="GU48" s="47" t="s">
        <v>15</v>
      </c>
      <c r="GV48" s="47">
        <v>1110</v>
      </c>
      <c r="GW48" s="47">
        <v>700</v>
      </c>
      <c r="GX48" s="47"/>
      <c r="GY48" s="47">
        <v>390</v>
      </c>
      <c r="GZ48" s="47">
        <v>1986</v>
      </c>
      <c r="HA48" s="47">
        <v>241</v>
      </c>
      <c r="HB48" s="47">
        <v>454</v>
      </c>
      <c r="HC48" s="47">
        <v>4</v>
      </c>
      <c r="HD48" s="47">
        <v>278</v>
      </c>
      <c r="HE48" s="47">
        <v>195</v>
      </c>
      <c r="HF48" s="47">
        <v>1097</v>
      </c>
      <c r="HG48" s="47">
        <v>1774</v>
      </c>
      <c r="HH48" s="47"/>
      <c r="HI48" s="47">
        <v>30</v>
      </c>
      <c r="HJ48" s="47">
        <v>8259</v>
      </c>
      <c r="HK48" s="1067">
        <f t="shared" si="1"/>
        <v>0.33959618620302862</v>
      </c>
      <c r="HL48" s="47"/>
      <c r="HM48" s="420"/>
      <c r="HN48" s="420"/>
      <c r="HO48" s="1077" t="s">
        <v>15</v>
      </c>
      <c r="HP48" s="1078">
        <v>817</v>
      </c>
      <c r="HQ48" s="1078">
        <v>728</v>
      </c>
      <c r="HR48" s="1078" t="s">
        <v>327</v>
      </c>
      <c r="HS48" s="1078">
        <v>371</v>
      </c>
      <c r="HT48" s="1078">
        <v>1893</v>
      </c>
      <c r="HU48" s="1078">
        <v>243</v>
      </c>
      <c r="HV48" s="1078">
        <v>535</v>
      </c>
      <c r="HW48" s="1078" t="s">
        <v>327</v>
      </c>
      <c r="HX48" s="1078">
        <v>350</v>
      </c>
      <c r="HY48" s="1078">
        <v>238</v>
      </c>
      <c r="HZ48" s="1078">
        <v>1715</v>
      </c>
      <c r="IA48" s="1078" t="s">
        <v>327</v>
      </c>
      <c r="IB48" s="1078">
        <v>6890</v>
      </c>
      <c r="IC48" s="1078">
        <f t="shared" si="2"/>
        <v>2374</v>
      </c>
      <c r="ID48" s="1079">
        <f t="shared" si="3"/>
        <v>0.34455732946298984</v>
      </c>
      <c r="IE48" s="47"/>
      <c r="IF48" s="47"/>
    </row>
    <row r="49" spans="1:240">
      <c r="A49" s="41"/>
      <c r="B49" s="41"/>
      <c r="C49" s="41" t="s">
        <v>40</v>
      </c>
      <c r="D49" s="105">
        <v>66</v>
      </c>
      <c r="E49" s="105">
        <v>52</v>
      </c>
      <c r="F49" s="105">
        <v>0</v>
      </c>
      <c r="G49" s="105">
        <v>8</v>
      </c>
      <c r="H49" s="105">
        <v>36</v>
      </c>
      <c r="I49" s="105">
        <v>12</v>
      </c>
      <c r="J49" s="105">
        <v>0</v>
      </c>
      <c r="K49" s="105"/>
      <c r="L49" s="105">
        <v>0</v>
      </c>
      <c r="M49" s="105">
        <v>30</v>
      </c>
      <c r="N49" s="105">
        <v>3</v>
      </c>
      <c r="O49" s="105"/>
      <c r="P49" s="105">
        <v>57</v>
      </c>
      <c r="Q49" s="105">
        <v>0</v>
      </c>
      <c r="R49" s="105">
        <v>264</v>
      </c>
      <c r="S49" s="706">
        <f t="shared" si="4"/>
        <v>0.19318181818181818</v>
      </c>
      <c r="T49" s="5561">
        <f t="shared" si="5"/>
        <v>1</v>
      </c>
      <c r="U49" s="5562">
        <v>263</v>
      </c>
      <c r="V49" s="706"/>
      <c r="Y49" s="41" t="s">
        <v>15</v>
      </c>
      <c r="Z49" s="41">
        <v>556</v>
      </c>
      <c r="AA49" s="41">
        <v>787</v>
      </c>
      <c r="AB49" s="41"/>
      <c r="AC49" s="41">
        <v>241</v>
      </c>
      <c r="AD49" s="41">
        <v>2833</v>
      </c>
      <c r="AE49" s="41">
        <v>253</v>
      </c>
      <c r="AF49" s="41">
        <v>902</v>
      </c>
      <c r="AG49" s="41">
        <v>2</v>
      </c>
      <c r="AH49" s="41">
        <v>3</v>
      </c>
      <c r="AI49" s="41">
        <v>477</v>
      </c>
      <c r="AJ49" s="41">
        <v>204</v>
      </c>
      <c r="AK49" s="41"/>
      <c r="AL49" s="41">
        <v>1157</v>
      </c>
      <c r="AM49" s="41">
        <v>8</v>
      </c>
      <c r="AN49" s="461">
        <v>7423</v>
      </c>
      <c r="AO49" s="4692">
        <f t="shared" si="6"/>
        <v>0.44369521240728255</v>
      </c>
      <c r="AQ49" s="1788"/>
      <c r="AR49" s="1788"/>
      <c r="AS49" s="1793" t="s">
        <v>545</v>
      </c>
      <c r="AT49" s="4702">
        <v>1130</v>
      </c>
      <c r="AU49" s="4702">
        <v>1156</v>
      </c>
      <c r="AV49" s="4702"/>
      <c r="AW49" s="4702">
        <v>228</v>
      </c>
      <c r="AX49" s="4702">
        <v>2012</v>
      </c>
      <c r="AY49" s="4702">
        <v>421</v>
      </c>
      <c r="AZ49" s="4702">
        <v>151</v>
      </c>
      <c r="BA49" s="4702">
        <v>2</v>
      </c>
      <c r="BB49" s="4702">
        <v>4</v>
      </c>
      <c r="BC49" s="4702">
        <v>460</v>
      </c>
      <c r="BD49" s="4702">
        <v>297</v>
      </c>
      <c r="BE49" s="4702"/>
      <c r="BF49" s="4702">
        <v>1421</v>
      </c>
      <c r="BG49" s="4702">
        <v>8</v>
      </c>
      <c r="BH49" s="4702">
        <v>7290</v>
      </c>
      <c r="BI49" s="4703">
        <f t="shared" si="7"/>
        <v>0.37489700631694589</v>
      </c>
      <c r="BK49" s="41"/>
      <c r="BL49" s="41"/>
      <c r="BM49" s="461" t="s">
        <v>545</v>
      </c>
      <c r="BN49" s="2473">
        <v>1098</v>
      </c>
      <c r="BO49" s="2473">
        <v>912</v>
      </c>
      <c r="BP49" s="2473"/>
      <c r="BQ49" s="2473">
        <v>19</v>
      </c>
      <c r="BR49" s="2473">
        <v>2407</v>
      </c>
      <c r="BS49" s="2473">
        <v>258</v>
      </c>
      <c r="BT49" s="2473">
        <v>509</v>
      </c>
      <c r="BU49" s="2473"/>
      <c r="BV49" s="2473">
        <v>1</v>
      </c>
      <c r="BW49" s="2473">
        <v>462</v>
      </c>
      <c r="BX49" s="2473">
        <v>279</v>
      </c>
      <c r="BY49" s="2473"/>
      <c r="BZ49" s="2473">
        <v>1247</v>
      </c>
      <c r="CA49" s="2473">
        <v>2</v>
      </c>
      <c r="CB49" s="2473">
        <v>7194</v>
      </c>
      <c r="CC49" s="2484">
        <f t="shared" si="8"/>
        <v>0.40934371523915464</v>
      </c>
      <c r="CE49" s="41"/>
      <c r="CF49" s="41"/>
      <c r="CG49" s="461" t="s">
        <v>545</v>
      </c>
      <c r="CH49" s="96">
        <v>1065</v>
      </c>
      <c r="CI49" s="96">
        <v>1030</v>
      </c>
      <c r="CJ49" s="96">
        <v>2</v>
      </c>
      <c r="CK49" s="96">
        <v>222</v>
      </c>
      <c r="CL49" s="96">
        <v>2344</v>
      </c>
      <c r="CM49" s="96">
        <v>322</v>
      </c>
      <c r="CN49" s="96">
        <v>566</v>
      </c>
      <c r="CO49" s="96"/>
      <c r="CP49" s="96">
        <v>2</v>
      </c>
      <c r="CQ49" s="96">
        <v>460</v>
      </c>
      <c r="CR49" s="96">
        <v>352</v>
      </c>
      <c r="CS49" s="96"/>
      <c r="CT49" s="96">
        <v>1143</v>
      </c>
      <c r="CU49" s="96">
        <v>8</v>
      </c>
      <c r="CV49" s="96">
        <v>7516</v>
      </c>
      <c r="CW49" s="635">
        <f t="shared" si="0"/>
        <v>0.40197123068726692</v>
      </c>
      <c r="CX49" s="1977"/>
      <c r="CY49" s="41"/>
      <c r="CZ49" s="41"/>
      <c r="DA49" s="461" t="s">
        <v>545</v>
      </c>
      <c r="DB49" s="96">
        <v>1061</v>
      </c>
      <c r="DC49" s="96">
        <v>1028</v>
      </c>
      <c r="DD49" s="96"/>
      <c r="DE49" s="96">
        <v>226</v>
      </c>
      <c r="DF49" s="96">
        <v>2385</v>
      </c>
      <c r="DG49" s="96">
        <v>242</v>
      </c>
      <c r="DH49" s="96">
        <v>465</v>
      </c>
      <c r="DI49" s="96">
        <v>12</v>
      </c>
      <c r="DJ49" s="96">
        <v>2</v>
      </c>
      <c r="DK49" s="96">
        <v>475</v>
      </c>
      <c r="DL49" s="96">
        <v>322</v>
      </c>
      <c r="DM49" s="96"/>
      <c r="DN49" s="96">
        <v>1117</v>
      </c>
      <c r="DO49" s="96">
        <v>8</v>
      </c>
      <c r="DP49" s="96">
        <v>7343</v>
      </c>
      <c r="DQ49" s="635">
        <f t="shared" si="9"/>
        <v>0.4020449897750511</v>
      </c>
      <c r="DS49" s="1311"/>
      <c r="DT49" s="1311"/>
      <c r="DU49" s="1313" t="s">
        <v>545</v>
      </c>
      <c r="DV49" s="1323">
        <v>1096</v>
      </c>
      <c r="DW49" s="1323">
        <v>858</v>
      </c>
      <c r="DX49" s="1324"/>
      <c r="DY49" s="1323">
        <v>218</v>
      </c>
      <c r="DZ49" s="1323">
        <v>2410</v>
      </c>
      <c r="EA49" s="1323">
        <v>202</v>
      </c>
      <c r="EB49" s="1323">
        <v>491</v>
      </c>
      <c r="EC49" s="1324"/>
      <c r="ED49" s="1323">
        <v>4</v>
      </c>
      <c r="EE49" s="1323">
        <v>464</v>
      </c>
      <c r="EF49" s="1323">
        <v>314</v>
      </c>
      <c r="EG49" s="1324"/>
      <c r="EH49" s="1323">
        <v>1212</v>
      </c>
      <c r="EI49" s="1323">
        <v>7</v>
      </c>
      <c r="EJ49" s="1323">
        <v>7276</v>
      </c>
      <c r="EK49" s="1325">
        <f t="shared" si="10"/>
        <v>0.40253129728986103</v>
      </c>
      <c r="EM49" s="1047"/>
      <c r="EN49" s="1047"/>
      <c r="EO49" s="1070" t="s">
        <v>545</v>
      </c>
      <c r="EP49" s="1071">
        <v>1055</v>
      </c>
      <c r="EQ49" s="1071">
        <v>819</v>
      </c>
      <c r="ER49" s="1072"/>
      <c r="ES49" s="1071">
        <v>330</v>
      </c>
      <c r="ET49" s="1071">
        <v>2426</v>
      </c>
      <c r="EU49" s="1071">
        <v>204</v>
      </c>
      <c r="EV49" s="1071">
        <v>522</v>
      </c>
      <c r="EW49" s="1072"/>
      <c r="EX49" s="1071">
        <v>4</v>
      </c>
      <c r="EY49" s="1071">
        <v>514</v>
      </c>
      <c r="EZ49" s="1071">
        <v>290</v>
      </c>
      <c r="FA49" s="1071">
        <v>1631</v>
      </c>
      <c r="FB49" s="1071"/>
      <c r="FC49" s="1071">
        <v>7795</v>
      </c>
      <c r="FD49" s="1073">
        <f t="shared" si="11"/>
        <v>0.37459910198845414</v>
      </c>
      <c r="FF49" s="652"/>
      <c r="FG49" s="652"/>
      <c r="FH49" s="813" t="s">
        <v>545</v>
      </c>
      <c r="FI49" s="1074">
        <v>1140</v>
      </c>
      <c r="FJ49" s="1074">
        <v>854</v>
      </c>
      <c r="FK49" s="1074">
        <v>1</v>
      </c>
      <c r="FL49" s="1074">
        <v>375</v>
      </c>
      <c r="FM49" s="1074">
        <v>2212</v>
      </c>
      <c r="FN49" s="1074">
        <v>323</v>
      </c>
      <c r="FO49" s="1074">
        <v>473</v>
      </c>
      <c r="FP49" s="816"/>
      <c r="FQ49" s="1074">
        <v>5</v>
      </c>
      <c r="FR49" s="1074">
        <v>345</v>
      </c>
      <c r="FS49" s="1074">
        <v>248</v>
      </c>
      <c r="FT49" s="1074">
        <v>1580</v>
      </c>
      <c r="FU49" s="816"/>
      <c r="FV49" s="1074">
        <v>7556</v>
      </c>
      <c r="FW49" s="526">
        <f t="shared" si="12"/>
        <v>0.36831656961355214</v>
      </c>
      <c r="FY49" s="817"/>
      <c r="FZ49" s="817" t="s">
        <v>41</v>
      </c>
      <c r="GA49" s="1064" t="s">
        <v>42</v>
      </c>
      <c r="GB49" s="1065">
        <v>191</v>
      </c>
      <c r="GC49" s="1065">
        <v>47</v>
      </c>
      <c r="GD49" s="1065">
        <v>0</v>
      </c>
      <c r="GE49" s="1065">
        <v>65</v>
      </c>
      <c r="GF49" s="1065">
        <v>207</v>
      </c>
      <c r="GG49" s="1065">
        <v>22</v>
      </c>
      <c r="GH49" s="1065">
        <v>45</v>
      </c>
      <c r="GI49" s="1065">
        <v>0</v>
      </c>
      <c r="GJ49" s="1065">
        <v>18</v>
      </c>
      <c r="GK49" s="1065">
        <v>36</v>
      </c>
      <c r="GL49" s="1065">
        <v>165</v>
      </c>
      <c r="GM49" s="1065">
        <v>165</v>
      </c>
      <c r="GN49" s="1065">
        <v>0</v>
      </c>
      <c r="GO49" s="1065">
        <v>2</v>
      </c>
      <c r="GP49" s="1065">
        <v>963</v>
      </c>
      <c r="GQ49" s="1066">
        <f t="shared" si="13"/>
        <v>0.33291457286432163</v>
      </c>
      <c r="GS49" s="107"/>
      <c r="GT49" s="107" t="s">
        <v>41</v>
      </c>
      <c r="GU49" s="47" t="s">
        <v>42</v>
      </c>
      <c r="GV49" s="47">
        <v>165</v>
      </c>
      <c r="GW49" s="47">
        <v>47</v>
      </c>
      <c r="GX49" s="47"/>
      <c r="GY49" s="47">
        <v>57</v>
      </c>
      <c r="GZ49" s="47">
        <v>210</v>
      </c>
      <c r="HA49" s="47">
        <v>17</v>
      </c>
      <c r="HB49" s="47">
        <v>71</v>
      </c>
      <c r="HC49" s="47"/>
      <c r="HD49" s="47">
        <v>22</v>
      </c>
      <c r="HE49" s="47">
        <v>22</v>
      </c>
      <c r="HF49" s="47">
        <v>159</v>
      </c>
      <c r="HG49" s="47">
        <v>158</v>
      </c>
      <c r="HH49" s="47"/>
      <c r="HI49" s="47">
        <v>3</v>
      </c>
      <c r="HJ49" s="47">
        <v>931</v>
      </c>
      <c r="HK49" s="1067">
        <f t="shared" si="1"/>
        <v>0.32379713914174252</v>
      </c>
      <c r="HL49" s="47"/>
      <c r="HM49" s="420"/>
      <c r="HN49" s="420" t="s">
        <v>41</v>
      </c>
      <c r="HO49" s="420" t="s">
        <v>42</v>
      </c>
      <c r="HP49" s="1068">
        <v>136</v>
      </c>
      <c r="HQ49" s="1068">
        <v>43</v>
      </c>
      <c r="HR49" s="1068" t="s">
        <v>327</v>
      </c>
      <c r="HS49" s="1068">
        <v>50</v>
      </c>
      <c r="HT49" s="1068">
        <v>198</v>
      </c>
      <c r="HU49" s="1068">
        <v>19</v>
      </c>
      <c r="HV49" s="1068">
        <v>42</v>
      </c>
      <c r="HW49" s="1068" t="s">
        <v>327</v>
      </c>
      <c r="HX49" s="1068">
        <v>18</v>
      </c>
      <c r="HY49" s="1068">
        <v>32</v>
      </c>
      <c r="HZ49" s="1068">
        <v>175</v>
      </c>
      <c r="IA49" s="1068" t="s">
        <v>327</v>
      </c>
      <c r="IB49" s="1068">
        <v>713</v>
      </c>
      <c r="IC49" s="1068">
        <f t="shared" si="2"/>
        <v>249</v>
      </c>
      <c r="ID49" s="1069">
        <f t="shared" si="3"/>
        <v>0.34922861150070128</v>
      </c>
      <c r="IE49" s="47"/>
      <c r="IF49" s="47"/>
    </row>
    <row r="50" spans="1:240">
      <c r="A50" s="41"/>
      <c r="B50" s="41"/>
      <c r="C50" s="461" t="s">
        <v>545</v>
      </c>
      <c r="D50" s="5556">
        <v>1312</v>
      </c>
      <c r="E50" s="5556">
        <v>1107</v>
      </c>
      <c r="F50" s="5556">
        <v>1</v>
      </c>
      <c r="G50" s="5556">
        <v>237</v>
      </c>
      <c r="H50" s="5556">
        <v>1873</v>
      </c>
      <c r="I50" s="5556">
        <v>395</v>
      </c>
      <c r="J50" s="5556">
        <v>71</v>
      </c>
      <c r="K50" s="5556"/>
      <c r="L50" s="5556">
        <v>3</v>
      </c>
      <c r="M50" s="5556">
        <v>454</v>
      </c>
      <c r="N50" s="5556">
        <v>411</v>
      </c>
      <c r="O50" s="5556"/>
      <c r="P50" s="5556">
        <v>1435</v>
      </c>
      <c r="Q50" s="5556">
        <v>8</v>
      </c>
      <c r="R50" s="5556">
        <v>7307</v>
      </c>
      <c r="S50" s="706">
        <f t="shared" si="4"/>
        <v>0.36703658035347309</v>
      </c>
      <c r="T50" s="5561"/>
      <c r="U50" s="5562"/>
      <c r="V50" s="706"/>
      <c r="X50" s="107" t="s">
        <v>41</v>
      </c>
      <c r="Y50" s="41" t="s">
        <v>42</v>
      </c>
      <c r="Z50" s="41">
        <v>115</v>
      </c>
      <c r="AA50" s="41">
        <v>60</v>
      </c>
      <c r="AB50" s="41"/>
      <c r="AC50" s="41">
        <v>43</v>
      </c>
      <c r="AD50" s="41">
        <v>420</v>
      </c>
      <c r="AE50" s="41">
        <v>64</v>
      </c>
      <c r="AF50" s="41">
        <v>83</v>
      </c>
      <c r="AG50" s="41"/>
      <c r="AH50" s="41"/>
      <c r="AI50" s="41">
        <v>18</v>
      </c>
      <c r="AJ50" s="41">
        <v>65</v>
      </c>
      <c r="AK50" s="41"/>
      <c r="AL50" s="41">
        <v>112</v>
      </c>
      <c r="AM50" s="41">
        <v>0</v>
      </c>
      <c r="AN50" s="461">
        <v>980</v>
      </c>
      <c r="AO50" s="4692">
        <f t="shared" si="6"/>
        <v>0.56020408163265301</v>
      </c>
      <c r="AQ50" s="1788"/>
      <c r="AR50" s="1788" t="s">
        <v>41</v>
      </c>
      <c r="AS50" s="37" t="s">
        <v>42</v>
      </c>
      <c r="AT50" s="1788">
        <v>206</v>
      </c>
      <c r="AU50" s="1788">
        <v>85</v>
      </c>
      <c r="AV50" s="1788">
        <v>0</v>
      </c>
      <c r="AW50" s="1788">
        <v>35</v>
      </c>
      <c r="AX50" s="1788">
        <v>302</v>
      </c>
      <c r="AY50" s="1788">
        <v>80</v>
      </c>
      <c r="AZ50" s="1788">
        <v>31</v>
      </c>
      <c r="BA50" s="1788"/>
      <c r="BB50" s="1788"/>
      <c r="BC50" s="1788">
        <v>15</v>
      </c>
      <c r="BD50" s="1788">
        <v>81</v>
      </c>
      <c r="BE50" s="1788"/>
      <c r="BF50" s="1788">
        <v>131</v>
      </c>
      <c r="BG50" s="1788">
        <v>0</v>
      </c>
      <c r="BH50" s="1788">
        <v>966</v>
      </c>
      <c r="BI50" s="4701">
        <f t="shared" si="7"/>
        <v>0.47929606625258797</v>
      </c>
      <c r="BK50" s="41"/>
      <c r="BL50" s="41" t="s">
        <v>41</v>
      </c>
      <c r="BM50" s="41" t="s">
        <v>42</v>
      </c>
      <c r="BN50" s="105">
        <v>209</v>
      </c>
      <c r="BO50" s="105">
        <v>62</v>
      </c>
      <c r="BP50" s="105">
        <v>0</v>
      </c>
      <c r="BQ50" s="105">
        <v>4</v>
      </c>
      <c r="BR50" s="105">
        <v>337</v>
      </c>
      <c r="BS50" s="105">
        <v>62</v>
      </c>
      <c r="BT50" s="105">
        <v>45</v>
      </c>
      <c r="BU50" s="105"/>
      <c r="BV50" s="105"/>
      <c r="BW50" s="105">
        <v>24</v>
      </c>
      <c r="BX50" s="105">
        <v>71</v>
      </c>
      <c r="BY50" s="105"/>
      <c r="BZ50" s="105">
        <v>129</v>
      </c>
      <c r="CA50" s="105">
        <v>0</v>
      </c>
      <c r="CB50" s="105">
        <v>943</v>
      </c>
      <c r="CC50" s="2484">
        <f t="shared" si="8"/>
        <v>0.49840933191940617</v>
      </c>
      <c r="CE50" s="41"/>
      <c r="CF50" s="41" t="s">
        <v>41</v>
      </c>
      <c r="CG50" s="41" t="s">
        <v>42</v>
      </c>
      <c r="CH50" s="105">
        <v>213</v>
      </c>
      <c r="CI50" s="105">
        <v>81</v>
      </c>
      <c r="CJ50" s="105"/>
      <c r="CK50" s="105">
        <v>43</v>
      </c>
      <c r="CL50" s="105">
        <v>314</v>
      </c>
      <c r="CM50" s="105">
        <v>65</v>
      </c>
      <c r="CN50" s="105">
        <v>41</v>
      </c>
      <c r="CO50" s="105"/>
      <c r="CP50" s="105">
        <v>0</v>
      </c>
      <c r="CQ50" s="105">
        <v>19</v>
      </c>
      <c r="CR50" s="105">
        <v>86</v>
      </c>
      <c r="CS50" s="105"/>
      <c r="CT50" s="105">
        <v>124</v>
      </c>
      <c r="CU50" s="105">
        <v>0</v>
      </c>
      <c r="CV50" s="105">
        <v>986</v>
      </c>
      <c r="CW50" s="1644">
        <f t="shared" si="0"/>
        <v>0.47160243407707908</v>
      </c>
      <c r="CX50" s="1976"/>
      <c r="CY50" s="41"/>
      <c r="CZ50" s="41" t="s">
        <v>41</v>
      </c>
      <c r="DA50" s="41" t="s">
        <v>42</v>
      </c>
      <c r="DB50" s="105">
        <v>224</v>
      </c>
      <c r="DC50" s="105">
        <v>74</v>
      </c>
      <c r="DD50" s="105"/>
      <c r="DE50" s="105">
        <v>40</v>
      </c>
      <c r="DF50" s="105">
        <v>301</v>
      </c>
      <c r="DG50" s="105">
        <v>50</v>
      </c>
      <c r="DH50" s="105">
        <v>57</v>
      </c>
      <c r="DI50" s="105"/>
      <c r="DJ50" s="105">
        <v>0</v>
      </c>
      <c r="DK50" s="105">
        <v>19</v>
      </c>
      <c r="DL50" s="105">
        <v>93</v>
      </c>
      <c r="DM50" s="105"/>
      <c r="DN50" s="105">
        <v>113</v>
      </c>
      <c r="DO50" s="105">
        <v>0</v>
      </c>
      <c r="DP50" s="105">
        <v>971</v>
      </c>
      <c r="DQ50" s="1644">
        <f t="shared" si="9"/>
        <v>0.45726055612770339</v>
      </c>
      <c r="DS50" s="1311"/>
      <c r="DT50" s="1311" t="s">
        <v>41</v>
      </c>
      <c r="DU50" s="1319" t="s">
        <v>42</v>
      </c>
      <c r="DV50" s="1320">
        <v>234</v>
      </c>
      <c r="DW50" s="1320">
        <v>66</v>
      </c>
      <c r="DX50" s="1321"/>
      <c r="DY50" s="1320">
        <v>45</v>
      </c>
      <c r="DZ50" s="1320">
        <v>304</v>
      </c>
      <c r="EA50" s="1320">
        <v>28</v>
      </c>
      <c r="EB50" s="1320">
        <v>37</v>
      </c>
      <c r="EC50" s="1321"/>
      <c r="ED50" s="1320">
        <v>0</v>
      </c>
      <c r="EE50" s="1320">
        <v>29</v>
      </c>
      <c r="EF50" s="1320">
        <v>76</v>
      </c>
      <c r="EG50" s="1321"/>
      <c r="EH50" s="1320">
        <v>138</v>
      </c>
      <c r="EI50" s="1320">
        <v>1</v>
      </c>
      <c r="EJ50" s="1320">
        <v>958</v>
      </c>
      <c r="EK50" s="1322">
        <f t="shared" si="10"/>
        <v>0.42633228840125392</v>
      </c>
      <c r="EM50" s="1047"/>
      <c r="EN50" s="1047" t="s">
        <v>41</v>
      </c>
      <c r="EO50" s="1060" t="s">
        <v>42</v>
      </c>
      <c r="EP50" s="1061">
        <v>211</v>
      </c>
      <c r="EQ50" s="1061">
        <v>62</v>
      </c>
      <c r="ER50" s="1061">
        <v>0</v>
      </c>
      <c r="ES50" s="1061">
        <v>67</v>
      </c>
      <c r="ET50" s="1061">
        <v>286</v>
      </c>
      <c r="EU50" s="1061">
        <v>15</v>
      </c>
      <c r="EV50" s="1061">
        <v>41</v>
      </c>
      <c r="EW50" s="1047"/>
      <c r="EX50" s="1061">
        <v>0</v>
      </c>
      <c r="EY50" s="1061">
        <v>36</v>
      </c>
      <c r="EZ50" s="1061">
        <v>58</v>
      </c>
      <c r="FA50" s="1061">
        <v>170</v>
      </c>
      <c r="FB50" s="1047"/>
      <c r="FC50" s="1061">
        <v>946</v>
      </c>
      <c r="FD50" s="537">
        <f t="shared" si="11"/>
        <v>0.379492600422833</v>
      </c>
      <c r="FF50" s="652"/>
      <c r="FG50" s="652" t="s">
        <v>41</v>
      </c>
      <c r="FH50" s="1062" t="s">
        <v>42</v>
      </c>
      <c r="FI50" s="1063">
        <v>226</v>
      </c>
      <c r="FJ50" s="1063">
        <v>49</v>
      </c>
      <c r="FK50" s="652"/>
      <c r="FL50" s="1063">
        <v>67</v>
      </c>
      <c r="FM50" s="1063">
        <v>225</v>
      </c>
      <c r="FN50" s="1063">
        <v>32</v>
      </c>
      <c r="FO50" s="1063">
        <v>45</v>
      </c>
      <c r="FP50" s="652"/>
      <c r="FQ50" s="652"/>
      <c r="FR50" s="1063">
        <v>11</v>
      </c>
      <c r="FS50" s="1063">
        <v>50</v>
      </c>
      <c r="FT50" s="1063">
        <v>161</v>
      </c>
      <c r="FU50" s="652"/>
      <c r="FV50" s="1063">
        <v>866</v>
      </c>
      <c r="FW50" s="537">
        <f t="shared" si="12"/>
        <v>0.35450346420323325</v>
      </c>
      <c r="FY50" s="817"/>
      <c r="FZ50" s="817"/>
      <c r="GA50" s="1064" t="s">
        <v>43</v>
      </c>
      <c r="GB50" s="1065">
        <v>162</v>
      </c>
      <c r="GC50" s="1065">
        <v>38</v>
      </c>
      <c r="GD50" s="1065">
        <v>0</v>
      </c>
      <c r="GE50" s="1065">
        <v>61</v>
      </c>
      <c r="GF50" s="1065">
        <v>216</v>
      </c>
      <c r="GG50" s="1065">
        <v>10</v>
      </c>
      <c r="GH50" s="1065">
        <v>52</v>
      </c>
      <c r="GI50" s="1065">
        <v>0</v>
      </c>
      <c r="GJ50" s="1065">
        <v>7</v>
      </c>
      <c r="GK50" s="1065">
        <v>19</v>
      </c>
      <c r="GL50" s="1065">
        <v>119</v>
      </c>
      <c r="GM50" s="1065">
        <v>153</v>
      </c>
      <c r="GN50" s="1065">
        <v>0</v>
      </c>
      <c r="GO50" s="1065">
        <v>3</v>
      </c>
      <c r="GP50" s="1065">
        <v>840</v>
      </c>
      <c r="GQ50" s="1066">
        <f t="shared" si="13"/>
        <v>0.34122562674094709</v>
      </c>
      <c r="GS50" s="107"/>
      <c r="GT50" s="107"/>
      <c r="GU50" s="47" t="s">
        <v>43</v>
      </c>
      <c r="GV50" s="47">
        <v>136</v>
      </c>
      <c r="GW50" s="47">
        <v>48</v>
      </c>
      <c r="GX50" s="47"/>
      <c r="GY50" s="47">
        <v>60</v>
      </c>
      <c r="GZ50" s="47">
        <v>206</v>
      </c>
      <c r="HA50" s="47">
        <v>19</v>
      </c>
      <c r="HB50" s="47">
        <v>35</v>
      </c>
      <c r="HC50" s="47"/>
      <c r="HD50" s="47">
        <v>13</v>
      </c>
      <c r="HE50" s="47">
        <v>16</v>
      </c>
      <c r="HF50" s="47">
        <v>115</v>
      </c>
      <c r="HG50" s="47">
        <v>157</v>
      </c>
      <c r="HH50" s="47"/>
      <c r="HI50" s="47">
        <v>2</v>
      </c>
      <c r="HJ50" s="47">
        <v>807</v>
      </c>
      <c r="HK50" s="1067">
        <f t="shared" si="1"/>
        <v>0.3492753623188406</v>
      </c>
      <c r="HL50" s="47"/>
      <c r="HM50" s="420"/>
      <c r="HN50" s="420"/>
      <c r="HO50" s="420" t="s">
        <v>43</v>
      </c>
      <c r="HP50" s="1068">
        <v>119</v>
      </c>
      <c r="HQ50" s="1068">
        <v>58</v>
      </c>
      <c r="HR50" s="1068" t="s">
        <v>327</v>
      </c>
      <c r="HS50" s="1068">
        <v>63</v>
      </c>
      <c r="HT50" s="1068">
        <v>190</v>
      </c>
      <c r="HU50" s="1068">
        <v>10</v>
      </c>
      <c r="HV50" s="1068">
        <v>47</v>
      </c>
      <c r="HW50" s="1068" t="s">
        <v>327</v>
      </c>
      <c r="HX50" s="1068">
        <v>29</v>
      </c>
      <c r="HY50" s="1068">
        <v>21</v>
      </c>
      <c r="HZ50" s="1068">
        <v>152</v>
      </c>
      <c r="IA50" s="1068" t="s">
        <v>327</v>
      </c>
      <c r="IB50" s="1068">
        <v>689</v>
      </c>
      <c r="IC50" s="1068">
        <f t="shared" si="2"/>
        <v>221</v>
      </c>
      <c r="ID50" s="1069">
        <f t="shared" si="3"/>
        <v>0.32075471698113206</v>
      </c>
      <c r="IE50" s="47"/>
      <c r="IF50" s="47"/>
    </row>
    <row r="51" spans="1:240">
      <c r="A51" s="41"/>
      <c r="B51" s="41" t="s">
        <v>41</v>
      </c>
      <c r="C51" s="41" t="s">
        <v>42</v>
      </c>
      <c r="D51" s="105">
        <v>218</v>
      </c>
      <c r="E51" s="105">
        <v>87</v>
      </c>
      <c r="F51" s="105"/>
      <c r="G51" s="105">
        <v>36</v>
      </c>
      <c r="H51" s="105">
        <v>269</v>
      </c>
      <c r="I51" s="105">
        <v>74</v>
      </c>
      <c r="J51" s="105">
        <v>9</v>
      </c>
      <c r="K51" s="105"/>
      <c r="L51" s="105"/>
      <c r="M51" s="105">
        <v>19</v>
      </c>
      <c r="N51" s="105">
        <v>88</v>
      </c>
      <c r="O51" s="105"/>
      <c r="P51" s="105">
        <v>144</v>
      </c>
      <c r="Q51" s="105">
        <v>0</v>
      </c>
      <c r="R51" s="105">
        <v>944</v>
      </c>
      <c r="S51" s="706">
        <f t="shared" si="4"/>
        <v>0.4565677966101695</v>
      </c>
      <c r="T51" s="5561">
        <f t="shared" si="5"/>
        <v>4</v>
      </c>
      <c r="U51" s="5562">
        <v>940</v>
      </c>
      <c r="V51" s="706"/>
      <c r="Y51" s="41" t="s">
        <v>43</v>
      </c>
      <c r="Z51" s="41">
        <v>110</v>
      </c>
      <c r="AA51" s="41">
        <v>69</v>
      </c>
      <c r="AB51" s="41"/>
      <c r="AC51" s="41">
        <v>29</v>
      </c>
      <c r="AD51" s="41">
        <v>277</v>
      </c>
      <c r="AE51" s="41">
        <v>33</v>
      </c>
      <c r="AF51" s="41">
        <v>78</v>
      </c>
      <c r="AG51" s="41"/>
      <c r="AH51" s="41"/>
      <c r="AI51" s="41">
        <v>27</v>
      </c>
      <c r="AJ51" s="41">
        <v>28</v>
      </c>
      <c r="AK51" s="41"/>
      <c r="AL51" s="41">
        <v>104</v>
      </c>
      <c r="AM51" s="41">
        <v>0</v>
      </c>
      <c r="AN51" s="461">
        <v>755</v>
      </c>
      <c r="AO51" s="4692">
        <f t="shared" si="6"/>
        <v>0.44768211920529799</v>
      </c>
      <c r="AQ51" s="1788"/>
      <c r="AR51" s="1788"/>
      <c r="AS51" s="37" t="s">
        <v>43</v>
      </c>
      <c r="AT51" s="1788">
        <v>186</v>
      </c>
      <c r="AU51" s="1788">
        <v>81</v>
      </c>
      <c r="AV51" s="1788">
        <v>0</v>
      </c>
      <c r="AW51" s="1788">
        <v>28</v>
      </c>
      <c r="AX51" s="1788">
        <v>204</v>
      </c>
      <c r="AY51" s="1788">
        <v>40</v>
      </c>
      <c r="AZ51" s="1788">
        <v>21</v>
      </c>
      <c r="BA51" s="1788"/>
      <c r="BB51" s="1788"/>
      <c r="BC51" s="1788">
        <v>40</v>
      </c>
      <c r="BD51" s="1788">
        <v>42</v>
      </c>
      <c r="BE51" s="1788"/>
      <c r="BF51" s="1788">
        <v>119</v>
      </c>
      <c r="BG51" s="1788">
        <v>0</v>
      </c>
      <c r="BH51" s="1788">
        <v>761</v>
      </c>
      <c r="BI51" s="4701">
        <f t="shared" si="7"/>
        <v>0.37582128777923784</v>
      </c>
      <c r="BK51" s="41"/>
      <c r="BL51" s="41"/>
      <c r="BM51" s="41" t="s">
        <v>43</v>
      </c>
      <c r="BN51" s="105">
        <v>189</v>
      </c>
      <c r="BO51" s="105">
        <v>69</v>
      </c>
      <c r="BP51" s="105">
        <v>0</v>
      </c>
      <c r="BQ51" s="105">
        <v>0</v>
      </c>
      <c r="BR51" s="105">
        <v>224</v>
      </c>
      <c r="BS51" s="105">
        <v>26</v>
      </c>
      <c r="BT51" s="105">
        <v>48</v>
      </c>
      <c r="BU51" s="105"/>
      <c r="BV51" s="105"/>
      <c r="BW51" s="105">
        <v>22</v>
      </c>
      <c r="BX51" s="105">
        <v>40</v>
      </c>
      <c r="BY51" s="105"/>
      <c r="BZ51" s="105">
        <v>107</v>
      </c>
      <c r="CA51" s="105">
        <v>0</v>
      </c>
      <c r="CB51" s="105">
        <v>725</v>
      </c>
      <c r="CC51" s="2484">
        <f t="shared" si="8"/>
        <v>0.4</v>
      </c>
      <c r="CE51" s="41"/>
      <c r="CF51" s="41"/>
      <c r="CG51" s="41" t="s">
        <v>43</v>
      </c>
      <c r="CH51" s="105">
        <v>190</v>
      </c>
      <c r="CI51" s="105">
        <v>74</v>
      </c>
      <c r="CJ51" s="105"/>
      <c r="CK51" s="105">
        <v>33</v>
      </c>
      <c r="CL51" s="105">
        <v>201</v>
      </c>
      <c r="CM51" s="105">
        <v>28</v>
      </c>
      <c r="CN51" s="105">
        <v>35</v>
      </c>
      <c r="CO51" s="105"/>
      <c r="CP51" s="105">
        <v>0</v>
      </c>
      <c r="CQ51" s="105">
        <v>15</v>
      </c>
      <c r="CR51" s="105">
        <v>34</v>
      </c>
      <c r="CS51" s="105"/>
      <c r="CT51" s="105">
        <v>114</v>
      </c>
      <c r="CU51" s="105">
        <v>0</v>
      </c>
      <c r="CV51" s="105">
        <v>724</v>
      </c>
      <c r="CW51" s="1644">
        <f t="shared" si="0"/>
        <v>0.36325966850828728</v>
      </c>
      <c r="CX51" s="1976"/>
      <c r="CY51" s="41"/>
      <c r="CZ51" s="41"/>
      <c r="DA51" s="41" t="s">
        <v>43</v>
      </c>
      <c r="DB51" s="105">
        <v>165</v>
      </c>
      <c r="DC51" s="105">
        <v>74</v>
      </c>
      <c r="DD51" s="105"/>
      <c r="DE51" s="105">
        <v>35</v>
      </c>
      <c r="DF51" s="105">
        <v>209</v>
      </c>
      <c r="DG51" s="105">
        <v>15</v>
      </c>
      <c r="DH51" s="105">
        <v>26</v>
      </c>
      <c r="DI51" s="105"/>
      <c r="DJ51" s="105">
        <v>0</v>
      </c>
      <c r="DK51" s="105">
        <v>18</v>
      </c>
      <c r="DL51" s="105">
        <v>34</v>
      </c>
      <c r="DM51" s="105"/>
      <c r="DN51" s="105">
        <v>107</v>
      </c>
      <c r="DO51" s="105">
        <v>0</v>
      </c>
      <c r="DP51" s="105">
        <v>683</v>
      </c>
      <c r="DQ51" s="1644">
        <f t="shared" si="9"/>
        <v>0.37774524158125916</v>
      </c>
      <c r="DS51" s="1311"/>
      <c r="DT51" s="1311"/>
      <c r="DU51" s="1319" t="s">
        <v>43</v>
      </c>
      <c r="DV51" s="1320">
        <v>157</v>
      </c>
      <c r="DW51" s="1320">
        <v>68</v>
      </c>
      <c r="DX51" s="1321"/>
      <c r="DY51" s="1320">
        <v>36</v>
      </c>
      <c r="DZ51" s="1320">
        <v>203</v>
      </c>
      <c r="EA51" s="1320">
        <v>12</v>
      </c>
      <c r="EB51" s="1320">
        <v>25</v>
      </c>
      <c r="EC51" s="1321"/>
      <c r="ED51" s="1320">
        <v>0</v>
      </c>
      <c r="EE51" s="1320">
        <v>18</v>
      </c>
      <c r="EF51" s="1320">
        <v>33</v>
      </c>
      <c r="EG51" s="1321"/>
      <c r="EH51" s="1320">
        <v>102</v>
      </c>
      <c r="EI51" s="1320">
        <v>0</v>
      </c>
      <c r="EJ51" s="1320">
        <v>654</v>
      </c>
      <c r="EK51" s="1322">
        <f t="shared" si="10"/>
        <v>0.37920489296636084</v>
      </c>
      <c r="EM51" s="1047"/>
      <c r="EN51" s="1047"/>
      <c r="EO51" s="1060" t="s">
        <v>43</v>
      </c>
      <c r="EP51" s="1061">
        <v>158</v>
      </c>
      <c r="EQ51" s="1061">
        <v>37</v>
      </c>
      <c r="ER51" s="1061">
        <v>0</v>
      </c>
      <c r="ES51" s="1061">
        <v>54</v>
      </c>
      <c r="ET51" s="1061">
        <v>208</v>
      </c>
      <c r="EU51" s="1061">
        <v>8</v>
      </c>
      <c r="EV51" s="1061">
        <v>51</v>
      </c>
      <c r="EW51" s="1047"/>
      <c r="EX51" s="1061">
        <v>0</v>
      </c>
      <c r="EY51" s="1061">
        <v>19</v>
      </c>
      <c r="EZ51" s="1061">
        <v>29</v>
      </c>
      <c r="FA51" s="1061">
        <v>116</v>
      </c>
      <c r="FB51" s="1047"/>
      <c r="FC51" s="1061">
        <v>680</v>
      </c>
      <c r="FD51" s="537">
        <f t="shared" si="11"/>
        <v>0.36029411764705882</v>
      </c>
      <c r="FF51" s="652"/>
      <c r="FG51" s="652"/>
      <c r="FH51" s="1062" t="s">
        <v>43</v>
      </c>
      <c r="FI51" s="1063">
        <v>169</v>
      </c>
      <c r="FJ51" s="1063">
        <v>44</v>
      </c>
      <c r="FK51" s="652"/>
      <c r="FL51" s="1063">
        <v>63</v>
      </c>
      <c r="FM51" s="1063">
        <v>208</v>
      </c>
      <c r="FN51" s="1063">
        <v>14</v>
      </c>
      <c r="FO51" s="1063">
        <v>45</v>
      </c>
      <c r="FP51" s="652"/>
      <c r="FQ51" s="652"/>
      <c r="FR51" s="1063">
        <v>11</v>
      </c>
      <c r="FS51" s="1063">
        <v>19</v>
      </c>
      <c r="FT51" s="1063">
        <v>133</v>
      </c>
      <c r="FU51" s="652"/>
      <c r="FV51" s="1063">
        <v>706</v>
      </c>
      <c r="FW51" s="537">
        <f t="shared" si="12"/>
        <v>0.34135977337110479</v>
      </c>
      <c r="FY51" s="817"/>
      <c r="FZ51" s="817"/>
      <c r="GA51" s="1064" t="s">
        <v>44</v>
      </c>
      <c r="GB51" s="1065">
        <v>78</v>
      </c>
      <c r="GC51" s="1065">
        <v>20</v>
      </c>
      <c r="GD51" s="1065">
        <v>0</v>
      </c>
      <c r="GE51" s="1065">
        <v>31</v>
      </c>
      <c r="GF51" s="1065">
        <v>77</v>
      </c>
      <c r="GG51" s="1065">
        <v>6</v>
      </c>
      <c r="GH51" s="1065">
        <v>19</v>
      </c>
      <c r="GI51" s="1065">
        <v>0</v>
      </c>
      <c r="GJ51" s="1065">
        <v>3</v>
      </c>
      <c r="GK51" s="1065">
        <v>23</v>
      </c>
      <c r="GL51" s="1065">
        <v>38</v>
      </c>
      <c r="GM51" s="1065">
        <v>64</v>
      </c>
      <c r="GN51" s="1065">
        <v>0</v>
      </c>
      <c r="GO51" s="1065">
        <v>2</v>
      </c>
      <c r="GP51" s="1065">
        <v>361</v>
      </c>
      <c r="GQ51" s="1066">
        <f t="shared" si="13"/>
        <v>0.33021806853582553</v>
      </c>
      <c r="GS51" s="107"/>
      <c r="GT51" s="107"/>
      <c r="GU51" s="47" t="s">
        <v>44</v>
      </c>
      <c r="GV51" s="47">
        <v>65</v>
      </c>
      <c r="GW51" s="47">
        <v>25</v>
      </c>
      <c r="GX51" s="47"/>
      <c r="GY51" s="47">
        <v>26</v>
      </c>
      <c r="GZ51" s="47">
        <v>80</v>
      </c>
      <c r="HA51" s="47">
        <v>11</v>
      </c>
      <c r="HB51" s="47">
        <v>22</v>
      </c>
      <c r="HC51" s="47"/>
      <c r="HD51" s="47">
        <v>9</v>
      </c>
      <c r="HE51" s="47">
        <v>9</v>
      </c>
      <c r="HF51" s="47">
        <v>35</v>
      </c>
      <c r="HG51" s="47">
        <v>58</v>
      </c>
      <c r="HH51" s="47"/>
      <c r="HI51" s="47">
        <v>1</v>
      </c>
      <c r="HJ51" s="47">
        <v>341</v>
      </c>
      <c r="HK51" s="1067">
        <f t="shared" si="1"/>
        <v>0.32786885245901637</v>
      </c>
      <c r="HL51" s="47"/>
      <c r="HM51" s="420"/>
      <c r="HN51" s="420"/>
      <c r="HO51" s="420" t="s">
        <v>44</v>
      </c>
      <c r="HP51" s="1068">
        <v>62</v>
      </c>
      <c r="HQ51" s="1068">
        <v>21</v>
      </c>
      <c r="HR51" s="1068" t="s">
        <v>327</v>
      </c>
      <c r="HS51" s="1068">
        <v>23</v>
      </c>
      <c r="HT51" s="1068">
        <v>74</v>
      </c>
      <c r="HU51" s="1068">
        <v>7</v>
      </c>
      <c r="HV51" s="1068">
        <v>13</v>
      </c>
      <c r="HW51" s="1068" t="s">
        <v>327</v>
      </c>
      <c r="HX51" s="1068">
        <v>13</v>
      </c>
      <c r="HY51" s="1068">
        <v>22</v>
      </c>
      <c r="HZ51" s="1068">
        <v>58</v>
      </c>
      <c r="IA51" s="1068" t="s">
        <v>327</v>
      </c>
      <c r="IB51" s="1068">
        <v>293</v>
      </c>
      <c r="IC51" s="1068">
        <f t="shared" si="2"/>
        <v>103</v>
      </c>
      <c r="ID51" s="1069">
        <f t="shared" si="3"/>
        <v>0.35153583617747441</v>
      </c>
      <c r="IE51" s="47"/>
      <c r="IF51" s="47"/>
    </row>
    <row r="52" spans="1:240">
      <c r="A52" s="41"/>
      <c r="B52" s="41"/>
      <c r="C52" s="41" t="s">
        <v>43</v>
      </c>
      <c r="D52" s="105">
        <v>209</v>
      </c>
      <c r="E52" s="105">
        <v>85</v>
      </c>
      <c r="F52" s="105"/>
      <c r="G52" s="105">
        <v>28</v>
      </c>
      <c r="H52" s="105">
        <v>198</v>
      </c>
      <c r="I52" s="105">
        <v>54</v>
      </c>
      <c r="J52" s="105">
        <v>3</v>
      </c>
      <c r="K52" s="105"/>
      <c r="L52" s="105"/>
      <c r="M52" s="105">
        <v>26</v>
      </c>
      <c r="N52" s="105">
        <v>47</v>
      </c>
      <c r="O52" s="105"/>
      <c r="P52" s="105">
        <v>133</v>
      </c>
      <c r="Q52" s="105">
        <v>0</v>
      </c>
      <c r="R52" s="105">
        <v>783</v>
      </c>
      <c r="S52" s="706">
        <f t="shared" si="4"/>
        <v>0.38186462324393361</v>
      </c>
      <c r="T52" s="5561">
        <f t="shared" si="5"/>
        <v>2</v>
      </c>
      <c r="U52" s="5562">
        <v>781</v>
      </c>
      <c r="V52" s="706"/>
      <c r="Y52" s="41" t="s">
        <v>44</v>
      </c>
      <c r="Z52" s="41">
        <v>82</v>
      </c>
      <c r="AA52" s="41">
        <v>60</v>
      </c>
      <c r="AB52" s="41"/>
      <c r="AC52" s="41">
        <v>20</v>
      </c>
      <c r="AD52" s="41">
        <v>206</v>
      </c>
      <c r="AE52" s="41">
        <v>35</v>
      </c>
      <c r="AF52" s="41">
        <v>58</v>
      </c>
      <c r="AG52" s="41"/>
      <c r="AH52" s="41"/>
      <c r="AI52" s="41">
        <v>18</v>
      </c>
      <c r="AJ52" s="41">
        <v>42</v>
      </c>
      <c r="AK52" s="41"/>
      <c r="AL52" s="41">
        <v>86</v>
      </c>
      <c r="AM52" s="41">
        <v>1</v>
      </c>
      <c r="AN52" s="461">
        <v>608</v>
      </c>
      <c r="AO52" s="4692">
        <f t="shared" si="6"/>
        <v>0.46622734761120266</v>
      </c>
      <c r="AQ52" s="1788"/>
      <c r="AR52" s="1788"/>
      <c r="AS52" s="37" t="s">
        <v>44</v>
      </c>
      <c r="AT52" s="1788">
        <v>148</v>
      </c>
      <c r="AU52" s="1788">
        <v>77</v>
      </c>
      <c r="AV52" s="1788">
        <v>0</v>
      </c>
      <c r="AW52" s="1788">
        <v>14</v>
      </c>
      <c r="AX52" s="1788">
        <v>166</v>
      </c>
      <c r="AY52" s="1788">
        <v>43</v>
      </c>
      <c r="AZ52" s="1788">
        <v>17</v>
      </c>
      <c r="BA52" s="1788"/>
      <c r="BB52" s="1788"/>
      <c r="BC52" s="1788">
        <v>20</v>
      </c>
      <c r="BD52" s="1788">
        <v>44</v>
      </c>
      <c r="BE52" s="1788"/>
      <c r="BF52" s="1788">
        <v>98</v>
      </c>
      <c r="BG52" s="1788">
        <v>0</v>
      </c>
      <c r="BH52" s="1788">
        <v>627</v>
      </c>
      <c r="BI52" s="4701">
        <f t="shared" si="7"/>
        <v>0.40350877192982454</v>
      </c>
      <c r="BK52" s="41"/>
      <c r="BL52" s="41"/>
      <c r="BM52" s="41" t="s">
        <v>44</v>
      </c>
      <c r="BN52" s="105">
        <v>152</v>
      </c>
      <c r="BO52" s="105">
        <v>47</v>
      </c>
      <c r="BP52" s="105">
        <v>0</v>
      </c>
      <c r="BQ52" s="105">
        <v>1</v>
      </c>
      <c r="BR52" s="105">
        <v>159</v>
      </c>
      <c r="BS52" s="105">
        <v>27</v>
      </c>
      <c r="BT52" s="105">
        <v>32</v>
      </c>
      <c r="BU52" s="105"/>
      <c r="BV52" s="105"/>
      <c r="BW52" s="105">
        <v>24</v>
      </c>
      <c r="BX52" s="105">
        <v>53</v>
      </c>
      <c r="BY52" s="105"/>
      <c r="BZ52" s="105">
        <v>89</v>
      </c>
      <c r="CA52" s="105">
        <v>0</v>
      </c>
      <c r="CB52" s="105">
        <v>584</v>
      </c>
      <c r="CC52" s="2484">
        <f t="shared" si="8"/>
        <v>0.40924657534246578</v>
      </c>
      <c r="CE52" s="41"/>
      <c r="CF52" s="41"/>
      <c r="CG52" s="41" t="s">
        <v>44</v>
      </c>
      <c r="CH52" s="105">
        <v>158</v>
      </c>
      <c r="CI52" s="105">
        <v>51</v>
      </c>
      <c r="CJ52" s="105"/>
      <c r="CK52" s="105">
        <v>18</v>
      </c>
      <c r="CL52" s="105">
        <v>99</v>
      </c>
      <c r="CM52" s="105">
        <v>31</v>
      </c>
      <c r="CN52" s="105">
        <v>25</v>
      </c>
      <c r="CO52" s="105"/>
      <c r="CP52" s="105">
        <v>0</v>
      </c>
      <c r="CQ52" s="105">
        <v>19</v>
      </c>
      <c r="CR52" s="105">
        <v>74</v>
      </c>
      <c r="CS52" s="105"/>
      <c r="CT52" s="105">
        <v>88</v>
      </c>
      <c r="CU52" s="105">
        <v>1</v>
      </c>
      <c r="CV52" s="105">
        <v>564</v>
      </c>
      <c r="CW52" s="1644">
        <f t="shared" si="0"/>
        <v>0.36234458259325042</v>
      </c>
      <c r="CX52" s="1976"/>
      <c r="CY52" s="41"/>
      <c r="CZ52" s="41"/>
      <c r="DA52" s="41" t="s">
        <v>44</v>
      </c>
      <c r="DB52" s="105">
        <v>171</v>
      </c>
      <c r="DC52" s="105">
        <v>49</v>
      </c>
      <c r="DD52" s="105"/>
      <c r="DE52" s="105">
        <v>28</v>
      </c>
      <c r="DF52" s="105">
        <v>90</v>
      </c>
      <c r="DG52" s="105">
        <v>17</v>
      </c>
      <c r="DH52" s="105">
        <v>25</v>
      </c>
      <c r="DI52" s="105"/>
      <c r="DJ52" s="105">
        <v>0</v>
      </c>
      <c r="DK52" s="105">
        <v>19</v>
      </c>
      <c r="DL52" s="105">
        <v>44</v>
      </c>
      <c r="DM52" s="105"/>
      <c r="DN52" s="105">
        <v>79</v>
      </c>
      <c r="DO52" s="105">
        <v>1</v>
      </c>
      <c r="DP52" s="105">
        <v>523</v>
      </c>
      <c r="DQ52" s="1644">
        <f t="shared" si="9"/>
        <v>0.28927203065134099</v>
      </c>
      <c r="DS52" s="1311"/>
      <c r="DT52" s="1311"/>
      <c r="DU52" s="1319" t="s">
        <v>44</v>
      </c>
      <c r="DV52" s="1320">
        <v>146</v>
      </c>
      <c r="DW52" s="1320">
        <v>53</v>
      </c>
      <c r="DX52" s="1321"/>
      <c r="DY52" s="1320">
        <v>28</v>
      </c>
      <c r="DZ52" s="1320">
        <v>94</v>
      </c>
      <c r="EA52" s="1320">
        <v>13</v>
      </c>
      <c r="EB52" s="1320">
        <v>18</v>
      </c>
      <c r="EC52" s="1321"/>
      <c r="ED52" s="1320">
        <v>0</v>
      </c>
      <c r="EE52" s="1320">
        <v>18</v>
      </c>
      <c r="EF52" s="1320">
        <v>29</v>
      </c>
      <c r="EG52" s="1321"/>
      <c r="EH52" s="1320">
        <v>76</v>
      </c>
      <c r="EI52" s="1320">
        <v>1</v>
      </c>
      <c r="EJ52" s="1320">
        <v>476</v>
      </c>
      <c r="EK52" s="1322">
        <f t="shared" si="10"/>
        <v>0.28631578947368419</v>
      </c>
      <c r="EM52" s="1047"/>
      <c r="EN52" s="1047"/>
      <c r="EO52" s="1060" t="s">
        <v>44</v>
      </c>
      <c r="EP52" s="1061">
        <v>133</v>
      </c>
      <c r="EQ52" s="1061">
        <v>42</v>
      </c>
      <c r="ER52" s="1061">
        <v>0</v>
      </c>
      <c r="ES52" s="1061">
        <v>31</v>
      </c>
      <c r="ET52" s="1061">
        <v>84</v>
      </c>
      <c r="EU52" s="1061">
        <v>11</v>
      </c>
      <c r="EV52" s="1061">
        <v>18</v>
      </c>
      <c r="EW52" s="1047"/>
      <c r="EX52" s="1061">
        <v>0</v>
      </c>
      <c r="EY52" s="1061">
        <v>12</v>
      </c>
      <c r="EZ52" s="1061">
        <v>18</v>
      </c>
      <c r="FA52" s="1061">
        <v>78</v>
      </c>
      <c r="FB52" s="1047"/>
      <c r="FC52" s="1061">
        <v>427</v>
      </c>
      <c r="FD52" s="537">
        <f t="shared" si="11"/>
        <v>0.26463700234192039</v>
      </c>
      <c r="FF52" s="652"/>
      <c r="FG52" s="652"/>
      <c r="FH52" s="1062" t="s">
        <v>44</v>
      </c>
      <c r="FI52" s="1063">
        <v>103</v>
      </c>
      <c r="FJ52" s="1063">
        <v>26</v>
      </c>
      <c r="FK52" s="652"/>
      <c r="FL52" s="1063">
        <v>32</v>
      </c>
      <c r="FM52" s="1063">
        <v>84</v>
      </c>
      <c r="FN52" s="1063">
        <v>21</v>
      </c>
      <c r="FO52" s="1063">
        <v>15</v>
      </c>
      <c r="FP52" s="652"/>
      <c r="FQ52" s="652"/>
      <c r="FR52" s="1063">
        <v>5</v>
      </c>
      <c r="FS52" s="1063">
        <v>17</v>
      </c>
      <c r="FT52" s="1063">
        <v>65</v>
      </c>
      <c r="FU52" s="652"/>
      <c r="FV52" s="1063">
        <v>368</v>
      </c>
      <c r="FW52" s="537">
        <f t="shared" si="12"/>
        <v>0.33152173913043476</v>
      </c>
      <c r="FY52" s="817"/>
      <c r="FZ52" s="817"/>
      <c r="GA52" s="1064" t="s">
        <v>45</v>
      </c>
      <c r="GB52" s="1065">
        <v>35</v>
      </c>
      <c r="GC52" s="1065">
        <v>8</v>
      </c>
      <c r="GD52" s="1065">
        <v>0</v>
      </c>
      <c r="GE52" s="1065">
        <v>15</v>
      </c>
      <c r="GF52" s="1065">
        <v>26</v>
      </c>
      <c r="GG52" s="1065">
        <v>5</v>
      </c>
      <c r="GH52" s="1065">
        <v>10</v>
      </c>
      <c r="GI52" s="1065">
        <v>0</v>
      </c>
      <c r="GJ52" s="1065">
        <v>0</v>
      </c>
      <c r="GK52" s="1065">
        <v>12</v>
      </c>
      <c r="GL52" s="1065">
        <v>15</v>
      </c>
      <c r="GM52" s="1065">
        <v>40</v>
      </c>
      <c r="GN52" s="1065">
        <v>0</v>
      </c>
      <c r="GO52" s="1065">
        <v>1</v>
      </c>
      <c r="GP52" s="1065">
        <v>167</v>
      </c>
      <c r="GQ52" s="1066">
        <f t="shared" si="13"/>
        <v>0.28476821192052981</v>
      </c>
      <c r="GS52" s="107"/>
      <c r="GT52" s="107"/>
      <c r="GU52" s="47" t="s">
        <v>45</v>
      </c>
      <c r="GV52" s="47">
        <v>28</v>
      </c>
      <c r="GW52" s="47">
        <v>16</v>
      </c>
      <c r="GX52" s="47"/>
      <c r="GY52" s="47">
        <v>11</v>
      </c>
      <c r="GZ52" s="47">
        <v>23</v>
      </c>
      <c r="HA52" s="47">
        <v>5</v>
      </c>
      <c r="HB52" s="47">
        <v>9</v>
      </c>
      <c r="HC52" s="47"/>
      <c r="HD52" s="47">
        <v>1</v>
      </c>
      <c r="HE52" s="47">
        <v>6</v>
      </c>
      <c r="HF52" s="47">
        <v>13</v>
      </c>
      <c r="HG52" s="47">
        <v>38</v>
      </c>
      <c r="HH52" s="47"/>
      <c r="HI52" s="47">
        <v>2</v>
      </c>
      <c r="HJ52" s="47">
        <v>152</v>
      </c>
      <c r="HK52" s="1067">
        <f t="shared" si="1"/>
        <v>0.24817518248175183</v>
      </c>
      <c r="HL52" s="47"/>
      <c r="HM52" s="420"/>
      <c r="HN52" s="420"/>
      <c r="HO52" s="420" t="s">
        <v>45</v>
      </c>
      <c r="HP52" s="1068">
        <v>20</v>
      </c>
      <c r="HQ52" s="1068">
        <v>15</v>
      </c>
      <c r="HR52" s="1068" t="s">
        <v>327</v>
      </c>
      <c r="HS52" s="1068">
        <v>10</v>
      </c>
      <c r="HT52" s="1068">
        <v>19</v>
      </c>
      <c r="HU52" s="1068">
        <v>6</v>
      </c>
      <c r="HV52" s="1068">
        <v>5</v>
      </c>
      <c r="HW52" s="1068" t="s">
        <v>327</v>
      </c>
      <c r="HX52" s="1068">
        <v>6</v>
      </c>
      <c r="HY52" s="1068">
        <v>7</v>
      </c>
      <c r="HZ52" s="1068">
        <v>36</v>
      </c>
      <c r="IA52" s="1068" t="s">
        <v>327</v>
      </c>
      <c r="IB52" s="1068">
        <v>124</v>
      </c>
      <c r="IC52" s="1068">
        <f t="shared" si="2"/>
        <v>32</v>
      </c>
      <c r="ID52" s="1069">
        <f t="shared" si="3"/>
        <v>0.25806451612903225</v>
      </c>
      <c r="IE52" s="47"/>
      <c r="IF52" s="47"/>
    </row>
    <row r="53" spans="1:240">
      <c r="A53" s="41"/>
      <c r="B53" s="41"/>
      <c r="C53" s="41" t="s">
        <v>44</v>
      </c>
      <c r="D53" s="105">
        <v>168</v>
      </c>
      <c r="E53" s="105">
        <v>63</v>
      </c>
      <c r="F53" s="105"/>
      <c r="G53" s="105">
        <v>16</v>
      </c>
      <c r="H53" s="105">
        <v>152</v>
      </c>
      <c r="I53" s="105">
        <v>36</v>
      </c>
      <c r="J53" s="105">
        <v>8</v>
      </c>
      <c r="K53" s="105"/>
      <c r="L53" s="105"/>
      <c r="M53" s="105">
        <v>15</v>
      </c>
      <c r="N53" s="105">
        <v>61</v>
      </c>
      <c r="O53" s="105"/>
      <c r="P53" s="105">
        <v>97</v>
      </c>
      <c r="Q53" s="105">
        <v>0</v>
      </c>
      <c r="R53" s="105">
        <v>616</v>
      </c>
      <c r="S53" s="706">
        <f t="shared" si="4"/>
        <v>0.4042207792207792</v>
      </c>
      <c r="T53" s="5561">
        <f t="shared" si="5"/>
        <v>2</v>
      </c>
      <c r="U53" s="5562">
        <v>614</v>
      </c>
      <c r="V53" s="706"/>
      <c r="Y53" s="41" t="s">
        <v>45</v>
      </c>
      <c r="Z53" s="41">
        <v>39</v>
      </c>
      <c r="AA53" s="41">
        <v>45</v>
      </c>
      <c r="AB53" s="41"/>
      <c r="AC53" s="41">
        <v>23</v>
      </c>
      <c r="AD53" s="41">
        <v>120</v>
      </c>
      <c r="AE53" s="41">
        <v>41</v>
      </c>
      <c r="AF53" s="41">
        <v>26</v>
      </c>
      <c r="AG53" s="41"/>
      <c r="AH53" s="41"/>
      <c r="AI53" s="41">
        <v>10</v>
      </c>
      <c r="AJ53" s="41">
        <v>44</v>
      </c>
      <c r="AK53" s="41"/>
      <c r="AL53" s="41">
        <v>65</v>
      </c>
      <c r="AM53" s="41">
        <v>0</v>
      </c>
      <c r="AN53" s="461">
        <v>413</v>
      </c>
      <c r="AO53" s="4692">
        <f t="shared" si="6"/>
        <v>0.49636803874092011</v>
      </c>
      <c r="AQ53" s="1788"/>
      <c r="AR53" s="1788"/>
      <c r="AS53" s="37" t="s">
        <v>45</v>
      </c>
      <c r="AT53" s="1788">
        <v>76</v>
      </c>
      <c r="AU53" s="1788">
        <v>46</v>
      </c>
      <c r="AV53" s="1788">
        <v>1</v>
      </c>
      <c r="AW53" s="1788">
        <v>21</v>
      </c>
      <c r="AX53" s="1788">
        <v>84</v>
      </c>
      <c r="AY53" s="1788">
        <v>52</v>
      </c>
      <c r="AZ53" s="1788">
        <v>4</v>
      </c>
      <c r="BA53" s="1788"/>
      <c r="BB53" s="1788"/>
      <c r="BC53" s="1788">
        <v>12</v>
      </c>
      <c r="BD53" s="1788">
        <v>51</v>
      </c>
      <c r="BE53" s="1788"/>
      <c r="BF53" s="1788">
        <v>75</v>
      </c>
      <c r="BG53" s="1788">
        <v>0</v>
      </c>
      <c r="BH53" s="1788">
        <v>422</v>
      </c>
      <c r="BI53" s="4701">
        <f t="shared" si="7"/>
        <v>0.44312796208530808</v>
      </c>
      <c r="BK53" s="41"/>
      <c r="BL53" s="41"/>
      <c r="BM53" s="41" t="s">
        <v>45</v>
      </c>
      <c r="BN53" s="105">
        <v>97</v>
      </c>
      <c r="BO53" s="105">
        <v>35</v>
      </c>
      <c r="BP53" s="105">
        <v>0</v>
      </c>
      <c r="BQ53" s="105">
        <v>4</v>
      </c>
      <c r="BR53" s="105">
        <v>78</v>
      </c>
      <c r="BS53" s="105">
        <v>35</v>
      </c>
      <c r="BT53" s="105">
        <v>14</v>
      </c>
      <c r="BU53" s="105"/>
      <c r="BV53" s="105"/>
      <c r="BW53" s="105">
        <v>17</v>
      </c>
      <c r="BX53" s="105">
        <v>45</v>
      </c>
      <c r="BY53" s="105"/>
      <c r="BZ53" s="105">
        <v>68</v>
      </c>
      <c r="CA53" s="105">
        <v>0</v>
      </c>
      <c r="CB53" s="105">
        <v>393</v>
      </c>
      <c r="CC53" s="2484">
        <f t="shared" si="8"/>
        <v>0.4020356234096692</v>
      </c>
      <c r="CE53" s="41"/>
      <c r="CF53" s="41"/>
      <c r="CG53" s="41" t="s">
        <v>45</v>
      </c>
      <c r="CH53" s="105">
        <v>99</v>
      </c>
      <c r="CI53" s="105">
        <v>46</v>
      </c>
      <c r="CJ53" s="105"/>
      <c r="CK53" s="105">
        <v>22</v>
      </c>
      <c r="CL53" s="105">
        <v>55</v>
      </c>
      <c r="CM53" s="105">
        <v>27</v>
      </c>
      <c r="CN53" s="105">
        <v>12</v>
      </c>
      <c r="CO53" s="105"/>
      <c r="CP53" s="105">
        <v>0</v>
      </c>
      <c r="CQ53" s="105">
        <v>11</v>
      </c>
      <c r="CR53" s="105">
        <v>36</v>
      </c>
      <c r="CS53" s="105"/>
      <c r="CT53" s="105">
        <v>61</v>
      </c>
      <c r="CU53" s="105">
        <v>0</v>
      </c>
      <c r="CV53" s="105">
        <v>369</v>
      </c>
      <c r="CW53" s="1644">
        <f t="shared" si="0"/>
        <v>0.31978319783197834</v>
      </c>
      <c r="CX53" s="1976"/>
      <c r="CY53" s="41"/>
      <c r="CZ53" s="41"/>
      <c r="DA53" s="41" t="s">
        <v>45</v>
      </c>
      <c r="DB53" s="105">
        <v>98</v>
      </c>
      <c r="DC53" s="105">
        <v>29</v>
      </c>
      <c r="DD53" s="105"/>
      <c r="DE53" s="105">
        <v>20</v>
      </c>
      <c r="DF53" s="105">
        <v>47</v>
      </c>
      <c r="DG53" s="105">
        <v>19</v>
      </c>
      <c r="DH53" s="105">
        <v>11</v>
      </c>
      <c r="DI53" s="105"/>
      <c r="DJ53" s="105">
        <v>0</v>
      </c>
      <c r="DK53" s="105">
        <v>11</v>
      </c>
      <c r="DL53" s="105">
        <v>20</v>
      </c>
      <c r="DM53" s="105"/>
      <c r="DN53" s="105">
        <v>54</v>
      </c>
      <c r="DO53" s="105">
        <v>0</v>
      </c>
      <c r="DP53" s="105">
        <v>309</v>
      </c>
      <c r="DQ53" s="1644">
        <f t="shared" si="9"/>
        <v>0.27831715210355989</v>
      </c>
      <c r="DS53" s="1311"/>
      <c r="DT53" s="1311"/>
      <c r="DU53" s="1319" t="s">
        <v>45</v>
      </c>
      <c r="DV53" s="1320">
        <v>67</v>
      </c>
      <c r="DW53" s="1320">
        <v>24</v>
      </c>
      <c r="DX53" s="1321"/>
      <c r="DY53" s="1320">
        <v>20</v>
      </c>
      <c r="DZ53" s="1320">
        <v>41</v>
      </c>
      <c r="EA53" s="1320">
        <v>11</v>
      </c>
      <c r="EB53" s="1320">
        <v>10</v>
      </c>
      <c r="EC53" s="1321"/>
      <c r="ED53" s="1320">
        <v>0</v>
      </c>
      <c r="EE53" s="1320">
        <v>7</v>
      </c>
      <c r="EF53" s="1320">
        <v>20</v>
      </c>
      <c r="EG53" s="1321"/>
      <c r="EH53" s="1320">
        <v>51</v>
      </c>
      <c r="EI53" s="1320">
        <v>0</v>
      </c>
      <c r="EJ53" s="1320">
        <v>251</v>
      </c>
      <c r="EK53" s="1322">
        <f t="shared" si="10"/>
        <v>0.28685258964143429</v>
      </c>
      <c r="EM53" s="1047"/>
      <c r="EN53" s="1047"/>
      <c r="EO53" s="1060" t="s">
        <v>45</v>
      </c>
      <c r="EP53" s="1061">
        <v>65</v>
      </c>
      <c r="EQ53" s="1061">
        <v>21</v>
      </c>
      <c r="ER53" s="1061">
        <v>0</v>
      </c>
      <c r="ES53" s="1061">
        <v>22</v>
      </c>
      <c r="ET53" s="1061">
        <v>36</v>
      </c>
      <c r="EU53" s="1061">
        <v>7</v>
      </c>
      <c r="EV53" s="1061">
        <v>11</v>
      </c>
      <c r="EW53" s="1047"/>
      <c r="EX53" s="1061">
        <v>0</v>
      </c>
      <c r="EY53" s="1061">
        <v>4</v>
      </c>
      <c r="EZ53" s="1061">
        <v>15</v>
      </c>
      <c r="FA53" s="1061">
        <v>61</v>
      </c>
      <c r="FB53" s="1047"/>
      <c r="FC53" s="1061">
        <v>242</v>
      </c>
      <c r="FD53" s="537">
        <f t="shared" si="11"/>
        <v>0.23966942148760331</v>
      </c>
      <c r="FF53" s="652"/>
      <c r="FG53" s="652"/>
      <c r="FH53" s="1062" t="s">
        <v>45</v>
      </c>
      <c r="FI53" s="1063">
        <v>40</v>
      </c>
      <c r="FJ53" s="1063">
        <v>11</v>
      </c>
      <c r="FK53" s="652"/>
      <c r="FL53" s="1063">
        <v>15</v>
      </c>
      <c r="FM53" s="1063">
        <v>27</v>
      </c>
      <c r="FN53" s="1063">
        <v>8</v>
      </c>
      <c r="FO53" s="1063">
        <v>8</v>
      </c>
      <c r="FP53" s="652"/>
      <c r="FQ53" s="652"/>
      <c r="FR53" s="1063">
        <v>2</v>
      </c>
      <c r="FS53" s="1063">
        <v>10</v>
      </c>
      <c r="FT53" s="1063">
        <v>45</v>
      </c>
      <c r="FU53" s="652"/>
      <c r="FV53" s="1063">
        <v>166</v>
      </c>
      <c r="FW53" s="537">
        <f t="shared" si="12"/>
        <v>0.27108433734939757</v>
      </c>
      <c r="FY53" s="817"/>
      <c r="FZ53" s="817"/>
      <c r="GA53" s="1064" t="s">
        <v>46</v>
      </c>
      <c r="GB53" s="1065">
        <v>233</v>
      </c>
      <c r="GC53" s="1065">
        <v>46</v>
      </c>
      <c r="GD53" s="1065">
        <v>0</v>
      </c>
      <c r="GE53" s="1065">
        <v>78</v>
      </c>
      <c r="GF53" s="1065">
        <v>221</v>
      </c>
      <c r="GG53" s="1065">
        <v>45</v>
      </c>
      <c r="GH53" s="1065">
        <v>52</v>
      </c>
      <c r="GI53" s="1065">
        <v>0</v>
      </c>
      <c r="GJ53" s="1065">
        <v>16</v>
      </c>
      <c r="GK53" s="1065">
        <v>41</v>
      </c>
      <c r="GL53" s="1065">
        <v>155</v>
      </c>
      <c r="GM53" s="1065">
        <v>194</v>
      </c>
      <c r="GN53" s="1065">
        <v>0</v>
      </c>
      <c r="GO53" s="1065">
        <v>4</v>
      </c>
      <c r="GP53" s="1065">
        <v>1085</v>
      </c>
      <c r="GQ53" s="1066">
        <f t="shared" si="13"/>
        <v>0.33153347732181426</v>
      </c>
      <c r="GS53" s="107"/>
      <c r="GT53" s="107"/>
      <c r="GU53" s="47" t="s">
        <v>46</v>
      </c>
      <c r="GV53" s="47">
        <v>173</v>
      </c>
      <c r="GW53" s="47">
        <v>67</v>
      </c>
      <c r="GX53" s="47"/>
      <c r="GY53" s="47">
        <v>80</v>
      </c>
      <c r="GZ53" s="47">
        <v>220</v>
      </c>
      <c r="HA53" s="47">
        <v>44</v>
      </c>
      <c r="HB53" s="47">
        <v>46</v>
      </c>
      <c r="HC53" s="47"/>
      <c r="HD53" s="47">
        <v>20</v>
      </c>
      <c r="HE53" s="47">
        <v>29</v>
      </c>
      <c r="HF53" s="47">
        <v>125</v>
      </c>
      <c r="HG53" s="47">
        <v>182</v>
      </c>
      <c r="HH53" s="47"/>
      <c r="HI53" s="47">
        <v>3</v>
      </c>
      <c r="HJ53" s="47">
        <v>989</v>
      </c>
      <c r="HK53" s="1067">
        <f t="shared" si="1"/>
        <v>0.34030197444831589</v>
      </c>
      <c r="HL53" s="47"/>
      <c r="HM53" s="420"/>
      <c r="HN53" s="420"/>
      <c r="HO53" s="420" t="s">
        <v>46</v>
      </c>
      <c r="HP53" s="1068">
        <v>138</v>
      </c>
      <c r="HQ53" s="1068">
        <v>59</v>
      </c>
      <c r="HR53" s="1068" t="s">
        <v>327</v>
      </c>
      <c r="HS53" s="1068">
        <v>77</v>
      </c>
      <c r="HT53" s="1068">
        <v>224</v>
      </c>
      <c r="HU53" s="1068">
        <v>43</v>
      </c>
      <c r="HV53" s="1068">
        <v>58</v>
      </c>
      <c r="HW53" s="1068" t="s">
        <v>327</v>
      </c>
      <c r="HX53" s="1068">
        <v>38</v>
      </c>
      <c r="HY53" s="1068">
        <v>50</v>
      </c>
      <c r="HZ53" s="1068">
        <v>182</v>
      </c>
      <c r="IA53" s="1068" t="s">
        <v>327</v>
      </c>
      <c r="IB53" s="1068">
        <v>869</v>
      </c>
      <c r="IC53" s="1068">
        <f t="shared" si="2"/>
        <v>317</v>
      </c>
      <c r="ID53" s="1069">
        <f t="shared" si="3"/>
        <v>0.36478711162255467</v>
      </c>
      <c r="IE53" s="47"/>
      <c r="IF53" s="47"/>
    </row>
    <row r="54" spans="1:240">
      <c r="A54" s="41"/>
      <c r="B54" s="41"/>
      <c r="C54" s="41" t="s">
        <v>45</v>
      </c>
      <c r="D54" s="105">
        <v>59</v>
      </c>
      <c r="E54" s="105">
        <v>40</v>
      </c>
      <c r="F54" s="105"/>
      <c r="G54" s="105">
        <v>21</v>
      </c>
      <c r="H54" s="105">
        <v>102</v>
      </c>
      <c r="I54" s="105">
        <v>45</v>
      </c>
      <c r="J54" s="105">
        <v>1</v>
      </c>
      <c r="K54" s="105"/>
      <c r="L54" s="105"/>
      <c r="M54" s="105">
        <v>6</v>
      </c>
      <c r="N54" s="105">
        <v>64</v>
      </c>
      <c r="O54" s="105"/>
      <c r="P54" s="105">
        <v>82</v>
      </c>
      <c r="Q54" s="105">
        <v>0</v>
      </c>
      <c r="R54" s="105">
        <v>420</v>
      </c>
      <c r="S54" s="706">
        <f t="shared" si="4"/>
        <v>0.50238095238095237</v>
      </c>
      <c r="T54" s="5561">
        <f t="shared" si="5"/>
        <v>1</v>
      </c>
      <c r="U54" s="5562">
        <v>419</v>
      </c>
      <c r="V54" s="706"/>
      <c r="Y54" s="41" t="s">
        <v>46</v>
      </c>
      <c r="Z54" s="41">
        <v>144</v>
      </c>
      <c r="AA54" s="41">
        <v>104</v>
      </c>
      <c r="AB54" s="41"/>
      <c r="AC54" s="41">
        <v>55</v>
      </c>
      <c r="AD54" s="41">
        <v>425</v>
      </c>
      <c r="AE54" s="41">
        <v>67</v>
      </c>
      <c r="AF54" s="41">
        <v>134</v>
      </c>
      <c r="AG54" s="41"/>
      <c r="AH54" s="41"/>
      <c r="AI54" s="41">
        <v>39</v>
      </c>
      <c r="AJ54" s="41">
        <v>63</v>
      </c>
      <c r="AK54" s="41"/>
      <c r="AL54" s="41">
        <v>184</v>
      </c>
      <c r="AM54" s="41">
        <v>2</v>
      </c>
      <c r="AN54" s="461">
        <v>1217</v>
      </c>
      <c r="AO54" s="4692">
        <f t="shared" si="6"/>
        <v>0.4567901234567901</v>
      </c>
      <c r="AQ54" s="1788"/>
      <c r="AR54" s="1788"/>
      <c r="AS54" s="37" t="s">
        <v>46</v>
      </c>
      <c r="AT54" s="1788">
        <v>252</v>
      </c>
      <c r="AU54" s="1788">
        <v>132</v>
      </c>
      <c r="AV54" s="1788">
        <v>0</v>
      </c>
      <c r="AW54" s="1788">
        <v>49</v>
      </c>
      <c r="AX54" s="1788">
        <v>277</v>
      </c>
      <c r="AY54" s="1788">
        <v>101</v>
      </c>
      <c r="AZ54" s="1788">
        <v>54</v>
      </c>
      <c r="BA54" s="1788"/>
      <c r="BB54" s="1788"/>
      <c r="BC54" s="1788">
        <v>48</v>
      </c>
      <c r="BD54" s="1788">
        <v>72</v>
      </c>
      <c r="BE54" s="1788"/>
      <c r="BF54" s="1788">
        <v>216</v>
      </c>
      <c r="BG54" s="1788">
        <v>2</v>
      </c>
      <c r="BH54" s="1788">
        <v>1203</v>
      </c>
      <c r="BI54" s="4701">
        <f t="shared" si="7"/>
        <v>0.37468776019983346</v>
      </c>
      <c r="BK54" s="41"/>
      <c r="BL54" s="41"/>
      <c r="BM54" s="41" t="s">
        <v>46</v>
      </c>
      <c r="BN54" s="105">
        <v>265</v>
      </c>
      <c r="BO54" s="105">
        <v>109</v>
      </c>
      <c r="BP54" s="105">
        <v>1</v>
      </c>
      <c r="BQ54" s="105">
        <v>3</v>
      </c>
      <c r="BR54" s="105">
        <v>317</v>
      </c>
      <c r="BS54" s="105">
        <v>63</v>
      </c>
      <c r="BT54" s="105">
        <v>67</v>
      </c>
      <c r="BU54" s="105"/>
      <c r="BV54" s="105"/>
      <c r="BW54" s="105">
        <v>55</v>
      </c>
      <c r="BX54" s="105">
        <v>78</v>
      </c>
      <c r="BY54" s="105"/>
      <c r="BZ54" s="105">
        <v>206</v>
      </c>
      <c r="CA54" s="105">
        <v>1</v>
      </c>
      <c r="CB54" s="105">
        <v>1165</v>
      </c>
      <c r="CC54" s="2484">
        <f t="shared" si="8"/>
        <v>0.39347079037800686</v>
      </c>
      <c r="CE54" s="41"/>
      <c r="CF54" s="41"/>
      <c r="CG54" s="41" t="s">
        <v>46</v>
      </c>
      <c r="CH54" s="105">
        <v>262</v>
      </c>
      <c r="CI54" s="105">
        <v>126</v>
      </c>
      <c r="CJ54" s="105"/>
      <c r="CK54" s="105">
        <v>55</v>
      </c>
      <c r="CL54" s="105">
        <v>283</v>
      </c>
      <c r="CM54" s="105">
        <v>63</v>
      </c>
      <c r="CN54" s="105">
        <v>63</v>
      </c>
      <c r="CO54" s="105"/>
      <c r="CP54" s="105">
        <v>0</v>
      </c>
      <c r="CQ54" s="105">
        <v>77</v>
      </c>
      <c r="CR54" s="105">
        <v>82</v>
      </c>
      <c r="CS54" s="105"/>
      <c r="CT54" s="105">
        <v>181</v>
      </c>
      <c r="CU54" s="105">
        <v>0</v>
      </c>
      <c r="CV54" s="105">
        <v>1192</v>
      </c>
      <c r="CW54" s="1644">
        <f t="shared" si="0"/>
        <v>0.35906040268456374</v>
      </c>
      <c r="CX54" s="1976"/>
      <c r="CY54" s="41"/>
      <c r="CZ54" s="41"/>
      <c r="DA54" s="41" t="s">
        <v>46</v>
      </c>
      <c r="DB54" s="105">
        <v>293</v>
      </c>
      <c r="DC54" s="105">
        <v>144</v>
      </c>
      <c r="DD54" s="105"/>
      <c r="DE54" s="105">
        <v>51</v>
      </c>
      <c r="DF54" s="105">
        <v>289</v>
      </c>
      <c r="DG54" s="105">
        <v>49</v>
      </c>
      <c r="DH54" s="105">
        <v>58</v>
      </c>
      <c r="DI54" s="105"/>
      <c r="DJ54" s="105">
        <v>0</v>
      </c>
      <c r="DK54" s="105">
        <v>58</v>
      </c>
      <c r="DL54" s="105">
        <v>62</v>
      </c>
      <c r="DM54" s="105"/>
      <c r="DN54" s="105">
        <v>149</v>
      </c>
      <c r="DO54" s="105">
        <v>1</v>
      </c>
      <c r="DP54" s="105">
        <v>1154</v>
      </c>
      <c r="DQ54" s="1644">
        <f t="shared" si="9"/>
        <v>0.3469210754553339</v>
      </c>
      <c r="DS54" s="1311"/>
      <c r="DT54" s="1311"/>
      <c r="DU54" s="1319" t="s">
        <v>46</v>
      </c>
      <c r="DV54" s="1320">
        <v>268</v>
      </c>
      <c r="DW54" s="1320">
        <v>105</v>
      </c>
      <c r="DX54" s="1321"/>
      <c r="DY54" s="1320">
        <v>55</v>
      </c>
      <c r="DZ54" s="1320">
        <v>288</v>
      </c>
      <c r="EA54" s="1320">
        <v>28</v>
      </c>
      <c r="EB54" s="1320">
        <v>53</v>
      </c>
      <c r="EC54" s="1321"/>
      <c r="ED54" s="1320">
        <v>0</v>
      </c>
      <c r="EE54" s="1320">
        <v>69</v>
      </c>
      <c r="EF54" s="1320">
        <v>57</v>
      </c>
      <c r="EG54" s="1321"/>
      <c r="EH54" s="1320">
        <v>150</v>
      </c>
      <c r="EI54" s="1320">
        <v>1</v>
      </c>
      <c r="EJ54" s="1320">
        <v>1074</v>
      </c>
      <c r="EK54" s="1322">
        <f t="shared" si="10"/>
        <v>0.34762348555452005</v>
      </c>
      <c r="EM54" s="1047"/>
      <c r="EN54" s="1047"/>
      <c r="EO54" s="1060" t="s">
        <v>46</v>
      </c>
      <c r="EP54" s="1061">
        <v>276</v>
      </c>
      <c r="EQ54" s="1061">
        <v>86</v>
      </c>
      <c r="ER54" s="1061">
        <v>1</v>
      </c>
      <c r="ES54" s="1061">
        <v>77</v>
      </c>
      <c r="ET54" s="1061">
        <v>264</v>
      </c>
      <c r="EU54" s="1061">
        <v>41</v>
      </c>
      <c r="EV54" s="1061">
        <v>65</v>
      </c>
      <c r="EW54" s="1047"/>
      <c r="EX54" s="1061">
        <v>0</v>
      </c>
      <c r="EY54" s="1061">
        <v>53</v>
      </c>
      <c r="EZ54" s="1061">
        <v>46</v>
      </c>
      <c r="FA54" s="1061">
        <v>176</v>
      </c>
      <c r="FB54" s="1047"/>
      <c r="FC54" s="1061">
        <v>1085</v>
      </c>
      <c r="FD54" s="537">
        <f t="shared" si="11"/>
        <v>0.32350230414746545</v>
      </c>
      <c r="FF54" s="652"/>
      <c r="FG54" s="652"/>
      <c r="FH54" s="1062" t="s">
        <v>46</v>
      </c>
      <c r="FI54" s="1063">
        <v>289</v>
      </c>
      <c r="FJ54" s="1063">
        <v>77</v>
      </c>
      <c r="FK54" s="652"/>
      <c r="FL54" s="1063">
        <v>80</v>
      </c>
      <c r="FM54" s="1063">
        <v>227</v>
      </c>
      <c r="FN54" s="1063">
        <v>56</v>
      </c>
      <c r="FO54" s="1063">
        <v>47</v>
      </c>
      <c r="FP54" s="652"/>
      <c r="FQ54" s="652"/>
      <c r="FR54" s="1063">
        <v>10</v>
      </c>
      <c r="FS54" s="1063">
        <v>51</v>
      </c>
      <c r="FT54" s="1063">
        <v>182</v>
      </c>
      <c r="FU54" s="652"/>
      <c r="FV54" s="1063">
        <v>1019</v>
      </c>
      <c r="FW54" s="537">
        <f t="shared" si="12"/>
        <v>0.32777232580961729</v>
      </c>
      <c r="FY54" s="817"/>
      <c r="FZ54" s="817"/>
      <c r="GA54" s="1064" t="s">
        <v>47</v>
      </c>
      <c r="GB54" s="1065">
        <v>258</v>
      </c>
      <c r="GC54" s="1065">
        <v>58</v>
      </c>
      <c r="GD54" s="1065">
        <v>0</v>
      </c>
      <c r="GE54" s="1065">
        <v>64</v>
      </c>
      <c r="GF54" s="1065">
        <v>225</v>
      </c>
      <c r="GG54" s="1065">
        <v>35</v>
      </c>
      <c r="GH54" s="1065">
        <v>67</v>
      </c>
      <c r="GI54" s="1065">
        <v>0</v>
      </c>
      <c r="GJ54" s="1065">
        <v>9</v>
      </c>
      <c r="GK54" s="1065">
        <v>68</v>
      </c>
      <c r="GL54" s="1065">
        <v>207</v>
      </c>
      <c r="GM54" s="1065">
        <v>277</v>
      </c>
      <c r="GN54" s="1065">
        <v>0</v>
      </c>
      <c r="GO54" s="1065">
        <v>2</v>
      </c>
      <c r="GP54" s="1065">
        <v>1270</v>
      </c>
      <c r="GQ54" s="1066">
        <f t="shared" si="13"/>
        <v>0.30914231856738927</v>
      </c>
      <c r="GS54" s="107"/>
      <c r="GT54" s="107"/>
      <c r="GU54" s="47" t="s">
        <v>47</v>
      </c>
      <c r="GV54" s="47">
        <v>214</v>
      </c>
      <c r="GW54" s="47">
        <v>73</v>
      </c>
      <c r="GX54" s="47"/>
      <c r="GY54" s="47">
        <v>58</v>
      </c>
      <c r="GZ54" s="47">
        <v>218</v>
      </c>
      <c r="HA54" s="47">
        <v>41</v>
      </c>
      <c r="HB54" s="47">
        <v>90</v>
      </c>
      <c r="HC54" s="47"/>
      <c r="HD54" s="47">
        <v>13</v>
      </c>
      <c r="HE54" s="47">
        <v>59</v>
      </c>
      <c r="HF54" s="47">
        <v>182</v>
      </c>
      <c r="HG54" s="47">
        <v>272</v>
      </c>
      <c r="HH54" s="47"/>
      <c r="HI54" s="47">
        <v>2</v>
      </c>
      <c r="HJ54" s="47">
        <v>1222</v>
      </c>
      <c r="HK54" s="1067">
        <f t="shared" si="1"/>
        <v>0.30635838150289019</v>
      </c>
      <c r="HL54" s="47"/>
      <c r="HM54" s="420"/>
      <c r="HN54" s="420"/>
      <c r="HO54" s="420" t="s">
        <v>47</v>
      </c>
      <c r="HP54" s="1068">
        <v>200</v>
      </c>
      <c r="HQ54" s="1068">
        <v>77</v>
      </c>
      <c r="HR54" s="1068" t="s">
        <v>327</v>
      </c>
      <c r="HS54" s="1068">
        <v>64</v>
      </c>
      <c r="HT54" s="1068">
        <v>220</v>
      </c>
      <c r="HU54" s="1068">
        <v>38</v>
      </c>
      <c r="HV54" s="1068">
        <v>79</v>
      </c>
      <c r="HW54" s="1068" t="s">
        <v>327</v>
      </c>
      <c r="HX54" s="1068">
        <v>24</v>
      </c>
      <c r="HY54" s="1068">
        <v>59</v>
      </c>
      <c r="HZ54" s="1068">
        <v>267</v>
      </c>
      <c r="IA54" s="1068" t="s">
        <v>327</v>
      </c>
      <c r="IB54" s="1068">
        <v>1028</v>
      </c>
      <c r="IC54" s="1068">
        <f t="shared" si="2"/>
        <v>317</v>
      </c>
      <c r="ID54" s="1069">
        <f t="shared" si="3"/>
        <v>0.30836575875486383</v>
      </c>
      <c r="IE54" s="47"/>
      <c r="IF54" s="47"/>
    </row>
    <row r="55" spans="1:240">
      <c r="A55" s="41"/>
      <c r="B55" s="41"/>
      <c r="C55" s="41" t="s">
        <v>46</v>
      </c>
      <c r="D55" s="105">
        <v>296</v>
      </c>
      <c r="E55" s="105">
        <v>125</v>
      </c>
      <c r="F55" s="105"/>
      <c r="G55" s="105">
        <v>43</v>
      </c>
      <c r="H55" s="105">
        <v>276</v>
      </c>
      <c r="I55" s="105">
        <v>70</v>
      </c>
      <c r="J55" s="105">
        <v>15</v>
      </c>
      <c r="K55" s="105"/>
      <c r="L55" s="105"/>
      <c r="M55" s="105">
        <v>22</v>
      </c>
      <c r="N55" s="105">
        <v>96</v>
      </c>
      <c r="O55" s="105"/>
      <c r="P55" s="105">
        <v>224</v>
      </c>
      <c r="Q55" s="105">
        <v>2</v>
      </c>
      <c r="R55" s="105">
        <v>1169</v>
      </c>
      <c r="S55" s="706">
        <f t="shared" si="4"/>
        <v>0.37874892887746359</v>
      </c>
      <c r="T55" s="5561">
        <f t="shared" si="5"/>
        <v>6</v>
      </c>
      <c r="U55" s="5562">
        <v>1163</v>
      </c>
      <c r="V55" s="706"/>
      <c r="Y55" s="41" t="s">
        <v>47</v>
      </c>
      <c r="Z55" s="41">
        <v>148</v>
      </c>
      <c r="AA55" s="41">
        <v>114</v>
      </c>
      <c r="AB55" s="41"/>
      <c r="AC55" s="41">
        <v>68</v>
      </c>
      <c r="AD55" s="41">
        <v>336</v>
      </c>
      <c r="AE55" s="41">
        <v>68</v>
      </c>
      <c r="AF55" s="41">
        <v>154</v>
      </c>
      <c r="AG55" s="41"/>
      <c r="AH55" s="41"/>
      <c r="AI55" s="41">
        <v>35</v>
      </c>
      <c r="AJ55" s="41">
        <v>73</v>
      </c>
      <c r="AK55" s="41"/>
      <c r="AL55" s="41">
        <v>236</v>
      </c>
      <c r="AM55" s="41">
        <v>0</v>
      </c>
      <c r="AN55" s="461">
        <v>1232</v>
      </c>
      <c r="AO55" s="4692">
        <f t="shared" si="6"/>
        <v>0.38717532467532467</v>
      </c>
      <c r="AQ55" s="1788"/>
      <c r="AR55" s="1788"/>
      <c r="AS55" s="37" t="s">
        <v>47</v>
      </c>
      <c r="AT55" s="1788">
        <v>286</v>
      </c>
      <c r="AU55" s="1788">
        <v>127</v>
      </c>
      <c r="AV55" s="1788">
        <v>0</v>
      </c>
      <c r="AW55" s="1788">
        <v>66</v>
      </c>
      <c r="AX55" s="1788">
        <v>222</v>
      </c>
      <c r="AY55" s="1788">
        <v>82</v>
      </c>
      <c r="AZ55" s="1788">
        <v>59</v>
      </c>
      <c r="BA55" s="1788"/>
      <c r="BB55" s="1788"/>
      <c r="BC55" s="1788">
        <v>41</v>
      </c>
      <c r="BD55" s="1788">
        <v>70</v>
      </c>
      <c r="BE55" s="1788"/>
      <c r="BF55" s="1788">
        <v>258</v>
      </c>
      <c r="BG55" s="1788">
        <v>0</v>
      </c>
      <c r="BH55" s="1788">
        <v>1211</v>
      </c>
      <c r="BI55" s="4701">
        <f t="shared" si="7"/>
        <v>0.30883567299752268</v>
      </c>
      <c r="BK55" s="41"/>
      <c r="BL55" s="41"/>
      <c r="BM55" s="41" t="s">
        <v>47</v>
      </c>
      <c r="BN55" s="105">
        <v>283</v>
      </c>
      <c r="BO55" s="105">
        <v>123</v>
      </c>
      <c r="BP55" s="105">
        <v>0</v>
      </c>
      <c r="BQ55" s="105">
        <v>2</v>
      </c>
      <c r="BR55" s="105">
        <v>267</v>
      </c>
      <c r="BS55" s="105">
        <v>49</v>
      </c>
      <c r="BT55" s="105">
        <v>82</v>
      </c>
      <c r="BU55" s="105"/>
      <c r="BV55" s="105"/>
      <c r="BW55" s="105">
        <v>41</v>
      </c>
      <c r="BX55" s="105">
        <v>76</v>
      </c>
      <c r="BY55" s="105"/>
      <c r="BZ55" s="105">
        <v>248</v>
      </c>
      <c r="CA55" s="105">
        <v>0</v>
      </c>
      <c r="CB55" s="105">
        <v>1171</v>
      </c>
      <c r="CC55" s="2484">
        <f t="shared" si="8"/>
        <v>0.33475661827497866</v>
      </c>
      <c r="CE55" s="41"/>
      <c r="CF55" s="41"/>
      <c r="CG55" s="41" t="s">
        <v>47</v>
      </c>
      <c r="CH55" s="105">
        <v>290</v>
      </c>
      <c r="CI55" s="105">
        <v>141</v>
      </c>
      <c r="CJ55" s="105"/>
      <c r="CK55" s="105">
        <v>58</v>
      </c>
      <c r="CL55" s="105">
        <v>243</v>
      </c>
      <c r="CM55" s="105">
        <v>64</v>
      </c>
      <c r="CN55" s="105">
        <v>95</v>
      </c>
      <c r="CO55" s="105"/>
      <c r="CP55" s="105">
        <v>1</v>
      </c>
      <c r="CQ55" s="105">
        <v>41</v>
      </c>
      <c r="CR55" s="105">
        <v>78</v>
      </c>
      <c r="CS55" s="105"/>
      <c r="CT55" s="105">
        <v>222</v>
      </c>
      <c r="CU55" s="105">
        <v>0</v>
      </c>
      <c r="CV55" s="105">
        <v>1233</v>
      </c>
      <c r="CW55" s="1644">
        <f t="shared" si="0"/>
        <v>0.31224655312246552</v>
      </c>
      <c r="CX55" s="1976"/>
      <c r="CY55" s="41"/>
      <c r="CZ55" s="41"/>
      <c r="DA55" s="41" t="s">
        <v>47</v>
      </c>
      <c r="DB55" s="105">
        <v>276</v>
      </c>
      <c r="DC55" s="105">
        <v>161</v>
      </c>
      <c r="DD55" s="105"/>
      <c r="DE55" s="105">
        <v>60</v>
      </c>
      <c r="DF55" s="105">
        <v>259</v>
      </c>
      <c r="DG55" s="105">
        <v>48</v>
      </c>
      <c r="DH55" s="105">
        <v>89</v>
      </c>
      <c r="DI55" s="105"/>
      <c r="DJ55" s="105">
        <v>1</v>
      </c>
      <c r="DK55" s="105">
        <v>46</v>
      </c>
      <c r="DL55" s="105">
        <v>87</v>
      </c>
      <c r="DM55" s="105"/>
      <c r="DN55" s="105">
        <v>210</v>
      </c>
      <c r="DO55" s="105">
        <v>0</v>
      </c>
      <c r="DP55" s="105">
        <v>1237</v>
      </c>
      <c r="DQ55" s="1644">
        <f t="shared" si="9"/>
        <v>0.31851253031527887</v>
      </c>
      <c r="DS55" s="1311"/>
      <c r="DT55" s="1311"/>
      <c r="DU55" s="1319" t="s">
        <v>47</v>
      </c>
      <c r="DV55" s="1320">
        <v>282</v>
      </c>
      <c r="DW55" s="1320">
        <v>121</v>
      </c>
      <c r="DX55" s="1321"/>
      <c r="DY55" s="1320">
        <v>53</v>
      </c>
      <c r="DZ55" s="1320">
        <v>249</v>
      </c>
      <c r="EA55" s="1320">
        <v>43</v>
      </c>
      <c r="EB55" s="1320">
        <v>81</v>
      </c>
      <c r="EC55" s="1321"/>
      <c r="ED55" s="1320">
        <v>1</v>
      </c>
      <c r="EE55" s="1320">
        <v>53</v>
      </c>
      <c r="EF55" s="1320">
        <v>70</v>
      </c>
      <c r="EG55" s="1321"/>
      <c r="EH55" s="1320">
        <v>227</v>
      </c>
      <c r="EI55" s="1320">
        <v>0</v>
      </c>
      <c r="EJ55" s="1320">
        <v>1180</v>
      </c>
      <c r="EK55" s="1322">
        <f t="shared" si="10"/>
        <v>0.30677966101694915</v>
      </c>
      <c r="EM55" s="1047"/>
      <c r="EN55" s="1047"/>
      <c r="EO55" s="1060" t="s">
        <v>47</v>
      </c>
      <c r="EP55" s="1061">
        <v>269</v>
      </c>
      <c r="EQ55" s="1061">
        <v>91</v>
      </c>
      <c r="ER55" s="1061">
        <v>0</v>
      </c>
      <c r="ES55" s="1061">
        <v>67</v>
      </c>
      <c r="ET55" s="1061">
        <v>254</v>
      </c>
      <c r="EU55" s="1061">
        <v>52</v>
      </c>
      <c r="EV55" s="1061">
        <v>94</v>
      </c>
      <c r="EW55" s="1047"/>
      <c r="EX55" s="1061">
        <v>1</v>
      </c>
      <c r="EY55" s="1061">
        <v>38</v>
      </c>
      <c r="EZ55" s="1061">
        <v>60</v>
      </c>
      <c r="FA55" s="1061">
        <v>266</v>
      </c>
      <c r="FB55" s="1047"/>
      <c r="FC55" s="1061">
        <v>1192</v>
      </c>
      <c r="FD55" s="537">
        <f t="shared" si="11"/>
        <v>0.30704697986577179</v>
      </c>
      <c r="FF55" s="652"/>
      <c r="FG55" s="652"/>
      <c r="FH55" s="1062" t="s">
        <v>47</v>
      </c>
      <c r="FI55" s="1063">
        <v>273</v>
      </c>
      <c r="FJ55" s="1063">
        <v>91</v>
      </c>
      <c r="FK55" s="652"/>
      <c r="FL55" s="1063">
        <v>55</v>
      </c>
      <c r="FM55" s="1063">
        <v>221</v>
      </c>
      <c r="FN55" s="1063">
        <v>57</v>
      </c>
      <c r="FO55" s="1063">
        <v>78</v>
      </c>
      <c r="FP55" s="652"/>
      <c r="FQ55" s="652"/>
      <c r="FR55" s="1063">
        <v>18</v>
      </c>
      <c r="FS55" s="1063">
        <v>60</v>
      </c>
      <c r="FT55" s="1063">
        <v>257</v>
      </c>
      <c r="FU55" s="652"/>
      <c r="FV55" s="1063">
        <v>1110</v>
      </c>
      <c r="FW55" s="537">
        <f t="shared" si="12"/>
        <v>0.3045045045045045</v>
      </c>
      <c r="FY55" s="1080"/>
      <c r="FZ55" s="1080"/>
      <c r="GA55" s="1081" t="s">
        <v>547</v>
      </c>
      <c r="GB55" s="1082">
        <v>957</v>
      </c>
      <c r="GC55" s="1082">
        <v>217</v>
      </c>
      <c r="GD55" s="1082">
        <v>0</v>
      </c>
      <c r="GE55" s="1082">
        <v>314</v>
      </c>
      <c r="GF55" s="1082">
        <v>972</v>
      </c>
      <c r="GG55" s="1082">
        <v>123</v>
      </c>
      <c r="GH55" s="1082">
        <v>245</v>
      </c>
      <c r="GI55" s="1082">
        <v>0</v>
      </c>
      <c r="GJ55" s="1082">
        <v>53</v>
      </c>
      <c r="GK55" s="1082">
        <v>199</v>
      </c>
      <c r="GL55" s="1082">
        <v>699</v>
      </c>
      <c r="GM55" s="1082">
        <v>893</v>
      </c>
      <c r="GN55" s="1082">
        <v>0</v>
      </c>
      <c r="GO55" s="1082">
        <v>14</v>
      </c>
      <c r="GP55" s="1082">
        <v>4686</v>
      </c>
      <c r="GQ55" s="1083">
        <f t="shared" si="13"/>
        <v>0.32569846463629498</v>
      </c>
      <c r="GS55" s="107"/>
      <c r="GT55" s="107"/>
      <c r="GU55" s="47" t="s">
        <v>15</v>
      </c>
      <c r="GV55" s="47">
        <v>781</v>
      </c>
      <c r="GW55" s="47">
        <v>276</v>
      </c>
      <c r="GX55" s="47"/>
      <c r="GY55" s="47">
        <v>292</v>
      </c>
      <c r="GZ55" s="47">
        <v>957</v>
      </c>
      <c r="HA55" s="47">
        <v>137</v>
      </c>
      <c r="HB55" s="47">
        <v>273</v>
      </c>
      <c r="HC55" s="47"/>
      <c r="HD55" s="47">
        <v>78</v>
      </c>
      <c r="HE55" s="47">
        <v>141</v>
      </c>
      <c r="HF55" s="47">
        <v>629</v>
      </c>
      <c r="HG55" s="47">
        <v>865</v>
      </c>
      <c r="HH55" s="47"/>
      <c r="HI55" s="47">
        <v>13</v>
      </c>
      <c r="HJ55" s="47">
        <v>4442</v>
      </c>
      <c r="HK55" s="1067">
        <f t="shared" si="1"/>
        <v>0.32500000000000001</v>
      </c>
      <c r="HL55" s="47"/>
      <c r="HM55" s="420"/>
      <c r="HN55" s="420"/>
      <c r="HO55" s="1077" t="s">
        <v>15</v>
      </c>
      <c r="HP55" s="1078">
        <v>675</v>
      </c>
      <c r="HQ55" s="1078">
        <v>273</v>
      </c>
      <c r="HR55" s="1078" t="s">
        <v>327</v>
      </c>
      <c r="HS55" s="1078">
        <v>287</v>
      </c>
      <c r="HT55" s="1078">
        <v>925</v>
      </c>
      <c r="HU55" s="1078">
        <v>123</v>
      </c>
      <c r="HV55" s="1078">
        <v>244</v>
      </c>
      <c r="HW55" s="1078" t="s">
        <v>327</v>
      </c>
      <c r="HX55" s="1078">
        <v>128</v>
      </c>
      <c r="HY55" s="1078">
        <v>191</v>
      </c>
      <c r="HZ55" s="1078">
        <v>870</v>
      </c>
      <c r="IA55" s="1078" t="s">
        <v>327</v>
      </c>
      <c r="IB55" s="1078">
        <v>3716</v>
      </c>
      <c r="IC55" s="1078">
        <f t="shared" si="2"/>
        <v>1239</v>
      </c>
      <c r="ID55" s="1079">
        <f t="shared" si="3"/>
        <v>0.33342303552206676</v>
      </c>
      <c r="IE55" s="47"/>
      <c r="IF55" s="47"/>
    </row>
    <row r="56" spans="1:240">
      <c r="A56" s="41"/>
      <c r="B56" s="41"/>
      <c r="C56" s="41" t="s">
        <v>47</v>
      </c>
      <c r="D56" s="105">
        <v>256</v>
      </c>
      <c r="E56" s="105">
        <v>124</v>
      </c>
      <c r="F56" s="105"/>
      <c r="G56" s="105">
        <v>65</v>
      </c>
      <c r="H56" s="105">
        <v>210</v>
      </c>
      <c r="I56" s="105">
        <v>79</v>
      </c>
      <c r="J56" s="105">
        <v>12</v>
      </c>
      <c r="K56" s="105"/>
      <c r="L56" s="105"/>
      <c r="M56" s="105">
        <v>36</v>
      </c>
      <c r="N56" s="105">
        <v>111</v>
      </c>
      <c r="O56" s="105"/>
      <c r="P56" s="105">
        <v>273</v>
      </c>
      <c r="Q56" s="105">
        <v>0</v>
      </c>
      <c r="R56" s="105">
        <v>1166</v>
      </c>
      <c r="S56" s="706">
        <f t="shared" si="4"/>
        <v>0.34305317324185247</v>
      </c>
      <c r="T56" s="5561">
        <f t="shared" si="5"/>
        <v>2</v>
      </c>
      <c r="U56" s="5562">
        <v>1164</v>
      </c>
      <c r="V56" s="706"/>
      <c r="Y56" s="41" t="s">
        <v>15</v>
      </c>
      <c r="Z56" s="41">
        <v>638</v>
      </c>
      <c r="AA56" s="41">
        <v>452</v>
      </c>
      <c r="AB56" s="41"/>
      <c r="AC56" s="41">
        <v>238</v>
      </c>
      <c r="AD56" s="41">
        <v>1784</v>
      </c>
      <c r="AE56" s="41">
        <v>308</v>
      </c>
      <c r="AF56" s="41">
        <v>533</v>
      </c>
      <c r="AG56" s="41"/>
      <c r="AH56" s="41"/>
      <c r="AI56" s="41">
        <v>147</v>
      </c>
      <c r="AJ56" s="41">
        <v>315</v>
      </c>
      <c r="AK56" s="41"/>
      <c r="AL56" s="41">
        <v>787</v>
      </c>
      <c r="AM56" s="41">
        <v>3</v>
      </c>
      <c r="AN56" s="461">
        <v>5205</v>
      </c>
      <c r="AO56" s="4692">
        <f t="shared" si="6"/>
        <v>0.46270665128796618</v>
      </c>
      <c r="AQ56" s="1788"/>
      <c r="AR56" s="1788"/>
      <c r="AS56" s="4696" t="s">
        <v>547</v>
      </c>
      <c r="AT56" s="4707">
        <v>1154</v>
      </c>
      <c r="AU56" s="4707">
        <v>548</v>
      </c>
      <c r="AV56" s="4707">
        <v>1</v>
      </c>
      <c r="AW56" s="4707">
        <v>213</v>
      </c>
      <c r="AX56" s="4707">
        <v>1255</v>
      </c>
      <c r="AY56" s="4707">
        <v>398</v>
      </c>
      <c r="AZ56" s="4707">
        <v>186</v>
      </c>
      <c r="BA56" s="4707"/>
      <c r="BB56" s="4707"/>
      <c r="BC56" s="4707">
        <v>176</v>
      </c>
      <c r="BD56" s="4707">
        <v>360</v>
      </c>
      <c r="BE56" s="4707"/>
      <c r="BF56" s="4707">
        <v>897</v>
      </c>
      <c r="BG56" s="4707">
        <v>2</v>
      </c>
      <c r="BH56" s="4707">
        <v>5190</v>
      </c>
      <c r="BI56" s="4708">
        <f t="shared" si="7"/>
        <v>0.3880107941403238</v>
      </c>
      <c r="BK56" s="41"/>
      <c r="BL56" s="41"/>
      <c r="BM56" s="461" t="s">
        <v>547</v>
      </c>
      <c r="BN56" s="2473">
        <v>1195</v>
      </c>
      <c r="BO56" s="2473">
        <v>445</v>
      </c>
      <c r="BP56" s="2473">
        <v>1</v>
      </c>
      <c r="BQ56" s="2473">
        <v>14</v>
      </c>
      <c r="BR56" s="2473">
        <v>1382</v>
      </c>
      <c r="BS56" s="2473">
        <v>262</v>
      </c>
      <c r="BT56" s="2473">
        <v>288</v>
      </c>
      <c r="BU56" s="2473"/>
      <c r="BV56" s="2473"/>
      <c r="BW56" s="2473">
        <v>183</v>
      </c>
      <c r="BX56" s="2473">
        <v>363</v>
      </c>
      <c r="BY56" s="2473"/>
      <c r="BZ56" s="2473">
        <v>847</v>
      </c>
      <c r="CA56" s="2473">
        <v>1</v>
      </c>
      <c r="CB56" s="2473">
        <v>4981</v>
      </c>
      <c r="CC56" s="2484">
        <f t="shared" si="8"/>
        <v>0.40301204819277109</v>
      </c>
      <c r="CE56" s="41"/>
      <c r="CF56" s="41"/>
      <c r="CG56" s="461" t="s">
        <v>547</v>
      </c>
      <c r="CH56" s="96">
        <v>1212</v>
      </c>
      <c r="CI56" s="96">
        <v>519</v>
      </c>
      <c r="CJ56" s="96"/>
      <c r="CK56" s="96">
        <v>229</v>
      </c>
      <c r="CL56" s="96">
        <v>1195</v>
      </c>
      <c r="CM56" s="96">
        <v>278</v>
      </c>
      <c r="CN56" s="96">
        <v>271</v>
      </c>
      <c r="CO56" s="96"/>
      <c r="CP56" s="96">
        <v>1</v>
      </c>
      <c r="CQ56" s="96">
        <v>182</v>
      </c>
      <c r="CR56" s="96">
        <v>390</v>
      </c>
      <c r="CS56" s="96"/>
      <c r="CT56" s="96">
        <v>790</v>
      </c>
      <c r="CU56" s="96">
        <v>1</v>
      </c>
      <c r="CV56" s="96">
        <v>5068</v>
      </c>
      <c r="CW56" s="635">
        <f t="shared" si="0"/>
        <v>0.36767317939609234</v>
      </c>
      <c r="CX56" s="1977"/>
      <c r="CY56" s="41"/>
      <c r="CZ56" s="41"/>
      <c r="DA56" s="461" t="s">
        <v>547</v>
      </c>
      <c r="DB56" s="96">
        <v>1227</v>
      </c>
      <c r="DC56" s="96">
        <v>531</v>
      </c>
      <c r="DD56" s="96"/>
      <c r="DE56" s="96">
        <v>234</v>
      </c>
      <c r="DF56" s="96">
        <v>1195</v>
      </c>
      <c r="DG56" s="96">
        <v>198</v>
      </c>
      <c r="DH56" s="96">
        <v>266</v>
      </c>
      <c r="DI56" s="96"/>
      <c r="DJ56" s="96">
        <v>1</v>
      </c>
      <c r="DK56" s="96">
        <v>171</v>
      </c>
      <c r="DL56" s="96">
        <v>340</v>
      </c>
      <c r="DM56" s="96"/>
      <c r="DN56" s="96">
        <v>712</v>
      </c>
      <c r="DO56" s="96">
        <v>2</v>
      </c>
      <c r="DP56" s="96">
        <v>4877</v>
      </c>
      <c r="DQ56" s="635">
        <f t="shared" si="9"/>
        <v>0.35548717948717951</v>
      </c>
      <c r="DS56" s="1311"/>
      <c r="DT56" s="1311"/>
      <c r="DU56" s="1313" t="s">
        <v>547</v>
      </c>
      <c r="DV56" s="1323">
        <v>1154</v>
      </c>
      <c r="DW56" s="1323">
        <v>437</v>
      </c>
      <c r="DX56" s="1324"/>
      <c r="DY56" s="1323">
        <v>237</v>
      </c>
      <c r="DZ56" s="1323">
        <v>1179</v>
      </c>
      <c r="EA56" s="1323">
        <v>135</v>
      </c>
      <c r="EB56" s="1323">
        <v>224</v>
      </c>
      <c r="EC56" s="1324"/>
      <c r="ED56" s="1323">
        <v>1</v>
      </c>
      <c r="EE56" s="1323">
        <v>194</v>
      </c>
      <c r="EF56" s="1323">
        <v>285</v>
      </c>
      <c r="EG56" s="1324"/>
      <c r="EH56" s="1323">
        <v>744</v>
      </c>
      <c r="EI56" s="1323">
        <v>3</v>
      </c>
      <c r="EJ56" s="1323">
        <v>4593</v>
      </c>
      <c r="EK56" s="1325">
        <f t="shared" si="10"/>
        <v>0.34836601307189541</v>
      </c>
      <c r="EM56" s="1047"/>
      <c r="EN56" s="1047"/>
      <c r="EO56" s="1070" t="s">
        <v>547</v>
      </c>
      <c r="EP56" s="1071">
        <v>1112</v>
      </c>
      <c r="EQ56" s="1071">
        <v>339</v>
      </c>
      <c r="ER56" s="1071">
        <v>1</v>
      </c>
      <c r="ES56" s="1071">
        <v>318</v>
      </c>
      <c r="ET56" s="1071">
        <v>1132</v>
      </c>
      <c r="EU56" s="1071">
        <v>134</v>
      </c>
      <c r="EV56" s="1071">
        <v>280</v>
      </c>
      <c r="EW56" s="1072"/>
      <c r="EX56" s="1072">
        <v>1</v>
      </c>
      <c r="EY56" s="1071">
        <v>162</v>
      </c>
      <c r="EZ56" s="1071">
        <v>226</v>
      </c>
      <c r="FA56" s="1071">
        <v>867</v>
      </c>
      <c r="FB56" s="1071"/>
      <c r="FC56" s="1071">
        <v>4572</v>
      </c>
      <c r="FD56" s="1073">
        <f t="shared" si="11"/>
        <v>0.32633420822397202</v>
      </c>
      <c r="FF56" s="652"/>
      <c r="FG56" s="652"/>
      <c r="FH56" s="813" t="s">
        <v>547</v>
      </c>
      <c r="FI56" s="1074">
        <v>1100</v>
      </c>
      <c r="FJ56" s="1074">
        <v>298</v>
      </c>
      <c r="FK56" s="816"/>
      <c r="FL56" s="1074">
        <v>312</v>
      </c>
      <c r="FM56" s="1074">
        <v>992</v>
      </c>
      <c r="FN56" s="1074">
        <v>188</v>
      </c>
      <c r="FO56" s="1074">
        <v>238</v>
      </c>
      <c r="FP56" s="816"/>
      <c r="FQ56" s="816"/>
      <c r="FR56" s="1074">
        <v>57</v>
      </c>
      <c r="FS56" s="1074">
        <v>207</v>
      </c>
      <c r="FT56" s="1074">
        <v>843</v>
      </c>
      <c r="FU56" s="816"/>
      <c r="FV56" s="1074">
        <v>4235</v>
      </c>
      <c r="FW56" s="526">
        <f t="shared" si="12"/>
        <v>0.32750885478158204</v>
      </c>
      <c r="FY56" s="817" t="s">
        <v>48</v>
      </c>
      <c r="FZ56" s="817" t="s">
        <v>16</v>
      </c>
      <c r="GA56" s="1064" t="s">
        <v>17</v>
      </c>
      <c r="GB56" s="1065">
        <v>115</v>
      </c>
      <c r="GC56" s="1065">
        <v>56</v>
      </c>
      <c r="GD56" s="1065">
        <v>0</v>
      </c>
      <c r="GE56" s="1065">
        <v>72</v>
      </c>
      <c r="GF56" s="1065">
        <v>466</v>
      </c>
      <c r="GG56" s="1065">
        <v>161</v>
      </c>
      <c r="GH56" s="1065">
        <v>119</v>
      </c>
      <c r="GI56" s="1065">
        <v>0</v>
      </c>
      <c r="GJ56" s="1065">
        <v>29</v>
      </c>
      <c r="GK56" s="1065">
        <v>89</v>
      </c>
      <c r="GL56" s="1065">
        <v>311</v>
      </c>
      <c r="GM56" s="1065">
        <v>394</v>
      </c>
      <c r="GN56" s="1065">
        <v>0</v>
      </c>
      <c r="GO56" s="1065">
        <v>7</v>
      </c>
      <c r="GP56" s="1065">
        <v>1819</v>
      </c>
      <c r="GQ56" s="1066">
        <f t="shared" si="13"/>
        <v>0.47701532311792139</v>
      </c>
      <c r="GS56" s="107" t="s">
        <v>48</v>
      </c>
      <c r="GT56" s="107" t="s">
        <v>16</v>
      </c>
      <c r="GU56" s="47" t="s">
        <v>17</v>
      </c>
      <c r="GV56" s="47">
        <v>134</v>
      </c>
      <c r="GW56" s="47">
        <v>57</v>
      </c>
      <c r="GX56" s="47">
        <v>0</v>
      </c>
      <c r="GY56" s="47">
        <v>69</v>
      </c>
      <c r="GZ56" s="47">
        <v>483</v>
      </c>
      <c r="HA56" s="47">
        <v>133</v>
      </c>
      <c r="HB56" s="47">
        <v>116</v>
      </c>
      <c r="HC56" s="47"/>
      <c r="HD56" s="47">
        <v>13</v>
      </c>
      <c r="HE56" s="47">
        <v>80</v>
      </c>
      <c r="HF56" s="47">
        <v>282</v>
      </c>
      <c r="HG56" s="47">
        <v>408</v>
      </c>
      <c r="HH56" s="47"/>
      <c r="HI56" s="47">
        <v>5</v>
      </c>
      <c r="HJ56" s="47">
        <v>1780</v>
      </c>
      <c r="HK56" s="1067">
        <f t="shared" si="1"/>
        <v>0.46617548559946415</v>
      </c>
      <c r="HL56" s="47"/>
      <c r="HM56" s="420" t="s">
        <v>48</v>
      </c>
      <c r="HN56" s="420" t="s">
        <v>16</v>
      </c>
      <c r="HO56" s="420" t="s">
        <v>17</v>
      </c>
      <c r="HP56" s="1068">
        <v>122</v>
      </c>
      <c r="HQ56" s="1068">
        <v>64</v>
      </c>
      <c r="HR56" s="1068" t="s">
        <v>327</v>
      </c>
      <c r="HS56" s="1068">
        <v>65</v>
      </c>
      <c r="HT56" s="1068">
        <v>441</v>
      </c>
      <c r="HU56" s="1068">
        <v>121</v>
      </c>
      <c r="HV56" s="1068">
        <v>113</v>
      </c>
      <c r="HW56" s="1068" t="s">
        <v>327</v>
      </c>
      <c r="HX56" s="1068">
        <v>13</v>
      </c>
      <c r="HY56" s="1068">
        <v>104</v>
      </c>
      <c r="HZ56" s="1068">
        <v>391</v>
      </c>
      <c r="IA56" s="1068" t="s">
        <v>327</v>
      </c>
      <c r="IB56" s="1068">
        <v>1434</v>
      </c>
      <c r="IC56" s="1068">
        <f t="shared" si="2"/>
        <v>666</v>
      </c>
      <c r="ID56" s="1069">
        <f t="shared" si="3"/>
        <v>0.46443514644351463</v>
      </c>
      <c r="IE56" s="47"/>
      <c r="IF56" s="47"/>
    </row>
    <row r="57" spans="1:240">
      <c r="A57" s="41"/>
      <c r="B57" s="41"/>
      <c r="C57" s="461" t="s">
        <v>547</v>
      </c>
      <c r="D57" s="5556">
        <v>1206</v>
      </c>
      <c r="E57" s="5556">
        <v>524</v>
      </c>
      <c r="F57" s="5556"/>
      <c r="G57" s="5556">
        <v>209</v>
      </c>
      <c r="H57" s="5556">
        <v>1207</v>
      </c>
      <c r="I57" s="5556">
        <v>358</v>
      </c>
      <c r="J57" s="5556">
        <v>48</v>
      </c>
      <c r="K57" s="5556"/>
      <c r="L57" s="5556"/>
      <c r="M57" s="5556">
        <v>124</v>
      </c>
      <c r="N57" s="5556">
        <v>467</v>
      </c>
      <c r="O57" s="5556"/>
      <c r="P57" s="5556">
        <v>953</v>
      </c>
      <c r="Q57" s="5556">
        <v>2</v>
      </c>
      <c r="R57" s="5556">
        <v>5098</v>
      </c>
      <c r="S57" s="706">
        <f t="shared" si="4"/>
        <v>0.39874411302982732</v>
      </c>
      <c r="T57" s="5561"/>
      <c r="U57" s="5562"/>
      <c r="V57" s="706"/>
      <c r="W57" s="4693"/>
      <c r="X57" s="4693"/>
      <c r="Y57" s="4694" t="s">
        <v>15</v>
      </c>
      <c r="Z57" s="4694">
        <v>1851</v>
      </c>
      <c r="AA57" s="4694">
        <v>1670</v>
      </c>
      <c r="AB57" s="4694">
        <v>1</v>
      </c>
      <c r="AC57" s="4694">
        <v>1068</v>
      </c>
      <c r="AD57" s="4694">
        <v>5657</v>
      </c>
      <c r="AE57" s="4694">
        <v>717</v>
      </c>
      <c r="AF57" s="4694">
        <v>2100</v>
      </c>
      <c r="AG57" s="4694">
        <v>2</v>
      </c>
      <c r="AH57" s="4694">
        <v>4</v>
      </c>
      <c r="AI57" s="4694">
        <v>835</v>
      </c>
      <c r="AJ57" s="4694">
        <v>660</v>
      </c>
      <c r="AK57" s="4694">
        <v>164</v>
      </c>
      <c r="AL57" s="4694">
        <v>2966</v>
      </c>
      <c r="AM57" s="4694">
        <v>17</v>
      </c>
      <c r="AN57" s="4585">
        <v>17712</v>
      </c>
      <c r="AO57" s="4695">
        <f t="shared" si="6"/>
        <v>0.40123210313159546</v>
      </c>
      <c r="AQ57" s="1788"/>
      <c r="AR57" s="1788"/>
      <c r="AS57" s="4704" t="s">
        <v>110</v>
      </c>
      <c r="AT57" s="4705">
        <v>3418</v>
      </c>
      <c r="AU57" s="4705">
        <v>2285</v>
      </c>
      <c r="AV57" s="4705">
        <v>2</v>
      </c>
      <c r="AW57" s="4705">
        <v>1025</v>
      </c>
      <c r="AX57" s="4705">
        <v>3970</v>
      </c>
      <c r="AY57" s="4705">
        <v>1040</v>
      </c>
      <c r="AZ57" s="4705">
        <v>566</v>
      </c>
      <c r="BA57" s="4705">
        <v>2</v>
      </c>
      <c r="BB57" s="4705">
        <v>5</v>
      </c>
      <c r="BC57" s="4705">
        <v>830</v>
      </c>
      <c r="BD57" s="4705">
        <v>787</v>
      </c>
      <c r="BE57" s="4705">
        <v>191</v>
      </c>
      <c r="BF57" s="4705">
        <v>3549</v>
      </c>
      <c r="BG57" s="4705">
        <v>14</v>
      </c>
      <c r="BH57" s="4705">
        <v>17684</v>
      </c>
      <c r="BI57" s="4706">
        <f t="shared" si="7"/>
        <v>0.33165512901195721</v>
      </c>
      <c r="BK57" s="41"/>
      <c r="BL57" s="41"/>
      <c r="BM57" s="461" t="s">
        <v>110</v>
      </c>
      <c r="BN57" s="2473">
        <v>3440</v>
      </c>
      <c r="BO57" s="2473">
        <v>1800</v>
      </c>
      <c r="BP57" s="2473">
        <v>1</v>
      </c>
      <c r="BQ57" s="2473">
        <v>69</v>
      </c>
      <c r="BR57" s="2473">
        <v>4581</v>
      </c>
      <c r="BS57" s="2473">
        <v>626</v>
      </c>
      <c r="BT57" s="2473">
        <v>1219</v>
      </c>
      <c r="BU57" s="2473"/>
      <c r="BV57" s="2473">
        <v>1</v>
      </c>
      <c r="BW57" s="2473">
        <v>855</v>
      </c>
      <c r="BX57" s="2473">
        <v>789</v>
      </c>
      <c r="BY57" s="2473">
        <v>164</v>
      </c>
      <c r="BZ57" s="2473">
        <v>3174</v>
      </c>
      <c r="CA57" s="2473">
        <v>4</v>
      </c>
      <c r="CB57" s="2473">
        <v>16723</v>
      </c>
      <c r="CC57" s="2484">
        <f t="shared" si="8"/>
        <v>0.36218665055874361</v>
      </c>
      <c r="CE57" s="41"/>
      <c r="CF57" s="41"/>
      <c r="CG57" s="461" t="s">
        <v>110</v>
      </c>
      <c r="CH57" s="96">
        <v>3452</v>
      </c>
      <c r="CI57" s="96">
        <v>2016</v>
      </c>
      <c r="CJ57" s="96">
        <v>2</v>
      </c>
      <c r="CK57" s="96">
        <v>1017</v>
      </c>
      <c r="CL57" s="96">
        <v>4197</v>
      </c>
      <c r="CM57" s="96">
        <v>719</v>
      </c>
      <c r="CN57" s="96">
        <v>1170</v>
      </c>
      <c r="CO57" s="96"/>
      <c r="CP57" s="96">
        <v>4</v>
      </c>
      <c r="CQ57" s="96">
        <v>841</v>
      </c>
      <c r="CR57" s="96">
        <v>880</v>
      </c>
      <c r="CS57" s="96">
        <v>93</v>
      </c>
      <c r="CT57" s="96">
        <v>2963</v>
      </c>
      <c r="CU57" s="96">
        <v>14</v>
      </c>
      <c r="CV57" s="96">
        <v>17368</v>
      </c>
      <c r="CW57" s="635">
        <f t="shared" si="0"/>
        <v>0.33578587567348356</v>
      </c>
      <c r="CX57" s="1977"/>
      <c r="CY57" s="41"/>
      <c r="CZ57" s="41"/>
      <c r="DA57" s="461" t="s">
        <v>110</v>
      </c>
      <c r="DB57" s="96">
        <v>3303</v>
      </c>
      <c r="DC57" s="96">
        <v>2023</v>
      </c>
      <c r="DD57" s="96"/>
      <c r="DE57" s="96">
        <v>1012</v>
      </c>
      <c r="DF57" s="96">
        <v>4202</v>
      </c>
      <c r="DG57" s="96">
        <v>555</v>
      </c>
      <c r="DH57" s="96">
        <v>1056</v>
      </c>
      <c r="DI57" s="96">
        <v>15</v>
      </c>
      <c r="DJ57" s="96">
        <v>4</v>
      </c>
      <c r="DK57" s="96">
        <v>824</v>
      </c>
      <c r="DL57" s="96">
        <v>795</v>
      </c>
      <c r="DM57" s="96">
        <v>22</v>
      </c>
      <c r="DN57" s="96">
        <v>2780</v>
      </c>
      <c r="DO57" s="96">
        <v>15</v>
      </c>
      <c r="DP57" s="96">
        <v>16606</v>
      </c>
      <c r="DQ57" s="635">
        <f t="shared" si="9"/>
        <v>0.33508358983644154</v>
      </c>
      <c r="DS57" s="1311"/>
      <c r="DT57" s="1311"/>
      <c r="DU57" s="1313" t="s">
        <v>110</v>
      </c>
      <c r="DV57" s="1323">
        <v>3230</v>
      </c>
      <c r="DW57" s="1323">
        <v>1650</v>
      </c>
      <c r="DX57" s="1324"/>
      <c r="DY57" s="1323">
        <v>1000</v>
      </c>
      <c r="DZ57" s="1323">
        <v>4281</v>
      </c>
      <c r="EA57" s="1323">
        <v>408</v>
      </c>
      <c r="EB57" s="1323">
        <v>1029</v>
      </c>
      <c r="EC57" s="1324"/>
      <c r="ED57" s="1323">
        <v>6</v>
      </c>
      <c r="EE57" s="1323">
        <v>803</v>
      </c>
      <c r="EF57" s="1323">
        <v>699</v>
      </c>
      <c r="EG57" s="1323">
        <v>3</v>
      </c>
      <c r="EH57" s="1323">
        <v>2920</v>
      </c>
      <c r="EI57" s="1323">
        <v>14</v>
      </c>
      <c r="EJ57" s="1323">
        <v>16043</v>
      </c>
      <c r="EK57" s="1325">
        <f t="shared" si="10"/>
        <v>0.33620366903781357</v>
      </c>
      <c r="EM57" s="1047"/>
      <c r="EN57" s="1047"/>
      <c r="EO57" s="1084" t="s">
        <v>110</v>
      </c>
      <c r="EP57" s="1085">
        <v>2990</v>
      </c>
      <c r="EQ57" s="1085">
        <v>1472</v>
      </c>
      <c r="ER57" s="1085">
        <v>1</v>
      </c>
      <c r="ES57" s="1085">
        <v>1394</v>
      </c>
      <c r="ET57" s="1085">
        <v>4235</v>
      </c>
      <c r="EU57" s="1085">
        <v>430</v>
      </c>
      <c r="EV57" s="1085">
        <v>1171</v>
      </c>
      <c r="EW57" s="1086"/>
      <c r="EX57" s="1085">
        <v>6</v>
      </c>
      <c r="EY57" s="1085">
        <v>831</v>
      </c>
      <c r="EZ57" s="1085">
        <v>633</v>
      </c>
      <c r="FA57" s="1085">
        <v>3798</v>
      </c>
      <c r="FB57" s="1085"/>
      <c r="FC57" s="1085">
        <v>16961</v>
      </c>
      <c r="FD57" s="1087">
        <f t="shared" si="11"/>
        <v>0.31236365780319558</v>
      </c>
      <c r="FF57" s="652"/>
      <c r="FG57" s="652"/>
      <c r="FH57" s="813" t="s">
        <v>110</v>
      </c>
      <c r="FI57" s="1074">
        <v>3007</v>
      </c>
      <c r="FJ57" s="1074">
        <v>1476</v>
      </c>
      <c r="FK57" s="1074">
        <v>2</v>
      </c>
      <c r="FL57" s="1074">
        <v>1440</v>
      </c>
      <c r="FM57" s="1074">
        <v>3847</v>
      </c>
      <c r="FN57" s="1074">
        <v>628</v>
      </c>
      <c r="FO57" s="1074">
        <v>1075</v>
      </c>
      <c r="FP57" s="816"/>
      <c r="FQ57" s="1074">
        <v>5</v>
      </c>
      <c r="FR57" s="1074">
        <v>461</v>
      </c>
      <c r="FS57" s="1074">
        <v>554</v>
      </c>
      <c r="FT57" s="1074">
        <v>3759</v>
      </c>
      <c r="FU57" s="816"/>
      <c r="FV57" s="1074">
        <v>16254</v>
      </c>
      <c r="FW57" s="526">
        <f t="shared" si="12"/>
        <v>0.30940076288913498</v>
      </c>
      <c r="FY57" s="817"/>
      <c r="FZ57" s="817"/>
      <c r="GA57" s="1064" t="s">
        <v>49</v>
      </c>
      <c r="GB57" s="1065">
        <v>72</v>
      </c>
      <c r="GC57" s="1065">
        <v>35</v>
      </c>
      <c r="GD57" s="1065">
        <v>0</v>
      </c>
      <c r="GE57" s="1065">
        <v>53</v>
      </c>
      <c r="GF57" s="1065">
        <v>752</v>
      </c>
      <c r="GG57" s="1065">
        <v>220</v>
      </c>
      <c r="GH57" s="1065">
        <v>102</v>
      </c>
      <c r="GI57" s="1065">
        <v>0</v>
      </c>
      <c r="GJ57" s="1065">
        <v>8</v>
      </c>
      <c r="GK57" s="1065">
        <v>227</v>
      </c>
      <c r="GL57" s="1065">
        <v>237</v>
      </c>
      <c r="GM57" s="1065">
        <v>266</v>
      </c>
      <c r="GN57" s="1065">
        <v>0</v>
      </c>
      <c r="GO57" s="1065">
        <v>9</v>
      </c>
      <c r="GP57" s="1065">
        <v>1981</v>
      </c>
      <c r="GQ57" s="1066">
        <f t="shared" si="13"/>
        <v>0.6910662824207493</v>
      </c>
      <c r="GS57" s="107"/>
      <c r="GT57" s="107"/>
      <c r="GU57" s="47" t="s">
        <v>49</v>
      </c>
      <c r="GV57" s="47">
        <v>66</v>
      </c>
      <c r="GW57" s="47">
        <v>40</v>
      </c>
      <c r="GX57" s="47">
        <v>0</v>
      </c>
      <c r="GY57" s="47">
        <v>51</v>
      </c>
      <c r="GZ57" s="47">
        <v>740</v>
      </c>
      <c r="HA57" s="47">
        <v>179</v>
      </c>
      <c r="HB57" s="47">
        <v>92</v>
      </c>
      <c r="HC57" s="47"/>
      <c r="HD57" s="47">
        <v>3</v>
      </c>
      <c r="HE57" s="47">
        <v>257</v>
      </c>
      <c r="HF57" s="47">
        <v>233</v>
      </c>
      <c r="HG57" s="47">
        <v>302</v>
      </c>
      <c r="HH57" s="47"/>
      <c r="HI57" s="47">
        <v>8</v>
      </c>
      <c r="HJ57" s="47">
        <v>1971</v>
      </c>
      <c r="HK57" s="1067">
        <f t="shared" si="1"/>
        <v>0.67976878612716762</v>
      </c>
      <c r="HL57" s="47"/>
      <c r="HM57" s="420"/>
      <c r="HN57" s="420"/>
      <c r="HO57" s="420" t="s">
        <v>49</v>
      </c>
      <c r="HP57" s="1068">
        <v>78</v>
      </c>
      <c r="HQ57" s="1068">
        <v>36</v>
      </c>
      <c r="HR57" s="1068" t="s">
        <v>327</v>
      </c>
      <c r="HS57" s="1068">
        <v>49</v>
      </c>
      <c r="HT57" s="1068">
        <v>695</v>
      </c>
      <c r="HU57" s="1068">
        <v>202</v>
      </c>
      <c r="HV57" s="1068">
        <v>84</v>
      </c>
      <c r="HW57" s="1068" t="s">
        <v>327</v>
      </c>
      <c r="HX57" s="1068">
        <v>3</v>
      </c>
      <c r="HY57" s="1068">
        <v>248</v>
      </c>
      <c r="HZ57" s="1068">
        <v>329</v>
      </c>
      <c r="IA57" s="1068" t="s">
        <v>327</v>
      </c>
      <c r="IB57" s="1068">
        <v>1724</v>
      </c>
      <c r="IC57" s="1068">
        <f t="shared" si="2"/>
        <v>1145</v>
      </c>
      <c r="ID57" s="1069">
        <f t="shared" si="3"/>
        <v>0.66415313225058004</v>
      </c>
      <c r="IE57" s="47"/>
      <c r="IF57" s="47"/>
    </row>
    <row r="58" spans="1:240">
      <c r="A58" s="41"/>
      <c r="B58" s="41"/>
      <c r="C58" s="461" t="s">
        <v>110</v>
      </c>
      <c r="D58" s="5556">
        <v>3784</v>
      </c>
      <c r="E58" s="5556">
        <v>2236</v>
      </c>
      <c r="F58" s="5556">
        <v>2</v>
      </c>
      <c r="G58" s="5556">
        <v>1026</v>
      </c>
      <c r="H58" s="5556">
        <v>3817</v>
      </c>
      <c r="I58" s="5556">
        <v>997</v>
      </c>
      <c r="J58" s="5556">
        <v>272</v>
      </c>
      <c r="K58" s="5556"/>
      <c r="L58" s="5556">
        <v>4</v>
      </c>
      <c r="M58" s="5556">
        <v>760</v>
      </c>
      <c r="N58" s="5556">
        <v>1039</v>
      </c>
      <c r="O58" s="5556">
        <v>274</v>
      </c>
      <c r="P58" s="5556">
        <v>3666</v>
      </c>
      <c r="Q58" s="5556">
        <v>15</v>
      </c>
      <c r="R58" s="5556">
        <v>17892</v>
      </c>
      <c r="S58" s="706">
        <f t="shared" si="4"/>
        <v>0.33250014202124639</v>
      </c>
      <c r="T58" s="5561"/>
      <c r="U58" s="5562"/>
      <c r="V58" s="706"/>
      <c r="W58" s="107" t="s">
        <v>48</v>
      </c>
      <c r="X58" s="107" t="s">
        <v>16</v>
      </c>
      <c r="Y58" s="41" t="s">
        <v>17</v>
      </c>
      <c r="Z58" s="41">
        <v>63</v>
      </c>
      <c r="AA58" s="41">
        <v>43</v>
      </c>
      <c r="AB58" s="41"/>
      <c r="AC58" s="41">
        <v>40</v>
      </c>
      <c r="AD58" s="41">
        <v>582</v>
      </c>
      <c r="AE58" s="41">
        <v>152</v>
      </c>
      <c r="AF58" s="41">
        <v>131</v>
      </c>
      <c r="AG58" s="41"/>
      <c r="AH58" s="41"/>
      <c r="AI58" s="41">
        <v>13</v>
      </c>
      <c r="AJ58" s="41">
        <v>67</v>
      </c>
      <c r="AK58" s="41"/>
      <c r="AL58" s="41">
        <v>262</v>
      </c>
      <c r="AM58" s="41">
        <v>0</v>
      </c>
      <c r="AN58" s="461">
        <v>1353</v>
      </c>
      <c r="AO58" s="4692">
        <f t="shared" si="6"/>
        <v>0.5920177383592018</v>
      </c>
      <c r="AQ58" s="1788" t="s">
        <v>48</v>
      </c>
      <c r="AR58" s="1788" t="s">
        <v>16</v>
      </c>
      <c r="AS58" s="37" t="s">
        <v>17</v>
      </c>
      <c r="AT58" s="1788">
        <v>112</v>
      </c>
      <c r="AU58" s="1788">
        <v>103</v>
      </c>
      <c r="AV58" s="1788">
        <v>0</v>
      </c>
      <c r="AW58" s="1788">
        <v>28</v>
      </c>
      <c r="AX58" s="1788">
        <v>432</v>
      </c>
      <c r="AY58" s="1788">
        <v>178</v>
      </c>
      <c r="AZ58" s="1788">
        <v>51</v>
      </c>
      <c r="BA58" s="1788"/>
      <c r="BB58" s="1788">
        <v>0</v>
      </c>
      <c r="BC58" s="1788">
        <v>14</v>
      </c>
      <c r="BD58" s="1788">
        <v>138</v>
      </c>
      <c r="BE58" s="1788"/>
      <c r="BF58" s="1788">
        <v>298</v>
      </c>
      <c r="BG58" s="1788">
        <v>0</v>
      </c>
      <c r="BH58" s="1788">
        <v>1354</v>
      </c>
      <c r="BI58" s="4701">
        <f t="shared" si="7"/>
        <v>0.55243722304283605</v>
      </c>
      <c r="BK58" s="41" t="s">
        <v>48</v>
      </c>
      <c r="BL58" s="41" t="s">
        <v>16</v>
      </c>
      <c r="BM58" s="41" t="s">
        <v>17</v>
      </c>
      <c r="BN58" s="105">
        <v>135</v>
      </c>
      <c r="BO58" s="105">
        <v>76</v>
      </c>
      <c r="BP58" s="105"/>
      <c r="BQ58" s="105">
        <v>1</v>
      </c>
      <c r="BR58" s="105">
        <v>491</v>
      </c>
      <c r="BS58" s="105">
        <v>144</v>
      </c>
      <c r="BT58" s="105">
        <v>80</v>
      </c>
      <c r="BU58" s="105"/>
      <c r="BV58" s="105"/>
      <c r="BW58" s="105">
        <v>20</v>
      </c>
      <c r="BX58" s="105">
        <v>88</v>
      </c>
      <c r="BY58" s="105"/>
      <c r="BZ58" s="105">
        <v>280</v>
      </c>
      <c r="CA58" s="105">
        <v>0</v>
      </c>
      <c r="CB58" s="105">
        <v>1315</v>
      </c>
      <c r="CC58" s="2484">
        <f t="shared" si="8"/>
        <v>0.54980988593155888</v>
      </c>
      <c r="CE58" s="41" t="s">
        <v>48</v>
      </c>
      <c r="CF58" s="41" t="s">
        <v>16</v>
      </c>
      <c r="CG58" s="41" t="s">
        <v>17</v>
      </c>
      <c r="CH58" s="105">
        <v>152</v>
      </c>
      <c r="CI58" s="105">
        <v>83</v>
      </c>
      <c r="CJ58" s="105"/>
      <c r="CK58" s="105">
        <v>38</v>
      </c>
      <c r="CL58" s="105">
        <v>461</v>
      </c>
      <c r="CM58" s="105">
        <v>175</v>
      </c>
      <c r="CN58" s="105">
        <v>94</v>
      </c>
      <c r="CO58" s="105"/>
      <c r="CP58" s="105"/>
      <c r="CQ58" s="105">
        <v>18</v>
      </c>
      <c r="CR58" s="105">
        <v>85</v>
      </c>
      <c r="CS58" s="105"/>
      <c r="CT58" s="105">
        <v>267</v>
      </c>
      <c r="CU58" s="105">
        <v>0</v>
      </c>
      <c r="CV58" s="105">
        <v>1373</v>
      </c>
      <c r="CW58" s="1644">
        <f t="shared" si="0"/>
        <v>0.52512745812090311</v>
      </c>
      <c r="CX58" s="1976"/>
      <c r="CY58" s="41" t="s">
        <v>48</v>
      </c>
      <c r="CZ58" s="41" t="s">
        <v>16</v>
      </c>
      <c r="DA58" s="41" t="s">
        <v>17</v>
      </c>
      <c r="DB58" s="105">
        <v>114</v>
      </c>
      <c r="DC58" s="105">
        <v>82</v>
      </c>
      <c r="DD58" s="105">
        <v>0</v>
      </c>
      <c r="DE58" s="105">
        <v>40</v>
      </c>
      <c r="DF58" s="105">
        <v>483</v>
      </c>
      <c r="DG58" s="105">
        <v>148</v>
      </c>
      <c r="DH58" s="105">
        <v>98</v>
      </c>
      <c r="DI58" s="105"/>
      <c r="DJ58" s="105">
        <v>0</v>
      </c>
      <c r="DK58" s="105">
        <v>32</v>
      </c>
      <c r="DL58" s="105">
        <v>100</v>
      </c>
      <c r="DM58" s="105"/>
      <c r="DN58" s="105">
        <v>257</v>
      </c>
      <c r="DO58" s="105">
        <v>0</v>
      </c>
      <c r="DP58" s="105">
        <v>1354</v>
      </c>
      <c r="DQ58" s="1644">
        <f t="shared" si="9"/>
        <v>0.53988183161004433</v>
      </c>
      <c r="DS58" s="1311" t="s">
        <v>48</v>
      </c>
      <c r="DT58" s="1311" t="s">
        <v>16</v>
      </c>
      <c r="DU58" s="1319" t="s">
        <v>17</v>
      </c>
      <c r="DV58" s="1320">
        <v>115</v>
      </c>
      <c r="DW58" s="1320">
        <v>66</v>
      </c>
      <c r="DX58" s="1321"/>
      <c r="DY58" s="1320">
        <v>49</v>
      </c>
      <c r="DZ58" s="1320">
        <v>492</v>
      </c>
      <c r="EA58" s="1320">
        <v>138</v>
      </c>
      <c r="EB58" s="1320">
        <v>102</v>
      </c>
      <c r="EC58" s="1321"/>
      <c r="ED58" s="1320">
        <v>0</v>
      </c>
      <c r="EE58" s="1320">
        <v>27</v>
      </c>
      <c r="EF58" s="1320">
        <v>90</v>
      </c>
      <c r="EG58" s="1321"/>
      <c r="EH58" s="1320">
        <v>273</v>
      </c>
      <c r="EI58" s="1320">
        <v>1</v>
      </c>
      <c r="EJ58" s="1320">
        <v>1353</v>
      </c>
      <c r="EK58" s="1322">
        <f t="shared" si="10"/>
        <v>0.53254437869822491</v>
      </c>
      <c r="EM58" s="1047" t="s">
        <v>48</v>
      </c>
      <c r="EN58" s="1047" t="s">
        <v>16</v>
      </c>
      <c r="EO58" s="1060" t="s">
        <v>17</v>
      </c>
      <c r="EP58" s="1061">
        <v>99</v>
      </c>
      <c r="EQ58" s="1061">
        <v>77</v>
      </c>
      <c r="ER58" s="1047"/>
      <c r="ES58" s="1061">
        <v>63</v>
      </c>
      <c r="ET58" s="1061">
        <v>504</v>
      </c>
      <c r="EU58" s="1061">
        <v>158</v>
      </c>
      <c r="EV58" s="1061">
        <v>123</v>
      </c>
      <c r="EW58" s="1047"/>
      <c r="EX58" s="1061">
        <v>0</v>
      </c>
      <c r="EY58" s="1061">
        <v>17</v>
      </c>
      <c r="EZ58" s="1061">
        <v>88</v>
      </c>
      <c r="FA58" s="1061">
        <v>360</v>
      </c>
      <c r="FB58" s="1047"/>
      <c r="FC58" s="1061">
        <v>1489</v>
      </c>
      <c r="FD58" s="537">
        <f t="shared" si="11"/>
        <v>0.503693754197448</v>
      </c>
      <c r="FF58" s="652" t="s">
        <v>48</v>
      </c>
      <c r="FG58" s="652" t="s">
        <v>16</v>
      </c>
      <c r="FH58" s="1062" t="s">
        <v>17</v>
      </c>
      <c r="FI58" s="1063">
        <v>76</v>
      </c>
      <c r="FJ58" s="1063">
        <v>82</v>
      </c>
      <c r="FK58" s="1063">
        <v>0</v>
      </c>
      <c r="FL58" s="1063">
        <v>68</v>
      </c>
      <c r="FM58" s="1063">
        <v>489</v>
      </c>
      <c r="FN58" s="1063">
        <v>183</v>
      </c>
      <c r="FO58" s="1063">
        <v>106</v>
      </c>
      <c r="FP58" s="652"/>
      <c r="FQ58" s="1063">
        <v>0</v>
      </c>
      <c r="FR58" s="1063">
        <v>14</v>
      </c>
      <c r="FS58" s="1063">
        <v>88</v>
      </c>
      <c r="FT58" s="1063">
        <v>378</v>
      </c>
      <c r="FU58" s="652"/>
      <c r="FV58" s="1063">
        <v>1484</v>
      </c>
      <c r="FW58" s="537">
        <f t="shared" si="12"/>
        <v>0.5121293800539084</v>
      </c>
      <c r="FY58" s="817"/>
      <c r="FZ58" s="817"/>
      <c r="GA58" s="1064" t="s">
        <v>19</v>
      </c>
      <c r="GB58" s="1065">
        <v>104</v>
      </c>
      <c r="GC58" s="1065">
        <v>73</v>
      </c>
      <c r="GD58" s="1065">
        <v>0</v>
      </c>
      <c r="GE58" s="1065">
        <v>107</v>
      </c>
      <c r="GF58" s="1065">
        <v>332</v>
      </c>
      <c r="GG58" s="1065">
        <v>79</v>
      </c>
      <c r="GH58" s="1065">
        <v>119</v>
      </c>
      <c r="GI58" s="1065">
        <v>0</v>
      </c>
      <c r="GJ58" s="1065">
        <v>33</v>
      </c>
      <c r="GK58" s="1065">
        <v>47</v>
      </c>
      <c r="GL58" s="1065">
        <v>295</v>
      </c>
      <c r="GM58" s="1065">
        <v>401</v>
      </c>
      <c r="GN58" s="1065">
        <v>0</v>
      </c>
      <c r="GO58" s="1065">
        <v>12</v>
      </c>
      <c r="GP58" s="1065">
        <v>1602</v>
      </c>
      <c r="GQ58" s="1066">
        <f t="shared" si="13"/>
        <v>0.35366795366795367</v>
      </c>
      <c r="GS58" s="107"/>
      <c r="GT58" s="107"/>
      <c r="GU58" s="47" t="s">
        <v>19</v>
      </c>
      <c r="GV58" s="47">
        <v>111</v>
      </c>
      <c r="GW58" s="47">
        <v>78</v>
      </c>
      <c r="GX58" s="47">
        <v>0</v>
      </c>
      <c r="GY58" s="47">
        <v>102</v>
      </c>
      <c r="GZ58" s="47">
        <v>320</v>
      </c>
      <c r="HA58" s="47">
        <v>65</v>
      </c>
      <c r="HB58" s="47">
        <v>113</v>
      </c>
      <c r="HC58" s="47"/>
      <c r="HD58" s="47">
        <v>27</v>
      </c>
      <c r="HE58" s="47">
        <v>53</v>
      </c>
      <c r="HF58" s="47">
        <v>274</v>
      </c>
      <c r="HG58" s="47">
        <v>410</v>
      </c>
      <c r="HH58" s="47"/>
      <c r="HI58" s="47">
        <v>10</v>
      </c>
      <c r="HJ58" s="47">
        <v>1563</v>
      </c>
      <c r="HK58" s="1067">
        <f t="shared" si="1"/>
        <v>0.34245504300234558</v>
      </c>
      <c r="HL58" s="47"/>
      <c r="HM58" s="420"/>
      <c r="HN58" s="420"/>
      <c r="HO58" s="420" t="s">
        <v>19</v>
      </c>
      <c r="HP58" s="1068">
        <v>93</v>
      </c>
      <c r="HQ58" s="1068">
        <v>76</v>
      </c>
      <c r="HR58" s="1068">
        <v>1</v>
      </c>
      <c r="HS58" s="1068">
        <v>96</v>
      </c>
      <c r="HT58" s="1068">
        <v>269</v>
      </c>
      <c r="HU58" s="1068">
        <v>74</v>
      </c>
      <c r="HV58" s="1068">
        <v>122</v>
      </c>
      <c r="HW58" s="1068" t="s">
        <v>327</v>
      </c>
      <c r="HX58" s="1068">
        <v>35</v>
      </c>
      <c r="HY58" s="1068">
        <v>84</v>
      </c>
      <c r="HZ58" s="1068">
        <v>409</v>
      </c>
      <c r="IA58" s="1068" t="s">
        <v>327</v>
      </c>
      <c r="IB58" s="1068">
        <v>1259</v>
      </c>
      <c r="IC58" s="1068">
        <f t="shared" si="2"/>
        <v>427</v>
      </c>
      <c r="ID58" s="1069">
        <f t="shared" si="3"/>
        <v>0.33915806195393167</v>
      </c>
      <c r="IE58" s="47"/>
      <c r="IF58" s="47"/>
    </row>
    <row r="59" spans="1:240">
      <c r="A59" s="41" t="s">
        <v>48</v>
      </c>
      <c r="B59" s="41" t="s">
        <v>16</v>
      </c>
      <c r="C59" s="41" t="s">
        <v>17</v>
      </c>
      <c r="D59" s="105">
        <v>106</v>
      </c>
      <c r="E59" s="105">
        <v>99</v>
      </c>
      <c r="F59" s="105"/>
      <c r="G59" s="105">
        <v>30</v>
      </c>
      <c r="H59" s="105">
        <v>430</v>
      </c>
      <c r="I59" s="105">
        <v>186</v>
      </c>
      <c r="J59" s="105">
        <v>24</v>
      </c>
      <c r="K59" s="105">
        <v>0</v>
      </c>
      <c r="L59" s="105">
        <v>0</v>
      </c>
      <c r="M59" s="105">
        <v>15</v>
      </c>
      <c r="N59" s="105">
        <v>174</v>
      </c>
      <c r="O59" s="105"/>
      <c r="P59" s="105">
        <v>327</v>
      </c>
      <c r="Q59" s="105">
        <v>0</v>
      </c>
      <c r="R59" s="105">
        <v>1391</v>
      </c>
      <c r="S59" s="706">
        <f t="shared" si="4"/>
        <v>0.56793673616103524</v>
      </c>
      <c r="T59" s="5561">
        <f t="shared" si="5"/>
        <v>12</v>
      </c>
      <c r="U59" s="5562">
        <v>1379</v>
      </c>
      <c r="V59" s="706"/>
      <c r="Y59" s="41" t="s">
        <v>49</v>
      </c>
      <c r="Z59" s="41">
        <v>18</v>
      </c>
      <c r="AA59" s="41">
        <v>39</v>
      </c>
      <c r="AB59" s="41"/>
      <c r="AC59" s="41">
        <v>30</v>
      </c>
      <c r="AD59" s="41">
        <v>775</v>
      </c>
      <c r="AE59" s="41">
        <v>198</v>
      </c>
      <c r="AF59" s="41">
        <v>86</v>
      </c>
      <c r="AG59" s="41"/>
      <c r="AH59" s="41"/>
      <c r="AI59" s="41">
        <v>3</v>
      </c>
      <c r="AJ59" s="41">
        <v>214</v>
      </c>
      <c r="AK59" s="41"/>
      <c r="AL59" s="41">
        <v>168</v>
      </c>
      <c r="AM59" s="41">
        <v>1</v>
      </c>
      <c r="AN59" s="461">
        <v>1532</v>
      </c>
      <c r="AO59" s="4692">
        <f t="shared" si="6"/>
        <v>0.775310254735467</v>
      </c>
      <c r="AQ59" s="1788"/>
      <c r="AR59" s="1788"/>
      <c r="AS59" s="37" t="s">
        <v>49</v>
      </c>
      <c r="AT59" s="1788">
        <v>83</v>
      </c>
      <c r="AU59" s="1788">
        <v>68</v>
      </c>
      <c r="AV59" s="1788">
        <v>1</v>
      </c>
      <c r="AW59" s="1788">
        <v>30</v>
      </c>
      <c r="AX59" s="1788">
        <v>562</v>
      </c>
      <c r="AY59" s="1788">
        <v>259</v>
      </c>
      <c r="AZ59" s="1788">
        <v>38</v>
      </c>
      <c r="BA59" s="1788"/>
      <c r="BB59" s="1788">
        <v>1</v>
      </c>
      <c r="BC59" s="1788">
        <v>10</v>
      </c>
      <c r="BD59" s="1788">
        <v>290</v>
      </c>
      <c r="BE59" s="1788"/>
      <c r="BF59" s="1788">
        <v>195</v>
      </c>
      <c r="BG59" s="1788">
        <v>1</v>
      </c>
      <c r="BH59" s="1788">
        <v>1538</v>
      </c>
      <c r="BI59" s="4701">
        <f t="shared" si="7"/>
        <v>0.72283669486011715</v>
      </c>
      <c r="BK59" s="41"/>
      <c r="BL59" s="41"/>
      <c r="BM59" s="41" t="s">
        <v>49</v>
      </c>
      <c r="BN59" s="105">
        <v>74</v>
      </c>
      <c r="BO59" s="105">
        <v>48</v>
      </c>
      <c r="BP59" s="105"/>
      <c r="BQ59" s="105">
        <v>0</v>
      </c>
      <c r="BR59" s="105">
        <v>658</v>
      </c>
      <c r="BS59" s="105">
        <v>222</v>
      </c>
      <c r="BT59" s="105">
        <v>47</v>
      </c>
      <c r="BU59" s="105"/>
      <c r="BV59" s="105"/>
      <c r="BW59" s="105">
        <v>9</v>
      </c>
      <c r="BX59" s="105">
        <v>254</v>
      </c>
      <c r="BY59" s="105"/>
      <c r="BZ59" s="105">
        <v>189</v>
      </c>
      <c r="CA59" s="105">
        <v>0</v>
      </c>
      <c r="CB59" s="105">
        <v>1501</v>
      </c>
      <c r="CC59" s="2484">
        <f t="shared" si="8"/>
        <v>0.75549633577614927</v>
      </c>
      <c r="CE59" s="41"/>
      <c r="CF59" s="41"/>
      <c r="CG59" s="41" t="s">
        <v>49</v>
      </c>
      <c r="CH59" s="105">
        <v>64</v>
      </c>
      <c r="CI59" s="105">
        <v>67</v>
      </c>
      <c r="CJ59" s="105"/>
      <c r="CK59" s="105">
        <v>28</v>
      </c>
      <c r="CL59" s="105">
        <v>658</v>
      </c>
      <c r="CM59" s="105">
        <v>248</v>
      </c>
      <c r="CN59" s="105">
        <v>54</v>
      </c>
      <c r="CO59" s="105"/>
      <c r="CP59" s="105"/>
      <c r="CQ59" s="105">
        <v>2</v>
      </c>
      <c r="CR59" s="105">
        <v>236</v>
      </c>
      <c r="CS59" s="105"/>
      <c r="CT59" s="105">
        <v>166</v>
      </c>
      <c r="CU59" s="105">
        <v>2</v>
      </c>
      <c r="CV59" s="105">
        <v>1525</v>
      </c>
      <c r="CW59" s="1644">
        <f t="shared" si="0"/>
        <v>0.74983585029546951</v>
      </c>
      <c r="CX59" s="1976"/>
      <c r="CY59" s="41"/>
      <c r="CZ59" s="41"/>
      <c r="DA59" s="41" t="s">
        <v>49</v>
      </c>
      <c r="DB59" s="105">
        <v>60</v>
      </c>
      <c r="DC59" s="105">
        <v>60</v>
      </c>
      <c r="DD59" s="105">
        <v>0</v>
      </c>
      <c r="DE59" s="105">
        <v>28</v>
      </c>
      <c r="DF59" s="105">
        <v>703</v>
      </c>
      <c r="DG59" s="105">
        <v>208</v>
      </c>
      <c r="DH59" s="105">
        <v>61</v>
      </c>
      <c r="DI59" s="105"/>
      <c r="DJ59" s="105">
        <v>0</v>
      </c>
      <c r="DK59" s="105">
        <v>9</v>
      </c>
      <c r="DL59" s="105">
        <v>225</v>
      </c>
      <c r="DM59" s="105"/>
      <c r="DN59" s="105">
        <v>160</v>
      </c>
      <c r="DO59" s="105">
        <v>2</v>
      </c>
      <c r="DP59" s="105">
        <v>1516</v>
      </c>
      <c r="DQ59" s="1644">
        <f t="shared" si="9"/>
        <v>0.75033025099075301</v>
      </c>
      <c r="DS59" s="1311"/>
      <c r="DT59" s="1311"/>
      <c r="DU59" s="1319" t="s">
        <v>49</v>
      </c>
      <c r="DV59" s="1320">
        <v>58</v>
      </c>
      <c r="DW59" s="1320">
        <v>50</v>
      </c>
      <c r="DX59" s="1321"/>
      <c r="DY59" s="1320">
        <v>30</v>
      </c>
      <c r="DZ59" s="1320">
        <v>750</v>
      </c>
      <c r="EA59" s="1320">
        <v>188</v>
      </c>
      <c r="EB59" s="1320">
        <v>65</v>
      </c>
      <c r="EC59" s="1321"/>
      <c r="ED59" s="1320">
        <v>0</v>
      </c>
      <c r="EE59" s="1320">
        <v>5</v>
      </c>
      <c r="EF59" s="1320">
        <v>222</v>
      </c>
      <c r="EG59" s="1321"/>
      <c r="EH59" s="1320">
        <v>177</v>
      </c>
      <c r="EI59" s="1320">
        <v>2</v>
      </c>
      <c r="EJ59" s="1320">
        <v>1547</v>
      </c>
      <c r="EK59" s="1322">
        <f t="shared" si="10"/>
        <v>0.7508090614886731</v>
      </c>
      <c r="EM59" s="1047"/>
      <c r="EN59" s="1047"/>
      <c r="EO59" s="1060" t="s">
        <v>49</v>
      </c>
      <c r="EP59" s="1061">
        <v>71</v>
      </c>
      <c r="EQ59" s="1061">
        <v>63</v>
      </c>
      <c r="ER59" s="1047"/>
      <c r="ES59" s="1061">
        <v>46</v>
      </c>
      <c r="ET59" s="1061">
        <v>754</v>
      </c>
      <c r="EU59" s="1061">
        <v>242</v>
      </c>
      <c r="EV59" s="1061">
        <v>81</v>
      </c>
      <c r="EW59" s="1047"/>
      <c r="EX59" s="1061">
        <v>0</v>
      </c>
      <c r="EY59" s="1061">
        <v>2</v>
      </c>
      <c r="EZ59" s="1061">
        <v>218</v>
      </c>
      <c r="FA59" s="1061">
        <v>239</v>
      </c>
      <c r="FB59" s="1047"/>
      <c r="FC59" s="1061">
        <v>1716</v>
      </c>
      <c r="FD59" s="537">
        <f t="shared" si="11"/>
        <v>0.70745920745920743</v>
      </c>
      <c r="FF59" s="652"/>
      <c r="FG59" s="652"/>
      <c r="FH59" s="1062" t="s">
        <v>49</v>
      </c>
      <c r="FI59" s="1063">
        <v>60</v>
      </c>
      <c r="FJ59" s="1063">
        <v>66</v>
      </c>
      <c r="FK59" s="1063">
        <v>0</v>
      </c>
      <c r="FL59" s="1063">
        <v>47</v>
      </c>
      <c r="FM59" s="1063">
        <v>753</v>
      </c>
      <c r="FN59" s="1063">
        <v>238</v>
      </c>
      <c r="FO59" s="1063">
        <v>74</v>
      </c>
      <c r="FP59" s="652"/>
      <c r="FQ59" s="1063">
        <v>0</v>
      </c>
      <c r="FR59" s="1063">
        <v>1</v>
      </c>
      <c r="FS59" s="1063">
        <v>230</v>
      </c>
      <c r="FT59" s="1063">
        <v>250</v>
      </c>
      <c r="FU59" s="652"/>
      <c r="FV59" s="1063">
        <v>1719</v>
      </c>
      <c r="FW59" s="537">
        <f t="shared" si="12"/>
        <v>0.71029668411867364</v>
      </c>
      <c r="FY59" s="817"/>
      <c r="FZ59" s="817"/>
      <c r="GA59" s="1064" t="s">
        <v>50</v>
      </c>
      <c r="GB59" s="1065">
        <v>135</v>
      </c>
      <c r="GC59" s="1065">
        <v>77</v>
      </c>
      <c r="GD59" s="1065">
        <v>0</v>
      </c>
      <c r="GE59" s="1065">
        <v>111</v>
      </c>
      <c r="GF59" s="1065">
        <v>1593</v>
      </c>
      <c r="GG59" s="1065">
        <v>255</v>
      </c>
      <c r="GH59" s="1065">
        <v>156</v>
      </c>
      <c r="GI59" s="1065">
        <v>0</v>
      </c>
      <c r="GJ59" s="1065">
        <v>18</v>
      </c>
      <c r="GK59" s="1065">
        <v>138</v>
      </c>
      <c r="GL59" s="1065">
        <v>440</v>
      </c>
      <c r="GM59" s="1065">
        <v>533</v>
      </c>
      <c r="GN59" s="1065">
        <v>0</v>
      </c>
      <c r="GO59" s="1065">
        <v>17</v>
      </c>
      <c r="GP59" s="1065">
        <v>3473</v>
      </c>
      <c r="GQ59" s="1066">
        <f t="shared" si="13"/>
        <v>0.65848806366047741</v>
      </c>
      <c r="GS59" s="107"/>
      <c r="GT59" s="107"/>
      <c r="GU59" s="47" t="s">
        <v>50</v>
      </c>
      <c r="GV59" s="47">
        <v>116</v>
      </c>
      <c r="GW59" s="47">
        <v>75</v>
      </c>
      <c r="GX59" s="47">
        <v>1</v>
      </c>
      <c r="GY59" s="47">
        <v>116</v>
      </c>
      <c r="GZ59" s="47">
        <v>1581</v>
      </c>
      <c r="HA59" s="47">
        <v>264</v>
      </c>
      <c r="HB59" s="47">
        <v>156</v>
      </c>
      <c r="HC59" s="47"/>
      <c r="HD59" s="47">
        <v>12</v>
      </c>
      <c r="HE59" s="47">
        <v>162</v>
      </c>
      <c r="HF59" s="47">
        <v>413</v>
      </c>
      <c r="HG59" s="47">
        <v>557</v>
      </c>
      <c r="HH59" s="47"/>
      <c r="HI59" s="47">
        <v>14</v>
      </c>
      <c r="HJ59" s="47">
        <v>3467</v>
      </c>
      <c r="HK59" s="1067">
        <f t="shared" si="1"/>
        <v>0.66019736842105259</v>
      </c>
      <c r="HL59" s="47"/>
      <c r="HM59" s="420"/>
      <c r="HN59" s="420"/>
      <c r="HO59" s="420" t="s">
        <v>50</v>
      </c>
      <c r="HP59" s="1068">
        <v>126</v>
      </c>
      <c r="HQ59" s="1068">
        <v>74</v>
      </c>
      <c r="HR59" s="1068" t="s">
        <v>327</v>
      </c>
      <c r="HS59" s="1068">
        <v>108</v>
      </c>
      <c r="HT59" s="1068">
        <v>1547</v>
      </c>
      <c r="HU59" s="1068">
        <v>280</v>
      </c>
      <c r="HV59" s="1068">
        <v>166</v>
      </c>
      <c r="HW59" s="1068" t="s">
        <v>327</v>
      </c>
      <c r="HX59" s="1068">
        <v>14</v>
      </c>
      <c r="HY59" s="1068">
        <v>197</v>
      </c>
      <c r="HZ59" s="1068">
        <v>576</v>
      </c>
      <c r="IA59" s="1068" t="s">
        <v>327</v>
      </c>
      <c r="IB59" s="1068">
        <v>3088</v>
      </c>
      <c r="IC59" s="1068">
        <f t="shared" si="2"/>
        <v>2024</v>
      </c>
      <c r="ID59" s="1069">
        <f t="shared" si="3"/>
        <v>0.65544041450777202</v>
      </c>
      <c r="IE59" s="47"/>
      <c r="IF59" s="47"/>
    </row>
    <row r="60" spans="1:240">
      <c r="A60" s="41"/>
      <c r="B60" s="41"/>
      <c r="C60" s="41" t="s">
        <v>49</v>
      </c>
      <c r="D60" s="105">
        <v>93</v>
      </c>
      <c r="E60" s="105">
        <v>74</v>
      </c>
      <c r="F60" s="105"/>
      <c r="G60" s="105">
        <v>32</v>
      </c>
      <c r="H60" s="105">
        <v>561</v>
      </c>
      <c r="I60" s="105">
        <v>215</v>
      </c>
      <c r="J60" s="105">
        <v>20</v>
      </c>
      <c r="K60" s="105">
        <v>3</v>
      </c>
      <c r="L60" s="105">
        <v>1</v>
      </c>
      <c r="M60" s="105">
        <v>7</v>
      </c>
      <c r="N60" s="105">
        <v>340</v>
      </c>
      <c r="O60" s="105"/>
      <c r="P60" s="105">
        <v>208</v>
      </c>
      <c r="Q60" s="105">
        <v>0</v>
      </c>
      <c r="R60" s="105">
        <v>1554</v>
      </c>
      <c r="S60" s="706">
        <f t="shared" si="4"/>
        <v>0.71814671814671815</v>
      </c>
      <c r="T60" s="5561">
        <f t="shared" si="5"/>
        <v>19</v>
      </c>
      <c r="U60" s="5562">
        <v>1535</v>
      </c>
      <c r="V60" s="706"/>
      <c r="Y60" s="41" t="s">
        <v>19</v>
      </c>
      <c r="Z60" s="41">
        <v>90</v>
      </c>
      <c r="AA60" s="41">
        <v>67</v>
      </c>
      <c r="AB60" s="41"/>
      <c r="AC60" s="41">
        <v>76</v>
      </c>
      <c r="AD60" s="41">
        <v>363</v>
      </c>
      <c r="AE60" s="41">
        <v>95</v>
      </c>
      <c r="AF60" s="41">
        <v>168</v>
      </c>
      <c r="AG60" s="41"/>
      <c r="AH60" s="41"/>
      <c r="AI60" s="41">
        <v>19</v>
      </c>
      <c r="AJ60" s="41">
        <v>77</v>
      </c>
      <c r="AK60" s="41"/>
      <c r="AL60" s="41">
        <v>255</v>
      </c>
      <c r="AM60" s="41">
        <v>3</v>
      </c>
      <c r="AN60" s="461">
        <v>1213</v>
      </c>
      <c r="AO60" s="4692">
        <f t="shared" si="6"/>
        <v>0.44214876033057854</v>
      </c>
      <c r="AQ60" s="1788"/>
      <c r="AR60" s="1788"/>
      <c r="AS60" s="37" t="s">
        <v>19</v>
      </c>
      <c r="AT60" s="1788">
        <v>138</v>
      </c>
      <c r="AU60" s="1788">
        <v>130</v>
      </c>
      <c r="AV60" s="1788">
        <v>0</v>
      </c>
      <c r="AW60" s="1788">
        <v>69</v>
      </c>
      <c r="AX60" s="1788">
        <v>245</v>
      </c>
      <c r="AY60" s="1788">
        <v>127</v>
      </c>
      <c r="AZ60" s="1788">
        <v>81</v>
      </c>
      <c r="BA60" s="1788"/>
      <c r="BB60" s="1788">
        <v>1</v>
      </c>
      <c r="BC60" s="1788">
        <v>33</v>
      </c>
      <c r="BD60" s="1788">
        <v>97</v>
      </c>
      <c r="BE60" s="1788"/>
      <c r="BF60" s="1788">
        <v>292</v>
      </c>
      <c r="BG60" s="1788">
        <v>2</v>
      </c>
      <c r="BH60" s="1788">
        <v>1215</v>
      </c>
      <c r="BI60" s="4701">
        <f t="shared" si="7"/>
        <v>0.38664468260511131</v>
      </c>
      <c r="BK60" s="41"/>
      <c r="BL60" s="41"/>
      <c r="BM60" s="41" t="s">
        <v>19</v>
      </c>
      <c r="BN60" s="105">
        <v>127</v>
      </c>
      <c r="BO60" s="105">
        <v>105</v>
      </c>
      <c r="BP60" s="105"/>
      <c r="BQ60" s="105">
        <v>2</v>
      </c>
      <c r="BR60" s="105">
        <v>293</v>
      </c>
      <c r="BS60" s="105">
        <v>86</v>
      </c>
      <c r="BT60" s="105">
        <v>101</v>
      </c>
      <c r="BU60" s="105"/>
      <c r="BV60" s="105"/>
      <c r="BW60" s="105">
        <v>31</v>
      </c>
      <c r="BX60" s="105">
        <v>105</v>
      </c>
      <c r="BY60" s="105"/>
      <c r="BZ60" s="105">
        <v>285</v>
      </c>
      <c r="CA60" s="105">
        <v>0</v>
      </c>
      <c r="CB60" s="105">
        <v>1135</v>
      </c>
      <c r="CC60" s="2484">
        <f t="shared" si="8"/>
        <v>0.42643171806167401</v>
      </c>
      <c r="CE60" s="41"/>
      <c r="CF60" s="41"/>
      <c r="CG60" s="41" t="s">
        <v>19</v>
      </c>
      <c r="CH60" s="105">
        <v>177</v>
      </c>
      <c r="CI60" s="105">
        <v>123</v>
      </c>
      <c r="CJ60" s="105"/>
      <c r="CK60" s="105">
        <v>76</v>
      </c>
      <c r="CL60" s="105">
        <v>290</v>
      </c>
      <c r="CM60" s="105">
        <v>76</v>
      </c>
      <c r="CN60" s="105">
        <v>117</v>
      </c>
      <c r="CO60" s="105"/>
      <c r="CP60" s="105"/>
      <c r="CQ60" s="105">
        <v>26</v>
      </c>
      <c r="CR60" s="105">
        <v>63</v>
      </c>
      <c r="CS60" s="105"/>
      <c r="CT60" s="105">
        <v>251</v>
      </c>
      <c r="CU60" s="105">
        <v>4</v>
      </c>
      <c r="CV60" s="105">
        <v>1203</v>
      </c>
      <c r="CW60" s="1644">
        <f t="shared" si="0"/>
        <v>0.3577981651376147</v>
      </c>
      <c r="CX60" s="1976"/>
      <c r="CY60" s="41"/>
      <c r="CZ60" s="41"/>
      <c r="DA60" s="41" t="s">
        <v>19</v>
      </c>
      <c r="DB60" s="105">
        <v>134</v>
      </c>
      <c r="DC60" s="105">
        <v>137</v>
      </c>
      <c r="DD60" s="105">
        <v>1</v>
      </c>
      <c r="DE60" s="105">
        <v>70</v>
      </c>
      <c r="DF60" s="105">
        <v>298</v>
      </c>
      <c r="DG60" s="105">
        <v>82</v>
      </c>
      <c r="DH60" s="105">
        <v>100</v>
      </c>
      <c r="DI60" s="105"/>
      <c r="DJ60" s="105">
        <v>1</v>
      </c>
      <c r="DK60" s="105">
        <v>47</v>
      </c>
      <c r="DL60" s="105">
        <v>68</v>
      </c>
      <c r="DM60" s="105"/>
      <c r="DN60" s="105">
        <v>253</v>
      </c>
      <c r="DO60" s="105">
        <v>5</v>
      </c>
      <c r="DP60" s="105">
        <v>1196</v>
      </c>
      <c r="DQ60" s="1644">
        <f t="shared" si="9"/>
        <v>0.37615449202350965</v>
      </c>
      <c r="DS60" s="1311"/>
      <c r="DT60" s="1311"/>
      <c r="DU60" s="1319" t="s">
        <v>19</v>
      </c>
      <c r="DV60" s="1320">
        <v>128</v>
      </c>
      <c r="DW60" s="1320">
        <v>121</v>
      </c>
      <c r="DX60" s="1321"/>
      <c r="DY60" s="1320">
        <v>70</v>
      </c>
      <c r="DZ60" s="1320">
        <v>311</v>
      </c>
      <c r="EA60" s="1320">
        <v>77</v>
      </c>
      <c r="EB60" s="1320">
        <v>118</v>
      </c>
      <c r="EC60" s="1321"/>
      <c r="ED60" s="1320">
        <v>1</v>
      </c>
      <c r="EE60" s="1320">
        <v>42</v>
      </c>
      <c r="EF60" s="1320">
        <v>59</v>
      </c>
      <c r="EG60" s="1321"/>
      <c r="EH60" s="1320">
        <v>263</v>
      </c>
      <c r="EI60" s="1320">
        <v>4</v>
      </c>
      <c r="EJ60" s="1320">
        <v>1194</v>
      </c>
      <c r="EK60" s="1322">
        <f t="shared" si="10"/>
        <v>0.37563025210084033</v>
      </c>
      <c r="EM60" s="1047"/>
      <c r="EN60" s="1047"/>
      <c r="EO60" s="1060" t="s">
        <v>19</v>
      </c>
      <c r="EP60" s="1061">
        <v>121</v>
      </c>
      <c r="EQ60" s="1061">
        <v>120</v>
      </c>
      <c r="ER60" s="1047"/>
      <c r="ES60" s="1061">
        <v>96</v>
      </c>
      <c r="ET60" s="1061">
        <v>332</v>
      </c>
      <c r="EU60" s="1061">
        <v>73</v>
      </c>
      <c r="EV60" s="1061">
        <v>118</v>
      </c>
      <c r="EW60" s="1047"/>
      <c r="EX60" s="1061">
        <v>1</v>
      </c>
      <c r="EY60" s="1061">
        <v>44</v>
      </c>
      <c r="EZ60" s="1061">
        <v>59</v>
      </c>
      <c r="FA60" s="1061">
        <v>359</v>
      </c>
      <c r="FB60" s="1047"/>
      <c r="FC60" s="1061">
        <v>1323</v>
      </c>
      <c r="FD60" s="537">
        <f t="shared" si="11"/>
        <v>0.35071806500377928</v>
      </c>
      <c r="FF60" s="652"/>
      <c r="FG60" s="652"/>
      <c r="FH60" s="1062" t="s">
        <v>19</v>
      </c>
      <c r="FI60" s="1063">
        <v>124</v>
      </c>
      <c r="FJ60" s="1063">
        <v>116</v>
      </c>
      <c r="FK60" s="1063">
        <v>0</v>
      </c>
      <c r="FL60" s="1063">
        <v>99</v>
      </c>
      <c r="FM60" s="1063">
        <v>336</v>
      </c>
      <c r="FN60" s="1063">
        <v>75</v>
      </c>
      <c r="FO60" s="1063">
        <v>105</v>
      </c>
      <c r="FP60" s="652"/>
      <c r="FQ60" s="1063">
        <v>1</v>
      </c>
      <c r="FR60" s="1063">
        <v>26</v>
      </c>
      <c r="FS60" s="1063">
        <v>48</v>
      </c>
      <c r="FT60" s="1063">
        <v>368</v>
      </c>
      <c r="FU60" s="652"/>
      <c r="FV60" s="1063">
        <v>1298</v>
      </c>
      <c r="FW60" s="537">
        <f t="shared" si="12"/>
        <v>0.35362095531587057</v>
      </c>
      <c r="FY60" s="817"/>
      <c r="FZ60" s="817"/>
      <c r="GA60" s="1064" t="s">
        <v>20</v>
      </c>
      <c r="GB60" s="1065">
        <v>99</v>
      </c>
      <c r="GC60" s="1065">
        <v>55</v>
      </c>
      <c r="GD60" s="1065">
        <v>0</v>
      </c>
      <c r="GE60" s="1065">
        <v>103</v>
      </c>
      <c r="GF60" s="1065">
        <v>557</v>
      </c>
      <c r="GG60" s="1065">
        <v>133</v>
      </c>
      <c r="GH60" s="1065">
        <v>103</v>
      </c>
      <c r="GI60" s="1065">
        <v>0</v>
      </c>
      <c r="GJ60" s="1065">
        <v>12</v>
      </c>
      <c r="GK60" s="1065">
        <v>74</v>
      </c>
      <c r="GL60" s="1065">
        <v>179</v>
      </c>
      <c r="GM60" s="1065">
        <v>355</v>
      </c>
      <c r="GN60" s="1065">
        <v>0</v>
      </c>
      <c r="GO60" s="1065">
        <v>11</v>
      </c>
      <c r="GP60" s="1065">
        <v>1681</v>
      </c>
      <c r="GQ60" s="1066">
        <f t="shared" si="13"/>
        <v>0.5124077800134138</v>
      </c>
      <c r="GS60" s="107"/>
      <c r="GT60" s="107"/>
      <c r="GU60" s="47" t="s">
        <v>20</v>
      </c>
      <c r="GV60" s="47">
        <v>82</v>
      </c>
      <c r="GW60" s="47">
        <v>46</v>
      </c>
      <c r="GX60" s="47">
        <v>0</v>
      </c>
      <c r="GY60" s="47">
        <v>118</v>
      </c>
      <c r="GZ60" s="47">
        <v>572</v>
      </c>
      <c r="HA60" s="47">
        <v>124</v>
      </c>
      <c r="HB60" s="47">
        <v>105</v>
      </c>
      <c r="HC60" s="47"/>
      <c r="HD60" s="47">
        <v>9</v>
      </c>
      <c r="HE60" s="47">
        <v>80</v>
      </c>
      <c r="HF60" s="47">
        <v>167</v>
      </c>
      <c r="HG60" s="47">
        <v>386</v>
      </c>
      <c r="HH60" s="47"/>
      <c r="HI60" s="47">
        <v>15</v>
      </c>
      <c r="HJ60" s="47">
        <v>1704</v>
      </c>
      <c r="HK60" s="1067">
        <f t="shared" si="1"/>
        <v>0.50985545335085414</v>
      </c>
      <c r="HL60" s="47"/>
      <c r="HM60" s="420"/>
      <c r="HN60" s="420"/>
      <c r="HO60" s="420" t="s">
        <v>20</v>
      </c>
      <c r="HP60" s="1068">
        <v>73</v>
      </c>
      <c r="HQ60" s="1068">
        <v>57</v>
      </c>
      <c r="HR60" s="1068" t="s">
        <v>327</v>
      </c>
      <c r="HS60" s="1068">
        <v>121</v>
      </c>
      <c r="HT60" s="1068">
        <v>549</v>
      </c>
      <c r="HU60" s="1068">
        <v>118</v>
      </c>
      <c r="HV60" s="1068">
        <v>118</v>
      </c>
      <c r="HW60" s="1068" t="s">
        <v>327</v>
      </c>
      <c r="HX60" s="1068">
        <v>16</v>
      </c>
      <c r="HY60" s="1068">
        <v>99</v>
      </c>
      <c r="HZ60" s="1068">
        <v>396</v>
      </c>
      <c r="IA60" s="1068" t="s">
        <v>327</v>
      </c>
      <c r="IB60" s="1068">
        <v>1547</v>
      </c>
      <c r="IC60" s="1068">
        <f t="shared" si="2"/>
        <v>766</v>
      </c>
      <c r="ID60" s="1069">
        <f t="shared" si="3"/>
        <v>0.49515190691661282</v>
      </c>
      <c r="IE60" s="47"/>
      <c r="IF60" s="47"/>
    </row>
    <row r="61" spans="1:240">
      <c r="A61" s="41"/>
      <c r="B61" s="41"/>
      <c r="C61" s="41" t="s">
        <v>19</v>
      </c>
      <c r="D61" s="105">
        <v>128</v>
      </c>
      <c r="E61" s="105">
        <v>144</v>
      </c>
      <c r="F61" s="105"/>
      <c r="G61" s="105">
        <v>69</v>
      </c>
      <c r="H61" s="105">
        <v>245</v>
      </c>
      <c r="I61" s="105">
        <v>119</v>
      </c>
      <c r="J61" s="105">
        <v>39</v>
      </c>
      <c r="K61" s="105">
        <v>27</v>
      </c>
      <c r="L61" s="105">
        <v>0</v>
      </c>
      <c r="M61" s="105">
        <v>22</v>
      </c>
      <c r="N61" s="105">
        <v>138</v>
      </c>
      <c r="O61" s="105"/>
      <c r="P61" s="105">
        <v>315</v>
      </c>
      <c r="Q61" s="105">
        <v>2</v>
      </c>
      <c r="R61" s="105">
        <v>1248</v>
      </c>
      <c r="S61" s="706">
        <f t="shared" si="4"/>
        <v>0.4028892455858748</v>
      </c>
      <c r="T61" s="5561">
        <f t="shared" si="5"/>
        <v>4</v>
      </c>
      <c r="U61" s="5562">
        <v>1244</v>
      </c>
      <c r="V61" s="706"/>
      <c r="Y61" s="41" t="s">
        <v>50</v>
      </c>
      <c r="Z61" s="41">
        <v>41</v>
      </c>
      <c r="AA61" s="41">
        <v>61</v>
      </c>
      <c r="AB61" s="41"/>
      <c r="AC61" s="41">
        <v>43</v>
      </c>
      <c r="AD61" s="41">
        <v>1557</v>
      </c>
      <c r="AE61" s="41">
        <v>225</v>
      </c>
      <c r="AF61" s="41">
        <v>175</v>
      </c>
      <c r="AG61" s="41"/>
      <c r="AH61" s="41"/>
      <c r="AI61" s="41">
        <v>7</v>
      </c>
      <c r="AJ61" s="41">
        <v>160</v>
      </c>
      <c r="AK61" s="41"/>
      <c r="AL61" s="41">
        <v>288</v>
      </c>
      <c r="AM61" s="41">
        <v>3</v>
      </c>
      <c r="AN61" s="461">
        <v>2560</v>
      </c>
      <c r="AO61" s="4692">
        <f t="shared" si="6"/>
        <v>0.75948377004301915</v>
      </c>
      <c r="AQ61" s="1788"/>
      <c r="AR61" s="1788"/>
      <c r="AS61" s="37" t="s">
        <v>50</v>
      </c>
      <c r="AT61" s="1788">
        <v>108</v>
      </c>
      <c r="AU61" s="1788">
        <v>101</v>
      </c>
      <c r="AV61" s="1788">
        <v>0</v>
      </c>
      <c r="AW61" s="1788">
        <v>41</v>
      </c>
      <c r="AX61" s="1788">
        <v>1211</v>
      </c>
      <c r="AY61" s="1788">
        <v>332</v>
      </c>
      <c r="AZ61" s="1788">
        <v>60</v>
      </c>
      <c r="BA61" s="1788"/>
      <c r="BB61" s="1788">
        <v>0</v>
      </c>
      <c r="BC61" s="1788">
        <v>10</v>
      </c>
      <c r="BD61" s="1788">
        <v>299</v>
      </c>
      <c r="BE61" s="1788"/>
      <c r="BF61" s="1788">
        <v>348</v>
      </c>
      <c r="BG61" s="1788">
        <v>3</v>
      </c>
      <c r="BH61" s="1788">
        <v>2513</v>
      </c>
      <c r="BI61" s="4701">
        <f t="shared" si="7"/>
        <v>0.73386454183266936</v>
      </c>
      <c r="BK61" s="41"/>
      <c r="BL61" s="41"/>
      <c r="BM61" s="41" t="s">
        <v>50</v>
      </c>
      <c r="BN61" s="105">
        <v>88</v>
      </c>
      <c r="BO61" s="105">
        <v>85</v>
      </c>
      <c r="BP61" s="105"/>
      <c r="BQ61" s="105">
        <v>0</v>
      </c>
      <c r="BR61" s="105">
        <v>1373</v>
      </c>
      <c r="BS61" s="105">
        <v>288</v>
      </c>
      <c r="BT61" s="105">
        <v>90</v>
      </c>
      <c r="BU61" s="105"/>
      <c r="BV61" s="105"/>
      <c r="BW61" s="105">
        <v>19</v>
      </c>
      <c r="BX61" s="105">
        <v>232</v>
      </c>
      <c r="BY61" s="105"/>
      <c r="BZ61" s="105">
        <v>337</v>
      </c>
      <c r="CA61" s="105">
        <v>1</v>
      </c>
      <c r="CB61" s="105">
        <v>2513</v>
      </c>
      <c r="CC61" s="2484">
        <f t="shared" si="8"/>
        <v>0.75358280254777066</v>
      </c>
      <c r="CE61" s="41"/>
      <c r="CF61" s="41"/>
      <c r="CG61" s="41" t="s">
        <v>50</v>
      </c>
      <c r="CH61" s="105">
        <v>88</v>
      </c>
      <c r="CI61" s="105">
        <v>94</v>
      </c>
      <c r="CJ61" s="105"/>
      <c r="CK61" s="105">
        <v>51</v>
      </c>
      <c r="CL61" s="105">
        <v>1320</v>
      </c>
      <c r="CM61" s="105">
        <v>337</v>
      </c>
      <c r="CN61" s="105">
        <v>108</v>
      </c>
      <c r="CO61" s="105"/>
      <c r="CP61" s="105"/>
      <c r="CQ61" s="105">
        <v>13</v>
      </c>
      <c r="CR61" s="105">
        <v>241</v>
      </c>
      <c r="CS61" s="105"/>
      <c r="CT61" s="105">
        <v>339</v>
      </c>
      <c r="CU61" s="105">
        <v>2</v>
      </c>
      <c r="CV61" s="105">
        <v>2593</v>
      </c>
      <c r="CW61" s="1644">
        <f t="shared" si="0"/>
        <v>0.73253570050173678</v>
      </c>
      <c r="CX61" s="1976"/>
      <c r="CY61" s="41"/>
      <c r="CZ61" s="41"/>
      <c r="DA61" s="41" t="s">
        <v>50</v>
      </c>
      <c r="DB61" s="105">
        <v>96</v>
      </c>
      <c r="DC61" s="105">
        <v>101</v>
      </c>
      <c r="DD61" s="105">
        <v>0</v>
      </c>
      <c r="DE61" s="105">
        <v>48</v>
      </c>
      <c r="DF61" s="105">
        <v>1350</v>
      </c>
      <c r="DG61" s="105">
        <v>287</v>
      </c>
      <c r="DH61" s="105">
        <v>85</v>
      </c>
      <c r="DI61" s="105"/>
      <c r="DJ61" s="105">
        <v>0</v>
      </c>
      <c r="DK61" s="105">
        <v>24</v>
      </c>
      <c r="DL61" s="105">
        <v>221</v>
      </c>
      <c r="DM61" s="105"/>
      <c r="DN61" s="105">
        <v>323</v>
      </c>
      <c r="DO61" s="105">
        <v>4</v>
      </c>
      <c r="DP61" s="105">
        <v>2539</v>
      </c>
      <c r="DQ61" s="1644">
        <f t="shared" si="9"/>
        <v>0.73293885601577913</v>
      </c>
      <c r="DS61" s="1311"/>
      <c r="DT61" s="1311"/>
      <c r="DU61" s="1319" t="s">
        <v>50</v>
      </c>
      <c r="DV61" s="1320">
        <v>117</v>
      </c>
      <c r="DW61" s="1320">
        <v>84</v>
      </c>
      <c r="DX61" s="1321"/>
      <c r="DY61" s="1320">
        <v>58</v>
      </c>
      <c r="DZ61" s="1320">
        <v>1481</v>
      </c>
      <c r="EA61" s="1320">
        <v>256</v>
      </c>
      <c r="EB61" s="1320">
        <v>100</v>
      </c>
      <c r="EC61" s="1321"/>
      <c r="ED61" s="1320">
        <v>0</v>
      </c>
      <c r="EE61" s="1320">
        <v>14</v>
      </c>
      <c r="EF61" s="1320">
        <v>193</v>
      </c>
      <c r="EG61" s="1321"/>
      <c r="EH61" s="1320">
        <v>334</v>
      </c>
      <c r="EI61" s="1320">
        <v>7</v>
      </c>
      <c r="EJ61" s="1320">
        <v>2644</v>
      </c>
      <c r="EK61" s="1322">
        <f t="shared" si="10"/>
        <v>0.73189230185817211</v>
      </c>
      <c r="EM61" s="1047"/>
      <c r="EN61" s="1047"/>
      <c r="EO61" s="1060" t="s">
        <v>50</v>
      </c>
      <c r="EP61" s="1061">
        <v>112</v>
      </c>
      <c r="EQ61" s="1061">
        <v>87</v>
      </c>
      <c r="ER61" s="1047"/>
      <c r="ES61" s="1061">
        <v>99</v>
      </c>
      <c r="ET61" s="1061">
        <v>1558</v>
      </c>
      <c r="EU61" s="1061">
        <v>284</v>
      </c>
      <c r="EV61" s="1061">
        <v>139</v>
      </c>
      <c r="EW61" s="1047"/>
      <c r="EX61" s="1061">
        <v>0</v>
      </c>
      <c r="EY61" s="1061">
        <v>18</v>
      </c>
      <c r="EZ61" s="1061">
        <v>182</v>
      </c>
      <c r="FA61" s="1061">
        <v>493</v>
      </c>
      <c r="FB61" s="1047"/>
      <c r="FC61" s="1061">
        <v>2972</v>
      </c>
      <c r="FD61" s="537">
        <f t="shared" si="11"/>
        <v>0.68102288021534318</v>
      </c>
      <c r="FF61" s="652"/>
      <c r="FG61" s="652"/>
      <c r="FH61" s="1062" t="s">
        <v>50</v>
      </c>
      <c r="FI61" s="1063">
        <v>101</v>
      </c>
      <c r="FJ61" s="1063">
        <v>103</v>
      </c>
      <c r="FK61" s="1063">
        <v>1</v>
      </c>
      <c r="FL61" s="1063">
        <v>105</v>
      </c>
      <c r="FM61" s="1063">
        <v>1559</v>
      </c>
      <c r="FN61" s="1063">
        <v>303</v>
      </c>
      <c r="FO61" s="1063">
        <v>134</v>
      </c>
      <c r="FP61" s="652"/>
      <c r="FQ61" s="1063">
        <v>0</v>
      </c>
      <c r="FR61" s="1063">
        <v>15</v>
      </c>
      <c r="FS61" s="1063">
        <v>161</v>
      </c>
      <c r="FT61" s="1063">
        <v>501</v>
      </c>
      <c r="FU61" s="652"/>
      <c r="FV61" s="1063">
        <v>2983</v>
      </c>
      <c r="FW61" s="537">
        <f t="shared" si="12"/>
        <v>0.67817633255112308</v>
      </c>
      <c r="FY61" s="817"/>
      <c r="FZ61" s="817"/>
      <c r="GA61" s="1064" t="s">
        <v>51</v>
      </c>
      <c r="GB61" s="1065">
        <v>38</v>
      </c>
      <c r="GC61" s="1065">
        <v>25</v>
      </c>
      <c r="GD61" s="1065">
        <v>0</v>
      </c>
      <c r="GE61" s="1065">
        <v>34</v>
      </c>
      <c r="GF61" s="1065">
        <v>195</v>
      </c>
      <c r="GG61" s="1065">
        <v>40</v>
      </c>
      <c r="GH61" s="1065">
        <v>41</v>
      </c>
      <c r="GI61" s="1065">
        <v>0</v>
      </c>
      <c r="GJ61" s="1065">
        <v>7</v>
      </c>
      <c r="GK61" s="1065">
        <v>30</v>
      </c>
      <c r="GL61" s="1065">
        <v>103</v>
      </c>
      <c r="GM61" s="1065">
        <v>132</v>
      </c>
      <c r="GN61" s="1065">
        <v>0</v>
      </c>
      <c r="GO61" s="1065">
        <v>1</v>
      </c>
      <c r="GP61" s="1065">
        <v>646</v>
      </c>
      <c r="GQ61" s="1066">
        <f t="shared" si="13"/>
        <v>0.48892988929889297</v>
      </c>
      <c r="GS61" s="107"/>
      <c r="GT61" s="107"/>
      <c r="GU61" s="47" t="s">
        <v>51</v>
      </c>
      <c r="GV61" s="47">
        <v>40</v>
      </c>
      <c r="GW61" s="47">
        <v>20</v>
      </c>
      <c r="GX61" s="47">
        <v>0</v>
      </c>
      <c r="GY61" s="47">
        <v>39</v>
      </c>
      <c r="GZ61" s="47">
        <v>182</v>
      </c>
      <c r="HA61" s="47">
        <v>42</v>
      </c>
      <c r="HB61" s="47">
        <v>41</v>
      </c>
      <c r="HC61" s="47"/>
      <c r="HD61" s="47">
        <v>6</v>
      </c>
      <c r="HE61" s="47">
        <v>25</v>
      </c>
      <c r="HF61" s="47">
        <v>93</v>
      </c>
      <c r="HG61" s="47">
        <v>140</v>
      </c>
      <c r="HH61" s="47"/>
      <c r="HI61" s="47">
        <v>1</v>
      </c>
      <c r="HJ61" s="47">
        <v>629</v>
      </c>
      <c r="HK61" s="1067">
        <f t="shared" si="1"/>
        <v>0.46542056074766353</v>
      </c>
      <c r="HL61" s="47"/>
      <c r="HM61" s="420"/>
      <c r="HN61" s="420"/>
      <c r="HO61" s="420" t="s">
        <v>51</v>
      </c>
      <c r="HP61" s="1068">
        <v>40</v>
      </c>
      <c r="HQ61" s="1068">
        <v>11</v>
      </c>
      <c r="HR61" s="1068" t="s">
        <v>327</v>
      </c>
      <c r="HS61" s="1068">
        <v>35</v>
      </c>
      <c r="HT61" s="1068">
        <v>157</v>
      </c>
      <c r="HU61" s="1068">
        <v>39</v>
      </c>
      <c r="HV61" s="1068">
        <v>38</v>
      </c>
      <c r="HW61" s="1068" t="s">
        <v>327</v>
      </c>
      <c r="HX61" s="1068">
        <v>6</v>
      </c>
      <c r="HY61" s="1068">
        <v>30</v>
      </c>
      <c r="HZ61" s="1068">
        <v>153</v>
      </c>
      <c r="IA61" s="1068" t="s">
        <v>327</v>
      </c>
      <c r="IB61" s="1068">
        <v>509</v>
      </c>
      <c r="IC61" s="1068">
        <f t="shared" si="2"/>
        <v>226</v>
      </c>
      <c r="ID61" s="1069">
        <f t="shared" si="3"/>
        <v>0.44400785854616898</v>
      </c>
      <c r="IE61" s="47"/>
      <c r="IF61" s="47"/>
    </row>
    <row r="62" spans="1:240">
      <c r="A62" s="41"/>
      <c r="B62" s="41"/>
      <c r="C62" s="41" t="s">
        <v>50</v>
      </c>
      <c r="D62" s="105">
        <v>97</v>
      </c>
      <c r="E62" s="105">
        <v>107</v>
      </c>
      <c r="F62" s="105"/>
      <c r="G62" s="105">
        <v>41</v>
      </c>
      <c r="H62" s="105">
        <v>1133</v>
      </c>
      <c r="I62" s="105">
        <v>276</v>
      </c>
      <c r="J62" s="105">
        <v>15</v>
      </c>
      <c r="K62" s="105">
        <v>11</v>
      </c>
      <c r="L62" s="105">
        <v>1</v>
      </c>
      <c r="M62" s="105">
        <v>16</v>
      </c>
      <c r="N62" s="105">
        <v>405</v>
      </c>
      <c r="O62" s="105"/>
      <c r="P62" s="105">
        <v>358</v>
      </c>
      <c r="Q62" s="105">
        <v>3</v>
      </c>
      <c r="R62" s="105">
        <v>2463</v>
      </c>
      <c r="S62" s="706">
        <f t="shared" si="4"/>
        <v>0.73739837398373986</v>
      </c>
      <c r="T62" s="5561">
        <f t="shared" si="5"/>
        <v>22</v>
      </c>
      <c r="U62" s="5562">
        <v>2441</v>
      </c>
      <c r="V62" s="706"/>
      <c r="Y62" s="41" t="s">
        <v>20</v>
      </c>
      <c r="Z62" s="41">
        <v>38</v>
      </c>
      <c r="AA62" s="41">
        <v>44</v>
      </c>
      <c r="AB62" s="41"/>
      <c r="AC62" s="41">
        <v>48</v>
      </c>
      <c r="AD62" s="41">
        <v>547</v>
      </c>
      <c r="AE62" s="41">
        <v>131</v>
      </c>
      <c r="AF62" s="41">
        <v>105</v>
      </c>
      <c r="AG62" s="41"/>
      <c r="AH62" s="41"/>
      <c r="AI62" s="41">
        <v>15</v>
      </c>
      <c r="AJ62" s="41">
        <v>81</v>
      </c>
      <c r="AK62" s="41"/>
      <c r="AL62" s="41">
        <v>209</v>
      </c>
      <c r="AM62" s="41">
        <v>2</v>
      </c>
      <c r="AN62" s="461">
        <v>1220</v>
      </c>
      <c r="AO62" s="4692">
        <f t="shared" si="6"/>
        <v>0.62315270935960587</v>
      </c>
      <c r="AQ62" s="1788"/>
      <c r="AR62" s="1788"/>
      <c r="AS62" s="37" t="s">
        <v>20</v>
      </c>
      <c r="AT62" s="1788">
        <v>71</v>
      </c>
      <c r="AU62" s="1788">
        <v>101</v>
      </c>
      <c r="AV62" s="1788">
        <v>0</v>
      </c>
      <c r="AW62" s="1788">
        <v>45</v>
      </c>
      <c r="AX62" s="1788">
        <v>398</v>
      </c>
      <c r="AY62" s="1788">
        <v>144</v>
      </c>
      <c r="AZ62" s="1788">
        <v>34</v>
      </c>
      <c r="BA62" s="1788"/>
      <c r="BB62" s="1788">
        <v>0</v>
      </c>
      <c r="BC62" s="1788">
        <v>9</v>
      </c>
      <c r="BD62" s="1788">
        <v>147</v>
      </c>
      <c r="BE62" s="1788"/>
      <c r="BF62" s="1788">
        <v>241</v>
      </c>
      <c r="BG62" s="1788">
        <v>1</v>
      </c>
      <c r="BH62" s="1788">
        <v>1191</v>
      </c>
      <c r="BI62" s="4701">
        <f t="shared" si="7"/>
        <v>0.57899159663865551</v>
      </c>
      <c r="BK62" s="41"/>
      <c r="BL62" s="41"/>
      <c r="BM62" s="41" t="s">
        <v>20</v>
      </c>
      <c r="BN62" s="105">
        <v>78</v>
      </c>
      <c r="BO62" s="105">
        <v>70</v>
      </c>
      <c r="BP62" s="105"/>
      <c r="BQ62" s="105">
        <v>0</v>
      </c>
      <c r="BR62" s="105">
        <v>467</v>
      </c>
      <c r="BS62" s="105">
        <v>145</v>
      </c>
      <c r="BT62" s="105">
        <v>69</v>
      </c>
      <c r="BU62" s="105"/>
      <c r="BV62" s="105"/>
      <c r="BW62" s="105">
        <v>15</v>
      </c>
      <c r="BX62" s="105">
        <v>105</v>
      </c>
      <c r="BY62" s="105"/>
      <c r="BZ62" s="105">
        <v>217</v>
      </c>
      <c r="CA62" s="105">
        <v>0</v>
      </c>
      <c r="CB62" s="105">
        <v>1166</v>
      </c>
      <c r="CC62" s="2484">
        <f t="shared" si="8"/>
        <v>0.61492281303602059</v>
      </c>
      <c r="CE62" s="41"/>
      <c r="CF62" s="41"/>
      <c r="CG62" s="41" t="s">
        <v>20</v>
      </c>
      <c r="CH62" s="105">
        <v>73</v>
      </c>
      <c r="CI62" s="105">
        <v>86</v>
      </c>
      <c r="CJ62" s="105"/>
      <c r="CK62" s="105">
        <v>52</v>
      </c>
      <c r="CL62" s="105">
        <v>478</v>
      </c>
      <c r="CM62" s="105">
        <v>148</v>
      </c>
      <c r="CN62" s="105">
        <v>70</v>
      </c>
      <c r="CO62" s="105"/>
      <c r="CP62" s="105"/>
      <c r="CQ62" s="105">
        <v>17</v>
      </c>
      <c r="CR62" s="105">
        <v>93</v>
      </c>
      <c r="CS62" s="105"/>
      <c r="CT62" s="105">
        <v>211</v>
      </c>
      <c r="CU62" s="105">
        <v>2</v>
      </c>
      <c r="CV62" s="105">
        <v>1230</v>
      </c>
      <c r="CW62" s="1644">
        <f t="shared" si="0"/>
        <v>0.58550488599348538</v>
      </c>
      <c r="CX62" s="1976"/>
      <c r="CY62" s="41"/>
      <c r="CZ62" s="41"/>
      <c r="DA62" s="41" t="s">
        <v>20</v>
      </c>
      <c r="DB62" s="105">
        <v>66</v>
      </c>
      <c r="DC62" s="105">
        <v>81</v>
      </c>
      <c r="DD62" s="105">
        <v>0</v>
      </c>
      <c r="DE62" s="105">
        <v>51</v>
      </c>
      <c r="DF62" s="105">
        <v>519</v>
      </c>
      <c r="DG62" s="105">
        <v>134</v>
      </c>
      <c r="DH62" s="105">
        <v>59</v>
      </c>
      <c r="DI62" s="105"/>
      <c r="DJ62" s="105">
        <v>0</v>
      </c>
      <c r="DK62" s="105">
        <v>22</v>
      </c>
      <c r="DL62" s="105">
        <v>107</v>
      </c>
      <c r="DM62" s="105"/>
      <c r="DN62" s="105">
        <v>205</v>
      </c>
      <c r="DO62" s="105">
        <v>6</v>
      </c>
      <c r="DP62" s="105">
        <v>1250</v>
      </c>
      <c r="DQ62" s="1644">
        <f t="shared" si="9"/>
        <v>0.61093247588424437</v>
      </c>
      <c r="DS62" s="1311"/>
      <c r="DT62" s="1311"/>
      <c r="DU62" s="1319" t="s">
        <v>20</v>
      </c>
      <c r="DV62" s="1320">
        <v>80</v>
      </c>
      <c r="DW62" s="1320">
        <v>77</v>
      </c>
      <c r="DX62" s="1321"/>
      <c r="DY62" s="1320">
        <v>51</v>
      </c>
      <c r="DZ62" s="1320">
        <v>536</v>
      </c>
      <c r="EA62" s="1320">
        <v>119</v>
      </c>
      <c r="EB62" s="1320">
        <v>70</v>
      </c>
      <c r="EC62" s="1321"/>
      <c r="ED62" s="1320">
        <v>0</v>
      </c>
      <c r="EE62" s="1320">
        <v>16</v>
      </c>
      <c r="EF62" s="1320">
        <v>108</v>
      </c>
      <c r="EG62" s="1321"/>
      <c r="EH62" s="1320">
        <v>206</v>
      </c>
      <c r="EI62" s="1320">
        <v>5</v>
      </c>
      <c r="EJ62" s="1320">
        <v>1268</v>
      </c>
      <c r="EK62" s="1322">
        <f t="shared" si="10"/>
        <v>0.60411718131433101</v>
      </c>
      <c r="EM62" s="1047"/>
      <c r="EN62" s="1047"/>
      <c r="EO62" s="1060" t="s">
        <v>20</v>
      </c>
      <c r="EP62" s="1061">
        <v>91</v>
      </c>
      <c r="EQ62" s="1061">
        <v>64</v>
      </c>
      <c r="ER62" s="1047"/>
      <c r="ES62" s="1061">
        <v>80</v>
      </c>
      <c r="ET62" s="1061">
        <v>549</v>
      </c>
      <c r="EU62" s="1061">
        <v>130</v>
      </c>
      <c r="EV62" s="1061">
        <v>98</v>
      </c>
      <c r="EW62" s="1047"/>
      <c r="EX62" s="1061">
        <v>0</v>
      </c>
      <c r="EY62" s="1061">
        <v>21</v>
      </c>
      <c r="EZ62" s="1061">
        <v>90</v>
      </c>
      <c r="FA62" s="1061">
        <v>282</v>
      </c>
      <c r="FB62" s="1047"/>
      <c r="FC62" s="1061">
        <v>1405</v>
      </c>
      <c r="FD62" s="537">
        <f t="shared" si="11"/>
        <v>0.5473309608540925</v>
      </c>
      <c r="FF62" s="652"/>
      <c r="FG62" s="652"/>
      <c r="FH62" s="1062" t="s">
        <v>20</v>
      </c>
      <c r="FI62" s="1063">
        <v>69</v>
      </c>
      <c r="FJ62" s="1063">
        <v>86</v>
      </c>
      <c r="FK62" s="1063">
        <v>0</v>
      </c>
      <c r="FL62" s="1063">
        <v>93</v>
      </c>
      <c r="FM62" s="1063">
        <v>536</v>
      </c>
      <c r="FN62" s="1063">
        <v>156</v>
      </c>
      <c r="FO62" s="1063">
        <v>87</v>
      </c>
      <c r="FP62" s="652"/>
      <c r="FQ62" s="1063">
        <v>0</v>
      </c>
      <c r="FR62" s="1063">
        <v>10</v>
      </c>
      <c r="FS62" s="1063">
        <v>80</v>
      </c>
      <c r="FT62" s="1063">
        <v>312</v>
      </c>
      <c r="FU62" s="652"/>
      <c r="FV62" s="1063">
        <v>1429</v>
      </c>
      <c r="FW62" s="537">
        <f t="shared" si="12"/>
        <v>0.54023792862141362</v>
      </c>
      <c r="FY62" s="817"/>
      <c r="FZ62" s="817"/>
      <c r="GA62" s="1053" t="s">
        <v>545</v>
      </c>
      <c r="GB62" s="1075">
        <v>563</v>
      </c>
      <c r="GC62" s="1075">
        <v>321</v>
      </c>
      <c r="GD62" s="1075">
        <v>0</v>
      </c>
      <c r="GE62" s="1075">
        <v>480</v>
      </c>
      <c r="GF62" s="1075">
        <v>3895</v>
      </c>
      <c r="GG62" s="1075">
        <v>888</v>
      </c>
      <c r="GH62" s="1075">
        <v>640</v>
      </c>
      <c r="GI62" s="1075">
        <v>0</v>
      </c>
      <c r="GJ62" s="1075">
        <v>107</v>
      </c>
      <c r="GK62" s="1075">
        <v>605</v>
      </c>
      <c r="GL62" s="1075">
        <v>1565</v>
      </c>
      <c r="GM62" s="1075">
        <v>2081</v>
      </c>
      <c r="GN62" s="1075">
        <v>0</v>
      </c>
      <c r="GO62" s="1075">
        <v>57</v>
      </c>
      <c r="GP62" s="1075">
        <v>11202</v>
      </c>
      <c r="GQ62" s="1076">
        <f t="shared" si="13"/>
        <v>0.56242171189979118</v>
      </c>
      <c r="GS62" s="107"/>
      <c r="GT62" s="107"/>
      <c r="GU62" s="47" t="s">
        <v>15</v>
      </c>
      <c r="GV62" s="47">
        <v>549</v>
      </c>
      <c r="GW62" s="47">
        <v>316</v>
      </c>
      <c r="GX62" s="47">
        <v>1</v>
      </c>
      <c r="GY62" s="47">
        <v>495</v>
      </c>
      <c r="GZ62" s="47">
        <v>3878</v>
      </c>
      <c r="HA62" s="47">
        <v>807</v>
      </c>
      <c r="HB62" s="47">
        <v>623</v>
      </c>
      <c r="HC62" s="47"/>
      <c r="HD62" s="47">
        <v>70</v>
      </c>
      <c r="HE62" s="47">
        <v>657</v>
      </c>
      <c r="HF62" s="47">
        <v>1462</v>
      </c>
      <c r="HG62" s="47">
        <v>2203</v>
      </c>
      <c r="HH62" s="47"/>
      <c r="HI62" s="47">
        <v>53</v>
      </c>
      <c r="HJ62" s="47">
        <v>11114</v>
      </c>
      <c r="HK62" s="1067">
        <f t="shared" si="1"/>
        <v>0.55651630378164396</v>
      </c>
      <c r="HL62" s="47"/>
      <c r="HM62" s="420"/>
      <c r="HN62" s="420"/>
      <c r="HO62" s="1077" t="s">
        <v>15</v>
      </c>
      <c r="HP62" s="1078">
        <v>532</v>
      </c>
      <c r="HQ62" s="1078">
        <v>318</v>
      </c>
      <c r="HR62" s="1078">
        <v>1</v>
      </c>
      <c r="HS62" s="1078">
        <v>474</v>
      </c>
      <c r="HT62" s="1078">
        <v>3658</v>
      </c>
      <c r="HU62" s="1078">
        <v>834</v>
      </c>
      <c r="HV62" s="1078">
        <v>641</v>
      </c>
      <c r="HW62" s="1078" t="s">
        <v>327</v>
      </c>
      <c r="HX62" s="1078">
        <v>87</v>
      </c>
      <c r="HY62" s="1078">
        <v>762</v>
      </c>
      <c r="HZ62" s="1078">
        <v>2254</v>
      </c>
      <c r="IA62" s="1078" t="s">
        <v>327</v>
      </c>
      <c r="IB62" s="1078">
        <v>9561</v>
      </c>
      <c r="IC62" s="1078">
        <f t="shared" si="2"/>
        <v>5254</v>
      </c>
      <c r="ID62" s="1079">
        <f t="shared" si="3"/>
        <v>0.54952410835686649</v>
      </c>
      <c r="IE62" s="47"/>
      <c r="IF62" s="47"/>
    </row>
    <row r="63" spans="1:240">
      <c r="A63" s="41"/>
      <c r="B63" s="41"/>
      <c r="C63" s="41" t="s">
        <v>20</v>
      </c>
      <c r="D63" s="105">
        <v>62</v>
      </c>
      <c r="E63" s="105">
        <v>93</v>
      </c>
      <c r="F63" s="105"/>
      <c r="G63" s="105">
        <v>46</v>
      </c>
      <c r="H63" s="105">
        <v>375</v>
      </c>
      <c r="I63" s="105">
        <v>138</v>
      </c>
      <c r="J63" s="105">
        <v>17</v>
      </c>
      <c r="K63" s="105">
        <v>14</v>
      </c>
      <c r="L63" s="105">
        <v>2</v>
      </c>
      <c r="M63" s="105">
        <v>19</v>
      </c>
      <c r="N63" s="105">
        <v>169</v>
      </c>
      <c r="O63" s="105"/>
      <c r="P63" s="105">
        <v>266</v>
      </c>
      <c r="Q63" s="105">
        <v>3</v>
      </c>
      <c r="R63" s="105">
        <v>1204</v>
      </c>
      <c r="S63" s="706">
        <f t="shared" si="4"/>
        <v>0.5678601165695254</v>
      </c>
      <c r="T63" s="5561">
        <f t="shared" si="5"/>
        <v>5</v>
      </c>
      <c r="U63" s="5562">
        <v>1199</v>
      </c>
      <c r="V63" s="706"/>
      <c r="Y63" s="41" t="s">
        <v>51</v>
      </c>
      <c r="Z63" s="41">
        <v>33</v>
      </c>
      <c r="AA63" s="41">
        <v>30</v>
      </c>
      <c r="AB63" s="41"/>
      <c r="AC63" s="41">
        <v>18</v>
      </c>
      <c r="AD63" s="41">
        <v>226</v>
      </c>
      <c r="AE63" s="41">
        <v>42</v>
      </c>
      <c r="AF63" s="41">
        <v>45</v>
      </c>
      <c r="AG63" s="41"/>
      <c r="AH63" s="41"/>
      <c r="AI63" s="41">
        <v>6</v>
      </c>
      <c r="AJ63" s="41">
        <v>30</v>
      </c>
      <c r="AK63" s="41"/>
      <c r="AL63" s="41">
        <v>75</v>
      </c>
      <c r="AM63" s="41">
        <v>0</v>
      </c>
      <c r="AN63" s="461">
        <v>505</v>
      </c>
      <c r="AO63" s="4692">
        <f t="shared" si="6"/>
        <v>0.59009900990099007</v>
      </c>
      <c r="AQ63" s="1788"/>
      <c r="AR63" s="1788"/>
      <c r="AS63" s="37" t="s">
        <v>51</v>
      </c>
      <c r="AT63" s="1788">
        <v>55</v>
      </c>
      <c r="AU63" s="1788">
        <v>56</v>
      </c>
      <c r="AV63" s="1788">
        <v>0</v>
      </c>
      <c r="AW63" s="1788">
        <v>18</v>
      </c>
      <c r="AX63" s="1788">
        <v>169</v>
      </c>
      <c r="AY63" s="1788">
        <v>60</v>
      </c>
      <c r="AZ63" s="1788">
        <v>26</v>
      </c>
      <c r="BA63" s="1788"/>
      <c r="BB63" s="1788">
        <v>0</v>
      </c>
      <c r="BC63" s="1788">
        <v>15</v>
      </c>
      <c r="BD63" s="1788">
        <v>58</v>
      </c>
      <c r="BE63" s="1788"/>
      <c r="BF63" s="1788">
        <v>100</v>
      </c>
      <c r="BG63" s="1788">
        <v>0</v>
      </c>
      <c r="BH63" s="1788">
        <v>557</v>
      </c>
      <c r="BI63" s="4701">
        <f t="shared" si="7"/>
        <v>0.51526032315978454</v>
      </c>
      <c r="BK63" s="41"/>
      <c r="BL63" s="41"/>
      <c r="BM63" s="41" t="s">
        <v>51</v>
      </c>
      <c r="BN63" s="105">
        <v>51</v>
      </c>
      <c r="BO63" s="105">
        <v>34</v>
      </c>
      <c r="BP63" s="105"/>
      <c r="BQ63" s="105">
        <v>0</v>
      </c>
      <c r="BR63" s="105">
        <v>186</v>
      </c>
      <c r="BS63" s="105">
        <v>49</v>
      </c>
      <c r="BT63" s="105">
        <v>30</v>
      </c>
      <c r="BU63" s="105"/>
      <c r="BV63" s="105"/>
      <c r="BW63" s="105">
        <v>19</v>
      </c>
      <c r="BX63" s="105">
        <v>37</v>
      </c>
      <c r="BY63" s="105"/>
      <c r="BZ63" s="105">
        <v>83</v>
      </c>
      <c r="CA63" s="105">
        <v>0</v>
      </c>
      <c r="CB63" s="105">
        <v>489</v>
      </c>
      <c r="CC63" s="2484">
        <f t="shared" si="8"/>
        <v>0.55623721881390598</v>
      </c>
      <c r="CE63" s="41"/>
      <c r="CF63" s="41"/>
      <c r="CG63" s="41" t="s">
        <v>51</v>
      </c>
      <c r="CH63" s="105">
        <v>36</v>
      </c>
      <c r="CI63" s="105">
        <v>24</v>
      </c>
      <c r="CJ63" s="105"/>
      <c r="CK63" s="105">
        <v>21</v>
      </c>
      <c r="CL63" s="105">
        <v>188</v>
      </c>
      <c r="CM63" s="105">
        <v>54</v>
      </c>
      <c r="CN63" s="105">
        <v>30</v>
      </c>
      <c r="CO63" s="105"/>
      <c r="CP63" s="105"/>
      <c r="CQ63" s="105">
        <v>7</v>
      </c>
      <c r="CR63" s="105">
        <v>37</v>
      </c>
      <c r="CS63" s="105"/>
      <c r="CT63" s="105">
        <v>82</v>
      </c>
      <c r="CU63" s="105">
        <v>0</v>
      </c>
      <c r="CV63" s="105">
        <v>479</v>
      </c>
      <c r="CW63" s="1644">
        <f t="shared" si="0"/>
        <v>0.58246346555323592</v>
      </c>
      <c r="CX63" s="1976"/>
      <c r="CY63" s="41"/>
      <c r="CZ63" s="41"/>
      <c r="DA63" s="41" t="s">
        <v>51</v>
      </c>
      <c r="DB63" s="105">
        <v>34</v>
      </c>
      <c r="DC63" s="105">
        <v>31</v>
      </c>
      <c r="DD63" s="105">
        <v>0</v>
      </c>
      <c r="DE63" s="105">
        <v>22</v>
      </c>
      <c r="DF63" s="105">
        <v>207</v>
      </c>
      <c r="DG63" s="105">
        <v>43</v>
      </c>
      <c r="DH63" s="105">
        <v>32</v>
      </c>
      <c r="DI63" s="105"/>
      <c r="DJ63" s="105">
        <v>0</v>
      </c>
      <c r="DK63" s="105">
        <v>2</v>
      </c>
      <c r="DL63" s="105">
        <v>33</v>
      </c>
      <c r="DM63" s="105"/>
      <c r="DN63" s="105">
        <v>84</v>
      </c>
      <c r="DO63" s="105">
        <v>0</v>
      </c>
      <c r="DP63" s="105">
        <v>488</v>
      </c>
      <c r="DQ63" s="1644">
        <f t="shared" si="9"/>
        <v>0.57991803278688525</v>
      </c>
      <c r="DS63" s="1311"/>
      <c r="DT63" s="1311"/>
      <c r="DU63" s="1319" t="s">
        <v>51</v>
      </c>
      <c r="DV63" s="1320">
        <v>41</v>
      </c>
      <c r="DW63" s="1320">
        <v>23</v>
      </c>
      <c r="DX63" s="1321"/>
      <c r="DY63" s="1320">
        <v>24</v>
      </c>
      <c r="DZ63" s="1320">
        <v>212</v>
      </c>
      <c r="EA63" s="1320">
        <v>43</v>
      </c>
      <c r="EB63" s="1320">
        <v>23</v>
      </c>
      <c r="EC63" s="1321"/>
      <c r="ED63" s="1320">
        <v>0</v>
      </c>
      <c r="EE63" s="1320">
        <v>5</v>
      </c>
      <c r="EF63" s="1320">
        <v>30</v>
      </c>
      <c r="EG63" s="1321"/>
      <c r="EH63" s="1320">
        <v>92</v>
      </c>
      <c r="EI63" s="1320">
        <v>0</v>
      </c>
      <c r="EJ63" s="1320">
        <v>493</v>
      </c>
      <c r="EK63" s="1322">
        <f t="shared" si="10"/>
        <v>0.57809330628803246</v>
      </c>
      <c r="EM63" s="1047"/>
      <c r="EN63" s="1047"/>
      <c r="EO63" s="1060" t="s">
        <v>51</v>
      </c>
      <c r="EP63" s="1061">
        <v>33</v>
      </c>
      <c r="EQ63" s="1061">
        <v>20</v>
      </c>
      <c r="ER63" s="1047"/>
      <c r="ES63" s="1061">
        <v>39</v>
      </c>
      <c r="ET63" s="1061">
        <v>211</v>
      </c>
      <c r="EU63" s="1061">
        <v>46</v>
      </c>
      <c r="EV63" s="1061">
        <v>37</v>
      </c>
      <c r="EW63" s="1047"/>
      <c r="EX63" s="1061">
        <v>0</v>
      </c>
      <c r="EY63" s="1061">
        <v>7</v>
      </c>
      <c r="EZ63" s="1061">
        <v>37</v>
      </c>
      <c r="FA63" s="1061">
        <v>118</v>
      </c>
      <c r="FB63" s="1047"/>
      <c r="FC63" s="1061">
        <v>548</v>
      </c>
      <c r="FD63" s="537">
        <f t="shared" si="11"/>
        <v>0.53649635036496346</v>
      </c>
      <c r="FF63" s="652"/>
      <c r="FG63" s="652"/>
      <c r="FH63" s="1062" t="s">
        <v>51</v>
      </c>
      <c r="FI63" s="1063">
        <v>28</v>
      </c>
      <c r="FJ63" s="1063">
        <v>36</v>
      </c>
      <c r="FK63" s="1063">
        <v>0</v>
      </c>
      <c r="FL63" s="1063">
        <v>35</v>
      </c>
      <c r="FM63" s="1063">
        <v>202</v>
      </c>
      <c r="FN63" s="1063">
        <v>52</v>
      </c>
      <c r="FO63" s="1063">
        <v>32</v>
      </c>
      <c r="FP63" s="652"/>
      <c r="FQ63" s="1063">
        <v>0</v>
      </c>
      <c r="FR63" s="1063">
        <v>4</v>
      </c>
      <c r="FS63" s="1063">
        <v>38</v>
      </c>
      <c r="FT63" s="1063">
        <v>123</v>
      </c>
      <c r="FU63" s="652"/>
      <c r="FV63" s="1063">
        <v>550</v>
      </c>
      <c r="FW63" s="537">
        <f t="shared" si="12"/>
        <v>0.53090909090909089</v>
      </c>
      <c r="FY63" s="817"/>
      <c r="FZ63" s="817" t="s">
        <v>41</v>
      </c>
      <c r="GA63" s="1064" t="s">
        <v>42</v>
      </c>
      <c r="GB63" s="1065">
        <v>70</v>
      </c>
      <c r="GC63" s="1065">
        <v>27</v>
      </c>
      <c r="GD63" s="1065">
        <v>0</v>
      </c>
      <c r="GE63" s="1065">
        <v>111</v>
      </c>
      <c r="GF63" s="1065">
        <v>442</v>
      </c>
      <c r="GG63" s="1065">
        <v>226</v>
      </c>
      <c r="GH63" s="1065">
        <v>68</v>
      </c>
      <c r="GI63" s="1065">
        <v>0</v>
      </c>
      <c r="GJ63" s="1065">
        <v>4</v>
      </c>
      <c r="GK63" s="1065">
        <v>213</v>
      </c>
      <c r="GL63" s="1065">
        <v>303</v>
      </c>
      <c r="GM63" s="1065">
        <v>269</v>
      </c>
      <c r="GN63" s="1065">
        <v>2</v>
      </c>
      <c r="GO63" s="1065">
        <v>8</v>
      </c>
      <c r="GP63" s="1065">
        <v>1743</v>
      </c>
      <c r="GQ63" s="1066">
        <f t="shared" si="13"/>
        <v>0.61522346368715086</v>
      </c>
      <c r="GS63" s="107"/>
      <c r="GT63" s="107" t="s">
        <v>41</v>
      </c>
      <c r="GU63" s="47" t="s">
        <v>42</v>
      </c>
      <c r="GV63" s="47">
        <v>70</v>
      </c>
      <c r="GW63" s="47">
        <v>41</v>
      </c>
      <c r="GX63" s="47"/>
      <c r="GY63" s="47">
        <v>106</v>
      </c>
      <c r="GZ63" s="47">
        <v>414</v>
      </c>
      <c r="HA63" s="47">
        <v>198</v>
      </c>
      <c r="HB63" s="47">
        <v>70</v>
      </c>
      <c r="HC63" s="47"/>
      <c r="HD63" s="47">
        <v>3</v>
      </c>
      <c r="HE63" s="47">
        <v>223</v>
      </c>
      <c r="HF63" s="47">
        <v>287</v>
      </c>
      <c r="HG63" s="47">
        <v>280</v>
      </c>
      <c r="HH63" s="47">
        <v>2</v>
      </c>
      <c r="HI63" s="47">
        <v>8</v>
      </c>
      <c r="HJ63" s="47">
        <v>1702</v>
      </c>
      <c r="HK63" s="1067">
        <f t="shared" si="1"/>
        <v>0.59346126510305619</v>
      </c>
      <c r="HL63" s="47"/>
      <c r="HM63" s="420"/>
      <c r="HN63" s="420" t="s">
        <v>41</v>
      </c>
      <c r="HO63" s="420" t="s">
        <v>42</v>
      </c>
      <c r="HP63" s="1068">
        <v>85</v>
      </c>
      <c r="HQ63" s="1068">
        <v>30</v>
      </c>
      <c r="HR63" s="1068" t="s">
        <v>327</v>
      </c>
      <c r="HS63" s="1068">
        <v>89</v>
      </c>
      <c r="HT63" s="1068">
        <v>365</v>
      </c>
      <c r="HU63" s="1068">
        <v>194</v>
      </c>
      <c r="HV63" s="1068">
        <v>64</v>
      </c>
      <c r="HW63" s="1068" t="s">
        <v>327</v>
      </c>
      <c r="HX63" s="1068">
        <v>4</v>
      </c>
      <c r="HY63" s="1068">
        <v>228</v>
      </c>
      <c r="HZ63" s="1068">
        <v>298</v>
      </c>
      <c r="IA63" s="1068">
        <v>2</v>
      </c>
      <c r="IB63" s="1068">
        <v>1359</v>
      </c>
      <c r="IC63" s="1068">
        <f t="shared" si="2"/>
        <v>787</v>
      </c>
      <c r="ID63" s="1069">
        <f t="shared" si="3"/>
        <v>0.57910228108903605</v>
      </c>
      <c r="IE63" s="47"/>
      <c r="IF63" s="47"/>
    </row>
    <row r="64" spans="1:240">
      <c r="A64" s="41"/>
      <c r="B64" s="41"/>
      <c r="C64" s="41" t="s">
        <v>51</v>
      </c>
      <c r="D64" s="105">
        <v>79</v>
      </c>
      <c r="E64" s="105">
        <v>76</v>
      </c>
      <c r="F64" s="105"/>
      <c r="G64" s="105">
        <v>21</v>
      </c>
      <c r="H64" s="105">
        <v>164</v>
      </c>
      <c r="I64" s="105">
        <v>59</v>
      </c>
      <c r="J64" s="105">
        <v>24</v>
      </c>
      <c r="K64" s="105">
        <v>13</v>
      </c>
      <c r="L64" s="105">
        <v>0</v>
      </c>
      <c r="M64" s="105">
        <v>13</v>
      </c>
      <c r="N64" s="105">
        <v>65</v>
      </c>
      <c r="O64" s="105"/>
      <c r="P64" s="105">
        <v>110</v>
      </c>
      <c r="Q64" s="105">
        <v>0</v>
      </c>
      <c r="R64" s="105">
        <v>624</v>
      </c>
      <c r="S64" s="706">
        <f t="shared" si="4"/>
        <v>0.46153846153846156</v>
      </c>
      <c r="T64" s="5561">
        <f t="shared" si="5"/>
        <v>4</v>
      </c>
      <c r="U64" s="5562">
        <v>620</v>
      </c>
      <c r="V64" s="706"/>
      <c r="Y64" s="41" t="s">
        <v>15</v>
      </c>
      <c r="Z64" s="41">
        <v>283</v>
      </c>
      <c r="AA64" s="41">
        <v>284</v>
      </c>
      <c r="AB64" s="41"/>
      <c r="AC64" s="41">
        <v>255</v>
      </c>
      <c r="AD64" s="41">
        <v>4050</v>
      </c>
      <c r="AE64" s="41">
        <v>843</v>
      </c>
      <c r="AF64" s="41">
        <v>710</v>
      </c>
      <c r="AG64" s="41"/>
      <c r="AH64" s="41"/>
      <c r="AI64" s="41">
        <v>63</v>
      </c>
      <c r="AJ64" s="41">
        <v>629</v>
      </c>
      <c r="AK64" s="41"/>
      <c r="AL64" s="41">
        <v>1257</v>
      </c>
      <c r="AM64" s="41">
        <v>9</v>
      </c>
      <c r="AN64" s="461">
        <v>8383</v>
      </c>
      <c r="AO64" s="4692">
        <f t="shared" si="6"/>
        <v>0.65942202053976595</v>
      </c>
      <c r="AQ64" s="1788"/>
      <c r="AR64" s="1788"/>
      <c r="AS64" s="1793" t="s">
        <v>545</v>
      </c>
      <c r="AT64" s="4702">
        <v>567</v>
      </c>
      <c r="AU64" s="4702">
        <v>559</v>
      </c>
      <c r="AV64" s="4702">
        <v>1</v>
      </c>
      <c r="AW64" s="4702">
        <v>231</v>
      </c>
      <c r="AX64" s="4702">
        <v>3017</v>
      </c>
      <c r="AY64" s="4702">
        <v>1100</v>
      </c>
      <c r="AZ64" s="4702">
        <v>290</v>
      </c>
      <c r="BA64" s="4702"/>
      <c r="BB64" s="4702">
        <v>2</v>
      </c>
      <c r="BC64" s="4702">
        <v>91</v>
      </c>
      <c r="BD64" s="4702">
        <v>1029</v>
      </c>
      <c r="BE64" s="4702"/>
      <c r="BF64" s="4702">
        <v>1474</v>
      </c>
      <c r="BG64" s="4702">
        <v>7</v>
      </c>
      <c r="BH64" s="4702">
        <v>8368</v>
      </c>
      <c r="BI64" s="4703">
        <f t="shared" si="7"/>
        <v>0.61547661762947015</v>
      </c>
      <c r="BK64" s="41"/>
      <c r="BL64" s="41"/>
      <c r="BM64" s="461" t="s">
        <v>545</v>
      </c>
      <c r="BN64" s="2473">
        <v>553</v>
      </c>
      <c r="BO64" s="2473">
        <v>418</v>
      </c>
      <c r="BP64" s="2473"/>
      <c r="BQ64" s="2473">
        <v>3</v>
      </c>
      <c r="BR64" s="2473">
        <v>3468</v>
      </c>
      <c r="BS64" s="2473">
        <v>934</v>
      </c>
      <c r="BT64" s="2473">
        <v>417</v>
      </c>
      <c r="BU64" s="2473"/>
      <c r="BV64" s="2473"/>
      <c r="BW64" s="2473">
        <v>113</v>
      </c>
      <c r="BX64" s="2473">
        <v>821</v>
      </c>
      <c r="BY64" s="2473"/>
      <c r="BZ64" s="2473">
        <v>1391</v>
      </c>
      <c r="CA64" s="2473">
        <v>1</v>
      </c>
      <c r="CB64" s="2473">
        <v>8119</v>
      </c>
      <c r="CC64" s="2484">
        <f t="shared" si="8"/>
        <v>0.64338507021433855</v>
      </c>
      <c r="CE64" s="41"/>
      <c r="CF64" s="41"/>
      <c r="CG64" s="461" t="s">
        <v>545</v>
      </c>
      <c r="CH64" s="96">
        <v>590</v>
      </c>
      <c r="CI64" s="96">
        <v>477</v>
      </c>
      <c r="CJ64" s="96"/>
      <c r="CK64" s="96">
        <v>266</v>
      </c>
      <c r="CL64" s="96">
        <v>3395</v>
      </c>
      <c r="CM64" s="96">
        <v>1038</v>
      </c>
      <c r="CN64" s="96">
        <v>473</v>
      </c>
      <c r="CO64" s="96"/>
      <c r="CP64" s="96"/>
      <c r="CQ64" s="96">
        <v>83</v>
      </c>
      <c r="CR64" s="96">
        <v>755</v>
      </c>
      <c r="CS64" s="96"/>
      <c r="CT64" s="96">
        <v>1316</v>
      </c>
      <c r="CU64" s="96">
        <v>10</v>
      </c>
      <c r="CV64" s="96">
        <v>8403</v>
      </c>
      <c r="CW64" s="635">
        <f t="shared" si="0"/>
        <v>0.61813415941856309</v>
      </c>
      <c r="CX64" s="1977"/>
      <c r="CY64" s="41"/>
      <c r="CZ64" s="41"/>
      <c r="DA64" s="461" t="s">
        <v>545</v>
      </c>
      <c r="DB64" s="96">
        <v>504</v>
      </c>
      <c r="DC64" s="96">
        <v>492</v>
      </c>
      <c r="DD64" s="96">
        <v>1</v>
      </c>
      <c r="DE64" s="96">
        <v>259</v>
      </c>
      <c r="DF64" s="96">
        <v>3560</v>
      </c>
      <c r="DG64" s="96">
        <v>902</v>
      </c>
      <c r="DH64" s="96">
        <v>435</v>
      </c>
      <c r="DI64" s="96"/>
      <c r="DJ64" s="96">
        <v>1</v>
      </c>
      <c r="DK64" s="96">
        <v>136</v>
      </c>
      <c r="DL64" s="96">
        <v>754</v>
      </c>
      <c r="DM64" s="96"/>
      <c r="DN64" s="96">
        <v>1282</v>
      </c>
      <c r="DO64" s="96">
        <v>17</v>
      </c>
      <c r="DP64" s="96">
        <v>8343</v>
      </c>
      <c r="DQ64" s="635">
        <f t="shared" si="9"/>
        <v>0.62647129473937069</v>
      </c>
      <c r="DS64" s="1311"/>
      <c r="DT64" s="1311"/>
      <c r="DU64" s="1313" t="s">
        <v>545</v>
      </c>
      <c r="DV64" s="1323">
        <v>539</v>
      </c>
      <c r="DW64" s="1323">
        <v>421</v>
      </c>
      <c r="DX64" s="1324"/>
      <c r="DY64" s="1323">
        <v>282</v>
      </c>
      <c r="DZ64" s="1323">
        <v>3782</v>
      </c>
      <c r="EA64" s="1323">
        <v>821</v>
      </c>
      <c r="EB64" s="1323">
        <v>478</v>
      </c>
      <c r="EC64" s="1324"/>
      <c r="ED64" s="1323">
        <v>1</v>
      </c>
      <c r="EE64" s="1323">
        <v>109</v>
      </c>
      <c r="EF64" s="1323">
        <v>702</v>
      </c>
      <c r="EG64" s="1324"/>
      <c r="EH64" s="1323">
        <v>1345</v>
      </c>
      <c r="EI64" s="1323">
        <v>19</v>
      </c>
      <c r="EJ64" s="1323">
        <v>8499</v>
      </c>
      <c r="EK64" s="1325">
        <f t="shared" si="10"/>
        <v>0.62558962264150941</v>
      </c>
      <c r="EM64" s="1047"/>
      <c r="EN64" s="1047"/>
      <c r="EO64" s="1070" t="s">
        <v>545</v>
      </c>
      <c r="EP64" s="1071">
        <v>527</v>
      </c>
      <c r="EQ64" s="1071">
        <v>431</v>
      </c>
      <c r="ER64" s="1072"/>
      <c r="ES64" s="1071">
        <v>423</v>
      </c>
      <c r="ET64" s="1071">
        <v>3908</v>
      </c>
      <c r="EU64" s="1071">
        <v>933</v>
      </c>
      <c r="EV64" s="1071">
        <v>596</v>
      </c>
      <c r="EW64" s="1072"/>
      <c r="EX64" s="1071">
        <v>1</v>
      </c>
      <c r="EY64" s="1071">
        <v>109</v>
      </c>
      <c r="EZ64" s="1071">
        <v>674</v>
      </c>
      <c r="FA64" s="1071">
        <v>1851</v>
      </c>
      <c r="FB64" s="1071"/>
      <c r="FC64" s="1071">
        <v>9453</v>
      </c>
      <c r="FD64" s="1073">
        <f t="shared" si="11"/>
        <v>0.58341267322543111</v>
      </c>
      <c r="FF64" s="652"/>
      <c r="FG64" s="652"/>
      <c r="FH64" s="813" t="s">
        <v>545</v>
      </c>
      <c r="FI64" s="1074">
        <v>458</v>
      </c>
      <c r="FJ64" s="1074">
        <v>489</v>
      </c>
      <c r="FK64" s="1074">
        <v>1</v>
      </c>
      <c r="FL64" s="1074">
        <v>447</v>
      </c>
      <c r="FM64" s="1074">
        <v>3875</v>
      </c>
      <c r="FN64" s="1074">
        <v>1007</v>
      </c>
      <c r="FO64" s="1074">
        <v>538</v>
      </c>
      <c r="FP64" s="816"/>
      <c r="FQ64" s="1074">
        <v>1</v>
      </c>
      <c r="FR64" s="1074">
        <v>70</v>
      </c>
      <c r="FS64" s="1074">
        <v>645</v>
      </c>
      <c r="FT64" s="1074">
        <v>1932</v>
      </c>
      <c r="FU64" s="816"/>
      <c r="FV64" s="1074">
        <v>9463</v>
      </c>
      <c r="FW64" s="526">
        <f t="shared" si="12"/>
        <v>0.5840642502377682</v>
      </c>
      <c r="FY64" s="817"/>
      <c r="FZ64" s="817"/>
      <c r="GA64" s="1064" t="s">
        <v>52</v>
      </c>
      <c r="GB64" s="1065">
        <v>29</v>
      </c>
      <c r="GC64" s="1065">
        <v>13</v>
      </c>
      <c r="GD64" s="1065">
        <v>0</v>
      </c>
      <c r="GE64" s="1065">
        <v>54</v>
      </c>
      <c r="GF64" s="1065">
        <v>420</v>
      </c>
      <c r="GG64" s="1065">
        <v>141</v>
      </c>
      <c r="GH64" s="1065">
        <v>33</v>
      </c>
      <c r="GI64" s="1065">
        <v>0</v>
      </c>
      <c r="GJ64" s="1065">
        <v>0</v>
      </c>
      <c r="GK64" s="1065">
        <v>143</v>
      </c>
      <c r="GL64" s="1065">
        <v>271</v>
      </c>
      <c r="GM64" s="1065">
        <v>206</v>
      </c>
      <c r="GN64" s="1065">
        <v>0</v>
      </c>
      <c r="GO64" s="1065">
        <v>3</v>
      </c>
      <c r="GP64" s="1065">
        <v>1313</v>
      </c>
      <c r="GQ64" s="1066">
        <f t="shared" si="13"/>
        <v>0.67757459095283923</v>
      </c>
      <c r="GS64" s="107"/>
      <c r="GT64" s="107"/>
      <c r="GU64" s="47" t="s">
        <v>52</v>
      </c>
      <c r="GV64" s="47">
        <v>50</v>
      </c>
      <c r="GW64" s="47">
        <v>17</v>
      </c>
      <c r="GX64" s="47"/>
      <c r="GY64" s="47">
        <v>49</v>
      </c>
      <c r="GZ64" s="47">
        <v>380</v>
      </c>
      <c r="HA64" s="47">
        <v>130</v>
      </c>
      <c r="HB64" s="47">
        <v>43</v>
      </c>
      <c r="HC64" s="47"/>
      <c r="HD64" s="47">
        <v>0</v>
      </c>
      <c r="HE64" s="47">
        <v>101</v>
      </c>
      <c r="HF64" s="47">
        <v>250</v>
      </c>
      <c r="HG64" s="47">
        <v>198</v>
      </c>
      <c r="HH64" s="47">
        <v>0</v>
      </c>
      <c r="HI64" s="47">
        <v>2</v>
      </c>
      <c r="HJ64" s="47">
        <v>1220</v>
      </c>
      <c r="HK64" s="1067">
        <f t="shared" si="1"/>
        <v>0.63119834710743805</v>
      </c>
      <c r="HL64" s="47"/>
      <c r="HM64" s="420"/>
      <c r="HN64" s="420"/>
      <c r="HO64" s="420" t="s">
        <v>52</v>
      </c>
      <c r="HP64" s="1068">
        <v>62</v>
      </c>
      <c r="HQ64" s="1068">
        <v>23</v>
      </c>
      <c r="HR64" s="1068" t="s">
        <v>327</v>
      </c>
      <c r="HS64" s="1068">
        <v>46</v>
      </c>
      <c r="HT64" s="1068">
        <v>339</v>
      </c>
      <c r="HU64" s="1068">
        <v>126</v>
      </c>
      <c r="HV64" s="1068">
        <v>52</v>
      </c>
      <c r="HW64" s="1068" t="s">
        <v>327</v>
      </c>
      <c r="HX64" s="1068" t="s">
        <v>327</v>
      </c>
      <c r="HY64" s="1068">
        <v>106</v>
      </c>
      <c r="HZ64" s="1068">
        <v>194</v>
      </c>
      <c r="IA64" s="1068" t="s">
        <v>327</v>
      </c>
      <c r="IB64" s="1068">
        <v>948</v>
      </c>
      <c r="IC64" s="1068">
        <f t="shared" si="2"/>
        <v>571</v>
      </c>
      <c r="ID64" s="1069">
        <f t="shared" si="3"/>
        <v>0.60232067510548526</v>
      </c>
      <c r="IE64" s="47"/>
      <c r="IF64" s="47"/>
    </row>
    <row r="65" spans="1:240">
      <c r="A65" s="41"/>
      <c r="B65" s="41"/>
      <c r="C65" s="461" t="s">
        <v>545</v>
      </c>
      <c r="D65" s="5556">
        <v>565</v>
      </c>
      <c r="E65" s="5556">
        <v>593</v>
      </c>
      <c r="F65" s="5556"/>
      <c r="G65" s="5556">
        <v>239</v>
      </c>
      <c r="H65" s="5556">
        <v>2908</v>
      </c>
      <c r="I65" s="5556">
        <v>993</v>
      </c>
      <c r="J65" s="5556">
        <v>139</v>
      </c>
      <c r="K65" s="5556">
        <v>68</v>
      </c>
      <c r="L65" s="5556">
        <v>4</v>
      </c>
      <c r="M65" s="5556">
        <v>92</v>
      </c>
      <c r="N65" s="5556">
        <v>1291</v>
      </c>
      <c r="O65" s="5556"/>
      <c r="P65" s="5556">
        <v>1584</v>
      </c>
      <c r="Q65" s="5556">
        <v>8</v>
      </c>
      <c r="R65" s="5556">
        <v>8484</v>
      </c>
      <c r="S65" s="706">
        <f t="shared" si="4"/>
        <v>0.61255309108069844</v>
      </c>
      <c r="T65" s="5561"/>
      <c r="U65" s="5562"/>
      <c r="V65" s="706"/>
      <c r="X65" s="107" t="s">
        <v>41</v>
      </c>
      <c r="Y65" s="41" t="s">
        <v>42</v>
      </c>
      <c r="Z65" s="41">
        <v>19</v>
      </c>
      <c r="AA65" s="41">
        <v>18</v>
      </c>
      <c r="AB65" s="41"/>
      <c r="AC65" s="41">
        <v>60</v>
      </c>
      <c r="AD65" s="41">
        <v>645</v>
      </c>
      <c r="AE65" s="41">
        <v>175</v>
      </c>
      <c r="AF65" s="41">
        <v>71</v>
      </c>
      <c r="AG65" s="41"/>
      <c r="AH65" s="41">
        <v>0</v>
      </c>
      <c r="AI65" s="41">
        <v>2</v>
      </c>
      <c r="AJ65" s="41">
        <v>167</v>
      </c>
      <c r="AK65" s="41"/>
      <c r="AL65" s="41">
        <v>153</v>
      </c>
      <c r="AM65" s="41">
        <v>2</v>
      </c>
      <c r="AN65" s="461">
        <v>1312</v>
      </c>
      <c r="AO65" s="4692">
        <f t="shared" si="6"/>
        <v>0.75343511450381684</v>
      </c>
      <c r="AQ65" s="1788"/>
      <c r="AR65" s="1788" t="s">
        <v>41</v>
      </c>
      <c r="AS65" s="37" t="s">
        <v>42</v>
      </c>
      <c r="AT65" s="1788">
        <v>98</v>
      </c>
      <c r="AU65" s="1788">
        <v>48</v>
      </c>
      <c r="AV65" s="1788">
        <v>0</v>
      </c>
      <c r="AW65" s="1788">
        <v>63</v>
      </c>
      <c r="AX65" s="1788">
        <v>452</v>
      </c>
      <c r="AY65" s="1788">
        <v>212</v>
      </c>
      <c r="AZ65" s="1788">
        <v>27</v>
      </c>
      <c r="BA65" s="1788"/>
      <c r="BB65" s="1788">
        <v>0</v>
      </c>
      <c r="BC65" s="1788">
        <v>2</v>
      </c>
      <c r="BD65" s="1788">
        <v>243</v>
      </c>
      <c r="BE65" s="1788"/>
      <c r="BF65" s="1788">
        <v>181</v>
      </c>
      <c r="BG65" s="1788">
        <v>1</v>
      </c>
      <c r="BH65" s="1788">
        <v>1327</v>
      </c>
      <c r="BI65" s="4701">
        <f t="shared" si="7"/>
        <v>0.68401206636500755</v>
      </c>
      <c r="BK65" s="41"/>
      <c r="BL65" s="41" t="s">
        <v>41</v>
      </c>
      <c r="BM65" s="41" t="s">
        <v>42</v>
      </c>
      <c r="BN65" s="105">
        <v>56</v>
      </c>
      <c r="BO65" s="105">
        <v>29</v>
      </c>
      <c r="BP65" s="105"/>
      <c r="BQ65" s="105">
        <v>0</v>
      </c>
      <c r="BR65" s="105">
        <v>520</v>
      </c>
      <c r="BS65" s="105">
        <v>178</v>
      </c>
      <c r="BT65" s="105">
        <v>37</v>
      </c>
      <c r="BU65" s="105"/>
      <c r="BV65" s="105">
        <v>0</v>
      </c>
      <c r="BW65" s="105">
        <v>7</v>
      </c>
      <c r="BX65" s="105">
        <v>250</v>
      </c>
      <c r="BY65" s="105"/>
      <c r="BZ65" s="105">
        <v>170</v>
      </c>
      <c r="CA65" s="105">
        <v>0</v>
      </c>
      <c r="CB65" s="105">
        <v>1247</v>
      </c>
      <c r="CC65" s="2484">
        <f t="shared" si="8"/>
        <v>0.76022453889334407</v>
      </c>
      <c r="CE65" s="41"/>
      <c r="CF65" s="41" t="s">
        <v>41</v>
      </c>
      <c r="CG65" s="41" t="s">
        <v>42</v>
      </c>
      <c r="CH65" s="105">
        <v>68</v>
      </c>
      <c r="CI65" s="105">
        <v>37</v>
      </c>
      <c r="CJ65" s="105">
        <v>0</v>
      </c>
      <c r="CK65" s="105">
        <v>67</v>
      </c>
      <c r="CL65" s="105">
        <v>506</v>
      </c>
      <c r="CM65" s="105">
        <v>164</v>
      </c>
      <c r="CN65" s="105">
        <v>60</v>
      </c>
      <c r="CO65" s="105">
        <v>0</v>
      </c>
      <c r="CP65" s="105">
        <v>0</v>
      </c>
      <c r="CQ65" s="105">
        <v>5</v>
      </c>
      <c r="CR65" s="105">
        <v>242</v>
      </c>
      <c r="CS65" s="105"/>
      <c r="CT65" s="105">
        <v>156</v>
      </c>
      <c r="CU65" s="105">
        <v>2</v>
      </c>
      <c r="CV65" s="105">
        <v>1307</v>
      </c>
      <c r="CW65" s="1644">
        <f t="shared" si="0"/>
        <v>0.69885057471264367</v>
      </c>
      <c r="CX65" s="1976"/>
      <c r="CY65" s="41"/>
      <c r="CZ65" s="41" t="s">
        <v>41</v>
      </c>
      <c r="DA65" s="41" t="s">
        <v>42</v>
      </c>
      <c r="DB65" s="105">
        <v>79</v>
      </c>
      <c r="DC65" s="105">
        <v>44</v>
      </c>
      <c r="DD65" s="105"/>
      <c r="DE65" s="105">
        <v>67</v>
      </c>
      <c r="DF65" s="105">
        <v>538</v>
      </c>
      <c r="DG65" s="105">
        <v>175</v>
      </c>
      <c r="DH65" s="105">
        <v>62</v>
      </c>
      <c r="DI65" s="105"/>
      <c r="DJ65" s="105">
        <v>0</v>
      </c>
      <c r="DK65" s="105">
        <v>5</v>
      </c>
      <c r="DL65" s="105">
        <v>204</v>
      </c>
      <c r="DM65" s="105"/>
      <c r="DN65" s="105">
        <v>163</v>
      </c>
      <c r="DO65" s="105">
        <v>5</v>
      </c>
      <c r="DP65" s="105">
        <v>1342</v>
      </c>
      <c r="DQ65" s="1644">
        <f t="shared" si="9"/>
        <v>0.68586387434554974</v>
      </c>
      <c r="DS65" s="1311"/>
      <c r="DT65" s="1311" t="s">
        <v>41</v>
      </c>
      <c r="DU65" s="1319" t="s">
        <v>42</v>
      </c>
      <c r="DV65" s="1320">
        <v>69</v>
      </c>
      <c r="DW65" s="1320">
        <v>35</v>
      </c>
      <c r="DX65" s="1321"/>
      <c r="DY65" s="1320">
        <v>63</v>
      </c>
      <c r="DZ65" s="1320">
        <v>568</v>
      </c>
      <c r="EA65" s="1320">
        <v>175</v>
      </c>
      <c r="EB65" s="1320">
        <v>61</v>
      </c>
      <c r="EC65" s="1321"/>
      <c r="ED65" s="1320">
        <v>0</v>
      </c>
      <c r="EE65" s="1320">
        <v>1</v>
      </c>
      <c r="EF65" s="1320">
        <v>199</v>
      </c>
      <c r="EG65" s="1321"/>
      <c r="EH65" s="1320">
        <v>187</v>
      </c>
      <c r="EI65" s="1320">
        <v>5</v>
      </c>
      <c r="EJ65" s="1320">
        <v>1363</v>
      </c>
      <c r="EK65" s="1322">
        <f t="shared" si="10"/>
        <v>0.69366715758468334</v>
      </c>
      <c r="EM65" s="1047"/>
      <c r="EN65" s="1047" t="s">
        <v>41</v>
      </c>
      <c r="EO65" s="1060" t="s">
        <v>42</v>
      </c>
      <c r="EP65" s="1061">
        <v>50</v>
      </c>
      <c r="EQ65" s="1061">
        <v>35</v>
      </c>
      <c r="ER65" s="1061">
        <v>0</v>
      </c>
      <c r="ES65" s="1061">
        <v>98</v>
      </c>
      <c r="ET65" s="1061">
        <v>525</v>
      </c>
      <c r="EU65" s="1061">
        <v>211</v>
      </c>
      <c r="EV65" s="1061">
        <v>68</v>
      </c>
      <c r="EW65" s="1047"/>
      <c r="EX65" s="1061">
        <v>0</v>
      </c>
      <c r="EY65" s="1061">
        <v>2</v>
      </c>
      <c r="EZ65" s="1061">
        <v>238</v>
      </c>
      <c r="FA65" s="1061">
        <v>248</v>
      </c>
      <c r="FB65" s="1061">
        <v>2</v>
      </c>
      <c r="FC65" s="1061">
        <v>1477</v>
      </c>
      <c r="FD65" s="537">
        <f t="shared" si="11"/>
        <v>0.65944482058226139</v>
      </c>
      <c r="FF65" s="652"/>
      <c r="FG65" s="652" t="s">
        <v>41</v>
      </c>
      <c r="FH65" s="1062" t="s">
        <v>42</v>
      </c>
      <c r="FI65" s="1063">
        <v>50</v>
      </c>
      <c r="FJ65" s="1063">
        <v>42</v>
      </c>
      <c r="FK65" s="652"/>
      <c r="FL65" s="1063">
        <v>107</v>
      </c>
      <c r="FM65" s="1063">
        <v>495</v>
      </c>
      <c r="FN65" s="1063">
        <v>219</v>
      </c>
      <c r="FO65" s="1063">
        <v>58</v>
      </c>
      <c r="FP65" s="652"/>
      <c r="FQ65" s="652"/>
      <c r="FR65" s="1063">
        <v>1</v>
      </c>
      <c r="FS65" s="1063">
        <v>210</v>
      </c>
      <c r="FT65" s="1063">
        <v>261</v>
      </c>
      <c r="FU65" s="1063">
        <v>2</v>
      </c>
      <c r="FV65" s="1063">
        <v>1445</v>
      </c>
      <c r="FW65" s="537">
        <f t="shared" si="12"/>
        <v>0.63944636678200695</v>
      </c>
      <c r="FY65" s="817"/>
      <c r="FZ65" s="817"/>
      <c r="GA65" s="1064" t="s">
        <v>53</v>
      </c>
      <c r="GB65" s="1065">
        <v>31</v>
      </c>
      <c r="GC65" s="1065">
        <v>31</v>
      </c>
      <c r="GD65" s="1065">
        <v>0</v>
      </c>
      <c r="GE65" s="1065">
        <v>32</v>
      </c>
      <c r="GF65" s="1065">
        <v>838</v>
      </c>
      <c r="GG65" s="1065">
        <v>152</v>
      </c>
      <c r="GH65" s="1065">
        <v>67</v>
      </c>
      <c r="GI65" s="1065">
        <v>0</v>
      </c>
      <c r="GJ65" s="1065">
        <v>1</v>
      </c>
      <c r="GK65" s="1065">
        <v>314</v>
      </c>
      <c r="GL65" s="1065">
        <v>339</v>
      </c>
      <c r="GM65" s="1065">
        <v>200</v>
      </c>
      <c r="GN65" s="1065">
        <v>0</v>
      </c>
      <c r="GO65" s="1065">
        <v>7</v>
      </c>
      <c r="GP65" s="1065">
        <v>2012</v>
      </c>
      <c r="GQ65" s="1066">
        <f t="shared" si="13"/>
        <v>0.78271308523409366</v>
      </c>
      <c r="GS65" s="107"/>
      <c r="GT65" s="107"/>
      <c r="GU65" s="47" t="s">
        <v>53</v>
      </c>
      <c r="GV65" s="47">
        <v>40</v>
      </c>
      <c r="GW65" s="47">
        <v>33</v>
      </c>
      <c r="GX65" s="47"/>
      <c r="GY65" s="47">
        <v>37</v>
      </c>
      <c r="GZ65" s="47">
        <v>808</v>
      </c>
      <c r="HA65" s="47">
        <v>137</v>
      </c>
      <c r="HB65" s="47">
        <v>55</v>
      </c>
      <c r="HC65" s="47"/>
      <c r="HD65" s="47">
        <v>3</v>
      </c>
      <c r="HE65" s="47">
        <v>347</v>
      </c>
      <c r="HF65" s="47">
        <v>333</v>
      </c>
      <c r="HG65" s="47">
        <v>219</v>
      </c>
      <c r="HH65" s="47">
        <v>0</v>
      </c>
      <c r="HI65" s="47">
        <v>4</v>
      </c>
      <c r="HJ65" s="47">
        <v>2016</v>
      </c>
      <c r="HK65" s="1067">
        <f t="shared" si="1"/>
        <v>0.76950565812983918</v>
      </c>
      <c r="HL65" s="47"/>
      <c r="HM65" s="420"/>
      <c r="HN65" s="420"/>
      <c r="HO65" s="420" t="s">
        <v>53</v>
      </c>
      <c r="HP65" s="1068">
        <v>47</v>
      </c>
      <c r="HQ65" s="1068">
        <v>33</v>
      </c>
      <c r="HR65" s="1068" t="s">
        <v>327</v>
      </c>
      <c r="HS65" s="1068">
        <v>36</v>
      </c>
      <c r="HT65" s="1068">
        <v>660</v>
      </c>
      <c r="HU65" s="1068">
        <v>148</v>
      </c>
      <c r="HV65" s="1068">
        <v>69</v>
      </c>
      <c r="HW65" s="1068" t="s">
        <v>327</v>
      </c>
      <c r="HX65" s="1068">
        <v>1</v>
      </c>
      <c r="HY65" s="1068">
        <v>465</v>
      </c>
      <c r="HZ65" s="1068">
        <v>229</v>
      </c>
      <c r="IA65" s="1068" t="s">
        <v>327</v>
      </c>
      <c r="IB65" s="1068">
        <v>1688</v>
      </c>
      <c r="IC65" s="1068">
        <f t="shared" si="2"/>
        <v>1273</v>
      </c>
      <c r="ID65" s="1069">
        <f t="shared" si="3"/>
        <v>0.75414691943127965</v>
      </c>
      <c r="IE65" s="47"/>
      <c r="IF65" s="47"/>
    </row>
    <row r="66" spans="1:240">
      <c r="A66" s="41"/>
      <c r="B66" s="41" t="s">
        <v>41</v>
      </c>
      <c r="C66" s="41" t="s">
        <v>42</v>
      </c>
      <c r="D66" s="105">
        <v>126</v>
      </c>
      <c r="E66" s="105">
        <v>51</v>
      </c>
      <c r="F66" s="105"/>
      <c r="G66" s="105">
        <v>61</v>
      </c>
      <c r="H66" s="105">
        <v>441</v>
      </c>
      <c r="I66" s="105">
        <v>168</v>
      </c>
      <c r="J66" s="105">
        <v>12</v>
      </c>
      <c r="K66" s="105">
        <v>0</v>
      </c>
      <c r="L66" s="105">
        <v>0</v>
      </c>
      <c r="M66" s="105">
        <v>5</v>
      </c>
      <c r="N66" s="105">
        <v>301</v>
      </c>
      <c r="O66" s="105"/>
      <c r="P66" s="105">
        <v>197</v>
      </c>
      <c r="Q66" s="105">
        <v>1</v>
      </c>
      <c r="R66" s="105">
        <v>1363</v>
      </c>
      <c r="S66" s="706">
        <f t="shared" si="4"/>
        <v>0.66813509544787075</v>
      </c>
      <c r="T66" s="5561">
        <f t="shared" si="5"/>
        <v>2</v>
      </c>
      <c r="U66" s="5562">
        <v>1361</v>
      </c>
      <c r="V66" s="706"/>
      <c r="Y66" s="41" t="s">
        <v>52</v>
      </c>
      <c r="Z66" s="41">
        <v>7</v>
      </c>
      <c r="AA66" s="41">
        <v>8</v>
      </c>
      <c r="AB66" s="41"/>
      <c r="AC66" s="41">
        <v>47</v>
      </c>
      <c r="AD66" s="41">
        <v>629</v>
      </c>
      <c r="AE66" s="41">
        <v>71</v>
      </c>
      <c r="AF66" s="41">
        <v>50</v>
      </c>
      <c r="AG66" s="41"/>
      <c r="AH66" s="41">
        <v>0</v>
      </c>
      <c r="AI66" s="41">
        <v>1</v>
      </c>
      <c r="AJ66" s="41">
        <v>44</v>
      </c>
      <c r="AK66" s="41"/>
      <c r="AL66" s="41">
        <v>95</v>
      </c>
      <c r="AM66" s="41">
        <v>1</v>
      </c>
      <c r="AN66" s="461">
        <v>953</v>
      </c>
      <c r="AO66" s="4692">
        <f t="shared" si="6"/>
        <v>0.78151260504201681</v>
      </c>
      <c r="AQ66" s="1788"/>
      <c r="AR66" s="1788"/>
      <c r="AS66" s="37" t="s">
        <v>52</v>
      </c>
      <c r="AT66" s="1788">
        <v>28</v>
      </c>
      <c r="AU66" s="1788">
        <v>22</v>
      </c>
      <c r="AV66" s="1788">
        <v>0</v>
      </c>
      <c r="AW66" s="1788">
        <v>44</v>
      </c>
      <c r="AX66" s="1788">
        <v>443</v>
      </c>
      <c r="AY66" s="1788">
        <v>135</v>
      </c>
      <c r="AZ66" s="1788">
        <v>19</v>
      </c>
      <c r="BA66" s="1788"/>
      <c r="BB66" s="1788">
        <v>0</v>
      </c>
      <c r="BC66" s="1788">
        <v>1</v>
      </c>
      <c r="BD66" s="1788">
        <v>113</v>
      </c>
      <c r="BE66" s="1788"/>
      <c r="BF66" s="1788">
        <v>128</v>
      </c>
      <c r="BG66" s="1788">
        <v>1</v>
      </c>
      <c r="BH66" s="1788">
        <v>934</v>
      </c>
      <c r="BI66" s="4701">
        <f t="shared" si="7"/>
        <v>0.74062165058949625</v>
      </c>
      <c r="BK66" s="41"/>
      <c r="BL66" s="41"/>
      <c r="BM66" s="41" t="s">
        <v>52</v>
      </c>
      <c r="BN66" s="105">
        <v>24</v>
      </c>
      <c r="BO66" s="105">
        <v>12</v>
      </c>
      <c r="BP66" s="105"/>
      <c r="BQ66" s="105">
        <v>1</v>
      </c>
      <c r="BR66" s="105">
        <v>523</v>
      </c>
      <c r="BS66" s="105">
        <v>99</v>
      </c>
      <c r="BT66" s="105">
        <v>22</v>
      </c>
      <c r="BU66" s="105"/>
      <c r="BV66" s="105">
        <v>0</v>
      </c>
      <c r="BW66" s="105">
        <v>1</v>
      </c>
      <c r="BX66" s="105">
        <v>105</v>
      </c>
      <c r="BY66" s="105"/>
      <c r="BZ66" s="105">
        <v>116</v>
      </c>
      <c r="CA66" s="105">
        <v>0</v>
      </c>
      <c r="CB66" s="105">
        <v>903</v>
      </c>
      <c r="CC66" s="2484">
        <f t="shared" si="8"/>
        <v>0.80509413067552604</v>
      </c>
      <c r="CE66" s="41"/>
      <c r="CF66" s="41"/>
      <c r="CG66" s="41" t="s">
        <v>52</v>
      </c>
      <c r="CH66" s="105">
        <v>17</v>
      </c>
      <c r="CI66" s="105">
        <v>13</v>
      </c>
      <c r="CJ66" s="105">
        <v>0</v>
      </c>
      <c r="CK66" s="105">
        <v>50</v>
      </c>
      <c r="CL66" s="105">
        <v>473</v>
      </c>
      <c r="CM66" s="105">
        <v>138</v>
      </c>
      <c r="CN66" s="105">
        <v>27</v>
      </c>
      <c r="CO66" s="105">
        <v>0</v>
      </c>
      <c r="CP66" s="105">
        <v>0</v>
      </c>
      <c r="CQ66" s="105">
        <v>2</v>
      </c>
      <c r="CR66" s="105">
        <v>124</v>
      </c>
      <c r="CS66" s="105"/>
      <c r="CT66" s="105">
        <v>121</v>
      </c>
      <c r="CU66" s="105">
        <v>1</v>
      </c>
      <c r="CV66" s="105">
        <v>966</v>
      </c>
      <c r="CW66" s="1644">
        <f t="shared" si="0"/>
        <v>0.76165803108808294</v>
      </c>
      <c r="CX66" s="1976"/>
      <c r="CY66" s="41"/>
      <c r="CZ66" s="41"/>
      <c r="DA66" s="41" t="s">
        <v>52</v>
      </c>
      <c r="DB66" s="105">
        <v>22</v>
      </c>
      <c r="DC66" s="105">
        <v>18</v>
      </c>
      <c r="DD66" s="105"/>
      <c r="DE66" s="105">
        <v>52</v>
      </c>
      <c r="DF66" s="105">
        <v>532</v>
      </c>
      <c r="DG66" s="105">
        <v>119</v>
      </c>
      <c r="DH66" s="105">
        <v>34</v>
      </c>
      <c r="DI66" s="105"/>
      <c r="DJ66" s="105">
        <v>0</v>
      </c>
      <c r="DK66" s="105">
        <v>1</v>
      </c>
      <c r="DL66" s="105">
        <v>115</v>
      </c>
      <c r="DM66" s="105"/>
      <c r="DN66" s="105">
        <v>115</v>
      </c>
      <c r="DO66" s="105">
        <v>2</v>
      </c>
      <c r="DP66" s="105">
        <v>1010</v>
      </c>
      <c r="DQ66" s="1644">
        <f t="shared" si="9"/>
        <v>0.75992063492063489</v>
      </c>
      <c r="DS66" s="1311"/>
      <c r="DT66" s="1311"/>
      <c r="DU66" s="1319" t="s">
        <v>52</v>
      </c>
      <c r="DV66" s="1320">
        <v>34</v>
      </c>
      <c r="DW66" s="1320">
        <v>16</v>
      </c>
      <c r="DX66" s="1321"/>
      <c r="DY66" s="1320">
        <v>48</v>
      </c>
      <c r="DZ66" s="1320">
        <v>561</v>
      </c>
      <c r="EA66" s="1320">
        <v>101</v>
      </c>
      <c r="EB66" s="1320">
        <v>57</v>
      </c>
      <c r="EC66" s="1321"/>
      <c r="ED66" s="1320">
        <v>0</v>
      </c>
      <c r="EE66" s="1320">
        <v>0</v>
      </c>
      <c r="EF66" s="1320">
        <v>109</v>
      </c>
      <c r="EG66" s="1321"/>
      <c r="EH66" s="1320">
        <v>120</v>
      </c>
      <c r="EI66" s="1320">
        <v>2</v>
      </c>
      <c r="EJ66" s="1320">
        <v>1048</v>
      </c>
      <c r="EK66" s="1322">
        <f t="shared" si="10"/>
        <v>0.73709369024856597</v>
      </c>
      <c r="EM66" s="1047"/>
      <c r="EN66" s="1047"/>
      <c r="EO66" s="1060" t="s">
        <v>52</v>
      </c>
      <c r="EP66" s="1061">
        <v>39</v>
      </c>
      <c r="EQ66" s="1061">
        <v>12</v>
      </c>
      <c r="ER66" s="1061">
        <v>0</v>
      </c>
      <c r="ES66" s="1061">
        <v>60</v>
      </c>
      <c r="ET66" s="1061">
        <v>547</v>
      </c>
      <c r="EU66" s="1061">
        <v>97</v>
      </c>
      <c r="EV66" s="1061">
        <v>48</v>
      </c>
      <c r="EW66" s="1047"/>
      <c r="EX66" s="1061">
        <v>0</v>
      </c>
      <c r="EY66" s="1061">
        <v>0</v>
      </c>
      <c r="EZ66" s="1061">
        <v>150</v>
      </c>
      <c r="FA66" s="1061">
        <v>194</v>
      </c>
      <c r="FB66" s="1061">
        <v>0</v>
      </c>
      <c r="FC66" s="1061">
        <v>1147</v>
      </c>
      <c r="FD66" s="537">
        <f t="shared" si="11"/>
        <v>0.69224062772449868</v>
      </c>
      <c r="FF66" s="652"/>
      <c r="FG66" s="652"/>
      <c r="FH66" s="1062" t="s">
        <v>52</v>
      </c>
      <c r="FI66" s="1063">
        <v>24</v>
      </c>
      <c r="FJ66" s="1063">
        <v>18</v>
      </c>
      <c r="FK66" s="652"/>
      <c r="FL66" s="1063">
        <v>57</v>
      </c>
      <c r="FM66" s="1063">
        <v>476</v>
      </c>
      <c r="FN66" s="1063">
        <v>143</v>
      </c>
      <c r="FO66" s="1063">
        <v>45</v>
      </c>
      <c r="FP66" s="652"/>
      <c r="FQ66" s="652"/>
      <c r="FR66" s="1063">
        <v>1</v>
      </c>
      <c r="FS66" s="1063">
        <v>141</v>
      </c>
      <c r="FT66" s="1063">
        <v>200</v>
      </c>
      <c r="FU66" s="1063">
        <v>0</v>
      </c>
      <c r="FV66" s="1063">
        <v>1105</v>
      </c>
      <c r="FW66" s="537">
        <f t="shared" si="12"/>
        <v>0.68778280542986425</v>
      </c>
      <c r="FY66" s="817"/>
      <c r="FZ66" s="817"/>
      <c r="GA66" s="1064" t="s">
        <v>54</v>
      </c>
      <c r="GB66" s="1065">
        <v>119</v>
      </c>
      <c r="GC66" s="1065">
        <v>50</v>
      </c>
      <c r="GD66" s="1065">
        <v>0</v>
      </c>
      <c r="GE66" s="1065">
        <v>120</v>
      </c>
      <c r="GF66" s="1065">
        <v>755</v>
      </c>
      <c r="GG66" s="1065">
        <v>260</v>
      </c>
      <c r="GH66" s="1065">
        <v>97</v>
      </c>
      <c r="GI66" s="1065">
        <v>0</v>
      </c>
      <c r="GJ66" s="1065">
        <v>10</v>
      </c>
      <c r="GK66" s="1065">
        <v>188</v>
      </c>
      <c r="GL66" s="1065">
        <v>381</v>
      </c>
      <c r="GM66" s="1065">
        <v>358</v>
      </c>
      <c r="GN66" s="1065">
        <v>0</v>
      </c>
      <c r="GO66" s="1065">
        <v>11</v>
      </c>
      <c r="GP66" s="1065">
        <v>2349</v>
      </c>
      <c r="GQ66" s="1066">
        <f t="shared" si="13"/>
        <v>0.61471640265712824</v>
      </c>
      <c r="GS66" s="107"/>
      <c r="GT66" s="107"/>
      <c r="GU66" s="47" t="s">
        <v>54</v>
      </c>
      <c r="GV66" s="47">
        <v>162</v>
      </c>
      <c r="GW66" s="47">
        <v>55</v>
      </c>
      <c r="GX66" s="47"/>
      <c r="GY66" s="47">
        <v>125</v>
      </c>
      <c r="GZ66" s="47">
        <v>722</v>
      </c>
      <c r="HA66" s="47">
        <v>247</v>
      </c>
      <c r="HB66" s="47">
        <v>109</v>
      </c>
      <c r="HC66" s="47"/>
      <c r="HD66" s="47">
        <v>0</v>
      </c>
      <c r="HE66" s="47">
        <v>165</v>
      </c>
      <c r="HF66" s="47">
        <v>357</v>
      </c>
      <c r="HG66" s="47">
        <v>382</v>
      </c>
      <c r="HH66" s="47">
        <v>0</v>
      </c>
      <c r="HI66" s="47">
        <v>9</v>
      </c>
      <c r="HJ66" s="47">
        <v>2333</v>
      </c>
      <c r="HK66" s="1067">
        <f t="shared" si="1"/>
        <v>0.57651245551601427</v>
      </c>
      <c r="HL66" s="47"/>
      <c r="HM66" s="420"/>
      <c r="HN66" s="420"/>
      <c r="HO66" s="420" t="s">
        <v>54</v>
      </c>
      <c r="HP66" s="1068">
        <v>169</v>
      </c>
      <c r="HQ66" s="1068">
        <v>47</v>
      </c>
      <c r="HR66" s="1068" t="s">
        <v>327</v>
      </c>
      <c r="HS66" s="1068">
        <v>123</v>
      </c>
      <c r="HT66" s="1068">
        <v>678</v>
      </c>
      <c r="HU66" s="1068">
        <v>216</v>
      </c>
      <c r="HV66" s="1068">
        <v>114</v>
      </c>
      <c r="HW66" s="1068" t="s">
        <v>327</v>
      </c>
      <c r="HX66" s="1068">
        <v>4</v>
      </c>
      <c r="HY66" s="1068">
        <v>226</v>
      </c>
      <c r="HZ66" s="1068">
        <v>401</v>
      </c>
      <c r="IA66" s="1068" t="s">
        <v>327</v>
      </c>
      <c r="IB66" s="1068">
        <v>1978</v>
      </c>
      <c r="IC66" s="1068">
        <f t="shared" si="2"/>
        <v>1120</v>
      </c>
      <c r="ID66" s="1069">
        <f t="shared" si="3"/>
        <v>0.5662285136501517</v>
      </c>
      <c r="IE66" s="47"/>
      <c r="IF66" s="47"/>
    </row>
    <row r="67" spans="1:240">
      <c r="A67" s="41"/>
      <c r="B67" s="41"/>
      <c r="C67" s="41" t="s">
        <v>52</v>
      </c>
      <c r="D67" s="105">
        <v>34</v>
      </c>
      <c r="E67" s="105">
        <v>28</v>
      </c>
      <c r="F67" s="105"/>
      <c r="G67" s="105">
        <v>39</v>
      </c>
      <c r="H67" s="105">
        <v>431</v>
      </c>
      <c r="I67" s="105">
        <v>81</v>
      </c>
      <c r="J67" s="105">
        <v>5</v>
      </c>
      <c r="K67" s="105">
        <v>0</v>
      </c>
      <c r="L67" s="105">
        <v>0</v>
      </c>
      <c r="M67" s="105">
        <v>0</v>
      </c>
      <c r="N67" s="105">
        <v>154</v>
      </c>
      <c r="O67" s="105"/>
      <c r="P67" s="105">
        <v>131</v>
      </c>
      <c r="Q67" s="105">
        <v>1</v>
      </c>
      <c r="R67" s="105">
        <v>904</v>
      </c>
      <c r="S67" s="706">
        <f t="shared" si="4"/>
        <v>0.7375415282392026</v>
      </c>
      <c r="T67" s="5561">
        <f t="shared" si="5"/>
        <v>8</v>
      </c>
      <c r="U67" s="5562">
        <v>896</v>
      </c>
      <c r="V67" s="706"/>
      <c r="Y67" s="41" t="s">
        <v>53</v>
      </c>
      <c r="Z67" s="41">
        <v>13</v>
      </c>
      <c r="AA67" s="41">
        <v>22</v>
      </c>
      <c r="AB67" s="41"/>
      <c r="AC67" s="41">
        <v>11</v>
      </c>
      <c r="AD67" s="41">
        <v>684</v>
      </c>
      <c r="AE67" s="41">
        <v>156</v>
      </c>
      <c r="AF67" s="41">
        <v>46</v>
      </c>
      <c r="AG67" s="41"/>
      <c r="AH67" s="41">
        <v>0</v>
      </c>
      <c r="AI67" s="41">
        <v>1</v>
      </c>
      <c r="AJ67" s="41">
        <v>192</v>
      </c>
      <c r="AK67" s="41"/>
      <c r="AL67" s="41">
        <v>93</v>
      </c>
      <c r="AM67" s="41">
        <v>2</v>
      </c>
      <c r="AN67" s="461">
        <v>1220</v>
      </c>
      <c r="AO67" s="4692">
        <f t="shared" si="6"/>
        <v>0.84729064039408863</v>
      </c>
      <c r="AQ67" s="1788"/>
      <c r="AR67" s="1788"/>
      <c r="AS67" s="37" t="s">
        <v>53</v>
      </c>
      <c r="AT67" s="1788">
        <v>71</v>
      </c>
      <c r="AU67" s="1788">
        <v>40</v>
      </c>
      <c r="AV67" s="1788">
        <v>0</v>
      </c>
      <c r="AW67" s="1788">
        <v>14</v>
      </c>
      <c r="AX67" s="1788">
        <v>459</v>
      </c>
      <c r="AY67" s="1788">
        <v>201</v>
      </c>
      <c r="AZ67" s="1788">
        <v>20</v>
      </c>
      <c r="BA67" s="1788"/>
      <c r="BB67" s="1788">
        <v>0</v>
      </c>
      <c r="BC67" s="1788">
        <v>6</v>
      </c>
      <c r="BD67" s="1788">
        <v>294</v>
      </c>
      <c r="BE67" s="1788"/>
      <c r="BF67" s="1788">
        <v>116</v>
      </c>
      <c r="BG67" s="1788">
        <v>1</v>
      </c>
      <c r="BH67" s="1788">
        <v>1222</v>
      </c>
      <c r="BI67" s="4701">
        <f t="shared" si="7"/>
        <v>0.78132678132678135</v>
      </c>
      <c r="BK67" s="41"/>
      <c r="BL67" s="41"/>
      <c r="BM67" s="41" t="s">
        <v>53</v>
      </c>
      <c r="BN67" s="105">
        <v>45</v>
      </c>
      <c r="BO67" s="105">
        <v>28</v>
      </c>
      <c r="BP67" s="105"/>
      <c r="BQ67" s="105">
        <v>0</v>
      </c>
      <c r="BR67" s="105">
        <v>529</v>
      </c>
      <c r="BS67" s="105">
        <v>152</v>
      </c>
      <c r="BT67" s="105">
        <v>22</v>
      </c>
      <c r="BU67" s="105"/>
      <c r="BV67" s="105">
        <v>0</v>
      </c>
      <c r="BW67" s="105">
        <v>4</v>
      </c>
      <c r="BX67" s="105">
        <v>323</v>
      </c>
      <c r="BY67" s="105"/>
      <c r="BZ67" s="105">
        <v>103</v>
      </c>
      <c r="CA67" s="105">
        <v>0</v>
      </c>
      <c r="CB67" s="105">
        <v>1206</v>
      </c>
      <c r="CC67" s="2484">
        <f t="shared" si="8"/>
        <v>0.83250414593698174</v>
      </c>
      <c r="CE67" s="41"/>
      <c r="CF67" s="41"/>
      <c r="CG67" s="41" t="s">
        <v>53</v>
      </c>
      <c r="CH67" s="105">
        <v>57</v>
      </c>
      <c r="CI67" s="105">
        <v>34</v>
      </c>
      <c r="CJ67" s="105">
        <v>0</v>
      </c>
      <c r="CK67" s="105">
        <v>15</v>
      </c>
      <c r="CL67" s="105">
        <v>534</v>
      </c>
      <c r="CM67" s="105">
        <v>157</v>
      </c>
      <c r="CN67" s="105">
        <v>29</v>
      </c>
      <c r="CO67" s="105">
        <v>0</v>
      </c>
      <c r="CP67" s="105">
        <v>0</v>
      </c>
      <c r="CQ67" s="105">
        <v>3</v>
      </c>
      <c r="CR67" s="105">
        <v>292</v>
      </c>
      <c r="CS67" s="105"/>
      <c r="CT67" s="105">
        <v>89</v>
      </c>
      <c r="CU67" s="105">
        <v>2</v>
      </c>
      <c r="CV67" s="105">
        <v>1212</v>
      </c>
      <c r="CW67" s="1644">
        <f t="shared" si="0"/>
        <v>0.81239669421487604</v>
      </c>
      <c r="CX67" s="1976"/>
      <c r="CY67" s="41"/>
      <c r="CZ67" s="41"/>
      <c r="DA67" s="41" t="s">
        <v>53</v>
      </c>
      <c r="DB67" s="105">
        <v>58</v>
      </c>
      <c r="DC67" s="105">
        <v>24</v>
      </c>
      <c r="DD67" s="105"/>
      <c r="DE67" s="105">
        <v>16</v>
      </c>
      <c r="DF67" s="105">
        <v>599</v>
      </c>
      <c r="DG67" s="105">
        <v>116</v>
      </c>
      <c r="DH67" s="105">
        <v>41</v>
      </c>
      <c r="DI67" s="105"/>
      <c r="DJ67" s="105">
        <v>0</v>
      </c>
      <c r="DK67" s="105">
        <v>2</v>
      </c>
      <c r="DL67" s="105">
        <v>303</v>
      </c>
      <c r="DM67" s="105"/>
      <c r="DN67" s="105">
        <v>91</v>
      </c>
      <c r="DO67" s="105">
        <v>2</v>
      </c>
      <c r="DP67" s="105">
        <v>1252</v>
      </c>
      <c r="DQ67" s="1644">
        <f t="shared" si="9"/>
        <v>0.81440000000000001</v>
      </c>
      <c r="DS67" s="1311"/>
      <c r="DT67" s="1311"/>
      <c r="DU67" s="1319" t="s">
        <v>53</v>
      </c>
      <c r="DV67" s="1320">
        <v>63</v>
      </c>
      <c r="DW67" s="1320">
        <v>17</v>
      </c>
      <c r="DX67" s="1321"/>
      <c r="DY67" s="1320">
        <v>17</v>
      </c>
      <c r="DZ67" s="1320">
        <v>690</v>
      </c>
      <c r="EA67" s="1320">
        <v>119</v>
      </c>
      <c r="EB67" s="1320">
        <v>49</v>
      </c>
      <c r="EC67" s="1321"/>
      <c r="ED67" s="1320">
        <v>0</v>
      </c>
      <c r="EE67" s="1320">
        <v>0</v>
      </c>
      <c r="EF67" s="1320">
        <v>297</v>
      </c>
      <c r="EG67" s="1321"/>
      <c r="EH67" s="1320">
        <v>109</v>
      </c>
      <c r="EI67" s="1320">
        <v>3</v>
      </c>
      <c r="EJ67" s="1320">
        <v>1364</v>
      </c>
      <c r="EK67" s="1322">
        <f t="shared" si="10"/>
        <v>0.81263776634827334</v>
      </c>
      <c r="EM67" s="1047"/>
      <c r="EN67" s="1047"/>
      <c r="EO67" s="1060" t="s">
        <v>53</v>
      </c>
      <c r="EP67" s="1061">
        <v>56</v>
      </c>
      <c r="EQ67" s="1061">
        <v>24</v>
      </c>
      <c r="ER67" s="1061">
        <v>0</v>
      </c>
      <c r="ES67" s="1061">
        <v>24</v>
      </c>
      <c r="ET67" s="1061">
        <v>818</v>
      </c>
      <c r="EU67" s="1061">
        <v>120</v>
      </c>
      <c r="EV67" s="1061">
        <v>49</v>
      </c>
      <c r="EW67" s="1047"/>
      <c r="EX67" s="1061">
        <v>0</v>
      </c>
      <c r="EY67" s="1061">
        <v>1</v>
      </c>
      <c r="EZ67" s="1061">
        <v>296</v>
      </c>
      <c r="FA67" s="1061">
        <v>197</v>
      </c>
      <c r="FB67" s="1061">
        <v>0</v>
      </c>
      <c r="FC67" s="1061">
        <v>1585</v>
      </c>
      <c r="FD67" s="537">
        <f t="shared" si="11"/>
        <v>0.77854889589905363</v>
      </c>
      <c r="FF67" s="652"/>
      <c r="FG67" s="652"/>
      <c r="FH67" s="1062" t="s">
        <v>53</v>
      </c>
      <c r="FI67" s="1063">
        <v>29</v>
      </c>
      <c r="FJ67" s="1063">
        <v>33</v>
      </c>
      <c r="FK67" s="652"/>
      <c r="FL67" s="1063">
        <v>27</v>
      </c>
      <c r="FM67" s="1063">
        <v>837</v>
      </c>
      <c r="FN67" s="1063">
        <v>164</v>
      </c>
      <c r="FO67" s="1063">
        <v>51</v>
      </c>
      <c r="FP67" s="652"/>
      <c r="FQ67" s="652"/>
      <c r="FR67" s="1063">
        <v>0</v>
      </c>
      <c r="FS67" s="1063">
        <v>287</v>
      </c>
      <c r="FT67" s="1063">
        <v>194</v>
      </c>
      <c r="FU67" s="1063">
        <v>0</v>
      </c>
      <c r="FV67" s="1063">
        <v>1622</v>
      </c>
      <c r="FW67" s="537">
        <f t="shared" si="12"/>
        <v>0.79408138101109738</v>
      </c>
      <c r="FY67" s="817"/>
      <c r="FZ67" s="817"/>
      <c r="GA67" s="1064" t="s">
        <v>55</v>
      </c>
      <c r="GB67" s="1065">
        <v>112</v>
      </c>
      <c r="GC67" s="1065">
        <v>76</v>
      </c>
      <c r="GD67" s="1065">
        <v>1</v>
      </c>
      <c r="GE67" s="1065">
        <v>123</v>
      </c>
      <c r="GF67" s="1065">
        <v>718</v>
      </c>
      <c r="GG67" s="1065">
        <v>209</v>
      </c>
      <c r="GH67" s="1065">
        <v>132</v>
      </c>
      <c r="GI67" s="1065">
        <v>0</v>
      </c>
      <c r="GJ67" s="1065">
        <v>5</v>
      </c>
      <c r="GK67" s="1065">
        <v>286</v>
      </c>
      <c r="GL67" s="1065">
        <v>368</v>
      </c>
      <c r="GM67" s="1065">
        <v>496</v>
      </c>
      <c r="GN67" s="1065">
        <v>0</v>
      </c>
      <c r="GO67" s="1065">
        <v>13</v>
      </c>
      <c r="GP67" s="1065">
        <v>2539</v>
      </c>
      <c r="GQ67" s="1066">
        <f t="shared" si="13"/>
        <v>0.56209453197405002</v>
      </c>
      <c r="GS67" s="107"/>
      <c r="GT67" s="107"/>
      <c r="GU67" s="47" t="s">
        <v>55</v>
      </c>
      <c r="GV67" s="47">
        <v>121</v>
      </c>
      <c r="GW67" s="47">
        <v>88</v>
      </c>
      <c r="GX67" s="47"/>
      <c r="GY67" s="47">
        <v>130</v>
      </c>
      <c r="GZ67" s="47">
        <v>689</v>
      </c>
      <c r="HA67" s="47">
        <v>208</v>
      </c>
      <c r="HB67" s="47">
        <v>142</v>
      </c>
      <c r="HC67" s="47"/>
      <c r="HD67" s="47">
        <v>5</v>
      </c>
      <c r="HE67" s="47">
        <v>322</v>
      </c>
      <c r="HF67" s="47">
        <v>359</v>
      </c>
      <c r="HG67" s="47">
        <v>500</v>
      </c>
      <c r="HH67" s="47">
        <v>0</v>
      </c>
      <c r="HI67" s="47">
        <v>14</v>
      </c>
      <c r="HJ67" s="47">
        <v>2578</v>
      </c>
      <c r="HK67" s="1067">
        <f t="shared" si="1"/>
        <v>0.55283446712018136</v>
      </c>
      <c r="HL67" s="47"/>
      <c r="HM67" s="420"/>
      <c r="HN67" s="420"/>
      <c r="HO67" s="420" t="s">
        <v>55</v>
      </c>
      <c r="HP67" s="1068">
        <v>152</v>
      </c>
      <c r="HQ67" s="1068">
        <v>77</v>
      </c>
      <c r="HR67" s="1068" t="s">
        <v>327</v>
      </c>
      <c r="HS67" s="1068">
        <v>123</v>
      </c>
      <c r="HT67" s="1068">
        <v>609</v>
      </c>
      <c r="HU67" s="1068">
        <v>200</v>
      </c>
      <c r="HV67" s="1068">
        <v>137</v>
      </c>
      <c r="HW67" s="1068" t="s">
        <v>327</v>
      </c>
      <c r="HX67" s="1068">
        <v>9</v>
      </c>
      <c r="HY67" s="1068">
        <v>358</v>
      </c>
      <c r="HZ67" s="1068">
        <v>522</v>
      </c>
      <c r="IA67" s="1068" t="s">
        <v>327</v>
      </c>
      <c r="IB67" s="1068">
        <v>2187</v>
      </c>
      <c r="IC67" s="1068">
        <f t="shared" si="2"/>
        <v>1167</v>
      </c>
      <c r="ID67" s="1069">
        <f t="shared" si="3"/>
        <v>0.53360768175582995</v>
      </c>
      <c r="IE67" s="47"/>
      <c r="IF67" s="47"/>
    </row>
    <row r="68" spans="1:240">
      <c r="A68" s="41"/>
      <c r="B68" s="41"/>
      <c r="C68" s="41" t="s">
        <v>53</v>
      </c>
      <c r="D68" s="105">
        <v>88</v>
      </c>
      <c r="E68" s="105">
        <v>42</v>
      </c>
      <c r="F68" s="105"/>
      <c r="G68" s="105">
        <v>17</v>
      </c>
      <c r="H68" s="105">
        <v>480</v>
      </c>
      <c r="I68" s="105">
        <v>125</v>
      </c>
      <c r="J68" s="105">
        <v>13</v>
      </c>
      <c r="K68" s="105">
        <v>0</v>
      </c>
      <c r="L68" s="105">
        <v>0</v>
      </c>
      <c r="M68" s="105">
        <v>3</v>
      </c>
      <c r="N68" s="105">
        <v>368</v>
      </c>
      <c r="O68" s="105"/>
      <c r="P68" s="105">
        <v>128</v>
      </c>
      <c r="Q68" s="105">
        <v>1</v>
      </c>
      <c r="R68" s="105">
        <v>1265</v>
      </c>
      <c r="S68" s="706">
        <f t="shared" si="4"/>
        <v>0.76977848101265822</v>
      </c>
      <c r="T68" s="5561">
        <f t="shared" si="5"/>
        <v>4</v>
      </c>
      <c r="U68" s="5562">
        <v>1261</v>
      </c>
      <c r="V68" s="706"/>
      <c r="Y68" s="41" t="s">
        <v>54</v>
      </c>
      <c r="Z68" s="41">
        <v>42</v>
      </c>
      <c r="AA68" s="41">
        <v>31</v>
      </c>
      <c r="AB68" s="41"/>
      <c r="AC68" s="41">
        <v>73</v>
      </c>
      <c r="AD68" s="41">
        <v>885</v>
      </c>
      <c r="AE68" s="41">
        <v>214</v>
      </c>
      <c r="AF68" s="41">
        <v>123</v>
      </c>
      <c r="AG68" s="41"/>
      <c r="AH68" s="41">
        <v>3</v>
      </c>
      <c r="AI68" s="41">
        <v>10</v>
      </c>
      <c r="AJ68" s="41">
        <v>126</v>
      </c>
      <c r="AK68" s="41"/>
      <c r="AL68" s="41">
        <v>198</v>
      </c>
      <c r="AM68" s="41">
        <v>3</v>
      </c>
      <c r="AN68" s="461">
        <v>1708</v>
      </c>
      <c r="AO68" s="4692">
        <f t="shared" si="6"/>
        <v>0.71847507331378302</v>
      </c>
      <c r="AQ68" s="1788"/>
      <c r="AR68" s="1788"/>
      <c r="AS68" s="37" t="s">
        <v>54</v>
      </c>
      <c r="AT68" s="1788">
        <v>173</v>
      </c>
      <c r="AU68" s="1788">
        <v>84</v>
      </c>
      <c r="AV68" s="1788">
        <v>0</v>
      </c>
      <c r="AW68" s="1788">
        <v>69</v>
      </c>
      <c r="AX68" s="1788">
        <v>637</v>
      </c>
      <c r="AY68" s="1788">
        <v>260</v>
      </c>
      <c r="AZ68" s="1788">
        <v>66</v>
      </c>
      <c r="BA68" s="1788"/>
      <c r="BB68" s="1788">
        <v>3</v>
      </c>
      <c r="BC68" s="1788">
        <v>18</v>
      </c>
      <c r="BD68" s="1788">
        <v>193</v>
      </c>
      <c r="BE68" s="1788"/>
      <c r="BF68" s="1788">
        <v>238</v>
      </c>
      <c r="BG68" s="1788">
        <v>1</v>
      </c>
      <c r="BH68" s="1788">
        <v>1742</v>
      </c>
      <c r="BI68" s="4701">
        <f t="shared" si="7"/>
        <v>0.62607696726019524</v>
      </c>
      <c r="BK68" s="41"/>
      <c r="BL68" s="41"/>
      <c r="BM68" s="41" t="s">
        <v>54</v>
      </c>
      <c r="BN68" s="105">
        <v>125</v>
      </c>
      <c r="BO68" s="105">
        <v>56</v>
      </c>
      <c r="BP68" s="105"/>
      <c r="BQ68" s="105">
        <v>0</v>
      </c>
      <c r="BR68" s="105">
        <v>740</v>
      </c>
      <c r="BS68" s="105">
        <v>206</v>
      </c>
      <c r="BT68" s="105">
        <v>52</v>
      </c>
      <c r="BU68" s="105"/>
      <c r="BV68" s="105">
        <v>1</v>
      </c>
      <c r="BW68" s="105">
        <v>13</v>
      </c>
      <c r="BX68" s="105">
        <v>200</v>
      </c>
      <c r="BY68" s="105"/>
      <c r="BZ68" s="105">
        <v>236</v>
      </c>
      <c r="CA68" s="105">
        <v>1</v>
      </c>
      <c r="CB68" s="105">
        <v>1630</v>
      </c>
      <c r="CC68" s="2484">
        <f t="shared" si="8"/>
        <v>0.7034990791896869</v>
      </c>
      <c r="CE68" s="41"/>
      <c r="CF68" s="41"/>
      <c r="CG68" s="41" t="s">
        <v>54</v>
      </c>
      <c r="CH68" s="105">
        <v>108</v>
      </c>
      <c r="CI68" s="105">
        <v>62</v>
      </c>
      <c r="CJ68" s="105">
        <v>0</v>
      </c>
      <c r="CK68" s="105">
        <v>66</v>
      </c>
      <c r="CL68" s="105">
        <v>713</v>
      </c>
      <c r="CM68" s="105">
        <v>192</v>
      </c>
      <c r="CN68" s="105">
        <v>65</v>
      </c>
      <c r="CO68" s="105">
        <v>1</v>
      </c>
      <c r="CP68" s="105">
        <v>3</v>
      </c>
      <c r="CQ68" s="105">
        <v>8</v>
      </c>
      <c r="CR68" s="105">
        <v>207</v>
      </c>
      <c r="CS68" s="105"/>
      <c r="CT68" s="105">
        <v>220</v>
      </c>
      <c r="CU68" s="105">
        <v>2</v>
      </c>
      <c r="CV68" s="105">
        <v>1647</v>
      </c>
      <c r="CW68" s="1644">
        <f t="shared" si="0"/>
        <v>0.67598784194528871</v>
      </c>
      <c r="CX68" s="1976"/>
      <c r="CY68" s="41"/>
      <c r="CZ68" s="41"/>
      <c r="DA68" s="41" t="s">
        <v>54</v>
      </c>
      <c r="DB68" s="105">
        <v>122</v>
      </c>
      <c r="DC68" s="105">
        <v>60</v>
      </c>
      <c r="DD68" s="105"/>
      <c r="DE68" s="105">
        <v>71</v>
      </c>
      <c r="DF68" s="105">
        <v>764</v>
      </c>
      <c r="DG68" s="105">
        <v>188</v>
      </c>
      <c r="DH68" s="105">
        <v>84</v>
      </c>
      <c r="DI68" s="105"/>
      <c r="DJ68" s="105">
        <v>3</v>
      </c>
      <c r="DK68" s="105">
        <v>8</v>
      </c>
      <c r="DL68" s="105">
        <v>157</v>
      </c>
      <c r="DM68" s="105"/>
      <c r="DN68" s="105">
        <v>215</v>
      </c>
      <c r="DO68" s="105">
        <v>2</v>
      </c>
      <c r="DP68" s="105">
        <v>1674</v>
      </c>
      <c r="DQ68" s="1644">
        <f t="shared" si="9"/>
        <v>0.66327751196172247</v>
      </c>
      <c r="DS68" s="1311"/>
      <c r="DT68" s="1311"/>
      <c r="DU68" s="1319" t="s">
        <v>54</v>
      </c>
      <c r="DV68" s="1320">
        <v>100</v>
      </c>
      <c r="DW68" s="1320">
        <v>55</v>
      </c>
      <c r="DX68" s="1321"/>
      <c r="DY68" s="1320">
        <v>78</v>
      </c>
      <c r="DZ68" s="1320">
        <v>802</v>
      </c>
      <c r="EA68" s="1320">
        <v>202</v>
      </c>
      <c r="EB68" s="1320">
        <v>90</v>
      </c>
      <c r="EC68" s="1321"/>
      <c r="ED68" s="1320">
        <v>3</v>
      </c>
      <c r="EE68" s="1320">
        <v>14</v>
      </c>
      <c r="EF68" s="1320">
        <v>151</v>
      </c>
      <c r="EG68" s="1321"/>
      <c r="EH68" s="1320">
        <v>230</v>
      </c>
      <c r="EI68" s="1320">
        <v>1</v>
      </c>
      <c r="EJ68" s="1320">
        <v>1726</v>
      </c>
      <c r="EK68" s="1322">
        <f t="shared" si="10"/>
        <v>0.66956521739130437</v>
      </c>
      <c r="EM68" s="1047"/>
      <c r="EN68" s="1047"/>
      <c r="EO68" s="1060" t="s">
        <v>54</v>
      </c>
      <c r="EP68" s="1061">
        <v>106</v>
      </c>
      <c r="EQ68" s="1061">
        <v>62</v>
      </c>
      <c r="ER68" s="1061">
        <v>0</v>
      </c>
      <c r="ES68" s="1061">
        <v>111</v>
      </c>
      <c r="ET68" s="1061">
        <v>818</v>
      </c>
      <c r="EU68" s="1061">
        <v>208</v>
      </c>
      <c r="EV68" s="1061">
        <v>97</v>
      </c>
      <c r="EW68" s="1047"/>
      <c r="EX68" s="1061">
        <v>1</v>
      </c>
      <c r="EY68" s="1061">
        <v>13</v>
      </c>
      <c r="EZ68" s="1061">
        <v>158</v>
      </c>
      <c r="FA68" s="1061">
        <v>322</v>
      </c>
      <c r="FB68" s="1061">
        <v>0</v>
      </c>
      <c r="FC68" s="1061">
        <v>1896</v>
      </c>
      <c r="FD68" s="537">
        <f t="shared" si="11"/>
        <v>0.62447257383966248</v>
      </c>
      <c r="FF68" s="652"/>
      <c r="FG68" s="652"/>
      <c r="FH68" s="1062" t="s">
        <v>54</v>
      </c>
      <c r="FI68" s="1063">
        <v>87</v>
      </c>
      <c r="FJ68" s="1063">
        <v>75</v>
      </c>
      <c r="FK68" s="652"/>
      <c r="FL68" s="1063">
        <v>111</v>
      </c>
      <c r="FM68" s="1063">
        <v>795</v>
      </c>
      <c r="FN68" s="1063">
        <v>240</v>
      </c>
      <c r="FO68" s="1063">
        <v>92</v>
      </c>
      <c r="FP68" s="652"/>
      <c r="FQ68" s="652"/>
      <c r="FR68" s="1063">
        <v>6</v>
      </c>
      <c r="FS68" s="1063">
        <v>166</v>
      </c>
      <c r="FT68" s="1063">
        <v>349</v>
      </c>
      <c r="FU68" s="1063">
        <v>0</v>
      </c>
      <c r="FV68" s="1063">
        <v>1921</v>
      </c>
      <c r="FW68" s="537">
        <f t="shared" si="12"/>
        <v>0.62519521082769391</v>
      </c>
      <c r="FY68" s="817"/>
      <c r="FZ68" s="817"/>
      <c r="GA68" s="1064" t="s">
        <v>56</v>
      </c>
      <c r="GB68" s="1065">
        <v>61</v>
      </c>
      <c r="GC68" s="1065">
        <v>16</v>
      </c>
      <c r="GD68" s="1065">
        <v>0</v>
      </c>
      <c r="GE68" s="1065">
        <v>130</v>
      </c>
      <c r="GF68" s="1065">
        <v>235</v>
      </c>
      <c r="GG68" s="1065">
        <v>127</v>
      </c>
      <c r="GH68" s="1065">
        <v>69</v>
      </c>
      <c r="GI68" s="1065">
        <v>0</v>
      </c>
      <c r="GJ68" s="1065">
        <v>2</v>
      </c>
      <c r="GK68" s="1065">
        <v>105</v>
      </c>
      <c r="GL68" s="1065">
        <v>217</v>
      </c>
      <c r="GM68" s="1065">
        <v>231</v>
      </c>
      <c r="GN68" s="1065">
        <v>35</v>
      </c>
      <c r="GO68" s="1065">
        <v>10</v>
      </c>
      <c r="GP68" s="1065">
        <v>1238</v>
      </c>
      <c r="GQ68" s="1066">
        <f t="shared" si="13"/>
        <v>0.4619188921859545</v>
      </c>
      <c r="GS68" s="107"/>
      <c r="GT68" s="107"/>
      <c r="GU68" s="47" t="s">
        <v>56</v>
      </c>
      <c r="GV68" s="47">
        <v>49</v>
      </c>
      <c r="GW68" s="47">
        <v>17</v>
      </c>
      <c r="GX68" s="47"/>
      <c r="GY68" s="47">
        <v>118</v>
      </c>
      <c r="GZ68" s="47">
        <v>184</v>
      </c>
      <c r="HA68" s="47">
        <v>118</v>
      </c>
      <c r="HB68" s="47">
        <v>40</v>
      </c>
      <c r="HC68" s="47"/>
      <c r="HD68" s="47">
        <v>0</v>
      </c>
      <c r="HE68" s="47">
        <v>88</v>
      </c>
      <c r="HF68" s="47">
        <v>208</v>
      </c>
      <c r="HG68" s="47">
        <v>257</v>
      </c>
      <c r="HH68" s="47">
        <v>35</v>
      </c>
      <c r="HI68" s="47">
        <v>12</v>
      </c>
      <c r="HJ68" s="47">
        <v>1126</v>
      </c>
      <c r="HK68" s="1067">
        <f t="shared" si="1"/>
        <v>0.43046357615894038</v>
      </c>
      <c r="HL68" s="47"/>
      <c r="HM68" s="420"/>
      <c r="HN68" s="420"/>
      <c r="HO68" s="420" t="s">
        <v>56</v>
      </c>
      <c r="HP68" s="1068">
        <v>32</v>
      </c>
      <c r="HQ68" s="1068">
        <v>18</v>
      </c>
      <c r="HR68" s="1068" t="s">
        <v>327</v>
      </c>
      <c r="HS68" s="1068">
        <v>97</v>
      </c>
      <c r="HT68" s="1068">
        <v>160</v>
      </c>
      <c r="HU68" s="1068">
        <v>84</v>
      </c>
      <c r="HV68" s="1068">
        <v>51</v>
      </c>
      <c r="HW68" s="1068" t="s">
        <v>327</v>
      </c>
      <c r="HX68" s="1068">
        <v>2</v>
      </c>
      <c r="HY68" s="1068">
        <v>107</v>
      </c>
      <c r="HZ68" s="1068">
        <v>242</v>
      </c>
      <c r="IA68" s="1068">
        <v>23</v>
      </c>
      <c r="IB68" s="1068">
        <v>816</v>
      </c>
      <c r="IC68" s="1068">
        <f t="shared" si="2"/>
        <v>351</v>
      </c>
      <c r="ID68" s="1069">
        <f t="shared" si="3"/>
        <v>0.43014705882352944</v>
      </c>
      <c r="IE68" s="47"/>
      <c r="IF68" s="47"/>
    </row>
    <row r="69" spans="1:240">
      <c r="A69" s="41"/>
      <c r="B69" s="41"/>
      <c r="C69" s="41" t="s">
        <v>54</v>
      </c>
      <c r="D69" s="105">
        <v>222</v>
      </c>
      <c r="E69" s="105">
        <v>82</v>
      </c>
      <c r="F69" s="105"/>
      <c r="G69" s="105">
        <v>68</v>
      </c>
      <c r="H69" s="105">
        <v>631</v>
      </c>
      <c r="I69" s="105">
        <v>234</v>
      </c>
      <c r="J69" s="105">
        <v>28</v>
      </c>
      <c r="K69" s="105">
        <v>0</v>
      </c>
      <c r="L69" s="105">
        <v>3</v>
      </c>
      <c r="M69" s="105">
        <v>21</v>
      </c>
      <c r="N69" s="105">
        <v>257</v>
      </c>
      <c r="O69" s="105"/>
      <c r="P69" s="105">
        <v>262</v>
      </c>
      <c r="Q69" s="105">
        <v>1</v>
      </c>
      <c r="R69" s="105">
        <v>1809</v>
      </c>
      <c r="S69" s="706">
        <f t="shared" si="4"/>
        <v>0.62057522123893805</v>
      </c>
      <c r="T69" s="5561">
        <f t="shared" si="5"/>
        <v>3</v>
      </c>
      <c r="U69" s="5562">
        <v>1806</v>
      </c>
      <c r="V69" s="706"/>
      <c r="Y69" s="41" t="s">
        <v>55</v>
      </c>
      <c r="Z69" s="41">
        <v>97</v>
      </c>
      <c r="AA69" s="41">
        <v>45</v>
      </c>
      <c r="AB69" s="41"/>
      <c r="AC69" s="41">
        <v>76</v>
      </c>
      <c r="AD69" s="41">
        <v>640</v>
      </c>
      <c r="AE69" s="41">
        <v>134</v>
      </c>
      <c r="AF69" s="41">
        <v>149</v>
      </c>
      <c r="AG69" s="41"/>
      <c r="AH69" s="41">
        <v>0</v>
      </c>
      <c r="AI69" s="41">
        <v>3</v>
      </c>
      <c r="AJ69" s="41">
        <v>271</v>
      </c>
      <c r="AK69" s="41"/>
      <c r="AL69" s="41">
        <v>226</v>
      </c>
      <c r="AM69" s="41">
        <v>2</v>
      </c>
      <c r="AN69" s="461">
        <v>1643</v>
      </c>
      <c r="AO69" s="4692">
        <f t="shared" si="6"/>
        <v>0.63680682510664233</v>
      </c>
      <c r="AQ69" s="1788"/>
      <c r="AR69" s="1788"/>
      <c r="AS69" s="37" t="s">
        <v>55</v>
      </c>
      <c r="AT69" s="1788">
        <v>328</v>
      </c>
      <c r="AU69" s="1788">
        <v>86</v>
      </c>
      <c r="AV69" s="1788">
        <v>0</v>
      </c>
      <c r="AW69" s="1788">
        <v>84</v>
      </c>
      <c r="AX69" s="1788">
        <v>461</v>
      </c>
      <c r="AY69" s="1788">
        <v>154</v>
      </c>
      <c r="AZ69" s="1788">
        <v>49</v>
      </c>
      <c r="BA69" s="1788"/>
      <c r="BB69" s="1788">
        <v>0</v>
      </c>
      <c r="BC69" s="1788">
        <v>5</v>
      </c>
      <c r="BD69" s="1788">
        <v>250</v>
      </c>
      <c r="BE69" s="1788"/>
      <c r="BF69" s="1788">
        <v>271</v>
      </c>
      <c r="BG69" s="1788">
        <v>2</v>
      </c>
      <c r="BH69" s="1788">
        <v>1690</v>
      </c>
      <c r="BI69" s="4701">
        <f t="shared" si="7"/>
        <v>0.51244075829383884</v>
      </c>
      <c r="BK69" s="41"/>
      <c r="BL69" s="41"/>
      <c r="BM69" s="41" t="s">
        <v>55</v>
      </c>
      <c r="BN69" s="105">
        <v>255</v>
      </c>
      <c r="BO69" s="105">
        <v>74</v>
      </c>
      <c r="BP69" s="105"/>
      <c r="BQ69" s="105">
        <v>0</v>
      </c>
      <c r="BR69" s="105">
        <v>522</v>
      </c>
      <c r="BS69" s="105">
        <v>133</v>
      </c>
      <c r="BT69" s="105">
        <v>79</v>
      </c>
      <c r="BU69" s="105"/>
      <c r="BV69" s="105">
        <v>0</v>
      </c>
      <c r="BW69" s="105">
        <v>11</v>
      </c>
      <c r="BX69" s="105">
        <v>231</v>
      </c>
      <c r="BY69" s="105"/>
      <c r="BZ69" s="105">
        <v>260</v>
      </c>
      <c r="CA69" s="105">
        <v>0</v>
      </c>
      <c r="CB69" s="105">
        <v>1565</v>
      </c>
      <c r="CC69" s="2484">
        <f t="shared" si="8"/>
        <v>0.56613418530351434</v>
      </c>
      <c r="CE69" s="41"/>
      <c r="CF69" s="41"/>
      <c r="CG69" s="41" t="s">
        <v>55</v>
      </c>
      <c r="CH69" s="105">
        <v>239</v>
      </c>
      <c r="CI69" s="105">
        <v>65</v>
      </c>
      <c r="CJ69" s="105">
        <v>0</v>
      </c>
      <c r="CK69" s="105">
        <v>82</v>
      </c>
      <c r="CL69" s="105">
        <v>520</v>
      </c>
      <c r="CM69" s="105">
        <v>144</v>
      </c>
      <c r="CN69" s="105">
        <v>88</v>
      </c>
      <c r="CO69" s="105">
        <v>1</v>
      </c>
      <c r="CP69" s="105">
        <v>0</v>
      </c>
      <c r="CQ69" s="105">
        <v>2</v>
      </c>
      <c r="CR69" s="105">
        <v>278</v>
      </c>
      <c r="CS69" s="105"/>
      <c r="CT69" s="105">
        <v>261</v>
      </c>
      <c r="CU69" s="105">
        <v>2</v>
      </c>
      <c r="CV69" s="105">
        <v>1682</v>
      </c>
      <c r="CW69" s="1644">
        <f t="shared" si="0"/>
        <v>0.56071428571428572</v>
      </c>
      <c r="CX69" s="1976"/>
      <c r="CY69" s="41"/>
      <c r="CZ69" s="41"/>
      <c r="DA69" s="41" t="s">
        <v>55</v>
      </c>
      <c r="DB69" s="105">
        <v>160</v>
      </c>
      <c r="DC69" s="105">
        <v>87</v>
      </c>
      <c r="DD69" s="105"/>
      <c r="DE69" s="105">
        <v>73</v>
      </c>
      <c r="DF69" s="105">
        <v>553</v>
      </c>
      <c r="DG69" s="105">
        <v>145</v>
      </c>
      <c r="DH69" s="105">
        <v>97</v>
      </c>
      <c r="DI69" s="105"/>
      <c r="DJ69" s="105">
        <v>0</v>
      </c>
      <c r="DK69" s="105">
        <v>5</v>
      </c>
      <c r="DL69" s="105">
        <v>324</v>
      </c>
      <c r="DM69" s="105"/>
      <c r="DN69" s="105">
        <v>259</v>
      </c>
      <c r="DO69" s="105">
        <v>5</v>
      </c>
      <c r="DP69" s="105">
        <v>1708</v>
      </c>
      <c r="DQ69" s="1644">
        <f t="shared" si="9"/>
        <v>0.60011743981209631</v>
      </c>
      <c r="DS69" s="1311"/>
      <c r="DT69" s="1311"/>
      <c r="DU69" s="1319" t="s">
        <v>55</v>
      </c>
      <c r="DV69" s="1320">
        <v>132</v>
      </c>
      <c r="DW69" s="1320">
        <v>79</v>
      </c>
      <c r="DX69" s="1321"/>
      <c r="DY69" s="1320">
        <v>74</v>
      </c>
      <c r="DZ69" s="1320">
        <v>633</v>
      </c>
      <c r="EA69" s="1320">
        <v>140</v>
      </c>
      <c r="EB69" s="1320">
        <v>93</v>
      </c>
      <c r="EC69" s="1321"/>
      <c r="ED69" s="1320">
        <v>0</v>
      </c>
      <c r="EE69" s="1320">
        <v>8</v>
      </c>
      <c r="EF69" s="1320">
        <v>280</v>
      </c>
      <c r="EG69" s="1321"/>
      <c r="EH69" s="1320">
        <v>306</v>
      </c>
      <c r="EI69" s="1320">
        <v>4</v>
      </c>
      <c r="EJ69" s="1320">
        <v>1749</v>
      </c>
      <c r="EK69" s="1322">
        <f t="shared" si="10"/>
        <v>0.60343839541547273</v>
      </c>
      <c r="EM69" s="1047"/>
      <c r="EN69" s="1047"/>
      <c r="EO69" s="1060" t="s">
        <v>55</v>
      </c>
      <c r="EP69" s="1061">
        <v>122</v>
      </c>
      <c r="EQ69" s="1061">
        <v>79</v>
      </c>
      <c r="ER69" s="1061">
        <v>0</v>
      </c>
      <c r="ES69" s="1061">
        <v>104</v>
      </c>
      <c r="ET69" s="1061">
        <v>697</v>
      </c>
      <c r="EU69" s="1061">
        <v>158</v>
      </c>
      <c r="EV69" s="1061">
        <v>123</v>
      </c>
      <c r="EW69" s="1047"/>
      <c r="EX69" s="1061">
        <v>0</v>
      </c>
      <c r="EY69" s="1061">
        <v>10</v>
      </c>
      <c r="EZ69" s="1061">
        <v>287</v>
      </c>
      <c r="FA69" s="1061">
        <v>437</v>
      </c>
      <c r="FB69" s="1061">
        <v>0</v>
      </c>
      <c r="FC69" s="1061">
        <v>2017</v>
      </c>
      <c r="FD69" s="537">
        <f t="shared" si="11"/>
        <v>0.56618740704015869</v>
      </c>
      <c r="FF69" s="652"/>
      <c r="FG69" s="652"/>
      <c r="FH69" s="1062" t="s">
        <v>55</v>
      </c>
      <c r="FI69" s="1063">
        <v>110</v>
      </c>
      <c r="FJ69" s="1063">
        <v>106</v>
      </c>
      <c r="FK69" s="652"/>
      <c r="FL69" s="1063">
        <v>111</v>
      </c>
      <c r="FM69" s="1063">
        <v>717</v>
      </c>
      <c r="FN69" s="1063">
        <v>188</v>
      </c>
      <c r="FO69" s="1063">
        <v>118</v>
      </c>
      <c r="FP69" s="652"/>
      <c r="FQ69" s="652"/>
      <c r="FR69" s="1063">
        <v>5</v>
      </c>
      <c r="FS69" s="1063">
        <v>271</v>
      </c>
      <c r="FT69" s="1063">
        <v>456</v>
      </c>
      <c r="FU69" s="1063">
        <v>0</v>
      </c>
      <c r="FV69" s="1063">
        <v>2082</v>
      </c>
      <c r="FW69" s="537">
        <f t="shared" si="12"/>
        <v>0.56484149855907784</v>
      </c>
      <c r="FY69" s="817"/>
      <c r="FZ69" s="817"/>
      <c r="GA69" s="1064" t="s">
        <v>259</v>
      </c>
      <c r="GB69" s="1065">
        <v>222</v>
      </c>
      <c r="GC69" s="1065">
        <v>41</v>
      </c>
      <c r="GD69" s="1065">
        <v>0</v>
      </c>
      <c r="GE69" s="1065">
        <v>27</v>
      </c>
      <c r="GF69" s="1065">
        <v>559</v>
      </c>
      <c r="GG69" s="1065">
        <v>95</v>
      </c>
      <c r="GH69" s="1065">
        <v>64</v>
      </c>
      <c r="GI69" s="1065">
        <v>0</v>
      </c>
      <c r="GJ69" s="1065">
        <v>6</v>
      </c>
      <c r="GK69" s="1065">
        <v>258</v>
      </c>
      <c r="GL69" s="1065">
        <v>455</v>
      </c>
      <c r="GM69" s="1065">
        <v>279</v>
      </c>
      <c r="GN69" s="1065">
        <v>0</v>
      </c>
      <c r="GO69" s="1065">
        <v>2</v>
      </c>
      <c r="GP69" s="1065">
        <v>2008</v>
      </c>
      <c r="GQ69" s="1066">
        <f t="shared" si="13"/>
        <v>0.58800773694390718</v>
      </c>
      <c r="GS69" s="107"/>
      <c r="GT69" s="107"/>
      <c r="GU69" s="47" t="s">
        <v>259</v>
      </c>
      <c r="GV69" s="47">
        <v>173</v>
      </c>
      <c r="GW69" s="47">
        <v>39</v>
      </c>
      <c r="GX69" s="47"/>
      <c r="GY69" s="47">
        <v>34</v>
      </c>
      <c r="GZ69" s="47">
        <v>502</v>
      </c>
      <c r="HA69" s="47">
        <v>107</v>
      </c>
      <c r="HB69" s="47">
        <v>81</v>
      </c>
      <c r="HC69" s="47"/>
      <c r="HD69" s="47">
        <v>7</v>
      </c>
      <c r="HE69" s="47">
        <v>278</v>
      </c>
      <c r="HF69" s="47">
        <v>429</v>
      </c>
      <c r="HG69" s="47">
        <v>268</v>
      </c>
      <c r="HH69" s="47">
        <v>0</v>
      </c>
      <c r="HI69" s="47">
        <v>3</v>
      </c>
      <c r="HJ69" s="47">
        <v>1921</v>
      </c>
      <c r="HK69" s="1067">
        <f t="shared" si="1"/>
        <v>0.59570181329751515</v>
      </c>
      <c r="HL69" s="47"/>
      <c r="HM69" s="420"/>
      <c r="HN69" s="420"/>
      <c r="HO69" s="420" t="s">
        <v>259</v>
      </c>
      <c r="HP69" s="1068">
        <v>215</v>
      </c>
      <c r="HQ69" s="1068">
        <v>29</v>
      </c>
      <c r="HR69" s="1068" t="s">
        <v>327</v>
      </c>
      <c r="HS69" s="1068">
        <v>37</v>
      </c>
      <c r="HT69" s="1068">
        <v>474</v>
      </c>
      <c r="HU69" s="1068">
        <v>59</v>
      </c>
      <c r="HV69" s="1068">
        <v>69</v>
      </c>
      <c r="HW69" s="1068" t="s">
        <v>327</v>
      </c>
      <c r="HX69" s="1068">
        <v>6</v>
      </c>
      <c r="HY69" s="1068">
        <v>336</v>
      </c>
      <c r="HZ69" s="1068">
        <v>297</v>
      </c>
      <c r="IA69" s="1068" t="s">
        <v>327</v>
      </c>
      <c r="IB69" s="1068">
        <v>1522</v>
      </c>
      <c r="IC69" s="1068">
        <f t="shared" si="2"/>
        <v>869</v>
      </c>
      <c r="ID69" s="1069">
        <f t="shared" si="3"/>
        <v>0.57095926412614983</v>
      </c>
      <c r="IE69" s="47"/>
      <c r="IF69" s="47"/>
    </row>
    <row r="70" spans="1:240">
      <c r="A70" s="41"/>
      <c r="B70" s="41"/>
      <c r="C70" s="41" t="s">
        <v>55</v>
      </c>
      <c r="D70" s="105">
        <v>343</v>
      </c>
      <c r="E70" s="105">
        <v>93</v>
      </c>
      <c r="F70" s="105"/>
      <c r="G70" s="105">
        <v>87</v>
      </c>
      <c r="H70" s="105">
        <v>433</v>
      </c>
      <c r="I70" s="105">
        <v>122</v>
      </c>
      <c r="J70" s="105">
        <v>16</v>
      </c>
      <c r="K70" s="105">
        <v>1</v>
      </c>
      <c r="L70" s="105">
        <v>1</v>
      </c>
      <c r="M70" s="105">
        <v>11</v>
      </c>
      <c r="N70" s="105">
        <v>334</v>
      </c>
      <c r="O70" s="105"/>
      <c r="P70" s="105">
        <v>283</v>
      </c>
      <c r="Q70" s="105">
        <v>3</v>
      </c>
      <c r="R70" s="105">
        <v>1727</v>
      </c>
      <c r="S70" s="706">
        <f t="shared" si="4"/>
        <v>0.51566125290023201</v>
      </c>
      <c r="T70" s="5561">
        <f t="shared" si="5"/>
        <v>16</v>
      </c>
      <c r="U70" s="5562">
        <v>1711</v>
      </c>
      <c r="V70" s="706"/>
      <c r="Y70" s="41" t="s">
        <v>56</v>
      </c>
      <c r="Z70" s="41">
        <v>22</v>
      </c>
      <c r="AA70" s="41">
        <v>18</v>
      </c>
      <c r="AB70" s="41"/>
      <c r="AC70" s="41">
        <v>142</v>
      </c>
      <c r="AD70" s="41">
        <v>450</v>
      </c>
      <c r="AE70" s="41">
        <v>172</v>
      </c>
      <c r="AF70" s="41">
        <v>89</v>
      </c>
      <c r="AG70" s="41"/>
      <c r="AH70" s="41">
        <v>0</v>
      </c>
      <c r="AI70" s="41">
        <v>2</v>
      </c>
      <c r="AJ70" s="41">
        <v>145</v>
      </c>
      <c r="AK70" s="41"/>
      <c r="AL70" s="41">
        <v>198</v>
      </c>
      <c r="AM70" s="41">
        <v>1</v>
      </c>
      <c r="AN70" s="461">
        <v>1239</v>
      </c>
      <c r="AO70" s="4692">
        <f t="shared" si="6"/>
        <v>0.61954765751211627</v>
      </c>
      <c r="AQ70" s="1788"/>
      <c r="AR70" s="1788"/>
      <c r="AS70" s="37" t="s">
        <v>56</v>
      </c>
      <c r="AT70" s="1788">
        <v>61</v>
      </c>
      <c r="AU70" s="1788">
        <v>40</v>
      </c>
      <c r="AV70" s="1788">
        <v>1</v>
      </c>
      <c r="AW70" s="1788">
        <v>137</v>
      </c>
      <c r="AX70" s="1788">
        <v>309</v>
      </c>
      <c r="AY70" s="1788">
        <v>186</v>
      </c>
      <c r="AZ70" s="1788">
        <v>37</v>
      </c>
      <c r="BA70" s="1788"/>
      <c r="BB70" s="1788">
        <v>0</v>
      </c>
      <c r="BC70" s="1788">
        <v>1</v>
      </c>
      <c r="BD70" s="1788">
        <v>204</v>
      </c>
      <c r="BE70" s="1788"/>
      <c r="BF70" s="1788">
        <v>239</v>
      </c>
      <c r="BG70" s="1788">
        <v>1</v>
      </c>
      <c r="BH70" s="1788">
        <v>1216</v>
      </c>
      <c r="BI70" s="4701">
        <f t="shared" si="7"/>
        <v>0.57530864197530862</v>
      </c>
      <c r="BK70" s="41"/>
      <c r="BL70" s="41"/>
      <c r="BM70" s="41" t="s">
        <v>56</v>
      </c>
      <c r="BN70" s="105">
        <v>53</v>
      </c>
      <c r="BO70" s="105">
        <v>31</v>
      </c>
      <c r="BP70" s="105"/>
      <c r="BQ70" s="105">
        <v>0</v>
      </c>
      <c r="BR70" s="105">
        <v>386</v>
      </c>
      <c r="BS70" s="105">
        <v>159</v>
      </c>
      <c r="BT70" s="105">
        <v>39</v>
      </c>
      <c r="BU70" s="105"/>
      <c r="BV70" s="105">
        <v>0</v>
      </c>
      <c r="BW70" s="105">
        <v>3</v>
      </c>
      <c r="BX70" s="105">
        <v>189</v>
      </c>
      <c r="BY70" s="105"/>
      <c r="BZ70" s="105">
        <v>234</v>
      </c>
      <c r="CA70" s="105">
        <v>0</v>
      </c>
      <c r="CB70" s="105">
        <v>1094</v>
      </c>
      <c r="CC70" s="2484">
        <f t="shared" si="8"/>
        <v>0.67093235831809872</v>
      </c>
      <c r="CE70" s="41"/>
      <c r="CF70" s="41"/>
      <c r="CG70" s="41" t="s">
        <v>56</v>
      </c>
      <c r="CH70" s="105">
        <v>46</v>
      </c>
      <c r="CI70" s="105">
        <v>44</v>
      </c>
      <c r="CJ70" s="105">
        <v>0</v>
      </c>
      <c r="CK70" s="105">
        <v>144</v>
      </c>
      <c r="CL70" s="105">
        <v>378</v>
      </c>
      <c r="CM70" s="105">
        <v>169</v>
      </c>
      <c r="CN70" s="105">
        <v>46</v>
      </c>
      <c r="CO70" s="105">
        <v>2</v>
      </c>
      <c r="CP70" s="105">
        <v>0</v>
      </c>
      <c r="CQ70" s="105">
        <v>1</v>
      </c>
      <c r="CR70" s="105">
        <v>192</v>
      </c>
      <c r="CS70" s="105"/>
      <c r="CT70" s="105">
        <v>219</v>
      </c>
      <c r="CU70" s="105">
        <v>2</v>
      </c>
      <c r="CV70" s="105">
        <v>1243</v>
      </c>
      <c r="CW70" s="1644">
        <f t="shared" si="0"/>
        <v>0.59548751007252221</v>
      </c>
      <c r="CX70" s="1976"/>
      <c r="CY70" s="41"/>
      <c r="CZ70" s="41"/>
      <c r="DA70" s="41" t="s">
        <v>56</v>
      </c>
      <c r="DB70" s="105">
        <v>45</v>
      </c>
      <c r="DC70" s="105">
        <v>45</v>
      </c>
      <c r="DD70" s="105"/>
      <c r="DE70" s="105">
        <v>131</v>
      </c>
      <c r="DF70" s="105">
        <v>366</v>
      </c>
      <c r="DG70" s="105">
        <v>152</v>
      </c>
      <c r="DH70" s="105">
        <v>48</v>
      </c>
      <c r="DI70" s="105"/>
      <c r="DJ70" s="105">
        <v>0</v>
      </c>
      <c r="DK70" s="105">
        <v>5</v>
      </c>
      <c r="DL70" s="105">
        <v>182</v>
      </c>
      <c r="DM70" s="105"/>
      <c r="DN70" s="105">
        <v>203</v>
      </c>
      <c r="DO70" s="105">
        <v>3</v>
      </c>
      <c r="DP70" s="105">
        <v>1180</v>
      </c>
      <c r="DQ70" s="1644">
        <f t="shared" si="9"/>
        <v>0.59473237043330496</v>
      </c>
      <c r="DS70" s="1311"/>
      <c r="DT70" s="1311"/>
      <c r="DU70" s="1319" t="s">
        <v>56</v>
      </c>
      <c r="DV70" s="1320">
        <v>44</v>
      </c>
      <c r="DW70" s="1320">
        <v>37</v>
      </c>
      <c r="DX70" s="1321"/>
      <c r="DY70" s="1320">
        <v>122</v>
      </c>
      <c r="DZ70" s="1320">
        <v>352</v>
      </c>
      <c r="EA70" s="1320">
        <v>130</v>
      </c>
      <c r="EB70" s="1320">
        <v>39</v>
      </c>
      <c r="EC70" s="1321"/>
      <c r="ED70" s="1320">
        <v>0</v>
      </c>
      <c r="EE70" s="1320">
        <v>5</v>
      </c>
      <c r="EF70" s="1320">
        <v>153</v>
      </c>
      <c r="EG70" s="1321"/>
      <c r="EH70" s="1320">
        <v>207</v>
      </c>
      <c r="EI70" s="1320">
        <v>3</v>
      </c>
      <c r="EJ70" s="1320">
        <v>1092</v>
      </c>
      <c r="EK70" s="1322">
        <f t="shared" si="10"/>
        <v>0.58310376492194671</v>
      </c>
      <c r="EM70" s="1047"/>
      <c r="EN70" s="1047"/>
      <c r="EO70" s="1060" t="s">
        <v>56</v>
      </c>
      <c r="EP70" s="1061">
        <v>64</v>
      </c>
      <c r="EQ70" s="1061">
        <v>29</v>
      </c>
      <c r="ER70" s="1061">
        <v>1</v>
      </c>
      <c r="ES70" s="1061">
        <v>144</v>
      </c>
      <c r="ET70" s="1061">
        <v>300</v>
      </c>
      <c r="EU70" s="1061">
        <v>119</v>
      </c>
      <c r="EV70" s="1061">
        <v>41</v>
      </c>
      <c r="EW70" s="1047"/>
      <c r="EX70" s="1061">
        <v>0</v>
      </c>
      <c r="EY70" s="1061">
        <v>1</v>
      </c>
      <c r="EZ70" s="1061">
        <v>130</v>
      </c>
      <c r="FA70" s="1061">
        <v>254</v>
      </c>
      <c r="FB70" s="1061">
        <v>35</v>
      </c>
      <c r="FC70" s="1061">
        <v>1118</v>
      </c>
      <c r="FD70" s="537">
        <f t="shared" si="11"/>
        <v>0.49105545617173524</v>
      </c>
      <c r="FF70" s="652"/>
      <c r="FG70" s="652"/>
      <c r="FH70" s="1062" t="s">
        <v>56</v>
      </c>
      <c r="FI70" s="1063">
        <v>39</v>
      </c>
      <c r="FJ70" s="1063">
        <v>33</v>
      </c>
      <c r="FK70" s="652"/>
      <c r="FL70" s="1063">
        <v>130</v>
      </c>
      <c r="FM70" s="1063">
        <v>262</v>
      </c>
      <c r="FN70" s="1063">
        <v>118</v>
      </c>
      <c r="FO70" s="1063">
        <v>48</v>
      </c>
      <c r="FP70" s="652"/>
      <c r="FQ70" s="652"/>
      <c r="FR70" s="1063">
        <v>2</v>
      </c>
      <c r="FS70" s="1063">
        <v>117</v>
      </c>
      <c r="FT70" s="1063">
        <v>236</v>
      </c>
      <c r="FU70" s="1063">
        <v>35</v>
      </c>
      <c r="FV70" s="1063">
        <v>1020</v>
      </c>
      <c r="FW70" s="537">
        <f t="shared" si="12"/>
        <v>0.4872549019607843</v>
      </c>
      <c r="FY70" s="817"/>
      <c r="FZ70" s="817"/>
      <c r="GA70" s="1064" t="s">
        <v>272</v>
      </c>
      <c r="GB70" s="1065">
        <v>33</v>
      </c>
      <c r="GC70" s="1065">
        <v>11</v>
      </c>
      <c r="GD70" s="1065">
        <v>0</v>
      </c>
      <c r="GE70" s="1065">
        <v>24</v>
      </c>
      <c r="GF70" s="1065">
        <v>566</v>
      </c>
      <c r="GG70" s="1065">
        <v>136</v>
      </c>
      <c r="GH70" s="1065">
        <v>25</v>
      </c>
      <c r="GI70" s="1065">
        <v>0</v>
      </c>
      <c r="GJ70" s="1065">
        <v>5</v>
      </c>
      <c r="GK70" s="1065">
        <v>125</v>
      </c>
      <c r="GL70" s="1065">
        <v>139</v>
      </c>
      <c r="GM70" s="1065">
        <v>144</v>
      </c>
      <c r="GN70" s="1065">
        <v>0</v>
      </c>
      <c r="GO70" s="1065">
        <v>3</v>
      </c>
      <c r="GP70" s="1065">
        <v>1211</v>
      </c>
      <c r="GQ70" s="1066">
        <f t="shared" si="13"/>
        <v>0.77362020579981294</v>
      </c>
      <c r="GS70" s="107"/>
      <c r="GT70" s="107"/>
      <c r="GU70" s="47" t="s">
        <v>272</v>
      </c>
      <c r="GV70" s="47">
        <v>27</v>
      </c>
      <c r="GW70" s="47">
        <v>18</v>
      </c>
      <c r="GX70" s="47"/>
      <c r="GY70" s="47">
        <v>27</v>
      </c>
      <c r="GZ70" s="47">
        <v>554</v>
      </c>
      <c r="HA70" s="47">
        <v>132</v>
      </c>
      <c r="HB70" s="47">
        <v>28</v>
      </c>
      <c r="HC70" s="47"/>
      <c r="HD70" s="47">
        <v>0</v>
      </c>
      <c r="HE70" s="47">
        <v>128</v>
      </c>
      <c r="HF70" s="47">
        <v>121</v>
      </c>
      <c r="HG70" s="47">
        <v>146</v>
      </c>
      <c r="HH70" s="47">
        <v>0</v>
      </c>
      <c r="HI70" s="47">
        <v>5</v>
      </c>
      <c r="HJ70" s="47">
        <v>1186</v>
      </c>
      <c r="HK70" s="1067">
        <f t="shared" si="1"/>
        <v>0.76792452830188684</v>
      </c>
      <c r="HL70" s="47"/>
      <c r="HM70" s="420"/>
      <c r="HN70" s="420"/>
      <c r="HO70" s="420" t="s">
        <v>57</v>
      </c>
      <c r="HP70" s="1068">
        <v>40</v>
      </c>
      <c r="HQ70" s="1068">
        <v>15</v>
      </c>
      <c r="HR70" s="1068" t="s">
        <v>327</v>
      </c>
      <c r="HS70" s="1068">
        <v>25</v>
      </c>
      <c r="HT70" s="1068">
        <v>511</v>
      </c>
      <c r="HU70" s="1068">
        <v>139</v>
      </c>
      <c r="HV70" s="1068">
        <v>37</v>
      </c>
      <c r="HW70" s="1068" t="s">
        <v>327</v>
      </c>
      <c r="HX70" s="1068">
        <v>3</v>
      </c>
      <c r="HY70" s="1068">
        <v>142</v>
      </c>
      <c r="HZ70" s="1068">
        <v>148</v>
      </c>
      <c r="IA70" s="1068" t="s">
        <v>327</v>
      </c>
      <c r="IB70" s="1068">
        <v>1060</v>
      </c>
      <c r="IC70" s="1068">
        <f t="shared" si="2"/>
        <v>792</v>
      </c>
      <c r="ID70" s="1069">
        <f t="shared" si="3"/>
        <v>0.74716981132075466</v>
      </c>
      <c r="IE70" s="47"/>
      <c r="IF70" s="47"/>
    </row>
    <row r="71" spans="1:240">
      <c r="A71" s="41"/>
      <c r="B71" s="41"/>
      <c r="C71" s="41" t="s">
        <v>56</v>
      </c>
      <c r="D71" s="105">
        <v>77</v>
      </c>
      <c r="E71" s="105">
        <v>43</v>
      </c>
      <c r="F71" s="105"/>
      <c r="G71" s="105">
        <v>133</v>
      </c>
      <c r="H71" s="105">
        <v>289</v>
      </c>
      <c r="I71" s="105">
        <v>173</v>
      </c>
      <c r="J71" s="105">
        <v>15</v>
      </c>
      <c r="K71" s="105">
        <v>1</v>
      </c>
      <c r="L71" s="105">
        <v>0</v>
      </c>
      <c r="M71" s="105">
        <v>4</v>
      </c>
      <c r="N71" s="105">
        <v>245</v>
      </c>
      <c r="O71" s="105"/>
      <c r="P71" s="105">
        <v>250</v>
      </c>
      <c r="Q71" s="105">
        <v>1</v>
      </c>
      <c r="R71" s="105">
        <v>1231</v>
      </c>
      <c r="S71" s="706">
        <f t="shared" si="4"/>
        <v>0.5747967479674797</v>
      </c>
      <c r="T71" s="5561">
        <f t="shared" si="5"/>
        <v>1</v>
      </c>
      <c r="U71" s="5562">
        <v>1230</v>
      </c>
      <c r="V71" s="706"/>
      <c r="Y71" s="41" t="s">
        <v>259</v>
      </c>
      <c r="Z71" s="41">
        <v>64</v>
      </c>
      <c r="AA71" s="41">
        <v>13</v>
      </c>
      <c r="AB71" s="41"/>
      <c r="AC71" s="41">
        <v>36</v>
      </c>
      <c r="AD71" s="41">
        <v>734</v>
      </c>
      <c r="AE71" s="41">
        <v>110</v>
      </c>
      <c r="AF71" s="41">
        <v>84</v>
      </c>
      <c r="AG71" s="41"/>
      <c r="AH71" s="41">
        <v>2</v>
      </c>
      <c r="AI71" s="41">
        <v>1</v>
      </c>
      <c r="AJ71" s="41">
        <v>170</v>
      </c>
      <c r="AK71" s="41"/>
      <c r="AL71" s="41">
        <v>117</v>
      </c>
      <c r="AM71" s="41">
        <v>0</v>
      </c>
      <c r="AN71" s="461">
        <v>1331</v>
      </c>
      <c r="AO71" s="4692">
        <f t="shared" si="6"/>
        <v>0.76183320811419986</v>
      </c>
      <c r="AQ71" s="1788"/>
      <c r="AR71" s="1788"/>
      <c r="AS71" s="37" t="s">
        <v>259</v>
      </c>
      <c r="AT71" s="1788">
        <v>195</v>
      </c>
      <c r="AU71" s="1788">
        <v>33</v>
      </c>
      <c r="AV71" s="1788">
        <v>0</v>
      </c>
      <c r="AW71" s="1788">
        <v>35</v>
      </c>
      <c r="AX71" s="1788">
        <v>469</v>
      </c>
      <c r="AY71" s="1788">
        <v>142</v>
      </c>
      <c r="AZ71" s="1788">
        <v>33</v>
      </c>
      <c r="BA71" s="1788"/>
      <c r="BB71" s="1788">
        <v>2</v>
      </c>
      <c r="BC71" s="1788">
        <v>3</v>
      </c>
      <c r="BD71" s="1788">
        <v>224</v>
      </c>
      <c r="BE71" s="1788"/>
      <c r="BF71" s="1788">
        <v>152</v>
      </c>
      <c r="BG71" s="1788">
        <v>0</v>
      </c>
      <c r="BH71" s="1788">
        <v>1288</v>
      </c>
      <c r="BI71" s="4701">
        <f t="shared" si="7"/>
        <v>0.64829192546583847</v>
      </c>
      <c r="BK71" s="41"/>
      <c r="BL71" s="41"/>
      <c r="BM71" s="41" t="s">
        <v>259</v>
      </c>
      <c r="BN71" s="105">
        <v>182</v>
      </c>
      <c r="BO71" s="105">
        <v>15</v>
      </c>
      <c r="BP71" s="105"/>
      <c r="BQ71" s="105">
        <v>0</v>
      </c>
      <c r="BR71" s="105">
        <v>579</v>
      </c>
      <c r="BS71" s="105">
        <v>93</v>
      </c>
      <c r="BT71" s="105">
        <v>51</v>
      </c>
      <c r="BU71" s="105"/>
      <c r="BV71" s="105">
        <v>0</v>
      </c>
      <c r="BW71" s="105">
        <v>11</v>
      </c>
      <c r="BX71" s="105">
        <v>223</v>
      </c>
      <c r="BY71" s="105"/>
      <c r="BZ71" s="105">
        <v>141</v>
      </c>
      <c r="CA71" s="105">
        <v>0</v>
      </c>
      <c r="CB71" s="105">
        <v>1295</v>
      </c>
      <c r="CC71" s="2484">
        <f t="shared" si="8"/>
        <v>0.69111969111969107</v>
      </c>
      <c r="CE71" s="41"/>
      <c r="CF71" s="41"/>
      <c r="CG71" s="41" t="s">
        <v>259</v>
      </c>
      <c r="CH71" s="105">
        <v>145</v>
      </c>
      <c r="CI71" s="105">
        <v>24</v>
      </c>
      <c r="CJ71" s="105">
        <v>0</v>
      </c>
      <c r="CK71" s="105">
        <v>34</v>
      </c>
      <c r="CL71" s="105">
        <v>559</v>
      </c>
      <c r="CM71" s="105">
        <v>70</v>
      </c>
      <c r="CN71" s="105">
        <v>37</v>
      </c>
      <c r="CO71" s="105">
        <v>0</v>
      </c>
      <c r="CP71" s="105">
        <v>1</v>
      </c>
      <c r="CQ71" s="105">
        <v>21</v>
      </c>
      <c r="CR71" s="105">
        <v>272</v>
      </c>
      <c r="CS71" s="105"/>
      <c r="CT71" s="105">
        <v>151</v>
      </c>
      <c r="CU71" s="105">
        <v>0</v>
      </c>
      <c r="CV71" s="105">
        <v>1314</v>
      </c>
      <c r="CW71" s="1644">
        <f t="shared" ref="CW71:CW102" si="14">+(CR71+CM71+CL71)/(CV71-CU71-CS71)</f>
        <v>0.68569254185692541</v>
      </c>
      <c r="CX71" s="1976"/>
      <c r="CY71" s="41"/>
      <c r="CZ71" s="41"/>
      <c r="DA71" s="41" t="s">
        <v>259</v>
      </c>
      <c r="DB71" s="105">
        <v>195</v>
      </c>
      <c r="DC71" s="105">
        <v>23</v>
      </c>
      <c r="DD71" s="105"/>
      <c r="DE71" s="105">
        <v>31</v>
      </c>
      <c r="DF71" s="105">
        <v>568</v>
      </c>
      <c r="DG71" s="105">
        <v>89</v>
      </c>
      <c r="DH71" s="105">
        <v>48</v>
      </c>
      <c r="DI71" s="105"/>
      <c r="DJ71" s="105">
        <v>1</v>
      </c>
      <c r="DK71" s="105">
        <v>4</v>
      </c>
      <c r="DL71" s="105">
        <v>262</v>
      </c>
      <c r="DM71" s="105"/>
      <c r="DN71" s="105">
        <v>138</v>
      </c>
      <c r="DO71" s="105">
        <v>0</v>
      </c>
      <c r="DP71" s="105">
        <v>1359</v>
      </c>
      <c r="DQ71" s="1644">
        <f t="shared" si="9"/>
        <v>0.67623252391464317</v>
      </c>
      <c r="DS71" s="1311"/>
      <c r="DT71" s="1311"/>
      <c r="DU71" s="1319" t="s">
        <v>259</v>
      </c>
      <c r="DV71" s="1320">
        <v>171</v>
      </c>
      <c r="DW71" s="1320">
        <v>26</v>
      </c>
      <c r="DX71" s="1321"/>
      <c r="DY71" s="1320">
        <v>23</v>
      </c>
      <c r="DZ71" s="1320">
        <v>577</v>
      </c>
      <c r="EA71" s="1320">
        <v>82</v>
      </c>
      <c r="EB71" s="1320">
        <v>45</v>
      </c>
      <c r="EC71" s="1321"/>
      <c r="ED71" s="1320">
        <v>0</v>
      </c>
      <c r="EE71" s="1320">
        <v>4</v>
      </c>
      <c r="EF71" s="1320">
        <v>316</v>
      </c>
      <c r="EG71" s="1321"/>
      <c r="EH71" s="1320">
        <v>159</v>
      </c>
      <c r="EI71" s="1320">
        <v>0</v>
      </c>
      <c r="EJ71" s="1320">
        <v>1403</v>
      </c>
      <c r="EK71" s="1322">
        <f t="shared" si="10"/>
        <v>0.69493941553813254</v>
      </c>
      <c r="EM71" s="1047"/>
      <c r="EN71" s="1047"/>
      <c r="EO71" s="1060" t="s">
        <v>259</v>
      </c>
      <c r="EP71" s="1061">
        <v>210</v>
      </c>
      <c r="EQ71" s="1061">
        <v>29</v>
      </c>
      <c r="ER71" s="1061">
        <v>0</v>
      </c>
      <c r="ES71" s="1061">
        <v>28</v>
      </c>
      <c r="ET71" s="1061">
        <v>576</v>
      </c>
      <c r="EU71" s="1061">
        <v>87</v>
      </c>
      <c r="EV71" s="1061">
        <v>64</v>
      </c>
      <c r="EW71" s="1047"/>
      <c r="EX71" s="1061">
        <v>0</v>
      </c>
      <c r="EY71" s="1061">
        <v>13</v>
      </c>
      <c r="EZ71" s="1061">
        <v>306</v>
      </c>
      <c r="FA71" s="1061">
        <v>270</v>
      </c>
      <c r="FB71" s="1061">
        <v>0</v>
      </c>
      <c r="FC71" s="1061">
        <v>1583</v>
      </c>
      <c r="FD71" s="537">
        <f t="shared" si="11"/>
        <v>0.61212886923562859</v>
      </c>
      <c r="FF71" s="652"/>
      <c r="FG71" s="652"/>
      <c r="FH71" s="1062" t="s">
        <v>259</v>
      </c>
      <c r="FI71" s="1063">
        <v>201</v>
      </c>
      <c r="FJ71" s="1063">
        <v>46</v>
      </c>
      <c r="FK71" s="652"/>
      <c r="FL71" s="1063">
        <v>26</v>
      </c>
      <c r="FM71" s="1063">
        <v>581</v>
      </c>
      <c r="FN71" s="1063">
        <v>91</v>
      </c>
      <c r="FO71" s="1063">
        <v>50</v>
      </c>
      <c r="FP71" s="652"/>
      <c r="FQ71" s="652"/>
      <c r="FR71" s="1063">
        <v>2</v>
      </c>
      <c r="FS71" s="1063">
        <v>266</v>
      </c>
      <c r="FT71" s="1063">
        <v>280</v>
      </c>
      <c r="FU71" s="1063">
        <v>0</v>
      </c>
      <c r="FV71" s="1063">
        <v>1543</v>
      </c>
      <c r="FW71" s="537">
        <f t="shared" si="12"/>
        <v>0.60790667530784182</v>
      </c>
      <c r="FY71" s="817"/>
      <c r="FZ71" s="817"/>
      <c r="GA71" s="1053" t="s">
        <v>547</v>
      </c>
      <c r="GB71" s="1075">
        <v>677</v>
      </c>
      <c r="GC71" s="1075">
        <v>265</v>
      </c>
      <c r="GD71" s="1075">
        <v>1</v>
      </c>
      <c r="GE71" s="1075">
        <v>621</v>
      </c>
      <c r="GF71" s="1075">
        <v>4533</v>
      </c>
      <c r="GG71" s="1075">
        <v>1346</v>
      </c>
      <c r="GH71" s="1075">
        <v>555</v>
      </c>
      <c r="GI71" s="1075">
        <v>0</v>
      </c>
      <c r="GJ71" s="1075">
        <v>33</v>
      </c>
      <c r="GK71" s="1075">
        <v>1632</v>
      </c>
      <c r="GL71" s="1075">
        <v>2473</v>
      </c>
      <c r="GM71" s="1075">
        <v>2183</v>
      </c>
      <c r="GN71" s="1075">
        <v>37</v>
      </c>
      <c r="GO71" s="1075">
        <v>57</v>
      </c>
      <c r="GP71" s="1075">
        <v>14413</v>
      </c>
      <c r="GQ71" s="1076">
        <f t="shared" si="13"/>
        <v>0.63207944121854753</v>
      </c>
      <c r="GS71" s="107"/>
      <c r="GT71" s="107"/>
      <c r="GU71" s="47" t="s">
        <v>15</v>
      </c>
      <c r="GV71" s="47">
        <v>692</v>
      </c>
      <c r="GW71" s="47">
        <v>308</v>
      </c>
      <c r="GX71" s="47"/>
      <c r="GY71" s="47">
        <v>626</v>
      </c>
      <c r="GZ71" s="47">
        <v>4253</v>
      </c>
      <c r="HA71" s="47">
        <v>1277</v>
      </c>
      <c r="HB71" s="47">
        <v>568</v>
      </c>
      <c r="HC71" s="47"/>
      <c r="HD71" s="47">
        <v>18</v>
      </c>
      <c r="HE71" s="47">
        <v>1652</v>
      </c>
      <c r="HF71" s="47">
        <v>2344</v>
      </c>
      <c r="HG71" s="47">
        <v>2250</v>
      </c>
      <c r="HH71" s="47">
        <v>37</v>
      </c>
      <c r="HI71" s="47">
        <v>57</v>
      </c>
      <c r="HJ71" s="47">
        <v>14082</v>
      </c>
      <c r="HK71" s="1067">
        <f t="shared" ref="HK71:HK90" si="15">+(HE71+HA71+GZ71)/(HJ71-HI71-HF71)</f>
        <v>0.61484461946751134</v>
      </c>
      <c r="HL71" s="47"/>
      <c r="HM71" s="420"/>
      <c r="HN71" s="420"/>
      <c r="HO71" s="1077" t="s">
        <v>15</v>
      </c>
      <c r="HP71" s="1078">
        <v>802</v>
      </c>
      <c r="HQ71" s="1078">
        <v>272</v>
      </c>
      <c r="HR71" s="1078" t="s">
        <v>327</v>
      </c>
      <c r="HS71" s="1078">
        <v>576</v>
      </c>
      <c r="HT71" s="1078">
        <v>3796</v>
      </c>
      <c r="HU71" s="1078">
        <v>1166</v>
      </c>
      <c r="HV71" s="1078">
        <v>593</v>
      </c>
      <c r="HW71" s="1078" t="s">
        <v>327</v>
      </c>
      <c r="HX71" s="1078">
        <v>29</v>
      </c>
      <c r="HY71" s="1078">
        <v>1968</v>
      </c>
      <c r="HZ71" s="1078">
        <v>2331</v>
      </c>
      <c r="IA71" s="1078">
        <v>25</v>
      </c>
      <c r="IB71" s="1078">
        <v>11558</v>
      </c>
      <c r="IC71" s="1078">
        <f t="shared" ref="IC71:IC86" si="16">+HY71+HU71+HT71</f>
        <v>6930</v>
      </c>
      <c r="ID71" s="1079">
        <f t="shared" ref="ID71:ID86" si="17">+IC71/IB71</f>
        <v>0.599584703235854</v>
      </c>
      <c r="IE71" s="47"/>
      <c r="IF71" s="47"/>
    </row>
    <row r="72" spans="1:240">
      <c r="A72" s="41"/>
      <c r="B72" s="41"/>
      <c r="C72" s="41" t="s">
        <v>259</v>
      </c>
      <c r="D72" s="105">
        <v>185</v>
      </c>
      <c r="E72" s="105">
        <v>31</v>
      </c>
      <c r="F72" s="105"/>
      <c r="G72" s="105">
        <v>32</v>
      </c>
      <c r="H72" s="105">
        <v>436</v>
      </c>
      <c r="I72" s="105">
        <v>164</v>
      </c>
      <c r="J72" s="105">
        <v>14</v>
      </c>
      <c r="K72" s="105">
        <v>0</v>
      </c>
      <c r="L72" s="105">
        <v>2</v>
      </c>
      <c r="M72" s="105">
        <v>51</v>
      </c>
      <c r="N72" s="105">
        <v>208</v>
      </c>
      <c r="O72" s="105"/>
      <c r="P72" s="105">
        <v>160</v>
      </c>
      <c r="Q72" s="105">
        <v>0</v>
      </c>
      <c r="R72" s="105">
        <v>1283</v>
      </c>
      <c r="S72" s="706">
        <f t="shared" ref="S72:S106" si="18">+(N72+I72+H72)/(R72-Q72-O72)</f>
        <v>0.62977396726422452</v>
      </c>
      <c r="T72" s="5561">
        <f t="shared" ref="T72:T106" si="19">R72-U72</f>
        <v>1</v>
      </c>
      <c r="U72" s="5562">
        <v>1282</v>
      </c>
      <c r="V72" s="706"/>
      <c r="Y72" s="41" t="s">
        <v>272</v>
      </c>
      <c r="Z72" s="41">
        <v>19</v>
      </c>
      <c r="AA72" s="41">
        <v>16</v>
      </c>
      <c r="AB72" s="41"/>
      <c r="AC72" s="41">
        <v>24</v>
      </c>
      <c r="AD72" s="41">
        <v>627</v>
      </c>
      <c r="AE72" s="41">
        <v>124</v>
      </c>
      <c r="AF72" s="41">
        <v>30</v>
      </c>
      <c r="AG72" s="41"/>
      <c r="AH72" s="41">
        <v>0</v>
      </c>
      <c r="AI72" s="41">
        <v>2</v>
      </c>
      <c r="AJ72" s="41">
        <v>103</v>
      </c>
      <c r="AK72" s="41"/>
      <c r="AL72" s="41">
        <v>89</v>
      </c>
      <c r="AM72" s="41">
        <v>0</v>
      </c>
      <c r="AN72" s="461">
        <v>1034</v>
      </c>
      <c r="AO72" s="4692">
        <f t="shared" ref="AO72:AO102" si="20">+(AD72+AE72+AJ72)/(AN72-AM72-AK72)</f>
        <v>0.82591876208897486</v>
      </c>
      <c r="AQ72" s="1788"/>
      <c r="AR72" s="1788"/>
      <c r="AS72" s="37" t="s">
        <v>272</v>
      </c>
      <c r="AT72" s="1788">
        <v>65</v>
      </c>
      <c r="AU72" s="1788">
        <v>32</v>
      </c>
      <c r="AV72" s="1788">
        <v>0</v>
      </c>
      <c r="AW72" s="1788">
        <v>23</v>
      </c>
      <c r="AX72" s="1788">
        <v>464</v>
      </c>
      <c r="AY72" s="1788">
        <v>171</v>
      </c>
      <c r="AZ72" s="1788">
        <v>15</v>
      </c>
      <c r="BA72" s="1788"/>
      <c r="BB72" s="1788">
        <v>0</v>
      </c>
      <c r="BC72" s="1788">
        <v>1</v>
      </c>
      <c r="BD72" s="1788">
        <v>180</v>
      </c>
      <c r="BE72" s="1788"/>
      <c r="BF72" s="1788">
        <v>106</v>
      </c>
      <c r="BG72" s="1788">
        <v>0</v>
      </c>
      <c r="BH72" s="1788">
        <v>1057</v>
      </c>
      <c r="BI72" s="4701">
        <f t="shared" ref="BI72:BI104" si="21">+(BD72+AY72+AX72)/(BH72-BG72-BE72)</f>
        <v>0.77105014191106902</v>
      </c>
      <c r="BK72" s="41"/>
      <c r="BL72" s="41"/>
      <c r="BM72" s="41" t="s">
        <v>272</v>
      </c>
      <c r="BN72" s="105">
        <v>38</v>
      </c>
      <c r="BO72" s="105">
        <v>24</v>
      </c>
      <c r="BP72" s="105"/>
      <c r="BQ72" s="105">
        <v>0</v>
      </c>
      <c r="BR72" s="105">
        <v>518</v>
      </c>
      <c r="BS72" s="105">
        <v>139</v>
      </c>
      <c r="BT72" s="105">
        <v>14</v>
      </c>
      <c r="BU72" s="105"/>
      <c r="BV72" s="105">
        <v>0</v>
      </c>
      <c r="BW72" s="105">
        <v>2</v>
      </c>
      <c r="BX72" s="105">
        <v>175</v>
      </c>
      <c r="BY72" s="105"/>
      <c r="BZ72" s="105">
        <v>100</v>
      </c>
      <c r="CA72" s="105">
        <v>0</v>
      </c>
      <c r="CB72" s="105">
        <v>1010</v>
      </c>
      <c r="CC72" s="2484">
        <f t="shared" ref="CC72:CC103" si="22">+(BX72+BS72+BR72)/(CB72-CA72-BY72)</f>
        <v>0.82376237623762372</v>
      </c>
      <c r="CE72" s="41"/>
      <c r="CF72" s="41"/>
      <c r="CG72" s="41" t="s">
        <v>272</v>
      </c>
      <c r="CH72" s="105">
        <v>32</v>
      </c>
      <c r="CI72" s="105">
        <v>29</v>
      </c>
      <c r="CJ72" s="105">
        <v>1</v>
      </c>
      <c r="CK72" s="105">
        <v>20</v>
      </c>
      <c r="CL72" s="105">
        <v>478</v>
      </c>
      <c r="CM72" s="105">
        <v>156</v>
      </c>
      <c r="CN72" s="105">
        <v>30</v>
      </c>
      <c r="CO72" s="105">
        <v>0</v>
      </c>
      <c r="CP72" s="105">
        <v>0</v>
      </c>
      <c r="CQ72" s="105">
        <v>2</v>
      </c>
      <c r="CR72" s="105">
        <v>177</v>
      </c>
      <c r="CS72" s="105"/>
      <c r="CT72" s="105">
        <v>79</v>
      </c>
      <c r="CU72" s="105">
        <v>0</v>
      </c>
      <c r="CV72" s="105">
        <v>1004</v>
      </c>
      <c r="CW72" s="1644">
        <f t="shared" si="14"/>
        <v>0.80776892430278879</v>
      </c>
      <c r="CX72" s="1976"/>
      <c r="CY72" s="41"/>
      <c r="CZ72" s="41"/>
      <c r="DA72" s="41" t="s">
        <v>272</v>
      </c>
      <c r="DB72" s="105">
        <v>36</v>
      </c>
      <c r="DC72" s="105">
        <v>23</v>
      </c>
      <c r="DD72" s="105"/>
      <c r="DE72" s="105">
        <v>22</v>
      </c>
      <c r="DF72" s="105">
        <v>503</v>
      </c>
      <c r="DG72" s="105">
        <v>131</v>
      </c>
      <c r="DH72" s="105">
        <v>30</v>
      </c>
      <c r="DI72" s="105"/>
      <c r="DJ72" s="105">
        <v>0</v>
      </c>
      <c r="DK72" s="105">
        <v>2</v>
      </c>
      <c r="DL72" s="105">
        <v>156</v>
      </c>
      <c r="DM72" s="105"/>
      <c r="DN72" s="105">
        <v>76</v>
      </c>
      <c r="DO72" s="105">
        <v>1</v>
      </c>
      <c r="DP72" s="105">
        <v>980</v>
      </c>
      <c r="DQ72" s="1644">
        <f t="shared" ref="DQ72:DQ101" si="23">+(DF72+DG72+DL72)/(DP72-DO72-DM72)</f>
        <v>0.80694586312563843</v>
      </c>
      <c r="DS72" s="1311"/>
      <c r="DT72" s="1311"/>
      <c r="DU72" s="1319" t="s">
        <v>272</v>
      </c>
      <c r="DV72" s="1320">
        <v>26</v>
      </c>
      <c r="DW72" s="1320">
        <v>17</v>
      </c>
      <c r="DX72" s="1321"/>
      <c r="DY72" s="1320">
        <v>17</v>
      </c>
      <c r="DZ72" s="1320">
        <v>548</v>
      </c>
      <c r="EA72" s="1320">
        <v>128</v>
      </c>
      <c r="EB72" s="1320">
        <v>22</v>
      </c>
      <c r="EC72" s="1321"/>
      <c r="ED72" s="1320">
        <v>0</v>
      </c>
      <c r="EE72" s="1320">
        <v>5</v>
      </c>
      <c r="EF72" s="1320">
        <v>158</v>
      </c>
      <c r="EG72" s="1321"/>
      <c r="EH72" s="1320">
        <v>90</v>
      </c>
      <c r="EI72" s="1320">
        <v>1</v>
      </c>
      <c r="EJ72" s="1320">
        <v>1012</v>
      </c>
      <c r="EK72" s="1322">
        <f t="shared" ref="EK72:EK102" si="24">+(DZ72+EA72+EF72)/(EJ72-EI72-EG72)</f>
        <v>0.82492581602373882</v>
      </c>
      <c r="EM72" s="1047"/>
      <c r="EN72" s="1047"/>
      <c r="EO72" s="1060" t="s">
        <v>272</v>
      </c>
      <c r="EP72" s="1061">
        <v>41</v>
      </c>
      <c r="EQ72" s="1061">
        <v>22</v>
      </c>
      <c r="ER72" s="1061">
        <v>0</v>
      </c>
      <c r="ES72" s="1061">
        <v>23</v>
      </c>
      <c r="ET72" s="1061">
        <v>588</v>
      </c>
      <c r="EU72" s="1061">
        <v>124</v>
      </c>
      <c r="EV72" s="1061">
        <v>33</v>
      </c>
      <c r="EW72" s="1047"/>
      <c r="EX72" s="1061">
        <v>0</v>
      </c>
      <c r="EY72" s="1061">
        <v>2</v>
      </c>
      <c r="EZ72" s="1061">
        <v>130</v>
      </c>
      <c r="FA72" s="1061">
        <v>126</v>
      </c>
      <c r="FB72" s="1061">
        <v>0</v>
      </c>
      <c r="FC72" s="1061">
        <v>1089</v>
      </c>
      <c r="FD72" s="537">
        <f t="shared" ref="FD72:FD95" si="25">+(ET72+EU72+EZ72)/FC72</f>
        <v>0.77318640955004592</v>
      </c>
      <c r="FF72" s="652"/>
      <c r="FG72" s="652"/>
      <c r="FH72" s="1062" t="s">
        <v>272</v>
      </c>
      <c r="FI72" s="1063">
        <v>36</v>
      </c>
      <c r="FJ72" s="1063">
        <v>16</v>
      </c>
      <c r="FK72" s="652"/>
      <c r="FL72" s="1063">
        <v>21</v>
      </c>
      <c r="FM72" s="1063">
        <v>577</v>
      </c>
      <c r="FN72" s="1063">
        <v>153</v>
      </c>
      <c r="FO72" s="1063">
        <v>29</v>
      </c>
      <c r="FP72" s="652"/>
      <c r="FQ72" s="652"/>
      <c r="FR72" s="1063">
        <v>1</v>
      </c>
      <c r="FS72" s="1063">
        <v>112</v>
      </c>
      <c r="FT72" s="1063">
        <v>135</v>
      </c>
      <c r="FU72" s="1063">
        <v>0</v>
      </c>
      <c r="FV72" s="1063">
        <v>1080</v>
      </c>
      <c r="FW72" s="537">
        <f t="shared" ref="FW72:FW95" si="26">+(FS72+FN72+FM72)/FV72</f>
        <v>0.77962962962962967</v>
      </c>
      <c r="FY72" s="817"/>
      <c r="FZ72" s="817" t="s">
        <v>21</v>
      </c>
      <c r="GA72" s="1064" t="s">
        <v>22</v>
      </c>
      <c r="GB72" s="1065">
        <v>177</v>
      </c>
      <c r="GC72" s="1065">
        <v>127</v>
      </c>
      <c r="GD72" s="1065">
        <v>0</v>
      </c>
      <c r="GE72" s="1065">
        <v>133</v>
      </c>
      <c r="GF72" s="1065">
        <v>682</v>
      </c>
      <c r="GG72" s="1065">
        <v>247</v>
      </c>
      <c r="GH72" s="1065">
        <v>169</v>
      </c>
      <c r="GI72" s="1065">
        <v>0</v>
      </c>
      <c r="GJ72" s="1065">
        <v>28</v>
      </c>
      <c r="GK72" s="1065">
        <v>193</v>
      </c>
      <c r="GL72" s="1065">
        <v>371</v>
      </c>
      <c r="GM72" s="1065">
        <v>473</v>
      </c>
      <c r="GN72" s="1065">
        <v>0</v>
      </c>
      <c r="GO72" s="1065">
        <v>21</v>
      </c>
      <c r="GP72" s="1065">
        <v>2621</v>
      </c>
      <c r="GQ72" s="1066">
        <f t="shared" ref="GQ72:GQ90" si="27">+(GK72+GG72+GF72)/(GP72-GO72-GL72)</f>
        <v>0.50336473755047106</v>
      </c>
      <c r="GS72" s="107"/>
      <c r="GT72" s="107" t="s">
        <v>21</v>
      </c>
      <c r="GU72" s="47" t="s">
        <v>22</v>
      </c>
      <c r="GV72" s="47">
        <v>169</v>
      </c>
      <c r="GW72" s="47">
        <v>128</v>
      </c>
      <c r="GX72" s="47">
        <v>0</v>
      </c>
      <c r="GY72" s="47">
        <v>134</v>
      </c>
      <c r="GZ72" s="47">
        <v>643</v>
      </c>
      <c r="HA72" s="47">
        <v>218</v>
      </c>
      <c r="HB72" s="47">
        <v>169</v>
      </c>
      <c r="HC72" s="47"/>
      <c r="HD72" s="47">
        <v>24</v>
      </c>
      <c r="HE72" s="47">
        <v>201</v>
      </c>
      <c r="HF72" s="47">
        <v>360</v>
      </c>
      <c r="HG72" s="47">
        <v>490</v>
      </c>
      <c r="HH72" s="47">
        <v>0</v>
      </c>
      <c r="HI72" s="47">
        <v>21</v>
      </c>
      <c r="HJ72" s="47">
        <v>2557</v>
      </c>
      <c r="HK72" s="1067">
        <f t="shared" si="15"/>
        <v>0.48805147058823528</v>
      </c>
      <c r="HL72" s="47"/>
      <c r="HM72" s="420"/>
      <c r="HN72" s="420" t="s">
        <v>21</v>
      </c>
      <c r="HO72" s="420" t="s">
        <v>22</v>
      </c>
      <c r="HP72" s="1068">
        <v>177</v>
      </c>
      <c r="HQ72" s="1068">
        <v>111</v>
      </c>
      <c r="HR72" s="1068" t="s">
        <v>327</v>
      </c>
      <c r="HS72" s="1068">
        <v>127</v>
      </c>
      <c r="HT72" s="1068">
        <v>611</v>
      </c>
      <c r="HU72" s="1068">
        <v>207</v>
      </c>
      <c r="HV72" s="1068">
        <v>202</v>
      </c>
      <c r="HW72" s="1068" t="s">
        <v>327</v>
      </c>
      <c r="HX72" s="1068">
        <v>26</v>
      </c>
      <c r="HY72" s="1068">
        <v>240</v>
      </c>
      <c r="HZ72" s="1068">
        <v>505</v>
      </c>
      <c r="IA72" s="1068" t="s">
        <v>327</v>
      </c>
      <c r="IB72" s="1068">
        <v>2206</v>
      </c>
      <c r="IC72" s="1068">
        <f t="shared" si="16"/>
        <v>1058</v>
      </c>
      <c r="ID72" s="1069">
        <f t="shared" si="17"/>
        <v>0.47960108794197642</v>
      </c>
      <c r="IE72" s="47"/>
      <c r="IF72" s="47"/>
    </row>
    <row r="73" spans="1:240">
      <c r="A73" s="41"/>
      <c r="B73" s="41"/>
      <c r="C73" s="41" t="s">
        <v>272</v>
      </c>
      <c r="D73" s="105">
        <v>69</v>
      </c>
      <c r="E73" s="105">
        <v>31</v>
      </c>
      <c r="F73" s="105"/>
      <c r="G73" s="105">
        <v>24</v>
      </c>
      <c r="H73" s="105">
        <v>445</v>
      </c>
      <c r="I73" s="105">
        <v>130</v>
      </c>
      <c r="J73" s="105">
        <v>7</v>
      </c>
      <c r="K73" s="105">
        <v>0</v>
      </c>
      <c r="L73" s="105">
        <v>0</v>
      </c>
      <c r="M73" s="105">
        <v>3</v>
      </c>
      <c r="N73" s="105">
        <v>243</v>
      </c>
      <c r="O73" s="105"/>
      <c r="P73" s="105">
        <v>114</v>
      </c>
      <c r="Q73" s="105">
        <v>0</v>
      </c>
      <c r="R73" s="105">
        <v>1066</v>
      </c>
      <c r="S73" s="706">
        <f t="shared" si="18"/>
        <v>0.7673545966228893</v>
      </c>
      <c r="T73" s="5561">
        <f t="shared" si="19"/>
        <v>10</v>
      </c>
      <c r="U73" s="5562">
        <v>1056</v>
      </c>
      <c r="V73" s="706"/>
      <c r="Y73" s="41" t="s">
        <v>15</v>
      </c>
      <c r="Z73" s="41">
        <v>283</v>
      </c>
      <c r="AA73" s="41">
        <v>171</v>
      </c>
      <c r="AB73" s="41"/>
      <c r="AC73" s="41">
        <v>469</v>
      </c>
      <c r="AD73" s="41">
        <v>5294</v>
      </c>
      <c r="AE73" s="41">
        <v>1156</v>
      </c>
      <c r="AF73" s="41">
        <v>642</v>
      </c>
      <c r="AG73" s="41"/>
      <c r="AH73" s="41">
        <v>5</v>
      </c>
      <c r="AI73" s="41">
        <v>22</v>
      </c>
      <c r="AJ73" s="41">
        <v>1218</v>
      </c>
      <c r="AK73" s="41"/>
      <c r="AL73" s="41">
        <v>1169</v>
      </c>
      <c r="AM73" s="41">
        <v>11</v>
      </c>
      <c r="AN73" s="461">
        <v>10440</v>
      </c>
      <c r="AO73" s="4692">
        <f t="shared" si="20"/>
        <v>0.73525745517307506</v>
      </c>
      <c r="AQ73" s="1788"/>
      <c r="AR73" s="1788"/>
      <c r="AS73" s="1793" t="s">
        <v>547</v>
      </c>
      <c r="AT73" s="4702">
        <v>1019</v>
      </c>
      <c r="AU73" s="4702">
        <v>385</v>
      </c>
      <c r="AV73" s="4702">
        <v>1</v>
      </c>
      <c r="AW73" s="4702">
        <v>469</v>
      </c>
      <c r="AX73" s="4702">
        <v>3694</v>
      </c>
      <c r="AY73" s="4702">
        <v>1461</v>
      </c>
      <c r="AZ73" s="4702">
        <v>266</v>
      </c>
      <c r="BA73" s="4702"/>
      <c r="BB73" s="4702">
        <v>5</v>
      </c>
      <c r="BC73" s="4702">
        <v>37</v>
      </c>
      <c r="BD73" s="4702">
        <v>1701</v>
      </c>
      <c r="BE73" s="4702"/>
      <c r="BF73" s="4702">
        <v>1431</v>
      </c>
      <c r="BG73" s="4702">
        <v>7</v>
      </c>
      <c r="BH73" s="4702">
        <v>10476</v>
      </c>
      <c r="BI73" s="4703">
        <f t="shared" si="21"/>
        <v>0.65488585347215589</v>
      </c>
      <c r="BK73" s="41"/>
      <c r="BL73" s="41"/>
      <c r="BM73" s="461" t="s">
        <v>547</v>
      </c>
      <c r="BN73" s="2473">
        <v>778</v>
      </c>
      <c r="BO73" s="2473">
        <v>269</v>
      </c>
      <c r="BP73" s="2473"/>
      <c r="BQ73" s="2473">
        <v>1</v>
      </c>
      <c r="BR73" s="2473">
        <v>4317</v>
      </c>
      <c r="BS73" s="2473">
        <v>1159</v>
      </c>
      <c r="BT73" s="2473">
        <v>316</v>
      </c>
      <c r="BU73" s="2473"/>
      <c r="BV73" s="2473">
        <v>1</v>
      </c>
      <c r="BW73" s="2473">
        <v>52</v>
      </c>
      <c r="BX73" s="2473">
        <v>1696</v>
      </c>
      <c r="BY73" s="2473"/>
      <c r="BZ73" s="2473">
        <v>1360</v>
      </c>
      <c r="CA73" s="2473">
        <v>1</v>
      </c>
      <c r="CB73" s="2473">
        <v>9950</v>
      </c>
      <c r="CC73" s="2484">
        <f t="shared" si="22"/>
        <v>0.72087646999698463</v>
      </c>
      <c r="CE73" s="41"/>
      <c r="CF73" s="41"/>
      <c r="CG73" s="461" t="s">
        <v>547</v>
      </c>
      <c r="CH73" s="96">
        <v>712</v>
      </c>
      <c r="CI73" s="96">
        <v>308</v>
      </c>
      <c r="CJ73" s="96">
        <v>1</v>
      </c>
      <c r="CK73" s="96">
        <v>478</v>
      </c>
      <c r="CL73" s="96">
        <v>4161</v>
      </c>
      <c r="CM73" s="96">
        <v>1190</v>
      </c>
      <c r="CN73" s="96">
        <v>382</v>
      </c>
      <c r="CO73" s="96">
        <v>4</v>
      </c>
      <c r="CP73" s="96">
        <v>4</v>
      </c>
      <c r="CQ73" s="96">
        <v>44</v>
      </c>
      <c r="CR73" s="96">
        <v>1784</v>
      </c>
      <c r="CS73" s="96"/>
      <c r="CT73" s="96">
        <v>1296</v>
      </c>
      <c r="CU73" s="96">
        <v>11</v>
      </c>
      <c r="CV73" s="96">
        <v>10375</v>
      </c>
      <c r="CW73" s="635">
        <f t="shared" si="14"/>
        <v>0.6884407564646855</v>
      </c>
      <c r="CX73" s="1977"/>
      <c r="CY73" s="41"/>
      <c r="CZ73" s="41"/>
      <c r="DA73" s="461" t="s">
        <v>547</v>
      </c>
      <c r="DB73" s="96">
        <v>717</v>
      </c>
      <c r="DC73" s="96">
        <v>324</v>
      </c>
      <c r="DD73" s="96"/>
      <c r="DE73" s="96">
        <v>463</v>
      </c>
      <c r="DF73" s="96">
        <v>4423</v>
      </c>
      <c r="DG73" s="96">
        <v>1115</v>
      </c>
      <c r="DH73" s="96">
        <v>444</v>
      </c>
      <c r="DI73" s="96"/>
      <c r="DJ73" s="96">
        <v>4</v>
      </c>
      <c r="DK73" s="96">
        <v>32</v>
      </c>
      <c r="DL73" s="96">
        <v>1703</v>
      </c>
      <c r="DM73" s="96"/>
      <c r="DN73" s="96">
        <v>1260</v>
      </c>
      <c r="DO73" s="96">
        <v>20</v>
      </c>
      <c r="DP73" s="96">
        <v>10505</v>
      </c>
      <c r="DQ73" s="635">
        <f t="shared" si="23"/>
        <v>0.69060562708631379</v>
      </c>
      <c r="DS73" s="1311"/>
      <c r="DT73" s="1311"/>
      <c r="DU73" s="1313" t="s">
        <v>547</v>
      </c>
      <c r="DV73" s="1323">
        <v>639</v>
      </c>
      <c r="DW73" s="1323">
        <v>282</v>
      </c>
      <c r="DX73" s="1324"/>
      <c r="DY73" s="1323">
        <v>442</v>
      </c>
      <c r="DZ73" s="1323">
        <v>4731</v>
      </c>
      <c r="EA73" s="1323">
        <v>1077</v>
      </c>
      <c r="EB73" s="1323">
        <v>456</v>
      </c>
      <c r="EC73" s="1324"/>
      <c r="ED73" s="1323">
        <v>3</v>
      </c>
      <c r="EE73" s="1323">
        <v>37</v>
      </c>
      <c r="EF73" s="1323">
        <v>1663</v>
      </c>
      <c r="EG73" s="1324"/>
      <c r="EH73" s="1323">
        <v>1408</v>
      </c>
      <c r="EI73" s="1323">
        <v>19</v>
      </c>
      <c r="EJ73" s="1323">
        <v>10757</v>
      </c>
      <c r="EK73" s="1325">
        <f t="shared" si="24"/>
        <v>0.69575339914322964</v>
      </c>
      <c r="EM73" s="1047"/>
      <c r="EN73" s="1047"/>
      <c r="EO73" s="1070" t="s">
        <v>547</v>
      </c>
      <c r="EP73" s="1071">
        <v>688</v>
      </c>
      <c r="EQ73" s="1071">
        <v>292</v>
      </c>
      <c r="ER73" s="1072">
        <v>1</v>
      </c>
      <c r="ES73" s="1071">
        <v>592</v>
      </c>
      <c r="ET73" s="1071">
        <v>4869</v>
      </c>
      <c r="EU73" s="1071">
        <v>1124</v>
      </c>
      <c r="EV73" s="1071">
        <v>523</v>
      </c>
      <c r="EW73" s="1072"/>
      <c r="EX73" s="1071">
        <v>1</v>
      </c>
      <c r="EY73" s="1071">
        <v>42</v>
      </c>
      <c r="EZ73" s="1071">
        <v>1695</v>
      </c>
      <c r="FA73" s="1071">
        <v>2048</v>
      </c>
      <c r="FB73" s="1071">
        <v>37</v>
      </c>
      <c r="FC73" s="1071">
        <v>11912</v>
      </c>
      <c r="FD73" s="1073">
        <f t="shared" si="25"/>
        <v>0.64539959704499661</v>
      </c>
      <c r="FF73" s="652"/>
      <c r="FG73" s="652"/>
      <c r="FH73" s="813" t="s">
        <v>547</v>
      </c>
      <c r="FI73" s="1074">
        <v>576</v>
      </c>
      <c r="FJ73" s="1074">
        <v>369</v>
      </c>
      <c r="FK73" s="816"/>
      <c r="FL73" s="1074">
        <v>590</v>
      </c>
      <c r="FM73" s="1074">
        <v>4740</v>
      </c>
      <c r="FN73" s="1074">
        <v>1316</v>
      </c>
      <c r="FO73" s="1074">
        <v>491</v>
      </c>
      <c r="FP73" s="816"/>
      <c r="FQ73" s="816"/>
      <c r="FR73" s="1074">
        <v>18</v>
      </c>
      <c r="FS73" s="1074">
        <v>1570</v>
      </c>
      <c r="FT73" s="1074">
        <v>2111</v>
      </c>
      <c r="FU73" s="1074">
        <v>37</v>
      </c>
      <c r="FV73" s="1074">
        <v>11818</v>
      </c>
      <c r="FW73" s="526">
        <f t="shared" si="26"/>
        <v>0.6452868505669318</v>
      </c>
      <c r="FY73" s="817"/>
      <c r="FZ73" s="817"/>
      <c r="GA73" s="1064" t="s">
        <v>23</v>
      </c>
      <c r="GB73" s="1065">
        <v>81</v>
      </c>
      <c r="GC73" s="1065">
        <v>36</v>
      </c>
      <c r="GD73" s="1065">
        <v>0</v>
      </c>
      <c r="GE73" s="1065">
        <v>39</v>
      </c>
      <c r="GF73" s="1065">
        <v>363</v>
      </c>
      <c r="GG73" s="1065">
        <v>129</v>
      </c>
      <c r="GH73" s="1065">
        <v>60</v>
      </c>
      <c r="GI73" s="1065">
        <v>0</v>
      </c>
      <c r="GJ73" s="1065">
        <v>6</v>
      </c>
      <c r="GK73" s="1065">
        <v>161</v>
      </c>
      <c r="GL73" s="1065">
        <v>128</v>
      </c>
      <c r="GM73" s="1065">
        <v>154</v>
      </c>
      <c r="GN73" s="1065">
        <v>0</v>
      </c>
      <c r="GO73" s="1065">
        <v>6</v>
      </c>
      <c r="GP73" s="1065">
        <v>1163</v>
      </c>
      <c r="GQ73" s="1066">
        <f t="shared" si="27"/>
        <v>0.63459669582118561</v>
      </c>
      <c r="GS73" s="107"/>
      <c r="GT73" s="107"/>
      <c r="GU73" s="47" t="s">
        <v>23</v>
      </c>
      <c r="GV73" s="47">
        <v>76</v>
      </c>
      <c r="GW73" s="47">
        <v>33</v>
      </c>
      <c r="GX73" s="47">
        <v>0</v>
      </c>
      <c r="GY73" s="47">
        <v>38</v>
      </c>
      <c r="GZ73" s="47">
        <v>380</v>
      </c>
      <c r="HA73" s="47">
        <v>134</v>
      </c>
      <c r="HB73" s="47">
        <v>51</v>
      </c>
      <c r="HC73" s="47"/>
      <c r="HD73" s="47">
        <v>10</v>
      </c>
      <c r="HE73" s="47">
        <v>161</v>
      </c>
      <c r="HF73" s="47">
        <v>119</v>
      </c>
      <c r="HG73" s="47">
        <v>169</v>
      </c>
      <c r="HH73" s="47">
        <v>0</v>
      </c>
      <c r="HI73" s="47">
        <v>7</v>
      </c>
      <c r="HJ73" s="47">
        <v>1178</v>
      </c>
      <c r="HK73" s="1067">
        <f t="shared" si="15"/>
        <v>0.64163498098859317</v>
      </c>
      <c r="HL73" s="47"/>
      <c r="HM73" s="420"/>
      <c r="HN73" s="420"/>
      <c r="HO73" s="420" t="s">
        <v>23</v>
      </c>
      <c r="HP73" s="1068">
        <v>62</v>
      </c>
      <c r="HQ73" s="1068">
        <v>40</v>
      </c>
      <c r="HR73" s="1068" t="s">
        <v>327</v>
      </c>
      <c r="HS73" s="1068">
        <v>41</v>
      </c>
      <c r="HT73" s="1068">
        <v>391</v>
      </c>
      <c r="HU73" s="1068">
        <v>117</v>
      </c>
      <c r="HV73" s="1068">
        <v>50</v>
      </c>
      <c r="HW73" s="1068" t="s">
        <v>327</v>
      </c>
      <c r="HX73" s="1068">
        <v>5</v>
      </c>
      <c r="HY73" s="1068">
        <v>198</v>
      </c>
      <c r="HZ73" s="1068">
        <v>174</v>
      </c>
      <c r="IA73" s="1068" t="s">
        <v>327</v>
      </c>
      <c r="IB73" s="1068">
        <v>1078</v>
      </c>
      <c r="IC73" s="1068">
        <f t="shared" si="16"/>
        <v>706</v>
      </c>
      <c r="ID73" s="1069">
        <f t="shared" si="17"/>
        <v>0.65491651205936918</v>
      </c>
      <c r="IE73" s="47"/>
      <c r="IF73" s="47"/>
    </row>
    <row r="74" spans="1:240">
      <c r="A74" s="41"/>
      <c r="B74" s="41"/>
      <c r="C74" s="461" t="s">
        <v>547</v>
      </c>
      <c r="D74" s="5556">
        <v>1144</v>
      </c>
      <c r="E74" s="5556">
        <v>401</v>
      </c>
      <c r="F74" s="5556"/>
      <c r="G74" s="5556">
        <v>461</v>
      </c>
      <c r="H74" s="5556">
        <v>3586</v>
      </c>
      <c r="I74" s="5556">
        <v>1197</v>
      </c>
      <c r="J74" s="5556">
        <v>110</v>
      </c>
      <c r="K74" s="5556">
        <v>2</v>
      </c>
      <c r="L74" s="5556">
        <v>6</v>
      </c>
      <c r="M74" s="5556">
        <v>98</v>
      </c>
      <c r="N74" s="5556">
        <v>2110</v>
      </c>
      <c r="O74" s="5556"/>
      <c r="P74" s="5556">
        <v>1525</v>
      </c>
      <c r="Q74" s="5556">
        <v>8</v>
      </c>
      <c r="R74" s="5556">
        <v>10648</v>
      </c>
      <c r="S74" s="706">
        <f t="shared" si="18"/>
        <v>0.6478383458646616</v>
      </c>
      <c r="T74" s="5561"/>
      <c r="U74" s="5562"/>
      <c r="V74" s="706"/>
      <c r="X74" s="107" t="s">
        <v>21</v>
      </c>
      <c r="Y74" s="41" t="s">
        <v>22</v>
      </c>
      <c r="Z74" s="41">
        <v>75</v>
      </c>
      <c r="AA74" s="41">
        <v>70</v>
      </c>
      <c r="AB74" s="41"/>
      <c r="AC74" s="41">
        <v>58</v>
      </c>
      <c r="AD74" s="41">
        <v>834</v>
      </c>
      <c r="AE74" s="41">
        <v>167</v>
      </c>
      <c r="AF74" s="41">
        <v>177</v>
      </c>
      <c r="AG74" s="41"/>
      <c r="AH74" s="41">
        <v>0</v>
      </c>
      <c r="AI74" s="41">
        <v>9</v>
      </c>
      <c r="AJ74" s="41">
        <v>137</v>
      </c>
      <c r="AK74" s="41"/>
      <c r="AL74" s="41">
        <v>263</v>
      </c>
      <c r="AM74" s="41"/>
      <c r="AN74" s="461">
        <v>1790</v>
      </c>
      <c r="AO74" s="4692">
        <f t="shared" si="20"/>
        <v>0.63575418994413413</v>
      </c>
      <c r="AQ74" s="1788"/>
      <c r="AR74" s="1788" t="s">
        <v>21</v>
      </c>
      <c r="AS74" s="37" t="s">
        <v>22</v>
      </c>
      <c r="AT74" s="1788">
        <v>148</v>
      </c>
      <c r="AU74" s="1788">
        <v>135</v>
      </c>
      <c r="AV74" s="1788">
        <v>0</v>
      </c>
      <c r="AW74" s="1788">
        <v>47</v>
      </c>
      <c r="AX74" s="1788">
        <v>609</v>
      </c>
      <c r="AY74" s="1788">
        <v>173</v>
      </c>
      <c r="AZ74" s="1788">
        <v>69</v>
      </c>
      <c r="BA74" s="1788"/>
      <c r="BB74" s="1788">
        <v>0</v>
      </c>
      <c r="BC74" s="1788">
        <v>20</v>
      </c>
      <c r="BD74" s="1788">
        <v>227</v>
      </c>
      <c r="BE74" s="1788"/>
      <c r="BF74" s="1788">
        <v>313</v>
      </c>
      <c r="BG74" s="1788"/>
      <c r="BH74" s="1788">
        <v>1741</v>
      </c>
      <c r="BI74" s="4701">
        <f t="shared" si="21"/>
        <v>0.57955198161975874</v>
      </c>
      <c r="BK74" s="41"/>
      <c r="BL74" s="41" t="s">
        <v>21</v>
      </c>
      <c r="BM74" s="41" t="s">
        <v>22</v>
      </c>
      <c r="BN74" s="105">
        <v>141</v>
      </c>
      <c r="BO74" s="105">
        <v>118</v>
      </c>
      <c r="BP74" s="105"/>
      <c r="BQ74" s="105"/>
      <c r="BR74" s="105">
        <v>695</v>
      </c>
      <c r="BS74" s="105">
        <v>189</v>
      </c>
      <c r="BT74" s="105">
        <v>105</v>
      </c>
      <c r="BU74" s="105"/>
      <c r="BV74" s="105"/>
      <c r="BW74" s="105">
        <v>40</v>
      </c>
      <c r="BX74" s="105">
        <v>155</v>
      </c>
      <c r="BY74" s="105"/>
      <c r="BZ74" s="105">
        <v>290</v>
      </c>
      <c r="CA74" s="105"/>
      <c r="CB74" s="105">
        <v>1733</v>
      </c>
      <c r="CC74" s="2484">
        <f t="shared" si="22"/>
        <v>0.59953837276399302</v>
      </c>
      <c r="CE74" s="41"/>
      <c r="CF74" s="41" t="s">
        <v>21</v>
      </c>
      <c r="CG74" s="41" t="s">
        <v>22</v>
      </c>
      <c r="CH74" s="105">
        <v>155</v>
      </c>
      <c r="CI74" s="105">
        <v>143</v>
      </c>
      <c r="CJ74" s="105">
        <v>0</v>
      </c>
      <c r="CK74" s="105">
        <v>74</v>
      </c>
      <c r="CL74" s="105">
        <v>673</v>
      </c>
      <c r="CM74" s="105">
        <v>176</v>
      </c>
      <c r="CN74" s="105">
        <v>139</v>
      </c>
      <c r="CO74" s="105"/>
      <c r="CP74" s="105">
        <v>0</v>
      </c>
      <c r="CQ74" s="105">
        <v>37</v>
      </c>
      <c r="CR74" s="105">
        <v>168</v>
      </c>
      <c r="CS74" s="105"/>
      <c r="CT74" s="105">
        <v>290</v>
      </c>
      <c r="CU74" s="105">
        <v>1</v>
      </c>
      <c r="CV74" s="105">
        <v>1856</v>
      </c>
      <c r="CW74" s="1644">
        <f t="shared" si="14"/>
        <v>0.54824797843665773</v>
      </c>
      <c r="CX74" s="1976"/>
      <c r="CY74" s="41"/>
      <c r="CZ74" s="41" t="s">
        <v>21</v>
      </c>
      <c r="DA74" s="41" t="s">
        <v>22</v>
      </c>
      <c r="DB74" s="105">
        <v>157</v>
      </c>
      <c r="DC74" s="105">
        <v>149</v>
      </c>
      <c r="DD74" s="105"/>
      <c r="DE74" s="105">
        <v>80</v>
      </c>
      <c r="DF74" s="105">
        <v>696</v>
      </c>
      <c r="DG74" s="105">
        <v>180</v>
      </c>
      <c r="DH74" s="105">
        <v>120</v>
      </c>
      <c r="DI74" s="105"/>
      <c r="DJ74" s="105">
        <v>0</v>
      </c>
      <c r="DK74" s="105">
        <v>29</v>
      </c>
      <c r="DL74" s="105">
        <v>162</v>
      </c>
      <c r="DM74" s="105"/>
      <c r="DN74" s="105">
        <v>299</v>
      </c>
      <c r="DO74" s="105">
        <v>1</v>
      </c>
      <c r="DP74" s="105">
        <v>1873</v>
      </c>
      <c r="DQ74" s="1644">
        <f t="shared" si="23"/>
        <v>0.55448717948717952</v>
      </c>
      <c r="DS74" s="1311"/>
      <c r="DT74" s="1311" t="s">
        <v>21</v>
      </c>
      <c r="DU74" s="1319" t="s">
        <v>22</v>
      </c>
      <c r="DV74" s="1320">
        <v>134</v>
      </c>
      <c r="DW74" s="1320">
        <v>138</v>
      </c>
      <c r="DX74" s="1321"/>
      <c r="DY74" s="1320">
        <v>85</v>
      </c>
      <c r="DZ74" s="1320">
        <v>750</v>
      </c>
      <c r="EA74" s="1320">
        <v>157</v>
      </c>
      <c r="EB74" s="1320">
        <v>129</v>
      </c>
      <c r="EC74" s="1321"/>
      <c r="ED74" s="1320">
        <v>0</v>
      </c>
      <c r="EE74" s="1320">
        <v>24</v>
      </c>
      <c r="EF74" s="1320">
        <v>183</v>
      </c>
      <c r="EG74" s="1321"/>
      <c r="EH74" s="1320">
        <v>329</v>
      </c>
      <c r="EI74" s="1320">
        <v>3</v>
      </c>
      <c r="EJ74" s="1320">
        <v>1932</v>
      </c>
      <c r="EK74" s="1322">
        <f t="shared" si="24"/>
        <v>0.56505961638154489</v>
      </c>
      <c r="EM74" s="1047"/>
      <c r="EN74" s="1047" t="s">
        <v>21</v>
      </c>
      <c r="EO74" s="1060" t="s">
        <v>22</v>
      </c>
      <c r="EP74" s="1061">
        <v>162</v>
      </c>
      <c r="EQ74" s="1061">
        <v>103</v>
      </c>
      <c r="ER74" s="1061">
        <v>0</v>
      </c>
      <c r="ES74" s="1061">
        <v>128</v>
      </c>
      <c r="ET74" s="1061">
        <v>734</v>
      </c>
      <c r="EU74" s="1061">
        <v>222</v>
      </c>
      <c r="EV74" s="1061">
        <v>122</v>
      </c>
      <c r="EW74" s="1047"/>
      <c r="EX74" s="1047"/>
      <c r="EY74" s="1061">
        <v>28</v>
      </c>
      <c r="EZ74" s="1061">
        <v>192</v>
      </c>
      <c r="FA74" s="1061">
        <v>443</v>
      </c>
      <c r="FB74" s="1061">
        <v>0</v>
      </c>
      <c r="FC74" s="1061">
        <v>2134</v>
      </c>
      <c r="FD74" s="537">
        <f t="shared" si="25"/>
        <v>0.53795688847235235</v>
      </c>
      <c r="FF74" s="652"/>
      <c r="FG74" s="652" t="s">
        <v>21</v>
      </c>
      <c r="FH74" s="1062" t="s">
        <v>22</v>
      </c>
      <c r="FI74" s="1063">
        <v>171</v>
      </c>
      <c r="FJ74" s="1063">
        <v>150</v>
      </c>
      <c r="FK74" s="652"/>
      <c r="FL74" s="1063">
        <v>133</v>
      </c>
      <c r="FM74" s="1063">
        <v>706</v>
      </c>
      <c r="FN74" s="1063">
        <v>252</v>
      </c>
      <c r="FO74" s="1063">
        <v>137</v>
      </c>
      <c r="FP74" s="652"/>
      <c r="FQ74" s="652"/>
      <c r="FR74" s="1063">
        <v>30</v>
      </c>
      <c r="FS74" s="1063">
        <v>168</v>
      </c>
      <c r="FT74" s="1063">
        <v>434</v>
      </c>
      <c r="FU74" s="1063">
        <v>0</v>
      </c>
      <c r="FV74" s="1063">
        <v>2181</v>
      </c>
      <c r="FW74" s="537">
        <f t="shared" si="26"/>
        <v>0.51627693718477763</v>
      </c>
      <c r="FY74" s="817"/>
      <c r="FZ74" s="817"/>
      <c r="GA74" s="1064" t="s">
        <v>24</v>
      </c>
      <c r="GB74" s="1065">
        <v>68</v>
      </c>
      <c r="GC74" s="1065">
        <v>36</v>
      </c>
      <c r="GD74" s="1065">
        <v>0</v>
      </c>
      <c r="GE74" s="1065">
        <v>54</v>
      </c>
      <c r="GF74" s="1065">
        <v>230</v>
      </c>
      <c r="GG74" s="1065">
        <v>133</v>
      </c>
      <c r="GH74" s="1065">
        <v>75</v>
      </c>
      <c r="GI74" s="1065">
        <v>0</v>
      </c>
      <c r="GJ74" s="1065">
        <v>11</v>
      </c>
      <c r="GK74" s="1065">
        <v>152</v>
      </c>
      <c r="GL74" s="1065">
        <v>169</v>
      </c>
      <c r="GM74" s="1065">
        <v>242</v>
      </c>
      <c r="GN74" s="1065">
        <v>0</v>
      </c>
      <c r="GO74" s="1065">
        <v>11</v>
      </c>
      <c r="GP74" s="1065">
        <v>1181</v>
      </c>
      <c r="GQ74" s="1066">
        <f t="shared" si="27"/>
        <v>0.51448551448551449</v>
      </c>
      <c r="GS74" s="107"/>
      <c r="GT74" s="107"/>
      <c r="GU74" s="47" t="s">
        <v>24</v>
      </c>
      <c r="GV74" s="47">
        <v>47</v>
      </c>
      <c r="GW74" s="47">
        <v>46</v>
      </c>
      <c r="GX74" s="47">
        <v>1</v>
      </c>
      <c r="GY74" s="47">
        <v>57</v>
      </c>
      <c r="GZ74" s="47">
        <v>240</v>
      </c>
      <c r="HA74" s="47">
        <v>145</v>
      </c>
      <c r="HB74" s="47">
        <v>80</v>
      </c>
      <c r="HC74" s="47"/>
      <c r="HD74" s="47">
        <v>12</v>
      </c>
      <c r="HE74" s="47">
        <v>185</v>
      </c>
      <c r="HF74" s="47">
        <v>158</v>
      </c>
      <c r="HG74" s="47">
        <v>227</v>
      </c>
      <c r="HH74" s="47">
        <v>0</v>
      </c>
      <c r="HI74" s="47">
        <v>14</v>
      </c>
      <c r="HJ74" s="47">
        <v>1212</v>
      </c>
      <c r="HK74" s="1067">
        <f t="shared" si="15"/>
        <v>0.54807692307692313</v>
      </c>
      <c r="HL74" s="47"/>
      <c r="HM74" s="420"/>
      <c r="HN74" s="420"/>
      <c r="HO74" s="420" t="s">
        <v>24</v>
      </c>
      <c r="HP74" s="1068">
        <v>62</v>
      </c>
      <c r="HQ74" s="1068">
        <v>43</v>
      </c>
      <c r="HR74" s="1068" t="s">
        <v>327</v>
      </c>
      <c r="HS74" s="1068">
        <v>51</v>
      </c>
      <c r="HT74" s="1068">
        <v>239</v>
      </c>
      <c r="HU74" s="1068">
        <v>127</v>
      </c>
      <c r="HV74" s="1068">
        <v>98</v>
      </c>
      <c r="HW74" s="1068" t="s">
        <v>327</v>
      </c>
      <c r="HX74" s="1068">
        <v>12</v>
      </c>
      <c r="HY74" s="1068">
        <v>205</v>
      </c>
      <c r="HZ74" s="1068">
        <v>228</v>
      </c>
      <c r="IA74" s="1068" t="s">
        <v>327</v>
      </c>
      <c r="IB74" s="1068">
        <v>1065</v>
      </c>
      <c r="IC74" s="1068">
        <f t="shared" si="16"/>
        <v>571</v>
      </c>
      <c r="ID74" s="1069">
        <f t="shared" si="17"/>
        <v>0.53615023474178403</v>
      </c>
      <c r="IE74" s="47"/>
      <c r="IF74" s="47"/>
    </row>
    <row r="75" spans="1:240">
      <c r="A75" s="41"/>
      <c r="B75" s="41" t="s">
        <v>21</v>
      </c>
      <c r="C75" s="41" t="s">
        <v>22</v>
      </c>
      <c r="D75" s="105">
        <v>183</v>
      </c>
      <c r="E75" s="105">
        <v>131</v>
      </c>
      <c r="F75" s="105"/>
      <c r="G75" s="105">
        <v>40</v>
      </c>
      <c r="H75" s="105">
        <v>585</v>
      </c>
      <c r="I75" s="105">
        <v>173</v>
      </c>
      <c r="J75" s="105">
        <v>33</v>
      </c>
      <c r="K75" s="105">
        <v>6</v>
      </c>
      <c r="L75" s="105">
        <v>0</v>
      </c>
      <c r="M75" s="105">
        <v>23</v>
      </c>
      <c r="N75" s="105">
        <v>271</v>
      </c>
      <c r="O75" s="105"/>
      <c r="P75" s="105">
        <v>322</v>
      </c>
      <c r="Q75" s="105"/>
      <c r="R75" s="105">
        <v>1767</v>
      </c>
      <c r="S75" s="706">
        <f t="shared" si="18"/>
        <v>0.58234295415959259</v>
      </c>
      <c r="T75" s="5561">
        <f t="shared" si="19"/>
        <v>10</v>
      </c>
      <c r="U75" s="5562">
        <v>1757</v>
      </c>
      <c r="V75" s="706"/>
      <c r="Y75" s="41" t="s">
        <v>23</v>
      </c>
      <c r="Z75" s="41">
        <v>15</v>
      </c>
      <c r="AA75" s="41">
        <v>19</v>
      </c>
      <c r="AB75" s="41"/>
      <c r="AC75" s="41">
        <v>15</v>
      </c>
      <c r="AD75" s="41">
        <v>439</v>
      </c>
      <c r="AE75" s="41">
        <v>98</v>
      </c>
      <c r="AF75" s="41">
        <v>52</v>
      </c>
      <c r="AG75" s="41"/>
      <c r="AH75" s="41">
        <v>0</v>
      </c>
      <c r="AI75" s="41">
        <v>4</v>
      </c>
      <c r="AJ75" s="41">
        <v>131</v>
      </c>
      <c r="AK75" s="41"/>
      <c r="AL75" s="41">
        <v>98</v>
      </c>
      <c r="AM75" s="41"/>
      <c r="AN75" s="461">
        <v>871</v>
      </c>
      <c r="AO75" s="4692">
        <f t="shared" si="20"/>
        <v>0.76693455797933408</v>
      </c>
      <c r="AQ75" s="1788"/>
      <c r="AR75" s="1788"/>
      <c r="AS75" s="37" t="s">
        <v>23</v>
      </c>
      <c r="AT75" s="1788">
        <v>35</v>
      </c>
      <c r="AU75" s="1788">
        <v>61</v>
      </c>
      <c r="AV75" s="1788">
        <v>0</v>
      </c>
      <c r="AW75" s="1788">
        <v>10</v>
      </c>
      <c r="AX75" s="1788">
        <v>322</v>
      </c>
      <c r="AY75" s="1788">
        <v>132</v>
      </c>
      <c r="AZ75" s="1788">
        <v>9</v>
      </c>
      <c r="BA75" s="1788"/>
      <c r="BB75" s="1788">
        <v>1</v>
      </c>
      <c r="BC75" s="1788">
        <v>6</v>
      </c>
      <c r="BD75" s="1788">
        <v>177</v>
      </c>
      <c r="BE75" s="1788"/>
      <c r="BF75" s="1788">
        <v>124</v>
      </c>
      <c r="BG75" s="1788"/>
      <c r="BH75" s="1788">
        <v>877</v>
      </c>
      <c r="BI75" s="4701">
        <f t="shared" si="21"/>
        <v>0.7194982896237172</v>
      </c>
      <c r="BK75" s="41"/>
      <c r="BL75" s="41"/>
      <c r="BM75" s="41" t="s">
        <v>23</v>
      </c>
      <c r="BN75" s="105">
        <v>28</v>
      </c>
      <c r="BO75" s="105">
        <v>40</v>
      </c>
      <c r="BP75" s="105"/>
      <c r="BQ75" s="105"/>
      <c r="BR75" s="105">
        <v>352</v>
      </c>
      <c r="BS75" s="105">
        <v>118</v>
      </c>
      <c r="BT75" s="105">
        <v>30</v>
      </c>
      <c r="BU75" s="105"/>
      <c r="BV75" s="105"/>
      <c r="BW75" s="105">
        <v>6</v>
      </c>
      <c r="BX75" s="105">
        <v>171</v>
      </c>
      <c r="BY75" s="105"/>
      <c r="BZ75" s="105">
        <v>110</v>
      </c>
      <c r="CA75" s="105"/>
      <c r="CB75" s="105">
        <v>855</v>
      </c>
      <c r="CC75" s="2484">
        <f t="shared" si="22"/>
        <v>0.74970760233918132</v>
      </c>
      <c r="CE75" s="41"/>
      <c r="CF75" s="41"/>
      <c r="CG75" s="41" t="s">
        <v>23</v>
      </c>
      <c r="CH75" s="105">
        <v>34</v>
      </c>
      <c r="CI75" s="105">
        <v>44</v>
      </c>
      <c r="CJ75" s="105">
        <v>1</v>
      </c>
      <c r="CK75" s="105">
        <v>20</v>
      </c>
      <c r="CL75" s="105">
        <v>296</v>
      </c>
      <c r="CM75" s="105">
        <v>134</v>
      </c>
      <c r="CN75" s="105">
        <v>37</v>
      </c>
      <c r="CO75" s="105"/>
      <c r="CP75" s="105">
        <v>0</v>
      </c>
      <c r="CQ75" s="105">
        <v>5</v>
      </c>
      <c r="CR75" s="105">
        <v>194</v>
      </c>
      <c r="CS75" s="105"/>
      <c r="CT75" s="105">
        <v>101</v>
      </c>
      <c r="CU75" s="105">
        <v>0</v>
      </c>
      <c r="CV75" s="105">
        <v>866</v>
      </c>
      <c r="CW75" s="1644">
        <f t="shared" si="14"/>
        <v>0.72055427251732107</v>
      </c>
      <c r="CX75" s="1976"/>
      <c r="CY75" s="41"/>
      <c r="CZ75" s="41"/>
      <c r="DA75" s="41" t="s">
        <v>23</v>
      </c>
      <c r="DB75" s="105">
        <v>34</v>
      </c>
      <c r="DC75" s="105">
        <v>39</v>
      </c>
      <c r="DD75" s="105"/>
      <c r="DE75" s="105">
        <v>23</v>
      </c>
      <c r="DF75" s="105">
        <v>298</v>
      </c>
      <c r="DG75" s="105">
        <v>131</v>
      </c>
      <c r="DH75" s="105">
        <v>35</v>
      </c>
      <c r="DI75" s="105"/>
      <c r="DJ75" s="105">
        <v>0</v>
      </c>
      <c r="DK75" s="105">
        <v>8</v>
      </c>
      <c r="DL75" s="105">
        <v>201</v>
      </c>
      <c r="DM75" s="105"/>
      <c r="DN75" s="105">
        <v>102</v>
      </c>
      <c r="DO75" s="105">
        <v>0</v>
      </c>
      <c r="DP75" s="105">
        <v>871</v>
      </c>
      <c r="DQ75" s="1644">
        <f t="shared" si="23"/>
        <v>0.72330654420206664</v>
      </c>
      <c r="DS75" s="1311"/>
      <c r="DT75" s="1311"/>
      <c r="DU75" s="1319" t="s">
        <v>23</v>
      </c>
      <c r="DV75" s="1320">
        <v>43</v>
      </c>
      <c r="DW75" s="1320">
        <v>38</v>
      </c>
      <c r="DX75" s="1321"/>
      <c r="DY75" s="1320">
        <v>22</v>
      </c>
      <c r="DZ75" s="1320">
        <v>322</v>
      </c>
      <c r="EA75" s="1320">
        <v>131</v>
      </c>
      <c r="EB75" s="1320">
        <v>39</v>
      </c>
      <c r="EC75" s="1321"/>
      <c r="ED75" s="1320">
        <v>0</v>
      </c>
      <c r="EE75" s="1320">
        <v>10</v>
      </c>
      <c r="EF75" s="1320">
        <v>174</v>
      </c>
      <c r="EG75" s="1321"/>
      <c r="EH75" s="1320">
        <v>112</v>
      </c>
      <c r="EI75" s="1320">
        <v>0</v>
      </c>
      <c r="EJ75" s="1320">
        <v>891</v>
      </c>
      <c r="EK75" s="1322">
        <f t="shared" si="24"/>
        <v>0.70370370370370372</v>
      </c>
      <c r="EM75" s="1047"/>
      <c r="EN75" s="1047"/>
      <c r="EO75" s="1060" t="s">
        <v>23</v>
      </c>
      <c r="EP75" s="1061">
        <v>47</v>
      </c>
      <c r="EQ75" s="1061">
        <v>29</v>
      </c>
      <c r="ER75" s="1061">
        <v>0</v>
      </c>
      <c r="ES75" s="1061">
        <v>32</v>
      </c>
      <c r="ET75" s="1061">
        <v>323</v>
      </c>
      <c r="EU75" s="1061">
        <v>135</v>
      </c>
      <c r="EV75" s="1061">
        <v>53</v>
      </c>
      <c r="EW75" s="1047"/>
      <c r="EX75" s="1047"/>
      <c r="EY75" s="1061">
        <v>6</v>
      </c>
      <c r="EZ75" s="1061">
        <v>191</v>
      </c>
      <c r="FA75" s="1061">
        <v>148</v>
      </c>
      <c r="FB75" s="1061">
        <v>0</v>
      </c>
      <c r="FC75" s="1061">
        <v>964</v>
      </c>
      <c r="FD75" s="537">
        <f t="shared" si="25"/>
        <v>0.67323651452282163</v>
      </c>
      <c r="FF75" s="652"/>
      <c r="FG75" s="652"/>
      <c r="FH75" s="1062" t="s">
        <v>23</v>
      </c>
      <c r="FI75" s="1063">
        <v>44</v>
      </c>
      <c r="FJ75" s="1063">
        <v>62</v>
      </c>
      <c r="FK75" s="652"/>
      <c r="FL75" s="1063">
        <v>38</v>
      </c>
      <c r="FM75" s="1063">
        <v>349</v>
      </c>
      <c r="FN75" s="1063">
        <v>138</v>
      </c>
      <c r="FO75" s="1063">
        <v>47</v>
      </c>
      <c r="FP75" s="652"/>
      <c r="FQ75" s="652"/>
      <c r="FR75" s="1063">
        <v>7</v>
      </c>
      <c r="FS75" s="1063">
        <v>174</v>
      </c>
      <c r="FT75" s="1063">
        <v>147</v>
      </c>
      <c r="FU75" s="1063">
        <v>0</v>
      </c>
      <c r="FV75" s="1063">
        <v>1006</v>
      </c>
      <c r="FW75" s="537">
        <f t="shared" si="26"/>
        <v>0.65705765407554673</v>
      </c>
      <c r="FY75" s="817"/>
      <c r="FZ75" s="817"/>
      <c r="GA75" s="1064" t="s">
        <v>58</v>
      </c>
      <c r="GB75" s="1065">
        <v>57</v>
      </c>
      <c r="GC75" s="1065">
        <v>41</v>
      </c>
      <c r="GD75" s="1065">
        <v>0</v>
      </c>
      <c r="GE75" s="1065">
        <v>85</v>
      </c>
      <c r="GF75" s="1065">
        <v>190</v>
      </c>
      <c r="GG75" s="1065">
        <v>76</v>
      </c>
      <c r="GH75" s="1065">
        <v>30</v>
      </c>
      <c r="GI75" s="1065">
        <v>0</v>
      </c>
      <c r="GJ75" s="1065">
        <v>6</v>
      </c>
      <c r="GK75" s="1065">
        <v>51</v>
      </c>
      <c r="GL75" s="1065">
        <v>141</v>
      </c>
      <c r="GM75" s="1065">
        <v>142</v>
      </c>
      <c r="GN75" s="1065">
        <v>106</v>
      </c>
      <c r="GO75" s="1065">
        <v>11</v>
      </c>
      <c r="GP75" s="1065">
        <v>936</v>
      </c>
      <c r="GQ75" s="1066">
        <f t="shared" si="27"/>
        <v>0.40433673469387754</v>
      </c>
      <c r="GS75" s="107"/>
      <c r="GT75" s="107"/>
      <c r="GU75" s="47" t="s">
        <v>58</v>
      </c>
      <c r="GV75" s="47">
        <v>42</v>
      </c>
      <c r="GW75" s="47">
        <v>33</v>
      </c>
      <c r="GX75" s="47">
        <v>0</v>
      </c>
      <c r="GY75" s="47">
        <v>81</v>
      </c>
      <c r="GZ75" s="47">
        <v>170</v>
      </c>
      <c r="HA75" s="47">
        <v>72</v>
      </c>
      <c r="HB75" s="47">
        <v>46</v>
      </c>
      <c r="HC75" s="47"/>
      <c r="HD75" s="47">
        <v>8</v>
      </c>
      <c r="HE75" s="47">
        <v>57</v>
      </c>
      <c r="HF75" s="47">
        <v>145</v>
      </c>
      <c r="HG75" s="47">
        <v>141</v>
      </c>
      <c r="HH75" s="47">
        <v>106</v>
      </c>
      <c r="HI75" s="47">
        <v>12</v>
      </c>
      <c r="HJ75" s="47">
        <v>913</v>
      </c>
      <c r="HK75" s="1067">
        <f t="shared" si="15"/>
        <v>0.39550264550264552</v>
      </c>
      <c r="HL75" s="47"/>
      <c r="HM75" s="420"/>
      <c r="HN75" s="420"/>
      <c r="HO75" s="420" t="s">
        <v>58</v>
      </c>
      <c r="HP75" s="1068">
        <v>33</v>
      </c>
      <c r="HQ75" s="1068">
        <v>20</v>
      </c>
      <c r="HR75" s="1068" t="s">
        <v>327</v>
      </c>
      <c r="HS75" s="1068">
        <v>75</v>
      </c>
      <c r="HT75" s="1068">
        <v>153</v>
      </c>
      <c r="HU75" s="1068">
        <v>80</v>
      </c>
      <c r="HV75" s="1068">
        <v>45</v>
      </c>
      <c r="HW75" s="1068" t="s">
        <v>327</v>
      </c>
      <c r="HX75" s="1068">
        <v>2</v>
      </c>
      <c r="HY75" s="1068">
        <v>66</v>
      </c>
      <c r="HZ75" s="1068">
        <v>149</v>
      </c>
      <c r="IA75" s="1068">
        <v>97</v>
      </c>
      <c r="IB75" s="1068">
        <v>720</v>
      </c>
      <c r="IC75" s="1068">
        <f t="shared" si="16"/>
        <v>299</v>
      </c>
      <c r="ID75" s="1069">
        <f t="shared" si="17"/>
        <v>0.4152777777777778</v>
      </c>
      <c r="IE75" s="47"/>
      <c r="IF75" s="47"/>
    </row>
    <row r="76" spans="1:240">
      <c r="A76" s="41"/>
      <c r="B76" s="41"/>
      <c r="C76" s="41" t="s">
        <v>23</v>
      </c>
      <c r="D76" s="105">
        <v>43</v>
      </c>
      <c r="E76" s="105">
        <v>46</v>
      </c>
      <c r="F76" s="105"/>
      <c r="G76" s="105">
        <v>11</v>
      </c>
      <c r="H76" s="105">
        <v>328</v>
      </c>
      <c r="I76" s="105">
        <v>108</v>
      </c>
      <c r="J76" s="105">
        <v>3</v>
      </c>
      <c r="K76" s="105">
        <v>22</v>
      </c>
      <c r="L76" s="105">
        <v>1</v>
      </c>
      <c r="M76" s="105">
        <v>10</v>
      </c>
      <c r="N76" s="105">
        <v>191</v>
      </c>
      <c r="O76" s="105"/>
      <c r="P76" s="105">
        <v>116</v>
      </c>
      <c r="Q76" s="105"/>
      <c r="R76" s="105">
        <v>879</v>
      </c>
      <c r="S76" s="706">
        <f t="shared" si="18"/>
        <v>0.71331058020477811</v>
      </c>
      <c r="T76" s="5561">
        <f t="shared" si="19"/>
        <v>5</v>
      </c>
      <c r="U76" s="5562">
        <v>874</v>
      </c>
      <c r="V76" s="706"/>
      <c r="Y76" s="41" t="s">
        <v>24</v>
      </c>
      <c r="Z76" s="41">
        <v>29</v>
      </c>
      <c r="AA76" s="41">
        <v>30</v>
      </c>
      <c r="AB76" s="41"/>
      <c r="AC76" s="41">
        <v>39</v>
      </c>
      <c r="AD76" s="41">
        <v>325</v>
      </c>
      <c r="AE76" s="41">
        <v>95</v>
      </c>
      <c r="AF76" s="41">
        <v>96</v>
      </c>
      <c r="AG76" s="41"/>
      <c r="AH76" s="41">
        <v>0</v>
      </c>
      <c r="AI76" s="41">
        <v>5</v>
      </c>
      <c r="AJ76" s="41">
        <v>114</v>
      </c>
      <c r="AK76" s="41"/>
      <c r="AL76" s="41">
        <v>136</v>
      </c>
      <c r="AM76" s="41"/>
      <c r="AN76" s="461">
        <v>869</v>
      </c>
      <c r="AO76" s="4692">
        <f t="shared" si="20"/>
        <v>0.61449942462600693</v>
      </c>
      <c r="AQ76" s="1788"/>
      <c r="AR76" s="1788"/>
      <c r="AS76" s="37" t="s">
        <v>24</v>
      </c>
      <c r="AT76" s="1788">
        <v>63</v>
      </c>
      <c r="AU76" s="1788">
        <v>68</v>
      </c>
      <c r="AV76" s="1788">
        <v>0</v>
      </c>
      <c r="AW76" s="1788">
        <v>34</v>
      </c>
      <c r="AX76" s="1788">
        <v>232</v>
      </c>
      <c r="AY76" s="1788">
        <v>110</v>
      </c>
      <c r="AZ76" s="1788">
        <v>33</v>
      </c>
      <c r="BA76" s="1788"/>
      <c r="BB76" s="1788">
        <v>0</v>
      </c>
      <c r="BC76" s="1788">
        <v>10</v>
      </c>
      <c r="BD76" s="1788">
        <v>170</v>
      </c>
      <c r="BE76" s="1788"/>
      <c r="BF76" s="1788">
        <v>158</v>
      </c>
      <c r="BG76" s="1788"/>
      <c r="BH76" s="1788">
        <v>878</v>
      </c>
      <c r="BI76" s="4701">
        <f t="shared" si="21"/>
        <v>0.58314350797266512</v>
      </c>
      <c r="BK76" s="41"/>
      <c r="BL76" s="41"/>
      <c r="BM76" s="41" t="s">
        <v>24</v>
      </c>
      <c r="BN76" s="105">
        <v>83</v>
      </c>
      <c r="BO76" s="105">
        <v>47</v>
      </c>
      <c r="BP76" s="105"/>
      <c r="BQ76" s="105"/>
      <c r="BR76" s="105">
        <v>235</v>
      </c>
      <c r="BS76" s="105">
        <v>110</v>
      </c>
      <c r="BT76" s="105">
        <v>56</v>
      </c>
      <c r="BU76" s="105"/>
      <c r="BV76" s="105"/>
      <c r="BW76" s="105">
        <v>6</v>
      </c>
      <c r="BX76" s="105">
        <v>137</v>
      </c>
      <c r="BY76" s="105"/>
      <c r="BZ76" s="105">
        <v>154</v>
      </c>
      <c r="CA76" s="105"/>
      <c r="CB76" s="105">
        <v>828</v>
      </c>
      <c r="CC76" s="2484">
        <f t="shared" si="22"/>
        <v>0.58212560386473433</v>
      </c>
      <c r="CE76" s="41"/>
      <c r="CF76" s="41"/>
      <c r="CG76" s="41" t="s">
        <v>24</v>
      </c>
      <c r="CH76" s="105">
        <v>62</v>
      </c>
      <c r="CI76" s="105">
        <v>67</v>
      </c>
      <c r="CJ76" s="105">
        <v>0</v>
      </c>
      <c r="CK76" s="105">
        <v>43</v>
      </c>
      <c r="CL76" s="105">
        <v>204</v>
      </c>
      <c r="CM76" s="105">
        <v>102</v>
      </c>
      <c r="CN76" s="105">
        <v>62</v>
      </c>
      <c r="CO76" s="105"/>
      <c r="CP76" s="105">
        <v>0</v>
      </c>
      <c r="CQ76" s="105">
        <v>15</v>
      </c>
      <c r="CR76" s="105">
        <v>155</v>
      </c>
      <c r="CS76" s="105"/>
      <c r="CT76" s="105">
        <v>152</v>
      </c>
      <c r="CU76" s="105">
        <v>1</v>
      </c>
      <c r="CV76" s="105">
        <v>863</v>
      </c>
      <c r="CW76" s="1644">
        <f t="shared" si="14"/>
        <v>0.53480278422273786</v>
      </c>
      <c r="CX76" s="1976"/>
      <c r="CY76" s="41"/>
      <c r="CZ76" s="41"/>
      <c r="DA76" s="41" t="s">
        <v>24</v>
      </c>
      <c r="DB76" s="105">
        <v>72</v>
      </c>
      <c r="DC76" s="105">
        <v>50</v>
      </c>
      <c r="DD76" s="105"/>
      <c r="DE76" s="105">
        <v>46</v>
      </c>
      <c r="DF76" s="105">
        <v>206</v>
      </c>
      <c r="DG76" s="105">
        <v>74</v>
      </c>
      <c r="DH76" s="105">
        <v>69</v>
      </c>
      <c r="DI76" s="105"/>
      <c r="DJ76" s="105">
        <v>0</v>
      </c>
      <c r="DK76" s="105">
        <v>10</v>
      </c>
      <c r="DL76" s="105">
        <v>158</v>
      </c>
      <c r="DM76" s="105"/>
      <c r="DN76" s="105">
        <v>167</v>
      </c>
      <c r="DO76" s="105">
        <v>1</v>
      </c>
      <c r="DP76" s="105">
        <v>853</v>
      </c>
      <c r="DQ76" s="1644">
        <f t="shared" si="23"/>
        <v>0.5140845070422535</v>
      </c>
      <c r="DS76" s="1311"/>
      <c r="DT76" s="1311"/>
      <c r="DU76" s="1319" t="s">
        <v>24</v>
      </c>
      <c r="DV76" s="1320">
        <v>79</v>
      </c>
      <c r="DW76" s="1320">
        <v>55</v>
      </c>
      <c r="DX76" s="1321"/>
      <c r="DY76" s="1320">
        <v>49</v>
      </c>
      <c r="DZ76" s="1320">
        <v>214</v>
      </c>
      <c r="EA76" s="1320">
        <v>98</v>
      </c>
      <c r="EB76" s="1320">
        <v>57</v>
      </c>
      <c r="EC76" s="1321"/>
      <c r="ED76" s="1320">
        <v>0</v>
      </c>
      <c r="EE76" s="1320">
        <v>9</v>
      </c>
      <c r="EF76" s="1320">
        <v>124</v>
      </c>
      <c r="EG76" s="1321"/>
      <c r="EH76" s="1320">
        <v>177</v>
      </c>
      <c r="EI76" s="1320">
        <v>2</v>
      </c>
      <c r="EJ76" s="1320">
        <v>864</v>
      </c>
      <c r="EK76" s="1322">
        <f t="shared" si="24"/>
        <v>0.50580046403712298</v>
      </c>
      <c r="EM76" s="1047"/>
      <c r="EN76" s="1047"/>
      <c r="EO76" s="1060" t="s">
        <v>24</v>
      </c>
      <c r="EP76" s="1061">
        <v>59</v>
      </c>
      <c r="EQ76" s="1061">
        <v>45</v>
      </c>
      <c r="ER76" s="1061">
        <v>0</v>
      </c>
      <c r="ES76" s="1061">
        <v>61</v>
      </c>
      <c r="ET76" s="1061">
        <v>216</v>
      </c>
      <c r="EU76" s="1061">
        <v>114</v>
      </c>
      <c r="EV76" s="1061">
        <v>79</v>
      </c>
      <c r="EW76" s="1047"/>
      <c r="EX76" s="1047"/>
      <c r="EY76" s="1061">
        <v>21</v>
      </c>
      <c r="EZ76" s="1061">
        <v>140</v>
      </c>
      <c r="FA76" s="1061">
        <v>227</v>
      </c>
      <c r="FB76" s="1061">
        <v>0</v>
      </c>
      <c r="FC76" s="1061">
        <v>962</v>
      </c>
      <c r="FD76" s="537">
        <f t="shared" si="25"/>
        <v>0.48856548856548859</v>
      </c>
      <c r="FF76" s="652"/>
      <c r="FG76" s="652"/>
      <c r="FH76" s="1062" t="s">
        <v>24</v>
      </c>
      <c r="FI76" s="1063">
        <v>48</v>
      </c>
      <c r="FJ76" s="1063">
        <v>60</v>
      </c>
      <c r="FK76" s="652"/>
      <c r="FL76" s="1063">
        <v>63</v>
      </c>
      <c r="FM76" s="1063">
        <v>220</v>
      </c>
      <c r="FN76" s="1063">
        <v>124</v>
      </c>
      <c r="FO76" s="1063">
        <v>69</v>
      </c>
      <c r="FP76" s="652"/>
      <c r="FQ76" s="652"/>
      <c r="FR76" s="1063">
        <v>9</v>
      </c>
      <c r="FS76" s="1063">
        <v>147</v>
      </c>
      <c r="FT76" s="1063">
        <v>231</v>
      </c>
      <c r="FU76" s="1063">
        <v>0</v>
      </c>
      <c r="FV76" s="1063">
        <v>971</v>
      </c>
      <c r="FW76" s="537">
        <f t="shared" si="26"/>
        <v>0.50566426364572603</v>
      </c>
      <c r="FY76" s="1080"/>
      <c r="FZ76" s="1080"/>
      <c r="GA76" s="1081" t="s">
        <v>546</v>
      </c>
      <c r="GB76" s="1082">
        <v>383</v>
      </c>
      <c r="GC76" s="1082">
        <v>240</v>
      </c>
      <c r="GD76" s="1082">
        <v>0</v>
      </c>
      <c r="GE76" s="1082">
        <v>311</v>
      </c>
      <c r="GF76" s="1082">
        <v>1465</v>
      </c>
      <c r="GG76" s="1082">
        <v>585</v>
      </c>
      <c r="GH76" s="1082">
        <v>334</v>
      </c>
      <c r="GI76" s="1082">
        <v>0</v>
      </c>
      <c r="GJ76" s="1082">
        <v>51</v>
      </c>
      <c r="GK76" s="1082">
        <v>557</v>
      </c>
      <c r="GL76" s="1082">
        <v>809</v>
      </c>
      <c r="GM76" s="1082">
        <v>1011</v>
      </c>
      <c r="GN76" s="1082">
        <v>106</v>
      </c>
      <c r="GO76" s="1082">
        <v>49</v>
      </c>
      <c r="GP76" s="1082">
        <v>5901</v>
      </c>
      <c r="GQ76" s="1083">
        <f t="shared" si="27"/>
        <v>0.51695419393218323</v>
      </c>
      <c r="GS76" s="107"/>
      <c r="GT76" s="107"/>
      <c r="GU76" s="47" t="s">
        <v>15</v>
      </c>
      <c r="GV76" s="47">
        <v>334</v>
      </c>
      <c r="GW76" s="47">
        <v>240</v>
      </c>
      <c r="GX76" s="47">
        <v>1</v>
      </c>
      <c r="GY76" s="47">
        <v>310</v>
      </c>
      <c r="GZ76" s="47">
        <v>1433</v>
      </c>
      <c r="HA76" s="47">
        <v>569</v>
      </c>
      <c r="HB76" s="47">
        <v>346</v>
      </c>
      <c r="HC76" s="47"/>
      <c r="HD76" s="47">
        <v>54</v>
      </c>
      <c r="HE76" s="47">
        <v>604</v>
      </c>
      <c r="HF76" s="47">
        <v>782</v>
      </c>
      <c r="HG76" s="47">
        <v>1027</v>
      </c>
      <c r="HH76" s="47">
        <v>106</v>
      </c>
      <c r="HI76" s="47">
        <v>54</v>
      </c>
      <c r="HJ76" s="47">
        <v>5860</v>
      </c>
      <c r="HK76" s="1067">
        <f t="shared" si="15"/>
        <v>0.51871019108280259</v>
      </c>
      <c r="HL76" s="47"/>
      <c r="HM76" s="420"/>
      <c r="HN76" s="420"/>
      <c r="HO76" s="1077" t="s">
        <v>15</v>
      </c>
      <c r="HP76" s="1078">
        <v>334</v>
      </c>
      <c r="HQ76" s="1078">
        <v>214</v>
      </c>
      <c r="HR76" s="1078" t="s">
        <v>327</v>
      </c>
      <c r="HS76" s="1078">
        <v>294</v>
      </c>
      <c r="HT76" s="1078">
        <v>1394</v>
      </c>
      <c r="HU76" s="1078">
        <v>531</v>
      </c>
      <c r="HV76" s="1078">
        <v>395</v>
      </c>
      <c r="HW76" s="1078" t="s">
        <v>327</v>
      </c>
      <c r="HX76" s="1078">
        <v>45</v>
      </c>
      <c r="HY76" s="1078">
        <v>709</v>
      </c>
      <c r="HZ76" s="1078">
        <v>1056</v>
      </c>
      <c r="IA76" s="1078">
        <v>97</v>
      </c>
      <c r="IB76" s="1078">
        <v>5069</v>
      </c>
      <c r="IC76" s="1078">
        <f t="shared" si="16"/>
        <v>2634</v>
      </c>
      <c r="ID76" s="1079">
        <f t="shared" si="17"/>
        <v>0.51962911816926416</v>
      </c>
      <c r="IE76" s="47"/>
      <c r="IF76" s="47"/>
    </row>
    <row r="77" spans="1:240">
      <c r="A77" s="41"/>
      <c r="B77" s="41"/>
      <c r="C77" s="41" t="s">
        <v>24</v>
      </c>
      <c r="D77" s="105">
        <v>82</v>
      </c>
      <c r="E77" s="105">
        <v>74</v>
      </c>
      <c r="F77" s="105"/>
      <c r="G77" s="105">
        <v>26</v>
      </c>
      <c r="H77" s="105">
        <v>259</v>
      </c>
      <c r="I77" s="105">
        <v>91</v>
      </c>
      <c r="J77" s="105">
        <v>10</v>
      </c>
      <c r="K77" s="105">
        <v>5</v>
      </c>
      <c r="L77" s="105">
        <v>0</v>
      </c>
      <c r="M77" s="105">
        <v>10</v>
      </c>
      <c r="N77" s="105">
        <v>167</v>
      </c>
      <c r="O77" s="105"/>
      <c r="P77" s="105">
        <v>172</v>
      </c>
      <c r="Q77" s="105"/>
      <c r="R77" s="105">
        <v>896</v>
      </c>
      <c r="S77" s="706">
        <f t="shared" si="18"/>
        <v>0.5770089285714286</v>
      </c>
      <c r="T77" s="5561">
        <f t="shared" si="19"/>
        <v>4</v>
      </c>
      <c r="U77" s="5562">
        <v>892</v>
      </c>
      <c r="V77" s="706"/>
      <c r="Y77" s="41" t="s">
        <v>58</v>
      </c>
      <c r="Z77" s="41">
        <v>11</v>
      </c>
      <c r="AA77" s="41">
        <v>8</v>
      </c>
      <c r="AB77" s="41"/>
      <c r="AC77" s="41">
        <v>53</v>
      </c>
      <c r="AD77" s="41">
        <v>330</v>
      </c>
      <c r="AE77" s="41">
        <v>59</v>
      </c>
      <c r="AF77" s="41">
        <v>52</v>
      </c>
      <c r="AG77" s="41"/>
      <c r="AH77" s="41">
        <v>1</v>
      </c>
      <c r="AI77" s="41">
        <v>1</v>
      </c>
      <c r="AJ77" s="41">
        <v>50</v>
      </c>
      <c r="AK77" s="41"/>
      <c r="AL77" s="41">
        <v>98</v>
      </c>
      <c r="AM77" s="41"/>
      <c r="AN77" s="461">
        <v>663</v>
      </c>
      <c r="AO77" s="4692">
        <f t="shared" si="20"/>
        <v>0.66214177978883859</v>
      </c>
      <c r="AQ77" s="1788"/>
      <c r="AR77" s="1788"/>
      <c r="AS77" s="37" t="s">
        <v>58</v>
      </c>
      <c r="AT77" s="1788">
        <v>29</v>
      </c>
      <c r="AU77" s="1788">
        <v>20</v>
      </c>
      <c r="AV77" s="1788">
        <v>1</v>
      </c>
      <c r="AW77" s="1788">
        <v>47</v>
      </c>
      <c r="AX77" s="1788">
        <v>251</v>
      </c>
      <c r="AY77" s="1788">
        <v>77</v>
      </c>
      <c r="AZ77" s="1788">
        <v>22</v>
      </c>
      <c r="BA77" s="1788"/>
      <c r="BB77" s="1788">
        <v>1</v>
      </c>
      <c r="BC77" s="1788">
        <v>3</v>
      </c>
      <c r="BD77" s="1788">
        <v>89</v>
      </c>
      <c r="BE77" s="1788"/>
      <c r="BF77" s="1788">
        <v>116</v>
      </c>
      <c r="BG77" s="1788"/>
      <c r="BH77" s="1788">
        <v>656</v>
      </c>
      <c r="BI77" s="4701">
        <f t="shared" si="21"/>
        <v>0.63567073170731703</v>
      </c>
      <c r="BK77" s="41"/>
      <c r="BL77" s="41"/>
      <c r="BM77" s="41" t="s">
        <v>58</v>
      </c>
      <c r="BN77" s="105">
        <v>34</v>
      </c>
      <c r="BO77" s="105">
        <v>17</v>
      </c>
      <c r="BP77" s="105"/>
      <c r="BQ77" s="105"/>
      <c r="BR77" s="105">
        <v>272</v>
      </c>
      <c r="BS77" s="105">
        <v>87</v>
      </c>
      <c r="BT77" s="105">
        <v>30</v>
      </c>
      <c r="BU77" s="105"/>
      <c r="BV77" s="105"/>
      <c r="BW77" s="105">
        <v>5</v>
      </c>
      <c r="BX77" s="105">
        <v>55</v>
      </c>
      <c r="BY77" s="105"/>
      <c r="BZ77" s="105">
        <v>109</v>
      </c>
      <c r="CA77" s="105"/>
      <c r="CB77" s="105">
        <v>609</v>
      </c>
      <c r="CC77" s="2484">
        <f t="shared" si="22"/>
        <v>0.67980295566502458</v>
      </c>
      <c r="CE77" s="41"/>
      <c r="CF77" s="41"/>
      <c r="CG77" s="41" t="s">
        <v>58</v>
      </c>
      <c r="CH77" s="105">
        <v>41</v>
      </c>
      <c r="CI77" s="105">
        <v>20</v>
      </c>
      <c r="CJ77" s="105">
        <v>0</v>
      </c>
      <c r="CK77" s="105">
        <v>56</v>
      </c>
      <c r="CL77" s="105">
        <v>242</v>
      </c>
      <c r="CM77" s="105">
        <v>96</v>
      </c>
      <c r="CN77" s="105">
        <v>49</v>
      </c>
      <c r="CO77" s="105"/>
      <c r="CP77" s="105">
        <v>1</v>
      </c>
      <c r="CQ77" s="105">
        <v>4</v>
      </c>
      <c r="CR77" s="105">
        <v>69</v>
      </c>
      <c r="CS77" s="105"/>
      <c r="CT77" s="105">
        <v>112</v>
      </c>
      <c r="CU77" s="105">
        <v>0</v>
      </c>
      <c r="CV77" s="105">
        <v>690</v>
      </c>
      <c r="CW77" s="1644">
        <f t="shared" si="14"/>
        <v>0.58985507246376812</v>
      </c>
      <c r="CX77" s="1976"/>
      <c r="CY77" s="41"/>
      <c r="CZ77" s="41"/>
      <c r="DA77" s="41" t="s">
        <v>58</v>
      </c>
      <c r="DB77" s="105">
        <v>32</v>
      </c>
      <c r="DC77" s="105">
        <v>30</v>
      </c>
      <c r="DD77" s="105"/>
      <c r="DE77" s="105">
        <v>61</v>
      </c>
      <c r="DF77" s="105">
        <v>245</v>
      </c>
      <c r="DG77" s="105">
        <v>80</v>
      </c>
      <c r="DH77" s="105">
        <v>27</v>
      </c>
      <c r="DI77" s="105"/>
      <c r="DJ77" s="105">
        <v>1</v>
      </c>
      <c r="DK77" s="105">
        <v>5</v>
      </c>
      <c r="DL77" s="105">
        <v>74</v>
      </c>
      <c r="DM77" s="105"/>
      <c r="DN77" s="105">
        <v>133</v>
      </c>
      <c r="DO77" s="105">
        <v>0</v>
      </c>
      <c r="DP77" s="105">
        <v>688</v>
      </c>
      <c r="DQ77" s="1644">
        <f t="shared" si="23"/>
        <v>0.57994186046511631</v>
      </c>
      <c r="DS77" s="1311"/>
      <c r="DT77" s="1311"/>
      <c r="DU77" s="1319" t="s">
        <v>58</v>
      </c>
      <c r="DV77" s="1320">
        <v>58</v>
      </c>
      <c r="DW77" s="1320">
        <v>27</v>
      </c>
      <c r="DX77" s="1321"/>
      <c r="DY77" s="1320">
        <v>58</v>
      </c>
      <c r="DZ77" s="1320">
        <v>232</v>
      </c>
      <c r="EA77" s="1320">
        <v>76</v>
      </c>
      <c r="EB77" s="1320">
        <v>30</v>
      </c>
      <c r="EC77" s="1321"/>
      <c r="ED77" s="1320">
        <v>1</v>
      </c>
      <c r="EE77" s="1320">
        <v>6</v>
      </c>
      <c r="EF77" s="1320">
        <v>65</v>
      </c>
      <c r="EG77" s="1321"/>
      <c r="EH77" s="1320">
        <v>135</v>
      </c>
      <c r="EI77" s="1320">
        <v>1</v>
      </c>
      <c r="EJ77" s="1320">
        <v>689</v>
      </c>
      <c r="EK77" s="1322">
        <f t="shared" si="24"/>
        <v>0.54215116279069764</v>
      </c>
      <c r="EM77" s="1047"/>
      <c r="EN77" s="1047"/>
      <c r="EO77" s="1060" t="s">
        <v>58</v>
      </c>
      <c r="EP77" s="1061">
        <v>63</v>
      </c>
      <c r="EQ77" s="1061">
        <v>21</v>
      </c>
      <c r="ER77" s="1061">
        <v>1</v>
      </c>
      <c r="ES77" s="1061">
        <v>78</v>
      </c>
      <c r="ET77" s="1061">
        <v>234</v>
      </c>
      <c r="EU77" s="1061">
        <v>75</v>
      </c>
      <c r="EV77" s="1061">
        <v>32</v>
      </c>
      <c r="EW77" s="1047"/>
      <c r="EX77" s="1047"/>
      <c r="EY77" s="1061">
        <v>5</v>
      </c>
      <c r="EZ77" s="1061">
        <v>51</v>
      </c>
      <c r="FA77" s="1061">
        <v>164</v>
      </c>
      <c r="FB77" s="1061">
        <v>106</v>
      </c>
      <c r="FC77" s="1061">
        <v>830</v>
      </c>
      <c r="FD77" s="537">
        <f t="shared" si="25"/>
        <v>0.43373493975903615</v>
      </c>
      <c r="FF77" s="652"/>
      <c r="FG77" s="652"/>
      <c r="FH77" s="1062" t="s">
        <v>58</v>
      </c>
      <c r="FI77" s="1063">
        <v>40</v>
      </c>
      <c r="FJ77" s="1063">
        <v>39</v>
      </c>
      <c r="FK77" s="652"/>
      <c r="FL77" s="1063">
        <v>81</v>
      </c>
      <c r="FM77" s="1063">
        <v>201</v>
      </c>
      <c r="FN77" s="1063">
        <v>95</v>
      </c>
      <c r="FO77" s="1063">
        <v>28</v>
      </c>
      <c r="FP77" s="652"/>
      <c r="FQ77" s="652"/>
      <c r="FR77" s="1063">
        <v>9</v>
      </c>
      <c r="FS77" s="1063">
        <v>55</v>
      </c>
      <c r="FT77" s="1063">
        <v>149</v>
      </c>
      <c r="FU77" s="1063">
        <v>106</v>
      </c>
      <c r="FV77" s="1063">
        <v>803</v>
      </c>
      <c r="FW77" s="537">
        <f t="shared" si="26"/>
        <v>0.43711083437110837</v>
      </c>
      <c r="FY77" s="817" t="s">
        <v>59</v>
      </c>
      <c r="FZ77" s="817" t="s">
        <v>16</v>
      </c>
      <c r="GA77" s="1064" t="s">
        <v>17</v>
      </c>
      <c r="GB77" s="1065">
        <v>48</v>
      </c>
      <c r="GC77" s="1065">
        <v>22</v>
      </c>
      <c r="GD77" s="1065">
        <v>0</v>
      </c>
      <c r="GE77" s="1065">
        <v>8</v>
      </c>
      <c r="GF77" s="1065">
        <v>95</v>
      </c>
      <c r="GG77" s="1065">
        <v>9</v>
      </c>
      <c r="GH77" s="1065">
        <v>3</v>
      </c>
      <c r="GI77" s="1065">
        <v>0</v>
      </c>
      <c r="GJ77" s="1065">
        <v>3</v>
      </c>
      <c r="GK77" s="1065">
        <v>21</v>
      </c>
      <c r="GL77" s="1065">
        <v>26</v>
      </c>
      <c r="GM77" s="1065">
        <v>30</v>
      </c>
      <c r="GN77" s="1065">
        <v>0</v>
      </c>
      <c r="GO77" s="1065">
        <v>3</v>
      </c>
      <c r="GP77" s="1065">
        <v>268</v>
      </c>
      <c r="GQ77" s="1066">
        <f t="shared" si="27"/>
        <v>0.52301255230125521</v>
      </c>
      <c r="GS77" s="107" t="s">
        <v>59</v>
      </c>
      <c r="GT77" s="107" t="s">
        <v>16</v>
      </c>
      <c r="GU77" s="47" t="s">
        <v>17</v>
      </c>
      <c r="GV77" s="47">
        <v>25</v>
      </c>
      <c r="GW77" s="47">
        <v>12</v>
      </c>
      <c r="GX77" s="47">
        <v>0</v>
      </c>
      <c r="GY77" s="47">
        <v>5</v>
      </c>
      <c r="GZ77" s="47">
        <v>71</v>
      </c>
      <c r="HA77" s="47">
        <v>6</v>
      </c>
      <c r="HB77" s="47">
        <v>3</v>
      </c>
      <c r="HC77" s="47"/>
      <c r="HD77" s="47">
        <v>9</v>
      </c>
      <c r="HE77" s="47">
        <v>18</v>
      </c>
      <c r="HF77" s="47">
        <v>23</v>
      </c>
      <c r="HG77" s="47">
        <v>26</v>
      </c>
      <c r="HH77" s="47"/>
      <c r="HI77" s="47">
        <v>1</v>
      </c>
      <c r="HJ77" s="47">
        <v>199</v>
      </c>
      <c r="HK77" s="1067">
        <f t="shared" si="15"/>
        <v>0.54285714285714282</v>
      </c>
      <c r="HL77" s="47"/>
      <c r="HM77" s="420" t="s">
        <v>59</v>
      </c>
      <c r="HN77" s="420" t="s">
        <v>16</v>
      </c>
      <c r="HO77" s="420" t="s">
        <v>17</v>
      </c>
      <c r="HP77" s="1068">
        <v>17</v>
      </c>
      <c r="HQ77" s="1068">
        <v>15</v>
      </c>
      <c r="HR77" s="1068" t="s">
        <v>327</v>
      </c>
      <c r="HS77" s="1068">
        <v>1</v>
      </c>
      <c r="HT77" s="1068">
        <v>22</v>
      </c>
      <c r="HU77" s="1068">
        <v>9</v>
      </c>
      <c r="HV77" s="1068">
        <v>2</v>
      </c>
      <c r="HW77" s="1068" t="s">
        <v>327</v>
      </c>
      <c r="HX77" s="1068">
        <v>2</v>
      </c>
      <c r="HY77" s="1068">
        <v>23</v>
      </c>
      <c r="HZ77" s="1068">
        <v>16</v>
      </c>
      <c r="IA77" s="1068" t="s">
        <v>327</v>
      </c>
      <c r="IB77" s="1068">
        <v>107</v>
      </c>
      <c r="IC77" s="1068">
        <f t="shared" si="16"/>
        <v>54</v>
      </c>
      <c r="ID77" s="1069">
        <f t="shared" si="17"/>
        <v>0.50467289719626163</v>
      </c>
      <c r="IE77" s="47"/>
      <c r="IF77" s="47"/>
    </row>
    <row r="78" spans="1:240">
      <c r="A78" s="41"/>
      <c r="B78" s="41"/>
      <c r="C78" s="41" t="s">
        <v>58</v>
      </c>
      <c r="D78" s="105">
        <v>33</v>
      </c>
      <c r="E78" s="105">
        <v>23</v>
      </c>
      <c r="F78" s="105"/>
      <c r="G78" s="105">
        <v>46</v>
      </c>
      <c r="H78" s="105">
        <v>230</v>
      </c>
      <c r="I78" s="105">
        <v>80</v>
      </c>
      <c r="J78" s="105">
        <v>4</v>
      </c>
      <c r="K78" s="105">
        <v>0</v>
      </c>
      <c r="L78" s="105">
        <v>1</v>
      </c>
      <c r="M78" s="105">
        <v>3</v>
      </c>
      <c r="N78" s="105">
        <v>115</v>
      </c>
      <c r="O78" s="105"/>
      <c r="P78" s="105">
        <v>123</v>
      </c>
      <c r="Q78" s="105"/>
      <c r="R78" s="105">
        <v>658</v>
      </c>
      <c r="S78" s="706">
        <f>+(N78+I78+H78)/(R78-Q78-O78)</f>
        <v>0.64589665653495443</v>
      </c>
      <c r="T78" s="5561">
        <f t="shared" si="19"/>
        <v>0</v>
      </c>
      <c r="U78" s="5562">
        <v>658</v>
      </c>
      <c r="V78" s="706"/>
      <c r="Y78" s="41" t="s">
        <v>15</v>
      </c>
      <c r="Z78" s="41">
        <v>130</v>
      </c>
      <c r="AA78" s="41">
        <v>127</v>
      </c>
      <c r="AB78" s="41"/>
      <c r="AC78" s="41">
        <v>165</v>
      </c>
      <c r="AD78" s="41">
        <v>1928</v>
      </c>
      <c r="AE78" s="41">
        <v>419</v>
      </c>
      <c r="AF78" s="41">
        <v>377</v>
      </c>
      <c r="AG78" s="41"/>
      <c r="AH78" s="41">
        <v>1</v>
      </c>
      <c r="AI78" s="41">
        <v>19</v>
      </c>
      <c r="AJ78" s="41">
        <v>432</v>
      </c>
      <c r="AK78" s="41"/>
      <c r="AL78" s="41">
        <v>595</v>
      </c>
      <c r="AM78" s="41"/>
      <c r="AN78" s="461">
        <v>4193</v>
      </c>
      <c r="AO78" s="4692">
        <f t="shared" si="20"/>
        <v>0.662771285475793</v>
      </c>
      <c r="AQ78" s="1788"/>
      <c r="AR78" s="1788"/>
      <c r="AS78" s="1793" t="s">
        <v>546</v>
      </c>
      <c r="AT78" s="4702">
        <v>275</v>
      </c>
      <c r="AU78" s="4702">
        <v>284</v>
      </c>
      <c r="AV78" s="4702">
        <v>1</v>
      </c>
      <c r="AW78" s="4702">
        <v>138</v>
      </c>
      <c r="AX78" s="4702">
        <v>1414</v>
      </c>
      <c r="AY78" s="4702">
        <v>492</v>
      </c>
      <c r="AZ78" s="4702">
        <v>133</v>
      </c>
      <c r="BA78" s="4702"/>
      <c r="BB78" s="4702">
        <v>2</v>
      </c>
      <c r="BC78" s="4702">
        <v>39</v>
      </c>
      <c r="BD78" s="4702">
        <v>663</v>
      </c>
      <c r="BE78" s="4702"/>
      <c r="BF78" s="4702">
        <v>711</v>
      </c>
      <c r="BG78" s="4702"/>
      <c r="BH78" s="4702">
        <v>4152</v>
      </c>
      <c r="BI78" s="4703">
        <f t="shared" si="21"/>
        <v>0.61873795761078998</v>
      </c>
      <c r="BK78" s="41"/>
      <c r="BL78" s="41"/>
      <c r="BM78" s="461" t="s">
        <v>546</v>
      </c>
      <c r="BN78" s="2473">
        <v>286</v>
      </c>
      <c r="BO78" s="2473">
        <v>222</v>
      </c>
      <c r="BP78" s="2473"/>
      <c r="BQ78" s="2473"/>
      <c r="BR78" s="2473">
        <v>1554</v>
      </c>
      <c r="BS78" s="2473">
        <v>504</v>
      </c>
      <c r="BT78" s="2473">
        <v>221</v>
      </c>
      <c r="BU78" s="2473"/>
      <c r="BV78" s="2473"/>
      <c r="BW78" s="2473">
        <v>57</v>
      </c>
      <c r="BX78" s="2473">
        <v>518</v>
      </c>
      <c r="BY78" s="2473"/>
      <c r="BZ78" s="2473">
        <v>663</v>
      </c>
      <c r="CA78" s="2473"/>
      <c r="CB78" s="2473">
        <v>4025</v>
      </c>
      <c r="CC78" s="2484">
        <f t="shared" si="22"/>
        <v>0.64</v>
      </c>
      <c r="CE78" s="41"/>
      <c r="CF78" s="41"/>
      <c r="CG78" s="461" t="s">
        <v>546</v>
      </c>
      <c r="CH78" s="96">
        <v>292</v>
      </c>
      <c r="CI78" s="96">
        <v>274</v>
      </c>
      <c r="CJ78" s="96">
        <v>1</v>
      </c>
      <c r="CK78" s="96">
        <v>193</v>
      </c>
      <c r="CL78" s="96">
        <v>1415</v>
      </c>
      <c r="CM78" s="96">
        <v>508</v>
      </c>
      <c r="CN78" s="96">
        <v>287</v>
      </c>
      <c r="CO78" s="96"/>
      <c r="CP78" s="96">
        <v>1</v>
      </c>
      <c r="CQ78" s="96">
        <v>61</v>
      </c>
      <c r="CR78" s="96">
        <v>586</v>
      </c>
      <c r="CS78" s="96"/>
      <c r="CT78" s="96">
        <v>655</v>
      </c>
      <c r="CU78" s="96">
        <v>2</v>
      </c>
      <c r="CV78" s="96">
        <v>4275</v>
      </c>
      <c r="CW78" s="635">
        <f t="shared" si="14"/>
        <v>0.58717528668382868</v>
      </c>
      <c r="CX78" s="1977"/>
      <c r="CY78" s="41"/>
      <c r="CZ78" s="41"/>
      <c r="DA78" s="461" t="s">
        <v>546</v>
      </c>
      <c r="DB78" s="96">
        <v>295</v>
      </c>
      <c r="DC78" s="96">
        <v>268</v>
      </c>
      <c r="DD78" s="96"/>
      <c r="DE78" s="96">
        <v>210</v>
      </c>
      <c r="DF78" s="96">
        <v>1445</v>
      </c>
      <c r="DG78" s="96">
        <v>465</v>
      </c>
      <c r="DH78" s="96">
        <v>251</v>
      </c>
      <c r="DI78" s="96"/>
      <c r="DJ78" s="96">
        <v>1</v>
      </c>
      <c r="DK78" s="96">
        <v>52</v>
      </c>
      <c r="DL78" s="96">
        <v>595</v>
      </c>
      <c r="DM78" s="96"/>
      <c r="DN78" s="96">
        <v>701</v>
      </c>
      <c r="DO78" s="96">
        <v>2</v>
      </c>
      <c r="DP78" s="96">
        <v>4285</v>
      </c>
      <c r="DQ78" s="635">
        <f t="shared" si="23"/>
        <v>0.58487041793135652</v>
      </c>
      <c r="DS78" s="1311"/>
      <c r="DT78" s="1311"/>
      <c r="DU78" s="1313" t="s">
        <v>546</v>
      </c>
      <c r="DV78" s="1323">
        <v>314</v>
      </c>
      <c r="DW78" s="1323">
        <v>258</v>
      </c>
      <c r="DX78" s="1324"/>
      <c r="DY78" s="1323">
        <v>214</v>
      </c>
      <c r="DZ78" s="1323">
        <v>1518</v>
      </c>
      <c r="EA78" s="1323">
        <v>462</v>
      </c>
      <c r="EB78" s="1323">
        <v>255</v>
      </c>
      <c r="EC78" s="1324"/>
      <c r="ED78" s="1323">
        <v>1</v>
      </c>
      <c r="EE78" s="1323">
        <v>49</v>
      </c>
      <c r="EF78" s="1323">
        <v>546</v>
      </c>
      <c r="EG78" s="1324"/>
      <c r="EH78" s="1323">
        <v>753</v>
      </c>
      <c r="EI78" s="1323">
        <v>6</v>
      </c>
      <c r="EJ78" s="1323">
        <v>4376</v>
      </c>
      <c r="EK78" s="1325">
        <f t="shared" si="24"/>
        <v>0.57803203661327229</v>
      </c>
      <c r="EM78" s="1047"/>
      <c r="EN78" s="1047"/>
      <c r="EO78" s="1070" t="s">
        <v>546</v>
      </c>
      <c r="EP78" s="1071">
        <v>331</v>
      </c>
      <c r="EQ78" s="1071">
        <v>198</v>
      </c>
      <c r="ER78" s="1071">
        <v>1</v>
      </c>
      <c r="ES78" s="1071">
        <v>299</v>
      </c>
      <c r="ET78" s="1071">
        <v>1507</v>
      </c>
      <c r="EU78" s="1071">
        <v>546</v>
      </c>
      <c r="EV78" s="1071">
        <v>286</v>
      </c>
      <c r="EW78" s="1072"/>
      <c r="EX78" s="1072"/>
      <c r="EY78" s="1071">
        <v>60</v>
      </c>
      <c r="EZ78" s="1071">
        <v>574</v>
      </c>
      <c r="FA78" s="1071">
        <v>982</v>
      </c>
      <c r="FB78" s="1071">
        <v>106</v>
      </c>
      <c r="FC78" s="1071">
        <v>4890</v>
      </c>
      <c r="FD78" s="1073">
        <f t="shared" si="25"/>
        <v>0.53721881390593051</v>
      </c>
      <c r="FF78" s="652"/>
      <c r="FG78" s="652"/>
      <c r="FH78" s="813" t="s">
        <v>546</v>
      </c>
      <c r="FI78" s="1074">
        <v>303</v>
      </c>
      <c r="FJ78" s="1074">
        <v>311</v>
      </c>
      <c r="FK78" s="816"/>
      <c r="FL78" s="1074">
        <v>315</v>
      </c>
      <c r="FM78" s="1074">
        <v>1476</v>
      </c>
      <c r="FN78" s="1074">
        <v>609</v>
      </c>
      <c r="FO78" s="1074">
        <v>281</v>
      </c>
      <c r="FP78" s="816"/>
      <c r="FQ78" s="816"/>
      <c r="FR78" s="1074">
        <v>55</v>
      </c>
      <c r="FS78" s="1074">
        <v>544</v>
      </c>
      <c r="FT78" s="1074">
        <v>961</v>
      </c>
      <c r="FU78" s="1074">
        <v>106</v>
      </c>
      <c r="FV78" s="1074">
        <v>4961</v>
      </c>
      <c r="FW78" s="526">
        <f t="shared" si="26"/>
        <v>0.52993348115299332</v>
      </c>
      <c r="FY78" s="817"/>
      <c r="FZ78" s="817"/>
      <c r="GA78" s="1088" t="s">
        <v>18</v>
      </c>
      <c r="GB78" s="1089">
        <v>1</v>
      </c>
      <c r="GC78" s="1089">
        <v>2</v>
      </c>
      <c r="GD78" s="1089">
        <v>0</v>
      </c>
      <c r="GE78" s="1089">
        <v>2</v>
      </c>
      <c r="GF78" s="1089">
        <v>21</v>
      </c>
      <c r="GG78" s="1089">
        <v>0</v>
      </c>
      <c r="GH78" s="1089">
        <v>0</v>
      </c>
      <c r="GI78" s="1089">
        <v>0</v>
      </c>
      <c r="GJ78" s="1089">
        <v>1</v>
      </c>
      <c r="GK78" s="1089">
        <v>2</v>
      </c>
      <c r="GL78" s="1089">
        <v>12</v>
      </c>
      <c r="GM78" s="1089">
        <v>5</v>
      </c>
      <c r="GN78" s="1089">
        <v>0</v>
      </c>
      <c r="GO78" s="1089">
        <v>0</v>
      </c>
      <c r="GP78" s="1089">
        <v>46</v>
      </c>
      <c r="GQ78" s="1090">
        <f t="shared" si="27"/>
        <v>0.67647058823529416</v>
      </c>
      <c r="GS78" s="107"/>
      <c r="GT78" s="107"/>
      <c r="GU78" s="47" t="s">
        <v>18</v>
      </c>
      <c r="GV78" s="47">
        <v>0</v>
      </c>
      <c r="GW78" s="47">
        <v>2</v>
      </c>
      <c r="GX78" s="47">
        <v>0</v>
      </c>
      <c r="GY78" s="47">
        <v>2</v>
      </c>
      <c r="GZ78" s="47">
        <v>21</v>
      </c>
      <c r="HA78" s="47">
        <v>0</v>
      </c>
      <c r="HB78" s="47">
        <v>0</v>
      </c>
      <c r="HC78" s="47"/>
      <c r="HD78" s="47">
        <v>1</v>
      </c>
      <c r="HE78" s="47">
        <v>2</v>
      </c>
      <c r="HF78" s="47">
        <v>12</v>
      </c>
      <c r="HG78" s="47">
        <v>6</v>
      </c>
      <c r="HH78" s="47"/>
      <c r="HI78" s="47">
        <v>0</v>
      </c>
      <c r="HJ78" s="47">
        <v>46</v>
      </c>
      <c r="HK78" s="1067">
        <f t="shared" si="15"/>
        <v>0.67647058823529416</v>
      </c>
      <c r="HL78" s="47"/>
      <c r="HM78" s="420"/>
      <c r="HN78" s="420"/>
      <c r="HO78" s="420" t="s">
        <v>18</v>
      </c>
      <c r="HP78" s="1068">
        <v>2</v>
      </c>
      <c r="HQ78" s="1068">
        <v>1</v>
      </c>
      <c r="HR78" s="1068" t="s">
        <v>327</v>
      </c>
      <c r="HS78" s="1068">
        <v>2</v>
      </c>
      <c r="HT78" s="1068">
        <v>10</v>
      </c>
      <c r="HU78" s="1068">
        <v>10</v>
      </c>
      <c r="HV78" s="1068" t="s">
        <v>327</v>
      </c>
      <c r="HW78" s="1068" t="s">
        <v>327</v>
      </c>
      <c r="HX78" s="1068">
        <v>1</v>
      </c>
      <c r="HY78" s="1068">
        <v>3</v>
      </c>
      <c r="HZ78" s="1068">
        <v>5</v>
      </c>
      <c r="IA78" s="1068" t="s">
        <v>327</v>
      </c>
      <c r="IB78" s="1068">
        <v>34</v>
      </c>
      <c r="IC78" s="1068">
        <f t="shared" si="16"/>
        <v>23</v>
      </c>
      <c r="ID78" s="1069">
        <f t="shared" si="17"/>
        <v>0.67647058823529416</v>
      </c>
      <c r="IE78" s="47"/>
      <c r="IF78" s="47"/>
    </row>
    <row r="79" spans="1:240">
      <c r="A79" s="41"/>
      <c r="B79" s="41"/>
      <c r="C79" s="461" t="s">
        <v>546</v>
      </c>
      <c r="D79" s="5556">
        <v>341</v>
      </c>
      <c r="E79" s="5556">
        <v>274</v>
      </c>
      <c r="F79" s="5556"/>
      <c r="G79" s="5556">
        <v>123</v>
      </c>
      <c r="H79" s="5556">
        <v>1402</v>
      </c>
      <c r="I79" s="5556">
        <v>452</v>
      </c>
      <c r="J79" s="5556">
        <v>50</v>
      </c>
      <c r="K79" s="5556">
        <v>33</v>
      </c>
      <c r="L79" s="5556">
        <v>2</v>
      </c>
      <c r="M79" s="5556">
        <v>46</v>
      </c>
      <c r="N79" s="5556">
        <v>744</v>
      </c>
      <c r="O79" s="5556"/>
      <c r="P79" s="5556">
        <v>733</v>
      </c>
      <c r="Q79" s="5556"/>
      <c r="R79" s="5556">
        <v>4200</v>
      </c>
      <c r="S79" s="706">
        <f t="shared" si="18"/>
        <v>0.61857142857142855</v>
      </c>
      <c r="T79" s="5561"/>
      <c r="U79" s="5562"/>
      <c r="V79" s="706"/>
      <c r="W79" s="4693"/>
      <c r="X79" s="4693"/>
      <c r="Y79" s="4694" t="s">
        <v>15</v>
      </c>
      <c r="Z79" s="4694">
        <v>696</v>
      </c>
      <c r="AA79" s="4694">
        <v>582</v>
      </c>
      <c r="AB79" s="4694"/>
      <c r="AC79" s="4694">
        <v>889</v>
      </c>
      <c r="AD79" s="4694">
        <v>11272</v>
      </c>
      <c r="AE79" s="4694">
        <v>2418</v>
      </c>
      <c r="AF79" s="4694">
        <v>1729</v>
      </c>
      <c r="AG79" s="4694"/>
      <c r="AH79" s="4694">
        <v>6</v>
      </c>
      <c r="AI79" s="4694">
        <v>104</v>
      </c>
      <c r="AJ79" s="4694">
        <v>2279</v>
      </c>
      <c r="AK79" s="4694"/>
      <c r="AL79" s="4694">
        <v>3021</v>
      </c>
      <c r="AM79" s="4694">
        <v>20</v>
      </c>
      <c r="AN79" s="4585">
        <v>23016</v>
      </c>
      <c r="AO79" s="4695">
        <f t="shared" si="20"/>
        <v>0.69442511741172375</v>
      </c>
      <c r="AQ79" s="1788"/>
      <c r="AR79" s="1788"/>
      <c r="AS79" s="4704" t="s">
        <v>442</v>
      </c>
      <c r="AT79" s="4705">
        <v>1861</v>
      </c>
      <c r="AU79" s="4705">
        <v>1228</v>
      </c>
      <c r="AV79" s="4705">
        <v>3</v>
      </c>
      <c r="AW79" s="4705">
        <v>838</v>
      </c>
      <c r="AX79" s="4705">
        <v>8125</v>
      </c>
      <c r="AY79" s="4705">
        <v>3053</v>
      </c>
      <c r="AZ79" s="4705">
        <v>689</v>
      </c>
      <c r="BA79" s="4705"/>
      <c r="BB79" s="4705">
        <v>9</v>
      </c>
      <c r="BC79" s="4705">
        <v>167</v>
      </c>
      <c r="BD79" s="4705">
        <v>3393</v>
      </c>
      <c r="BE79" s="4705"/>
      <c r="BF79" s="4705">
        <v>3616</v>
      </c>
      <c r="BG79" s="4705">
        <v>14</v>
      </c>
      <c r="BH79" s="4705">
        <v>22996</v>
      </c>
      <c r="BI79" s="4706">
        <f t="shared" si="21"/>
        <v>0.6340179270733618</v>
      </c>
      <c r="BK79" s="41"/>
      <c r="BL79" s="41"/>
      <c r="BM79" s="461" t="s">
        <v>442</v>
      </c>
      <c r="BN79" s="2473">
        <v>1617</v>
      </c>
      <c r="BO79" s="2473">
        <v>909</v>
      </c>
      <c r="BP79" s="2473"/>
      <c r="BQ79" s="2473">
        <v>4</v>
      </c>
      <c r="BR79" s="2473">
        <v>9339</v>
      </c>
      <c r="BS79" s="2473">
        <v>2597</v>
      </c>
      <c r="BT79" s="2473">
        <v>954</v>
      </c>
      <c r="BU79" s="2473"/>
      <c r="BV79" s="2473">
        <v>1</v>
      </c>
      <c r="BW79" s="2473">
        <v>222</v>
      </c>
      <c r="BX79" s="2473">
        <v>3035</v>
      </c>
      <c r="BY79" s="2473"/>
      <c r="BZ79" s="2473">
        <v>3414</v>
      </c>
      <c r="CA79" s="2473">
        <v>2</v>
      </c>
      <c r="CB79" s="2473">
        <v>22094</v>
      </c>
      <c r="CC79" s="2484">
        <f t="shared" si="22"/>
        <v>0.67766612348361399</v>
      </c>
      <c r="CE79" s="41"/>
      <c r="CF79" s="41"/>
      <c r="CG79" s="461" t="s">
        <v>442</v>
      </c>
      <c r="CH79" s="96">
        <v>1594</v>
      </c>
      <c r="CI79" s="96">
        <v>1059</v>
      </c>
      <c r="CJ79" s="96">
        <v>2</v>
      </c>
      <c r="CK79" s="96">
        <v>937</v>
      </c>
      <c r="CL79" s="96">
        <v>8971</v>
      </c>
      <c r="CM79" s="96">
        <v>2736</v>
      </c>
      <c r="CN79" s="96">
        <v>1142</v>
      </c>
      <c r="CO79" s="96">
        <v>4</v>
      </c>
      <c r="CP79" s="96">
        <v>5</v>
      </c>
      <c r="CQ79" s="96">
        <v>188</v>
      </c>
      <c r="CR79" s="96">
        <v>3125</v>
      </c>
      <c r="CS79" s="96"/>
      <c r="CT79" s="96">
        <v>3267</v>
      </c>
      <c r="CU79" s="96">
        <v>23</v>
      </c>
      <c r="CV79" s="96">
        <v>23053</v>
      </c>
      <c r="CW79" s="635">
        <f t="shared" si="14"/>
        <v>0.64402952670429869</v>
      </c>
      <c r="CX79" s="1977"/>
      <c r="CY79" s="41"/>
      <c r="CZ79" s="41"/>
      <c r="DA79" s="461" t="s">
        <v>442</v>
      </c>
      <c r="DB79" s="96">
        <v>1516</v>
      </c>
      <c r="DC79" s="96">
        <v>1084</v>
      </c>
      <c r="DD79" s="96">
        <v>1</v>
      </c>
      <c r="DE79" s="96">
        <v>932</v>
      </c>
      <c r="DF79" s="96">
        <v>9428</v>
      </c>
      <c r="DG79" s="96">
        <v>2482</v>
      </c>
      <c r="DH79" s="96">
        <v>1130</v>
      </c>
      <c r="DI79" s="96"/>
      <c r="DJ79" s="96">
        <v>6</v>
      </c>
      <c r="DK79" s="96">
        <v>220</v>
      </c>
      <c r="DL79" s="96">
        <v>3052</v>
      </c>
      <c r="DM79" s="96"/>
      <c r="DN79" s="96">
        <v>3243</v>
      </c>
      <c r="DO79" s="96">
        <v>39</v>
      </c>
      <c r="DP79" s="96">
        <v>23133</v>
      </c>
      <c r="DQ79" s="635">
        <f t="shared" si="23"/>
        <v>0.64787390664241795</v>
      </c>
      <c r="DS79" s="1311"/>
      <c r="DT79" s="1311"/>
      <c r="DU79" s="1313" t="s">
        <v>442</v>
      </c>
      <c r="DV79" s="1323">
        <v>1492</v>
      </c>
      <c r="DW79" s="1323">
        <v>961</v>
      </c>
      <c r="DX79" s="1324"/>
      <c r="DY79" s="1323">
        <v>938</v>
      </c>
      <c r="DZ79" s="1323">
        <v>10031</v>
      </c>
      <c r="EA79" s="1323">
        <v>2360</v>
      </c>
      <c r="EB79" s="1323">
        <v>1189</v>
      </c>
      <c r="EC79" s="1324"/>
      <c r="ED79" s="1323">
        <v>5</v>
      </c>
      <c r="EE79" s="1323">
        <v>195</v>
      </c>
      <c r="EF79" s="1323">
        <v>2911</v>
      </c>
      <c r="EG79" s="1324"/>
      <c r="EH79" s="1323">
        <v>3506</v>
      </c>
      <c r="EI79" s="1323">
        <v>44</v>
      </c>
      <c r="EJ79" s="1323">
        <v>23632</v>
      </c>
      <c r="EK79" s="1325">
        <f t="shared" si="24"/>
        <v>0.64871968797693746</v>
      </c>
      <c r="EM79" s="1047"/>
      <c r="EN79" s="1047"/>
      <c r="EO79" s="1084" t="s">
        <v>442</v>
      </c>
      <c r="EP79" s="1085">
        <v>1546</v>
      </c>
      <c r="EQ79" s="1085">
        <v>921</v>
      </c>
      <c r="ER79" s="1085">
        <v>2</v>
      </c>
      <c r="ES79" s="1085">
        <v>1314</v>
      </c>
      <c r="ET79" s="1085">
        <v>10284</v>
      </c>
      <c r="EU79" s="1085">
        <v>2603</v>
      </c>
      <c r="EV79" s="1085">
        <v>1405</v>
      </c>
      <c r="EW79" s="1086"/>
      <c r="EX79" s="1085">
        <v>2</v>
      </c>
      <c r="EY79" s="1085">
        <v>211</v>
      </c>
      <c r="EZ79" s="1085">
        <v>2943</v>
      </c>
      <c r="FA79" s="1085">
        <v>4881</v>
      </c>
      <c r="FB79" s="1085">
        <v>143</v>
      </c>
      <c r="FC79" s="1085">
        <v>26255</v>
      </c>
      <c r="FD79" s="1087">
        <f t="shared" si="25"/>
        <v>0.60293277470957918</v>
      </c>
      <c r="FF79" s="652"/>
      <c r="FG79" s="652"/>
      <c r="FH79" s="813" t="s">
        <v>442</v>
      </c>
      <c r="FI79" s="1074">
        <v>1337</v>
      </c>
      <c r="FJ79" s="1074">
        <v>1169</v>
      </c>
      <c r="FK79" s="1074">
        <v>1</v>
      </c>
      <c r="FL79" s="1074">
        <v>1352</v>
      </c>
      <c r="FM79" s="1074">
        <v>10091</v>
      </c>
      <c r="FN79" s="1074">
        <v>2932</v>
      </c>
      <c r="FO79" s="1074">
        <v>1310</v>
      </c>
      <c r="FP79" s="816"/>
      <c r="FQ79" s="1074">
        <v>1</v>
      </c>
      <c r="FR79" s="1074">
        <v>143</v>
      </c>
      <c r="FS79" s="1074">
        <v>2759</v>
      </c>
      <c r="FT79" s="1074">
        <v>5004</v>
      </c>
      <c r="FU79" s="1074">
        <v>143</v>
      </c>
      <c r="FV79" s="1074">
        <v>26242</v>
      </c>
      <c r="FW79" s="526">
        <f t="shared" si="26"/>
        <v>0.6014023321393186</v>
      </c>
      <c r="FY79" s="817"/>
      <c r="FZ79" s="817"/>
      <c r="GA79" s="1064" t="s">
        <v>60</v>
      </c>
      <c r="GB79" s="1065">
        <v>10</v>
      </c>
      <c r="GC79" s="1065">
        <v>4</v>
      </c>
      <c r="GD79" s="1065">
        <v>0</v>
      </c>
      <c r="GE79" s="1065">
        <v>3</v>
      </c>
      <c r="GF79" s="1065">
        <v>13</v>
      </c>
      <c r="GG79" s="1065">
        <v>3</v>
      </c>
      <c r="GH79" s="1065">
        <v>0</v>
      </c>
      <c r="GI79" s="1065">
        <v>0</v>
      </c>
      <c r="GJ79" s="1065">
        <v>1</v>
      </c>
      <c r="GK79" s="1065">
        <v>9</v>
      </c>
      <c r="GL79" s="1065">
        <v>9</v>
      </c>
      <c r="GM79" s="1065">
        <v>1</v>
      </c>
      <c r="GN79" s="1065">
        <v>0</v>
      </c>
      <c r="GO79" s="1065">
        <v>0</v>
      </c>
      <c r="GP79" s="1065">
        <v>53</v>
      </c>
      <c r="GQ79" s="1066">
        <f t="shared" si="27"/>
        <v>0.56818181818181823</v>
      </c>
      <c r="GS79" s="107"/>
      <c r="GT79" s="107"/>
      <c r="GU79" s="47" t="s">
        <v>60</v>
      </c>
      <c r="GV79" s="47">
        <v>5</v>
      </c>
      <c r="GW79" s="47">
        <v>7</v>
      </c>
      <c r="GX79" s="47">
        <v>1</v>
      </c>
      <c r="GY79" s="47">
        <v>1</v>
      </c>
      <c r="GZ79" s="47">
        <v>2</v>
      </c>
      <c r="HA79" s="47">
        <v>3</v>
      </c>
      <c r="HB79" s="47">
        <v>0</v>
      </c>
      <c r="HC79" s="47"/>
      <c r="HD79" s="47">
        <v>1</v>
      </c>
      <c r="HE79" s="47">
        <v>3</v>
      </c>
      <c r="HF79" s="47">
        <v>8</v>
      </c>
      <c r="HG79" s="47">
        <v>0</v>
      </c>
      <c r="HH79" s="47"/>
      <c r="HI79" s="47">
        <v>0</v>
      </c>
      <c r="HJ79" s="47">
        <v>31</v>
      </c>
      <c r="HK79" s="1067">
        <f t="shared" si="15"/>
        <v>0.34782608695652173</v>
      </c>
      <c r="HL79" s="47"/>
      <c r="HM79" s="420"/>
      <c r="HN79" s="420"/>
      <c r="HO79" s="420" t="s">
        <v>60</v>
      </c>
      <c r="HP79" s="1068">
        <v>2</v>
      </c>
      <c r="HQ79" s="1068" t="s">
        <v>327</v>
      </c>
      <c r="HR79" s="1068" t="s">
        <v>327</v>
      </c>
      <c r="HS79" s="1068" t="s">
        <v>327</v>
      </c>
      <c r="HT79" s="1068">
        <v>0</v>
      </c>
      <c r="HU79" s="1068">
        <v>0</v>
      </c>
      <c r="HV79" s="1068" t="s">
        <v>327</v>
      </c>
      <c r="HW79" s="1068" t="s">
        <v>327</v>
      </c>
      <c r="HX79" s="1068" t="s">
        <v>327</v>
      </c>
      <c r="HY79" s="1068">
        <v>0</v>
      </c>
      <c r="HZ79" s="1068" t="s">
        <v>327</v>
      </c>
      <c r="IA79" s="1068" t="s">
        <v>327</v>
      </c>
      <c r="IB79" s="1068">
        <v>2</v>
      </c>
      <c r="IC79" s="1068">
        <f t="shared" si="16"/>
        <v>0</v>
      </c>
      <c r="ID79" s="1069">
        <f t="shared" si="17"/>
        <v>0</v>
      </c>
      <c r="IE79" s="47"/>
      <c r="IF79" s="47"/>
    </row>
    <row r="80" spans="1:240">
      <c r="A80" s="41"/>
      <c r="B80" s="41"/>
      <c r="C80" s="461" t="s">
        <v>442</v>
      </c>
      <c r="D80" s="5556">
        <v>2050</v>
      </c>
      <c r="E80" s="5556">
        <v>1268</v>
      </c>
      <c r="F80" s="5556"/>
      <c r="G80" s="5556">
        <v>823</v>
      </c>
      <c r="H80" s="5556">
        <v>7896</v>
      </c>
      <c r="I80" s="5556">
        <v>2642</v>
      </c>
      <c r="J80" s="5556">
        <v>299</v>
      </c>
      <c r="K80" s="5556">
        <v>103</v>
      </c>
      <c r="L80" s="5556">
        <v>12</v>
      </c>
      <c r="M80" s="5556">
        <v>236</v>
      </c>
      <c r="N80" s="5556">
        <v>4145</v>
      </c>
      <c r="O80" s="5556"/>
      <c r="P80" s="5556">
        <v>3842</v>
      </c>
      <c r="Q80" s="5556">
        <v>16</v>
      </c>
      <c r="R80" s="5556">
        <v>23332</v>
      </c>
      <c r="S80" s="706">
        <f t="shared" si="18"/>
        <v>0.6297392348601818</v>
      </c>
      <c r="T80" s="5561"/>
      <c r="U80" s="5562"/>
      <c r="V80" s="706"/>
      <c r="W80" s="107" t="s">
        <v>59</v>
      </c>
      <c r="X80" s="107" t="s">
        <v>16</v>
      </c>
      <c r="Y80" s="41" t="s">
        <v>17</v>
      </c>
      <c r="Z80" s="41">
        <v>10</v>
      </c>
      <c r="AA80" s="41">
        <v>22</v>
      </c>
      <c r="AB80" s="41"/>
      <c r="AC80" s="41">
        <v>5</v>
      </c>
      <c r="AD80" s="41">
        <v>135</v>
      </c>
      <c r="AE80" s="41">
        <v>23</v>
      </c>
      <c r="AF80" s="41">
        <v>23</v>
      </c>
      <c r="AG80" s="41"/>
      <c r="AH80" s="41"/>
      <c r="AI80" s="41">
        <v>3</v>
      </c>
      <c r="AJ80" s="41">
        <v>27</v>
      </c>
      <c r="AK80" s="41"/>
      <c r="AL80" s="41">
        <v>31</v>
      </c>
      <c r="AM80" s="41">
        <v>1</v>
      </c>
      <c r="AN80" s="461">
        <v>280</v>
      </c>
      <c r="AO80" s="4692">
        <f t="shared" si="20"/>
        <v>0.6630824372759857</v>
      </c>
      <c r="AQ80" s="1788" t="s">
        <v>59</v>
      </c>
      <c r="AR80" s="1788" t="s">
        <v>16</v>
      </c>
      <c r="AS80" s="37" t="s">
        <v>17</v>
      </c>
      <c r="AT80" s="1788">
        <v>18</v>
      </c>
      <c r="AU80" s="1788">
        <v>30</v>
      </c>
      <c r="AV80" s="1788"/>
      <c r="AW80" s="1788">
        <v>5</v>
      </c>
      <c r="AX80" s="1788">
        <v>90</v>
      </c>
      <c r="AY80" s="1788">
        <v>28</v>
      </c>
      <c r="AZ80" s="1788">
        <v>9</v>
      </c>
      <c r="BA80" s="1788">
        <v>1</v>
      </c>
      <c r="BB80" s="1788"/>
      <c r="BC80" s="1788">
        <v>16</v>
      </c>
      <c r="BD80" s="1788">
        <v>50</v>
      </c>
      <c r="BE80" s="1788"/>
      <c r="BF80" s="1788">
        <v>33</v>
      </c>
      <c r="BG80" s="1788">
        <v>1</v>
      </c>
      <c r="BH80" s="1788">
        <v>281</v>
      </c>
      <c r="BI80" s="4701">
        <f t="shared" si="21"/>
        <v>0.6</v>
      </c>
      <c r="BK80" s="41" t="s">
        <v>59</v>
      </c>
      <c r="BL80" s="41" t="s">
        <v>16</v>
      </c>
      <c r="BM80" s="41" t="s">
        <v>17</v>
      </c>
      <c r="BN80" s="105">
        <v>15</v>
      </c>
      <c r="BO80" s="105">
        <v>21</v>
      </c>
      <c r="BP80" s="105"/>
      <c r="BQ80" s="105">
        <v>2</v>
      </c>
      <c r="BR80" s="105">
        <v>126</v>
      </c>
      <c r="BS80" s="105">
        <v>19</v>
      </c>
      <c r="BT80" s="105">
        <v>15</v>
      </c>
      <c r="BU80" s="105">
        <v>3</v>
      </c>
      <c r="BV80" s="105"/>
      <c r="BW80" s="105">
        <v>12</v>
      </c>
      <c r="BX80" s="105">
        <v>29</v>
      </c>
      <c r="BY80" s="105"/>
      <c r="BZ80" s="105">
        <v>34</v>
      </c>
      <c r="CA80" s="105"/>
      <c r="CB80" s="105">
        <v>276</v>
      </c>
      <c r="CC80" s="2484">
        <f t="shared" si="22"/>
        <v>0.63043478260869568</v>
      </c>
      <c r="CE80" s="41" t="s">
        <v>59</v>
      </c>
      <c r="CF80" s="41" t="s">
        <v>16</v>
      </c>
      <c r="CG80" s="41" t="s">
        <v>17</v>
      </c>
      <c r="CH80" s="105">
        <v>13</v>
      </c>
      <c r="CI80" s="105">
        <v>30</v>
      </c>
      <c r="CJ80" s="105"/>
      <c r="CK80" s="105">
        <v>7</v>
      </c>
      <c r="CL80" s="105">
        <v>141</v>
      </c>
      <c r="CM80" s="105">
        <v>13</v>
      </c>
      <c r="CN80" s="105">
        <v>14</v>
      </c>
      <c r="CO80" s="105">
        <v>0</v>
      </c>
      <c r="CP80" s="105"/>
      <c r="CQ80" s="105">
        <v>8</v>
      </c>
      <c r="CR80" s="105">
        <v>26</v>
      </c>
      <c r="CS80" s="105"/>
      <c r="CT80" s="105">
        <v>30</v>
      </c>
      <c r="CU80" s="105"/>
      <c r="CV80" s="105">
        <v>282</v>
      </c>
      <c r="CW80" s="1644">
        <f t="shared" si="14"/>
        <v>0.63829787234042556</v>
      </c>
      <c r="CX80" s="1976"/>
      <c r="CY80" s="41" t="s">
        <v>59</v>
      </c>
      <c r="CZ80" s="41" t="s">
        <v>16</v>
      </c>
      <c r="DA80" s="41" t="s">
        <v>17</v>
      </c>
      <c r="DB80" s="105">
        <v>10</v>
      </c>
      <c r="DC80" s="105">
        <v>30</v>
      </c>
      <c r="DD80" s="105"/>
      <c r="DE80" s="105">
        <v>5</v>
      </c>
      <c r="DF80" s="105">
        <v>158</v>
      </c>
      <c r="DG80" s="105">
        <v>18</v>
      </c>
      <c r="DH80" s="105">
        <v>8</v>
      </c>
      <c r="DI80" s="105">
        <v>0</v>
      </c>
      <c r="DJ80" s="105"/>
      <c r="DK80" s="105">
        <v>12</v>
      </c>
      <c r="DL80" s="105">
        <v>15</v>
      </c>
      <c r="DM80" s="105"/>
      <c r="DN80" s="105">
        <v>32</v>
      </c>
      <c r="DO80" s="105">
        <v>1</v>
      </c>
      <c r="DP80" s="105">
        <v>289</v>
      </c>
      <c r="DQ80" s="1644">
        <f t="shared" si="23"/>
        <v>0.66319444444444442</v>
      </c>
      <c r="DS80" s="1311" t="s">
        <v>59</v>
      </c>
      <c r="DT80" s="1311" t="s">
        <v>16</v>
      </c>
      <c r="DU80" s="1319" t="s">
        <v>17</v>
      </c>
      <c r="DV80" s="1320">
        <v>11</v>
      </c>
      <c r="DW80" s="1320">
        <v>36</v>
      </c>
      <c r="DX80" s="1321"/>
      <c r="DY80" s="1320">
        <v>6</v>
      </c>
      <c r="DZ80" s="1320">
        <v>167</v>
      </c>
      <c r="EA80" s="1320">
        <v>16</v>
      </c>
      <c r="EB80" s="1320">
        <v>21</v>
      </c>
      <c r="EC80" s="1320">
        <v>0</v>
      </c>
      <c r="ED80" s="1321"/>
      <c r="EE80" s="1320">
        <v>7</v>
      </c>
      <c r="EF80" s="1320">
        <v>21</v>
      </c>
      <c r="EG80" s="1321"/>
      <c r="EH80" s="1320">
        <v>31</v>
      </c>
      <c r="EI80" s="1320">
        <v>1</v>
      </c>
      <c r="EJ80" s="1320">
        <v>317</v>
      </c>
      <c r="EK80" s="1322">
        <f t="shared" si="24"/>
        <v>0.64556962025316456</v>
      </c>
      <c r="EM80" s="1047" t="s">
        <v>59</v>
      </c>
      <c r="EN80" s="1047" t="s">
        <v>16</v>
      </c>
      <c r="EO80" s="1060" t="s">
        <v>17</v>
      </c>
      <c r="EP80" s="1061">
        <v>9</v>
      </c>
      <c r="EQ80" s="1061">
        <v>26</v>
      </c>
      <c r="ER80" s="1047"/>
      <c r="ES80" s="1061">
        <v>9</v>
      </c>
      <c r="ET80" s="1061">
        <v>145</v>
      </c>
      <c r="EU80" s="1061">
        <v>13</v>
      </c>
      <c r="EV80" s="1061">
        <v>5</v>
      </c>
      <c r="EW80" s="1047"/>
      <c r="EX80" s="1047"/>
      <c r="EY80" s="1061">
        <v>13</v>
      </c>
      <c r="EZ80" s="1061">
        <v>29</v>
      </c>
      <c r="FA80" s="1061">
        <v>48</v>
      </c>
      <c r="FB80" s="1047"/>
      <c r="FC80" s="1061">
        <v>297</v>
      </c>
      <c r="FD80" s="537">
        <f t="shared" si="25"/>
        <v>0.62962962962962965</v>
      </c>
      <c r="FF80" s="652" t="s">
        <v>59</v>
      </c>
      <c r="FG80" s="652" t="s">
        <v>16</v>
      </c>
      <c r="FH80" s="1062" t="s">
        <v>17</v>
      </c>
      <c r="FI80" s="1063">
        <v>28</v>
      </c>
      <c r="FJ80" s="1063">
        <v>27</v>
      </c>
      <c r="FK80" s="652"/>
      <c r="FL80" s="1063">
        <v>8</v>
      </c>
      <c r="FM80" s="1063">
        <v>121</v>
      </c>
      <c r="FN80" s="1063">
        <v>12</v>
      </c>
      <c r="FO80" s="1063">
        <v>3</v>
      </c>
      <c r="FP80" s="1063">
        <v>0</v>
      </c>
      <c r="FQ80" s="652"/>
      <c r="FR80" s="1063">
        <v>6</v>
      </c>
      <c r="FS80" s="1063">
        <v>24</v>
      </c>
      <c r="FT80" s="1063">
        <v>36</v>
      </c>
      <c r="FU80" s="652"/>
      <c r="FV80" s="1063">
        <v>265</v>
      </c>
      <c r="FW80" s="537">
        <f t="shared" si="26"/>
        <v>0.59245283018867922</v>
      </c>
      <c r="FY80" s="817"/>
      <c r="FZ80" s="817"/>
      <c r="GA80" s="1064" t="s">
        <v>413</v>
      </c>
      <c r="GB80" s="1065">
        <v>19</v>
      </c>
      <c r="GC80" s="1065">
        <v>7</v>
      </c>
      <c r="GD80" s="1065">
        <v>0</v>
      </c>
      <c r="GE80" s="1065">
        <v>5</v>
      </c>
      <c r="GF80" s="1065">
        <v>2</v>
      </c>
      <c r="GG80" s="1065">
        <v>3</v>
      </c>
      <c r="GH80" s="1065">
        <v>2</v>
      </c>
      <c r="GI80" s="1065">
        <v>0</v>
      </c>
      <c r="GJ80" s="1065">
        <v>5</v>
      </c>
      <c r="GK80" s="1065">
        <v>5</v>
      </c>
      <c r="GL80" s="1065">
        <v>7</v>
      </c>
      <c r="GM80" s="1065">
        <v>10</v>
      </c>
      <c r="GN80" s="1065">
        <v>0</v>
      </c>
      <c r="GO80" s="1065">
        <v>0</v>
      </c>
      <c r="GP80" s="1065">
        <v>65</v>
      </c>
      <c r="GQ80" s="1066">
        <f t="shared" si="27"/>
        <v>0.17241379310344829</v>
      </c>
      <c r="GS80" s="107"/>
      <c r="GT80" s="107"/>
      <c r="GU80" s="47" t="s">
        <v>413</v>
      </c>
      <c r="GV80" s="47">
        <v>13</v>
      </c>
      <c r="GW80" s="47">
        <v>1</v>
      </c>
      <c r="GX80" s="47">
        <v>0</v>
      </c>
      <c r="GY80" s="47">
        <v>2</v>
      </c>
      <c r="GZ80" s="47">
        <v>0</v>
      </c>
      <c r="HA80" s="47">
        <v>0</v>
      </c>
      <c r="HB80" s="47">
        <v>0</v>
      </c>
      <c r="HC80" s="47"/>
      <c r="HD80" s="47">
        <v>3</v>
      </c>
      <c r="HE80" s="47">
        <v>3</v>
      </c>
      <c r="HF80" s="47">
        <v>5</v>
      </c>
      <c r="HG80" s="47">
        <v>5</v>
      </c>
      <c r="HH80" s="47"/>
      <c r="HI80" s="47">
        <v>0</v>
      </c>
      <c r="HJ80" s="47">
        <v>32</v>
      </c>
      <c r="HK80" s="1067">
        <f t="shared" si="15"/>
        <v>0.1111111111111111</v>
      </c>
      <c r="HL80" s="47"/>
      <c r="HM80" s="420"/>
      <c r="HN80" s="420"/>
      <c r="HO80" s="1077" t="s">
        <v>15</v>
      </c>
      <c r="HP80" s="1078">
        <v>21</v>
      </c>
      <c r="HQ80" s="1078">
        <v>16</v>
      </c>
      <c r="HR80" s="1078" t="s">
        <v>327</v>
      </c>
      <c r="HS80" s="1078">
        <v>3</v>
      </c>
      <c r="HT80" s="1078">
        <v>32</v>
      </c>
      <c r="HU80" s="1078">
        <v>19</v>
      </c>
      <c r="HV80" s="1078">
        <v>2</v>
      </c>
      <c r="HW80" s="1078" t="s">
        <v>327</v>
      </c>
      <c r="HX80" s="1078">
        <v>3</v>
      </c>
      <c r="HY80" s="1078">
        <v>26</v>
      </c>
      <c r="HZ80" s="1078">
        <v>21</v>
      </c>
      <c r="IA80" s="1078" t="s">
        <v>327</v>
      </c>
      <c r="IB80" s="1078">
        <v>143</v>
      </c>
      <c r="IC80" s="1078">
        <f t="shared" si="16"/>
        <v>77</v>
      </c>
      <c r="ID80" s="1079">
        <f t="shared" si="17"/>
        <v>0.53846153846153844</v>
      </c>
      <c r="IE80" s="47"/>
      <c r="IF80" s="47"/>
    </row>
    <row r="81" spans="1:240">
      <c r="A81" s="41" t="s">
        <v>59</v>
      </c>
      <c r="B81" s="41" t="s">
        <v>16</v>
      </c>
      <c r="C81" s="41" t="s">
        <v>17</v>
      </c>
      <c r="D81" s="105">
        <v>41</v>
      </c>
      <c r="E81" s="105">
        <v>39</v>
      </c>
      <c r="F81" s="105">
        <v>0</v>
      </c>
      <c r="G81" s="105">
        <v>8</v>
      </c>
      <c r="H81" s="105">
        <v>84</v>
      </c>
      <c r="I81" s="105">
        <v>43</v>
      </c>
      <c r="J81" s="105">
        <v>1</v>
      </c>
      <c r="K81" s="105">
        <v>3</v>
      </c>
      <c r="L81" s="105"/>
      <c r="M81" s="105">
        <v>15</v>
      </c>
      <c r="N81" s="105">
        <v>37</v>
      </c>
      <c r="O81" s="105"/>
      <c r="P81" s="105">
        <v>44</v>
      </c>
      <c r="Q81" s="105">
        <v>1</v>
      </c>
      <c r="R81" s="105">
        <v>316</v>
      </c>
      <c r="S81" s="706">
        <f t="shared" si="18"/>
        <v>0.52063492063492067</v>
      </c>
      <c r="T81" s="5561">
        <f t="shared" si="19"/>
        <v>0</v>
      </c>
      <c r="U81" s="5562">
        <v>316</v>
      </c>
      <c r="V81" s="706"/>
      <c r="Y81" s="41" t="s">
        <v>60</v>
      </c>
      <c r="Z81" s="41">
        <v>23</v>
      </c>
      <c r="AA81" s="41">
        <v>25</v>
      </c>
      <c r="AB81" s="41"/>
      <c r="AC81" s="41">
        <v>11</v>
      </c>
      <c r="AD81" s="41">
        <v>34</v>
      </c>
      <c r="AE81" s="41">
        <v>16</v>
      </c>
      <c r="AF81" s="41">
        <v>10</v>
      </c>
      <c r="AG81" s="41"/>
      <c r="AH81" s="41"/>
      <c r="AI81" s="41">
        <v>12</v>
      </c>
      <c r="AJ81" s="41">
        <v>31</v>
      </c>
      <c r="AK81" s="41"/>
      <c r="AL81" s="41">
        <v>30</v>
      </c>
      <c r="AM81" s="41">
        <v>0</v>
      </c>
      <c r="AN81" s="461">
        <v>192</v>
      </c>
      <c r="AO81" s="4692">
        <f t="shared" si="20"/>
        <v>0.421875</v>
      </c>
      <c r="AQ81" s="1788"/>
      <c r="AR81" s="1788"/>
      <c r="AS81" s="4709" t="s">
        <v>18</v>
      </c>
      <c r="AT81" s="1788">
        <v>11</v>
      </c>
      <c r="AU81" s="1788">
        <v>2</v>
      </c>
      <c r="AV81" s="1788"/>
      <c r="AW81" s="1788">
        <v>0</v>
      </c>
      <c r="AX81" s="1788">
        <v>0</v>
      </c>
      <c r="AY81" s="1788">
        <v>0</v>
      </c>
      <c r="AZ81" s="1788">
        <v>0</v>
      </c>
      <c r="BA81" s="1788">
        <v>4</v>
      </c>
      <c r="BB81" s="1788"/>
      <c r="BC81" s="1788">
        <v>7</v>
      </c>
      <c r="BD81" s="1788">
        <v>9</v>
      </c>
      <c r="BE81" s="1788"/>
      <c r="BF81" s="1788">
        <v>4</v>
      </c>
      <c r="BG81" s="1788">
        <v>0</v>
      </c>
      <c r="BH81" s="1788">
        <v>37</v>
      </c>
      <c r="BI81" s="4701">
        <f t="shared" si="21"/>
        <v>0.24324324324324326</v>
      </c>
      <c r="BK81" s="41"/>
      <c r="BL81" s="41"/>
      <c r="BM81" s="41" t="s">
        <v>60</v>
      </c>
      <c r="BN81" s="105">
        <v>42</v>
      </c>
      <c r="BO81" s="105">
        <v>20</v>
      </c>
      <c r="BP81" s="105"/>
      <c r="BQ81" s="105">
        <v>0</v>
      </c>
      <c r="BR81" s="105">
        <v>28</v>
      </c>
      <c r="BS81" s="105">
        <v>11</v>
      </c>
      <c r="BT81" s="105">
        <v>2</v>
      </c>
      <c r="BU81" s="105">
        <v>1</v>
      </c>
      <c r="BV81" s="105"/>
      <c r="BW81" s="105">
        <v>24</v>
      </c>
      <c r="BX81" s="105">
        <v>20</v>
      </c>
      <c r="BY81" s="105"/>
      <c r="BZ81" s="105">
        <v>33</v>
      </c>
      <c r="CA81" s="105"/>
      <c r="CB81" s="105">
        <v>181</v>
      </c>
      <c r="CC81" s="2484">
        <f t="shared" si="22"/>
        <v>0.32596685082872928</v>
      </c>
      <c r="CE81" s="41"/>
      <c r="CF81" s="41"/>
      <c r="CG81" s="41" t="s">
        <v>60</v>
      </c>
      <c r="CH81" s="105">
        <v>11</v>
      </c>
      <c r="CI81" s="105">
        <v>25</v>
      </c>
      <c r="CJ81" s="105"/>
      <c r="CK81" s="105">
        <v>10</v>
      </c>
      <c r="CL81" s="105">
        <v>31</v>
      </c>
      <c r="CM81" s="105">
        <v>10</v>
      </c>
      <c r="CN81" s="105">
        <v>7</v>
      </c>
      <c r="CO81" s="105">
        <v>0</v>
      </c>
      <c r="CP81" s="105"/>
      <c r="CQ81" s="105">
        <v>15</v>
      </c>
      <c r="CR81" s="105">
        <v>17</v>
      </c>
      <c r="CS81" s="105"/>
      <c r="CT81" s="105">
        <v>24</v>
      </c>
      <c r="CU81" s="105"/>
      <c r="CV81" s="105">
        <v>150</v>
      </c>
      <c r="CW81" s="1644">
        <f t="shared" si="14"/>
        <v>0.38666666666666666</v>
      </c>
      <c r="CX81" s="1976"/>
      <c r="CY81" s="41"/>
      <c r="CZ81" s="41"/>
      <c r="DA81" s="41" t="s">
        <v>60</v>
      </c>
      <c r="DB81" s="105">
        <v>4</v>
      </c>
      <c r="DC81" s="105">
        <v>22</v>
      </c>
      <c r="DD81" s="105"/>
      <c r="DE81" s="105">
        <v>8</v>
      </c>
      <c r="DF81" s="105">
        <v>29</v>
      </c>
      <c r="DG81" s="105">
        <v>8</v>
      </c>
      <c r="DH81" s="105">
        <v>1</v>
      </c>
      <c r="DI81" s="105">
        <v>2</v>
      </c>
      <c r="DJ81" s="105"/>
      <c r="DK81" s="105">
        <v>17</v>
      </c>
      <c r="DL81" s="105">
        <v>9</v>
      </c>
      <c r="DM81" s="105"/>
      <c r="DN81" s="105">
        <v>20</v>
      </c>
      <c r="DO81" s="105">
        <v>0</v>
      </c>
      <c r="DP81" s="105">
        <v>120</v>
      </c>
      <c r="DQ81" s="1644">
        <f t="shared" si="23"/>
        <v>0.38333333333333336</v>
      </c>
      <c r="DS81" s="1311"/>
      <c r="DT81" s="1311"/>
      <c r="DU81" s="1319" t="s">
        <v>18</v>
      </c>
      <c r="DV81" s="1320">
        <v>0</v>
      </c>
      <c r="DW81" s="1320">
        <v>0</v>
      </c>
      <c r="DX81" s="1321"/>
      <c r="DY81" s="1320">
        <v>2</v>
      </c>
      <c r="DZ81" s="1320">
        <v>24</v>
      </c>
      <c r="EA81" s="1320">
        <v>0</v>
      </c>
      <c r="EB81" s="1320">
        <v>6</v>
      </c>
      <c r="EC81" s="1320">
        <v>0</v>
      </c>
      <c r="ED81" s="1321"/>
      <c r="EE81" s="1320">
        <v>0</v>
      </c>
      <c r="EF81" s="1320">
        <v>1</v>
      </c>
      <c r="EG81" s="1321"/>
      <c r="EH81" s="1320">
        <v>0</v>
      </c>
      <c r="EI81" s="1320">
        <v>0</v>
      </c>
      <c r="EJ81" s="1320">
        <v>33</v>
      </c>
      <c r="EK81" s="1322">
        <f t="shared" si="24"/>
        <v>0.75757575757575757</v>
      </c>
      <c r="EM81" s="1047"/>
      <c r="EN81" s="1047"/>
      <c r="EO81" s="1060" t="s">
        <v>18</v>
      </c>
      <c r="EP81" s="1061">
        <v>0</v>
      </c>
      <c r="EQ81" s="1061">
        <v>1</v>
      </c>
      <c r="ER81" s="1047"/>
      <c r="ES81" s="1061">
        <v>2</v>
      </c>
      <c r="ET81" s="1061">
        <v>23</v>
      </c>
      <c r="EU81" s="1061">
        <v>0</v>
      </c>
      <c r="EV81" s="1061">
        <v>0</v>
      </c>
      <c r="EW81" s="1047"/>
      <c r="EX81" s="1047"/>
      <c r="EY81" s="1061">
        <v>0</v>
      </c>
      <c r="EZ81" s="1061">
        <v>2</v>
      </c>
      <c r="FA81" s="1061">
        <v>6</v>
      </c>
      <c r="FB81" s="1047"/>
      <c r="FC81" s="1061">
        <v>34</v>
      </c>
      <c r="FD81" s="537">
        <f t="shared" si="25"/>
        <v>0.73529411764705888</v>
      </c>
      <c r="FF81" s="652"/>
      <c r="FG81" s="652"/>
      <c r="FH81" s="1062" t="s">
        <v>18</v>
      </c>
      <c r="FI81" s="1063">
        <v>0</v>
      </c>
      <c r="FJ81" s="1063">
        <v>2</v>
      </c>
      <c r="FK81" s="652"/>
      <c r="FL81" s="1063">
        <v>2</v>
      </c>
      <c r="FM81" s="1063">
        <v>22</v>
      </c>
      <c r="FN81" s="1063">
        <v>0</v>
      </c>
      <c r="FO81" s="1063">
        <v>0</v>
      </c>
      <c r="FP81" s="1063">
        <v>0</v>
      </c>
      <c r="FQ81" s="652"/>
      <c r="FR81" s="1063">
        <v>2</v>
      </c>
      <c r="FS81" s="1063">
        <v>1</v>
      </c>
      <c r="FT81" s="1063">
        <v>5</v>
      </c>
      <c r="FU81" s="652"/>
      <c r="FV81" s="1063">
        <v>34</v>
      </c>
      <c r="FW81" s="537">
        <f t="shared" si="26"/>
        <v>0.67647058823529416</v>
      </c>
      <c r="FY81" s="817"/>
      <c r="FZ81" s="817"/>
      <c r="GA81" s="1053" t="s">
        <v>545</v>
      </c>
      <c r="GB81" s="1075">
        <v>78</v>
      </c>
      <c r="GC81" s="1075">
        <v>35</v>
      </c>
      <c r="GD81" s="1075">
        <v>0</v>
      </c>
      <c r="GE81" s="1075">
        <v>18</v>
      </c>
      <c r="GF81" s="1075">
        <v>131</v>
      </c>
      <c r="GG81" s="1075">
        <v>15</v>
      </c>
      <c r="GH81" s="1075">
        <v>5</v>
      </c>
      <c r="GI81" s="1075">
        <v>0</v>
      </c>
      <c r="GJ81" s="1075">
        <v>10</v>
      </c>
      <c r="GK81" s="1075">
        <v>37</v>
      </c>
      <c r="GL81" s="1075">
        <v>54</v>
      </c>
      <c r="GM81" s="1075">
        <v>46</v>
      </c>
      <c r="GN81" s="1075">
        <v>0</v>
      </c>
      <c r="GO81" s="1075">
        <v>3</v>
      </c>
      <c r="GP81" s="1075">
        <v>432</v>
      </c>
      <c r="GQ81" s="1076">
        <f t="shared" si="27"/>
        <v>0.48799999999999999</v>
      </c>
      <c r="GS81" s="107"/>
      <c r="GT81" s="107"/>
      <c r="GU81" s="47" t="s">
        <v>15</v>
      </c>
      <c r="GV81" s="47">
        <v>43</v>
      </c>
      <c r="GW81" s="47">
        <v>22</v>
      </c>
      <c r="GX81" s="47">
        <v>1</v>
      </c>
      <c r="GY81" s="47">
        <v>10</v>
      </c>
      <c r="GZ81" s="47">
        <v>94</v>
      </c>
      <c r="HA81" s="47">
        <v>9</v>
      </c>
      <c r="HB81" s="47">
        <v>3</v>
      </c>
      <c r="HC81" s="47"/>
      <c r="HD81" s="47">
        <v>14</v>
      </c>
      <c r="HE81" s="47">
        <v>26</v>
      </c>
      <c r="HF81" s="47">
        <v>48</v>
      </c>
      <c r="HG81" s="47">
        <v>37</v>
      </c>
      <c r="HH81" s="47"/>
      <c r="HI81" s="47">
        <v>1</v>
      </c>
      <c r="HJ81" s="47">
        <v>308</v>
      </c>
      <c r="HK81" s="1067">
        <f t="shared" si="15"/>
        <v>0.49806949806949807</v>
      </c>
      <c r="HL81" s="47"/>
      <c r="HM81" s="420"/>
      <c r="HN81" s="420" t="s">
        <v>61</v>
      </c>
      <c r="HO81" s="420" t="s">
        <v>62</v>
      </c>
      <c r="HP81" s="1068">
        <v>13</v>
      </c>
      <c r="HQ81" s="1068">
        <v>14</v>
      </c>
      <c r="HR81" s="1068" t="s">
        <v>327</v>
      </c>
      <c r="HS81" s="1068">
        <v>2</v>
      </c>
      <c r="HT81" s="1068">
        <v>4</v>
      </c>
      <c r="HU81" s="1068">
        <v>3</v>
      </c>
      <c r="HV81" s="1068" t="s">
        <v>327</v>
      </c>
      <c r="HW81" s="1068" t="s">
        <v>327</v>
      </c>
      <c r="HX81" s="1068">
        <v>6</v>
      </c>
      <c r="HY81" s="1068">
        <v>17</v>
      </c>
      <c r="HZ81" s="1068">
        <v>10</v>
      </c>
      <c r="IA81" s="1068" t="s">
        <v>327</v>
      </c>
      <c r="IB81" s="1068">
        <v>69</v>
      </c>
      <c r="IC81" s="1068">
        <f t="shared" si="16"/>
        <v>24</v>
      </c>
      <c r="ID81" s="1069">
        <f t="shared" si="17"/>
        <v>0.34782608695652173</v>
      </c>
      <c r="IE81" s="47"/>
      <c r="IF81" s="47"/>
    </row>
    <row r="82" spans="1:240">
      <c r="A82" s="41"/>
      <c r="B82" s="41"/>
      <c r="C82" s="41" t="s">
        <v>18</v>
      </c>
      <c r="D82" s="105">
        <v>16</v>
      </c>
      <c r="E82" s="105">
        <v>19</v>
      </c>
      <c r="F82" s="105">
        <v>0</v>
      </c>
      <c r="G82" s="105">
        <v>0</v>
      </c>
      <c r="H82" s="105">
        <v>0</v>
      </c>
      <c r="I82" s="105">
        <v>14</v>
      </c>
      <c r="J82" s="105">
        <v>0</v>
      </c>
      <c r="K82" s="105">
        <v>3</v>
      </c>
      <c r="L82" s="105"/>
      <c r="M82" s="105">
        <v>14</v>
      </c>
      <c r="N82" s="105">
        <v>1</v>
      </c>
      <c r="O82" s="105"/>
      <c r="P82" s="105">
        <v>5</v>
      </c>
      <c r="Q82" s="105">
        <v>0</v>
      </c>
      <c r="R82" s="105">
        <v>72</v>
      </c>
      <c r="S82" s="706">
        <f t="shared" si="18"/>
        <v>0.20833333333333334</v>
      </c>
      <c r="T82" s="5561">
        <f t="shared" si="19"/>
        <v>0</v>
      </c>
      <c r="U82" s="5562">
        <v>72</v>
      </c>
      <c r="V82" s="706"/>
      <c r="Y82" s="41" t="s">
        <v>413</v>
      </c>
      <c r="Z82" s="41">
        <v>33</v>
      </c>
      <c r="AA82" s="41">
        <v>33</v>
      </c>
      <c r="AB82" s="41"/>
      <c r="AC82" s="41">
        <v>14</v>
      </c>
      <c r="AD82" s="41">
        <v>38</v>
      </c>
      <c r="AE82" s="41">
        <v>9</v>
      </c>
      <c r="AF82" s="41">
        <v>30</v>
      </c>
      <c r="AG82" s="41"/>
      <c r="AH82" s="41"/>
      <c r="AI82" s="41">
        <v>21</v>
      </c>
      <c r="AJ82" s="41">
        <v>6</v>
      </c>
      <c r="AK82" s="41"/>
      <c r="AL82" s="41">
        <v>44</v>
      </c>
      <c r="AM82" s="41">
        <v>0</v>
      </c>
      <c r="AN82" s="461">
        <v>228</v>
      </c>
      <c r="AO82" s="4692">
        <f t="shared" si="20"/>
        <v>0.23245614035087719</v>
      </c>
      <c r="AQ82" s="1788"/>
      <c r="AR82" s="1788"/>
      <c r="AS82" s="37" t="s">
        <v>60</v>
      </c>
      <c r="AT82" s="1788">
        <v>41</v>
      </c>
      <c r="AU82" s="1788">
        <v>28</v>
      </c>
      <c r="AV82" s="1788"/>
      <c r="AW82" s="1788">
        <v>12</v>
      </c>
      <c r="AX82" s="1788">
        <v>18</v>
      </c>
      <c r="AY82" s="1788">
        <v>13</v>
      </c>
      <c r="AZ82" s="1788">
        <v>10</v>
      </c>
      <c r="BA82" s="1788">
        <v>5</v>
      </c>
      <c r="BB82" s="1788"/>
      <c r="BC82" s="1788">
        <v>43</v>
      </c>
      <c r="BD82" s="1788">
        <v>29</v>
      </c>
      <c r="BE82" s="1788"/>
      <c r="BF82" s="1788">
        <v>33</v>
      </c>
      <c r="BG82" s="1788">
        <v>0</v>
      </c>
      <c r="BH82" s="1788">
        <v>232</v>
      </c>
      <c r="BI82" s="4701">
        <f t="shared" si="21"/>
        <v>0.25862068965517243</v>
      </c>
      <c r="BK82" s="41"/>
      <c r="BL82" s="41"/>
      <c r="BM82" s="41" t="s">
        <v>413</v>
      </c>
      <c r="BN82" s="105">
        <v>50</v>
      </c>
      <c r="BO82" s="105">
        <v>25</v>
      </c>
      <c r="BP82" s="105"/>
      <c r="BQ82" s="105">
        <v>1</v>
      </c>
      <c r="BR82" s="105">
        <v>30</v>
      </c>
      <c r="BS82" s="105">
        <v>6</v>
      </c>
      <c r="BT82" s="105">
        <v>14</v>
      </c>
      <c r="BU82" s="105">
        <v>0</v>
      </c>
      <c r="BV82" s="105"/>
      <c r="BW82" s="105">
        <v>33</v>
      </c>
      <c r="BX82" s="105">
        <v>6</v>
      </c>
      <c r="BY82" s="105"/>
      <c r="BZ82" s="105">
        <v>51</v>
      </c>
      <c r="CA82" s="105"/>
      <c r="CB82" s="105">
        <v>216</v>
      </c>
      <c r="CC82" s="2484">
        <f t="shared" si="22"/>
        <v>0.19444444444444445</v>
      </c>
      <c r="CE82" s="41"/>
      <c r="CF82" s="41"/>
      <c r="CG82" s="41" t="s">
        <v>413</v>
      </c>
      <c r="CH82" s="105">
        <v>20</v>
      </c>
      <c r="CI82" s="105">
        <v>30</v>
      </c>
      <c r="CJ82" s="105"/>
      <c r="CK82" s="105">
        <v>11</v>
      </c>
      <c r="CL82" s="105">
        <v>29</v>
      </c>
      <c r="CM82" s="105">
        <v>11</v>
      </c>
      <c r="CN82" s="105">
        <v>13</v>
      </c>
      <c r="CO82" s="105">
        <v>2</v>
      </c>
      <c r="CP82" s="105"/>
      <c r="CQ82" s="105">
        <v>23</v>
      </c>
      <c r="CR82" s="105">
        <v>7</v>
      </c>
      <c r="CS82" s="105"/>
      <c r="CT82" s="105">
        <v>46</v>
      </c>
      <c r="CU82" s="105"/>
      <c r="CV82" s="105">
        <v>192</v>
      </c>
      <c r="CW82" s="1644">
        <f t="shared" si="14"/>
        <v>0.24479166666666666</v>
      </c>
      <c r="CX82" s="1976"/>
      <c r="CY82" s="41"/>
      <c r="CZ82" s="41"/>
      <c r="DA82" s="41" t="s">
        <v>413</v>
      </c>
      <c r="DB82" s="105">
        <v>16</v>
      </c>
      <c r="DC82" s="105">
        <v>26</v>
      </c>
      <c r="DD82" s="105"/>
      <c r="DE82" s="105">
        <v>10</v>
      </c>
      <c r="DF82" s="105">
        <v>24</v>
      </c>
      <c r="DG82" s="105">
        <v>6</v>
      </c>
      <c r="DH82" s="105">
        <v>1</v>
      </c>
      <c r="DI82" s="105">
        <v>1</v>
      </c>
      <c r="DJ82" s="105"/>
      <c r="DK82" s="105">
        <v>28</v>
      </c>
      <c r="DL82" s="105">
        <v>8</v>
      </c>
      <c r="DM82" s="105"/>
      <c r="DN82" s="105">
        <v>40</v>
      </c>
      <c r="DO82" s="105">
        <v>0</v>
      </c>
      <c r="DP82" s="105">
        <v>160</v>
      </c>
      <c r="DQ82" s="1644">
        <f t="shared" si="23"/>
        <v>0.23749999999999999</v>
      </c>
      <c r="DS82" s="1311"/>
      <c r="DT82" s="1311"/>
      <c r="DU82" s="1319" t="s">
        <v>60</v>
      </c>
      <c r="DV82" s="1320">
        <v>5</v>
      </c>
      <c r="DW82" s="1320">
        <v>25</v>
      </c>
      <c r="DX82" s="1321"/>
      <c r="DY82" s="1320">
        <v>7</v>
      </c>
      <c r="DZ82" s="1320">
        <v>26</v>
      </c>
      <c r="EA82" s="1320">
        <v>8</v>
      </c>
      <c r="EB82" s="1320">
        <v>0</v>
      </c>
      <c r="EC82" s="1320">
        <v>0</v>
      </c>
      <c r="ED82" s="1321"/>
      <c r="EE82" s="1320">
        <v>8</v>
      </c>
      <c r="EF82" s="1320">
        <v>7</v>
      </c>
      <c r="EG82" s="1321"/>
      <c r="EH82" s="1320">
        <v>11</v>
      </c>
      <c r="EI82" s="1320">
        <v>0</v>
      </c>
      <c r="EJ82" s="1320">
        <v>97</v>
      </c>
      <c r="EK82" s="1322">
        <f t="shared" si="24"/>
        <v>0.42268041237113402</v>
      </c>
      <c r="EM82" s="1047"/>
      <c r="EN82" s="1047"/>
      <c r="EO82" s="1060" t="s">
        <v>60</v>
      </c>
      <c r="EP82" s="1061">
        <v>2</v>
      </c>
      <c r="EQ82" s="1061">
        <v>15</v>
      </c>
      <c r="ER82" s="1047"/>
      <c r="ES82" s="1061">
        <v>10</v>
      </c>
      <c r="ET82" s="1061">
        <v>20</v>
      </c>
      <c r="EU82" s="1061">
        <v>5</v>
      </c>
      <c r="EV82" s="1061">
        <v>1</v>
      </c>
      <c r="EW82" s="1047"/>
      <c r="EX82" s="1047"/>
      <c r="EY82" s="1061">
        <v>10</v>
      </c>
      <c r="EZ82" s="1061">
        <v>13</v>
      </c>
      <c r="FA82" s="1061">
        <v>12</v>
      </c>
      <c r="FB82" s="1047"/>
      <c r="FC82" s="1061">
        <v>88</v>
      </c>
      <c r="FD82" s="537">
        <f t="shared" si="25"/>
        <v>0.43181818181818182</v>
      </c>
      <c r="FF82" s="652"/>
      <c r="FG82" s="652"/>
      <c r="FH82" s="1062" t="s">
        <v>60</v>
      </c>
      <c r="FI82" s="1063">
        <v>10</v>
      </c>
      <c r="FJ82" s="1063">
        <v>7</v>
      </c>
      <c r="FK82" s="652"/>
      <c r="FL82" s="1063">
        <v>5</v>
      </c>
      <c r="FM82" s="1063">
        <v>16</v>
      </c>
      <c r="FN82" s="1063">
        <v>6</v>
      </c>
      <c r="FO82" s="1063">
        <v>1</v>
      </c>
      <c r="FP82" s="1063">
        <v>2</v>
      </c>
      <c r="FQ82" s="652"/>
      <c r="FR82" s="1063">
        <v>3</v>
      </c>
      <c r="FS82" s="1063">
        <v>8</v>
      </c>
      <c r="FT82" s="1063">
        <v>4</v>
      </c>
      <c r="FU82" s="652"/>
      <c r="FV82" s="1063">
        <v>62</v>
      </c>
      <c r="FW82" s="537">
        <f t="shared" si="26"/>
        <v>0.4838709677419355</v>
      </c>
      <c r="FY82" s="817"/>
      <c r="FZ82" s="817" t="s">
        <v>61</v>
      </c>
      <c r="GA82" s="1064" t="s">
        <v>62</v>
      </c>
      <c r="GB82" s="1065">
        <v>38</v>
      </c>
      <c r="GC82" s="1065">
        <v>15</v>
      </c>
      <c r="GD82" s="1065">
        <v>0</v>
      </c>
      <c r="GE82" s="1065">
        <v>8</v>
      </c>
      <c r="GF82" s="1065">
        <v>28</v>
      </c>
      <c r="GG82" s="1065">
        <v>13</v>
      </c>
      <c r="GH82" s="1065">
        <v>0</v>
      </c>
      <c r="GI82" s="1065">
        <v>0</v>
      </c>
      <c r="GJ82" s="1065">
        <v>12</v>
      </c>
      <c r="GK82" s="1065">
        <v>19</v>
      </c>
      <c r="GL82" s="1065">
        <v>28</v>
      </c>
      <c r="GM82" s="1065">
        <v>46</v>
      </c>
      <c r="GN82" s="1065">
        <v>0</v>
      </c>
      <c r="GO82" s="1065">
        <v>2</v>
      </c>
      <c r="GP82" s="1065">
        <v>209</v>
      </c>
      <c r="GQ82" s="1066">
        <f t="shared" si="27"/>
        <v>0.33519553072625696</v>
      </c>
      <c r="GS82" s="107"/>
      <c r="GT82" s="107" t="s">
        <v>61</v>
      </c>
      <c r="GU82" s="47" t="s">
        <v>62</v>
      </c>
      <c r="GV82" s="47">
        <v>35</v>
      </c>
      <c r="GW82" s="47">
        <v>19</v>
      </c>
      <c r="GX82" s="47"/>
      <c r="GY82" s="47">
        <v>3</v>
      </c>
      <c r="GZ82" s="47">
        <v>12</v>
      </c>
      <c r="HA82" s="47">
        <v>11</v>
      </c>
      <c r="HB82" s="47">
        <v>0</v>
      </c>
      <c r="HC82" s="47"/>
      <c r="HD82" s="47">
        <v>4</v>
      </c>
      <c r="HE82" s="47">
        <v>16</v>
      </c>
      <c r="HF82" s="47">
        <v>25</v>
      </c>
      <c r="HG82" s="47">
        <v>25</v>
      </c>
      <c r="HH82" s="47"/>
      <c r="HI82" s="47">
        <v>2</v>
      </c>
      <c r="HJ82" s="47">
        <v>152</v>
      </c>
      <c r="HK82" s="1067">
        <f t="shared" si="15"/>
        <v>0.312</v>
      </c>
      <c r="HL82" s="47"/>
      <c r="HM82" s="420"/>
      <c r="HN82" s="420"/>
      <c r="HO82" s="420" t="s">
        <v>63</v>
      </c>
      <c r="HP82" s="1068">
        <v>1</v>
      </c>
      <c r="HQ82" s="1068" t="s">
        <v>327</v>
      </c>
      <c r="HR82" s="1068" t="s">
        <v>327</v>
      </c>
      <c r="HS82" s="1068" t="s">
        <v>327</v>
      </c>
      <c r="HT82" s="1068">
        <v>0</v>
      </c>
      <c r="HU82" s="1068">
        <v>0</v>
      </c>
      <c r="HV82" s="1068" t="s">
        <v>327</v>
      </c>
      <c r="HW82" s="1068" t="s">
        <v>327</v>
      </c>
      <c r="HX82" s="1068" t="s">
        <v>327</v>
      </c>
      <c r="HY82" s="1068">
        <v>0</v>
      </c>
      <c r="HZ82" s="1068" t="s">
        <v>327</v>
      </c>
      <c r="IA82" s="1068" t="s">
        <v>327</v>
      </c>
      <c r="IB82" s="1068">
        <v>1</v>
      </c>
      <c r="IC82" s="1068">
        <f t="shared" si="16"/>
        <v>0</v>
      </c>
      <c r="ID82" s="1069">
        <f t="shared" si="17"/>
        <v>0</v>
      </c>
      <c r="IE82" s="47"/>
      <c r="IF82" s="47"/>
    </row>
    <row r="83" spans="1:240">
      <c r="A83" s="41"/>
      <c r="B83" s="41"/>
      <c r="C83" s="41" t="s">
        <v>60</v>
      </c>
      <c r="D83" s="105">
        <v>47</v>
      </c>
      <c r="E83" s="105">
        <v>49</v>
      </c>
      <c r="F83" s="105">
        <v>1</v>
      </c>
      <c r="G83" s="105">
        <v>15</v>
      </c>
      <c r="H83" s="105">
        <v>19</v>
      </c>
      <c r="I83" s="105">
        <v>30</v>
      </c>
      <c r="J83" s="105">
        <v>1</v>
      </c>
      <c r="K83" s="105">
        <v>2</v>
      </c>
      <c r="L83" s="105"/>
      <c r="M83" s="105">
        <v>28</v>
      </c>
      <c r="N83" s="105">
        <v>30</v>
      </c>
      <c r="O83" s="105"/>
      <c r="P83" s="105">
        <v>46</v>
      </c>
      <c r="Q83" s="105">
        <v>0</v>
      </c>
      <c r="R83" s="105">
        <v>268</v>
      </c>
      <c r="S83" s="706">
        <f t="shared" si="18"/>
        <v>0.29477611940298509</v>
      </c>
      <c r="T83" s="5561">
        <f t="shared" si="19"/>
        <v>0</v>
      </c>
      <c r="U83" s="5562">
        <v>268</v>
      </c>
      <c r="V83" s="706"/>
      <c r="Y83" s="41" t="s">
        <v>15</v>
      </c>
      <c r="Z83" s="41">
        <v>66</v>
      </c>
      <c r="AA83" s="41">
        <v>80</v>
      </c>
      <c r="AB83" s="41"/>
      <c r="AC83" s="41">
        <v>30</v>
      </c>
      <c r="AD83" s="41">
        <v>207</v>
      </c>
      <c r="AE83" s="41">
        <v>48</v>
      </c>
      <c r="AF83" s="41">
        <v>63</v>
      </c>
      <c r="AG83" s="41"/>
      <c r="AH83" s="41"/>
      <c r="AI83" s="41">
        <v>36</v>
      </c>
      <c r="AJ83" s="41">
        <v>64</v>
      </c>
      <c r="AK83" s="41"/>
      <c r="AL83" s="41">
        <v>105</v>
      </c>
      <c r="AM83" s="41">
        <v>1</v>
      </c>
      <c r="AN83" s="461">
        <v>700</v>
      </c>
      <c r="AO83" s="4692">
        <f t="shared" si="20"/>
        <v>0.4563662374821173</v>
      </c>
      <c r="AQ83" s="1788"/>
      <c r="AR83" s="1788"/>
      <c r="AS83" s="37" t="s">
        <v>413</v>
      </c>
      <c r="AT83" s="1788">
        <v>53</v>
      </c>
      <c r="AU83" s="1788">
        <v>28</v>
      </c>
      <c r="AV83" s="1788"/>
      <c r="AW83" s="1788">
        <v>16</v>
      </c>
      <c r="AX83" s="1788">
        <v>26</v>
      </c>
      <c r="AY83" s="1788">
        <v>11</v>
      </c>
      <c r="AZ83" s="1788">
        <v>19</v>
      </c>
      <c r="BA83" s="1788">
        <v>2</v>
      </c>
      <c r="BB83" s="1788"/>
      <c r="BC83" s="1788">
        <v>48</v>
      </c>
      <c r="BD83" s="1788">
        <v>9</v>
      </c>
      <c r="BE83" s="1788"/>
      <c r="BF83" s="1788">
        <v>44</v>
      </c>
      <c r="BG83" s="1788">
        <v>0</v>
      </c>
      <c r="BH83" s="1788">
        <v>256</v>
      </c>
      <c r="BI83" s="4701">
        <f t="shared" si="21"/>
        <v>0.1796875</v>
      </c>
      <c r="BK83" s="41"/>
      <c r="BL83" s="41"/>
      <c r="BM83" s="461" t="s">
        <v>545</v>
      </c>
      <c r="BN83" s="2473">
        <v>107</v>
      </c>
      <c r="BO83" s="2473">
        <v>66</v>
      </c>
      <c r="BP83" s="2473"/>
      <c r="BQ83" s="2473">
        <v>3</v>
      </c>
      <c r="BR83" s="2473">
        <v>184</v>
      </c>
      <c r="BS83" s="2473">
        <v>36</v>
      </c>
      <c r="BT83" s="2473">
        <v>31</v>
      </c>
      <c r="BU83" s="2473">
        <v>4</v>
      </c>
      <c r="BV83" s="2473"/>
      <c r="BW83" s="2473">
        <v>69</v>
      </c>
      <c r="BX83" s="2473">
        <v>55</v>
      </c>
      <c r="BY83" s="2473"/>
      <c r="BZ83" s="2473">
        <v>118</v>
      </c>
      <c r="CA83" s="2473"/>
      <c r="CB83" s="2473">
        <v>673</v>
      </c>
      <c r="CC83" s="2484">
        <f t="shared" si="22"/>
        <v>0.40861812778603268</v>
      </c>
      <c r="CE83" s="41"/>
      <c r="CF83" s="41"/>
      <c r="CG83" s="461" t="s">
        <v>545</v>
      </c>
      <c r="CH83" s="96">
        <v>44</v>
      </c>
      <c r="CI83" s="96">
        <v>85</v>
      </c>
      <c r="CJ83" s="96"/>
      <c r="CK83" s="96">
        <v>28</v>
      </c>
      <c r="CL83" s="96">
        <v>201</v>
      </c>
      <c r="CM83" s="96">
        <v>34</v>
      </c>
      <c r="CN83" s="96">
        <v>34</v>
      </c>
      <c r="CO83" s="96">
        <v>2</v>
      </c>
      <c r="CP83" s="96"/>
      <c r="CQ83" s="96">
        <v>46</v>
      </c>
      <c r="CR83" s="96">
        <v>50</v>
      </c>
      <c r="CS83" s="96"/>
      <c r="CT83" s="96">
        <v>100</v>
      </c>
      <c r="CU83" s="96"/>
      <c r="CV83" s="96">
        <v>624</v>
      </c>
      <c r="CW83" s="635">
        <f t="shared" si="14"/>
        <v>0.45673076923076922</v>
      </c>
      <c r="CX83" s="1977"/>
      <c r="CY83" s="41"/>
      <c r="CZ83" s="41"/>
      <c r="DA83" s="461" t="s">
        <v>545</v>
      </c>
      <c r="DB83" s="96">
        <v>30</v>
      </c>
      <c r="DC83" s="96">
        <v>78</v>
      </c>
      <c r="DD83" s="96"/>
      <c r="DE83" s="96">
        <v>23</v>
      </c>
      <c r="DF83" s="96">
        <v>211</v>
      </c>
      <c r="DG83" s="96">
        <v>32</v>
      </c>
      <c r="DH83" s="96">
        <v>10</v>
      </c>
      <c r="DI83" s="96">
        <v>3</v>
      </c>
      <c r="DJ83" s="96"/>
      <c r="DK83" s="96">
        <v>57</v>
      </c>
      <c r="DL83" s="96">
        <v>32</v>
      </c>
      <c r="DM83" s="96"/>
      <c r="DN83" s="96">
        <v>92</v>
      </c>
      <c r="DO83" s="96">
        <v>1</v>
      </c>
      <c r="DP83" s="96">
        <v>569</v>
      </c>
      <c r="DQ83" s="635">
        <f t="shared" si="23"/>
        <v>0.48415492957746481</v>
      </c>
      <c r="DS83" s="1311"/>
      <c r="DT83" s="1311"/>
      <c r="DU83" s="1319" t="s">
        <v>413</v>
      </c>
      <c r="DV83" s="1320">
        <v>12</v>
      </c>
      <c r="DW83" s="1320">
        <v>39</v>
      </c>
      <c r="DX83" s="1321"/>
      <c r="DY83" s="1320">
        <v>9</v>
      </c>
      <c r="DZ83" s="1320">
        <v>21</v>
      </c>
      <c r="EA83" s="1320">
        <v>4</v>
      </c>
      <c r="EB83" s="1320">
        <v>1</v>
      </c>
      <c r="EC83" s="1320">
        <v>2</v>
      </c>
      <c r="ED83" s="1321"/>
      <c r="EE83" s="1320">
        <v>12</v>
      </c>
      <c r="EF83" s="1320">
        <v>6</v>
      </c>
      <c r="EG83" s="1321"/>
      <c r="EH83" s="1320">
        <v>27</v>
      </c>
      <c r="EI83" s="1320">
        <v>0</v>
      </c>
      <c r="EJ83" s="1320">
        <v>133</v>
      </c>
      <c r="EK83" s="1322">
        <f t="shared" si="24"/>
        <v>0.23308270676691728</v>
      </c>
      <c r="EM83" s="1047"/>
      <c r="EN83" s="1047"/>
      <c r="EO83" s="1060" t="s">
        <v>413</v>
      </c>
      <c r="EP83" s="1061">
        <v>12</v>
      </c>
      <c r="EQ83" s="1061">
        <v>17</v>
      </c>
      <c r="ER83" s="1047"/>
      <c r="ES83" s="1061">
        <v>8</v>
      </c>
      <c r="ET83" s="1061">
        <v>15</v>
      </c>
      <c r="EU83" s="1061">
        <v>2</v>
      </c>
      <c r="EV83" s="1061">
        <v>2</v>
      </c>
      <c r="EW83" s="1047"/>
      <c r="EX83" s="1047"/>
      <c r="EY83" s="1061">
        <v>33</v>
      </c>
      <c r="EZ83" s="1061">
        <v>3</v>
      </c>
      <c r="FA83" s="1061">
        <v>25</v>
      </c>
      <c r="FB83" s="1047"/>
      <c r="FC83" s="1061">
        <v>117</v>
      </c>
      <c r="FD83" s="537">
        <f t="shared" si="25"/>
        <v>0.17094017094017094</v>
      </c>
      <c r="FF83" s="652"/>
      <c r="FG83" s="652"/>
      <c r="FH83" s="1062" t="s">
        <v>413</v>
      </c>
      <c r="FI83" s="1063">
        <v>17</v>
      </c>
      <c r="FJ83" s="1063">
        <v>17</v>
      </c>
      <c r="FK83" s="652"/>
      <c r="FL83" s="1063">
        <v>5</v>
      </c>
      <c r="FM83" s="1063">
        <v>9</v>
      </c>
      <c r="FN83" s="1063">
        <v>3</v>
      </c>
      <c r="FO83" s="1063">
        <v>2</v>
      </c>
      <c r="FP83" s="1063">
        <v>0</v>
      </c>
      <c r="FQ83" s="652"/>
      <c r="FR83" s="1063">
        <v>14</v>
      </c>
      <c r="FS83" s="1063">
        <v>5</v>
      </c>
      <c r="FT83" s="1063">
        <v>16</v>
      </c>
      <c r="FU83" s="652"/>
      <c r="FV83" s="1063">
        <v>88</v>
      </c>
      <c r="FW83" s="537">
        <f t="shared" si="26"/>
        <v>0.19318181818181818</v>
      </c>
      <c r="FY83" s="817"/>
      <c r="FZ83" s="817"/>
      <c r="GA83" s="1064" t="s">
        <v>414</v>
      </c>
      <c r="GB83" s="1065">
        <v>18</v>
      </c>
      <c r="GC83" s="1065">
        <v>5</v>
      </c>
      <c r="GD83" s="1065">
        <v>0</v>
      </c>
      <c r="GE83" s="1065">
        <v>6</v>
      </c>
      <c r="GF83" s="1065">
        <v>2</v>
      </c>
      <c r="GG83" s="1065">
        <v>2</v>
      </c>
      <c r="GH83" s="1065">
        <v>5</v>
      </c>
      <c r="GI83" s="1065">
        <v>0</v>
      </c>
      <c r="GJ83" s="1065">
        <v>3</v>
      </c>
      <c r="GK83" s="1065">
        <v>0</v>
      </c>
      <c r="GL83" s="1065">
        <v>9</v>
      </c>
      <c r="GM83" s="1065">
        <v>9</v>
      </c>
      <c r="GN83" s="1065">
        <v>0</v>
      </c>
      <c r="GO83" s="1065">
        <v>1</v>
      </c>
      <c r="GP83" s="1065">
        <v>60</v>
      </c>
      <c r="GQ83" s="1066">
        <f t="shared" si="27"/>
        <v>0.08</v>
      </c>
      <c r="GS83" s="107"/>
      <c r="GT83" s="107"/>
      <c r="GU83" s="47" t="s">
        <v>414</v>
      </c>
      <c r="GV83" s="47">
        <v>12</v>
      </c>
      <c r="GW83" s="47">
        <v>4</v>
      </c>
      <c r="GX83" s="47"/>
      <c r="GY83" s="47">
        <v>2</v>
      </c>
      <c r="GZ83" s="47">
        <v>0</v>
      </c>
      <c r="HA83" s="47">
        <v>1</v>
      </c>
      <c r="HB83" s="47">
        <v>2</v>
      </c>
      <c r="HC83" s="47"/>
      <c r="HD83" s="47">
        <v>2</v>
      </c>
      <c r="HE83" s="47">
        <v>1</v>
      </c>
      <c r="HF83" s="47">
        <v>5</v>
      </c>
      <c r="HG83" s="47">
        <v>4</v>
      </c>
      <c r="HH83" s="47"/>
      <c r="HI83" s="47">
        <v>0</v>
      </c>
      <c r="HJ83" s="47">
        <v>33</v>
      </c>
      <c r="HK83" s="1067">
        <f t="shared" si="15"/>
        <v>7.1428571428571425E-2</v>
      </c>
      <c r="HL83" s="47"/>
      <c r="HM83" s="420"/>
      <c r="HN83" s="420"/>
      <c r="HO83" s="1077" t="s">
        <v>15</v>
      </c>
      <c r="HP83" s="1078">
        <v>14</v>
      </c>
      <c r="HQ83" s="1078">
        <v>14</v>
      </c>
      <c r="HR83" s="1078" t="s">
        <v>327</v>
      </c>
      <c r="HS83" s="1078">
        <v>2</v>
      </c>
      <c r="HT83" s="1078">
        <v>4</v>
      </c>
      <c r="HU83" s="1078">
        <v>3</v>
      </c>
      <c r="HV83" s="1078" t="s">
        <v>327</v>
      </c>
      <c r="HW83" s="1078" t="s">
        <v>327</v>
      </c>
      <c r="HX83" s="1078">
        <v>6</v>
      </c>
      <c r="HY83" s="1078">
        <v>17</v>
      </c>
      <c r="HZ83" s="1078">
        <v>10</v>
      </c>
      <c r="IA83" s="1078" t="s">
        <v>327</v>
      </c>
      <c r="IB83" s="1078">
        <v>70</v>
      </c>
      <c r="IC83" s="1078">
        <f t="shared" si="16"/>
        <v>24</v>
      </c>
      <c r="ID83" s="1079">
        <f t="shared" si="17"/>
        <v>0.34285714285714286</v>
      </c>
      <c r="IE83" s="47"/>
      <c r="IF83" s="47"/>
    </row>
    <row r="84" spans="1:240">
      <c r="A84" s="41"/>
      <c r="B84" s="41"/>
      <c r="C84" s="41" t="s">
        <v>413</v>
      </c>
      <c r="D84" s="105">
        <v>80</v>
      </c>
      <c r="E84" s="105">
        <v>48</v>
      </c>
      <c r="F84" s="105">
        <v>0</v>
      </c>
      <c r="G84" s="105">
        <v>22</v>
      </c>
      <c r="H84" s="105">
        <v>24</v>
      </c>
      <c r="I84" s="105">
        <v>12</v>
      </c>
      <c r="J84" s="105">
        <v>1</v>
      </c>
      <c r="K84" s="105">
        <v>1</v>
      </c>
      <c r="L84" s="105"/>
      <c r="M84" s="105">
        <v>24</v>
      </c>
      <c r="N84" s="105">
        <v>10</v>
      </c>
      <c r="O84" s="105"/>
      <c r="P84" s="105">
        <v>64</v>
      </c>
      <c r="Q84" s="105">
        <v>0</v>
      </c>
      <c r="R84" s="105">
        <v>286</v>
      </c>
      <c r="S84" s="706">
        <f t="shared" si="18"/>
        <v>0.16083916083916083</v>
      </c>
      <c r="T84" s="5561">
        <f t="shared" si="19"/>
        <v>4</v>
      </c>
      <c r="U84" s="5562">
        <v>282</v>
      </c>
      <c r="V84" s="706"/>
      <c r="X84" s="107" t="s">
        <v>61</v>
      </c>
      <c r="Y84" s="41" t="s">
        <v>62</v>
      </c>
      <c r="Z84" s="41">
        <v>22</v>
      </c>
      <c r="AA84" s="41">
        <v>28</v>
      </c>
      <c r="AB84" s="41"/>
      <c r="AC84" s="41">
        <v>11</v>
      </c>
      <c r="AD84" s="41">
        <v>73</v>
      </c>
      <c r="AE84" s="41">
        <v>18</v>
      </c>
      <c r="AF84" s="41">
        <v>41</v>
      </c>
      <c r="AG84" s="41"/>
      <c r="AH84" s="41">
        <v>0</v>
      </c>
      <c r="AI84" s="41">
        <v>8</v>
      </c>
      <c r="AJ84" s="41">
        <v>41</v>
      </c>
      <c r="AK84" s="41"/>
      <c r="AL84" s="41">
        <v>51</v>
      </c>
      <c r="AM84" s="41"/>
      <c r="AN84" s="461">
        <v>293</v>
      </c>
      <c r="AO84" s="4692">
        <f t="shared" si="20"/>
        <v>0.45051194539249145</v>
      </c>
      <c r="AQ84" s="1788"/>
      <c r="AR84" s="1788"/>
      <c r="AS84" s="1793" t="s">
        <v>545</v>
      </c>
      <c r="AT84" s="4702">
        <v>123</v>
      </c>
      <c r="AU84" s="4702">
        <v>88</v>
      </c>
      <c r="AV84" s="4702"/>
      <c r="AW84" s="4702">
        <v>33</v>
      </c>
      <c r="AX84" s="4702">
        <v>134</v>
      </c>
      <c r="AY84" s="4702">
        <v>52</v>
      </c>
      <c r="AZ84" s="4702">
        <v>38</v>
      </c>
      <c r="BA84" s="4702">
        <v>12</v>
      </c>
      <c r="BB84" s="4702"/>
      <c r="BC84" s="4702">
        <v>114</v>
      </c>
      <c r="BD84" s="4702">
        <v>97</v>
      </c>
      <c r="BE84" s="4702"/>
      <c r="BF84" s="4702">
        <v>114</v>
      </c>
      <c r="BG84" s="4702">
        <v>1</v>
      </c>
      <c r="BH84" s="4702">
        <v>806</v>
      </c>
      <c r="BI84" s="4703">
        <f t="shared" si="21"/>
        <v>0.35155279503105591</v>
      </c>
      <c r="BK84" s="41"/>
      <c r="BL84" s="41" t="s">
        <v>61</v>
      </c>
      <c r="BM84" s="41" t="s">
        <v>62</v>
      </c>
      <c r="BN84" s="105">
        <v>39</v>
      </c>
      <c r="BO84" s="105">
        <v>25</v>
      </c>
      <c r="BP84" s="105"/>
      <c r="BQ84" s="105">
        <v>2</v>
      </c>
      <c r="BR84" s="105">
        <v>54</v>
      </c>
      <c r="BS84" s="105">
        <v>15</v>
      </c>
      <c r="BT84" s="105">
        <v>28</v>
      </c>
      <c r="BU84" s="105">
        <v>2</v>
      </c>
      <c r="BV84" s="105"/>
      <c r="BW84" s="105">
        <v>26</v>
      </c>
      <c r="BX84" s="105">
        <v>35</v>
      </c>
      <c r="BY84" s="105"/>
      <c r="BZ84" s="105">
        <v>57</v>
      </c>
      <c r="CA84" s="105"/>
      <c r="CB84" s="105">
        <v>283</v>
      </c>
      <c r="CC84" s="2484">
        <f t="shared" si="22"/>
        <v>0.36749116607773852</v>
      </c>
      <c r="CE84" s="41"/>
      <c r="CF84" s="41" t="s">
        <v>61</v>
      </c>
      <c r="CG84" s="41" t="s">
        <v>62</v>
      </c>
      <c r="CH84" s="105">
        <v>23</v>
      </c>
      <c r="CI84" s="105">
        <v>45</v>
      </c>
      <c r="CJ84" s="105"/>
      <c r="CK84" s="105">
        <v>10</v>
      </c>
      <c r="CL84" s="105">
        <v>60</v>
      </c>
      <c r="CM84" s="105">
        <v>16</v>
      </c>
      <c r="CN84" s="105">
        <v>24</v>
      </c>
      <c r="CO84" s="105">
        <v>1</v>
      </c>
      <c r="CP84" s="105"/>
      <c r="CQ84" s="105">
        <v>24</v>
      </c>
      <c r="CR84" s="105">
        <v>28</v>
      </c>
      <c r="CS84" s="105"/>
      <c r="CT84" s="105">
        <v>57</v>
      </c>
      <c r="CU84" s="105"/>
      <c r="CV84" s="105">
        <v>288</v>
      </c>
      <c r="CW84" s="1644">
        <f t="shared" si="14"/>
        <v>0.3611111111111111</v>
      </c>
      <c r="CX84" s="1976"/>
      <c r="CY84" s="41"/>
      <c r="CZ84" s="41" t="s">
        <v>61</v>
      </c>
      <c r="DA84" s="41" t="s">
        <v>62</v>
      </c>
      <c r="DB84" s="105">
        <v>20</v>
      </c>
      <c r="DC84" s="105">
        <v>39</v>
      </c>
      <c r="DD84" s="105"/>
      <c r="DE84" s="105">
        <v>7</v>
      </c>
      <c r="DF84" s="105">
        <v>65</v>
      </c>
      <c r="DG84" s="105">
        <v>12</v>
      </c>
      <c r="DH84" s="105">
        <v>10</v>
      </c>
      <c r="DI84" s="105">
        <v>7</v>
      </c>
      <c r="DJ84" s="105"/>
      <c r="DK84" s="105">
        <v>44</v>
      </c>
      <c r="DL84" s="105">
        <v>13</v>
      </c>
      <c r="DM84" s="105"/>
      <c r="DN84" s="105">
        <v>60</v>
      </c>
      <c r="DO84" s="105">
        <v>1</v>
      </c>
      <c r="DP84" s="105">
        <v>278</v>
      </c>
      <c r="DQ84" s="1644">
        <f t="shared" si="23"/>
        <v>0.32490974729241878</v>
      </c>
      <c r="DS84" s="1311"/>
      <c r="DT84" s="1311"/>
      <c r="DU84" s="1313" t="s">
        <v>545</v>
      </c>
      <c r="DV84" s="1323">
        <v>28</v>
      </c>
      <c r="DW84" s="1323">
        <v>100</v>
      </c>
      <c r="DX84" s="1324"/>
      <c r="DY84" s="1323">
        <v>24</v>
      </c>
      <c r="DZ84" s="1323">
        <v>238</v>
      </c>
      <c r="EA84" s="1323">
        <v>28</v>
      </c>
      <c r="EB84" s="1323">
        <v>28</v>
      </c>
      <c r="EC84" s="1323">
        <v>2</v>
      </c>
      <c r="ED84" s="1324"/>
      <c r="EE84" s="1323">
        <v>27</v>
      </c>
      <c r="EF84" s="1323">
        <v>35</v>
      </c>
      <c r="EG84" s="1324"/>
      <c r="EH84" s="1323">
        <v>69</v>
      </c>
      <c r="EI84" s="1323">
        <v>1</v>
      </c>
      <c r="EJ84" s="1323">
        <v>580</v>
      </c>
      <c r="EK84" s="1325">
        <f t="shared" si="24"/>
        <v>0.51986183074265979</v>
      </c>
      <c r="EM84" s="1047"/>
      <c r="EN84" s="1047"/>
      <c r="EO84" s="1070" t="s">
        <v>545</v>
      </c>
      <c r="EP84" s="1071">
        <v>23</v>
      </c>
      <c r="EQ84" s="1071">
        <v>59</v>
      </c>
      <c r="ER84" s="1072"/>
      <c r="ES84" s="1071">
        <v>29</v>
      </c>
      <c r="ET84" s="1071">
        <v>203</v>
      </c>
      <c r="EU84" s="1071">
        <v>20</v>
      </c>
      <c r="EV84" s="1071">
        <v>8</v>
      </c>
      <c r="EW84" s="1072"/>
      <c r="EX84" s="1071"/>
      <c r="EY84" s="1071">
        <v>56</v>
      </c>
      <c r="EZ84" s="1071">
        <v>47</v>
      </c>
      <c r="FA84" s="1071">
        <v>91</v>
      </c>
      <c r="FB84" s="1071"/>
      <c r="FC84" s="1071">
        <v>536</v>
      </c>
      <c r="FD84" s="1073">
        <f t="shared" si="25"/>
        <v>0.50373134328358204</v>
      </c>
      <c r="FF84" s="652"/>
      <c r="FG84" s="652"/>
      <c r="FH84" s="813" t="s">
        <v>545</v>
      </c>
      <c r="FI84" s="1074">
        <v>55</v>
      </c>
      <c r="FJ84" s="1074">
        <v>53</v>
      </c>
      <c r="FK84" s="816"/>
      <c r="FL84" s="1074">
        <v>20</v>
      </c>
      <c r="FM84" s="1074">
        <v>168</v>
      </c>
      <c r="FN84" s="1074">
        <v>21</v>
      </c>
      <c r="FO84" s="1074">
        <v>6</v>
      </c>
      <c r="FP84" s="1074">
        <v>2</v>
      </c>
      <c r="FQ84" s="816"/>
      <c r="FR84" s="1074">
        <v>25</v>
      </c>
      <c r="FS84" s="1074">
        <v>38</v>
      </c>
      <c r="FT84" s="1074">
        <v>61</v>
      </c>
      <c r="FU84" s="816"/>
      <c r="FV84" s="1074">
        <v>449</v>
      </c>
      <c r="FW84" s="526">
        <f t="shared" si="26"/>
        <v>0.50556792873051226</v>
      </c>
      <c r="FY84" s="817"/>
      <c r="FZ84" s="817"/>
      <c r="GA84" s="1064" t="s">
        <v>63</v>
      </c>
      <c r="GB84" s="1065">
        <v>24</v>
      </c>
      <c r="GC84" s="1065">
        <v>12</v>
      </c>
      <c r="GD84" s="1065">
        <v>0</v>
      </c>
      <c r="GE84" s="1065">
        <v>5</v>
      </c>
      <c r="GF84" s="1065">
        <v>12</v>
      </c>
      <c r="GG84" s="1065">
        <v>9</v>
      </c>
      <c r="GH84" s="1065">
        <v>4</v>
      </c>
      <c r="GI84" s="1065">
        <v>0</v>
      </c>
      <c r="GJ84" s="1065">
        <v>4</v>
      </c>
      <c r="GK84" s="1065">
        <v>21</v>
      </c>
      <c r="GL84" s="1065">
        <v>25</v>
      </c>
      <c r="GM84" s="1065">
        <v>16</v>
      </c>
      <c r="GN84" s="1065">
        <v>0</v>
      </c>
      <c r="GO84" s="1065">
        <v>1</v>
      </c>
      <c r="GP84" s="1065">
        <v>133</v>
      </c>
      <c r="GQ84" s="1066">
        <f t="shared" si="27"/>
        <v>0.3925233644859813</v>
      </c>
      <c r="GS84" s="107"/>
      <c r="GT84" s="107"/>
      <c r="GU84" s="47" t="s">
        <v>63</v>
      </c>
      <c r="GV84" s="47">
        <v>13</v>
      </c>
      <c r="GW84" s="47">
        <v>9</v>
      </c>
      <c r="GX84" s="47"/>
      <c r="GY84" s="47">
        <v>2</v>
      </c>
      <c r="GZ84" s="47">
        <v>0</v>
      </c>
      <c r="HA84" s="47">
        <v>4</v>
      </c>
      <c r="HB84" s="47">
        <v>3</v>
      </c>
      <c r="HC84" s="47"/>
      <c r="HD84" s="47">
        <v>5</v>
      </c>
      <c r="HE84" s="47">
        <v>11</v>
      </c>
      <c r="HF84" s="47">
        <v>17</v>
      </c>
      <c r="HG84" s="47">
        <v>8</v>
      </c>
      <c r="HH84" s="47"/>
      <c r="HI84" s="47">
        <v>0</v>
      </c>
      <c r="HJ84" s="47">
        <v>72</v>
      </c>
      <c r="HK84" s="1067">
        <f t="shared" si="15"/>
        <v>0.27272727272727271</v>
      </c>
      <c r="HL84" s="47"/>
      <c r="HM84" s="420"/>
      <c r="HN84" s="420" t="s">
        <v>64</v>
      </c>
      <c r="HO84" s="420" t="s">
        <v>14</v>
      </c>
      <c r="HP84" s="1068">
        <v>12</v>
      </c>
      <c r="HQ84" s="1068">
        <v>4</v>
      </c>
      <c r="HR84" s="1068" t="s">
        <v>327</v>
      </c>
      <c r="HS84" s="1068">
        <v>1</v>
      </c>
      <c r="HT84" s="1068">
        <v>10</v>
      </c>
      <c r="HU84" s="1068">
        <v>5</v>
      </c>
      <c r="HV84" s="1068">
        <v>2</v>
      </c>
      <c r="HW84" s="1068" t="s">
        <v>327</v>
      </c>
      <c r="HX84" s="1068">
        <v>4</v>
      </c>
      <c r="HY84" s="1068">
        <v>4</v>
      </c>
      <c r="HZ84" s="1068">
        <v>16</v>
      </c>
      <c r="IA84" s="1068" t="s">
        <v>327</v>
      </c>
      <c r="IB84" s="1068">
        <v>58</v>
      </c>
      <c r="IC84" s="1068">
        <f t="shared" si="16"/>
        <v>19</v>
      </c>
      <c r="ID84" s="1069">
        <f t="shared" si="17"/>
        <v>0.32758620689655171</v>
      </c>
      <c r="IE84" s="47"/>
      <c r="IF84" s="47"/>
    </row>
    <row r="85" spans="1:240">
      <c r="A85" s="41"/>
      <c r="B85" s="41"/>
      <c r="C85" s="461" t="s">
        <v>545</v>
      </c>
      <c r="D85" s="5556">
        <v>184</v>
      </c>
      <c r="E85" s="5556">
        <v>155</v>
      </c>
      <c r="F85" s="5556">
        <v>1</v>
      </c>
      <c r="G85" s="5556">
        <v>45</v>
      </c>
      <c r="H85" s="5556">
        <v>127</v>
      </c>
      <c r="I85" s="5556">
        <v>99</v>
      </c>
      <c r="J85" s="5556">
        <v>3</v>
      </c>
      <c r="K85" s="5556">
        <v>9</v>
      </c>
      <c r="L85" s="5556"/>
      <c r="M85" s="5556">
        <v>81</v>
      </c>
      <c r="N85" s="5556">
        <v>78</v>
      </c>
      <c r="O85" s="5556"/>
      <c r="P85" s="5556">
        <v>159</v>
      </c>
      <c r="Q85" s="5556">
        <v>1</v>
      </c>
      <c r="R85" s="5556">
        <v>942</v>
      </c>
      <c r="S85" s="706">
        <f t="shared" si="18"/>
        <v>0.32306057385759829</v>
      </c>
      <c r="T85" s="5561"/>
      <c r="U85" s="5562"/>
      <c r="V85" s="706"/>
      <c r="Y85" s="41" t="s">
        <v>414</v>
      </c>
      <c r="Z85" s="41">
        <v>23</v>
      </c>
      <c r="AA85" s="41">
        <v>25</v>
      </c>
      <c r="AB85" s="41"/>
      <c r="AC85" s="41">
        <v>15</v>
      </c>
      <c r="AD85" s="41">
        <v>29</v>
      </c>
      <c r="AE85" s="41">
        <v>8</v>
      </c>
      <c r="AF85" s="41">
        <v>33</v>
      </c>
      <c r="AG85" s="41"/>
      <c r="AH85" s="41">
        <v>0</v>
      </c>
      <c r="AI85" s="41">
        <v>15</v>
      </c>
      <c r="AJ85" s="41">
        <v>19</v>
      </c>
      <c r="AK85" s="41"/>
      <c r="AL85" s="41">
        <v>57</v>
      </c>
      <c r="AM85" s="41"/>
      <c r="AN85" s="461">
        <v>224</v>
      </c>
      <c r="AO85" s="4692">
        <f t="shared" si="20"/>
        <v>0.25</v>
      </c>
      <c r="AQ85" s="1788"/>
      <c r="AR85" s="1788" t="s">
        <v>61</v>
      </c>
      <c r="AS85" s="37" t="s">
        <v>62</v>
      </c>
      <c r="AT85" s="1788">
        <v>43</v>
      </c>
      <c r="AU85" s="1788">
        <v>29</v>
      </c>
      <c r="AV85" s="1788"/>
      <c r="AW85" s="1788">
        <v>13</v>
      </c>
      <c r="AX85" s="1788">
        <v>43</v>
      </c>
      <c r="AY85" s="1788">
        <v>25</v>
      </c>
      <c r="AZ85" s="1788">
        <v>15</v>
      </c>
      <c r="BA85" s="1788">
        <v>8</v>
      </c>
      <c r="BB85" s="1788">
        <v>0</v>
      </c>
      <c r="BC85" s="1788">
        <v>28</v>
      </c>
      <c r="BD85" s="1788">
        <v>34</v>
      </c>
      <c r="BE85" s="1788"/>
      <c r="BF85" s="1788">
        <v>55</v>
      </c>
      <c r="BG85" s="1788"/>
      <c r="BH85" s="1788">
        <v>293</v>
      </c>
      <c r="BI85" s="4701">
        <f t="shared" si="21"/>
        <v>0.34812286689419797</v>
      </c>
      <c r="BK85" s="41"/>
      <c r="BL85" s="41"/>
      <c r="BM85" s="41" t="s">
        <v>414</v>
      </c>
      <c r="BN85" s="105">
        <v>32</v>
      </c>
      <c r="BO85" s="105">
        <v>22</v>
      </c>
      <c r="BP85" s="105"/>
      <c r="BQ85" s="105">
        <v>2</v>
      </c>
      <c r="BR85" s="105">
        <v>22</v>
      </c>
      <c r="BS85" s="105">
        <v>9</v>
      </c>
      <c r="BT85" s="105">
        <v>13</v>
      </c>
      <c r="BU85" s="105">
        <v>1</v>
      </c>
      <c r="BV85" s="105"/>
      <c r="BW85" s="105">
        <v>31</v>
      </c>
      <c r="BX85" s="105">
        <v>14</v>
      </c>
      <c r="BY85" s="105"/>
      <c r="BZ85" s="105">
        <v>65</v>
      </c>
      <c r="CA85" s="105"/>
      <c r="CB85" s="105">
        <v>211</v>
      </c>
      <c r="CC85" s="2484">
        <f t="shared" si="22"/>
        <v>0.2132701421800948</v>
      </c>
      <c r="CE85" s="41"/>
      <c r="CF85" s="41"/>
      <c r="CG85" s="41" t="s">
        <v>414</v>
      </c>
      <c r="CH85" s="105">
        <v>31</v>
      </c>
      <c r="CI85" s="105">
        <v>47</v>
      </c>
      <c r="CJ85" s="105"/>
      <c r="CK85" s="105">
        <v>12</v>
      </c>
      <c r="CL85" s="105">
        <v>19</v>
      </c>
      <c r="CM85" s="105">
        <v>9</v>
      </c>
      <c r="CN85" s="105">
        <v>19</v>
      </c>
      <c r="CO85" s="105">
        <v>1</v>
      </c>
      <c r="CP85" s="105"/>
      <c r="CQ85" s="105">
        <v>12</v>
      </c>
      <c r="CR85" s="105">
        <v>7</v>
      </c>
      <c r="CS85" s="105"/>
      <c r="CT85" s="105">
        <v>56</v>
      </c>
      <c r="CU85" s="105"/>
      <c r="CV85" s="105">
        <v>213</v>
      </c>
      <c r="CW85" s="1644">
        <f t="shared" si="14"/>
        <v>0.16431924882629109</v>
      </c>
      <c r="CX85" s="1976"/>
      <c r="CY85" s="41"/>
      <c r="CZ85" s="41"/>
      <c r="DA85" s="41" t="s">
        <v>414</v>
      </c>
      <c r="DB85" s="105">
        <v>29</v>
      </c>
      <c r="DC85" s="105">
        <v>31</v>
      </c>
      <c r="DD85" s="105"/>
      <c r="DE85" s="105">
        <v>8</v>
      </c>
      <c r="DF85" s="105">
        <v>16</v>
      </c>
      <c r="DG85" s="105">
        <v>5</v>
      </c>
      <c r="DH85" s="105">
        <v>2</v>
      </c>
      <c r="DI85" s="105">
        <v>0</v>
      </c>
      <c r="DJ85" s="105"/>
      <c r="DK85" s="105">
        <v>32</v>
      </c>
      <c r="DL85" s="105">
        <v>6</v>
      </c>
      <c r="DM85" s="105"/>
      <c r="DN85" s="105">
        <v>50</v>
      </c>
      <c r="DO85" s="105">
        <v>0</v>
      </c>
      <c r="DP85" s="105">
        <v>179</v>
      </c>
      <c r="DQ85" s="1644">
        <f t="shared" si="23"/>
        <v>0.15083798882681565</v>
      </c>
      <c r="DS85" s="1311"/>
      <c r="DT85" s="1311" t="s">
        <v>61</v>
      </c>
      <c r="DU85" s="1319" t="s">
        <v>62</v>
      </c>
      <c r="DV85" s="1320">
        <v>33</v>
      </c>
      <c r="DW85" s="1320">
        <v>40</v>
      </c>
      <c r="DX85" s="1321"/>
      <c r="DY85" s="1320">
        <v>6</v>
      </c>
      <c r="DZ85" s="1320">
        <v>66</v>
      </c>
      <c r="EA85" s="1320">
        <v>10</v>
      </c>
      <c r="EB85" s="1320">
        <v>17</v>
      </c>
      <c r="EC85" s="1320">
        <v>0</v>
      </c>
      <c r="ED85" s="1321"/>
      <c r="EE85" s="1320">
        <v>22</v>
      </c>
      <c r="EF85" s="1320">
        <v>16</v>
      </c>
      <c r="EG85" s="1321"/>
      <c r="EH85" s="1320">
        <v>61</v>
      </c>
      <c r="EI85" s="1320">
        <v>1</v>
      </c>
      <c r="EJ85" s="1320">
        <v>272</v>
      </c>
      <c r="EK85" s="1322">
        <f t="shared" si="24"/>
        <v>0.33948339483394835</v>
      </c>
      <c r="EM85" s="1047"/>
      <c r="EN85" s="1047" t="s">
        <v>61</v>
      </c>
      <c r="EO85" s="1060" t="s">
        <v>62</v>
      </c>
      <c r="EP85" s="1061">
        <v>28</v>
      </c>
      <c r="EQ85" s="1061">
        <v>24</v>
      </c>
      <c r="ER85" s="1047"/>
      <c r="ES85" s="1061">
        <v>10</v>
      </c>
      <c r="ET85" s="1061">
        <v>58</v>
      </c>
      <c r="EU85" s="1061">
        <v>7</v>
      </c>
      <c r="EV85" s="1061">
        <v>1</v>
      </c>
      <c r="EW85" s="1047"/>
      <c r="EX85" s="1047"/>
      <c r="EY85" s="1061">
        <v>35</v>
      </c>
      <c r="EZ85" s="1061">
        <v>14</v>
      </c>
      <c r="FA85" s="1061">
        <v>73</v>
      </c>
      <c r="FB85" s="1047"/>
      <c r="FC85" s="1061">
        <v>250</v>
      </c>
      <c r="FD85" s="537">
        <f t="shared" si="25"/>
        <v>0.316</v>
      </c>
      <c r="FF85" s="652"/>
      <c r="FG85" s="652" t="s">
        <v>61</v>
      </c>
      <c r="FH85" s="1062" t="s">
        <v>62</v>
      </c>
      <c r="FI85" s="1063">
        <v>40</v>
      </c>
      <c r="FJ85" s="1063">
        <v>26</v>
      </c>
      <c r="FK85" s="652"/>
      <c r="FL85" s="1063">
        <v>10</v>
      </c>
      <c r="FM85" s="1063">
        <v>42</v>
      </c>
      <c r="FN85" s="1063">
        <v>11</v>
      </c>
      <c r="FO85" s="1063">
        <v>0</v>
      </c>
      <c r="FP85" s="1063">
        <v>0</v>
      </c>
      <c r="FQ85" s="652"/>
      <c r="FR85" s="1063">
        <v>12</v>
      </c>
      <c r="FS85" s="1063">
        <v>15</v>
      </c>
      <c r="FT85" s="1063">
        <v>52</v>
      </c>
      <c r="FU85" s="652"/>
      <c r="FV85" s="1063">
        <v>208</v>
      </c>
      <c r="FW85" s="537">
        <f t="shared" si="26"/>
        <v>0.32692307692307693</v>
      </c>
      <c r="FY85" s="817"/>
      <c r="FZ85" s="817"/>
      <c r="GA85" s="1053" t="s">
        <v>548</v>
      </c>
      <c r="GB85" s="1075">
        <v>80</v>
      </c>
      <c r="GC85" s="1075">
        <v>32</v>
      </c>
      <c r="GD85" s="1075">
        <v>0</v>
      </c>
      <c r="GE85" s="1075">
        <v>19</v>
      </c>
      <c r="GF85" s="1075">
        <v>42</v>
      </c>
      <c r="GG85" s="1075">
        <v>24</v>
      </c>
      <c r="GH85" s="1075">
        <v>9</v>
      </c>
      <c r="GI85" s="1075">
        <v>0</v>
      </c>
      <c r="GJ85" s="1075">
        <v>19</v>
      </c>
      <c r="GK85" s="1075">
        <v>40</v>
      </c>
      <c r="GL85" s="1075">
        <v>62</v>
      </c>
      <c r="GM85" s="1075">
        <v>71</v>
      </c>
      <c r="GN85" s="1075">
        <v>0</v>
      </c>
      <c r="GO85" s="1075">
        <v>4</v>
      </c>
      <c r="GP85" s="1075">
        <v>402</v>
      </c>
      <c r="GQ85" s="1076">
        <f t="shared" si="27"/>
        <v>0.31547619047619047</v>
      </c>
      <c r="GS85" s="107"/>
      <c r="GT85" s="107"/>
      <c r="GU85" s="47" t="s">
        <v>15</v>
      </c>
      <c r="GV85" s="47">
        <v>60</v>
      </c>
      <c r="GW85" s="47">
        <v>32</v>
      </c>
      <c r="GX85" s="47"/>
      <c r="GY85" s="47">
        <v>7</v>
      </c>
      <c r="GZ85" s="47">
        <v>12</v>
      </c>
      <c r="HA85" s="47">
        <v>16</v>
      </c>
      <c r="HB85" s="47">
        <v>5</v>
      </c>
      <c r="HC85" s="47"/>
      <c r="HD85" s="47">
        <v>11</v>
      </c>
      <c r="HE85" s="47">
        <v>28</v>
      </c>
      <c r="HF85" s="47">
        <v>47</v>
      </c>
      <c r="HG85" s="47">
        <v>37</v>
      </c>
      <c r="HH85" s="47"/>
      <c r="HI85" s="47">
        <v>2</v>
      </c>
      <c r="HJ85" s="47">
        <v>257</v>
      </c>
      <c r="HK85" s="1067">
        <f t="shared" si="15"/>
        <v>0.26923076923076922</v>
      </c>
      <c r="HL85" s="47"/>
      <c r="HM85" s="420"/>
      <c r="HN85" s="420"/>
      <c r="HO85" s="420" t="s">
        <v>65</v>
      </c>
      <c r="HP85" s="1068">
        <v>3</v>
      </c>
      <c r="HQ85" s="1068">
        <v>2</v>
      </c>
      <c r="HR85" s="1068" t="s">
        <v>327</v>
      </c>
      <c r="HS85" s="1068" t="s">
        <v>327</v>
      </c>
      <c r="HT85" s="1068">
        <v>0</v>
      </c>
      <c r="HU85" s="1068">
        <v>2</v>
      </c>
      <c r="HV85" s="1068">
        <v>2</v>
      </c>
      <c r="HW85" s="1068" t="s">
        <v>327</v>
      </c>
      <c r="HX85" s="1068" t="s">
        <v>327</v>
      </c>
      <c r="HY85" s="1068">
        <v>0</v>
      </c>
      <c r="HZ85" s="1068">
        <v>6</v>
      </c>
      <c r="IA85" s="1068" t="s">
        <v>327</v>
      </c>
      <c r="IB85" s="1068">
        <v>15</v>
      </c>
      <c r="IC85" s="1068">
        <f t="shared" si="16"/>
        <v>2</v>
      </c>
      <c r="ID85" s="1069">
        <f t="shared" si="17"/>
        <v>0.13333333333333333</v>
      </c>
      <c r="IE85" s="47"/>
      <c r="IF85" s="47"/>
    </row>
    <row r="86" spans="1:240" ht="15" thickBot="1">
      <c r="A86" s="41"/>
      <c r="B86" s="41" t="s">
        <v>61</v>
      </c>
      <c r="C86" s="41" t="s">
        <v>62</v>
      </c>
      <c r="D86" s="105">
        <v>56</v>
      </c>
      <c r="E86" s="105">
        <v>47</v>
      </c>
      <c r="F86" s="105"/>
      <c r="G86" s="105">
        <v>19</v>
      </c>
      <c r="H86" s="105">
        <v>51</v>
      </c>
      <c r="I86" s="105">
        <v>25</v>
      </c>
      <c r="J86" s="105">
        <v>2</v>
      </c>
      <c r="K86" s="105">
        <v>5</v>
      </c>
      <c r="L86" s="105">
        <v>1</v>
      </c>
      <c r="M86" s="105">
        <v>36</v>
      </c>
      <c r="N86" s="105">
        <v>43</v>
      </c>
      <c r="O86" s="105"/>
      <c r="P86" s="105">
        <v>64</v>
      </c>
      <c r="Q86" s="105">
        <v>0</v>
      </c>
      <c r="R86" s="105">
        <v>349</v>
      </c>
      <c r="S86" s="706">
        <f t="shared" si="18"/>
        <v>0.34097421203438394</v>
      </c>
      <c r="T86" s="5561">
        <f t="shared" si="19"/>
        <v>0</v>
      </c>
      <c r="U86" s="5562">
        <v>349</v>
      </c>
      <c r="V86" s="706"/>
      <c r="Y86" s="41" t="s">
        <v>63</v>
      </c>
      <c r="Z86" s="41">
        <v>13</v>
      </c>
      <c r="AA86" s="41">
        <v>36</v>
      </c>
      <c r="AB86" s="41"/>
      <c r="AC86" s="41">
        <v>8</v>
      </c>
      <c r="AD86" s="41">
        <v>124</v>
      </c>
      <c r="AE86" s="41">
        <v>31</v>
      </c>
      <c r="AF86" s="41">
        <v>26</v>
      </c>
      <c r="AG86" s="41"/>
      <c r="AH86" s="41">
        <v>1</v>
      </c>
      <c r="AI86" s="41">
        <v>18</v>
      </c>
      <c r="AJ86" s="41">
        <v>37</v>
      </c>
      <c r="AK86" s="41"/>
      <c r="AL86" s="41">
        <v>38</v>
      </c>
      <c r="AM86" s="41"/>
      <c r="AN86" s="461">
        <v>332</v>
      </c>
      <c r="AO86" s="4692">
        <f t="shared" si="20"/>
        <v>0.57831325301204817</v>
      </c>
      <c r="AQ86" s="1788"/>
      <c r="AR86" s="1788"/>
      <c r="AS86" s="37" t="s">
        <v>414</v>
      </c>
      <c r="AT86" s="1788">
        <v>34</v>
      </c>
      <c r="AU86" s="1788">
        <v>35</v>
      </c>
      <c r="AV86" s="1788"/>
      <c r="AW86" s="1788">
        <v>18</v>
      </c>
      <c r="AX86" s="1788">
        <v>23</v>
      </c>
      <c r="AY86" s="1788">
        <v>9</v>
      </c>
      <c r="AZ86" s="1788">
        <v>25</v>
      </c>
      <c r="BA86" s="1788">
        <v>2</v>
      </c>
      <c r="BB86" s="1788">
        <v>0</v>
      </c>
      <c r="BC86" s="1788">
        <v>34</v>
      </c>
      <c r="BD86" s="1788">
        <v>13</v>
      </c>
      <c r="BE86" s="1788"/>
      <c r="BF86" s="1788">
        <v>60</v>
      </c>
      <c r="BG86" s="1788"/>
      <c r="BH86" s="1788">
        <v>253</v>
      </c>
      <c r="BI86" s="4701">
        <f t="shared" si="21"/>
        <v>0.17786561264822134</v>
      </c>
      <c r="BK86" s="41"/>
      <c r="BL86" s="41"/>
      <c r="BM86" s="41" t="s">
        <v>63</v>
      </c>
      <c r="BN86" s="105">
        <v>25</v>
      </c>
      <c r="BO86" s="105">
        <v>37</v>
      </c>
      <c r="BP86" s="105"/>
      <c r="BQ86" s="105">
        <v>1</v>
      </c>
      <c r="BR86" s="105">
        <v>108</v>
      </c>
      <c r="BS86" s="105">
        <v>19</v>
      </c>
      <c r="BT86" s="105">
        <v>15</v>
      </c>
      <c r="BU86" s="105">
        <v>0</v>
      </c>
      <c r="BV86" s="105"/>
      <c r="BW86" s="105">
        <v>40</v>
      </c>
      <c r="BX86" s="105">
        <v>42</v>
      </c>
      <c r="BY86" s="105"/>
      <c r="BZ86" s="105">
        <v>37</v>
      </c>
      <c r="CA86" s="105"/>
      <c r="CB86" s="105">
        <v>324</v>
      </c>
      <c r="CC86" s="2484">
        <f t="shared" si="22"/>
        <v>0.52160493827160492</v>
      </c>
      <c r="CE86" s="41"/>
      <c r="CF86" s="41"/>
      <c r="CG86" s="41" t="s">
        <v>63</v>
      </c>
      <c r="CH86" s="105">
        <v>12</v>
      </c>
      <c r="CI86" s="105">
        <v>51</v>
      </c>
      <c r="CJ86" s="105"/>
      <c r="CK86" s="105">
        <v>10</v>
      </c>
      <c r="CL86" s="105">
        <v>103</v>
      </c>
      <c r="CM86" s="105">
        <v>17</v>
      </c>
      <c r="CN86" s="105">
        <v>18</v>
      </c>
      <c r="CO86" s="105">
        <v>0</v>
      </c>
      <c r="CP86" s="105"/>
      <c r="CQ86" s="105">
        <v>34</v>
      </c>
      <c r="CR86" s="105">
        <v>42</v>
      </c>
      <c r="CS86" s="105"/>
      <c r="CT86" s="105">
        <v>34</v>
      </c>
      <c r="CU86" s="105"/>
      <c r="CV86" s="105">
        <v>321</v>
      </c>
      <c r="CW86" s="1644">
        <f t="shared" si="14"/>
        <v>0.50467289719626163</v>
      </c>
      <c r="CX86" s="1976"/>
      <c r="CY86" s="41"/>
      <c r="CZ86" s="41"/>
      <c r="DA86" s="41" t="s">
        <v>63</v>
      </c>
      <c r="DB86" s="105">
        <v>17</v>
      </c>
      <c r="DC86" s="105">
        <v>32</v>
      </c>
      <c r="DD86" s="105"/>
      <c r="DE86" s="105">
        <v>9</v>
      </c>
      <c r="DF86" s="105">
        <v>82</v>
      </c>
      <c r="DG86" s="105">
        <v>12</v>
      </c>
      <c r="DH86" s="105">
        <v>4</v>
      </c>
      <c r="DI86" s="105">
        <v>6</v>
      </c>
      <c r="DJ86" s="105"/>
      <c r="DK86" s="105">
        <v>52</v>
      </c>
      <c r="DL86" s="105">
        <v>27</v>
      </c>
      <c r="DM86" s="105"/>
      <c r="DN86" s="105">
        <v>38</v>
      </c>
      <c r="DO86" s="105">
        <v>0</v>
      </c>
      <c r="DP86" s="105">
        <v>279</v>
      </c>
      <c r="DQ86" s="1644">
        <f t="shared" si="23"/>
        <v>0.43369175627240142</v>
      </c>
      <c r="DS86" s="1311"/>
      <c r="DT86" s="1311"/>
      <c r="DU86" s="1319" t="s">
        <v>414</v>
      </c>
      <c r="DV86" s="1320">
        <v>32</v>
      </c>
      <c r="DW86" s="1320">
        <v>30</v>
      </c>
      <c r="DX86" s="1321"/>
      <c r="DY86" s="1320">
        <v>7</v>
      </c>
      <c r="DZ86" s="1320">
        <v>11</v>
      </c>
      <c r="EA86" s="1320">
        <v>3</v>
      </c>
      <c r="EB86" s="1320">
        <v>2</v>
      </c>
      <c r="EC86" s="1320">
        <v>0</v>
      </c>
      <c r="ED86" s="1321"/>
      <c r="EE86" s="1320">
        <v>15</v>
      </c>
      <c r="EF86" s="1320">
        <v>5</v>
      </c>
      <c r="EG86" s="1321"/>
      <c r="EH86" s="1320">
        <v>40</v>
      </c>
      <c r="EI86" s="1320">
        <v>0</v>
      </c>
      <c r="EJ86" s="1320">
        <v>145</v>
      </c>
      <c r="EK86" s="1322">
        <f t="shared" si="24"/>
        <v>0.1310344827586207</v>
      </c>
      <c r="EM86" s="1047"/>
      <c r="EN86" s="1047"/>
      <c r="EO86" s="1060" t="s">
        <v>414</v>
      </c>
      <c r="EP86" s="1061">
        <v>31</v>
      </c>
      <c r="EQ86" s="1061">
        <v>20</v>
      </c>
      <c r="ER86" s="1047"/>
      <c r="ES86" s="1061">
        <v>10</v>
      </c>
      <c r="ET86" s="1061">
        <v>5</v>
      </c>
      <c r="EU86" s="1061">
        <v>2</v>
      </c>
      <c r="EV86" s="1061">
        <v>7</v>
      </c>
      <c r="EW86" s="1047"/>
      <c r="EX86" s="1047"/>
      <c r="EY86" s="1061">
        <v>18</v>
      </c>
      <c r="EZ86" s="1061">
        <v>1</v>
      </c>
      <c r="FA86" s="1061">
        <v>32</v>
      </c>
      <c r="FB86" s="1047"/>
      <c r="FC86" s="1061">
        <v>126</v>
      </c>
      <c r="FD86" s="537">
        <f t="shared" si="25"/>
        <v>6.3492063492063489E-2</v>
      </c>
      <c r="FF86" s="652"/>
      <c r="FG86" s="652"/>
      <c r="FH86" s="1062" t="s">
        <v>414</v>
      </c>
      <c r="FI86" s="1063">
        <v>37</v>
      </c>
      <c r="FJ86" s="1063">
        <v>13</v>
      </c>
      <c r="FK86" s="652"/>
      <c r="FL86" s="1063">
        <v>8</v>
      </c>
      <c r="FM86" s="1063">
        <v>4</v>
      </c>
      <c r="FN86" s="1063">
        <v>1</v>
      </c>
      <c r="FO86" s="1063">
        <v>7</v>
      </c>
      <c r="FP86" s="1063">
        <v>0</v>
      </c>
      <c r="FQ86" s="652"/>
      <c r="FR86" s="1063">
        <v>2</v>
      </c>
      <c r="FS86" s="1063">
        <v>0</v>
      </c>
      <c r="FT86" s="1063">
        <v>18</v>
      </c>
      <c r="FU86" s="652"/>
      <c r="FV86" s="1063">
        <v>90</v>
      </c>
      <c r="FW86" s="537">
        <f t="shared" si="26"/>
        <v>5.5555555555555552E-2</v>
      </c>
      <c r="FY86" s="817"/>
      <c r="FZ86" s="817" t="s">
        <v>64</v>
      </c>
      <c r="GA86" s="1064" t="s">
        <v>14</v>
      </c>
      <c r="GB86" s="1065">
        <v>33</v>
      </c>
      <c r="GC86" s="1065">
        <v>12</v>
      </c>
      <c r="GD86" s="1065">
        <v>0</v>
      </c>
      <c r="GE86" s="1065">
        <v>5</v>
      </c>
      <c r="GF86" s="1065">
        <v>25</v>
      </c>
      <c r="GG86" s="1065">
        <v>3</v>
      </c>
      <c r="GH86" s="1065">
        <v>6</v>
      </c>
      <c r="GI86" s="1065">
        <v>0</v>
      </c>
      <c r="GJ86" s="1065">
        <v>9</v>
      </c>
      <c r="GK86" s="1065">
        <v>14</v>
      </c>
      <c r="GL86" s="1065">
        <v>46</v>
      </c>
      <c r="GM86" s="1065">
        <v>42</v>
      </c>
      <c r="GN86" s="1065">
        <v>0</v>
      </c>
      <c r="GO86" s="1065">
        <v>1</v>
      </c>
      <c r="GP86" s="1065">
        <v>196</v>
      </c>
      <c r="GQ86" s="1066">
        <f t="shared" si="27"/>
        <v>0.28187919463087246</v>
      </c>
      <c r="GS86" s="107"/>
      <c r="GT86" s="107" t="s">
        <v>64</v>
      </c>
      <c r="GU86" s="47" t="s">
        <v>14</v>
      </c>
      <c r="GV86" s="47">
        <v>26</v>
      </c>
      <c r="GW86" s="47">
        <v>5</v>
      </c>
      <c r="GX86" s="47"/>
      <c r="GY86" s="47">
        <v>2</v>
      </c>
      <c r="GZ86" s="47">
        <v>20</v>
      </c>
      <c r="HA86" s="47">
        <v>5</v>
      </c>
      <c r="HB86" s="47">
        <v>4</v>
      </c>
      <c r="HC86" s="47"/>
      <c r="HD86" s="47">
        <v>3</v>
      </c>
      <c r="HE86" s="47">
        <v>4</v>
      </c>
      <c r="HF86" s="47">
        <v>29</v>
      </c>
      <c r="HG86" s="47">
        <v>27</v>
      </c>
      <c r="HH86" s="47"/>
      <c r="HI86" s="47">
        <v>1</v>
      </c>
      <c r="HJ86" s="47">
        <v>126</v>
      </c>
      <c r="HK86" s="1067">
        <f t="shared" si="15"/>
        <v>0.30208333333333331</v>
      </c>
      <c r="HL86" s="47"/>
      <c r="HM86" s="1091"/>
      <c r="HN86" s="1091"/>
      <c r="HO86" s="1092" t="s">
        <v>15</v>
      </c>
      <c r="HP86" s="1093">
        <v>15</v>
      </c>
      <c r="HQ86" s="1093">
        <v>6</v>
      </c>
      <c r="HR86" s="1093" t="s">
        <v>327</v>
      </c>
      <c r="HS86" s="1093">
        <v>1</v>
      </c>
      <c r="HT86" s="1093">
        <v>10</v>
      </c>
      <c r="HU86" s="1093">
        <v>7</v>
      </c>
      <c r="HV86" s="1093">
        <v>4</v>
      </c>
      <c r="HW86" s="1093" t="s">
        <v>327</v>
      </c>
      <c r="HX86" s="1093">
        <v>4</v>
      </c>
      <c r="HY86" s="1093">
        <v>4</v>
      </c>
      <c r="HZ86" s="1093">
        <v>22</v>
      </c>
      <c r="IA86" s="1093" t="s">
        <v>327</v>
      </c>
      <c r="IB86" s="1093">
        <v>73</v>
      </c>
      <c r="IC86" s="1093">
        <f t="shared" si="16"/>
        <v>21</v>
      </c>
      <c r="ID86" s="1094">
        <f t="shared" si="17"/>
        <v>0.28767123287671231</v>
      </c>
      <c r="IE86" s="47"/>
      <c r="IF86" s="47"/>
    </row>
    <row r="87" spans="1:240">
      <c r="A87" s="41"/>
      <c r="B87" s="41"/>
      <c r="C87" s="41" t="s">
        <v>414</v>
      </c>
      <c r="D87" s="105">
        <v>68</v>
      </c>
      <c r="E87" s="105">
        <v>41</v>
      </c>
      <c r="F87" s="105"/>
      <c r="G87" s="105">
        <v>16</v>
      </c>
      <c r="H87" s="105">
        <v>23</v>
      </c>
      <c r="I87" s="105">
        <v>10</v>
      </c>
      <c r="J87" s="105">
        <v>1</v>
      </c>
      <c r="K87" s="105">
        <v>0</v>
      </c>
      <c r="L87" s="105">
        <v>0</v>
      </c>
      <c r="M87" s="105">
        <v>29</v>
      </c>
      <c r="N87" s="105">
        <v>14</v>
      </c>
      <c r="O87" s="105"/>
      <c r="P87" s="105">
        <v>70</v>
      </c>
      <c r="Q87" s="105">
        <v>0</v>
      </c>
      <c r="R87" s="105">
        <v>272</v>
      </c>
      <c r="S87" s="706">
        <f t="shared" si="18"/>
        <v>0.17279411764705882</v>
      </c>
      <c r="T87" s="5561">
        <f t="shared" si="19"/>
        <v>0</v>
      </c>
      <c r="U87" s="5562">
        <v>272</v>
      </c>
      <c r="V87" s="706"/>
      <c r="Y87" s="41" t="s">
        <v>15</v>
      </c>
      <c r="Z87" s="41">
        <v>58</v>
      </c>
      <c r="AA87" s="41">
        <v>89</v>
      </c>
      <c r="AB87" s="41"/>
      <c r="AC87" s="41">
        <v>34</v>
      </c>
      <c r="AD87" s="41">
        <v>226</v>
      </c>
      <c r="AE87" s="41">
        <v>57</v>
      </c>
      <c r="AF87" s="41">
        <v>100</v>
      </c>
      <c r="AG87" s="41"/>
      <c r="AH87" s="41">
        <v>1</v>
      </c>
      <c r="AI87" s="41">
        <v>41</v>
      </c>
      <c r="AJ87" s="41">
        <v>97</v>
      </c>
      <c r="AK87" s="41"/>
      <c r="AL87" s="41">
        <v>146</v>
      </c>
      <c r="AM87" s="41"/>
      <c r="AN87" s="461">
        <v>849</v>
      </c>
      <c r="AO87" s="4692">
        <f t="shared" si="20"/>
        <v>0.44758539458186103</v>
      </c>
      <c r="AQ87" s="1788"/>
      <c r="AR87" s="1788"/>
      <c r="AS87" s="37" t="s">
        <v>63</v>
      </c>
      <c r="AT87" s="1788">
        <v>30</v>
      </c>
      <c r="AU87" s="1788">
        <v>49</v>
      </c>
      <c r="AV87" s="1788"/>
      <c r="AW87" s="1788">
        <v>7</v>
      </c>
      <c r="AX87" s="1788">
        <v>86</v>
      </c>
      <c r="AY87" s="1788">
        <v>27</v>
      </c>
      <c r="AZ87" s="1788">
        <v>10</v>
      </c>
      <c r="BA87" s="1788">
        <v>2</v>
      </c>
      <c r="BB87" s="1788">
        <v>1</v>
      </c>
      <c r="BC87" s="1788">
        <v>52</v>
      </c>
      <c r="BD87" s="1788">
        <v>61</v>
      </c>
      <c r="BE87" s="1788"/>
      <c r="BF87" s="1788">
        <v>39</v>
      </c>
      <c r="BG87" s="1788"/>
      <c r="BH87" s="1788">
        <v>364</v>
      </c>
      <c r="BI87" s="4701">
        <f t="shared" si="21"/>
        <v>0.47802197802197804</v>
      </c>
      <c r="BK87" s="41"/>
      <c r="BL87" s="41"/>
      <c r="BM87" s="461" t="s">
        <v>548</v>
      </c>
      <c r="BN87" s="2473">
        <v>96</v>
      </c>
      <c r="BO87" s="2473">
        <v>84</v>
      </c>
      <c r="BP87" s="2473"/>
      <c r="BQ87" s="2473">
        <v>5</v>
      </c>
      <c r="BR87" s="2473">
        <v>184</v>
      </c>
      <c r="BS87" s="2473">
        <v>43</v>
      </c>
      <c r="BT87" s="2473">
        <v>56</v>
      </c>
      <c r="BU87" s="2473">
        <v>3</v>
      </c>
      <c r="BV87" s="2473"/>
      <c r="BW87" s="2473">
        <v>97</v>
      </c>
      <c r="BX87" s="2473">
        <v>91</v>
      </c>
      <c r="BY87" s="2473"/>
      <c r="BZ87" s="2473">
        <v>159</v>
      </c>
      <c r="CA87" s="2473"/>
      <c r="CB87" s="2473">
        <v>818</v>
      </c>
      <c r="CC87" s="2484">
        <f t="shared" si="22"/>
        <v>0.38875305623471884</v>
      </c>
      <c r="CE87" s="41"/>
      <c r="CF87" s="41"/>
      <c r="CG87" s="461" t="s">
        <v>548</v>
      </c>
      <c r="CH87" s="96">
        <v>66</v>
      </c>
      <c r="CI87" s="96">
        <v>143</v>
      </c>
      <c r="CJ87" s="96"/>
      <c r="CK87" s="96">
        <v>32</v>
      </c>
      <c r="CL87" s="96">
        <v>182</v>
      </c>
      <c r="CM87" s="96">
        <v>42</v>
      </c>
      <c r="CN87" s="96">
        <v>61</v>
      </c>
      <c r="CO87" s="96">
        <v>2</v>
      </c>
      <c r="CP87" s="96"/>
      <c r="CQ87" s="96">
        <v>70</v>
      </c>
      <c r="CR87" s="96">
        <v>77</v>
      </c>
      <c r="CS87" s="96"/>
      <c r="CT87" s="96">
        <v>147</v>
      </c>
      <c r="CU87" s="96"/>
      <c r="CV87" s="96">
        <v>822</v>
      </c>
      <c r="CW87" s="635">
        <f t="shared" si="14"/>
        <v>0.36618004866180048</v>
      </c>
      <c r="CX87" s="1977"/>
      <c r="CY87" s="41"/>
      <c r="CZ87" s="41"/>
      <c r="DA87" s="461" t="s">
        <v>548</v>
      </c>
      <c r="DB87" s="96">
        <v>66</v>
      </c>
      <c r="DC87" s="96">
        <v>102</v>
      </c>
      <c r="DD87" s="96"/>
      <c r="DE87" s="96">
        <v>24</v>
      </c>
      <c r="DF87" s="96">
        <v>163</v>
      </c>
      <c r="DG87" s="96">
        <v>29</v>
      </c>
      <c r="DH87" s="96">
        <v>16</v>
      </c>
      <c r="DI87" s="96">
        <v>13</v>
      </c>
      <c r="DJ87" s="96"/>
      <c r="DK87" s="96">
        <v>128</v>
      </c>
      <c r="DL87" s="96">
        <v>46</v>
      </c>
      <c r="DM87" s="96"/>
      <c r="DN87" s="96">
        <v>148</v>
      </c>
      <c r="DO87" s="96">
        <v>1</v>
      </c>
      <c r="DP87" s="96">
        <v>736</v>
      </c>
      <c r="DQ87" s="635">
        <f t="shared" si="23"/>
        <v>0.32380952380952382</v>
      </c>
      <c r="DS87" s="1311"/>
      <c r="DT87" s="1311"/>
      <c r="DU87" s="1319" t="s">
        <v>63</v>
      </c>
      <c r="DV87" s="1320">
        <v>21</v>
      </c>
      <c r="DW87" s="1320">
        <v>35</v>
      </c>
      <c r="DX87" s="1321"/>
      <c r="DY87" s="1320">
        <v>7</v>
      </c>
      <c r="DZ87" s="1320">
        <v>73</v>
      </c>
      <c r="EA87" s="1320">
        <v>6</v>
      </c>
      <c r="EB87" s="1320">
        <v>3</v>
      </c>
      <c r="EC87" s="1320">
        <v>1</v>
      </c>
      <c r="ED87" s="1321"/>
      <c r="EE87" s="1320">
        <v>34</v>
      </c>
      <c r="EF87" s="1320">
        <v>18</v>
      </c>
      <c r="EG87" s="1321"/>
      <c r="EH87" s="1320">
        <v>33</v>
      </c>
      <c r="EI87" s="1320">
        <v>0</v>
      </c>
      <c r="EJ87" s="1320">
        <v>231</v>
      </c>
      <c r="EK87" s="1322">
        <f t="shared" si="24"/>
        <v>0.41991341991341991</v>
      </c>
      <c r="EM87" s="1047"/>
      <c r="EN87" s="1047"/>
      <c r="EO87" s="1060" t="s">
        <v>63</v>
      </c>
      <c r="EP87" s="1061">
        <v>12</v>
      </c>
      <c r="EQ87" s="1061">
        <v>25</v>
      </c>
      <c r="ER87" s="1047"/>
      <c r="ES87" s="1061">
        <v>6</v>
      </c>
      <c r="ET87" s="1061">
        <v>49</v>
      </c>
      <c r="EU87" s="1061">
        <v>6</v>
      </c>
      <c r="EV87" s="1061">
        <v>4</v>
      </c>
      <c r="EW87" s="1047"/>
      <c r="EX87" s="1047"/>
      <c r="EY87" s="1061">
        <v>29</v>
      </c>
      <c r="EZ87" s="1061">
        <v>25</v>
      </c>
      <c r="FA87" s="1061">
        <v>30</v>
      </c>
      <c r="FB87" s="1047"/>
      <c r="FC87" s="1061">
        <v>186</v>
      </c>
      <c r="FD87" s="537">
        <f t="shared" si="25"/>
        <v>0.43010752688172044</v>
      </c>
      <c r="FF87" s="652"/>
      <c r="FG87" s="652"/>
      <c r="FH87" s="1062" t="s">
        <v>63</v>
      </c>
      <c r="FI87" s="1063">
        <v>24</v>
      </c>
      <c r="FJ87" s="1063">
        <v>22</v>
      </c>
      <c r="FK87" s="652"/>
      <c r="FL87" s="1063">
        <v>6</v>
      </c>
      <c r="FM87" s="1063">
        <v>35</v>
      </c>
      <c r="FN87" s="1063">
        <v>7</v>
      </c>
      <c r="FO87" s="1063">
        <v>4</v>
      </c>
      <c r="FP87" s="1063">
        <v>4</v>
      </c>
      <c r="FQ87" s="652"/>
      <c r="FR87" s="1063">
        <v>5</v>
      </c>
      <c r="FS87" s="1063">
        <v>15</v>
      </c>
      <c r="FT87" s="1063">
        <v>21</v>
      </c>
      <c r="FU87" s="652"/>
      <c r="FV87" s="1063">
        <v>143</v>
      </c>
      <c r="FW87" s="537">
        <f t="shared" si="26"/>
        <v>0.39860139860139859</v>
      </c>
      <c r="FY87" s="817"/>
      <c r="FZ87" s="817"/>
      <c r="GA87" s="1064" t="s">
        <v>65</v>
      </c>
      <c r="GB87" s="1065">
        <v>21</v>
      </c>
      <c r="GC87" s="1065">
        <v>2</v>
      </c>
      <c r="GD87" s="1065">
        <v>0</v>
      </c>
      <c r="GE87" s="1065">
        <v>3</v>
      </c>
      <c r="GF87" s="1065">
        <v>3</v>
      </c>
      <c r="GG87" s="1065">
        <v>3</v>
      </c>
      <c r="GH87" s="1065">
        <v>5</v>
      </c>
      <c r="GI87" s="1065">
        <v>0</v>
      </c>
      <c r="GJ87" s="1065">
        <v>1</v>
      </c>
      <c r="GK87" s="1065">
        <v>1</v>
      </c>
      <c r="GL87" s="1065">
        <v>18</v>
      </c>
      <c r="GM87" s="1065">
        <v>23</v>
      </c>
      <c r="GN87" s="1065">
        <v>0</v>
      </c>
      <c r="GO87" s="1065">
        <v>0</v>
      </c>
      <c r="GP87" s="1065">
        <v>80</v>
      </c>
      <c r="GQ87" s="1066">
        <f t="shared" si="27"/>
        <v>0.11290322580645161</v>
      </c>
      <c r="GS87" s="107"/>
      <c r="GT87" s="107"/>
      <c r="GU87" s="47" t="s">
        <v>65</v>
      </c>
      <c r="GV87" s="47">
        <v>12</v>
      </c>
      <c r="GW87" s="47">
        <v>1</v>
      </c>
      <c r="GX87" s="47"/>
      <c r="GY87" s="47">
        <v>0</v>
      </c>
      <c r="GZ87" s="47">
        <v>2</v>
      </c>
      <c r="HA87" s="47">
        <v>0</v>
      </c>
      <c r="HB87" s="47">
        <v>3</v>
      </c>
      <c r="HC87" s="47"/>
      <c r="HD87" s="47">
        <v>1</v>
      </c>
      <c r="HE87" s="47">
        <v>1</v>
      </c>
      <c r="HF87" s="47">
        <v>14</v>
      </c>
      <c r="HG87" s="47">
        <v>13</v>
      </c>
      <c r="HH87" s="47"/>
      <c r="HI87" s="47">
        <v>0</v>
      </c>
      <c r="HJ87" s="47">
        <v>47</v>
      </c>
      <c r="HK87" s="1067">
        <f t="shared" si="15"/>
        <v>9.0909090909090912E-2</v>
      </c>
      <c r="HL87" s="47"/>
      <c r="HM87" s="420"/>
      <c r="HN87" s="420"/>
      <c r="HO87" s="420"/>
      <c r="HP87" s="420"/>
      <c r="HQ87" s="420"/>
      <c r="HR87" s="420"/>
      <c r="HS87" s="420"/>
      <c r="HT87" s="420"/>
      <c r="HU87" s="420"/>
      <c r="HV87" s="420"/>
      <c r="HW87" s="420"/>
      <c r="HX87" s="420"/>
      <c r="HY87" s="420"/>
      <c r="HZ87" s="420"/>
      <c r="IA87" s="420"/>
      <c r="IB87" s="420"/>
      <c r="IC87" s="420"/>
      <c r="ID87" s="420"/>
      <c r="IE87" s="47"/>
      <c r="IF87" s="47"/>
    </row>
    <row r="88" spans="1:240">
      <c r="A88" s="41"/>
      <c r="B88" s="41"/>
      <c r="C88" s="41" t="s">
        <v>63</v>
      </c>
      <c r="D88" s="105">
        <v>46</v>
      </c>
      <c r="E88" s="105">
        <v>68</v>
      </c>
      <c r="F88" s="105"/>
      <c r="G88" s="105">
        <v>10</v>
      </c>
      <c r="H88" s="105">
        <v>81</v>
      </c>
      <c r="I88" s="105">
        <v>51</v>
      </c>
      <c r="J88" s="105">
        <v>0</v>
      </c>
      <c r="K88" s="105">
        <v>5</v>
      </c>
      <c r="L88" s="105">
        <v>1</v>
      </c>
      <c r="M88" s="105">
        <v>40</v>
      </c>
      <c r="N88" s="105">
        <v>68</v>
      </c>
      <c r="O88" s="105"/>
      <c r="P88" s="105">
        <v>49</v>
      </c>
      <c r="Q88" s="105">
        <v>1</v>
      </c>
      <c r="R88" s="105">
        <v>420</v>
      </c>
      <c r="S88" s="706">
        <f t="shared" si="18"/>
        <v>0.47732696897374699</v>
      </c>
      <c r="T88" s="5561">
        <f t="shared" si="19"/>
        <v>0</v>
      </c>
      <c r="U88" s="5562">
        <v>420</v>
      </c>
      <c r="V88" s="706"/>
      <c r="X88" s="107" t="s">
        <v>64</v>
      </c>
      <c r="Y88" s="41" t="s">
        <v>14</v>
      </c>
      <c r="Z88" s="41">
        <v>37</v>
      </c>
      <c r="AA88" s="41">
        <v>20</v>
      </c>
      <c r="AB88" s="41"/>
      <c r="AC88" s="41">
        <v>17</v>
      </c>
      <c r="AD88" s="41">
        <v>57</v>
      </c>
      <c r="AE88" s="41">
        <v>15</v>
      </c>
      <c r="AF88" s="41">
        <v>34</v>
      </c>
      <c r="AG88" s="41">
        <v>0</v>
      </c>
      <c r="AH88" s="41"/>
      <c r="AI88" s="41">
        <v>7</v>
      </c>
      <c r="AJ88" s="41">
        <v>12</v>
      </c>
      <c r="AK88" s="41"/>
      <c r="AL88" s="41">
        <v>53</v>
      </c>
      <c r="AM88" s="41"/>
      <c r="AN88" s="461">
        <v>252</v>
      </c>
      <c r="AO88" s="4692">
        <f t="shared" si="20"/>
        <v>0.33333333333333331</v>
      </c>
      <c r="AQ88" s="1788"/>
      <c r="AR88" s="1788"/>
      <c r="AS88" s="1793" t="s">
        <v>548</v>
      </c>
      <c r="AT88" s="4702">
        <v>107</v>
      </c>
      <c r="AU88" s="4702">
        <v>113</v>
      </c>
      <c r="AV88" s="4702"/>
      <c r="AW88" s="4702">
        <v>38</v>
      </c>
      <c r="AX88" s="4702">
        <v>152</v>
      </c>
      <c r="AY88" s="4702">
        <v>61</v>
      </c>
      <c r="AZ88" s="4702">
        <v>50</v>
      </c>
      <c r="BA88" s="4702">
        <v>12</v>
      </c>
      <c r="BB88" s="4702">
        <v>1</v>
      </c>
      <c r="BC88" s="4702">
        <v>114</v>
      </c>
      <c r="BD88" s="4702">
        <v>108</v>
      </c>
      <c r="BE88" s="4702"/>
      <c r="BF88" s="4702">
        <v>154</v>
      </c>
      <c r="BG88" s="4702"/>
      <c r="BH88" s="4702">
        <v>910</v>
      </c>
      <c r="BI88" s="4703">
        <f t="shared" si="21"/>
        <v>0.35274725274725277</v>
      </c>
      <c r="BK88" s="41"/>
      <c r="BL88" s="41" t="s">
        <v>64</v>
      </c>
      <c r="BM88" s="41" t="s">
        <v>14</v>
      </c>
      <c r="BN88" s="105">
        <v>54</v>
      </c>
      <c r="BO88" s="105">
        <v>23</v>
      </c>
      <c r="BP88" s="105">
        <v>0</v>
      </c>
      <c r="BQ88" s="105">
        <v>1</v>
      </c>
      <c r="BR88" s="105">
        <v>37</v>
      </c>
      <c r="BS88" s="105">
        <v>16</v>
      </c>
      <c r="BT88" s="105">
        <v>27</v>
      </c>
      <c r="BU88" s="105">
        <v>0</v>
      </c>
      <c r="BV88" s="105"/>
      <c r="BW88" s="105">
        <v>9</v>
      </c>
      <c r="BX88" s="105">
        <v>20</v>
      </c>
      <c r="BY88" s="105"/>
      <c r="BZ88" s="105">
        <v>50</v>
      </c>
      <c r="CA88" s="105"/>
      <c r="CB88" s="105">
        <v>237</v>
      </c>
      <c r="CC88" s="2484">
        <f t="shared" si="22"/>
        <v>0.30801687763713081</v>
      </c>
      <c r="CE88" s="41"/>
      <c r="CF88" s="41" t="s">
        <v>64</v>
      </c>
      <c r="CG88" s="41" t="s">
        <v>14</v>
      </c>
      <c r="CH88" s="105">
        <v>34</v>
      </c>
      <c r="CI88" s="105">
        <v>29</v>
      </c>
      <c r="CJ88" s="105"/>
      <c r="CK88" s="105">
        <v>13</v>
      </c>
      <c r="CL88" s="105">
        <v>43</v>
      </c>
      <c r="CM88" s="105">
        <v>7</v>
      </c>
      <c r="CN88" s="105">
        <v>21</v>
      </c>
      <c r="CO88" s="105">
        <v>1</v>
      </c>
      <c r="CP88" s="105"/>
      <c r="CQ88" s="105">
        <v>16</v>
      </c>
      <c r="CR88" s="105">
        <v>10</v>
      </c>
      <c r="CS88" s="105"/>
      <c r="CT88" s="105">
        <v>51</v>
      </c>
      <c r="CU88" s="105"/>
      <c r="CV88" s="105">
        <v>225</v>
      </c>
      <c r="CW88" s="1644">
        <f t="shared" si="14"/>
        <v>0.26666666666666666</v>
      </c>
      <c r="CX88" s="1976"/>
      <c r="CY88" s="41"/>
      <c r="CZ88" s="41" t="s">
        <v>64</v>
      </c>
      <c r="DA88" s="41" t="s">
        <v>14</v>
      </c>
      <c r="DB88" s="105">
        <v>19</v>
      </c>
      <c r="DC88" s="105">
        <v>28</v>
      </c>
      <c r="DD88" s="105"/>
      <c r="DE88" s="105">
        <v>10</v>
      </c>
      <c r="DF88" s="105">
        <v>44</v>
      </c>
      <c r="DG88" s="105">
        <v>10</v>
      </c>
      <c r="DH88" s="105">
        <v>10</v>
      </c>
      <c r="DI88" s="105">
        <v>0</v>
      </c>
      <c r="DJ88" s="105"/>
      <c r="DK88" s="105">
        <v>25</v>
      </c>
      <c r="DL88" s="105">
        <v>8</v>
      </c>
      <c r="DM88" s="105"/>
      <c r="DN88" s="105">
        <v>51</v>
      </c>
      <c r="DO88" s="105">
        <v>1</v>
      </c>
      <c r="DP88" s="105">
        <v>206</v>
      </c>
      <c r="DQ88" s="1644">
        <f t="shared" si="23"/>
        <v>0.30243902439024389</v>
      </c>
      <c r="DS88" s="1311"/>
      <c r="DT88" s="1311"/>
      <c r="DU88" s="1313" t="s">
        <v>548</v>
      </c>
      <c r="DV88" s="1323">
        <v>86</v>
      </c>
      <c r="DW88" s="1323">
        <v>105</v>
      </c>
      <c r="DX88" s="1324"/>
      <c r="DY88" s="1323">
        <v>20</v>
      </c>
      <c r="DZ88" s="1323">
        <v>150</v>
      </c>
      <c r="EA88" s="1323">
        <v>19</v>
      </c>
      <c r="EB88" s="1323">
        <v>22</v>
      </c>
      <c r="EC88" s="1323">
        <v>1</v>
      </c>
      <c r="ED88" s="1324"/>
      <c r="EE88" s="1323">
        <v>71</v>
      </c>
      <c r="EF88" s="1323">
        <v>39</v>
      </c>
      <c r="EG88" s="1324"/>
      <c r="EH88" s="1323">
        <v>134</v>
      </c>
      <c r="EI88" s="1323">
        <v>1</v>
      </c>
      <c r="EJ88" s="1323">
        <v>648</v>
      </c>
      <c r="EK88" s="1325">
        <f t="shared" si="24"/>
        <v>0.321483771251932</v>
      </c>
      <c r="EM88" s="1047"/>
      <c r="EN88" s="1047"/>
      <c r="EO88" s="1070" t="s">
        <v>548</v>
      </c>
      <c r="EP88" s="1071">
        <v>71</v>
      </c>
      <c r="EQ88" s="1071">
        <v>69</v>
      </c>
      <c r="ER88" s="1072"/>
      <c r="ES88" s="1071">
        <v>26</v>
      </c>
      <c r="ET88" s="1071">
        <v>112</v>
      </c>
      <c r="EU88" s="1071">
        <v>15</v>
      </c>
      <c r="EV88" s="1071">
        <v>12</v>
      </c>
      <c r="EW88" s="1072"/>
      <c r="EX88" s="1071"/>
      <c r="EY88" s="1071">
        <v>82</v>
      </c>
      <c r="EZ88" s="1071">
        <v>40</v>
      </c>
      <c r="FA88" s="1071">
        <v>135</v>
      </c>
      <c r="FB88" s="1071"/>
      <c r="FC88" s="1071">
        <v>562</v>
      </c>
      <c r="FD88" s="1073">
        <f t="shared" si="25"/>
        <v>0.29715302491103202</v>
      </c>
      <c r="FF88" s="652"/>
      <c r="FG88" s="652"/>
      <c r="FH88" s="813" t="s">
        <v>548</v>
      </c>
      <c r="FI88" s="1074">
        <v>101</v>
      </c>
      <c r="FJ88" s="1074">
        <v>61</v>
      </c>
      <c r="FK88" s="816"/>
      <c r="FL88" s="1074">
        <v>24</v>
      </c>
      <c r="FM88" s="1074">
        <v>81</v>
      </c>
      <c r="FN88" s="1074">
        <v>19</v>
      </c>
      <c r="FO88" s="1074">
        <v>11</v>
      </c>
      <c r="FP88" s="1074">
        <v>4</v>
      </c>
      <c r="FQ88" s="816"/>
      <c r="FR88" s="1074">
        <v>19</v>
      </c>
      <c r="FS88" s="1074">
        <v>30</v>
      </c>
      <c r="FT88" s="1074">
        <v>91</v>
      </c>
      <c r="FU88" s="816"/>
      <c r="FV88" s="1074">
        <v>441</v>
      </c>
      <c r="FW88" s="526">
        <f t="shared" si="26"/>
        <v>0.29478458049886619</v>
      </c>
      <c r="FY88" s="817"/>
      <c r="FZ88" s="817"/>
      <c r="GA88" s="1064" t="s">
        <v>415</v>
      </c>
      <c r="GB88" s="1065">
        <v>11</v>
      </c>
      <c r="GC88" s="1065">
        <v>5</v>
      </c>
      <c r="GD88" s="1065">
        <v>0</v>
      </c>
      <c r="GE88" s="1065">
        <v>2</v>
      </c>
      <c r="GF88" s="1065">
        <v>0</v>
      </c>
      <c r="GG88" s="1065">
        <v>0</v>
      </c>
      <c r="GH88" s="1065">
        <v>0</v>
      </c>
      <c r="GI88" s="1065">
        <v>0</v>
      </c>
      <c r="GJ88" s="1065">
        <v>1</v>
      </c>
      <c r="GK88" s="1065">
        <v>1</v>
      </c>
      <c r="GL88" s="1065">
        <v>6</v>
      </c>
      <c r="GM88" s="1065">
        <v>4</v>
      </c>
      <c r="GN88" s="1065">
        <v>0</v>
      </c>
      <c r="GO88" s="1065">
        <v>0</v>
      </c>
      <c r="GP88" s="1065">
        <v>30</v>
      </c>
      <c r="GQ88" s="1066">
        <f t="shared" si="27"/>
        <v>4.1666666666666664E-2</v>
      </c>
      <c r="GS88" s="107"/>
      <c r="GT88" s="107"/>
      <c r="GU88" s="47" t="s">
        <v>415</v>
      </c>
      <c r="GV88" s="47">
        <v>3</v>
      </c>
      <c r="GW88" s="47">
        <v>1</v>
      </c>
      <c r="GX88" s="47"/>
      <c r="GY88" s="47">
        <v>0</v>
      </c>
      <c r="GZ88" s="47">
        <v>0</v>
      </c>
      <c r="HA88" s="47">
        <v>0</v>
      </c>
      <c r="HB88" s="47">
        <v>0</v>
      </c>
      <c r="HC88" s="47"/>
      <c r="HD88" s="47">
        <v>0</v>
      </c>
      <c r="HE88" s="47">
        <v>0</v>
      </c>
      <c r="HF88" s="47">
        <v>0</v>
      </c>
      <c r="HG88" s="47">
        <v>0</v>
      </c>
      <c r="HH88" s="47"/>
      <c r="HI88" s="47">
        <v>0</v>
      </c>
      <c r="HJ88" s="47">
        <v>4</v>
      </c>
      <c r="HK88" s="1067">
        <f t="shared" si="15"/>
        <v>0</v>
      </c>
      <c r="HL88" s="47"/>
      <c r="HM88" s="420"/>
      <c r="HN88" s="420"/>
      <c r="HO88" s="420"/>
      <c r="HP88" s="420"/>
      <c r="HQ88" s="420"/>
      <c r="HR88" s="420"/>
      <c r="HS88" s="420"/>
      <c r="HT88" s="420"/>
      <c r="HU88" s="420"/>
      <c r="HV88" s="420"/>
      <c r="HW88" s="420"/>
      <c r="HX88" s="420"/>
      <c r="HY88" s="420"/>
      <c r="HZ88" s="420"/>
      <c r="IA88" s="420"/>
      <c r="IB88" s="420"/>
      <c r="IC88" s="420"/>
      <c r="ID88" s="420"/>
      <c r="IE88" s="47"/>
      <c r="IF88" s="47"/>
    </row>
    <row r="89" spans="1:240">
      <c r="A89" s="41"/>
      <c r="B89" s="41"/>
      <c r="C89" s="461" t="s">
        <v>548</v>
      </c>
      <c r="D89" s="5556">
        <v>170</v>
      </c>
      <c r="E89" s="5556">
        <v>156</v>
      </c>
      <c r="F89" s="5556"/>
      <c r="G89" s="5556">
        <v>45</v>
      </c>
      <c r="H89" s="5556">
        <v>155</v>
      </c>
      <c r="I89" s="5556">
        <v>86</v>
      </c>
      <c r="J89" s="5556">
        <v>3</v>
      </c>
      <c r="K89" s="5556">
        <v>10</v>
      </c>
      <c r="L89" s="5556">
        <v>2</v>
      </c>
      <c r="M89" s="5556">
        <v>105</v>
      </c>
      <c r="N89" s="5556">
        <v>125</v>
      </c>
      <c r="O89" s="5556"/>
      <c r="P89" s="5556">
        <v>183</v>
      </c>
      <c r="Q89" s="5556">
        <v>1</v>
      </c>
      <c r="R89" s="5556">
        <v>1041</v>
      </c>
      <c r="S89" s="706">
        <f t="shared" si="18"/>
        <v>0.35192307692307695</v>
      </c>
      <c r="T89" s="5561"/>
      <c r="U89" s="5562"/>
      <c r="V89" s="706"/>
      <c r="Y89" s="41" t="s">
        <v>65</v>
      </c>
      <c r="Z89" s="41">
        <v>19</v>
      </c>
      <c r="AA89" s="41">
        <v>15</v>
      </c>
      <c r="AB89" s="41"/>
      <c r="AC89" s="41">
        <v>15</v>
      </c>
      <c r="AD89" s="41">
        <v>29</v>
      </c>
      <c r="AE89" s="41">
        <v>9</v>
      </c>
      <c r="AF89" s="41">
        <v>22</v>
      </c>
      <c r="AG89" s="41">
        <v>0</v>
      </c>
      <c r="AH89" s="41"/>
      <c r="AI89" s="41">
        <v>5</v>
      </c>
      <c r="AJ89" s="41">
        <v>8</v>
      </c>
      <c r="AK89" s="41"/>
      <c r="AL89" s="41">
        <v>37</v>
      </c>
      <c r="AM89" s="41"/>
      <c r="AN89" s="461">
        <v>159</v>
      </c>
      <c r="AO89" s="4692">
        <f t="shared" si="20"/>
        <v>0.28930817610062892</v>
      </c>
      <c r="AQ89" s="1788"/>
      <c r="AR89" s="1788" t="s">
        <v>64</v>
      </c>
      <c r="AS89" s="37" t="s">
        <v>14</v>
      </c>
      <c r="AT89" s="1788">
        <v>45</v>
      </c>
      <c r="AU89" s="1788">
        <v>30</v>
      </c>
      <c r="AV89" s="1788">
        <v>0</v>
      </c>
      <c r="AW89" s="1788">
        <v>21</v>
      </c>
      <c r="AX89" s="1788">
        <v>29</v>
      </c>
      <c r="AY89" s="1788">
        <v>23</v>
      </c>
      <c r="AZ89" s="1788">
        <v>13</v>
      </c>
      <c r="BA89" s="1788">
        <v>0</v>
      </c>
      <c r="BB89" s="1788"/>
      <c r="BC89" s="1788">
        <v>28</v>
      </c>
      <c r="BD89" s="1788">
        <v>12</v>
      </c>
      <c r="BE89" s="1788"/>
      <c r="BF89" s="1788">
        <v>54</v>
      </c>
      <c r="BG89" s="1788"/>
      <c r="BH89" s="1788">
        <v>255</v>
      </c>
      <c r="BI89" s="4701">
        <f t="shared" si="21"/>
        <v>0.25098039215686274</v>
      </c>
      <c r="BK89" s="41"/>
      <c r="BL89" s="41"/>
      <c r="BM89" s="41" t="s">
        <v>65</v>
      </c>
      <c r="BN89" s="105">
        <v>26</v>
      </c>
      <c r="BO89" s="105">
        <v>20</v>
      </c>
      <c r="BP89" s="105">
        <v>0</v>
      </c>
      <c r="BQ89" s="105">
        <v>2</v>
      </c>
      <c r="BR89" s="105">
        <v>18</v>
      </c>
      <c r="BS89" s="105">
        <v>14</v>
      </c>
      <c r="BT89" s="105">
        <v>18</v>
      </c>
      <c r="BU89" s="105">
        <v>0</v>
      </c>
      <c r="BV89" s="105"/>
      <c r="BW89" s="105">
        <v>13</v>
      </c>
      <c r="BX89" s="105">
        <v>4</v>
      </c>
      <c r="BY89" s="105"/>
      <c r="BZ89" s="105">
        <v>31</v>
      </c>
      <c r="CA89" s="105"/>
      <c r="CB89" s="105">
        <v>146</v>
      </c>
      <c r="CC89" s="2484">
        <f t="shared" si="22"/>
        <v>0.24657534246575341</v>
      </c>
      <c r="CE89" s="41"/>
      <c r="CF89" s="41"/>
      <c r="CG89" s="41" t="s">
        <v>65</v>
      </c>
      <c r="CH89" s="105">
        <v>8</v>
      </c>
      <c r="CI89" s="105">
        <v>25</v>
      </c>
      <c r="CJ89" s="105"/>
      <c r="CK89" s="105">
        <v>14</v>
      </c>
      <c r="CL89" s="105">
        <v>16</v>
      </c>
      <c r="CM89" s="105">
        <v>10</v>
      </c>
      <c r="CN89" s="105">
        <v>10</v>
      </c>
      <c r="CO89" s="105">
        <v>0</v>
      </c>
      <c r="CP89" s="105"/>
      <c r="CQ89" s="105">
        <v>23</v>
      </c>
      <c r="CR89" s="105">
        <v>6</v>
      </c>
      <c r="CS89" s="105"/>
      <c r="CT89" s="105">
        <v>34</v>
      </c>
      <c r="CU89" s="105"/>
      <c r="CV89" s="105">
        <v>146</v>
      </c>
      <c r="CW89" s="1644">
        <f t="shared" si="14"/>
        <v>0.21917808219178081</v>
      </c>
      <c r="CX89" s="1976"/>
      <c r="CY89" s="41"/>
      <c r="CZ89" s="41"/>
      <c r="DA89" s="41" t="s">
        <v>65</v>
      </c>
      <c r="DB89" s="105">
        <v>6</v>
      </c>
      <c r="DC89" s="105">
        <v>22</v>
      </c>
      <c r="DD89" s="105"/>
      <c r="DE89" s="105">
        <v>13</v>
      </c>
      <c r="DF89" s="105">
        <v>13</v>
      </c>
      <c r="DG89" s="105">
        <v>7</v>
      </c>
      <c r="DH89" s="105">
        <v>8</v>
      </c>
      <c r="DI89" s="105">
        <v>1</v>
      </c>
      <c r="DJ89" s="105"/>
      <c r="DK89" s="105">
        <v>27</v>
      </c>
      <c r="DL89" s="105">
        <v>3</v>
      </c>
      <c r="DM89" s="105"/>
      <c r="DN89" s="105">
        <v>28</v>
      </c>
      <c r="DO89" s="105">
        <v>0</v>
      </c>
      <c r="DP89" s="105">
        <v>128</v>
      </c>
      <c r="DQ89" s="1644">
        <f t="shared" si="23"/>
        <v>0.1796875</v>
      </c>
      <c r="DS89" s="1311"/>
      <c r="DT89" s="1311" t="s">
        <v>64</v>
      </c>
      <c r="DU89" s="1319" t="s">
        <v>14</v>
      </c>
      <c r="DV89" s="1320">
        <v>17</v>
      </c>
      <c r="DW89" s="1320">
        <v>29</v>
      </c>
      <c r="DX89" s="1321"/>
      <c r="DY89" s="1320">
        <v>8</v>
      </c>
      <c r="DZ89" s="1320">
        <v>56</v>
      </c>
      <c r="EA89" s="1320">
        <v>6</v>
      </c>
      <c r="EB89" s="1320">
        <v>13</v>
      </c>
      <c r="EC89" s="1320">
        <v>3</v>
      </c>
      <c r="ED89" s="1321"/>
      <c r="EE89" s="1320">
        <v>17</v>
      </c>
      <c r="EF89" s="1320">
        <v>9</v>
      </c>
      <c r="EG89" s="1321"/>
      <c r="EH89" s="1320">
        <v>45</v>
      </c>
      <c r="EI89" s="1320">
        <v>1</v>
      </c>
      <c r="EJ89" s="1320">
        <v>204</v>
      </c>
      <c r="EK89" s="1322">
        <f t="shared" si="24"/>
        <v>0.34975369458128081</v>
      </c>
      <c r="EM89" s="1047"/>
      <c r="EN89" s="1047" t="s">
        <v>64</v>
      </c>
      <c r="EO89" s="1060" t="s">
        <v>14</v>
      </c>
      <c r="EP89" s="1061">
        <v>25</v>
      </c>
      <c r="EQ89" s="1061">
        <v>24</v>
      </c>
      <c r="ER89" s="1047"/>
      <c r="ES89" s="1061">
        <v>8</v>
      </c>
      <c r="ET89" s="1061">
        <v>46</v>
      </c>
      <c r="EU89" s="1061">
        <v>7</v>
      </c>
      <c r="EV89" s="1061">
        <v>7</v>
      </c>
      <c r="EW89" s="1061">
        <v>0</v>
      </c>
      <c r="EX89" s="1047"/>
      <c r="EY89" s="1061">
        <v>12</v>
      </c>
      <c r="EZ89" s="1061">
        <v>10</v>
      </c>
      <c r="FA89" s="1061">
        <v>65</v>
      </c>
      <c r="FB89" s="1047"/>
      <c r="FC89" s="1061">
        <v>204</v>
      </c>
      <c r="FD89" s="537">
        <f t="shared" si="25"/>
        <v>0.30882352941176472</v>
      </c>
      <c r="FF89" s="652"/>
      <c r="FG89" s="652" t="s">
        <v>64</v>
      </c>
      <c r="FH89" s="1062" t="s">
        <v>14</v>
      </c>
      <c r="FI89" s="1063">
        <v>40</v>
      </c>
      <c r="FJ89" s="1063">
        <v>15</v>
      </c>
      <c r="FK89" s="652"/>
      <c r="FL89" s="1063">
        <v>8</v>
      </c>
      <c r="FM89" s="1063">
        <v>37</v>
      </c>
      <c r="FN89" s="1063">
        <v>8</v>
      </c>
      <c r="FO89" s="1063">
        <v>7</v>
      </c>
      <c r="FP89" s="1063">
        <v>1</v>
      </c>
      <c r="FQ89" s="652"/>
      <c r="FR89" s="1063">
        <v>6</v>
      </c>
      <c r="FS89" s="1063">
        <v>7</v>
      </c>
      <c r="FT89" s="1063">
        <v>51</v>
      </c>
      <c r="FU89" s="652"/>
      <c r="FV89" s="1063">
        <v>180</v>
      </c>
      <c r="FW89" s="537">
        <f t="shared" si="26"/>
        <v>0.28888888888888886</v>
      </c>
      <c r="FY89" s="817"/>
      <c r="FZ89" s="817"/>
      <c r="GA89" s="1064" t="s">
        <v>81</v>
      </c>
      <c r="GB89" s="1065">
        <v>1</v>
      </c>
      <c r="GC89" s="1065">
        <v>1</v>
      </c>
      <c r="GD89" s="1065">
        <v>0</v>
      </c>
      <c r="GE89" s="1065">
        <v>0</v>
      </c>
      <c r="GF89" s="1065">
        <v>0</v>
      </c>
      <c r="GG89" s="1065">
        <v>0</v>
      </c>
      <c r="GH89" s="1065">
        <v>0</v>
      </c>
      <c r="GI89" s="1065">
        <v>0</v>
      </c>
      <c r="GJ89" s="1065">
        <v>0</v>
      </c>
      <c r="GK89" s="1065">
        <v>0</v>
      </c>
      <c r="GL89" s="1065">
        <v>0</v>
      </c>
      <c r="GM89" s="1065">
        <v>0</v>
      </c>
      <c r="GN89" s="1065">
        <v>0</v>
      </c>
      <c r="GO89" s="1065">
        <v>0</v>
      </c>
      <c r="GP89" s="1065">
        <v>2</v>
      </c>
      <c r="GQ89" s="1066">
        <f t="shared" si="27"/>
        <v>0</v>
      </c>
      <c r="GS89" s="107"/>
      <c r="GT89" s="107"/>
      <c r="GU89" s="47" t="s">
        <v>81</v>
      </c>
      <c r="GV89" s="47">
        <v>1</v>
      </c>
      <c r="GW89" s="47">
        <v>0</v>
      </c>
      <c r="GX89" s="47"/>
      <c r="GY89" s="47">
        <v>0</v>
      </c>
      <c r="GZ89" s="47">
        <v>0</v>
      </c>
      <c r="HA89" s="47">
        <v>0</v>
      </c>
      <c r="HB89" s="47">
        <v>0</v>
      </c>
      <c r="HC89" s="47"/>
      <c r="HD89" s="47">
        <v>0</v>
      </c>
      <c r="HE89" s="47">
        <v>0</v>
      </c>
      <c r="HF89" s="47">
        <v>0</v>
      </c>
      <c r="HG89" s="47">
        <v>0</v>
      </c>
      <c r="HH89" s="47"/>
      <c r="HI89" s="47">
        <v>0</v>
      </c>
      <c r="HJ89" s="47">
        <v>1</v>
      </c>
      <c r="HK89" s="1067">
        <f t="shared" si="15"/>
        <v>0</v>
      </c>
      <c r="HL89" s="47"/>
      <c r="HM89" s="420"/>
      <c r="HN89" s="420"/>
      <c r="HO89" s="420"/>
      <c r="HP89" s="420"/>
      <c r="HQ89" s="420"/>
      <c r="HR89" s="420"/>
      <c r="HS89" s="420"/>
      <c r="HT89" s="420"/>
      <c r="HU89" s="420"/>
      <c r="HV89" s="420"/>
      <c r="HW89" s="420"/>
      <c r="HX89" s="420"/>
      <c r="HY89" s="420"/>
      <c r="HZ89" s="420"/>
      <c r="IA89" s="420"/>
      <c r="IB89" s="420"/>
      <c r="IC89" s="420"/>
      <c r="ID89" s="420"/>
      <c r="IE89" s="47"/>
      <c r="IF89" s="47"/>
    </row>
    <row r="90" spans="1:240" ht="15" thickBot="1">
      <c r="A90" s="41"/>
      <c r="B90" s="41" t="s">
        <v>64</v>
      </c>
      <c r="C90" s="41" t="s">
        <v>14</v>
      </c>
      <c r="D90" s="105">
        <v>87</v>
      </c>
      <c r="E90" s="105">
        <v>31</v>
      </c>
      <c r="F90" s="105"/>
      <c r="G90" s="105">
        <v>21</v>
      </c>
      <c r="H90" s="105">
        <v>31</v>
      </c>
      <c r="I90" s="105">
        <v>16</v>
      </c>
      <c r="J90" s="105">
        <v>3</v>
      </c>
      <c r="K90" s="105">
        <v>0</v>
      </c>
      <c r="L90" s="105"/>
      <c r="M90" s="105">
        <v>28</v>
      </c>
      <c r="N90" s="105">
        <v>9</v>
      </c>
      <c r="O90" s="105"/>
      <c r="P90" s="105">
        <v>65</v>
      </c>
      <c r="Q90" s="105"/>
      <c r="R90" s="105">
        <v>291</v>
      </c>
      <c r="S90" s="706">
        <f t="shared" si="18"/>
        <v>0.19243986254295534</v>
      </c>
      <c r="T90" s="5561">
        <f t="shared" si="19"/>
        <v>0</v>
      </c>
      <c r="U90" s="5562">
        <v>291</v>
      </c>
      <c r="V90" s="706"/>
      <c r="Y90" s="41" t="s">
        <v>415</v>
      </c>
      <c r="Z90" s="41">
        <v>20</v>
      </c>
      <c r="AA90" s="41">
        <v>13</v>
      </c>
      <c r="AB90" s="41"/>
      <c r="AC90" s="41">
        <v>13</v>
      </c>
      <c r="AD90" s="41">
        <v>47</v>
      </c>
      <c r="AE90" s="41">
        <v>7</v>
      </c>
      <c r="AF90" s="41">
        <v>22</v>
      </c>
      <c r="AG90" s="41">
        <v>1</v>
      </c>
      <c r="AH90" s="41"/>
      <c r="AI90" s="41">
        <v>8</v>
      </c>
      <c r="AJ90" s="41">
        <v>11</v>
      </c>
      <c r="AK90" s="41"/>
      <c r="AL90" s="41">
        <v>24</v>
      </c>
      <c r="AM90" s="41"/>
      <c r="AN90" s="461">
        <v>166</v>
      </c>
      <c r="AO90" s="4692">
        <f t="shared" si="20"/>
        <v>0.39156626506024095</v>
      </c>
      <c r="AQ90" s="1788"/>
      <c r="AR90" s="1788"/>
      <c r="AS90" s="37" t="s">
        <v>65</v>
      </c>
      <c r="AT90" s="1788">
        <v>22</v>
      </c>
      <c r="AU90" s="1788">
        <v>24</v>
      </c>
      <c r="AV90" s="1788">
        <v>0</v>
      </c>
      <c r="AW90" s="1788">
        <v>14</v>
      </c>
      <c r="AX90" s="1788">
        <v>16</v>
      </c>
      <c r="AY90" s="1788">
        <v>11</v>
      </c>
      <c r="AZ90" s="1788">
        <v>8</v>
      </c>
      <c r="BA90" s="1788">
        <v>1</v>
      </c>
      <c r="BB90" s="1788"/>
      <c r="BC90" s="1788">
        <v>14</v>
      </c>
      <c r="BD90" s="1788">
        <v>7</v>
      </c>
      <c r="BE90" s="1788"/>
      <c r="BF90" s="1788">
        <v>39</v>
      </c>
      <c r="BG90" s="1788"/>
      <c r="BH90" s="1788">
        <v>156</v>
      </c>
      <c r="BI90" s="4701">
        <f t="shared" si="21"/>
        <v>0.21794871794871795</v>
      </c>
      <c r="BK90" s="41"/>
      <c r="BL90" s="41"/>
      <c r="BM90" s="41" t="s">
        <v>415</v>
      </c>
      <c r="BN90" s="105">
        <v>35</v>
      </c>
      <c r="BO90" s="105">
        <v>16</v>
      </c>
      <c r="BP90" s="105">
        <v>1</v>
      </c>
      <c r="BQ90" s="105">
        <v>2</v>
      </c>
      <c r="BR90" s="105">
        <v>30</v>
      </c>
      <c r="BS90" s="105">
        <v>10</v>
      </c>
      <c r="BT90" s="105">
        <v>10</v>
      </c>
      <c r="BU90" s="105">
        <v>0</v>
      </c>
      <c r="BV90" s="105"/>
      <c r="BW90" s="105">
        <v>11</v>
      </c>
      <c r="BX90" s="105">
        <v>13</v>
      </c>
      <c r="BY90" s="105"/>
      <c r="BZ90" s="105">
        <v>27</v>
      </c>
      <c r="CA90" s="105"/>
      <c r="CB90" s="105">
        <v>155</v>
      </c>
      <c r="CC90" s="2484">
        <f t="shared" si="22"/>
        <v>0.34193548387096773</v>
      </c>
      <c r="CE90" s="41"/>
      <c r="CF90" s="41"/>
      <c r="CG90" s="41" t="s">
        <v>415</v>
      </c>
      <c r="CH90" s="105">
        <v>22</v>
      </c>
      <c r="CI90" s="105">
        <v>8</v>
      </c>
      <c r="CJ90" s="105"/>
      <c r="CK90" s="105">
        <v>8</v>
      </c>
      <c r="CL90" s="105">
        <v>27</v>
      </c>
      <c r="CM90" s="105">
        <v>5</v>
      </c>
      <c r="CN90" s="105">
        <v>1</v>
      </c>
      <c r="CO90" s="105">
        <v>0</v>
      </c>
      <c r="CP90" s="105"/>
      <c r="CQ90" s="105">
        <v>8</v>
      </c>
      <c r="CR90" s="105">
        <v>9</v>
      </c>
      <c r="CS90" s="105"/>
      <c r="CT90" s="105">
        <v>30</v>
      </c>
      <c r="CU90" s="105"/>
      <c r="CV90" s="105">
        <v>118</v>
      </c>
      <c r="CW90" s="1644">
        <f t="shared" si="14"/>
        <v>0.34745762711864409</v>
      </c>
      <c r="CX90" s="1976"/>
      <c r="CY90" s="41"/>
      <c r="CZ90" s="41"/>
      <c r="DA90" s="41" t="s">
        <v>415</v>
      </c>
      <c r="DB90" s="105">
        <v>9</v>
      </c>
      <c r="DC90" s="105">
        <v>13</v>
      </c>
      <c r="DD90" s="105"/>
      <c r="DE90" s="105">
        <v>7</v>
      </c>
      <c r="DF90" s="105">
        <v>19</v>
      </c>
      <c r="DG90" s="105">
        <v>3</v>
      </c>
      <c r="DH90" s="105">
        <v>0</v>
      </c>
      <c r="DI90" s="105">
        <v>3</v>
      </c>
      <c r="DJ90" s="105"/>
      <c r="DK90" s="105">
        <v>10</v>
      </c>
      <c r="DL90" s="105">
        <v>6</v>
      </c>
      <c r="DM90" s="105"/>
      <c r="DN90" s="105">
        <v>26</v>
      </c>
      <c r="DO90" s="105">
        <v>0</v>
      </c>
      <c r="DP90" s="105">
        <v>96</v>
      </c>
      <c r="DQ90" s="1644">
        <f t="shared" si="23"/>
        <v>0.29166666666666669</v>
      </c>
      <c r="DS90" s="1311"/>
      <c r="DT90" s="1311"/>
      <c r="DU90" s="1319" t="s">
        <v>65</v>
      </c>
      <c r="DV90" s="1320">
        <v>16</v>
      </c>
      <c r="DW90" s="1320">
        <v>23</v>
      </c>
      <c r="DX90" s="1321"/>
      <c r="DY90" s="1320">
        <v>9</v>
      </c>
      <c r="DZ90" s="1320">
        <v>13</v>
      </c>
      <c r="EA90" s="1320">
        <v>4</v>
      </c>
      <c r="EB90" s="1320">
        <v>9</v>
      </c>
      <c r="EC90" s="1320">
        <v>0</v>
      </c>
      <c r="ED90" s="1321"/>
      <c r="EE90" s="1320">
        <v>16</v>
      </c>
      <c r="EF90" s="1320">
        <v>3</v>
      </c>
      <c r="EG90" s="1321"/>
      <c r="EH90" s="1320">
        <v>20</v>
      </c>
      <c r="EI90" s="1320">
        <v>0</v>
      </c>
      <c r="EJ90" s="1320">
        <v>113</v>
      </c>
      <c r="EK90" s="1322">
        <f t="shared" si="24"/>
        <v>0.17699115044247787</v>
      </c>
      <c r="EM90" s="1047"/>
      <c r="EN90" s="1047"/>
      <c r="EO90" s="1060" t="s">
        <v>65</v>
      </c>
      <c r="EP90" s="1061">
        <v>14</v>
      </c>
      <c r="EQ90" s="1061">
        <v>10</v>
      </c>
      <c r="ER90" s="1047"/>
      <c r="ES90" s="1061">
        <v>12</v>
      </c>
      <c r="ET90" s="1061">
        <v>10</v>
      </c>
      <c r="EU90" s="1061">
        <v>2</v>
      </c>
      <c r="EV90" s="1061">
        <v>8</v>
      </c>
      <c r="EW90" s="1061">
        <v>0</v>
      </c>
      <c r="EX90" s="1047"/>
      <c r="EY90" s="1061">
        <v>20</v>
      </c>
      <c r="EZ90" s="1061">
        <v>1</v>
      </c>
      <c r="FA90" s="1061">
        <v>33</v>
      </c>
      <c r="FB90" s="1047"/>
      <c r="FC90" s="1061">
        <v>110</v>
      </c>
      <c r="FD90" s="537">
        <f t="shared" si="25"/>
        <v>0.11818181818181818</v>
      </c>
      <c r="FF90" s="652"/>
      <c r="FG90" s="652"/>
      <c r="FH90" s="1062" t="s">
        <v>65</v>
      </c>
      <c r="FI90" s="1063">
        <v>23</v>
      </c>
      <c r="FJ90" s="1063">
        <v>6</v>
      </c>
      <c r="FK90" s="652"/>
      <c r="FL90" s="1063">
        <v>8</v>
      </c>
      <c r="FM90" s="1063">
        <v>9</v>
      </c>
      <c r="FN90" s="1063">
        <v>0</v>
      </c>
      <c r="FO90" s="1063">
        <v>8</v>
      </c>
      <c r="FP90" s="1063">
        <v>0</v>
      </c>
      <c r="FQ90" s="652"/>
      <c r="FR90" s="1063">
        <v>5</v>
      </c>
      <c r="FS90" s="1063">
        <v>1</v>
      </c>
      <c r="FT90" s="1063">
        <v>26</v>
      </c>
      <c r="FU90" s="652"/>
      <c r="FV90" s="1063">
        <v>86</v>
      </c>
      <c r="FW90" s="537">
        <f t="shared" si="26"/>
        <v>0.11627906976744186</v>
      </c>
      <c r="FY90" s="1095"/>
      <c r="FZ90" s="1095"/>
      <c r="GA90" s="1096" t="s">
        <v>549</v>
      </c>
      <c r="GB90" s="1097">
        <v>66</v>
      </c>
      <c r="GC90" s="1097">
        <v>20</v>
      </c>
      <c r="GD90" s="1097">
        <v>0</v>
      </c>
      <c r="GE90" s="1097">
        <v>10</v>
      </c>
      <c r="GF90" s="1097">
        <v>28</v>
      </c>
      <c r="GG90" s="1097">
        <v>6</v>
      </c>
      <c r="GH90" s="1097">
        <v>11</v>
      </c>
      <c r="GI90" s="1097">
        <v>0</v>
      </c>
      <c r="GJ90" s="1097">
        <v>11</v>
      </c>
      <c r="GK90" s="1097">
        <v>16</v>
      </c>
      <c r="GL90" s="1097">
        <v>70</v>
      </c>
      <c r="GM90" s="1097">
        <v>69</v>
      </c>
      <c r="GN90" s="1097">
        <v>0</v>
      </c>
      <c r="GO90" s="1097">
        <v>1</v>
      </c>
      <c r="GP90" s="1097">
        <v>308</v>
      </c>
      <c r="GQ90" s="1098">
        <f t="shared" si="27"/>
        <v>0.2109704641350211</v>
      </c>
      <c r="GS90" s="1099"/>
      <c r="GT90" s="1099"/>
      <c r="GU90" s="991" t="s">
        <v>15</v>
      </c>
      <c r="GV90" s="991">
        <v>42</v>
      </c>
      <c r="GW90" s="991">
        <v>7</v>
      </c>
      <c r="GX90" s="991"/>
      <c r="GY90" s="991">
        <v>2</v>
      </c>
      <c r="GZ90" s="991">
        <v>22</v>
      </c>
      <c r="HA90" s="991">
        <v>5</v>
      </c>
      <c r="HB90" s="991">
        <v>7</v>
      </c>
      <c r="HC90" s="991"/>
      <c r="HD90" s="991">
        <v>4</v>
      </c>
      <c r="HE90" s="991">
        <v>5</v>
      </c>
      <c r="HF90" s="991">
        <v>43</v>
      </c>
      <c r="HG90" s="991">
        <v>40</v>
      </c>
      <c r="HH90" s="991"/>
      <c r="HI90" s="991">
        <v>1</v>
      </c>
      <c r="HJ90" s="991">
        <v>178</v>
      </c>
      <c r="HK90" s="1100">
        <f t="shared" si="15"/>
        <v>0.23880597014925373</v>
      </c>
      <c r="HL90" s="47"/>
      <c r="HM90" s="420"/>
      <c r="HN90" s="420"/>
      <c r="HO90" s="420"/>
      <c r="HP90" s="420"/>
      <c r="HQ90" s="420"/>
      <c r="HR90" s="420"/>
      <c r="HS90" s="420"/>
      <c r="HT90" s="420"/>
      <c r="HU90" s="420"/>
      <c r="HV90" s="420"/>
      <c r="HW90" s="420"/>
      <c r="HX90" s="420"/>
      <c r="HY90" s="420"/>
      <c r="HZ90" s="420"/>
      <c r="IA90" s="420"/>
      <c r="IB90" s="420"/>
      <c r="IC90" s="420"/>
      <c r="ID90" s="420"/>
      <c r="IE90" s="47"/>
      <c r="IF90" s="47"/>
    </row>
    <row r="91" spans="1:240">
      <c r="A91" s="41"/>
      <c r="B91" s="41"/>
      <c r="C91" s="41" t="s">
        <v>65</v>
      </c>
      <c r="D91" s="105">
        <v>41</v>
      </c>
      <c r="E91" s="105">
        <v>20</v>
      </c>
      <c r="F91" s="105"/>
      <c r="G91" s="105">
        <v>11</v>
      </c>
      <c r="H91" s="105">
        <v>17</v>
      </c>
      <c r="I91" s="105">
        <v>8</v>
      </c>
      <c r="J91" s="105">
        <v>1</v>
      </c>
      <c r="K91" s="105">
        <v>1</v>
      </c>
      <c r="L91" s="105"/>
      <c r="M91" s="105">
        <v>9</v>
      </c>
      <c r="N91" s="105">
        <v>10</v>
      </c>
      <c r="O91" s="105"/>
      <c r="P91" s="105">
        <v>46</v>
      </c>
      <c r="Q91" s="105"/>
      <c r="R91" s="105">
        <v>164</v>
      </c>
      <c r="S91" s="706">
        <f t="shared" si="18"/>
        <v>0.21341463414634146</v>
      </c>
      <c r="T91" s="5561">
        <f t="shared" si="19"/>
        <v>0</v>
      </c>
      <c r="U91" s="5562">
        <v>164</v>
      </c>
      <c r="V91" s="706"/>
      <c r="Y91" s="41" t="s">
        <v>81</v>
      </c>
      <c r="Z91" s="41">
        <v>19</v>
      </c>
      <c r="AA91" s="41">
        <v>20</v>
      </c>
      <c r="AB91" s="41"/>
      <c r="AC91" s="41">
        <v>17</v>
      </c>
      <c r="AD91" s="41">
        <v>89</v>
      </c>
      <c r="AE91" s="41">
        <v>20</v>
      </c>
      <c r="AF91" s="41">
        <v>1</v>
      </c>
      <c r="AG91" s="41">
        <v>0</v>
      </c>
      <c r="AH91" s="41"/>
      <c r="AI91" s="41">
        <v>15</v>
      </c>
      <c r="AJ91" s="41">
        <v>7</v>
      </c>
      <c r="AK91" s="41"/>
      <c r="AL91" s="41">
        <v>38</v>
      </c>
      <c r="AM91" s="41"/>
      <c r="AN91" s="461">
        <v>226</v>
      </c>
      <c r="AO91" s="4692">
        <f t="shared" si="20"/>
        <v>0.51327433628318586</v>
      </c>
      <c r="AQ91" s="1788"/>
      <c r="AR91" s="1788"/>
      <c r="AS91" s="37" t="s">
        <v>415</v>
      </c>
      <c r="AT91" s="1788">
        <v>37</v>
      </c>
      <c r="AU91" s="1788">
        <v>17</v>
      </c>
      <c r="AV91" s="1788">
        <v>1</v>
      </c>
      <c r="AW91" s="1788">
        <v>16</v>
      </c>
      <c r="AX91" s="1788">
        <v>29</v>
      </c>
      <c r="AY91" s="1788">
        <v>13</v>
      </c>
      <c r="AZ91" s="1788">
        <v>12</v>
      </c>
      <c r="BA91" s="1788">
        <v>1</v>
      </c>
      <c r="BB91" s="1788"/>
      <c r="BC91" s="1788">
        <v>29</v>
      </c>
      <c r="BD91" s="1788">
        <v>14</v>
      </c>
      <c r="BE91" s="1788"/>
      <c r="BF91" s="1788">
        <v>25</v>
      </c>
      <c r="BG91" s="1788"/>
      <c r="BH91" s="1788">
        <v>194</v>
      </c>
      <c r="BI91" s="4701">
        <f t="shared" si="21"/>
        <v>0.28865979381443296</v>
      </c>
      <c r="BK91" s="41"/>
      <c r="BL91" s="41"/>
      <c r="BM91" s="41" t="s">
        <v>81</v>
      </c>
      <c r="BN91" s="105">
        <v>28</v>
      </c>
      <c r="BO91" s="105">
        <v>22</v>
      </c>
      <c r="BP91" s="105">
        <v>1</v>
      </c>
      <c r="BQ91" s="105">
        <v>1</v>
      </c>
      <c r="BR91" s="105">
        <v>63</v>
      </c>
      <c r="BS91" s="105">
        <v>9</v>
      </c>
      <c r="BT91" s="105">
        <v>1</v>
      </c>
      <c r="BU91" s="105">
        <v>4</v>
      </c>
      <c r="BV91" s="105"/>
      <c r="BW91" s="105">
        <v>35</v>
      </c>
      <c r="BX91" s="105">
        <v>17</v>
      </c>
      <c r="BY91" s="105"/>
      <c r="BZ91" s="105">
        <v>30</v>
      </c>
      <c r="CA91" s="105"/>
      <c r="CB91" s="105">
        <v>211</v>
      </c>
      <c r="CC91" s="2484">
        <f t="shared" si="22"/>
        <v>0.4218009478672986</v>
      </c>
      <c r="CE91" s="41"/>
      <c r="CF91" s="41"/>
      <c r="CG91" s="41" t="s">
        <v>81</v>
      </c>
      <c r="CH91" s="105">
        <v>19</v>
      </c>
      <c r="CI91" s="105">
        <v>27</v>
      </c>
      <c r="CJ91" s="105"/>
      <c r="CK91" s="105">
        <v>13</v>
      </c>
      <c r="CL91" s="105">
        <v>40</v>
      </c>
      <c r="CM91" s="105">
        <v>11</v>
      </c>
      <c r="CN91" s="105">
        <v>1</v>
      </c>
      <c r="CO91" s="105">
        <v>0</v>
      </c>
      <c r="CP91" s="105"/>
      <c r="CQ91" s="105">
        <v>21</v>
      </c>
      <c r="CR91" s="105">
        <v>9</v>
      </c>
      <c r="CS91" s="105"/>
      <c r="CT91" s="105">
        <v>22</v>
      </c>
      <c r="CU91" s="105"/>
      <c r="CV91" s="105">
        <v>163</v>
      </c>
      <c r="CW91" s="1644">
        <f t="shared" si="14"/>
        <v>0.36809815950920244</v>
      </c>
      <c r="CX91" s="1976"/>
      <c r="CY91" s="41"/>
      <c r="CZ91" s="41"/>
      <c r="DA91" s="41" t="s">
        <v>81</v>
      </c>
      <c r="DB91" s="105">
        <v>15</v>
      </c>
      <c r="DC91" s="105">
        <v>24</v>
      </c>
      <c r="DD91" s="105"/>
      <c r="DE91" s="105">
        <v>8</v>
      </c>
      <c r="DF91" s="105">
        <v>21</v>
      </c>
      <c r="DG91" s="105">
        <v>6</v>
      </c>
      <c r="DH91" s="105">
        <v>0</v>
      </c>
      <c r="DI91" s="105">
        <v>0</v>
      </c>
      <c r="DJ91" s="105"/>
      <c r="DK91" s="105">
        <v>28</v>
      </c>
      <c r="DL91" s="105">
        <v>5</v>
      </c>
      <c r="DM91" s="105"/>
      <c r="DN91" s="105">
        <v>13</v>
      </c>
      <c r="DO91" s="105">
        <v>0</v>
      </c>
      <c r="DP91" s="105">
        <v>120</v>
      </c>
      <c r="DQ91" s="1644">
        <f t="shared" si="23"/>
        <v>0.26666666666666666</v>
      </c>
      <c r="DS91" s="1311"/>
      <c r="DT91" s="1311"/>
      <c r="DU91" s="1319" t="s">
        <v>415</v>
      </c>
      <c r="DV91" s="1320">
        <v>23</v>
      </c>
      <c r="DW91" s="1320">
        <v>15</v>
      </c>
      <c r="DX91" s="1321"/>
      <c r="DY91" s="1320">
        <v>5</v>
      </c>
      <c r="DZ91" s="1320">
        <v>13</v>
      </c>
      <c r="EA91" s="1320">
        <v>1</v>
      </c>
      <c r="EB91" s="1320">
        <v>0</v>
      </c>
      <c r="EC91" s="1320">
        <v>1</v>
      </c>
      <c r="ED91" s="1321"/>
      <c r="EE91" s="1320">
        <v>5</v>
      </c>
      <c r="EF91" s="1320">
        <v>2</v>
      </c>
      <c r="EG91" s="1321"/>
      <c r="EH91" s="1320">
        <v>21</v>
      </c>
      <c r="EI91" s="1320">
        <v>0</v>
      </c>
      <c r="EJ91" s="1320">
        <v>86</v>
      </c>
      <c r="EK91" s="1322">
        <f t="shared" si="24"/>
        <v>0.18604651162790697</v>
      </c>
      <c r="EM91" s="1047"/>
      <c r="EN91" s="1047"/>
      <c r="EO91" s="1060" t="s">
        <v>415</v>
      </c>
      <c r="EP91" s="1061">
        <v>27</v>
      </c>
      <c r="EQ91" s="1061">
        <v>10</v>
      </c>
      <c r="ER91" s="1047"/>
      <c r="ES91" s="1061">
        <v>6</v>
      </c>
      <c r="ET91" s="1061">
        <v>9</v>
      </c>
      <c r="EU91" s="1061">
        <v>0</v>
      </c>
      <c r="EV91" s="1061">
        <v>0</v>
      </c>
      <c r="EW91" s="1061">
        <v>1</v>
      </c>
      <c r="EX91" s="1047"/>
      <c r="EY91" s="1061">
        <v>6</v>
      </c>
      <c r="EZ91" s="1061">
        <v>0</v>
      </c>
      <c r="FA91" s="1061">
        <v>17</v>
      </c>
      <c r="FB91" s="1047"/>
      <c r="FC91" s="1061">
        <v>76</v>
      </c>
      <c r="FD91" s="537">
        <f t="shared" si="25"/>
        <v>0.11842105263157894</v>
      </c>
      <c r="FF91" s="652"/>
      <c r="FG91" s="652"/>
      <c r="FH91" s="1062" t="s">
        <v>415</v>
      </c>
      <c r="FI91" s="1063">
        <v>23</v>
      </c>
      <c r="FJ91" s="1063">
        <v>8</v>
      </c>
      <c r="FK91" s="652"/>
      <c r="FL91" s="1063">
        <v>3</v>
      </c>
      <c r="FM91" s="1063">
        <v>1</v>
      </c>
      <c r="FN91" s="1063">
        <v>1</v>
      </c>
      <c r="FO91" s="1063">
        <v>0</v>
      </c>
      <c r="FP91" s="1063">
        <v>0</v>
      </c>
      <c r="FQ91" s="652"/>
      <c r="FR91" s="1063">
        <v>0</v>
      </c>
      <c r="FS91" s="1063">
        <v>1</v>
      </c>
      <c r="FT91" s="1063">
        <v>11</v>
      </c>
      <c r="FU91" s="652"/>
      <c r="FV91" s="1063">
        <v>48</v>
      </c>
      <c r="FW91" s="537">
        <f t="shared" si="26"/>
        <v>6.25E-2</v>
      </c>
      <c r="GS91" s="107"/>
      <c r="GT91" s="107"/>
      <c r="GU91" s="47"/>
      <c r="GV91" s="47"/>
      <c r="GW91" s="47"/>
      <c r="GX91" s="47"/>
      <c r="GY91" s="47"/>
      <c r="GZ91" s="47"/>
      <c r="HA91" s="47"/>
      <c r="HB91" s="47"/>
      <c r="HC91" s="47"/>
      <c r="HD91" s="47"/>
      <c r="HE91" s="47"/>
      <c r="HF91" s="47"/>
      <c r="HG91" s="47"/>
      <c r="HH91" s="47"/>
      <c r="HI91" s="47"/>
      <c r="HJ91" s="47"/>
      <c r="HK91" s="47"/>
      <c r="HL91" s="47"/>
      <c r="HM91" s="420"/>
      <c r="HN91" s="420"/>
      <c r="IE91" s="47"/>
      <c r="IF91" s="47"/>
    </row>
    <row r="92" spans="1:240">
      <c r="A92" s="41"/>
      <c r="B92" s="41"/>
      <c r="C92" s="41" t="s">
        <v>415</v>
      </c>
      <c r="D92" s="105">
        <v>68</v>
      </c>
      <c r="E92" s="105">
        <v>25</v>
      </c>
      <c r="F92" s="105"/>
      <c r="G92" s="105">
        <v>16</v>
      </c>
      <c r="H92" s="105">
        <v>33</v>
      </c>
      <c r="I92" s="105">
        <v>17</v>
      </c>
      <c r="J92" s="105">
        <v>0</v>
      </c>
      <c r="K92" s="105">
        <v>1</v>
      </c>
      <c r="L92" s="105"/>
      <c r="M92" s="105">
        <v>20</v>
      </c>
      <c r="N92" s="105">
        <v>17</v>
      </c>
      <c r="O92" s="105"/>
      <c r="P92" s="105">
        <v>32</v>
      </c>
      <c r="Q92" s="105"/>
      <c r="R92" s="105">
        <v>229</v>
      </c>
      <c r="S92" s="706">
        <f t="shared" si="18"/>
        <v>0.29257641921397382</v>
      </c>
      <c r="T92" s="5561">
        <f t="shared" si="19"/>
        <v>0</v>
      </c>
      <c r="U92" s="5562">
        <v>229</v>
      </c>
      <c r="V92" s="706"/>
      <c r="Y92" s="41" t="s">
        <v>15</v>
      </c>
      <c r="Z92" s="41">
        <v>95</v>
      </c>
      <c r="AA92" s="41">
        <v>68</v>
      </c>
      <c r="AB92" s="41"/>
      <c r="AC92" s="41">
        <v>62</v>
      </c>
      <c r="AD92" s="41">
        <v>222</v>
      </c>
      <c r="AE92" s="41">
        <v>51</v>
      </c>
      <c r="AF92" s="41">
        <v>79</v>
      </c>
      <c r="AG92" s="41">
        <v>1</v>
      </c>
      <c r="AH92" s="41"/>
      <c r="AI92" s="41">
        <v>35</v>
      </c>
      <c r="AJ92" s="41">
        <v>38</v>
      </c>
      <c r="AK92" s="41"/>
      <c r="AL92" s="41">
        <v>152</v>
      </c>
      <c r="AM92" s="41"/>
      <c r="AN92" s="461">
        <v>803</v>
      </c>
      <c r="AO92" s="4692">
        <f t="shared" si="20"/>
        <v>0.38729763387297633</v>
      </c>
      <c r="AQ92" s="1788"/>
      <c r="AR92" s="1788"/>
      <c r="AS92" s="37" t="s">
        <v>81</v>
      </c>
      <c r="AT92" s="1788">
        <v>24</v>
      </c>
      <c r="AU92" s="1788">
        <v>26</v>
      </c>
      <c r="AV92" s="1788">
        <v>1</v>
      </c>
      <c r="AW92" s="1788">
        <v>19</v>
      </c>
      <c r="AX92" s="1788">
        <v>68</v>
      </c>
      <c r="AY92" s="1788">
        <v>32</v>
      </c>
      <c r="AZ92" s="1788">
        <v>1</v>
      </c>
      <c r="BA92" s="1788">
        <v>1</v>
      </c>
      <c r="BB92" s="1788"/>
      <c r="BC92" s="1788">
        <v>56</v>
      </c>
      <c r="BD92" s="1788">
        <v>10</v>
      </c>
      <c r="BE92" s="1788"/>
      <c r="BF92" s="1788">
        <v>45</v>
      </c>
      <c r="BG92" s="1788"/>
      <c r="BH92" s="1788">
        <v>283</v>
      </c>
      <c r="BI92" s="4701">
        <f t="shared" si="21"/>
        <v>0.38869257950530034</v>
      </c>
      <c r="BK92" s="41"/>
      <c r="BL92" s="41"/>
      <c r="BM92" s="461" t="s">
        <v>549</v>
      </c>
      <c r="BN92" s="2473">
        <v>143</v>
      </c>
      <c r="BO92" s="2473">
        <v>81</v>
      </c>
      <c r="BP92" s="2473">
        <v>2</v>
      </c>
      <c r="BQ92" s="2473">
        <v>6</v>
      </c>
      <c r="BR92" s="2473">
        <v>148</v>
      </c>
      <c r="BS92" s="2473">
        <v>49</v>
      </c>
      <c r="BT92" s="2473">
        <v>56</v>
      </c>
      <c r="BU92" s="2473">
        <v>4</v>
      </c>
      <c r="BV92" s="2473"/>
      <c r="BW92" s="2473">
        <v>68</v>
      </c>
      <c r="BX92" s="2473">
        <v>54</v>
      </c>
      <c r="BY92" s="2473"/>
      <c r="BZ92" s="2473">
        <v>138</v>
      </c>
      <c r="CA92" s="2473"/>
      <c r="CB92" s="2473">
        <v>749</v>
      </c>
      <c r="CC92" s="2484">
        <f t="shared" si="22"/>
        <v>0.33511348464619495</v>
      </c>
      <c r="CE92" s="41"/>
      <c r="CF92" s="41"/>
      <c r="CG92" s="461" t="s">
        <v>549</v>
      </c>
      <c r="CH92" s="96">
        <v>83</v>
      </c>
      <c r="CI92" s="96">
        <v>89</v>
      </c>
      <c r="CJ92" s="96"/>
      <c r="CK92" s="96">
        <v>48</v>
      </c>
      <c r="CL92" s="96">
        <v>126</v>
      </c>
      <c r="CM92" s="96">
        <v>33</v>
      </c>
      <c r="CN92" s="96">
        <v>33</v>
      </c>
      <c r="CO92" s="96">
        <v>1</v>
      </c>
      <c r="CP92" s="96"/>
      <c r="CQ92" s="96">
        <v>68</v>
      </c>
      <c r="CR92" s="96">
        <v>34</v>
      </c>
      <c r="CS92" s="96"/>
      <c r="CT92" s="96">
        <v>137</v>
      </c>
      <c r="CU92" s="96"/>
      <c r="CV92" s="96">
        <v>652</v>
      </c>
      <c r="CW92" s="635">
        <f t="shared" si="14"/>
        <v>0.29601226993865032</v>
      </c>
      <c r="CX92" s="1977"/>
      <c r="CY92" s="41"/>
      <c r="CZ92" s="41"/>
      <c r="DA92" s="461" t="s">
        <v>549</v>
      </c>
      <c r="DB92" s="96">
        <v>49</v>
      </c>
      <c r="DC92" s="96">
        <v>87</v>
      </c>
      <c r="DD92" s="96"/>
      <c r="DE92" s="96">
        <v>38</v>
      </c>
      <c r="DF92" s="96">
        <v>97</v>
      </c>
      <c r="DG92" s="96">
        <v>26</v>
      </c>
      <c r="DH92" s="96">
        <v>18</v>
      </c>
      <c r="DI92" s="96">
        <v>4</v>
      </c>
      <c r="DJ92" s="96"/>
      <c r="DK92" s="96">
        <v>90</v>
      </c>
      <c r="DL92" s="96">
        <v>22</v>
      </c>
      <c r="DM92" s="96"/>
      <c r="DN92" s="96">
        <v>118</v>
      </c>
      <c r="DO92" s="96">
        <v>1</v>
      </c>
      <c r="DP92" s="96">
        <v>550</v>
      </c>
      <c r="DQ92" s="635">
        <f t="shared" si="23"/>
        <v>0.26411657559198543</v>
      </c>
      <c r="DS92" s="1311"/>
      <c r="DT92" s="1311"/>
      <c r="DU92" s="1319" t="s">
        <v>81</v>
      </c>
      <c r="DV92" s="1320">
        <v>18</v>
      </c>
      <c r="DW92" s="1320">
        <v>17</v>
      </c>
      <c r="DX92" s="1321"/>
      <c r="DY92" s="1320">
        <v>3</v>
      </c>
      <c r="DZ92" s="1320">
        <v>7</v>
      </c>
      <c r="EA92" s="1320">
        <v>0</v>
      </c>
      <c r="EB92" s="1320">
        <v>0</v>
      </c>
      <c r="EC92" s="1320">
        <v>1</v>
      </c>
      <c r="ED92" s="1321"/>
      <c r="EE92" s="1320">
        <v>10</v>
      </c>
      <c r="EF92" s="1320">
        <v>3</v>
      </c>
      <c r="EG92" s="1321"/>
      <c r="EH92" s="1320">
        <v>6</v>
      </c>
      <c r="EI92" s="1320">
        <v>0</v>
      </c>
      <c r="EJ92" s="1320">
        <v>65</v>
      </c>
      <c r="EK92" s="1322">
        <f t="shared" si="24"/>
        <v>0.15384615384615385</v>
      </c>
      <c r="EM92" s="1047"/>
      <c r="EN92" s="1047"/>
      <c r="EO92" s="1060" t="s">
        <v>81</v>
      </c>
      <c r="EP92" s="1061">
        <v>5</v>
      </c>
      <c r="EQ92" s="1061">
        <v>6</v>
      </c>
      <c r="ER92" s="1047"/>
      <c r="ES92" s="1061">
        <v>1</v>
      </c>
      <c r="ET92" s="1061">
        <v>0</v>
      </c>
      <c r="EU92" s="1061">
        <v>0</v>
      </c>
      <c r="EV92" s="1061">
        <v>0</v>
      </c>
      <c r="EW92" s="1061">
        <v>0</v>
      </c>
      <c r="EX92" s="1047"/>
      <c r="EY92" s="1061">
        <v>9</v>
      </c>
      <c r="EZ92" s="1061">
        <v>4</v>
      </c>
      <c r="FA92" s="1061">
        <v>8</v>
      </c>
      <c r="FB92" s="1047"/>
      <c r="FC92" s="1061">
        <v>33</v>
      </c>
      <c r="FD92" s="537">
        <f t="shared" si="25"/>
        <v>0.12121212121212122</v>
      </c>
      <c r="FF92" s="652"/>
      <c r="FG92" s="652"/>
      <c r="FH92" s="1062" t="s">
        <v>81</v>
      </c>
      <c r="FI92" s="1063">
        <v>1</v>
      </c>
      <c r="FJ92" s="1063">
        <v>1</v>
      </c>
      <c r="FK92" s="652"/>
      <c r="FL92" s="1063">
        <v>1</v>
      </c>
      <c r="FM92" s="1063">
        <v>0</v>
      </c>
      <c r="FN92" s="1063">
        <v>0</v>
      </c>
      <c r="FO92" s="1063">
        <v>0</v>
      </c>
      <c r="FP92" s="1063">
        <v>0</v>
      </c>
      <c r="FQ92" s="652"/>
      <c r="FR92" s="1063">
        <v>0</v>
      </c>
      <c r="FS92" s="1063">
        <v>0</v>
      </c>
      <c r="FT92" s="1063">
        <v>0</v>
      </c>
      <c r="FU92" s="652"/>
      <c r="FV92" s="1063">
        <v>3</v>
      </c>
      <c r="FW92" s="537">
        <f t="shared" si="26"/>
        <v>0</v>
      </c>
      <c r="FY92" s="817"/>
      <c r="FZ92" s="817"/>
      <c r="GA92" s="1053"/>
      <c r="GS92" s="107"/>
      <c r="GT92" s="107"/>
      <c r="GU92" s="47"/>
      <c r="GV92" s="47"/>
      <c r="GW92" s="47"/>
      <c r="GX92" s="47"/>
      <c r="GY92" s="47"/>
      <c r="GZ92" s="47"/>
      <c r="HA92" s="47"/>
      <c r="HB92" s="47"/>
      <c r="HC92" s="47"/>
      <c r="HD92" s="47"/>
      <c r="HE92" s="47"/>
      <c r="HF92" s="47"/>
      <c r="HG92" s="47"/>
      <c r="HH92" s="47"/>
      <c r="HI92" s="47"/>
      <c r="HJ92" s="47"/>
      <c r="HK92" s="47"/>
      <c r="HL92" s="47"/>
      <c r="HM92" s="420"/>
      <c r="HN92" s="420"/>
      <c r="IE92" s="47"/>
      <c r="IF92" s="47"/>
    </row>
    <row r="93" spans="1:240">
      <c r="A93" s="41"/>
      <c r="B93" s="41"/>
      <c r="C93" s="41" t="s">
        <v>81</v>
      </c>
      <c r="D93" s="105">
        <v>48</v>
      </c>
      <c r="E93" s="105">
        <v>40</v>
      </c>
      <c r="F93" s="105"/>
      <c r="G93" s="105">
        <v>22</v>
      </c>
      <c r="H93" s="105">
        <v>90</v>
      </c>
      <c r="I93" s="105">
        <v>38</v>
      </c>
      <c r="J93" s="105">
        <v>1</v>
      </c>
      <c r="K93" s="105">
        <v>0</v>
      </c>
      <c r="L93" s="105"/>
      <c r="M93" s="105">
        <v>35</v>
      </c>
      <c r="N93" s="105">
        <v>12</v>
      </c>
      <c r="O93" s="105"/>
      <c r="P93" s="105">
        <v>56</v>
      </c>
      <c r="Q93" s="105"/>
      <c r="R93" s="105">
        <v>342</v>
      </c>
      <c r="S93" s="706">
        <f t="shared" si="18"/>
        <v>0.40935672514619881</v>
      </c>
      <c r="T93" s="5561">
        <f t="shared" si="19"/>
        <v>0</v>
      </c>
      <c r="U93" s="5562">
        <v>342</v>
      </c>
      <c r="V93" s="706"/>
      <c r="W93" s="4693"/>
      <c r="X93" s="4693"/>
      <c r="Y93" s="4694" t="s">
        <v>15</v>
      </c>
      <c r="Z93" s="4694">
        <v>219</v>
      </c>
      <c r="AA93" s="4694">
        <v>237</v>
      </c>
      <c r="AB93" s="4694"/>
      <c r="AC93" s="4694">
        <v>126</v>
      </c>
      <c r="AD93" s="4694">
        <v>655</v>
      </c>
      <c r="AE93" s="4694">
        <v>156</v>
      </c>
      <c r="AF93" s="4694">
        <v>242</v>
      </c>
      <c r="AG93" s="4694">
        <v>1</v>
      </c>
      <c r="AH93" s="4694">
        <v>1</v>
      </c>
      <c r="AI93" s="4694">
        <v>112</v>
      </c>
      <c r="AJ93" s="4694">
        <v>199</v>
      </c>
      <c r="AK93" s="4694"/>
      <c r="AL93" s="4694">
        <v>403</v>
      </c>
      <c r="AM93" s="4694">
        <v>1</v>
      </c>
      <c r="AN93" s="4585">
        <v>2352</v>
      </c>
      <c r="AO93" s="4695">
        <f t="shared" si="20"/>
        <v>0.42960442364951085</v>
      </c>
      <c r="AQ93" s="1788"/>
      <c r="AR93" s="1788"/>
      <c r="AS93" s="1793" t="s">
        <v>549</v>
      </c>
      <c r="AT93" s="4702">
        <v>128</v>
      </c>
      <c r="AU93" s="4702">
        <v>97</v>
      </c>
      <c r="AV93" s="4702">
        <v>2</v>
      </c>
      <c r="AW93" s="4702">
        <v>70</v>
      </c>
      <c r="AX93" s="4702">
        <v>142</v>
      </c>
      <c r="AY93" s="4702">
        <v>79</v>
      </c>
      <c r="AZ93" s="4702">
        <v>34</v>
      </c>
      <c r="BA93" s="4702">
        <v>3</v>
      </c>
      <c r="BB93" s="4702"/>
      <c r="BC93" s="4702">
        <v>127</v>
      </c>
      <c r="BD93" s="4702">
        <v>43</v>
      </c>
      <c r="BE93" s="4702"/>
      <c r="BF93" s="4702">
        <v>163</v>
      </c>
      <c r="BG93" s="4702"/>
      <c r="BH93" s="4702">
        <v>888</v>
      </c>
      <c r="BI93" s="4703">
        <f t="shared" si="21"/>
        <v>0.29729729729729731</v>
      </c>
      <c r="BK93" s="41"/>
      <c r="BL93" s="41"/>
      <c r="BM93" s="461" t="s">
        <v>260</v>
      </c>
      <c r="BN93" s="2473">
        <v>346</v>
      </c>
      <c r="BO93" s="2473">
        <v>231</v>
      </c>
      <c r="BP93" s="2473">
        <v>2</v>
      </c>
      <c r="BQ93" s="2473">
        <v>14</v>
      </c>
      <c r="BR93" s="2473">
        <v>516</v>
      </c>
      <c r="BS93" s="2473">
        <v>128</v>
      </c>
      <c r="BT93" s="2473">
        <v>143</v>
      </c>
      <c r="BU93" s="2473">
        <v>11</v>
      </c>
      <c r="BV93" s="2473"/>
      <c r="BW93" s="2473">
        <v>234</v>
      </c>
      <c r="BX93" s="2473">
        <v>200</v>
      </c>
      <c r="BY93" s="2473"/>
      <c r="BZ93" s="2473">
        <v>415</v>
      </c>
      <c r="CA93" s="2473"/>
      <c r="CB93" s="2473">
        <v>2240</v>
      </c>
      <c r="CC93" s="2484">
        <f t="shared" si="22"/>
        <v>0.37678571428571428</v>
      </c>
      <c r="CE93" s="41"/>
      <c r="CF93" s="41"/>
      <c r="CG93" s="461" t="s">
        <v>260</v>
      </c>
      <c r="CH93" s="96">
        <v>193</v>
      </c>
      <c r="CI93" s="96">
        <v>317</v>
      </c>
      <c r="CJ93" s="96"/>
      <c r="CK93" s="96">
        <v>108</v>
      </c>
      <c r="CL93" s="96">
        <v>509</v>
      </c>
      <c r="CM93" s="96">
        <v>109</v>
      </c>
      <c r="CN93" s="96">
        <v>128</v>
      </c>
      <c r="CO93" s="96">
        <v>5</v>
      </c>
      <c r="CP93" s="96"/>
      <c r="CQ93" s="96">
        <v>184</v>
      </c>
      <c r="CR93" s="96">
        <v>161</v>
      </c>
      <c r="CS93" s="96"/>
      <c r="CT93" s="96">
        <v>384</v>
      </c>
      <c r="CU93" s="96"/>
      <c r="CV93" s="96">
        <v>2098</v>
      </c>
      <c r="CW93" s="635">
        <f t="shared" si="14"/>
        <v>0.3713060057197331</v>
      </c>
      <c r="CX93" s="1977"/>
      <c r="CY93" s="41"/>
      <c r="CZ93" s="41"/>
      <c r="DA93" s="461" t="s">
        <v>260</v>
      </c>
      <c r="DB93" s="96">
        <v>145</v>
      </c>
      <c r="DC93" s="96">
        <v>267</v>
      </c>
      <c r="DD93" s="96"/>
      <c r="DE93" s="96">
        <v>85</v>
      </c>
      <c r="DF93" s="96">
        <v>471</v>
      </c>
      <c r="DG93" s="96">
        <v>87</v>
      </c>
      <c r="DH93" s="96">
        <v>44</v>
      </c>
      <c r="DI93" s="96">
        <v>20</v>
      </c>
      <c r="DJ93" s="96"/>
      <c r="DK93" s="96">
        <v>275</v>
      </c>
      <c r="DL93" s="96">
        <v>100</v>
      </c>
      <c r="DM93" s="96"/>
      <c r="DN93" s="96">
        <v>358</v>
      </c>
      <c r="DO93" s="96">
        <v>3</v>
      </c>
      <c r="DP93" s="96">
        <v>1855</v>
      </c>
      <c r="DQ93" s="635">
        <f t="shared" si="23"/>
        <v>0.35529157667386607</v>
      </c>
      <c r="DS93" s="1311"/>
      <c r="DT93" s="1311"/>
      <c r="DU93" s="1313" t="s">
        <v>549</v>
      </c>
      <c r="DV93" s="1323">
        <v>74</v>
      </c>
      <c r="DW93" s="1323">
        <v>84</v>
      </c>
      <c r="DX93" s="1324"/>
      <c r="DY93" s="1323">
        <v>25</v>
      </c>
      <c r="DZ93" s="1323">
        <v>89</v>
      </c>
      <c r="EA93" s="1323">
        <v>11</v>
      </c>
      <c r="EB93" s="1323">
        <v>22</v>
      </c>
      <c r="EC93" s="1323">
        <v>5</v>
      </c>
      <c r="ED93" s="1324"/>
      <c r="EE93" s="1323">
        <v>48</v>
      </c>
      <c r="EF93" s="1323">
        <v>17</v>
      </c>
      <c r="EG93" s="1324"/>
      <c r="EH93" s="1323">
        <v>92</v>
      </c>
      <c r="EI93" s="1323">
        <v>1</v>
      </c>
      <c r="EJ93" s="1323">
        <v>468</v>
      </c>
      <c r="EK93" s="1325">
        <f t="shared" si="24"/>
        <v>0.25053533190578159</v>
      </c>
      <c r="EM93" s="1047"/>
      <c r="EN93" s="1047"/>
      <c r="EO93" s="1070" t="s">
        <v>549</v>
      </c>
      <c r="EP93" s="1071">
        <v>71</v>
      </c>
      <c r="EQ93" s="1071">
        <v>50</v>
      </c>
      <c r="ER93" s="1071"/>
      <c r="ES93" s="1071">
        <v>27</v>
      </c>
      <c r="ET93" s="1071">
        <v>65</v>
      </c>
      <c r="EU93" s="1071">
        <v>9</v>
      </c>
      <c r="EV93" s="1071">
        <v>15</v>
      </c>
      <c r="EW93" s="1072">
        <v>1</v>
      </c>
      <c r="EX93" s="1072"/>
      <c r="EY93" s="1071">
        <v>47</v>
      </c>
      <c r="EZ93" s="1071">
        <v>15</v>
      </c>
      <c r="FA93" s="1071">
        <v>123</v>
      </c>
      <c r="FB93" s="1071"/>
      <c r="FC93" s="1071">
        <v>423</v>
      </c>
      <c r="FD93" s="1073">
        <f t="shared" si="25"/>
        <v>0.21040189125295508</v>
      </c>
      <c r="FF93" s="652"/>
      <c r="FG93" s="652"/>
      <c r="FH93" s="813" t="s">
        <v>549</v>
      </c>
      <c r="FI93" s="1074">
        <v>87</v>
      </c>
      <c r="FJ93" s="1074">
        <v>30</v>
      </c>
      <c r="FK93" s="816"/>
      <c r="FL93" s="1074">
        <v>20</v>
      </c>
      <c r="FM93" s="1074">
        <v>47</v>
      </c>
      <c r="FN93" s="1074">
        <v>9</v>
      </c>
      <c r="FO93" s="1074">
        <v>15</v>
      </c>
      <c r="FP93" s="1074">
        <v>1</v>
      </c>
      <c r="FQ93" s="816"/>
      <c r="FR93" s="1074">
        <v>11</v>
      </c>
      <c r="FS93" s="1074">
        <v>9</v>
      </c>
      <c r="FT93" s="1074">
        <v>88</v>
      </c>
      <c r="FU93" s="816"/>
      <c r="FV93" s="1074">
        <v>317</v>
      </c>
      <c r="FW93" s="526">
        <f t="shared" si="26"/>
        <v>0.20504731861198738</v>
      </c>
      <c r="GB93" s="5612" t="s">
        <v>1488</v>
      </c>
      <c r="GC93" s="5613"/>
      <c r="GD93" s="5613"/>
      <c r="GE93" s="5613"/>
      <c r="GF93" s="5613"/>
      <c r="GG93" s="5613"/>
      <c r="GH93" s="5613"/>
      <c r="GI93" s="5613"/>
      <c r="GJ93" s="5613"/>
      <c r="GK93" s="5613"/>
      <c r="GL93" s="5613"/>
      <c r="GM93" s="5613"/>
      <c r="GN93" s="5613"/>
      <c r="GO93" s="5613"/>
      <c r="GP93" s="5614"/>
      <c r="GS93" s="107"/>
      <c r="GT93" s="107" t="s">
        <v>327</v>
      </c>
      <c r="GU93" s="47" t="s">
        <v>327</v>
      </c>
      <c r="GV93" s="5621" t="s">
        <v>1489</v>
      </c>
      <c r="GW93" s="5622"/>
      <c r="GX93" s="5622"/>
      <c r="GY93" s="5622"/>
      <c r="GZ93" s="5622"/>
      <c r="HA93" s="5622"/>
      <c r="HB93" s="5622"/>
      <c r="HC93" s="5622"/>
      <c r="HD93" s="5622"/>
      <c r="HE93" s="5622"/>
      <c r="HF93" s="5622"/>
      <c r="HG93" s="5622"/>
      <c r="HH93" s="5622"/>
      <c r="HI93" s="5622"/>
      <c r="HJ93" s="5623"/>
      <c r="HK93" s="47"/>
      <c r="HL93" s="47"/>
      <c r="HM93" s="420"/>
      <c r="HN93" s="420"/>
      <c r="HO93" s="420"/>
      <c r="HP93" s="5627" t="s">
        <v>1229</v>
      </c>
      <c r="HQ93" s="5627"/>
      <c r="HR93" s="5627"/>
      <c r="HS93" s="5627"/>
      <c r="HT93" s="5627"/>
      <c r="HU93" s="5627"/>
      <c r="HV93" s="5627"/>
      <c r="HW93" s="5627"/>
      <c r="HX93" s="5627"/>
      <c r="HY93" s="5627"/>
      <c r="HZ93" s="5627"/>
      <c r="IA93" s="5627"/>
      <c r="IB93" s="5627"/>
      <c r="IC93" s="420"/>
      <c r="ID93" s="420"/>
      <c r="IE93" s="47"/>
      <c r="IF93" s="47"/>
    </row>
    <row r="94" spans="1:240" ht="15.75" customHeight="1" thickBot="1">
      <c r="A94" s="41"/>
      <c r="B94" s="41"/>
      <c r="C94" s="461" t="s">
        <v>549</v>
      </c>
      <c r="D94" s="5556">
        <v>244</v>
      </c>
      <c r="E94" s="5556">
        <v>116</v>
      </c>
      <c r="F94" s="5556"/>
      <c r="G94" s="5556">
        <v>70</v>
      </c>
      <c r="H94" s="5556">
        <v>171</v>
      </c>
      <c r="I94" s="5556">
        <v>79</v>
      </c>
      <c r="J94" s="5556">
        <v>5</v>
      </c>
      <c r="K94" s="5556">
        <v>2</v>
      </c>
      <c r="L94" s="5556"/>
      <c r="M94" s="5556">
        <v>92</v>
      </c>
      <c r="N94" s="5556">
        <v>48</v>
      </c>
      <c r="O94" s="5556"/>
      <c r="P94" s="5556">
        <v>199</v>
      </c>
      <c r="Q94" s="5556"/>
      <c r="R94" s="5556">
        <v>1026</v>
      </c>
      <c r="S94" s="706">
        <f t="shared" si="18"/>
        <v>0.29044834307992201</v>
      </c>
      <c r="T94" s="5561"/>
      <c r="U94" s="5562"/>
      <c r="V94" s="706"/>
      <c r="W94" s="107" t="s">
        <v>244</v>
      </c>
      <c r="X94" s="107" t="s">
        <v>4</v>
      </c>
      <c r="Y94" s="41" t="s">
        <v>1633</v>
      </c>
      <c r="Z94" s="41">
        <v>9</v>
      </c>
      <c r="AA94" s="41">
        <v>5</v>
      </c>
      <c r="AB94" s="41"/>
      <c r="AC94" s="41">
        <v>17</v>
      </c>
      <c r="AD94" s="41">
        <v>41</v>
      </c>
      <c r="AE94" s="41">
        <v>17</v>
      </c>
      <c r="AF94" s="41">
        <v>11</v>
      </c>
      <c r="AG94" s="41">
        <v>1</v>
      </c>
      <c r="AH94" s="41"/>
      <c r="AI94" s="41">
        <v>4</v>
      </c>
      <c r="AJ94" s="41">
        <v>8</v>
      </c>
      <c r="AK94" s="41"/>
      <c r="AL94" s="41">
        <v>36</v>
      </c>
      <c r="AM94" s="41"/>
      <c r="AN94" s="461">
        <v>149</v>
      </c>
      <c r="AO94" s="4692">
        <f t="shared" si="20"/>
        <v>0.44295302013422821</v>
      </c>
      <c r="AQ94" s="1788"/>
      <c r="AR94" s="1788"/>
      <c r="AS94" s="4704" t="s">
        <v>260</v>
      </c>
      <c r="AT94" s="4705">
        <v>358</v>
      </c>
      <c r="AU94" s="4705">
        <v>298</v>
      </c>
      <c r="AV94" s="4705">
        <v>2</v>
      </c>
      <c r="AW94" s="4705">
        <v>141</v>
      </c>
      <c r="AX94" s="4705">
        <v>428</v>
      </c>
      <c r="AY94" s="4705">
        <v>192</v>
      </c>
      <c r="AZ94" s="4705">
        <v>122</v>
      </c>
      <c r="BA94" s="4705">
        <v>27</v>
      </c>
      <c r="BB94" s="4705">
        <v>1</v>
      </c>
      <c r="BC94" s="4705">
        <v>355</v>
      </c>
      <c r="BD94" s="4705">
        <v>248</v>
      </c>
      <c r="BE94" s="4705"/>
      <c r="BF94" s="4705">
        <v>431</v>
      </c>
      <c r="BG94" s="4705">
        <v>1</v>
      </c>
      <c r="BH94" s="4705">
        <v>2604</v>
      </c>
      <c r="BI94" s="4706">
        <f t="shared" si="21"/>
        <v>0.33346139070303493</v>
      </c>
      <c r="BK94" s="41" t="s">
        <v>244</v>
      </c>
      <c r="BL94" s="41" t="s">
        <v>4</v>
      </c>
      <c r="BM94" s="41" t="s">
        <v>1633</v>
      </c>
      <c r="BN94" s="105">
        <v>22</v>
      </c>
      <c r="BO94" s="105">
        <v>13</v>
      </c>
      <c r="BP94" s="105"/>
      <c r="BQ94" s="105">
        <v>1</v>
      </c>
      <c r="BR94" s="105">
        <v>34</v>
      </c>
      <c r="BS94" s="105">
        <v>10</v>
      </c>
      <c r="BT94" s="105">
        <v>9</v>
      </c>
      <c r="BU94" s="105">
        <v>1</v>
      </c>
      <c r="BV94" s="105"/>
      <c r="BW94" s="105">
        <v>2</v>
      </c>
      <c r="BX94" s="105">
        <v>9</v>
      </c>
      <c r="BY94" s="105"/>
      <c r="BZ94" s="105">
        <v>31</v>
      </c>
      <c r="CA94" s="105"/>
      <c r="CB94" s="105">
        <v>132</v>
      </c>
      <c r="CC94" s="2484">
        <f t="shared" si="22"/>
        <v>0.40151515151515149</v>
      </c>
      <c r="CE94" s="41" t="s">
        <v>244</v>
      </c>
      <c r="CF94" s="41" t="s">
        <v>4</v>
      </c>
      <c r="CG94" s="41" t="s">
        <v>1633</v>
      </c>
      <c r="CH94" s="105">
        <v>18</v>
      </c>
      <c r="CI94" s="105">
        <v>5</v>
      </c>
      <c r="CJ94" s="105"/>
      <c r="CK94" s="105">
        <v>10</v>
      </c>
      <c r="CL94" s="105">
        <v>24</v>
      </c>
      <c r="CM94" s="105">
        <v>12</v>
      </c>
      <c r="CN94" s="105">
        <v>9</v>
      </c>
      <c r="CO94" s="105"/>
      <c r="CP94" s="105"/>
      <c r="CQ94" s="105">
        <v>1</v>
      </c>
      <c r="CR94" s="105">
        <v>7</v>
      </c>
      <c r="CS94" s="105"/>
      <c r="CT94" s="105">
        <v>24</v>
      </c>
      <c r="CU94" s="105"/>
      <c r="CV94" s="105">
        <v>110</v>
      </c>
      <c r="CW94" s="1644">
        <f t="shared" si="14"/>
        <v>0.39090909090909093</v>
      </c>
      <c r="CX94" s="1976"/>
      <c r="CY94" s="41" t="s">
        <v>244</v>
      </c>
      <c r="CZ94" s="41" t="s">
        <v>4</v>
      </c>
      <c r="DA94" s="41" t="s">
        <v>1633</v>
      </c>
      <c r="DB94" s="105">
        <v>8</v>
      </c>
      <c r="DC94" s="105">
        <v>8</v>
      </c>
      <c r="DD94" s="105"/>
      <c r="DE94" s="105">
        <v>2</v>
      </c>
      <c r="DF94" s="105">
        <v>21</v>
      </c>
      <c r="DG94" s="105">
        <v>8</v>
      </c>
      <c r="DH94" s="105">
        <v>8</v>
      </c>
      <c r="DI94" s="105"/>
      <c r="DJ94" s="105"/>
      <c r="DK94" s="105">
        <v>2</v>
      </c>
      <c r="DL94" s="105">
        <v>1</v>
      </c>
      <c r="DM94" s="105"/>
      <c r="DN94" s="105">
        <v>12</v>
      </c>
      <c r="DO94" s="105"/>
      <c r="DP94" s="105">
        <v>70</v>
      </c>
      <c r="DQ94" s="1644">
        <f t="shared" si="23"/>
        <v>0.42857142857142855</v>
      </c>
      <c r="DS94" s="1311"/>
      <c r="DT94" s="1311"/>
      <c r="DU94" s="1313" t="s">
        <v>260</v>
      </c>
      <c r="DV94" s="1323">
        <v>188</v>
      </c>
      <c r="DW94" s="1323">
        <v>289</v>
      </c>
      <c r="DX94" s="1324"/>
      <c r="DY94" s="1323">
        <v>69</v>
      </c>
      <c r="DZ94" s="1323">
        <v>477</v>
      </c>
      <c r="EA94" s="1323">
        <v>58</v>
      </c>
      <c r="EB94" s="1323">
        <v>72</v>
      </c>
      <c r="EC94" s="1323">
        <v>8</v>
      </c>
      <c r="ED94" s="1324"/>
      <c r="EE94" s="1323">
        <v>146</v>
      </c>
      <c r="EF94" s="1323">
        <v>91</v>
      </c>
      <c r="EG94" s="1324"/>
      <c r="EH94" s="1323">
        <v>295</v>
      </c>
      <c r="EI94" s="1323">
        <v>3</v>
      </c>
      <c r="EJ94" s="1323">
        <v>1696</v>
      </c>
      <c r="EK94" s="1325">
        <f t="shared" si="24"/>
        <v>0.36975782634376847</v>
      </c>
      <c r="EM94" s="1047"/>
      <c r="EN94" s="1047"/>
      <c r="EO94" s="1084" t="s">
        <v>260</v>
      </c>
      <c r="EP94" s="1085">
        <v>165</v>
      </c>
      <c r="EQ94" s="1085">
        <v>178</v>
      </c>
      <c r="ER94" s="1085"/>
      <c r="ES94" s="1085">
        <v>82</v>
      </c>
      <c r="ET94" s="1085">
        <v>380</v>
      </c>
      <c r="EU94" s="1085">
        <v>44</v>
      </c>
      <c r="EV94" s="1085">
        <v>35</v>
      </c>
      <c r="EW94" s="1086">
        <v>1</v>
      </c>
      <c r="EX94" s="1085"/>
      <c r="EY94" s="1085">
        <v>185</v>
      </c>
      <c r="EZ94" s="1085">
        <v>102</v>
      </c>
      <c r="FA94" s="1085">
        <v>349</v>
      </c>
      <c r="FB94" s="1085"/>
      <c r="FC94" s="1085">
        <v>1521</v>
      </c>
      <c r="FD94" s="1087">
        <f t="shared" si="25"/>
        <v>0.34582511505588431</v>
      </c>
      <c r="FF94" s="652"/>
      <c r="FG94" s="652"/>
      <c r="FH94" s="813" t="s">
        <v>260</v>
      </c>
      <c r="FI94" s="1074">
        <v>243</v>
      </c>
      <c r="FJ94" s="1074">
        <v>144</v>
      </c>
      <c r="FK94" s="816"/>
      <c r="FL94" s="1074">
        <v>64</v>
      </c>
      <c r="FM94" s="1074">
        <v>296</v>
      </c>
      <c r="FN94" s="1074">
        <v>49</v>
      </c>
      <c r="FO94" s="1074">
        <v>32</v>
      </c>
      <c r="FP94" s="1074">
        <v>7</v>
      </c>
      <c r="FQ94" s="816"/>
      <c r="FR94" s="1074">
        <v>55</v>
      </c>
      <c r="FS94" s="1074">
        <v>77</v>
      </c>
      <c r="FT94" s="1074">
        <v>240</v>
      </c>
      <c r="FU94" s="816"/>
      <c r="FV94" s="1074">
        <v>1207</v>
      </c>
      <c r="FW94" s="526">
        <f t="shared" si="26"/>
        <v>0.3496271748135874</v>
      </c>
      <c r="GA94" s="456" t="s">
        <v>0</v>
      </c>
      <c r="GB94" s="938" t="s">
        <v>1230</v>
      </c>
      <c r="GC94" s="716" t="s">
        <v>1231</v>
      </c>
      <c r="GD94" s="716" t="s">
        <v>1232</v>
      </c>
      <c r="GE94" s="716" t="s">
        <v>1233</v>
      </c>
      <c r="GF94" s="716" t="s">
        <v>1234</v>
      </c>
      <c r="GG94" s="716" t="s">
        <v>1235</v>
      </c>
      <c r="GH94" s="716" t="s">
        <v>1236</v>
      </c>
      <c r="GI94" s="716" t="s">
        <v>1238</v>
      </c>
      <c r="GJ94" s="716" t="s">
        <v>1239</v>
      </c>
      <c r="GK94" s="716" t="s">
        <v>1240</v>
      </c>
      <c r="GL94" s="716" t="s">
        <v>1243</v>
      </c>
      <c r="GM94" s="716" t="s">
        <v>1241</v>
      </c>
      <c r="GN94" s="716" t="s">
        <v>1242</v>
      </c>
      <c r="GO94" s="716" t="s">
        <v>1244</v>
      </c>
      <c r="GP94" s="938" t="s">
        <v>71</v>
      </c>
      <c r="GQ94" s="1058" t="s">
        <v>66</v>
      </c>
      <c r="GS94" s="107"/>
      <c r="GT94" s="107"/>
      <c r="GU94" s="456" t="s">
        <v>0</v>
      </c>
      <c r="GV94" s="728" t="s">
        <v>1230</v>
      </c>
      <c r="GW94" s="728" t="s">
        <v>1231</v>
      </c>
      <c r="GX94" s="728" t="s">
        <v>1232</v>
      </c>
      <c r="GY94" s="728" t="s">
        <v>1233</v>
      </c>
      <c r="GZ94" s="728" t="s">
        <v>1234</v>
      </c>
      <c r="HA94" s="728" t="s">
        <v>1235</v>
      </c>
      <c r="HB94" s="728" t="s">
        <v>1236</v>
      </c>
      <c r="HC94" s="728" t="s">
        <v>1238</v>
      </c>
      <c r="HD94" s="728" t="s">
        <v>1239</v>
      </c>
      <c r="HE94" s="728" t="s">
        <v>1240</v>
      </c>
      <c r="HF94" s="728" t="s">
        <v>1243</v>
      </c>
      <c r="HG94" s="728" t="s">
        <v>1241</v>
      </c>
      <c r="HH94" s="728" t="s">
        <v>1242</v>
      </c>
      <c r="HI94" s="728" t="s">
        <v>1244</v>
      </c>
      <c r="HJ94" s="728" t="s">
        <v>15</v>
      </c>
      <c r="HK94" s="942" t="s">
        <v>66</v>
      </c>
      <c r="HL94" s="47"/>
      <c r="HM94" s="420"/>
      <c r="HN94" s="420"/>
      <c r="HO94" s="1092" t="s">
        <v>0</v>
      </c>
      <c r="HP94" s="1092" t="s">
        <v>1230</v>
      </c>
      <c r="HQ94" s="1059" t="s">
        <v>1231</v>
      </c>
      <c r="HR94" s="1092" t="s">
        <v>1232</v>
      </c>
      <c r="HS94" s="1059" t="s">
        <v>1233</v>
      </c>
      <c r="HT94" s="1092" t="s">
        <v>1234</v>
      </c>
      <c r="HU94" s="1092" t="s">
        <v>1235</v>
      </c>
      <c r="HV94" s="1059" t="s">
        <v>1236</v>
      </c>
      <c r="HW94" s="1059" t="s">
        <v>1238</v>
      </c>
      <c r="HX94" s="1059" t="s">
        <v>1239</v>
      </c>
      <c r="HY94" s="1059" t="s">
        <v>1240</v>
      </c>
      <c r="HZ94" s="1092" t="s">
        <v>1241</v>
      </c>
      <c r="IA94" s="1059" t="s">
        <v>1242</v>
      </c>
      <c r="IB94" s="1101" t="s">
        <v>15</v>
      </c>
      <c r="IC94" s="1059" t="s">
        <v>1245</v>
      </c>
      <c r="ID94" s="1059" t="s">
        <v>66</v>
      </c>
      <c r="IE94" s="47"/>
      <c r="IF94" s="47"/>
    </row>
    <row r="95" spans="1:240" ht="15" thickBot="1">
      <c r="A95" s="41"/>
      <c r="B95" s="41"/>
      <c r="C95" s="461" t="s">
        <v>260</v>
      </c>
      <c r="D95" s="5556">
        <v>598</v>
      </c>
      <c r="E95" s="5556">
        <v>427</v>
      </c>
      <c r="F95" s="5556">
        <v>1</v>
      </c>
      <c r="G95" s="5556">
        <v>160</v>
      </c>
      <c r="H95" s="5556">
        <v>453</v>
      </c>
      <c r="I95" s="5556">
        <v>264</v>
      </c>
      <c r="J95" s="5556">
        <v>11</v>
      </c>
      <c r="K95" s="5556">
        <v>21</v>
      </c>
      <c r="L95" s="5556">
        <v>2</v>
      </c>
      <c r="M95" s="5556">
        <v>278</v>
      </c>
      <c r="N95" s="5556">
        <v>251</v>
      </c>
      <c r="O95" s="5556"/>
      <c r="P95" s="5556">
        <v>541</v>
      </c>
      <c r="Q95" s="5556">
        <v>2</v>
      </c>
      <c r="R95" s="5556">
        <v>3009</v>
      </c>
      <c r="S95" s="706">
        <f t="shared" si="18"/>
        <v>0.32191553042899901</v>
      </c>
      <c r="T95" s="5561"/>
      <c r="U95" s="5562"/>
      <c r="V95" s="706"/>
      <c r="Y95" s="41" t="s">
        <v>15</v>
      </c>
      <c r="Z95" s="41">
        <v>9</v>
      </c>
      <c r="AA95" s="41">
        <v>5</v>
      </c>
      <c r="AB95" s="41"/>
      <c r="AC95" s="41">
        <v>17</v>
      </c>
      <c r="AD95" s="41">
        <v>41</v>
      </c>
      <c r="AE95" s="41">
        <v>17</v>
      </c>
      <c r="AF95" s="41">
        <v>11</v>
      </c>
      <c r="AG95" s="41">
        <v>1</v>
      </c>
      <c r="AH95" s="41"/>
      <c r="AI95" s="41">
        <v>4</v>
      </c>
      <c r="AJ95" s="41">
        <v>8</v>
      </c>
      <c r="AK95" s="41"/>
      <c r="AL95" s="41">
        <v>36</v>
      </c>
      <c r="AM95" s="41"/>
      <c r="AN95" s="461">
        <v>149</v>
      </c>
      <c r="AO95" s="4692">
        <f t="shared" si="20"/>
        <v>0.44295302013422821</v>
      </c>
      <c r="AQ95" s="1788" t="s">
        <v>244</v>
      </c>
      <c r="AR95" s="1788" t="s">
        <v>4</v>
      </c>
      <c r="AS95" s="37" t="s">
        <v>1633</v>
      </c>
      <c r="AT95" s="1788">
        <v>43</v>
      </c>
      <c r="AU95" s="1788">
        <v>19</v>
      </c>
      <c r="AV95" s="1788"/>
      <c r="AW95" s="1788">
        <v>22</v>
      </c>
      <c r="AX95" s="1788">
        <v>36</v>
      </c>
      <c r="AY95" s="1788">
        <v>20</v>
      </c>
      <c r="AZ95" s="1788">
        <v>11</v>
      </c>
      <c r="BA95" s="1788"/>
      <c r="BB95" s="1788">
        <v>1</v>
      </c>
      <c r="BC95" s="1788">
        <v>6</v>
      </c>
      <c r="BD95" s="1788">
        <v>9</v>
      </c>
      <c r="BE95" s="1788"/>
      <c r="BF95" s="1788">
        <v>41</v>
      </c>
      <c r="BG95" s="1788"/>
      <c r="BH95" s="1788">
        <v>208</v>
      </c>
      <c r="BI95" s="4701">
        <f t="shared" si="21"/>
        <v>0.3125</v>
      </c>
      <c r="BK95" s="41"/>
      <c r="BL95" s="41"/>
      <c r="BM95" s="461" t="s">
        <v>544</v>
      </c>
      <c r="BN95" s="2473">
        <v>22</v>
      </c>
      <c r="BO95" s="2473">
        <v>13</v>
      </c>
      <c r="BP95" s="2473"/>
      <c r="BQ95" s="2473">
        <v>1</v>
      </c>
      <c r="BR95" s="2473">
        <v>34</v>
      </c>
      <c r="BS95" s="2473">
        <v>10</v>
      </c>
      <c r="BT95" s="2473">
        <v>9</v>
      </c>
      <c r="BU95" s="2473">
        <v>1</v>
      </c>
      <c r="BV95" s="2473"/>
      <c r="BW95" s="2473">
        <v>2</v>
      </c>
      <c r="BX95" s="2473">
        <v>9</v>
      </c>
      <c r="BY95" s="2473"/>
      <c r="BZ95" s="2473">
        <v>31</v>
      </c>
      <c r="CA95" s="2473"/>
      <c r="CB95" s="2473">
        <v>132</v>
      </c>
      <c r="CC95" s="2484">
        <f t="shared" si="22"/>
        <v>0.40151515151515149</v>
      </c>
      <c r="CE95" s="41"/>
      <c r="CF95" s="41"/>
      <c r="CG95" s="461" t="s">
        <v>544</v>
      </c>
      <c r="CH95" s="96">
        <v>18</v>
      </c>
      <c r="CI95" s="96">
        <v>5</v>
      </c>
      <c r="CJ95" s="96"/>
      <c r="CK95" s="96">
        <v>10</v>
      </c>
      <c r="CL95" s="96">
        <v>24</v>
      </c>
      <c r="CM95" s="96">
        <v>12</v>
      </c>
      <c r="CN95" s="96">
        <v>9</v>
      </c>
      <c r="CO95" s="96"/>
      <c r="CP95" s="96"/>
      <c r="CQ95" s="96">
        <v>1</v>
      </c>
      <c r="CR95" s="96">
        <v>7</v>
      </c>
      <c r="CS95" s="96"/>
      <c r="CT95" s="96">
        <v>24</v>
      </c>
      <c r="CU95" s="96"/>
      <c r="CV95" s="96">
        <v>110</v>
      </c>
      <c r="CW95" s="635">
        <f t="shared" si="14"/>
        <v>0.39090909090909093</v>
      </c>
      <c r="CX95" s="1977"/>
      <c r="CY95" s="41"/>
      <c r="CZ95" s="41"/>
      <c r="DA95" s="461" t="s">
        <v>544</v>
      </c>
      <c r="DB95" s="96">
        <v>8</v>
      </c>
      <c r="DC95" s="96">
        <v>8</v>
      </c>
      <c r="DD95" s="96"/>
      <c r="DE95" s="96">
        <v>2</v>
      </c>
      <c r="DF95" s="96">
        <v>21</v>
      </c>
      <c r="DG95" s="96">
        <v>8</v>
      </c>
      <c r="DH95" s="96">
        <v>8</v>
      </c>
      <c r="DI95" s="96"/>
      <c r="DJ95" s="96"/>
      <c r="DK95" s="96">
        <v>2</v>
      </c>
      <c r="DL95" s="96">
        <v>1</v>
      </c>
      <c r="DM95" s="96"/>
      <c r="DN95" s="96">
        <v>12</v>
      </c>
      <c r="DO95" s="96"/>
      <c r="DP95" s="96">
        <v>70</v>
      </c>
      <c r="DQ95" s="635">
        <f t="shared" si="23"/>
        <v>0.42857142857142855</v>
      </c>
      <c r="DS95" s="1311" t="s">
        <v>244</v>
      </c>
      <c r="DT95" s="1311" t="s">
        <v>4</v>
      </c>
      <c r="DU95" s="1319" t="s">
        <v>1633</v>
      </c>
      <c r="DV95" s="1320">
        <v>4</v>
      </c>
      <c r="DW95" s="1320">
        <v>3</v>
      </c>
      <c r="DX95" s="1321"/>
      <c r="DY95" s="1320">
        <v>2</v>
      </c>
      <c r="DZ95" s="1320">
        <v>6</v>
      </c>
      <c r="EA95" s="1320">
        <v>11</v>
      </c>
      <c r="EB95" s="1320">
        <v>5</v>
      </c>
      <c r="EC95" s="1320">
        <v>5</v>
      </c>
      <c r="ED95" s="1321"/>
      <c r="EE95" s="1320">
        <v>1</v>
      </c>
      <c r="EF95" s="1320">
        <v>3</v>
      </c>
      <c r="EG95" s="1321"/>
      <c r="EH95" s="1320">
        <v>4</v>
      </c>
      <c r="EI95" s="1321"/>
      <c r="EJ95" s="1320">
        <v>44</v>
      </c>
      <c r="EK95" s="1322">
        <f t="shared" si="24"/>
        <v>0.45454545454545453</v>
      </c>
      <c r="EM95" s="1102"/>
      <c r="EN95" s="1102"/>
      <c r="EO95" s="1055" t="s">
        <v>113</v>
      </c>
      <c r="EP95" s="1103">
        <v>8859</v>
      </c>
      <c r="EQ95" s="1103">
        <v>4693</v>
      </c>
      <c r="ER95" s="1103">
        <v>5</v>
      </c>
      <c r="ES95" s="1103">
        <v>3953</v>
      </c>
      <c r="ET95" s="1103">
        <v>19201</v>
      </c>
      <c r="EU95" s="1103">
        <v>4253</v>
      </c>
      <c r="EV95" s="1103">
        <v>4386</v>
      </c>
      <c r="EW95" s="1103">
        <v>1</v>
      </c>
      <c r="EX95" s="1103">
        <v>9</v>
      </c>
      <c r="EY95" s="1103">
        <v>1951</v>
      </c>
      <c r="EZ95" s="1103">
        <v>4971</v>
      </c>
      <c r="FA95" s="1103">
        <v>14196</v>
      </c>
      <c r="FB95" s="1103">
        <v>161</v>
      </c>
      <c r="FC95" s="1103">
        <v>66639</v>
      </c>
      <c r="FD95" s="575">
        <f t="shared" si="25"/>
        <v>0.42655201908792151</v>
      </c>
      <c r="FF95" s="650"/>
      <c r="FG95" s="650"/>
      <c r="FH95" s="1104" t="s">
        <v>113</v>
      </c>
      <c r="FI95" s="1105">
        <v>8693</v>
      </c>
      <c r="FJ95" s="1105">
        <v>4899</v>
      </c>
      <c r="FK95" s="1105">
        <v>4</v>
      </c>
      <c r="FL95" s="1105">
        <v>4135</v>
      </c>
      <c r="FM95" s="1105">
        <v>18339</v>
      </c>
      <c r="FN95" s="1105">
        <v>4914</v>
      </c>
      <c r="FO95" s="1105">
        <v>3892</v>
      </c>
      <c r="FP95" s="1105">
        <v>16</v>
      </c>
      <c r="FQ95" s="1105">
        <v>7</v>
      </c>
      <c r="FR95" s="1105">
        <v>1158</v>
      </c>
      <c r="FS95" s="1105">
        <v>4543</v>
      </c>
      <c r="FT95" s="1105">
        <v>14293</v>
      </c>
      <c r="FU95" s="1105">
        <v>161</v>
      </c>
      <c r="FV95" s="1105">
        <v>65054</v>
      </c>
      <c r="FW95" s="1106">
        <f t="shared" si="26"/>
        <v>0.42727580164171303</v>
      </c>
      <c r="GA95" s="107" t="s">
        <v>3</v>
      </c>
      <c r="GB95" s="1065">
        <v>4085</v>
      </c>
      <c r="GC95" s="1065">
        <v>1569</v>
      </c>
      <c r="GD95" s="1065">
        <v>0</v>
      </c>
      <c r="GE95" s="1065">
        <v>1347</v>
      </c>
      <c r="GF95" s="1065">
        <v>3858</v>
      </c>
      <c r="GG95" s="1065">
        <v>1080</v>
      </c>
      <c r="GH95" s="1065">
        <v>1522</v>
      </c>
      <c r="GI95" s="1065">
        <v>1</v>
      </c>
      <c r="GJ95" s="1065">
        <v>489</v>
      </c>
      <c r="GK95" s="1065">
        <v>1109</v>
      </c>
      <c r="GL95" s="1065">
        <v>5097</v>
      </c>
      <c r="GM95" s="1065">
        <v>5793</v>
      </c>
      <c r="GN95" s="1065">
        <v>18</v>
      </c>
      <c r="GO95" s="1065">
        <v>90</v>
      </c>
      <c r="GP95" s="1075">
        <v>26058</v>
      </c>
      <c r="GQ95" s="1066">
        <f>+(GK95+GG95+GF95)/(GP95-GO95-GL95)</f>
        <v>0.28973216424704135</v>
      </c>
      <c r="GS95" s="107"/>
      <c r="GT95" s="107"/>
      <c r="GU95" s="107" t="s">
        <v>3</v>
      </c>
      <c r="GV95" s="47">
        <v>3640</v>
      </c>
      <c r="GW95" s="47">
        <v>1534</v>
      </c>
      <c r="GX95" s="47">
        <v>0</v>
      </c>
      <c r="GY95" s="47">
        <v>1362</v>
      </c>
      <c r="GZ95" s="47">
        <v>3852</v>
      </c>
      <c r="HA95" s="47">
        <v>1136</v>
      </c>
      <c r="HB95" s="47">
        <v>1658</v>
      </c>
      <c r="HC95" s="47">
        <v>1</v>
      </c>
      <c r="HD95" s="47">
        <v>355</v>
      </c>
      <c r="HE95" s="47">
        <v>995</v>
      </c>
      <c r="HF95" s="47">
        <v>4724</v>
      </c>
      <c r="HG95" s="47">
        <v>5732</v>
      </c>
      <c r="HH95" s="47">
        <v>18</v>
      </c>
      <c r="HI95" s="47">
        <v>61</v>
      </c>
      <c r="HJ95" s="47">
        <v>25068</v>
      </c>
      <c r="HK95" s="1067">
        <f>+(HE95+HA95+GZ95)/(HJ95-HI95-HF95)</f>
        <v>0.29497608834984962</v>
      </c>
      <c r="HL95" s="47"/>
      <c r="HM95" s="420"/>
      <c r="HN95" s="420"/>
      <c r="HO95" s="420" t="s">
        <v>3</v>
      </c>
      <c r="HP95" s="1068">
        <v>3179</v>
      </c>
      <c r="HQ95" s="1068">
        <v>1444</v>
      </c>
      <c r="HR95" s="1068" t="s">
        <v>327</v>
      </c>
      <c r="HS95" s="1068">
        <v>1396</v>
      </c>
      <c r="HT95" s="1068">
        <v>3822</v>
      </c>
      <c r="HU95" s="1068">
        <v>1078</v>
      </c>
      <c r="HV95" s="1068">
        <v>1749</v>
      </c>
      <c r="HW95" s="1068">
        <v>1</v>
      </c>
      <c r="HX95" s="1068">
        <v>706</v>
      </c>
      <c r="HY95" s="1068">
        <v>1126</v>
      </c>
      <c r="HZ95" s="1068">
        <v>5743</v>
      </c>
      <c r="IA95" s="1068">
        <v>18</v>
      </c>
      <c r="IB95" s="1068">
        <v>20262</v>
      </c>
      <c r="IC95" s="1068">
        <f>+HY95+HU95+HT95</f>
        <v>6026</v>
      </c>
      <c r="ID95" s="1107">
        <f>+IC95/IB95</f>
        <v>0.29740400750172735</v>
      </c>
      <c r="IE95" s="47"/>
      <c r="IF95" s="47"/>
    </row>
    <row r="96" spans="1:240">
      <c r="A96" s="41" t="s">
        <v>244</v>
      </c>
      <c r="B96" s="41" t="s">
        <v>4</v>
      </c>
      <c r="C96" s="41" t="s">
        <v>1633</v>
      </c>
      <c r="D96" s="105">
        <v>55</v>
      </c>
      <c r="E96" s="105">
        <v>23</v>
      </c>
      <c r="F96" s="105"/>
      <c r="G96" s="105">
        <v>27</v>
      </c>
      <c r="H96" s="105">
        <v>43</v>
      </c>
      <c r="I96" s="105">
        <v>27</v>
      </c>
      <c r="J96" s="105">
        <v>11</v>
      </c>
      <c r="K96" s="105"/>
      <c r="L96" s="105">
        <v>1</v>
      </c>
      <c r="M96" s="105">
        <v>6</v>
      </c>
      <c r="N96" s="105">
        <v>15</v>
      </c>
      <c r="O96" s="105"/>
      <c r="P96" s="105">
        <v>46</v>
      </c>
      <c r="Q96" s="105"/>
      <c r="R96" s="105">
        <v>254</v>
      </c>
      <c r="S96" s="706">
        <f t="shared" si="18"/>
        <v>0.3346456692913386</v>
      </c>
      <c r="T96" s="5561">
        <f t="shared" si="19"/>
        <v>0</v>
      </c>
      <c r="U96" s="5562">
        <v>254</v>
      </c>
      <c r="V96" s="706"/>
      <c r="X96" s="107" t="s">
        <v>16</v>
      </c>
      <c r="Y96" s="41" t="s">
        <v>791</v>
      </c>
      <c r="Z96" s="41">
        <v>2</v>
      </c>
      <c r="AA96" s="41">
        <v>11</v>
      </c>
      <c r="AB96" s="41"/>
      <c r="AC96" s="41">
        <v>6</v>
      </c>
      <c r="AD96" s="41">
        <v>73</v>
      </c>
      <c r="AE96" s="41">
        <v>15</v>
      </c>
      <c r="AF96" s="41">
        <v>1</v>
      </c>
      <c r="AG96" s="41"/>
      <c r="AH96" s="41"/>
      <c r="AI96" s="41">
        <v>7</v>
      </c>
      <c r="AJ96" s="41">
        <v>9</v>
      </c>
      <c r="AK96" s="41"/>
      <c r="AL96" s="41">
        <v>24</v>
      </c>
      <c r="AM96" s="41">
        <v>1</v>
      </c>
      <c r="AN96" s="461">
        <v>149</v>
      </c>
      <c r="AO96" s="4692">
        <f t="shared" si="20"/>
        <v>0.65540540540540537</v>
      </c>
      <c r="AQ96" s="1788"/>
      <c r="AR96" s="1788"/>
      <c r="AS96" s="1793" t="s">
        <v>544</v>
      </c>
      <c r="AT96" s="4702">
        <v>43</v>
      </c>
      <c r="AU96" s="4702">
        <v>19</v>
      </c>
      <c r="AV96" s="4702"/>
      <c r="AW96" s="4702">
        <v>22</v>
      </c>
      <c r="AX96" s="4702">
        <v>36</v>
      </c>
      <c r="AY96" s="4702">
        <v>20</v>
      </c>
      <c r="AZ96" s="4702">
        <v>11</v>
      </c>
      <c r="BA96" s="4702"/>
      <c r="BB96" s="4702">
        <v>1</v>
      </c>
      <c r="BC96" s="4702">
        <v>6</v>
      </c>
      <c r="BD96" s="4702">
        <v>9</v>
      </c>
      <c r="BE96" s="4702"/>
      <c r="BF96" s="4702">
        <v>41</v>
      </c>
      <c r="BG96" s="4702"/>
      <c r="BH96" s="4702">
        <v>208</v>
      </c>
      <c r="BI96" s="4703">
        <f t="shared" si="21"/>
        <v>0.3125</v>
      </c>
      <c r="BK96" s="41"/>
      <c r="BL96" s="41" t="s">
        <v>16</v>
      </c>
      <c r="BM96" s="41" t="s">
        <v>791</v>
      </c>
      <c r="BN96" s="105">
        <v>8</v>
      </c>
      <c r="BO96" s="105">
        <v>9</v>
      </c>
      <c r="BP96" s="105"/>
      <c r="BQ96" s="105">
        <v>0</v>
      </c>
      <c r="BR96" s="105">
        <v>56</v>
      </c>
      <c r="BS96" s="105">
        <v>26</v>
      </c>
      <c r="BT96" s="105"/>
      <c r="BU96" s="105"/>
      <c r="BV96" s="105"/>
      <c r="BW96" s="105">
        <v>11</v>
      </c>
      <c r="BX96" s="105">
        <v>9</v>
      </c>
      <c r="BY96" s="105"/>
      <c r="BZ96" s="105">
        <v>22</v>
      </c>
      <c r="CA96" s="105"/>
      <c r="CB96" s="105">
        <v>141</v>
      </c>
      <c r="CC96" s="2484">
        <f t="shared" si="22"/>
        <v>0.64539007092198586</v>
      </c>
      <c r="CE96" s="41"/>
      <c r="CF96" s="41" t="s">
        <v>16</v>
      </c>
      <c r="CG96" s="41" t="s">
        <v>791</v>
      </c>
      <c r="CH96" s="105">
        <v>12</v>
      </c>
      <c r="CI96" s="105">
        <v>4</v>
      </c>
      <c r="CJ96" s="105"/>
      <c r="CK96" s="105">
        <v>4</v>
      </c>
      <c r="CL96" s="105">
        <v>31</v>
      </c>
      <c r="CM96" s="105">
        <v>30</v>
      </c>
      <c r="CN96" s="105">
        <v>1</v>
      </c>
      <c r="CO96" s="105"/>
      <c r="CP96" s="105"/>
      <c r="CQ96" s="105">
        <v>9</v>
      </c>
      <c r="CR96" s="105">
        <v>14</v>
      </c>
      <c r="CS96" s="105"/>
      <c r="CT96" s="105">
        <v>16</v>
      </c>
      <c r="CU96" s="105">
        <v>1</v>
      </c>
      <c r="CV96" s="105">
        <v>122</v>
      </c>
      <c r="CW96" s="1644">
        <f t="shared" si="14"/>
        <v>0.6198347107438017</v>
      </c>
      <c r="CX96" s="1976"/>
      <c r="CY96" s="41"/>
      <c r="CZ96" s="41" t="s">
        <v>16</v>
      </c>
      <c r="DA96" s="41" t="s">
        <v>791</v>
      </c>
      <c r="DB96" s="105">
        <v>12</v>
      </c>
      <c r="DC96" s="105">
        <v>3</v>
      </c>
      <c r="DD96" s="105"/>
      <c r="DE96" s="105">
        <v>2</v>
      </c>
      <c r="DF96" s="105">
        <v>25</v>
      </c>
      <c r="DG96" s="105">
        <v>13</v>
      </c>
      <c r="DH96" s="105"/>
      <c r="DI96" s="105">
        <v>1</v>
      </c>
      <c r="DJ96" s="105"/>
      <c r="DK96" s="105">
        <v>5</v>
      </c>
      <c r="DL96" s="105">
        <v>5</v>
      </c>
      <c r="DM96" s="105"/>
      <c r="DN96" s="105">
        <v>11</v>
      </c>
      <c r="DO96" s="105">
        <v>1</v>
      </c>
      <c r="DP96" s="105">
        <v>78</v>
      </c>
      <c r="DQ96" s="1644">
        <f t="shared" si="23"/>
        <v>0.55844155844155841</v>
      </c>
      <c r="DS96" s="1311"/>
      <c r="DT96" s="1311"/>
      <c r="DU96" s="1313" t="s">
        <v>544</v>
      </c>
      <c r="DV96" s="1323">
        <v>4</v>
      </c>
      <c r="DW96" s="1323">
        <v>3</v>
      </c>
      <c r="DX96" s="1324"/>
      <c r="DY96" s="1323">
        <v>2</v>
      </c>
      <c r="DZ96" s="1323">
        <v>6</v>
      </c>
      <c r="EA96" s="1323">
        <v>11</v>
      </c>
      <c r="EB96" s="1323">
        <v>5</v>
      </c>
      <c r="EC96" s="1323">
        <v>5</v>
      </c>
      <c r="ED96" s="1324"/>
      <c r="EE96" s="1323">
        <v>1</v>
      </c>
      <c r="EF96" s="1323">
        <v>3</v>
      </c>
      <c r="EG96" s="1324"/>
      <c r="EH96" s="1323">
        <v>4</v>
      </c>
      <c r="EI96" s="1324"/>
      <c r="EJ96" s="1323">
        <v>44</v>
      </c>
      <c r="EK96" s="1325">
        <f t="shared" si="24"/>
        <v>0.45454545454545453</v>
      </c>
      <c r="FF96" s="1108"/>
      <c r="FG96" s="1108"/>
      <c r="FH96" s="1108"/>
      <c r="FI96" s="1063"/>
      <c r="FJ96" s="1063"/>
      <c r="FK96" s="652"/>
      <c r="FL96" s="1063"/>
      <c r="FM96" s="1063"/>
      <c r="FN96" s="1063"/>
      <c r="FO96" s="1063"/>
      <c r="FP96" s="1063"/>
      <c r="FQ96" s="652"/>
      <c r="FR96" s="1063"/>
      <c r="FS96" s="1063"/>
      <c r="FT96" s="1063"/>
      <c r="FU96" s="652"/>
      <c r="FV96" s="1063"/>
      <c r="FW96" s="1109"/>
      <c r="GA96" s="107" t="s">
        <v>25</v>
      </c>
      <c r="GB96" s="1065">
        <v>2915</v>
      </c>
      <c r="GC96" s="1065">
        <v>1161</v>
      </c>
      <c r="GD96" s="1065">
        <v>0</v>
      </c>
      <c r="GE96" s="1065">
        <v>1472</v>
      </c>
      <c r="GF96" s="1065">
        <v>3656</v>
      </c>
      <c r="GG96" s="1065">
        <v>498</v>
      </c>
      <c r="GH96" s="1065">
        <v>1172</v>
      </c>
      <c r="GI96" s="1065">
        <v>4</v>
      </c>
      <c r="GJ96" s="1065">
        <v>419</v>
      </c>
      <c r="GK96" s="1065">
        <v>537</v>
      </c>
      <c r="GL96" s="1065">
        <v>2927</v>
      </c>
      <c r="GM96" s="1065">
        <v>4017</v>
      </c>
      <c r="GN96" s="1065">
        <v>0</v>
      </c>
      <c r="GO96" s="1065">
        <v>59</v>
      </c>
      <c r="GP96" s="1075">
        <v>18837</v>
      </c>
      <c r="GQ96" s="1066">
        <f>+(GK96+GG96+GF96)/(GP96-GO96-GL96)</f>
        <v>0.29594347359788026</v>
      </c>
      <c r="GS96" s="107"/>
      <c r="GT96" s="107"/>
      <c r="GU96" s="107" t="s">
        <v>25</v>
      </c>
      <c r="GV96" s="47">
        <v>2558</v>
      </c>
      <c r="GW96" s="47">
        <v>1245</v>
      </c>
      <c r="GX96" s="47">
        <v>0</v>
      </c>
      <c r="GY96" s="47">
        <v>1399</v>
      </c>
      <c r="GZ96" s="47">
        <v>3546</v>
      </c>
      <c r="HA96" s="47">
        <v>496</v>
      </c>
      <c r="HB96" s="47">
        <v>1114</v>
      </c>
      <c r="HC96" s="47">
        <v>4</v>
      </c>
      <c r="HD96" s="47">
        <v>432</v>
      </c>
      <c r="HE96" s="47">
        <v>438</v>
      </c>
      <c r="HF96" s="47">
        <v>2695</v>
      </c>
      <c r="HG96" s="47">
        <v>4069</v>
      </c>
      <c r="HH96" s="47">
        <v>0</v>
      </c>
      <c r="HI96" s="47">
        <v>53</v>
      </c>
      <c r="HJ96" s="47">
        <v>18049</v>
      </c>
      <c r="HK96" s="1067">
        <f>+(HE96+HA96+GZ96)/(HJ96-HI96-HF96)</f>
        <v>0.29279132082870402</v>
      </c>
      <c r="HL96" s="47"/>
      <c r="HM96" s="47"/>
      <c r="HN96" s="47"/>
      <c r="HO96" s="420" t="s">
        <v>25</v>
      </c>
      <c r="HP96" s="1068">
        <v>2129</v>
      </c>
      <c r="HQ96" s="1068">
        <v>1249</v>
      </c>
      <c r="HR96" s="1068" t="s">
        <v>327</v>
      </c>
      <c r="HS96" s="1068">
        <v>1367</v>
      </c>
      <c r="HT96" s="1068">
        <v>3412</v>
      </c>
      <c r="HU96" s="1068">
        <v>483</v>
      </c>
      <c r="HV96" s="1068">
        <v>1291</v>
      </c>
      <c r="HW96" s="1068" t="s">
        <v>327</v>
      </c>
      <c r="HX96" s="1068">
        <v>605</v>
      </c>
      <c r="HY96" s="1068">
        <v>555</v>
      </c>
      <c r="HZ96" s="1068">
        <v>4073</v>
      </c>
      <c r="IA96" s="1068" t="s">
        <v>327</v>
      </c>
      <c r="IB96" s="1068">
        <v>15164</v>
      </c>
      <c r="IC96" s="1068">
        <f>+HY96+HU96+HT96</f>
        <v>4450</v>
      </c>
      <c r="ID96" s="1107">
        <f>+IC96/IB96</f>
        <v>0.2934581904510683</v>
      </c>
      <c r="IE96" s="47"/>
      <c r="IF96" s="47"/>
    </row>
    <row r="97" spans="1:240">
      <c r="A97" s="41"/>
      <c r="B97" s="41"/>
      <c r="C97" s="461" t="s">
        <v>544</v>
      </c>
      <c r="D97" s="5556">
        <v>55</v>
      </c>
      <c r="E97" s="5556">
        <v>23</v>
      </c>
      <c r="F97" s="5556"/>
      <c r="G97" s="5556">
        <v>27</v>
      </c>
      <c r="H97" s="5556">
        <v>43</v>
      </c>
      <c r="I97" s="5556">
        <v>27</v>
      </c>
      <c r="J97" s="5556">
        <v>11</v>
      </c>
      <c r="K97" s="5556"/>
      <c r="L97" s="5556">
        <v>1</v>
      </c>
      <c r="M97" s="5556">
        <v>6</v>
      </c>
      <c r="N97" s="5556">
        <v>15</v>
      </c>
      <c r="O97" s="5556"/>
      <c r="P97" s="5556">
        <v>46</v>
      </c>
      <c r="Q97" s="5556"/>
      <c r="R97" s="5556">
        <v>254</v>
      </c>
      <c r="S97" s="706">
        <f t="shared" si="18"/>
        <v>0.3346456692913386</v>
      </c>
      <c r="T97" s="5561">
        <f t="shared" si="19"/>
        <v>254</v>
      </c>
      <c r="U97" s="5562"/>
      <c r="V97" s="706"/>
      <c r="Y97" s="41" t="s">
        <v>551</v>
      </c>
      <c r="Z97" s="41">
        <v>0</v>
      </c>
      <c r="AA97" s="41">
        <v>5</v>
      </c>
      <c r="AB97" s="41"/>
      <c r="AC97" s="41">
        <v>2</v>
      </c>
      <c r="AD97" s="41">
        <v>8</v>
      </c>
      <c r="AE97" s="41">
        <v>4</v>
      </c>
      <c r="AF97" s="41">
        <v>0</v>
      </c>
      <c r="AG97" s="41"/>
      <c r="AH97" s="41"/>
      <c r="AI97" s="41">
        <v>5</v>
      </c>
      <c r="AJ97" s="41">
        <v>6</v>
      </c>
      <c r="AK97" s="41"/>
      <c r="AL97" s="41">
        <v>3</v>
      </c>
      <c r="AM97" s="41">
        <v>0</v>
      </c>
      <c r="AN97" s="461">
        <v>33</v>
      </c>
      <c r="AO97" s="4692">
        <f t="shared" si="20"/>
        <v>0.54545454545454541</v>
      </c>
      <c r="AQ97" s="1788"/>
      <c r="AR97" s="1788" t="s">
        <v>16</v>
      </c>
      <c r="AS97" s="37" t="s">
        <v>791</v>
      </c>
      <c r="AT97" s="1788">
        <v>12</v>
      </c>
      <c r="AU97" s="1788">
        <v>16</v>
      </c>
      <c r="AV97" s="1788"/>
      <c r="AW97" s="1788">
        <v>8</v>
      </c>
      <c r="AX97" s="1788">
        <v>69</v>
      </c>
      <c r="AY97" s="1788">
        <v>17</v>
      </c>
      <c r="AZ97" s="1788">
        <v>1</v>
      </c>
      <c r="BA97" s="1788"/>
      <c r="BB97" s="1788"/>
      <c r="BC97" s="1788">
        <v>10</v>
      </c>
      <c r="BD97" s="1788">
        <v>13</v>
      </c>
      <c r="BE97" s="1788"/>
      <c r="BF97" s="1788">
        <v>28</v>
      </c>
      <c r="BG97" s="1788">
        <v>1</v>
      </c>
      <c r="BH97" s="1788">
        <v>175</v>
      </c>
      <c r="BI97" s="4701">
        <f t="shared" si="21"/>
        <v>0.56896551724137934</v>
      </c>
      <c r="BK97" s="41"/>
      <c r="BL97" s="41"/>
      <c r="BM97" s="41" t="s">
        <v>551</v>
      </c>
      <c r="BN97" s="105">
        <v>5</v>
      </c>
      <c r="BO97" s="105">
        <v>5</v>
      </c>
      <c r="BP97" s="105"/>
      <c r="BQ97" s="105">
        <v>1</v>
      </c>
      <c r="BR97" s="105">
        <v>3</v>
      </c>
      <c r="BS97" s="105">
        <v>4</v>
      </c>
      <c r="BT97" s="105"/>
      <c r="BU97" s="105"/>
      <c r="BV97" s="105"/>
      <c r="BW97" s="105">
        <v>5</v>
      </c>
      <c r="BX97" s="105">
        <v>6</v>
      </c>
      <c r="BY97" s="105"/>
      <c r="BZ97" s="105">
        <v>3</v>
      </c>
      <c r="CA97" s="105"/>
      <c r="CB97" s="105">
        <v>32</v>
      </c>
      <c r="CC97" s="2484">
        <f t="shared" si="22"/>
        <v>0.40625</v>
      </c>
      <c r="CE97" s="41"/>
      <c r="CF97" s="41"/>
      <c r="CG97" s="41" t="s">
        <v>551</v>
      </c>
      <c r="CH97" s="105">
        <v>1</v>
      </c>
      <c r="CI97" s="105">
        <v>1</v>
      </c>
      <c r="CJ97" s="105"/>
      <c r="CK97" s="105">
        <v>0</v>
      </c>
      <c r="CL97" s="105">
        <v>0</v>
      </c>
      <c r="CM97" s="105">
        <v>0</v>
      </c>
      <c r="CN97" s="105">
        <v>0</v>
      </c>
      <c r="CO97" s="105"/>
      <c r="CP97" s="105"/>
      <c r="CQ97" s="105">
        <v>5</v>
      </c>
      <c r="CR97" s="105">
        <v>7</v>
      </c>
      <c r="CS97" s="105"/>
      <c r="CT97" s="105">
        <v>1</v>
      </c>
      <c r="CU97" s="105">
        <v>0</v>
      </c>
      <c r="CV97" s="105">
        <v>15</v>
      </c>
      <c r="CW97" s="1644">
        <f t="shared" si="14"/>
        <v>0.46666666666666667</v>
      </c>
      <c r="CX97" s="1976"/>
      <c r="CY97" s="41"/>
      <c r="CZ97" s="41"/>
      <c r="DA97" s="461" t="s">
        <v>545</v>
      </c>
      <c r="DB97" s="96">
        <v>12</v>
      </c>
      <c r="DC97" s="96">
        <v>3</v>
      </c>
      <c r="DD97" s="96"/>
      <c r="DE97" s="96">
        <v>2</v>
      </c>
      <c r="DF97" s="96">
        <v>25</v>
      </c>
      <c r="DG97" s="96">
        <v>13</v>
      </c>
      <c r="DH97" s="96"/>
      <c r="DI97" s="96">
        <v>1</v>
      </c>
      <c r="DJ97" s="96"/>
      <c r="DK97" s="96">
        <v>5</v>
      </c>
      <c r="DL97" s="96">
        <v>5</v>
      </c>
      <c r="DM97" s="96"/>
      <c r="DN97" s="96">
        <v>11</v>
      </c>
      <c r="DO97" s="96">
        <v>1</v>
      </c>
      <c r="DP97" s="96">
        <v>78</v>
      </c>
      <c r="DQ97" s="635">
        <f t="shared" si="23"/>
        <v>0.55844155844155841</v>
      </c>
      <c r="DS97" s="1311"/>
      <c r="DT97" s="1311" t="s">
        <v>16</v>
      </c>
      <c r="DU97" s="1319" t="s">
        <v>791</v>
      </c>
      <c r="DV97" s="1320">
        <v>3</v>
      </c>
      <c r="DW97" s="1320">
        <v>2</v>
      </c>
      <c r="DX97" s="1321"/>
      <c r="DY97" s="1321"/>
      <c r="DZ97" s="1320">
        <v>13</v>
      </c>
      <c r="EA97" s="1320">
        <v>16</v>
      </c>
      <c r="EB97" s="1321"/>
      <c r="EC97" s="1320">
        <v>1</v>
      </c>
      <c r="ED97" s="1321"/>
      <c r="EE97" s="1320">
        <v>1</v>
      </c>
      <c r="EF97" s="1320">
        <v>3</v>
      </c>
      <c r="EG97" s="1321"/>
      <c r="EH97" s="1320">
        <v>8</v>
      </c>
      <c r="EI97" s="1320">
        <v>1</v>
      </c>
      <c r="EJ97" s="1320">
        <v>48</v>
      </c>
      <c r="EK97" s="1322">
        <f t="shared" si="24"/>
        <v>0.68085106382978722</v>
      </c>
      <c r="FF97" s="1108"/>
      <c r="FG97" s="1108"/>
      <c r="FH97" s="1108"/>
      <c r="FI97" s="1063"/>
      <c r="FJ97" s="1063"/>
      <c r="FK97" s="652"/>
      <c r="FL97" s="1063"/>
      <c r="FM97" s="1063"/>
      <c r="FN97" s="1063"/>
      <c r="FO97" s="1063"/>
      <c r="FP97" s="1063"/>
      <c r="FQ97" s="652"/>
      <c r="FR97" s="1063"/>
      <c r="FS97" s="1063"/>
      <c r="FT97" s="1063"/>
      <c r="FU97" s="652"/>
      <c r="FV97" s="1063"/>
      <c r="FW97" s="1109"/>
      <c r="GA97" s="107" t="s">
        <v>48</v>
      </c>
      <c r="GB97" s="1065">
        <v>1623</v>
      </c>
      <c r="GC97" s="1065">
        <v>826</v>
      </c>
      <c r="GD97" s="1065">
        <v>1</v>
      </c>
      <c r="GE97" s="1065">
        <v>1412</v>
      </c>
      <c r="GF97" s="1065">
        <v>9893</v>
      </c>
      <c r="GG97" s="1065">
        <v>2819</v>
      </c>
      <c r="GH97" s="1065">
        <v>1529</v>
      </c>
      <c r="GI97" s="1065">
        <v>0</v>
      </c>
      <c r="GJ97" s="1065">
        <v>191</v>
      </c>
      <c r="GK97" s="1065">
        <v>2794</v>
      </c>
      <c r="GL97" s="1065">
        <v>4847</v>
      </c>
      <c r="GM97" s="1065">
        <v>5275</v>
      </c>
      <c r="GN97" s="1065">
        <v>143</v>
      </c>
      <c r="GO97" s="1065">
        <v>163</v>
      </c>
      <c r="GP97" s="1075">
        <v>31516</v>
      </c>
      <c r="GQ97" s="1066">
        <f>+(GK97+GG97+GF97)/(GP97-GO97-GL97)</f>
        <v>0.58499962272692974</v>
      </c>
      <c r="GS97" s="107"/>
      <c r="GT97" s="107"/>
      <c r="GU97" s="107" t="s">
        <v>48</v>
      </c>
      <c r="GV97" s="47">
        <v>1575</v>
      </c>
      <c r="GW97" s="47">
        <v>864</v>
      </c>
      <c r="GX97" s="47">
        <v>2</v>
      </c>
      <c r="GY97" s="47">
        <v>1431</v>
      </c>
      <c r="GZ97" s="47">
        <v>9564</v>
      </c>
      <c r="HA97" s="47">
        <v>2653</v>
      </c>
      <c r="HB97" s="47">
        <v>1537</v>
      </c>
      <c r="HC97" s="47">
        <v>0</v>
      </c>
      <c r="HD97" s="47">
        <v>142</v>
      </c>
      <c r="HE97" s="47">
        <v>2913</v>
      </c>
      <c r="HF97" s="47">
        <v>4588</v>
      </c>
      <c r="HG97" s="47">
        <v>5480</v>
      </c>
      <c r="HH97" s="47">
        <v>143</v>
      </c>
      <c r="HI97" s="47">
        <v>164</v>
      </c>
      <c r="HJ97" s="47">
        <v>31056</v>
      </c>
      <c r="HK97" s="1067">
        <f>+(HE97+HA97+GZ97)/(HJ97-HI97-HF97)</f>
        <v>0.57519768856447684</v>
      </c>
      <c r="HL97" s="47"/>
      <c r="HM97" s="47"/>
      <c r="HN97" s="47"/>
      <c r="HO97" s="420" t="s">
        <v>48</v>
      </c>
      <c r="HP97" s="1068">
        <v>1668</v>
      </c>
      <c r="HQ97" s="1068">
        <v>804</v>
      </c>
      <c r="HR97" s="1068">
        <v>1</v>
      </c>
      <c r="HS97" s="1068">
        <v>1344</v>
      </c>
      <c r="HT97" s="1068">
        <v>8848</v>
      </c>
      <c r="HU97" s="1068">
        <v>2531</v>
      </c>
      <c r="HV97" s="1068">
        <v>1629</v>
      </c>
      <c r="HW97" s="1068" t="s">
        <v>327</v>
      </c>
      <c r="HX97" s="1068">
        <v>161</v>
      </c>
      <c r="HY97" s="1068">
        <v>3439</v>
      </c>
      <c r="HZ97" s="1068">
        <v>5641</v>
      </c>
      <c r="IA97" s="1068">
        <v>122</v>
      </c>
      <c r="IB97" s="1068">
        <v>26188</v>
      </c>
      <c r="IC97" s="1068">
        <f>+HY97+HU97+HT97</f>
        <v>14818</v>
      </c>
      <c r="ID97" s="1107">
        <f>+IC97/IB97</f>
        <v>0.56583167863143424</v>
      </c>
      <c r="IE97" s="47"/>
      <c r="IF97" s="47"/>
    </row>
    <row r="98" spans="1:240">
      <c r="A98" s="41"/>
      <c r="B98" s="41" t="s">
        <v>16</v>
      </c>
      <c r="C98" s="41" t="s">
        <v>791</v>
      </c>
      <c r="D98" s="105">
        <v>21</v>
      </c>
      <c r="E98" s="105">
        <v>18</v>
      </c>
      <c r="F98" s="105"/>
      <c r="G98" s="105">
        <v>10</v>
      </c>
      <c r="H98" s="105">
        <v>73</v>
      </c>
      <c r="I98" s="105">
        <v>28</v>
      </c>
      <c r="J98" s="105">
        <v>1</v>
      </c>
      <c r="K98" s="105"/>
      <c r="L98" s="105"/>
      <c r="M98" s="105">
        <v>15</v>
      </c>
      <c r="N98" s="105">
        <v>24</v>
      </c>
      <c r="O98" s="105"/>
      <c r="P98" s="105">
        <v>36</v>
      </c>
      <c r="Q98" s="105">
        <v>1</v>
      </c>
      <c r="R98" s="105">
        <v>227</v>
      </c>
      <c r="S98" s="706">
        <f t="shared" si="18"/>
        <v>0.55309734513274333</v>
      </c>
      <c r="T98" s="5561">
        <f t="shared" si="19"/>
        <v>0</v>
      </c>
      <c r="U98" s="5562">
        <v>227</v>
      </c>
      <c r="V98" s="706"/>
      <c r="Y98" s="41" t="s">
        <v>15</v>
      </c>
      <c r="Z98" s="41">
        <v>2</v>
      </c>
      <c r="AA98" s="41">
        <v>16</v>
      </c>
      <c r="AB98" s="41"/>
      <c r="AC98" s="41">
        <v>8</v>
      </c>
      <c r="AD98" s="41">
        <v>81</v>
      </c>
      <c r="AE98" s="41">
        <v>19</v>
      </c>
      <c r="AF98" s="41">
        <v>1</v>
      </c>
      <c r="AG98" s="41"/>
      <c r="AH98" s="41"/>
      <c r="AI98" s="41">
        <v>12</v>
      </c>
      <c r="AJ98" s="41">
        <v>15</v>
      </c>
      <c r="AK98" s="41"/>
      <c r="AL98" s="41">
        <v>27</v>
      </c>
      <c r="AM98" s="41">
        <v>1</v>
      </c>
      <c r="AN98" s="461">
        <v>182</v>
      </c>
      <c r="AO98" s="4692">
        <f t="shared" si="20"/>
        <v>0.63535911602209949</v>
      </c>
      <c r="AQ98" s="1788"/>
      <c r="AR98" s="1788"/>
      <c r="AS98" s="37" t="s">
        <v>551</v>
      </c>
      <c r="AT98" s="1788">
        <v>2</v>
      </c>
      <c r="AU98" s="1788">
        <v>6</v>
      </c>
      <c r="AV98" s="1788"/>
      <c r="AW98" s="1788">
        <v>2</v>
      </c>
      <c r="AX98" s="1788">
        <v>5</v>
      </c>
      <c r="AY98" s="1788">
        <v>5</v>
      </c>
      <c r="AZ98" s="1788">
        <v>0</v>
      </c>
      <c r="BA98" s="1788"/>
      <c r="BB98" s="1788"/>
      <c r="BC98" s="1788">
        <v>7</v>
      </c>
      <c r="BD98" s="1788">
        <v>15</v>
      </c>
      <c r="BE98" s="1788"/>
      <c r="BF98" s="1788">
        <v>4</v>
      </c>
      <c r="BG98" s="1788">
        <v>0</v>
      </c>
      <c r="BH98" s="1788">
        <v>46</v>
      </c>
      <c r="BI98" s="4701">
        <f t="shared" si="21"/>
        <v>0.54347826086956519</v>
      </c>
      <c r="BK98" s="41"/>
      <c r="BL98" s="41"/>
      <c r="BM98" s="461" t="s">
        <v>545</v>
      </c>
      <c r="BN98" s="2473">
        <v>13</v>
      </c>
      <c r="BO98" s="2473">
        <v>14</v>
      </c>
      <c r="BP98" s="2473"/>
      <c r="BQ98" s="2473">
        <v>1</v>
      </c>
      <c r="BR98" s="2473">
        <v>59</v>
      </c>
      <c r="BS98" s="2473">
        <v>30</v>
      </c>
      <c r="BT98" s="2473"/>
      <c r="BU98" s="2473"/>
      <c r="BV98" s="2473"/>
      <c r="BW98" s="2473">
        <v>16</v>
      </c>
      <c r="BX98" s="2473">
        <v>15</v>
      </c>
      <c r="BY98" s="2473"/>
      <c r="BZ98" s="2473">
        <v>25</v>
      </c>
      <c r="CA98" s="2473"/>
      <c r="CB98" s="2473">
        <v>173</v>
      </c>
      <c r="CC98" s="2484">
        <f t="shared" si="22"/>
        <v>0.60115606936416188</v>
      </c>
      <c r="CE98" s="41"/>
      <c r="CF98" s="41"/>
      <c r="CG98" s="461" t="s">
        <v>545</v>
      </c>
      <c r="CH98" s="96">
        <v>13</v>
      </c>
      <c r="CI98" s="96">
        <v>5</v>
      </c>
      <c r="CJ98" s="96"/>
      <c r="CK98" s="96">
        <v>4</v>
      </c>
      <c r="CL98" s="96">
        <v>31</v>
      </c>
      <c r="CM98" s="96">
        <v>30</v>
      </c>
      <c r="CN98" s="96">
        <v>1</v>
      </c>
      <c r="CO98" s="96"/>
      <c r="CP98" s="96"/>
      <c r="CQ98" s="96">
        <v>14</v>
      </c>
      <c r="CR98" s="96">
        <v>21</v>
      </c>
      <c r="CS98" s="96"/>
      <c r="CT98" s="96">
        <v>17</v>
      </c>
      <c r="CU98" s="96">
        <v>1</v>
      </c>
      <c r="CV98" s="96">
        <v>137</v>
      </c>
      <c r="CW98" s="635">
        <f t="shared" si="14"/>
        <v>0.6029411764705882</v>
      </c>
      <c r="CX98" s="1977"/>
      <c r="CY98" s="41"/>
      <c r="CZ98" s="41" t="s">
        <v>41</v>
      </c>
      <c r="DA98" s="41" t="s">
        <v>792</v>
      </c>
      <c r="DB98" s="105">
        <v>10</v>
      </c>
      <c r="DC98" s="105">
        <v>5</v>
      </c>
      <c r="DD98" s="105"/>
      <c r="DE98" s="105">
        <v>2</v>
      </c>
      <c r="DF98" s="105">
        <v>22</v>
      </c>
      <c r="DG98" s="105">
        <v>14</v>
      </c>
      <c r="DH98" s="105">
        <v>2</v>
      </c>
      <c r="DI98" s="105"/>
      <c r="DJ98" s="105"/>
      <c r="DK98" s="105">
        <v>4</v>
      </c>
      <c r="DL98" s="105"/>
      <c r="DM98" s="105"/>
      <c r="DN98" s="105">
        <v>8</v>
      </c>
      <c r="DO98" s="105"/>
      <c r="DP98" s="105">
        <v>67</v>
      </c>
      <c r="DQ98" s="1644">
        <f t="shared" si="23"/>
        <v>0.53731343283582089</v>
      </c>
      <c r="DS98" s="1311"/>
      <c r="DT98" s="1311"/>
      <c r="DU98" s="1313" t="s">
        <v>545</v>
      </c>
      <c r="DV98" s="1323">
        <v>3</v>
      </c>
      <c r="DW98" s="1323">
        <v>2</v>
      </c>
      <c r="DX98" s="1324"/>
      <c r="DY98" s="1324"/>
      <c r="DZ98" s="1323">
        <v>13</v>
      </c>
      <c r="EA98" s="1323">
        <v>16</v>
      </c>
      <c r="EB98" s="1324"/>
      <c r="EC98" s="1323">
        <v>1</v>
      </c>
      <c r="ED98" s="1324"/>
      <c r="EE98" s="1323">
        <v>1</v>
      </c>
      <c r="EF98" s="1323">
        <v>3</v>
      </c>
      <c r="EG98" s="1324"/>
      <c r="EH98" s="1323">
        <v>8</v>
      </c>
      <c r="EI98" s="1323">
        <v>1</v>
      </c>
      <c r="EJ98" s="1323">
        <v>48</v>
      </c>
      <c r="EK98" s="1325">
        <f t="shared" si="24"/>
        <v>0.68085106382978722</v>
      </c>
      <c r="FF98" s="1108"/>
      <c r="FG98" s="1108"/>
      <c r="FH98" s="1108"/>
      <c r="FI98" s="1063"/>
      <c r="FJ98" s="1063"/>
      <c r="FK98" s="652"/>
      <c r="FL98" s="1063"/>
      <c r="FM98" s="1063"/>
      <c r="FN98" s="1063"/>
      <c r="FO98" s="1063"/>
      <c r="FP98" s="1063"/>
      <c r="FQ98" s="652"/>
      <c r="FR98" s="1063"/>
      <c r="FS98" s="1063"/>
      <c r="FT98" s="1063"/>
      <c r="FU98" s="652"/>
      <c r="FV98" s="1063"/>
      <c r="FW98" s="1109"/>
      <c r="GA98" s="107" t="s">
        <v>59</v>
      </c>
      <c r="GB98" s="1065">
        <v>224</v>
      </c>
      <c r="GC98" s="1065">
        <v>87</v>
      </c>
      <c r="GD98" s="1065">
        <v>0</v>
      </c>
      <c r="GE98" s="1065">
        <v>47</v>
      </c>
      <c r="GF98" s="1065">
        <v>201</v>
      </c>
      <c r="GG98" s="1065">
        <v>45</v>
      </c>
      <c r="GH98" s="1065">
        <v>25</v>
      </c>
      <c r="GI98" s="1065">
        <v>0</v>
      </c>
      <c r="GJ98" s="1065">
        <v>40</v>
      </c>
      <c r="GK98" s="1065">
        <v>93</v>
      </c>
      <c r="GL98" s="1065">
        <v>186</v>
      </c>
      <c r="GM98" s="1065">
        <v>186</v>
      </c>
      <c r="GN98" s="1065">
        <v>0</v>
      </c>
      <c r="GO98" s="1065">
        <v>8</v>
      </c>
      <c r="GP98" s="1075">
        <v>1142</v>
      </c>
      <c r="GQ98" s="1066">
        <f>+(GK98+GG98+GF98)/(GP98-GO98-GL98)</f>
        <v>0.35759493670886078</v>
      </c>
      <c r="GS98" s="107"/>
      <c r="GT98" s="107"/>
      <c r="GU98" s="107" t="s">
        <v>59</v>
      </c>
      <c r="GV98" s="47">
        <v>145</v>
      </c>
      <c r="GW98" s="47">
        <v>61</v>
      </c>
      <c r="GX98" s="47">
        <v>1</v>
      </c>
      <c r="GY98" s="47">
        <v>19</v>
      </c>
      <c r="GZ98" s="47">
        <v>128</v>
      </c>
      <c r="HA98" s="47">
        <v>30</v>
      </c>
      <c r="HB98" s="47">
        <v>15</v>
      </c>
      <c r="HC98" s="47">
        <v>0</v>
      </c>
      <c r="HD98" s="47">
        <v>29</v>
      </c>
      <c r="HE98" s="47">
        <v>59</v>
      </c>
      <c r="HF98" s="47">
        <v>138</v>
      </c>
      <c r="HG98" s="47">
        <v>114</v>
      </c>
      <c r="HH98" s="47">
        <v>0</v>
      </c>
      <c r="HI98" s="47">
        <v>4</v>
      </c>
      <c r="HJ98" s="47">
        <v>743</v>
      </c>
      <c r="HK98" s="1067">
        <f>+(HE98+HA98+GZ98)/(HJ98-HI98-HF98)</f>
        <v>0.36106489184692181</v>
      </c>
      <c r="HL98" s="47"/>
      <c r="HM98" s="47"/>
      <c r="HN98" s="47"/>
      <c r="HO98" s="420" t="s">
        <v>59</v>
      </c>
      <c r="HP98" s="1068">
        <v>50</v>
      </c>
      <c r="HQ98" s="1068">
        <v>36</v>
      </c>
      <c r="HR98" s="1068" t="s">
        <v>327</v>
      </c>
      <c r="HS98" s="1068">
        <v>6</v>
      </c>
      <c r="HT98" s="1068">
        <v>46</v>
      </c>
      <c r="HU98" s="1068">
        <v>29</v>
      </c>
      <c r="HV98" s="1068">
        <v>6</v>
      </c>
      <c r="HW98" s="1068" t="s">
        <v>327</v>
      </c>
      <c r="HX98" s="1068">
        <v>13</v>
      </c>
      <c r="HY98" s="1068">
        <v>47</v>
      </c>
      <c r="HZ98" s="1068">
        <v>53</v>
      </c>
      <c r="IA98" s="1068" t="s">
        <v>327</v>
      </c>
      <c r="IB98" s="1068">
        <v>286</v>
      </c>
      <c r="IC98" s="1068">
        <f>+HY98+HU98+HT98</f>
        <v>122</v>
      </c>
      <c r="ID98" s="1107">
        <f>+IC98/IB98</f>
        <v>0.42657342657342656</v>
      </c>
      <c r="IE98" s="47"/>
      <c r="IF98" s="47"/>
    </row>
    <row r="99" spans="1:240" ht="15" thickBot="1">
      <c r="A99" s="41"/>
      <c r="B99" s="41"/>
      <c r="C99" s="41" t="s">
        <v>551</v>
      </c>
      <c r="D99" s="105">
        <v>2</v>
      </c>
      <c r="E99" s="105">
        <v>8</v>
      </c>
      <c r="F99" s="105"/>
      <c r="G99" s="105">
        <v>3</v>
      </c>
      <c r="H99" s="105">
        <v>7</v>
      </c>
      <c r="I99" s="105">
        <v>11</v>
      </c>
      <c r="J99" s="105">
        <v>0</v>
      </c>
      <c r="K99" s="105"/>
      <c r="L99" s="105"/>
      <c r="M99" s="105">
        <v>9</v>
      </c>
      <c r="N99" s="105">
        <v>21</v>
      </c>
      <c r="O99" s="105"/>
      <c r="P99" s="105">
        <v>5</v>
      </c>
      <c r="Q99" s="105">
        <v>0</v>
      </c>
      <c r="R99" s="105">
        <v>66</v>
      </c>
      <c r="S99" s="706">
        <f t="shared" si="18"/>
        <v>0.59090909090909094</v>
      </c>
      <c r="T99" s="5561">
        <f t="shared" si="19"/>
        <v>1</v>
      </c>
      <c r="U99" s="5562">
        <v>65</v>
      </c>
      <c r="V99" s="706"/>
      <c r="X99" s="107" t="s">
        <v>41</v>
      </c>
      <c r="Y99" s="41" t="s">
        <v>792</v>
      </c>
      <c r="Z99" s="41">
        <v>11</v>
      </c>
      <c r="AA99" s="41">
        <v>7</v>
      </c>
      <c r="AB99" s="41"/>
      <c r="AC99" s="41">
        <v>4</v>
      </c>
      <c r="AD99" s="41">
        <v>68</v>
      </c>
      <c r="AE99" s="41">
        <v>20</v>
      </c>
      <c r="AF99" s="41">
        <v>3</v>
      </c>
      <c r="AG99" s="41">
        <v>1</v>
      </c>
      <c r="AH99" s="41"/>
      <c r="AI99" s="41">
        <v>8</v>
      </c>
      <c r="AJ99" s="41">
        <v>2</v>
      </c>
      <c r="AK99" s="41"/>
      <c r="AL99" s="41">
        <v>30</v>
      </c>
      <c r="AM99" s="41"/>
      <c r="AN99" s="461">
        <v>154</v>
      </c>
      <c r="AO99" s="4692">
        <f t="shared" si="20"/>
        <v>0.58441558441558439</v>
      </c>
      <c r="AQ99" s="1788"/>
      <c r="AR99" s="1788"/>
      <c r="AS99" s="1793" t="s">
        <v>545</v>
      </c>
      <c r="AT99" s="4702">
        <v>14</v>
      </c>
      <c r="AU99" s="4702">
        <v>22</v>
      </c>
      <c r="AV99" s="4702"/>
      <c r="AW99" s="4702">
        <v>10</v>
      </c>
      <c r="AX99" s="4702">
        <v>74</v>
      </c>
      <c r="AY99" s="4702">
        <v>22</v>
      </c>
      <c r="AZ99" s="4702">
        <v>1</v>
      </c>
      <c r="BA99" s="4702"/>
      <c r="BB99" s="4702"/>
      <c r="BC99" s="4702">
        <v>17</v>
      </c>
      <c r="BD99" s="4702">
        <v>28</v>
      </c>
      <c r="BE99" s="4702"/>
      <c r="BF99" s="4702">
        <v>32</v>
      </c>
      <c r="BG99" s="4702">
        <v>1</v>
      </c>
      <c r="BH99" s="4702">
        <v>221</v>
      </c>
      <c r="BI99" s="4703">
        <f t="shared" si="21"/>
        <v>0.5636363636363636</v>
      </c>
      <c r="BK99" s="41"/>
      <c r="BL99" s="41" t="s">
        <v>41</v>
      </c>
      <c r="BM99" s="41" t="s">
        <v>792</v>
      </c>
      <c r="BN99" s="105">
        <v>19</v>
      </c>
      <c r="BO99" s="105">
        <v>7</v>
      </c>
      <c r="BP99" s="105"/>
      <c r="BQ99" s="105"/>
      <c r="BR99" s="105">
        <v>51</v>
      </c>
      <c r="BS99" s="105">
        <v>24</v>
      </c>
      <c r="BT99" s="105">
        <v>3</v>
      </c>
      <c r="BU99" s="105"/>
      <c r="BV99" s="105"/>
      <c r="BW99" s="105">
        <v>6</v>
      </c>
      <c r="BX99" s="105">
        <v>11</v>
      </c>
      <c r="BY99" s="105"/>
      <c r="BZ99" s="105">
        <v>29</v>
      </c>
      <c r="CA99" s="105"/>
      <c r="CB99" s="105">
        <v>150</v>
      </c>
      <c r="CC99" s="2484">
        <f t="shared" si="22"/>
        <v>0.57333333333333336</v>
      </c>
      <c r="CE99" s="41"/>
      <c r="CF99" s="41" t="s">
        <v>41</v>
      </c>
      <c r="CG99" s="41" t="s">
        <v>792</v>
      </c>
      <c r="CH99" s="105">
        <v>15</v>
      </c>
      <c r="CI99" s="105">
        <v>6</v>
      </c>
      <c r="CJ99" s="105"/>
      <c r="CK99" s="105">
        <v>3</v>
      </c>
      <c r="CL99" s="105">
        <v>29</v>
      </c>
      <c r="CM99" s="105">
        <v>22</v>
      </c>
      <c r="CN99" s="105">
        <v>3</v>
      </c>
      <c r="CO99" s="105"/>
      <c r="CP99" s="105"/>
      <c r="CQ99" s="105">
        <v>3</v>
      </c>
      <c r="CR99" s="105">
        <v>16</v>
      </c>
      <c r="CS99" s="105"/>
      <c r="CT99" s="105">
        <v>14</v>
      </c>
      <c r="CU99" s="105"/>
      <c r="CV99" s="105">
        <v>111</v>
      </c>
      <c r="CW99" s="1644">
        <f t="shared" si="14"/>
        <v>0.60360360360360366</v>
      </c>
      <c r="CX99" s="1976"/>
      <c r="CY99" s="41"/>
      <c r="CZ99" s="41"/>
      <c r="DA99" s="461" t="s">
        <v>547</v>
      </c>
      <c r="DB99" s="96">
        <v>10</v>
      </c>
      <c r="DC99" s="96">
        <v>5</v>
      </c>
      <c r="DD99" s="96"/>
      <c r="DE99" s="96">
        <v>2</v>
      </c>
      <c r="DF99" s="96">
        <v>22</v>
      </c>
      <c r="DG99" s="96">
        <v>14</v>
      </c>
      <c r="DH99" s="96">
        <v>2</v>
      </c>
      <c r="DI99" s="96"/>
      <c r="DJ99" s="96"/>
      <c r="DK99" s="96">
        <v>4</v>
      </c>
      <c r="DL99" s="96"/>
      <c r="DM99" s="96"/>
      <c r="DN99" s="96">
        <v>8</v>
      </c>
      <c r="DO99" s="96"/>
      <c r="DP99" s="96">
        <v>67</v>
      </c>
      <c r="DQ99" s="635">
        <f t="shared" si="23"/>
        <v>0.53731343283582089</v>
      </c>
      <c r="DS99" s="1311"/>
      <c r="DT99" s="1311" t="s">
        <v>41</v>
      </c>
      <c r="DU99" s="1319" t="s">
        <v>792</v>
      </c>
      <c r="DV99" s="1320">
        <v>8</v>
      </c>
      <c r="DW99" s="1320">
        <v>2</v>
      </c>
      <c r="DX99" s="1321"/>
      <c r="DY99" s="1320">
        <v>2</v>
      </c>
      <c r="DZ99" s="1320">
        <v>10</v>
      </c>
      <c r="EA99" s="1320">
        <v>13</v>
      </c>
      <c r="EB99" s="1320">
        <v>2</v>
      </c>
      <c r="EC99" s="1321"/>
      <c r="ED99" s="1321"/>
      <c r="EE99" s="1320">
        <v>4</v>
      </c>
      <c r="EF99" s="1321"/>
      <c r="EG99" s="1321"/>
      <c r="EH99" s="1320">
        <v>4</v>
      </c>
      <c r="EI99" s="1321"/>
      <c r="EJ99" s="1320">
        <v>45</v>
      </c>
      <c r="EK99" s="1322">
        <f t="shared" si="24"/>
        <v>0.51111111111111107</v>
      </c>
      <c r="FF99" s="1108"/>
      <c r="FG99" s="1108"/>
      <c r="FH99" s="1108"/>
      <c r="FI99" s="1063"/>
      <c r="FJ99" s="1063"/>
      <c r="FK99" s="652"/>
      <c r="FL99" s="1063"/>
      <c r="FM99" s="1063"/>
      <c r="FN99" s="1063"/>
      <c r="FO99" s="1063"/>
      <c r="FP99" s="1063"/>
      <c r="FQ99" s="652"/>
      <c r="FR99" s="1063"/>
      <c r="FS99" s="1063"/>
      <c r="FT99" s="1063"/>
      <c r="FU99" s="652"/>
      <c r="FV99" s="1063"/>
      <c r="FW99" s="1109"/>
      <c r="GA99" s="456" t="s">
        <v>15</v>
      </c>
      <c r="GB99" s="1097">
        <v>8847</v>
      </c>
      <c r="GC99" s="1097">
        <v>3643</v>
      </c>
      <c r="GD99" s="1097">
        <v>1</v>
      </c>
      <c r="GE99" s="1097">
        <v>4278</v>
      </c>
      <c r="GF99" s="1097">
        <v>17608</v>
      </c>
      <c r="GG99" s="1097">
        <v>4442</v>
      </c>
      <c r="GH99" s="1097">
        <v>4248</v>
      </c>
      <c r="GI99" s="1097">
        <v>5</v>
      </c>
      <c r="GJ99" s="1097">
        <v>1139</v>
      </c>
      <c r="GK99" s="1097">
        <v>4533</v>
      </c>
      <c r="GL99" s="1097">
        <v>13057</v>
      </c>
      <c r="GM99" s="1097">
        <v>15271</v>
      </c>
      <c r="GN99" s="1097">
        <v>161</v>
      </c>
      <c r="GO99" s="1097">
        <v>320</v>
      </c>
      <c r="GP99" s="1097">
        <v>77553</v>
      </c>
      <c r="GQ99" s="1098">
        <f>+(GK99+GG99+GF99)/(GP99-GO99-GL99)</f>
        <v>0.41422026925953626</v>
      </c>
      <c r="GS99" s="107"/>
      <c r="GT99" s="107"/>
      <c r="GU99" s="456" t="s">
        <v>15</v>
      </c>
      <c r="GV99" s="941">
        <v>7918</v>
      </c>
      <c r="GW99" s="941">
        <v>3704</v>
      </c>
      <c r="GX99" s="941">
        <v>3</v>
      </c>
      <c r="GY99" s="941">
        <v>4211</v>
      </c>
      <c r="GZ99" s="941">
        <v>17090</v>
      </c>
      <c r="HA99" s="941">
        <v>4315</v>
      </c>
      <c r="HB99" s="941">
        <v>4324</v>
      </c>
      <c r="HC99" s="941">
        <v>5</v>
      </c>
      <c r="HD99" s="941">
        <v>958</v>
      </c>
      <c r="HE99" s="941">
        <v>4405</v>
      </c>
      <c r="HF99" s="941">
        <v>12145</v>
      </c>
      <c r="HG99" s="941">
        <v>15395</v>
      </c>
      <c r="HH99" s="941">
        <v>161</v>
      </c>
      <c r="HI99" s="941">
        <v>282</v>
      </c>
      <c r="HJ99" s="941">
        <v>74916</v>
      </c>
      <c r="HK99" s="1110">
        <f>+(HE99+HA99+GZ99)/(HJ99-HI99-HF99)</f>
        <v>0.41303269375410073</v>
      </c>
      <c r="HL99" s="47"/>
      <c r="HM99" s="47"/>
      <c r="HN99" s="47"/>
      <c r="HO99" s="1092" t="s">
        <v>15</v>
      </c>
      <c r="HP99" s="1093">
        <v>7026</v>
      </c>
      <c r="HQ99" s="1093">
        <v>3533</v>
      </c>
      <c r="HR99" s="1093">
        <v>1</v>
      </c>
      <c r="HS99" s="1093">
        <v>4113</v>
      </c>
      <c r="HT99" s="1093">
        <v>16128</v>
      </c>
      <c r="HU99" s="1093">
        <v>4121</v>
      </c>
      <c r="HV99" s="1093">
        <v>4675</v>
      </c>
      <c r="HW99" s="1093">
        <v>1</v>
      </c>
      <c r="HX99" s="1093">
        <v>1485</v>
      </c>
      <c r="HY99" s="1093">
        <v>5167</v>
      </c>
      <c r="HZ99" s="1093">
        <v>15510</v>
      </c>
      <c r="IA99" s="1093">
        <v>140</v>
      </c>
      <c r="IB99" s="1093">
        <v>61900</v>
      </c>
      <c r="IC99" s="1093">
        <f>+HY99+HU99+HT99</f>
        <v>25416</v>
      </c>
      <c r="ID99" s="1111">
        <f>+IC99/IB99</f>
        <v>0.41059773828756058</v>
      </c>
      <c r="IE99" s="47"/>
      <c r="IF99" s="47"/>
    </row>
    <row r="100" spans="1:240">
      <c r="A100" s="41"/>
      <c r="B100" s="41"/>
      <c r="C100" s="461" t="s">
        <v>545</v>
      </c>
      <c r="D100" s="5556">
        <v>23</v>
      </c>
      <c r="E100" s="5556">
        <v>26</v>
      </c>
      <c r="F100" s="5556"/>
      <c r="G100" s="5556">
        <v>13</v>
      </c>
      <c r="H100" s="5556">
        <v>80</v>
      </c>
      <c r="I100" s="5556">
        <v>39</v>
      </c>
      <c r="J100" s="5556">
        <v>1</v>
      </c>
      <c r="K100" s="5556"/>
      <c r="L100" s="5556"/>
      <c r="M100" s="5556">
        <v>24</v>
      </c>
      <c r="N100" s="5556">
        <v>45</v>
      </c>
      <c r="O100" s="5556"/>
      <c r="P100" s="5556">
        <v>41</v>
      </c>
      <c r="Q100" s="5556">
        <v>1</v>
      </c>
      <c r="R100" s="5556">
        <v>293</v>
      </c>
      <c r="S100" s="706">
        <f t="shared" si="18"/>
        <v>0.56164383561643838</v>
      </c>
      <c r="T100" s="5561">
        <f t="shared" si="19"/>
        <v>293</v>
      </c>
      <c r="U100" s="5562"/>
      <c r="V100" s="706"/>
      <c r="Y100" s="41" t="s">
        <v>2696</v>
      </c>
      <c r="Z100" s="41">
        <v>0</v>
      </c>
      <c r="AA100" s="41">
        <v>1</v>
      </c>
      <c r="AB100" s="41"/>
      <c r="AC100" s="41">
        <v>0</v>
      </c>
      <c r="AD100" s="41">
        <v>0</v>
      </c>
      <c r="AE100" s="41">
        <v>0</v>
      </c>
      <c r="AF100" s="41">
        <v>0</v>
      </c>
      <c r="AG100" s="41">
        <v>0</v>
      </c>
      <c r="AH100" s="41"/>
      <c r="AI100" s="41">
        <v>0</v>
      </c>
      <c r="AJ100" s="41">
        <v>0</v>
      </c>
      <c r="AK100" s="41"/>
      <c r="AL100" s="41">
        <v>0</v>
      </c>
      <c r="AM100" s="41"/>
      <c r="AN100" s="461">
        <v>1</v>
      </c>
      <c r="AO100" s="4692">
        <f t="shared" si="20"/>
        <v>0</v>
      </c>
      <c r="AQ100" s="1788"/>
      <c r="AR100" s="1788" t="s">
        <v>41</v>
      </c>
      <c r="AS100" s="37" t="s">
        <v>792</v>
      </c>
      <c r="AT100" s="1788">
        <v>53</v>
      </c>
      <c r="AU100" s="1788">
        <v>16</v>
      </c>
      <c r="AV100" s="1788"/>
      <c r="AW100" s="1788">
        <v>12</v>
      </c>
      <c r="AX100" s="1788">
        <v>56</v>
      </c>
      <c r="AY100" s="1788">
        <v>29</v>
      </c>
      <c r="AZ100" s="1788">
        <v>3</v>
      </c>
      <c r="BA100" s="1788"/>
      <c r="BB100" s="1788"/>
      <c r="BC100" s="1788">
        <v>14</v>
      </c>
      <c r="BD100" s="1788">
        <v>6</v>
      </c>
      <c r="BE100" s="1788"/>
      <c r="BF100" s="1788">
        <v>35</v>
      </c>
      <c r="BG100" s="1788"/>
      <c r="BH100" s="1788">
        <v>224</v>
      </c>
      <c r="BI100" s="4701">
        <f t="shared" si="21"/>
        <v>0.40625</v>
      </c>
      <c r="BK100" s="41"/>
      <c r="BL100" s="41"/>
      <c r="BM100" s="41" t="s">
        <v>2696</v>
      </c>
      <c r="BN100" s="105">
        <v>1</v>
      </c>
      <c r="BO100" s="105">
        <v>0</v>
      </c>
      <c r="BP100" s="105"/>
      <c r="BQ100" s="105"/>
      <c r="BR100" s="105">
        <v>0</v>
      </c>
      <c r="BS100" s="105">
        <v>0</v>
      </c>
      <c r="BT100" s="105">
        <v>0</v>
      </c>
      <c r="BU100" s="105"/>
      <c r="BV100" s="105"/>
      <c r="BW100" s="105">
        <v>0</v>
      </c>
      <c r="BX100" s="105">
        <v>0</v>
      </c>
      <c r="BY100" s="105"/>
      <c r="BZ100" s="105">
        <v>0</v>
      </c>
      <c r="CA100" s="105"/>
      <c r="CB100" s="105">
        <v>1</v>
      </c>
      <c r="CC100" s="2484">
        <f t="shared" si="22"/>
        <v>0</v>
      </c>
      <c r="CE100" s="461"/>
      <c r="CF100" s="461"/>
      <c r="CG100" s="461" t="s">
        <v>547</v>
      </c>
      <c r="CH100" s="96">
        <v>15</v>
      </c>
      <c r="CI100" s="96">
        <v>6</v>
      </c>
      <c r="CJ100" s="96"/>
      <c r="CK100" s="96">
        <v>3</v>
      </c>
      <c r="CL100" s="96">
        <v>29</v>
      </c>
      <c r="CM100" s="96">
        <v>22</v>
      </c>
      <c r="CN100" s="96">
        <v>3</v>
      </c>
      <c r="CO100" s="96"/>
      <c r="CP100" s="96"/>
      <c r="CQ100" s="96">
        <v>3</v>
      </c>
      <c r="CR100" s="96">
        <v>16</v>
      </c>
      <c r="CS100" s="96"/>
      <c r="CT100" s="96">
        <v>14</v>
      </c>
      <c r="CU100" s="96"/>
      <c r="CV100" s="96">
        <v>111</v>
      </c>
      <c r="CW100" s="635">
        <f t="shared" si="14"/>
        <v>0.60360360360360366</v>
      </c>
      <c r="CX100" s="1977"/>
      <c r="CY100" s="41"/>
      <c r="CZ100" s="41"/>
      <c r="DA100" s="461" t="s">
        <v>1158</v>
      </c>
      <c r="DB100" s="96">
        <v>30</v>
      </c>
      <c r="DC100" s="96">
        <v>16</v>
      </c>
      <c r="DD100" s="96"/>
      <c r="DE100" s="96">
        <v>6</v>
      </c>
      <c r="DF100" s="96">
        <v>68</v>
      </c>
      <c r="DG100" s="96">
        <v>35</v>
      </c>
      <c r="DH100" s="96">
        <v>10</v>
      </c>
      <c r="DI100" s="96">
        <v>1</v>
      </c>
      <c r="DJ100" s="96"/>
      <c r="DK100" s="96">
        <v>11</v>
      </c>
      <c r="DL100" s="96">
        <v>6</v>
      </c>
      <c r="DM100" s="96"/>
      <c r="DN100" s="96">
        <v>31</v>
      </c>
      <c r="DO100" s="96">
        <v>1</v>
      </c>
      <c r="DP100" s="96">
        <v>215</v>
      </c>
      <c r="DQ100" s="635">
        <f t="shared" si="23"/>
        <v>0.50934579439252337</v>
      </c>
      <c r="DS100" s="1311"/>
      <c r="DT100" s="1311"/>
      <c r="DU100" s="1313" t="s">
        <v>547</v>
      </c>
      <c r="DV100" s="1323">
        <v>8</v>
      </c>
      <c r="DW100" s="1323">
        <v>2</v>
      </c>
      <c r="DX100" s="1324"/>
      <c r="DY100" s="1323">
        <v>2</v>
      </c>
      <c r="DZ100" s="1323">
        <v>10</v>
      </c>
      <c r="EA100" s="1323">
        <v>13</v>
      </c>
      <c r="EB100" s="1323">
        <v>2</v>
      </c>
      <c r="EC100" s="1324"/>
      <c r="ED100" s="1324"/>
      <c r="EE100" s="1323">
        <v>4</v>
      </c>
      <c r="EF100" s="1324"/>
      <c r="EG100" s="1324"/>
      <c r="EH100" s="1323">
        <v>4</v>
      </c>
      <c r="EI100" s="1324"/>
      <c r="EJ100" s="1323">
        <v>45</v>
      </c>
      <c r="EK100" s="1325">
        <f t="shared" si="24"/>
        <v>0.51111111111111107</v>
      </c>
      <c r="FF100" s="1108"/>
      <c r="FG100" s="1108"/>
      <c r="FH100" s="1108"/>
      <c r="FI100" s="1063"/>
      <c r="FJ100" s="1063"/>
      <c r="FK100" s="652"/>
      <c r="FL100" s="1063"/>
      <c r="FM100" s="1063"/>
      <c r="FN100" s="1063"/>
      <c r="FO100" s="1063"/>
      <c r="FP100" s="1063"/>
      <c r="FQ100" s="652"/>
      <c r="FR100" s="1063"/>
      <c r="FS100" s="1063"/>
      <c r="FT100" s="1063"/>
      <c r="FU100" s="652"/>
      <c r="FV100" s="1063"/>
      <c r="FW100" s="1109"/>
      <c r="GS100" s="107"/>
      <c r="GT100" s="10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row>
    <row r="101" spans="1:240" ht="15" thickBot="1">
      <c r="A101" s="41"/>
      <c r="B101" s="41" t="s">
        <v>41</v>
      </c>
      <c r="C101" s="41" t="s">
        <v>792</v>
      </c>
      <c r="D101" s="105">
        <v>80</v>
      </c>
      <c r="E101" s="105">
        <v>22</v>
      </c>
      <c r="F101" s="105"/>
      <c r="G101" s="105">
        <v>16</v>
      </c>
      <c r="H101" s="105">
        <v>68</v>
      </c>
      <c r="I101" s="105">
        <v>29</v>
      </c>
      <c r="J101" s="105">
        <v>6</v>
      </c>
      <c r="K101" s="105"/>
      <c r="L101" s="105"/>
      <c r="M101" s="105">
        <v>14</v>
      </c>
      <c r="N101" s="105">
        <v>13</v>
      </c>
      <c r="O101" s="105"/>
      <c r="P101" s="105">
        <v>41</v>
      </c>
      <c r="Q101" s="105"/>
      <c r="R101" s="105">
        <v>289</v>
      </c>
      <c r="S101" s="706">
        <f t="shared" si="18"/>
        <v>0.38062283737024222</v>
      </c>
      <c r="T101" s="5561">
        <f t="shared" si="19"/>
        <v>0</v>
      </c>
      <c r="U101" s="5562">
        <v>289</v>
      </c>
      <c r="V101" s="706"/>
      <c r="Y101" s="41" t="s">
        <v>15</v>
      </c>
      <c r="Z101" s="41">
        <v>11</v>
      </c>
      <c r="AA101" s="41">
        <v>8</v>
      </c>
      <c r="AB101" s="41"/>
      <c r="AC101" s="41">
        <v>4</v>
      </c>
      <c r="AD101" s="41">
        <v>68</v>
      </c>
      <c r="AE101" s="41">
        <v>20</v>
      </c>
      <c r="AF101" s="41">
        <v>3</v>
      </c>
      <c r="AG101" s="41">
        <v>1</v>
      </c>
      <c r="AH101" s="41"/>
      <c r="AI101" s="41">
        <v>8</v>
      </c>
      <c r="AJ101" s="41">
        <v>2</v>
      </c>
      <c r="AK101" s="41"/>
      <c r="AL101" s="41">
        <v>30</v>
      </c>
      <c r="AM101" s="41"/>
      <c r="AN101" s="461">
        <v>155</v>
      </c>
      <c r="AO101" s="4692">
        <f t="shared" si="20"/>
        <v>0.58064516129032262</v>
      </c>
      <c r="AQ101" s="1788"/>
      <c r="AR101" s="1788"/>
      <c r="AS101" s="37" t="s">
        <v>2696</v>
      </c>
      <c r="AT101" s="1788">
        <v>0</v>
      </c>
      <c r="AU101" s="1788">
        <v>1</v>
      </c>
      <c r="AV101" s="1788"/>
      <c r="AW101" s="1788">
        <v>0</v>
      </c>
      <c r="AX101" s="1788">
        <v>0</v>
      </c>
      <c r="AY101" s="1788">
        <v>0</v>
      </c>
      <c r="AZ101" s="1788">
        <v>0</v>
      </c>
      <c r="BA101" s="1788"/>
      <c r="BB101" s="1788"/>
      <c r="BC101" s="1788">
        <v>0</v>
      </c>
      <c r="BD101" s="1788">
        <v>0</v>
      </c>
      <c r="BE101" s="1788"/>
      <c r="BF101" s="1788">
        <v>0</v>
      </c>
      <c r="BG101" s="1788"/>
      <c r="BH101" s="1788">
        <v>1</v>
      </c>
      <c r="BI101" s="4701">
        <f t="shared" si="21"/>
        <v>0</v>
      </c>
      <c r="BK101" s="41"/>
      <c r="BL101" s="41"/>
      <c r="BM101" s="2457" t="s">
        <v>547</v>
      </c>
      <c r="BN101" s="2459">
        <v>20</v>
      </c>
      <c r="BO101" s="2459">
        <v>7</v>
      </c>
      <c r="BP101" s="2459"/>
      <c r="BQ101" s="2459"/>
      <c r="BR101" s="2459">
        <v>51</v>
      </c>
      <c r="BS101" s="2459">
        <v>24</v>
      </c>
      <c r="BT101" s="2459">
        <v>3</v>
      </c>
      <c r="BU101" s="2459"/>
      <c r="BV101" s="2459"/>
      <c r="BW101" s="2459">
        <v>6</v>
      </c>
      <c r="BX101" s="2459">
        <v>11</v>
      </c>
      <c r="BY101" s="2459"/>
      <c r="BZ101" s="2459">
        <v>29</v>
      </c>
      <c r="CA101" s="2459"/>
      <c r="CB101" s="2459">
        <v>151</v>
      </c>
      <c r="CC101" s="2484">
        <f t="shared" si="22"/>
        <v>0.56953642384105962</v>
      </c>
      <c r="CE101" s="461"/>
      <c r="CF101" s="461"/>
      <c r="CG101" s="461" t="s">
        <v>1158</v>
      </c>
      <c r="CH101" s="96">
        <v>46</v>
      </c>
      <c r="CI101" s="96">
        <v>16</v>
      </c>
      <c r="CJ101" s="96"/>
      <c r="CK101" s="96">
        <v>17</v>
      </c>
      <c r="CL101" s="96">
        <v>84</v>
      </c>
      <c r="CM101" s="96">
        <v>64</v>
      </c>
      <c r="CN101" s="96">
        <v>13</v>
      </c>
      <c r="CO101" s="96"/>
      <c r="CP101" s="96"/>
      <c r="CQ101" s="96">
        <v>18</v>
      </c>
      <c r="CR101" s="96">
        <v>44</v>
      </c>
      <c r="CS101" s="96"/>
      <c r="CT101" s="96">
        <v>55</v>
      </c>
      <c r="CU101" s="96">
        <v>1</v>
      </c>
      <c r="CV101" s="96">
        <v>358</v>
      </c>
      <c r="CW101" s="635">
        <f t="shared" si="14"/>
        <v>0.53781512605042014</v>
      </c>
      <c r="CX101" s="1977"/>
      <c r="CY101" s="469"/>
      <c r="CZ101" s="469"/>
      <c r="DA101" s="465" t="s">
        <v>113</v>
      </c>
      <c r="DB101" s="466">
        <v>8057</v>
      </c>
      <c r="DC101" s="466">
        <v>6465</v>
      </c>
      <c r="DD101" s="466">
        <v>1</v>
      </c>
      <c r="DE101" s="466">
        <v>2879</v>
      </c>
      <c r="DF101" s="466">
        <v>18443</v>
      </c>
      <c r="DG101" s="466">
        <v>4441</v>
      </c>
      <c r="DH101" s="466">
        <v>3870</v>
      </c>
      <c r="DI101" s="466">
        <v>211</v>
      </c>
      <c r="DJ101" s="466">
        <v>10</v>
      </c>
      <c r="DK101" s="466">
        <v>2124</v>
      </c>
      <c r="DL101" s="466">
        <v>5399</v>
      </c>
      <c r="DM101" s="466">
        <v>264</v>
      </c>
      <c r="DN101" s="466">
        <v>10461</v>
      </c>
      <c r="DO101" s="466">
        <v>87</v>
      </c>
      <c r="DP101" s="466">
        <v>62712</v>
      </c>
      <c r="DQ101" s="662">
        <f t="shared" si="23"/>
        <v>0.45353666554417021</v>
      </c>
      <c r="DS101" s="1311"/>
      <c r="DT101" s="1311"/>
      <c r="DU101" s="1326" t="s">
        <v>1158</v>
      </c>
      <c r="DV101" s="1327">
        <v>15</v>
      </c>
      <c r="DW101" s="1327">
        <v>7</v>
      </c>
      <c r="DX101" s="1328"/>
      <c r="DY101" s="1327">
        <v>4</v>
      </c>
      <c r="DZ101" s="1327">
        <v>29</v>
      </c>
      <c r="EA101" s="1327">
        <v>40</v>
      </c>
      <c r="EB101" s="1327">
        <v>7</v>
      </c>
      <c r="EC101" s="1327">
        <v>6</v>
      </c>
      <c r="ED101" s="1328"/>
      <c r="EE101" s="1327">
        <v>6</v>
      </c>
      <c r="EF101" s="1327">
        <v>6</v>
      </c>
      <c r="EG101" s="1328"/>
      <c r="EH101" s="1327">
        <v>16</v>
      </c>
      <c r="EI101" s="1327">
        <v>1</v>
      </c>
      <c r="EJ101" s="1327">
        <v>137</v>
      </c>
      <c r="EK101" s="526">
        <f t="shared" si="24"/>
        <v>0.55147058823529416</v>
      </c>
      <c r="FF101" s="1108"/>
      <c r="FG101" s="1108"/>
      <c r="FH101" s="1108"/>
      <c r="FI101" s="1063"/>
      <c r="FJ101" s="1063"/>
      <c r="FK101" s="652"/>
      <c r="FL101" s="1063"/>
      <c r="FM101" s="1063"/>
      <c r="FN101" s="1063"/>
      <c r="FO101" s="1063"/>
      <c r="FP101" s="1063"/>
      <c r="FQ101" s="652"/>
      <c r="FR101" s="1063"/>
      <c r="FS101" s="1063"/>
      <c r="FT101" s="1063"/>
      <c r="FU101" s="652"/>
      <c r="FV101" s="1063"/>
      <c r="FW101" s="1109"/>
      <c r="GS101" s="107"/>
      <c r="GT101" s="10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row>
    <row r="102" spans="1:240" ht="15" thickBot="1">
      <c r="A102" s="41"/>
      <c r="B102" s="41"/>
      <c r="C102" s="41" t="s">
        <v>3934</v>
      </c>
      <c r="D102" s="105">
        <v>1</v>
      </c>
      <c r="E102" s="105">
        <v>0</v>
      </c>
      <c r="F102" s="105"/>
      <c r="G102" s="105">
        <v>0</v>
      </c>
      <c r="H102" s="105">
        <v>0</v>
      </c>
      <c r="I102" s="105">
        <v>0</v>
      </c>
      <c r="J102" s="105">
        <v>0</v>
      </c>
      <c r="K102" s="105"/>
      <c r="L102" s="105"/>
      <c r="M102" s="105">
        <v>0</v>
      </c>
      <c r="N102" s="105">
        <v>0</v>
      </c>
      <c r="O102" s="105"/>
      <c r="P102" s="105">
        <v>0</v>
      </c>
      <c r="Q102" s="105"/>
      <c r="R102" s="105">
        <v>1</v>
      </c>
      <c r="S102" s="706">
        <f t="shared" si="18"/>
        <v>0</v>
      </c>
      <c r="T102" s="5561">
        <f t="shared" si="19"/>
        <v>0</v>
      </c>
      <c r="U102" s="5562">
        <v>1</v>
      </c>
      <c r="V102" s="706"/>
      <c r="W102" s="4693"/>
      <c r="X102" s="4693"/>
      <c r="Y102" s="4694" t="s">
        <v>15</v>
      </c>
      <c r="Z102" s="4694">
        <v>22</v>
      </c>
      <c r="AA102" s="4694">
        <v>29</v>
      </c>
      <c r="AB102" s="4694"/>
      <c r="AC102" s="4694">
        <v>29</v>
      </c>
      <c r="AD102" s="4694">
        <v>190</v>
      </c>
      <c r="AE102" s="4694">
        <v>56</v>
      </c>
      <c r="AF102" s="4694">
        <v>15</v>
      </c>
      <c r="AG102" s="4694">
        <v>2</v>
      </c>
      <c r="AH102" s="4694"/>
      <c r="AI102" s="4694">
        <v>24</v>
      </c>
      <c r="AJ102" s="4694">
        <v>25</v>
      </c>
      <c r="AK102" s="4694"/>
      <c r="AL102" s="4694">
        <v>93</v>
      </c>
      <c r="AM102" s="4694">
        <v>1</v>
      </c>
      <c r="AN102" s="4585">
        <v>486</v>
      </c>
      <c r="AO102" s="4695">
        <f t="shared" si="20"/>
        <v>0.55876288659793816</v>
      </c>
      <c r="AQ102" s="1788"/>
      <c r="AR102" s="1788"/>
      <c r="AS102" s="4696" t="s">
        <v>547</v>
      </c>
      <c r="AT102" s="4707">
        <v>53</v>
      </c>
      <c r="AU102" s="4707">
        <v>17</v>
      </c>
      <c r="AV102" s="4707"/>
      <c r="AW102" s="4707">
        <v>12</v>
      </c>
      <c r="AX102" s="4707">
        <v>56</v>
      </c>
      <c r="AY102" s="4707">
        <v>29</v>
      </c>
      <c r="AZ102" s="4707">
        <v>3</v>
      </c>
      <c r="BA102" s="4707"/>
      <c r="BB102" s="4707"/>
      <c r="BC102" s="4707">
        <v>14</v>
      </c>
      <c r="BD102" s="4707">
        <v>6</v>
      </c>
      <c r="BE102" s="4707"/>
      <c r="BF102" s="4707">
        <v>35</v>
      </c>
      <c r="BG102" s="4707"/>
      <c r="BH102" s="4707">
        <v>225</v>
      </c>
      <c r="BI102" s="4708">
        <f t="shared" si="21"/>
        <v>0.40444444444444444</v>
      </c>
      <c r="BK102" s="41"/>
      <c r="BL102" s="41"/>
      <c r="BM102" s="2457" t="s">
        <v>1158</v>
      </c>
      <c r="BN102" s="2459">
        <v>55</v>
      </c>
      <c r="BO102" s="2459">
        <v>34</v>
      </c>
      <c r="BP102" s="2459"/>
      <c r="BQ102" s="2459">
        <v>2</v>
      </c>
      <c r="BR102" s="2459">
        <v>144</v>
      </c>
      <c r="BS102" s="2459">
        <v>64</v>
      </c>
      <c r="BT102" s="2459">
        <v>12</v>
      </c>
      <c r="BU102" s="2459">
        <v>1</v>
      </c>
      <c r="BV102" s="2459"/>
      <c r="BW102" s="2459">
        <v>24</v>
      </c>
      <c r="BX102" s="2459">
        <v>35</v>
      </c>
      <c r="BY102" s="2459"/>
      <c r="BZ102" s="2459">
        <v>85</v>
      </c>
      <c r="CA102" s="2459"/>
      <c r="CB102" s="2459">
        <v>456</v>
      </c>
      <c r="CC102" s="2484">
        <f t="shared" si="22"/>
        <v>0.53289473684210531</v>
      </c>
      <c r="CE102" s="465"/>
      <c r="CF102" s="465"/>
      <c r="CG102" s="465" t="s">
        <v>113</v>
      </c>
      <c r="CH102" s="466">
        <v>8739</v>
      </c>
      <c r="CI102" s="466">
        <v>5764</v>
      </c>
      <c r="CJ102" s="466">
        <v>4</v>
      </c>
      <c r="CK102" s="466">
        <v>2878</v>
      </c>
      <c r="CL102" s="466">
        <v>18241</v>
      </c>
      <c r="CM102" s="466">
        <v>5144</v>
      </c>
      <c r="CN102" s="466">
        <v>4040</v>
      </c>
      <c r="CO102" s="466">
        <v>9</v>
      </c>
      <c r="CP102" s="466">
        <v>9</v>
      </c>
      <c r="CQ102" s="466">
        <v>2074</v>
      </c>
      <c r="CR102" s="466">
        <v>5864</v>
      </c>
      <c r="CS102" s="466">
        <v>513</v>
      </c>
      <c r="CT102" s="466">
        <v>10600</v>
      </c>
      <c r="CU102" s="466">
        <v>63</v>
      </c>
      <c r="CV102" s="466">
        <v>63942</v>
      </c>
      <c r="CW102" s="1645">
        <f t="shared" si="14"/>
        <v>0.46158823343749011</v>
      </c>
      <c r="CX102" s="1977"/>
      <c r="CY102" s="47"/>
      <c r="CZ102" s="47"/>
      <c r="DA102" s="47"/>
      <c r="DB102" s="47"/>
      <c r="DC102" s="47"/>
      <c r="DD102" s="47"/>
      <c r="DE102" s="47"/>
      <c r="DF102" s="47"/>
      <c r="DG102" s="47"/>
      <c r="DH102" s="47"/>
      <c r="DI102" s="47"/>
      <c r="DJ102" s="47"/>
      <c r="DK102" s="47"/>
      <c r="DL102" s="47"/>
      <c r="DM102" s="47"/>
      <c r="DN102" s="47"/>
      <c r="DO102" s="47"/>
      <c r="DP102" s="47"/>
      <c r="DQ102" s="47"/>
      <c r="DR102" s="47"/>
      <c r="DS102" s="1329"/>
      <c r="DT102" s="1329"/>
      <c r="DU102" s="1330" t="s">
        <v>113</v>
      </c>
      <c r="DV102" s="1331">
        <v>9061</v>
      </c>
      <c r="DW102" s="1331">
        <v>4973</v>
      </c>
      <c r="DX102" s="1331">
        <v>1</v>
      </c>
      <c r="DY102" s="1331">
        <v>2915</v>
      </c>
      <c r="DZ102" s="1331">
        <v>19004</v>
      </c>
      <c r="EA102" s="1331">
        <v>4020</v>
      </c>
      <c r="EB102" s="1331">
        <v>3781</v>
      </c>
      <c r="EC102" s="1331">
        <v>14</v>
      </c>
      <c r="ED102" s="1331">
        <v>11</v>
      </c>
      <c r="EE102" s="1331">
        <v>2012</v>
      </c>
      <c r="EF102" s="1331">
        <v>5179</v>
      </c>
      <c r="EG102" s="1331">
        <v>160</v>
      </c>
      <c r="EH102" s="1331">
        <v>11258</v>
      </c>
      <c r="EI102" s="1331">
        <v>91</v>
      </c>
      <c r="EJ102" s="1331">
        <v>62480</v>
      </c>
      <c r="EK102" s="1332">
        <f t="shared" si="24"/>
        <v>0.4532131321409632</v>
      </c>
      <c r="FF102" s="1108"/>
      <c r="FG102" s="1108"/>
      <c r="FH102" s="1108"/>
      <c r="FI102" s="1063"/>
      <c r="FJ102" s="1063"/>
      <c r="FK102" s="652"/>
      <c r="FL102" s="1063"/>
      <c r="FM102" s="1063"/>
      <c r="FN102" s="1063"/>
      <c r="FO102" s="1063"/>
      <c r="FP102" s="1063"/>
      <c r="FQ102" s="652"/>
      <c r="FR102" s="1063"/>
      <c r="FS102" s="1063"/>
      <c r="FT102" s="1063"/>
      <c r="FU102" s="652"/>
      <c r="FV102" s="1063"/>
      <c r="FW102" s="1109"/>
      <c r="GS102" s="107"/>
      <c r="GT102" s="10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row>
    <row r="103" spans="1:240" ht="15" thickBot="1">
      <c r="A103" s="41"/>
      <c r="B103" s="41"/>
      <c r="C103" s="41" t="s">
        <v>2696</v>
      </c>
      <c r="D103" s="105">
        <v>2</v>
      </c>
      <c r="E103" s="105">
        <v>1</v>
      </c>
      <c r="F103" s="105"/>
      <c r="G103" s="105">
        <v>0</v>
      </c>
      <c r="H103" s="105">
        <v>0</v>
      </c>
      <c r="I103" s="105">
        <v>0</v>
      </c>
      <c r="J103" s="105">
        <v>0</v>
      </c>
      <c r="K103" s="105"/>
      <c r="L103" s="105"/>
      <c r="M103" s="105">
        <v>0</v>
      </c>
      <c r="N103" s="105">
        <v>0</v>
      </c>
      <c r="O103" s="105"/>
      <c r="P103" s="105">
        <v>0</v>
      </c>
      <c r="Q103" s="105"/>
      <c r="R103" s="105">
        <v>3</v>
      </c>
      <c r="S103" s="706">
        <f t="shared" si="18"/>
        <v>0</v>
      </c>
      <c r="T103" s="5561">
        <f t="shared" si="19"/>
        <v>0</v>
      </c>
      <c r="U103" s="5562">
        <v>3</v>
      </c>
      <c r="V103" s="706"/>
      <c r="AQ103" s="1788"/>
      <c r="AR103" s="1788"/>
      <c r="AS103" s="4704" t="s">
        <v>1158</v>
      </c>
      <c r="AT103" s="4705">
        <v>110</v>
      </c>
      <c r="AU103" s="4705">
        <v>58</v>
      </c>
      <c r="AV103" s="4705"/>
      <c r="AW103" s="4705">
        <v>44</v>
      </c>
      <c r="AX103" s="4705">
        <v>166</v>
      </c>
      <c r="AY103" s="4705">
        <v>71</v>
      </c>
      <c r="AZ103" s="4705">
        <v>15</v>
      </c>
      <c r="BA103" s="4705"/>
      <c r="BB103" s="4705">
        <v>1</v>
      </c>
      <c r="BC103" s="4705">
        <v>37</v>
      </c>
      <c r="BD103" s="4705">
        <v>43</v>
      </c>
      <c r="BE103" s="4705"/>
      <c r="BF103" s="4705">
        <v>108</v>
      </c>
      <c r="BG103" s="4705">
        <v>1</v>
      </c>
      <c r="BH103" s="4705">
        <v>654</v>
      </c>
      <c r="BI103" s="4706">
        <f t="shared" si="21"/>
        <v>0.42879019908116384</v>
      </c>
      <c r="BK103" s="469"/>
      <c r="BL103" s="469"/>
      <c r="BM103" s="465" t="s">
        <v>113</v>
      </c>
      <c r="BN103" s="466">
        <v>8838</v>
      </c>
      <c r="BO103" s="466">
        <v>4889</v>
      </c>
      <c r="BP103" s="466">
        <v>4</v>
      </c>
      <c r="BQ103" s="466">
        <v>115</v>
      </c>
      <c r="BR103" s="466">
        <v>20220</v>
      </c>
      <c r="BS103" s="466">
        <v>4444</v>
      </c>
      <c r="BT103" s="466">
        <v>3965</v>
      </c>
      <c r="BU103" s="466">
        <v>12</v>
      </c>
      <c r="BV103" s="466">
        <v>2</v>
      </c>
      <c r="BW103" s="466">
        <v>2186</v>
      </c>
      <c r="BX103" s="466">
        <v>5338</v>
      </c>
      <c r="BY103" s="466">
        <v>721</v>
      </c>
      <c r="BZ103" s="466">
        <v>11076</v>
      </c>
      <c r="CA103" s="466">
        <v>7</v>
      </c>
      <c r="CB103" s="466">
        <v>61817</v>
      </c>
      <c r="CC103" s="1645">
        <f t="shared" si="22"/>
        <v>0.49111951415148392</v>
      </c>
      <c r="CE103"/>
      <c r="CF103"/>
      <c r="CG103"/>
      <c r="CH103"/>
      <c r="CI103"/>
      <c r="CJ103"/>
      <c r="CK103"/>
      <c r="CL103"/>
      <c r="CM103"/>
      <c r="CN103"/>
      <c r="CO103"/>
      <c r="CP103"/>
      <c r="CQ103"/>
      <c r="CR103"/>
      <c r="CS103"/>
      <c r="CT103"/>
      <c r="CU103"/>
      <c r="CV103"/>
      <c r="CW103"/>
      <c r="CX103"/>
      <c r="DS103"/>
      <c r="DT103"/>
      <c r="DU103"/>
      <c r="DV103"/>
      <c r="DW103"/>
      <c r="DX103"/>
      <c r="DY103"/>
      <c r="DZ103"/>
      <c r="EA103"/>
      <c r="EB103"/>
      <c r="EC103"/>
      <c r="ED103"/>
      <c r="EE103"/>
      <c r="EF103"/>
      <c r="EG103"/>
      <c r="EH103"/>
      <c r="EI103"/>
      <c r="EJ103"/>
      <c r="EK103"/>
      <c r="FF103" s="1108"/>
      <c r="FG103" s="47"/>
      <c r="FH103" s="1108"/>
      <c r="FI103" s="5610" t="s">
        <v>1229</v>
      </c>
      <c r="FJ103" s="5610"/>
      <c r="FK103" s="5610"/>
      <c r="FL103" s="5610"/>
      <c r="FM103" s="5610"/>
      <c r="FN103" s="5610"/>
      <c r="FO103" s="5610"/>
      <c r="FP103" s="5610"/>
      <c r="FQ103" s="5610"/>
      <c r="FR103" s="5610"/>
      <c r="FS103" s="5610"/>
      <c r="FT103" s="5610"/>
      <c r="FU103" s="5610"/>
      <c r="FV103" s="5610"/>
      <c r="FW103" s="1112"/>
      <c r="GS103" s="107"/>
      <c r="GT103" s="10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row>
    <row r="104" spans="1:240" ht="24.6" thickBot="1">
      <c r="A104" s="41"/>
      <c r="B104" s="41"/>
      <c r="C104" s="461" t="s">
        <v>547</v>
      </c>
      <c r="D104" s="5556">
        <v>83</v>
      </c>
      <c r="E104" s="5556">
        <v>23</v>
      </c>
      <c r="F104" s="5556"/>
      <c r="G104" s="5556">
        <v>16</v>
      </c>
      <c r="H104" s="5556">
        <v>68</v>
      </c>
      <c r="I104" s="5556">
        <v>29</v>
      </c>
      <c r="J104" s="5556">
        <v>6</v>
      </c>
      <c r="K104" s="5556"/>
      <c r="L104" s="5556"/>
      <c r="M104" s="5556">
        <v>14</v>
      </c>
      <c r="N104" s="5556">
        <v>13</v>
      </c>
      <c r="O104" s="5556"/>
      <c r="P104" s="5556">
        <v>41</v>
      </c>
      <c r="Q104" s="5556"/>
      <c r="R104" s="5556">
        <v>293</v>
      </c>
      <c r="S104" s="706">
        <f t="shared" si="18"/>
        <v>0.37542662116040953</v>
      </c>
      <c r="T104" s="5561"/>
      <c r="U104" s="4640"/>
      <c r="V104" s="706"/>
      <c r="W104" s="456" t="s">
        <v>75</v>
      </c>
      <c r="X104" s="456"/>
      <c r="Y104" s="456" t="s">
        <v>15</v>
      </c>
      <c r="Z104" s="4713">
        <v>4631</v>
      </c>
      <c r="AA104" s="4713">
        <v>4210</v>
      </c>
      <c r="AB104" s="4713">
        <v>3</v>
      </c>
      <c r="AC104" s="4713">
        <v>2917</v>
      </c>
      <c r="AD104" s="4713">
        <v>24569</v>
      </c>
      <c r="AE104" s="4713">
        <v>4396</v>
      </c>
      <c r="AF104" s="4713">
        <v>7029</v>
      </c>
      <c r="AG104" s="4713">
        <v>80</v>
      </c>
      <c r="AH104" s="4713">
        <v>11</v>
      </c>
      <c r="AI104" s="4713">
        <v>1767</v>
      </c>
      <c r="AJ104" s="4713">
        <v>4268</v>
      </c>
      <c r="AK104" s="4713">
        <v>750</v>
      </c>
      <c r="AL104" s="4713">
        <v>9972</v>
      </c>
      <c r="AM104" s="4713">
        <v>61</v>
      </c>
      <c r="AN104" s="4713">
        <v>64664</v>
      </c>
      <c r="AO104" s="4714">
        <f>+(AD104+AE104+AJ104)/(AN104-AM104-AK104)</f>
        <v>0.52046105899487882</v>
      </c>
      <c r="AQ104" s="4710"/>
      <c r="AR104" s="4710"/>
      <c r="AS104" s="4698" t="s">
        <v>113</v>
      </c>
      <c r="AT104" s="4697">
        <v>9158</v>
      </c>
      <c r="AU104" s="4697">
        <v>5897</v>
      </c>
      <c r="AV104" s="4697">
        <v>9</v>
      </c>
      <c r="AW104" s="4697">
        <v>2815</v>
      </c>
      <c r="AX104" s="4697">
        <v>17623</v>
      </c>
      <c r="AY104" s="4697">
        <v>5665</v>
      </c>
      <c r="AZ104" s="4697">
        <v>2962</v>
      </c>
      <c r="BA104" s="4697">
        <v>29</v>
      </c>
      <c r="BB104" s="4697">
        <v>16</v>
      </c>
      <c r="BC104" s="4697">
        <v>2221</v>
      </c>
      <c r="BD104" s="4697">
        <v>5799</v>
      </c>
      <c r="BE104" s="4697">
        <v>748</v>
      </c>
      <c r="BF104" s="4697">
        <v>11364</v>
      </c>
      <c r="BG104" s="4697">
        <v>44</v>
      </c>
      <c r="BH104" s="4697">
        <v>64350</v>
      </c>
      <c r="BI104" s="4711">
        <f t="shared" si="21"/>
        <v>0.45764498568236883</v>
      </c>
      <c r="CF104"/>
      <c r="CG104"/>
      <c r="CH104"/>
      <c r="CI104"/>
      <c r="CJ104"/>
      <c r="CK104"/>
      <c r="CL104"/>
      <c r="CM104"/>
      <c r="CN104"/>
      <c r="CO104"/>
      <c r="CP104"/>
      <c r="CQ104"/>
      <c r="CR104"/>
      <c r="CS104"/>
      <c r="CT104"/>
      <c r="CU104"/>
      <c r="CV104"/>
      <c r="CW104"/>
      <c r="CX104"/>
      <c r="DA104" s="37" t="s">
        <v>1897</v>
      </c>
      <c r="DS104" s="37" t="s">
        <v>1859</v>
      </c>
      <c r="DT104"/>
      <c r="DU104"/>
      <c r="DV104"/>
      <c r="DW104"/>
      <c r="DX104"/>
      <c r="DY104"/>
      <c r="DZ104"/>
      <c r="EA104"/>
      <c r="EB104"/>
      <c r="EC104"/>
      <c r="ED104"/>
      <c r="EE104"/>
      <c r="EF104"/>
      <c r="EG104"/>
      <c r="EH104"/>
      <c r="EI104"/>
      <c r="EJ104"/>
      <c r="EK104"/>
      <c r="FF104" s="1108"/>
      <c r="FG104" s="47"/>
      <c r="FH104" s="650" t="s">
        <v>1</v>
      </c>
      <c r="FI104" s="754" t="s">
        <v>1230</v>
      </c>
      <c r="FJ104" s="754" t="s">
        <v>1231</v>
      </c>
      <c r="FK104" s="754" t="s">
        <v>1232</v>
      </c>
      <c r="FL104" s="754" t="s">
        <v>1233</v>
      </c>
      <c r="FM104" s="754" t="s">
        <v>1234</v>
      </c>
      <c r="FN104" s="754" t="s">
        <v>1235</v>
      </c>
      <c r="FO104" s="754" t="s">
        <v>1236</v>
      </c>
      <c r="FP104" s="754" t="s">
        <v>1237</v>
      </c>
      <c r="FQ104" s="754" t="s">
        <v>1238</v>
      </c>
      <c r="FR104" s="754" t="s">
        <v>1239</v>
      </c>
      <c r="FS104" s="754" t="s">
        <v>1240</v>
      </c>
      <c r="FT104" s="754" t="s">
        <v>1241</v>
      </c>
      <c r="FU104" s="754" t="s">
        <v>1242</v>
      </c>
      <c r="FV104" s="754" t="s">
        <v>15</v>
      </c>
      <c r="FW104" s="754" t="s">
        <v>66</v>
      </c>
      <c r="GS104" s="107"/>
      <c r="GT104" s="10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row>
    <row r="105" spans="1:240">
      <c r="A105" s="41"/>
      <c r="B105" s="41"/>
      <c r="C105" s="461" t="s">
        <v>260</v>
      </c>
      <c r="D105" s="5556">
        <v>161</v>
      </c>
      <c r="E105" s="5556">
        <v>72</v>
      </c>
      <c r="F105" s="5556"/>
      <c r="G105" s="5556">
        <v>56</v>
      </c>
      <c r="H105" s="5556">
        <v>191</v>
      </c>
      <c r="I105" s="5556">
        <v>95</v>
      </c>
      <c r="J105" s="5556">
        <v>18</v>
      </c>
      <c r="K105" s="5556"/>
      <c r="L105" s="5556">
        <v>1</v>
      </c>
      <c r="M105" s="5556">
        <v>44</v>
      </c>
      <c r="N105" s="5556">
        <v>73</v>
      </c>
      <c r="O105" s="5556"/>
      <c r="P105" s="5556">
        <v>128</v>
      </c>
      <c r="Q105" s="5556">
        <v>1</v>
      </c>
      <c r="R105" s="5556">
        <v>840</v>
      </c>
      <c r="S105" s="706">
        <f t="shared" si="18"/>
        <v>0.42789034564958284</v>
      </c>
      <c r="T105" s="5561"/>
      <c r="U105" s="2484"/>
      <c r="V105" s="706"/>
      <c r="FF105" s="1108"/>
      <c r="FG105" s="47"/>
      <c r="FH105" s="652" t="s">
        <v>4</v>
      </c>
      <c r="FI105" s="1063">
        <v>3209</v>
      </c>
      <c r="FJ105" s="1063">
        <v>1443</v>
      </c>
      <c r="FK105" s="1063">
        <v>2</v>
      </c>
      <c r="FL105" s="1063">
        <v>1500</v>
      </c>
      <c r="FM105" s="1063">
        <v>1998</v>
      </c>
      <c r="FN105" s="1063">
        <v>381</v>
      </c>
      <c r="FO105" s="1063">
        <v>1007</v>
      </c>
      <c r="FP105" s="652"/>
      <c r="FQ105" s="1063">
        <v>1</v>
      </c>
      <c r="FR105" s="1063">
        <v>301</v>
      </c>
      <c r="FS105" s="1063">
        <v>271</v>
      </c>
      <c r="FT105" s="1063">
        <v>4411</v>
      </c>
      <c r="FU105" s="1063">
        <v>18</v>
      </c>
      <c r="FV105" s="1063">
        <v>14542</v>
      </c>
      <c r="FW105" s="537">
        <f t="shared" ref="FW105:FW111" si="28">+(FS105+FN105+FM105)/FV105</f>
        <v>0.18223077981020491</v>
      </c>
      <c r="GS105" s="107"/>
      <c r="GT105" s="10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row>
    <row r="106" spans="1:240" ht="15" thickBot="1">
      <c r="A106" s="469"/>
      <c r="B106" s="469"/>
      <c r="C106" s="465" t="s">
        <v>113</v>
      </c>
      <c r="D106" s="466">
        <v>10465</v>
      </c>
      <c r="E106" s="466">
        <v>6397</v>
      </c>
      <c r="F106" s="466">
        <v>3</v>
      </c>
      <c r="G106" s="466">
        <v>2808</v>
      </c>
      <c r="H106" s="466">
        <v>16983</v>
      </c>
      <c r="I106" s="466">
        <v>5087</v>
      </c>
      <c r="J106" s="466">
        <v>827</v>
      </c>
      <c r="K106" s="466">
        <v>124</v>
      </c>
      <c r="L106" s="466">
        <v>19</v>
      </c>
      <c r="M106" s="466">
        <v>1983</v>
      </c>
      <c r="N106" s="466">
        <v>7298</v>
      </c>
      <c r="O106" s="466">
        <v>777</v>
      </c>
      <c r="P106" s="466">
        <v>12463</v>
      </c>
      <c r="Q106" s="466">
        <v>49</v>
      </c>
      <c r="R106" s="466">
        <v>65283</v>
      </c>
      <c r="S106" s="736">
        <f t="shared" si="18"/>
        <v>0.45562157717548135</v>
      </c>
      <c r="T106" s="5561">
        <f t="shared" si="19"/>
        <v>390</v>
      </c>
      <c r="U106" s="5562" t="s">
        <v>3938</v>
      </c>
      <c r="V106" s="5560"/>
      <c r="FF106" s="1108"/>
      <c r="FG106" s="47"/>
      <c r="FH106" s="652" t="s">
        <v>16</v>
      </c>
      <c r="FI106" s="1063">
        <v>2622</v>
      </c>
      <c r="FJ106" s="1063">
        <v>2063</v>
      </c>
      <c r="FK106" s="1063">
        <v>2</v>
      </c>
      <c r="FL106" s="1063">
        <v>1194</v>
      </c>
      <c r="FM106" s="1063">
        <v>7771</v>
      </c>
      <c r="FN106" s="1063">
        <v>2119</v>
      </c>
      <c r="FO106" s="1063">
        <v>1516</v>
      </c>
      <c r="FP106" s="1063">
        <v>11</v>
      </c>
      <c r="FQ106" s="1063">
        <v>6</v>
      </c>
      <c r="FR106" s="1063">
        <v>614</v>
      </c>
      <c r="FS106" s="1063">
        <v>1614</v>
      </c>
      <c r="FT106" s="1063">
        <v>5148</v>
      </c>
      <c r="FU106" s="652"/>
      <c r="FV106" s="1063">
        <v>24680</v>
      </c>
      <c r="FW106" s="537">
        <f t="shared" si="28"/>
        <v>0.46612641815235006</v>
      </c>
      <c r="GS106" s="107"/>
      <c r="GT106" s="10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row>
    <row r="107" spans="1:240">
      <c r="A107" s="41"/>
      <c r="B107" s="41"/>
      <c r="C107" s="41"/>
      <c r="D107" s="105"/>
      <c r="E107" s="105"/>
      <c r="F107" s="105"/>
      <c r="G107" s="105"/>
      <c r="H107" s="105"/>
      <c r="I107" s="105"/>
      <c r="J107" s="105"/>
      <c r="K107" s="105"/>
      <c r="L107" s="105"/>
      <c r="M107" s="105"/>
      <c r="N107" s="105"/>
      <c r="O107" s="105"/>
      <c r="P107" s="105"/>
      <c r="Q107" s="105"/>
      <c r="R107" s="105"/>
      <c r="S107" s="41"/>
      <c r="T107" s="41"/>
      <c r="U107" s="635"/>
      <c r="V107" s="41"/>
      <c r="FF107" s="1108"/>
      <c r="FG107" s="47"/>
      <c r="FH107" s="652" t="s">
        <v>41</v>
      </c>
      <c r="FI107" s="1063">
        <v>1676</v>
      </c>
      <c r="FJ107" s="1063">
        <v>667</v>
      </c>
      <c r="FK107" s="652"/>
      <c r="FL107" s="1063">
        <v>902</v>
      </c>
      <c r="FM107" s="1063">
        <v>5732</v>
      </c>
      <c r="FN107" s="1063">
        <v>1504</v>
      </c>
      <c r="FO107" s="1063">
        <v>729</v>
      </c>
      <c r="FP107" s="652"/>
      <c r="FQ107" s="652"/>
      <c r="FR107" s="1063">
        <v>75</v>
      </c>
      <c r="FS107" s="1063">
        <v>1777</v>
      </c>
      <c r="FT107" s="1063">
        <v>2954</v>
      </c>
      <c r="FU107" s="1063">
        <v>37</v>
      </c>
      <c r="FV107" s="1063">
        <v>16053</v>
      </c>
      <c r="FW107" s="537">
        <f t="shared" si="28"/>
        <v>0.56145268797109571</v>
      </c>
      <c r="GS107" s="107"/>
      <c r="GT107" s="10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row>
    <row r="108" spans="1:240">
      <c r="A108" s="41"/>
      <c r="B108" s="41"/>
      <c r="C108" s="41"/>
      <c r="D108" s="105"/>
      <c r="E108" s="105"/>
      <c r="F108" s="105"/>
      <c r="G108" s="105"/>
      <c r="H108" s="105"/>
      <c r="I108" s="105"/>
      <c r="J108" s="105"/>
      <c r="K108" s="105"/>
      <c r="L108" s="105"/>
      <c r="M108" s="105"/>
      <c r="N108" s="105"/>
      <c r="O108" s="105"/>
      <c r="P108" s="105"/>
      <c r="Q108" s="105"/>
      <c r="R108" s="105"/>
      <c r="S108" s="41"/>
      <c r="T108" s="41"/>
      <c r="U108" s="635"/>
      <c r="V108" s="41"/>
      <c r="FF108" s="1108"/>
      <c r="FG108" s="47"/>
      <c r="FH108" s="652" t="s">
        <v>21</v>
      </c>
      <c r="FI108" s="1063">
        <v>998</v>
      </c>
      <c r="FJ108" s="1063">
        <v>635</v>
      </c>
      <c r="FK108" s="652"/>
      <c r="FL108" s="1063">
        <v>495</v>
      </c>
      <c r="FM108" s="1063">
        <v>2710</v>
      </c>
      <c r="FN108" s="1063">
        <v>882</v>
      </c>
      <c r="FO108" s="1063">
        <v>614</v>
      </c>
      <c r="FP108" s="652"/>
      <c r="FQ108" s="652"/>
      <c r="FR108" s="1063">
        <v>138</v>
      </c>
      <c r="FS108" s="1063">
        <v>842</v>
      </c>
      <c r="FT108" s="1063">
        <v>1601</v>
      </c>
      <c r="FU108" s="1063">
        <v>106</v>
      </c>
      <c r="FV108" s="1063">
        <v>9021</v>
      </c>
      <c r="FW108" s="537">
        <f t="shared" si="28"/>
        <v>0.49151978716328565</v>
      </c>
      <c r="GS108" s="107"/>
      <c r="GT108" s="10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row>
    <row r="109" spans="1:240">
      <c r="A109" s="41"/>
      <c r="B109" s="41"/>
      <c r="C109" s="41"/>
      <c r="D109" s="105"/>
      <c r="E109" s="105"/>
      <c r="F109" s="105"/>
      <c r="G109" s="105"/>
      <c r="H109" s="105"/>
      <c r="I109" s="105"/>
      <c r="J109" s="105"/>
      <c r="K109" s="105"/>
      <c r="L109" s="105"/>
      <c r="M109" s="105"/>
      <c r="N109" s="105"/>
      <c r="O109" s="105"/>
      <c r="P109" s="105"/>
      <c r="Q109" s="105"/>
      <c r="R109" s="105"/>
      <c r="S109" s="41"/>
      <c r="T109" s="41"/>
      <c r="U109" s="635"/>
      <c r="V109" s="41"/>
      <c r="FF109" s="1108"/>
      <c r="FG109" s="1108"/>
      <c r="FH109" s="652" t="s">
        <v>61</v>
      </c>
      <c r="FI109" s="1063">
        <v>101</v>
      </c>
      <c r="FJ109" s="1063">
        <v>61</v>
      </c>
      <c r="FK109" s="652"/>
      <c r="FL109" s="1063">
        <v>24</v>
      </c>
      <c r="FM109" s="1063">
        <v>81</v>
      </c>
      <c r="FN109" s="1063">
        <v>19</v>
      </c>
      <c r="FO109" s="1063">
        <v>11</v>
      </c>
      <c r="FP109" s="1063">
        <v>4</v>
      </c>
      <c r="FQ109" s="652"/>
      <c r="FR109" s="1063">
        <v>19</v>
      </c>
      <c r="FS109" s="1063">
        <v>30</v>
      </c>
      <c r="FT109" s="1063">
        <v>91</v>
      </c>
      <c r="FU109" s="652"/>
      <c r="FV109" s="1063">
        <v>441</v>
      </c>
      <c r="FW109" s="537">
        <f t="shared" si="28"/>
        <v>0.29478458049886619</v>
      </c>
      <c r="GS109" s="107"/>
      <c r="GT109" s="10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row>
    <row r="110" spans="1:240">
      <c r="A110" s="41"/>
      <c r="B110" s="41"/>
      <c r="C110" s="41"/>
      <c r="D110" s="105"/>
      <c r="E110" s="105"/>
      <c r="F110" s="105"/>
      <c r="G110" s="105"/>
      <c r="H110" s="105"/>
      <c r="I110" s="105"/>
      <c r="J110" s="105"/>
      <c r="K110" s="105"/>
      <c r="L110" s="105"/>
      <c r="M110" s="105"/>
      <c r="N110" s="105"/>
      <c r="O110" s="105"/>
      <c r="P110" s="105"/>
      <c r="Q110" s="105"/>
      <c r="R110" s="105"/>
      <c r="S110" s="41"/>
      <c r="T110" s="41"/>
      <c r="U110" s="635"/>
      <c r="V110" s="41"/>
      <c r="FH110" s="652" t="s">
        <v>64</v>
      </c>
      <c r="FI110" s="1063">
        <v>87</v>
      </c>
      <c r="FJ110" s="1063">
        <v>30</v>
      </c>
      <c r="FK110" s="652"/>
      <c r="FL110" s="1063">
        <v>20</v>
      </c>
      <c r="FM110" s="1063">
        <v>47</v>
      </c>
      <c r="FN110" s="1063">
        <v>9</v>
      </c>
      <c r="FO110" s="1063">
        <v>15</v>
      </c>
      <c r="FP110" s="1063">
        <v>1</v>
      </c>
      <c r="FQ110" s="652"/>
      <c r="FR110" s="1063">
        <v>11</v>
      </c>
      <c r="FS110" s="1063">
        <v>9</v>
      </c>
      <c r="FT110" s="1063">
        <v>88</v>
      </c>
      <c r="FU110" s="652"/>
      <c r="FV110" s="1063">
        <v>317</v>
      </c>
      <c r="FW110" s="537">
        <f t="shared" si="28"/>
        <v>0.20504731861198738</v>
      </c>
      <c r="GS110" s="107"/>
      <c r="GT110" s="10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row>
    <row r="111" spans="1:240" ht="15" thickBot="1">
      <c r="A111" s="41"/>
      <c r="B111" s="41"/>
      <c r="C111" s="41"/>
      <c r="D111" s="105"/>
      <c r="E111" s="105"/>
      <c r="F111" s="105"/>
      <c r="G111" s="105"/>
      <c r="H111" s="105"/>
      <c r="I111" s="105"/>
      <c r="J111" s="105"/>
      <c r="K111" s="105"/>
      <c r="L111" s="105"/>
      <c r="M111" s="105"/>
      <c r="N111" s="105"/>
      <c r="O111" s="105"/>
      <c r="P111" s="105"/>
      <c r="Q111" s="105"/>
      <c r="R111" s="105"/>
      <c r="S111" s="41"/>
      <c r="T111" s="41"/>
      <c r="U111" s="635"/>
      <c r="V111" s="41"/>
      <c r="FH111" s="650" t="s">
        <v>113</v>
      </c>
      <c r="FI111" s="1105">
        <v>8693</v>
      </c>
      <c r="FJ111" s="1105">
        <v>4899</v>
      </c>
      <c r="FK111" s="1105">
        <v>4</v>
      </c>
      <c r="FL111" s="1105">
        <v>4135</v>
      </c>
      <c r="FM111" s="1105">
        <v>18339</v>
      </c>
      <c r="FN111" s="1105">
        <v>4914</v>
      </c>
      <c r="FO111" s="1105">
        <v>3892</v>
      </c>
      <c r="FP111" s="1105">
        <v>16</v>
      </c>
      <c r="FQ111" s="1105">
        <v>7</v>
      </c>
      <c r="FR111" s="1105">
        <v>1158</v>
      </c>
      <c r="FS111" s="1105">
        <v>4543</v>
      </c>
      <c r="FT111" s="1105">
        <v>14293</v>
      </c>
      <c r="FU111" s="1105">
        <v>161</v>
      </c>
      <c r="FV111" s="1105">
        <v>65054</v>
      </c>
      <c r="FW111" s="575">
        <f t="shared" si="28"/>
        <v>0.42727580164171303</v>
      </c>
      <c r="GS111" s="107"/>
      <c r="GT111" s="10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row>
    <row r="112" spans="1:240">
      <c r="A112" s="41"/>
      <c r="C112" s="5558" t="s">
        <v>4</v>
      </c>
      <c r="D112" s="105">
        <v>3195</v>
      </c>
      <c r="E112" s="105">
        <v>1695</v>
      </c>
      <c r="F112" s="105">
        <v>1</v>
      </c>
      <c r="G112" s="105">
        <v>1013</v>
      </c>
      <c r="H112" s="105">
        <v>2176</v>
      </c>
      <c r="I112" s="105">
        <v>611</v>
      </c>
      <c r="J112" s="105">
        <v>259</v>
      </c>
      <c r="K112" s="105"/>
      <c r="L112" s="105">
        <v>2</v>
      </c>
      <c r="M112" s="105">
        <v>451</v>
      </c>
      <c r="N112" s="105">
        <v>448</v>
      </c>
      <c r="O112" s="105">
        <v>777</v>
      </c>
      <c r="P112" s="105">
        <v>3647</v>
      </c>
      <c r="Q112" s="105">
        <v>11</v>
      </c>
      <c r="R112" s="105">
        <v>14286</v>
      </c>
      <c r="S112" s="706">
        <f t="shared" ref="S112:S118" si="29">+(N112+I112+H112)/(R112-Q112-O112)</f>
        <v>0.23966513557564084</v>
      </c>
      <c r="T112" s="706"/>
      <c r="U112" s="635"/>
      <c r="V112" s="706"/>
      <c r="GS112" s="107"/>
      <c r="GT112" s="10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row>
    <row r="113" spans="1:240">
      <c r="A113" s="41"/>
      <c r="C113" s="5558" t="s">
        <v>16</v>
      </c>
      <c r="D113" s="105">
        <v>3417</v>
      </c>
      <c r="E113" s="105">
        <v>2833</v>
      </c>
      <c r="F113" s="105">
        <v>2</v>
      </c>
      <c r="G113" s="105">
        <v>757</v>
      </c>
      <c r="H113" s="105">
        <v>7228</v>
      </c>
      <c r="I113" s="105">
        <v>2016</v>
      </c>
      <c r="J113" s="105">
        <v>258</v>
      </c>
      <c r="K113" s="105">
        <v>77</v>
      </c>
      <c r="L113" s="105">
        <v>7</v>
      </c>
      <c r="M113" s="105">
        <v>971</v>
      </c>
      <c r="N113" s="105">
        <v>2569</v>
      </c>
      <c r="O113" s="105"/>
      <c r="P113" s="105">
        <v>4622</v>
      </c>
      <c r="Q113" s="105">
        <v>24</v>
      </c>
      <c r="R113" s="105">
        <v>24781</v>
      </c>
      <c r="S113" s="706">
        <f t="shared" si="29"/>
        <v>0.47715797552207456</v>
      </c>
      <c r="T113" s="706"/>
      <c r="U113" s="635"/>
      <c r="V113" s="706"/>
      <c r="GS113" s="107"/>
      <c r="GT113" s="10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row>
    <row r="114" spans="1:240">
      <c r="A114" s="41"/>
      <c r="C114" s="5558" t="s">
        <v>41</v>
      </c>
      <c r="D114" s="105">
        <v>2433</v>
      </c>
      <c r="E114" s="105">
        <v>948</v>
      </c>
      <c r="F114" s="105"/>
      <c r="G114" s="105">
        <v>686</v>
      </c>
      <c r="H114" s="105">
        <v>4861</v>
      </c>
      <c r="I114" s="105">
        <v>1584</v>
      </c>
      <c r="J114" s="105">
        <v>164</v>
      </c>
      <c r="K114" s="105">
        <v>2</v>
      </c>
      <c r="L114" s="105">
        <v>6</v>
      </c>
      <c r="M114" s="105">
        <v>236</v>
      </c>
      <c r="N114" s="105">
        <v>2590</v>
      </c>
      <c r="O114" s="105"/>
      <c r="P114" s="105">
        <v>2519</v>
      </c>
      <c r="Q114" s="105">
        <v>10</v>
      </c>
      <c r="R114" s="105">
        <v>16039</v>
      </c>
      <c r="S114" s="706">
        <f t="shared" si="29"/>
        <v>0.56366585563665861</v>
      </c>
      <c r="T114" s="706"/>
      <c r="U114" s="635"/>
      <c r="V114" s="706"/>
      <c r="GS114" s="107"/>
      <c r="GT114" s="10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row>
    <row r="115" spans="1:240">
      <c r="A115" s="41"/>
      <c r="C115" s="5558" t="s">
        <v>21</v>
      </c>
      <c r="D115" s="105">
        <v>1006</v>
      </c>
      <c r="E115" s="105">
        <v>649</v>
      </c>
      <c r="F115" s="105"/>
      <c r="G115" s="105">
        <v>237</v>
      </c>
      <c r="H115" s="105">
        <v>2392</v>
      </c>
      <c r="I115" s="105">
        <v>711</v>
      </c>
      <c r="J115" s="105">
        <v>138</v>
      </c>
      <c r="K115" s="105">
        <v>33</v>
      </c>
      <c r="L115" s="105">
        <v>2</v>
      </c>
      <c r="M115" s="105">
        <v>128</v>
      </c>
      <c r="N115" s="105">
        <v>1518</v>
      </c>
      <c r="O115" s="105"/>
      <c r="P115" s="105">
        <v>1293</v>
      </c>
      <c r="Q115" s="105">
        <v>3</v>
      </c>
      <c r="R115" s="105">
        <v>8110</v>
      </c>
      <c r="S115" s="706">
        <f t="shared" si="29"/>
        <v>0.5700012335019119</v>
      </c>
      <c r="T115" s="706"/>
      <c r="U115" s="635"/>
      <c r="V115" s="706"/>
      <c r="GS115" s="107"/>
      <c r="GT115" s="10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row>
    <row r="116" spans="1:240">
      <c r="A116" s="41"/>
      <c r="C116" s="5558" t="s">
        <v>61</v>
      </c>
      <c r="D116" s="105">
        <v>170</v>
      </c>
      <c r="E116" s="105">
        <v>156</v>
      </c>
      <c r="F116" s="105"/>
      <c r="G116" s="105">
        <v>45</v>
      </c>
      <c r="H116" s="105">
        <v>155</v>
      </c>
      <c r="I116" s="105">
        <v>86</v>
      </c>
      <c r="J116" s="105">
        <v>3</v>
      </c>
      <c r="K116" s="105">
        <v>10</v>
      </c>
      <c r="L116" s="105">
        <v>2</v>
      </c>
      <c r="M116" s="105">
        <v>105</v>
      </c>
      <c r="N116" s="105">
        <v>125</v>
      </c>
      <c r="O116" s="105"/>
      <c r="P116" s="105">
        <v>183</v>
      </c>
      <c r="Q116" s="105">
        <v>1</v>
      </c>
      <c r="R116" s="105">
        <v>1041</v>
      </c>
      <c r="S116" s="706">
        <f t="shared" si="29"/>
        <v>0.35192307692307695</v>
      </c>
      <c r="T116" s="706"/>
      <c r="U116" s="635"/>
      <c r="V116" s="706"/>
      <c r="GS116" s="107"/>
      <c r="GT116" s="10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row>
    <row r="117" spans="1:240">
      <c r="A117" s="41"/>
      <c r="C117" s="5558" t="s">
        <v>64</v>
      </c>
      <c r="D117" s="105">
        <v>244</v>
      </c>
      <c r="E117" s="105">
        <v>116</v>
      </c>
      <c r="F117" s="105"/>
      <c r="G117" s="105">
        <v>70</v>
      </c>
      <c r="H117" s="105">
        <v>171</v>
      </c>
      <c r="I117" s="105">
        <v>79</v>
      </c>
      <c r="J117" s="105">
        <v>5</v>
      </c>
      <c r="K117" s="105">
        <v>2</v>
      </c>
      <c r="L117" s="105"/>
      <c r="M117" s="105">
        <v>92</v>
      </c>
      <c r="N117" s="105">
        <v>48</v>
      </c>
      <c r="O117" s="105"/>
      <c r="P117" s="105">
        <v>199</v>
      </c>
      <c r="Q117" s="105"/>
      <c r="R117" s="105">
        <v>1026</v>
      </c>
      <c r="S117" s="706">
        <f t="shared" si="29"/>
        <v>0.29044834307992201</v>
      </c>
      <c r="T117" s="706"/>
      <c r="U117" s="635"/>
      <c r="V117" s="706"/>
      <c r="GS117" s="107"/>
      <c r="GT117" s="10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row>
    <row r="118" spans="1:240" ht="15" thickBot="1">
      <c r="A118" s="41"/>
      <c r="C118" s="5559" t="s">
        <v>75</v>
      </c>
      <c r="D118" s="466">
        <v>10465</v>
      </c>
      <c r="E118" s="466">
        <v>6397</v>
      </c>
      <c r="F118" s="466">
        <v>3</v>
      </c>
      <c r="G118" s="466">
        <v>2808</v>
      </c>
      <c r="H118" s="466">
        <v>16983</v>
      </c>
      <c r="I118" s="466">
        <v>5087</v>
      </c>
      <c r="J118" s="466">
        <v>827</v>
      </c>
      <c r="K118" s="466">
        <v>124</v>
      </c>
      <c r="L118" s="466">
        <v>19</v>
      </c>
      <c r="M118" s="466">
        <v>1983</v>
      </c>
      <c r="N118" s="466">
        <v>7298</v>
      </c>
      <c r="O118" s="466">
        <v>777</v>
      </c>
      <c r="P118" s="466">
        <v>12463</v>
      </c>
      <c r="Q118" s="466">
        <v>49</v>
      </c>
      <c r="R118" s="466">
        <v>65283</v>
      </c>
      <c r="S118" s="736">
        <f t="shared" si="29"/>
        <v>0.45562157717548135</v>
      </c>
      <c r="T118" s="5560"/>
      <c r="U118" s="635"/>
      <c r="V118" s="5560"/>
      <c r="GS118" s="107"/>
      <c r="GT118" s="10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row>
    <row r="119" spans="1:240">
      <c r="A119" s="41"/>
      <c r="U119" s="635"/>
      <c r="GS119" s="107"/>
      <c r="GT119" s="10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row>
    <row r="120" spans="1:240">
      <c r="A120" s="41"/>
      <c r="R120" s="44">
        <v>64893</v>
      </c>
      <c r="U120" s="635"/>
      <c r="GS120" s="107"/>
      <c r="GT120" s="10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row>
    <row r="121" spans="1:240">
      <c r="A121" s="41"/>
      <c r="U121" s="635"/>
      <c r="GS121" s="107"/>
      <c r="GT121" s="10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row>
    <row r="122" spans="1:240">
      <c r="A122" s="41"/>
      <c r="R122" s="1">
        <f>R118-R120</f>
        <v>390</v>
      </c>
      <c r="U122" s="635"/>
      <c r="GS122" s="107"/>
      <c r="GT122" s="10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row>
    <row r="123" spans="1:240">
      <c r="U123" s="635"/>
      <c r="GS123" s="107"/>
      <c r="GT123" s="10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row>
    <row r="124" spans="1:240">
      <c r="U124" s="2484"/>
      <c r="GS124" s="107"/>
      <c r="GT124" s="10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row>
    <row r="125" spans="1:240">
      <c r="U125" s="105"/>
      <c r="GS125" s="107"/>
      <c r="GT125" s="10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row>
    <row r="126" spans="1:240">
      <c r="U126" s="105"/>
      <c r="GS126" s="107"/>
      <c r="GT126" s="10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row>
    <row r="127" spans="1:240">
      <c r="U127" s="105"/>
      <c r="GS127" s="107"/>
      <c r="GT127" s="10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row>
    <row r="128" spans="1:240">
      <c r="U128" s="105"/>
      <c r="GS128" s="107"/>
      <c r="GT128" s="10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row>
    <row r="129" spans="21:240">
      <c r="U129" s="105"/>
      <c r="GS129" s="107"/>
      <c r="GT129" s="10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row>
    <row r="130" spans="21:240">
      <c r="U130" s="635"/>
      <c r="GS130" s="107"/>
      <c r="GT130" s="10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row>
    <row r="131" spans="21:240">
      <c r="U131" s="635"/>
      <c r="GS131" s="107"/>
      <c r="GT131" s="10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row>
    <row r="132" spans="21:240">
      <c r="U132" s="635"/>
      <c r="GS132" s="107"/>
      <c r="GT132" s="10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row>
    <row r="133" spans="21:240">
      <c r="U133" s="635"/>
      <c r="GS133" s="107"/>
      <c r="GT133" s="10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row>
    <row r="134" spans="21:240">
      <c r="U134" s="635"/>
      <c r="GS134" s="107"/>
      <c r="GT134" s="10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row>
    <row r="135" spans="21:240">
      <c r="U135" s="635"/>
      <c r="GS135" s="107"/>
      <c r="GT135" s="10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row>
    <row r="136" spans="21:240">
      <c r="U136" s="2484"/>
      <c r="GS136" s="107"/>
      <c r="GT136" s="10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row>
    <row r="137" spans="21:240">
      <c r="GS137" s="107"/>
      <c r="GT137" s="10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row>
    <row r="138" spans="21:240">
      <c r="GS138" s="107"/>
      <c r="GT138" s="10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row>
    <row r="139" spans="21:240">
      <c r="GS139" s="107"/>
      <c r="GT139" s="10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row>
    <row r="140" spans="21:240">
      <c r="GS140" s="107"/>
      <c r="GT140" s="10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row>
    <row r="141" spans="21:240">
      <c r="GS141" s="107"/>
      <c r="GT141" s="10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row>
    <row r="142" spans="21:240">
      <c r="GS142" s="107"/>
      <c r="GT142" s="10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row>
    <row r="143" spans="21:240">
      <c r="GS143" s="107"/>
      <c r="GT143" s="10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row>
    <row r="144" spans="21:240">
      <c r="GS144" s="107"/>
      <c r="GT144" s="10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row>
    <row r="145" spans="201:240">
      <c r="GS145" s="107"/>
      <c r="GT145" s="10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row>
    <row r="146" spans="201:240">
      <c r="GS146" s="107"/>
      <c r="GT146" s="10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row>
    <row r="147" spans="201:240">
      <c r="GS147" s="107"/>
      <c r="GT147" s="10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row>
    <row r="148" spans="201:240">
      <c r="GS148" s="107"/>
      <c r="GT148" s="10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row>
    <row r="149" spans="201:240">
      <c r="IF149" s="47"/>
    </row>
    <row r="150" spans="201:240">
      <c r="IF150" s="47"/>
    </row>
  </sheetData>
  <mergeCells count="15">
    <mergeCell ref="D5:Q5"/>
    <mergeCell ref="AT5:BH5"/>
    <mergeCell ref="BN5:CA5"/>
    <mergeCell ref="HP93:IB93"/>
    <mergeCell ref="HP5:IB5"/>
    <mergeCell ref="CH5:CV5"/>
    <mergeCell ref="DV5:EI5"/>
    <mergeCell ref="DB5:DO5"/>
    <mergeCell ref="FI103:FV103"/>
    <mergeCell ref="EP5:FB5"/>
    <mergeCell ref="FI5:FW5"/>
    <mergeCell ref="GB5:GP5"/>
    <mergeCell ref="GV5:HJ5"/>
    <mergeCell ref="GB93:GP93"/>
    <mergeCell ref="GV93:HJ93"/>
  </mergeCells>
  <pageMargins left="0.7" right="0.7" top="0.75" bottom="0.75" header="0.3" footer="0.3"/>
  <pageSetup orientation="portrait" r:id="rId1"/>
  <ignoredErrors>
    <ignoredError sqref="U10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499984740745262"/>
  </sheetPr>
  <dimension ref="A1:M101"/>
  <sheetViews>
    <sheetView showGridLines="0" zoomScale="120" zoomScaleNormal="120" workbookViewId="0">
      <selection activeCell="N3" sqref="N3"/>
    </sheetView>
  </sheetViews>
  <sheetFormatPr baseColWidth="10" defaultRowHeight="14.4"/>
  <cols>
    <col min="1" max="1" width="5.77734375" customWidth="1"/>
    <col min="2" max="2" width="21.21875" customWidth="1"/>
    <col min="3" max="3" width="12.77734375" customWidth="1"/>
  </cols>
  <sheetData>
    <row r="1" spans="1:13" ht="19.5" customHeight="1">
      <c r="C1" s="39"/>
      <c r="D1" s="39"/>
      <c r="E1" s="39"/>
      <c r="F1" s="3497" t="s">
        <v>467</v>
      </c>
      <c r="G1" s="39"/>
    </row>
    <row r="2" spans="1:13" ht="15.75" customHeight="1">
      <c r="C2" s="39"/>
      <c r="D2" s="39"/>
      <c r="E2" s="39"/>
      <c r="F2" s="6093" t="s">
        <v>2734</v>
      </c>
      <c r="G2" s="6093"/>
    </row>
    <row r="3" spans="1:13" ht="15.75" customHeight="1">
      <c r="C3" s="39"/>
      <c r="D3" s="39"/>
      <c r="E3" s="39"/>
      <c r="F3" s="39"/>
      <c r="G3" s="39"/>
    </row>
    <row r="4" spans="1:13" ht="20.100000000000001" customHeight="1" thickBot="1">
      <c r="B4" s="2533" t="s">
        <v>537</v>
      </c>
      <c r="C4" s="2533">
        <v>2010</v>
      </c>
      <c r="D4" s="2533">
        <v>2011</v>
      </c>
      <c r="E4" s="2533">
        <v>2012</v>
      </c>
      <c r="F4" s="2533">
        <v>2013</v>
      </c>
      <c r="G4" s="2533">
        <v>2014</v>
      </c>
      <c r="H4" s="2533">
        <v>2015</v>
      </c>
      <c r="I4" s="2533">
        <v>2016</v>
      </c>
      <c r="J4" s="2533">
        <v>2017</v>
      </c>
      <c r="K4" s="2533">
        <v>2018</v>
      </c>
      <c r="L4" s="2533">
        <v>2019</v>
      </c>
      <c r="M4" s="2533">
        <v>2020</v>
      </c>
    </row>
    <row r="5" spans="1:13" ht="20.100000000000001" customHeight="1">
      <c r="B5" s="2534" t="s">
        <v>87</v>
      </c>
      <c r="C5" s="2535">
        <v>90</v>
      </c>
      <c r="D5" s="2535">
        <v>100</v>
      </c>
      <c r="E5" s="2535">
        <v>100</v>
      </c>
      <c r="F5" s="2535">
        <v>100</v>
      </c>
      <c r="G5" s="2535">
        <v>100</v>
      </c>
      <c r="H5" s="2535">
        <v>100</v>
      </c>
      <c r="I5" s="2535">
        <v>2600</v>
      </c>
      <c r="J5" s="2535">
        <v>2600</v>
      </c>
      <c r="K5" s="2535">
        <v>2600</v>
      </c>
      <c r="L5" s="2535">
        <v>2600</v>
      </c>
      <c r="M5" s="2535">
        <v>2600</v>
      </c>
    </row>
    <row r="6" spans="1:13" ht="20.100000000000001" customHeight="1">
      <c r="B6" s="2536" t="s">
        <v>3</v>
      </c>
      <c r="C6" s="2537">
        <v>8</v>
      </c>
      <c r="D6" s="2537">
        <v>100</v>
      </c>
      <c r="E6" s="2537">
        <v>200</v>
      </c>
      <c r="F6" s="2537">
        <v>200</v>
      </c>
      <c r="G6" s="2537">
        <v>200</v>
      </c>
      <c r="H6" s="2537">
        <v>200</v>
      </c>
      <c r="I6" s="2537">
        <v>2600</v>
      </c>
      <c r="J6" s="2537">
        <v>2600</v>
      </c>
      <c r="K6" s="2537">
        <v>2600</v>
      </c>
      <c r="L6" s="2537">
        <v>2600</v>
      </c>
      <c r="M6" s="2537">
        <v>2600</v>
      </c>
    </row>
    <row r="7" spans="1:13" ht="20.100000000000001" customHeight="1">
      <c r="B7" s="2536" t="s">
        <v>59</v>
      </c>
      <c r="C7" s="2537"/>
      <c r="D7" s="2537">
        <v>40</v>
      </c>
      <c r="E7" s="2537">
        <v>40</v>
      </c>
      <c r="F7" s="2537">
        <v>40</v>
      </c>
      <c r="G7" s="2537">
        <v>100</v>
      </c>
      <c r="H7" s="2537">
        <v>100</v>
      </c>
      <c r="I7" s="2537">
        <v>2600</v>
      </c>
      <c r="J7" s="2537">
        <v>2600</v>
      </c>
      <c r="K7" s="2537">
        <v>2600</v>
      </c>
      <c r="L7" s="2537">
        <v>2600</v>
      </c>
      <c r="M7" s="2537">
        <v>2600</v>
      </c>
    </row>
    <row r="8" spans="1:13" ht="20.100000000000001" customHeight="1">
      <c r="B8" s="2536" t="s">
        <v>25</v>
      </c>
      <c r="C8" s="2537">
        <v>34</v>
      </c>
      <c r="D8" s="2537">
        <v>100</v>
      </c>
      <c r="E8" s="2537">
        <v>100</v>
      </c>
      <c r="F8" s="2537">
        <v>100</v>
      </c>
      <c r="G8" s="2537">
        <v>150</v>
      </c>
      <c r="H8" s="2537">
        <v>150</v>
      </c>
      <c r="I8" s="2537">
        <v>2600</v>
      </c>
      <c r="J8" s="2537">
        <v>2600</v>
      </c>
      <c r="K8" s="2537">
        <v>2600</v>
      </c>
      <c r="L8" s="2537">
        <v>2600</v>
      </c>
      <c r="M8" s="2537">
        <v>2600</v>
      </c>
    </row>
    <row r="9" spans="1:13" ht="20.100000000000001" customHeight="1">
      <c r="B9" s="2536" t="s">
        <v>244</v>
      </c>
      <c r="C9" s="2537"/>
      <c r="D9" s="2537">
        <v>4</v>
      </c>
      <c r="E9" s="2537">
        <v>4</v>
      </c>
      <c r="F9" s="2537">
        <v>60</v>
      </c>
      <c r="G9" s="2537">
        <v>60</v>
      </c>
      <c r="H9" s="2537">
        <v>60</v>
      </c>
      <c r="I9" s="2537">
        <v>1600</v>
      </c>
      <c r="J9" s="2537">
        <v>1600</v>
      </c>
      <c r="K9" s="2537">
        <v>1600</v>
      </c>
      <c r="L9" s="2537">
        <v>1600</v>
      </c>
      <c r="M9" s="2537">
        <v>1600</v>
      </c>
    </row>
    <row r="10" spans="1:13" ht="20.100000000000001" customHeight="1">
      <c r="B10" s="2536" t="s">
        <v>48</v>
      </c>
      <c r="C10" s="2537">
        <v>4</v>
      </c>
      <c r="D10" s="2537">
        <v>100</v>
      </c>
      <c r="E10" s="2537">
        <v>100</v>
      </c>
      <c r="F10" s="2537">
        <v>200</v>
      </c>
      <c r="G10" s="2537">
        <v>200</v>
      </c>
      <c r="H10" s="2537">
        <v>200</v>
      </c>
      <c r="I10" s="2537">
        <v>2600</v>
      </c>
      <c r="J10" s="2537">
        <v>2600</v>
      </c>
      <c r="K10" s="2537">
        <v>2600</v>
      </c>
      <c r="L10" s="2537">
        <v>2600</v>
      </c>
      <c r="M10" s="2537">
        <v>2600</v>
      </c>
    </row>
    <row r="11" spans="1:13" ht="20.100000000000001" customHeight="1">
      <c r="B11" s="3472" t="s">
        <v>71</v>
      </c>
      <c r="C11" s="3473">
        <v>136</v>
      </c>
      <c r="D11" s="3473">
        <v>444</v>
      </c>
      <c r="E11" s="3473">
        <f>SUM(E5:E10)</f>
        <v>544</v>
      </c>
      <c r="F11" s="3473">
        <f>SUM(F5:F10)</f>
        <v>700</v>
      </c>
      <c r="G11" s="3473">
        <f>SUM(G5:G10)</f>
        <v>810</v>
      </c>
      <c r="H11" s="3473">
        <f>SUM(H5:H10)</f>
        <v>810</v>
      </c>
      <c r="I11" s="3473">
        <f>SUM(I5:I10)</f>
        <v>14600</v>
      </c>
      <c r="J11" s="3473">
        <v>14600</v>
      </c>
      <c r="K11" s="3473">
        <f>SUM(K5:K10)</f>
        <v>14600</v>
      </c>
      <c r="L11" s="3473">
        <f>SUM(L5:L10)</f>
        <v>14600</v>
      </c>
      <c r="M11" s="3473">
        <f>SUM(M5:M10)</f>
        <v>14600</v>
      </c>
    </row>
    <row r="12" spans="1:13" ht="15.75" customHeight="1">
      <c r="B12" s="37" t="s">
        <v>325</v>
      </c>
      <c r="C12" s="39"/>
      <c r="D12" s="39"/>
      <c r="E12" s="39"/>
      <c r="F12" s="39"/>
      <c r="G12" s="39"/>
      <c r="I12" s="130"/>
    </row>
    <row r="13" spans="1:13" ht="15.75" customHeight="1">
      <c r="B13" s="227"/>
      <c r="C13" s="39"/>
      <c r="D13" s="39"/>
      <c r="E13" s="39"/>
      <c r="F13" s="39"/>
      <c r="G13" s="39"/>
      <c r="I13" s="1279" t="s">
        <v>1824</v>
      </c>
    </row>
    <row r="14" spans="1:13" ht="15.75" customHeight="1">
      <c r="A14" s="2904"/>
      <c r="B14" s="2904"/>
      <c r="C14" s="39"/>
      <c r="D14" s="39"/>
      <c r="E14" s="39"/>
      <c r="F14" s="39"/>
      <c r="G14" s="39"/>
      <c r="I14" s="51">
        <v>2.5390625</v>
      </c>
    </row>
    <row r="15" spans="1:13" ht="15.75" customHeight="1">
      <c r="A15" s="2904"/>
      <c r="B15" s="2908"/>
      <c r="C15" s="39"/>
      <c r="D15" s="39"/>
      <c r="E15" s="39"/>
      <c r="F15" s="39"/>
      <c r="G15" s="39"/>
      <c r="I15" s="51">
        <v>2.5390625</v>
      </c>
    </row>
    <row r="16" spans="1:13" ht="15.75" customHeight="1">
      <c r="A16" s="2904"/>
      <c r="B16" s="2908"/>
      <c r="C16" s="39"/>
      <c r="D16" s="39"/>
      <c r="E16" s="39"/>
      <c r="F16" s="39"/>
      <c r="G16" s="39"/>
      <c r="I16" s="51">
        <v>2.5390625</v>
      </c>
    </row>
    <row r="17" spans="1:9" ht="15.75" customHeight="1">
      <c r="A17" s="2904"/>
      <c r="B17" s="2908"/>
      <c r="C17" s="39"/>
      <c r="D17" s="39"/>
      <c r="E17" s="39"/>
      <c r="F17" s="39"/>
      <c r="G17" s="39"/>
      <c r="I17" s="51">
        <v>2.5390625</v>
      </c>
    </row>
    <row r="18" spans="1:9" ht="15.75" customHeight="1">
      <c r="A18" s="2904"/>
      <c r="B18" s="2908"/>
      <c r="C18" s="39"/>
      <c r="D18" s="39"/>
      <c r="E18" s="39"/>
      <c r="F18" s="39"/>
      <c r="G18" s="39"/>
      <c r="I18" s="51">
        <v>1.5625</v>
      </c>
    </row>
    <row r="19" spans="1:9" ht="15.75" customHeight="1">
      <c r="A19" s="2904"/>
      <c r="B19" s="2908"/>
      <c r="C19" s="39"/>
      <c r="D19" s="39"/>
      <c r="E19" s="39"/>
      <c r="F19" s="39"/>
      <c r="G19" s="39"/>
      <c r="I19" s="4247">
        <v>2.5390625</v>
      </c>
    </row>
    <row r="20" spans="1:9" ht="15.75" customHeight="1">
      <c r="A20" s="2904"/>
      <c r="B20" s="2908"/>
      <c r="C20" s="39"/>
      <c r="D20" s="39"/>
      <c r="E20" s="39"/>
      <c r="F20" s="39"/>
      <c r="G20" s="39"/>
      <c r="I20" s="4246">
        <v>14.2578125</v>
      </c>
    </row>
    <row r="21" spans="1:9" ht="15.75" customHeight="1">
      <c r="A21" s="2904"/>
      <c r="B21" s="2908"/>
      <c r="C21" s="39"/>
      <c r="D21" s="39"/>
      <c r="E21" s="39"/>
      <c r="F21" s="39"/>
      <c r="G21" s="39"/>
      <c r="I21" s="3471" t="s">
        <v>2736</v>
      </c>
    </row>
    <row r="22" spans="1:9" ht="15.75" customHeight="1">
      <c r="A22" s="2904"/>
      <c r="B22" s="2908"/>
      <c r="C22" s="39"/>
      <c r="D22" s="39"/>
      <c r="E22" s="39"/>
      <c r="F22" s="39"/>
      <c r="G22" s="39"/>
      <c r="I22" s="3471" t="s">
        <v>2735</v>
      </c>
    </row>
    <row r="23" spans="1:9" ht="15.75" customHeight="1">
      <c r="A23" s="2904"/>
      <c r="B23" s="2908"/>
      <c r="C23" s="39"/>
      <c r="D23" s="39"/>
      <c r="E23" s="39"/>
      <c r="F23" s="39"/>
      <c r="G23" s="39"/>
    </row>
    <row r="24" spans="1:9" ht="15.75" customHeight="1">
      <c r="A24" s="2904"/>
      <c r="B24" s="2908"/>
      <c r="C24" s="39"/>
      <c r="D24" s="39"/>
      <c r="E24" s="39"/>
      <c r="F24" s="39"/>
      <c r="G24" s="39"/>
    </row>
    <row r="25" spans="1:9" ht="15.75" customHeight="1">
      <c r="A25" s="2904"/>
      <c r="B25" s="2908"/>
      <c r="C25" s="39"/>
      <c r="D25" s="39"/>
      <c r="E25" s="39"/>
      <c r="F25" s="39"/>
      <c r="G25" s="39"/>
    </row>
    <row r="26" spans="1:9" ht="15.75" customHeight="1">
      <c r="A26" s="2904"/>
      <c r="B26" s="2908"/>
      <c r="C26" s="39"/>
      <c r="D26" s="39"/>
      <c r="E26" s="39"/>
      <c r="F26" s="39"/>
      <c r="G26" s="39"/>
    </row>
    <row r="27" spans="1:9" ht="15.75" customHeight="1">
      <c r="A27" s="2904"/>
      <c r="B27" s="2908"/>
      <c r="C27" s="39"/>
      <c r="D27" s="39"/>
      <c r="E27" s="39"/>
      <c r="F27" s="39"/>
      <c r="G27" s="39"/>
    </row>
    <row r="28" spans="1:9" ht="15.75" customHeight="1">
      <c r="A28" s="2904"/>
      <c r="B28" s="2908"/>
      <c r="C28" s="39"/>
      <c r="D28" s="39"/>
      <c r="E28" s="39"/>
      <c r="F28" s="39"/>
      <c r="G28" s="39"/>
    </row>
    <row r="29" spans="1:9" ht="15.75" customHeight="1">
      <c r="A29" s="2904"/>
      <c r="B29" s="2908"/>
      <c r="C29" s="39"/>
      <c r="D29" s="39"/>
      <c r="E29" s="39"/>
      <c r="F29" s="39"/>
      <c r="G29" s="39"/>
    </row>
    <row r="30" spans="1:9" ht="15.75" customHeight="1">
      <c r="A30" s="2904"/>
      <c r="B30" s="2908"/>
      <c r="C30" s="39"/>
      <c r="D30" s="39"/>
      <c r="E30" s="39"/>
      <c r="F30" s="39"/>
      <c r="G30" s="39"/>
    </row>
    <row r="31" spans="1:9" ht="15.75" customHeight="1">
      <c r="A31" s="2904"/>
      <c r="B31" s="2908"/>
      <c r="C31" s="39"/>
      <c r="D31" s="39"/>
      <c r="E31" s="39"/>
      <c r="F31" s="39"/>
      <c r="G31" s="39"/>
    </row>
    <row r="32" spans="1:9" ht="15.75" customHeight="1">
      <c r="A32" s="2904"/>
      <c r="B32" s="2908"/>
      <c r="C32" s="39"/>
      <c r="D32" s="39"/>
      <c r="E32" s="39"/>
      <c r="F32" s="39"/>
      <c r="G32" s="39"/>
    </row>
    <row r="33" spans="1:7" ht="15.75" customHeight="1">
      <c r="A33" s="2904"/>
      <c r="B33" s="2908"/>
      <c r="C33" s="39"/>
      <c r="D33" s="39"/>
      <c r="E33" s="39"/>
      <c r="F33" s="39"/>
      <c r="G33" s="39"/>
    </row>
    <row r="34" spans="1:7" ht="15.75" customHeight="1">
      <c r="A34" s="2904"/>
      <c r="B34" s="2908"/>
      <c r="C34" s="39"/>
      <c r="D34" s="39"/>
      <c r="E34" s="39"/>
      <c r="F34" s="39"/>
      <c r="G34" s="39"/>
    </row>
    <row r="35" spans="1:7" ht="15.75" customHeight="1">
      <c r="A35" s="2904"/>
      <c r="B35" s="2908"/>
      <c r="C35" s="39"/>
      <c r="D35" s="39"/>
      <c r="E35" s="39"/>
      <c r="F35" s="39"/>
      <c r="G35" s="39"/>
    </row>
    <row r="36" spans="1:7" ht="15.75" customHeight="1">
      <c r="A36" s="2904"/>
      <c r="B36" s="2908"/>
      <c r="C36" s="39"/>
      <c r="D36" s="39"/>
      <c r="E36" s="39"/>
      <c r="F36" s="39"/>
      <c r="G36" s="39"/>
    </row>
    <row r="37" spans="1:7" ht="15.75" customHeight="1">
      <c r="A37" s="2904"/>
      <c r="B37" s="2908"/>
      <c r="C37" s="39"/>
      <c r="D37" s="39"/>
      <c r="E37" s="39"/>
      <c r="F37" s="39"/>
      <c r="G37" s="39"/>
    </row>
    <row r="38" spans="1:7" ht="15.75" customHeight="1">
      <c r="A38" s="2904"/>
      <c r="B38" s="2908"/>
      <c r="C38" s="39"/>
      <c r="D38" s="39"/>
      <c r="E38" s="39"/>
      <c r="F38" s="39"/>
      <c r="G38" s="39"/>
    </row>
    <row r="39" spans="1:7" ht="15.75" customHeight="1">
      <c r="A39" s="2904"/>
      <c r="B39" s="2908"/>
      <c r="C39" s="39"/>
      <c r="D39" s="39"/>
      <c r="E39" s="39"/>
      <c r="F39" s="39"/>
      <c r="G39" s="39"/>
    </row>
    <row r="40" spans="1:7" ht="15.75" customHeight="1">
      <c r="A40" s="2904"/>
      <c r="B40" s="2908"/>
      <c r="C40" s="39"/>
      <c r="D40" s="39"/>
      <c r="E40" s="39"/>
      <c r="F40" s="39"/>
      <c r="G40" s="39"/>
    </row>
    <row r="41" spans="1:7" ht="15.75" customHeight="1">
      <c r="A41" s="2904"/>
      <c r="B41" s="2908"/>
      <c r="C41" s="39"/>
      <c r="D41" s="39"/>
      <c r="E41" s="39"/>
      <c r="F41" s="39"/>
      <c r="G41" s="39"/>
    </row>
    <row r="42" spans="1:7" ht="15.75" customHeight="1">
      <c r="A42" s="2904"/>
      <c r="B42" s="2908"/>
      <c r="C42" s="39"/>
      <c r="D42" s="39"/>
      <c r="E42" s="39"/>
      <c r="F42" s="39"/>
      <c r="G42" s="39"/>
    </row>
    <row r="43" spans="1:7" ht="15.75" customHeight="1">
      <c r="A43" s="2904"/>
      <c r="B43" s="2908"/>
      <c r="C43" s="39"/>
      <c r="D43" s="39"/>
      <c r="E43" s="39"/>
      <c r="F43" s="39"/>
      <c r="G43" s="39"/>
    </row>
    <row r="44" spans="1:7" ht="15.75" customHeight="1">
      <c r="A44" s="2904"/>
      <c r="B44" s="2908"/>
      <c r="C44" s="39"/>
      <c r="D44" s="39"/>
      <c r="E44" s="39"/>
      <c r="F44" s="39"/>
      <c r="G44" s="39"/>
    </row>
    <row r="45" spans="1:7" ht="15.75" customHeight="1">
      <c r="A45" s="2904"/>
      <c r="B45" s="2908"/>
      <c r="C45" s="39"/>
      <c r="D45" s="39"/>
      <c r="E45" s="39"/>
      <c r="F45" s="39"/>
      <c r="G45" s="39"/>
    </row>
    <row r="46" spans="1:7" ht="15.75" customHeight="1">
      <c r="A46" s="2904"/>
      <c r="B46" s="2908"/>
      <c r="C46" s="39"/>
      <c r="D46" s="39"/>
      <c r="E46" s="39"/>
      <c r="F46" s="39"/>
      <c r="G46" s="39"/>
    </row>
    <row r="47" spans="1:7" ht="15.75" customHeight="1">
      <c r="A47" s="2904"/>
      <c r="B47" s="2908"/>
      <c r="C47" s="39"/>
      <c r="D47" s="39"/>
      <c r="E47" s="39"/>
      <c r="F47" s="39"/>
      <c r="G47" s="39"/>
    </row>
    <row r="48" spans="1:7" ht="15.75" customHeight="1">
      <c r="A48" s="2904"/>
      <c r="B48" s="2908"/>
      <c r="C48" s="39"/>
      <c r="D48" s="39"/>
      <c r="E48" s="39"/>
      <c r="F48" s="39"/>
      <c r="G48" s="39"/>
    </row>
    <row r="49" spans="1:7" ht="15.75" customHeight="1">
      <c r="A49" s="2904"/>
      <c r="B49" s="2908"/>
      <c r="C49" s="39"/>
      <c r="D49" s="39"/>
      <c r="E49" s="39"/>
      <c r="F49" s="39"/>
      <c r="G49" s="39"/>
    </row>
    <row r="50" spans="1:7" ht="15.75" customHeight="1">
      <c r="A50" s="2904"/>
      <c r="B50" s="2908"/>
      <c r="C50" s="39"/>
      <c r="D50" s="39"/>
      <c r="E50" s="39"/>
      <c r="F50" s="39"/>
      <c r="G50" s="39"/>
    </row>
    <row r="51" spans="1:7" ht="15.75" customHeight="1">
      <c r="A51" s="2904"/>
      <c r="B51" s="2908"/>
      <c r="C51" s="39"/>
      <c r="D51" s="39"/>
      <c r="E51" s="39"/>
      <c r="F51" s="39"/>
      <c r="G51" s="39"/>
    </row>
    <row r="52" spans="1:7" ht="15.75" customHeight="1">
      <c r="A52" s="2904"/>
      <c r="B52" s="2908"/>
      <c r="C52" s="39"/>
      <c r="D52" s="39"/>
      <c r="E52" s="39"/>
      <c r="F52" s="39"/>
      <c r="G52" s="39"/>
    </row>
    <row r="53" spans="1:7" ht="15.75" customHeight="1">
      <c r="A53" s="2904"/>
      <c r="B53" s="2908"/>
      <c r="C53" s="39"/>
      <c r="D53" s="39"/>
      <c r="E53" s="39"/>
      <c r="F53" s="39"/>
      <c r="G53" s="39"/>
    </row>
    <row r="54" spans="1:7" ht="15.75" customHeight="1">
      <c r="A54" s="2904"/>
      <c r="B54" s="2908"/>
      <c r="C54" s="39"/>
      <c r="D54" s="39"/>
      <c r="E54" s="39"/>
      <c r="F54" s="39"/>
      <c r="G54" s="39"/>
    </row>
    <row r="55" spans="1:7" ht="15.75" customHeight="1">
      <c r="A55" s="2904"/>
      <c r="B55" s="2908"/>
      <c r="C55" s="39"/>
      <c r="D55" s="39"/>
      <c r="E55" s="39"/>
      <c r="F55" s="39"/>
      <c r="G55" s="39"/>
    </row>
    <row r="56" spans="1:7" ht="15.75" customHeight="1">
      <c r="A56" s="2904"/>
      <c r="B56" s="2908"/>
      <c r="C56" s="39"/>
      <c r="D56" s="39"/>
      <c r="E56" s="39"/>
      <c r="F56" s="39"/>
      <c r="G56" s="39"/>
    </row>
    <row r="57" spans="1:7" ht="15.75" customHeight="1">
      <c r="A57" s="2904"/>
      <c r="B57" s="2908"/>
      <c r="C57" s="39"/>
      <c r="D57" s="39"/>
      <c r="E57" s="39"/>
      <c r="F57" s="39"/>
      <c r="G57" s="39"/>
    </row>
    <row r="58" spans="1:7" ht="15.75" customHeight="1">
      <c r="A58" s="2904"/>
      <c r="B58" s="2908"/>
      <c r="C58" s="39"/>
      <c r="D58" s="39"/>
      <c r="E58" s="39"/>
      <c r="F58" s="39"/>
      <c r="G58" s="39"/>
    </row>
    <row r="59" spans="1:7" ht="15.75" customHeight="1">
      <c r="A59" s="2904"/>
      <c r="B59" s="2908"/>
      <c r="C59" s="39"/>
      <c r="D59" s="39"/>
      <c r="E59" s="39"/>
      <c r="F59" s="39"/>
      <c r="G59" s="39"/>
    </row>
    <row r="60" spans="1:7" ht="15.75" customHeight="1">
      <c r="A60" s="2904"/>
      <c r="B60" s="2908"/>
      <c r="C60" s="39"/>
      <c r="D60" s="39"/>
      <c r="E60" s="39"/>
      <c r="F60" s="39"/>
      <c r="G60" s="39"/>
    </row>
    <row r="61" spans="1:7" ht="15.75" customHeight="1">
      <c r="A61" s="2904"/>
      <c r="B61" s="2908"/>
      <c r="C61" s="39"/>
      <c r="D61" s="39"/>
      <c r="E61" s="39"/>
      <c r="F61" s="39"/>
      <c r="G61" s="39"/>
    </row>
    <row r="62" spans="1:7" ht="15.75" customHeight="1">
      <c r="A62" s="2904"/>
      <c r="B62" s="2908"/>
      <c r="C62" s="39"/>
      <c r="D62" s="39"/>
      <c r="E62" s="39"/>
      <c r="F62" s="39"/>
      <c r="G62" s="39"/>
    </row>
    <row r="63" spans="1:7" ht="15.75" customHeight="1">
      <c r="A63" s="2904"/>
      <c r="B63" s="2908"/>
      <c r="C63" s="39"/>
      <c r="D63" s="39"/>
      <c r="E63" s="39"/>
      <c r="F63" s="39"/>
      <c r="G63" s="39"/>
    </row>
    <row r="64" spans="1:7" ht="15.75" customHeight="1">
      <c r="A64" s="2904"/>
      <c r="B64" s="2908"/>
      <c r="C64" s="39"/>
      <c r="D64" s="39"/>
      <c r="E64" s="39"/>
      <c r="F64" s="39"/>
      <c r="G64" s="39"/>
    </row>
    <row r="65" spans="1:7" ht="15.75" customHeight="1">
      <c r="A65" s="2904"/>
      <c r="B65" s="2908"/>
      <c r="C65" s="39"/>
      <c r="D65" s="39"/>
      <c r="E65" s="39"/>
      <c r="F65" s="39"/>
      <c r="G65" s="39"/>
    </row>
    <row r="66" spans="1:7" ht="15.75" customHeight="1">
      <c r="A66" s="2904"/>
      <c r="B66" s="2908"/>
      <c r="C66" s="39"/>
      <c r="D66" s="39"/>
      <c r="E66" s="39"/>
      <c r="F66" s="39"/>
      <c r="G66" s="39"/>
    </row>
    <row r="67" spans="1:7" ht="15.75" customHeight="1">
      <c r="A67" s="2904"/>
      <c r="B67" s="2908"/>
      <c r="C67" s="39"/>
      <c r="D67" s="39"/>
      <c r="E67" s="39"/>
      <c r="F67" s="39"/>
      <c r="G67" s="39"/>
    </row>
    <row r="68" spans="1:7" ht="15.75" customHeight="1">
      <c r="A68" s="2904"/>
      <c r="B68" s="2908"/>
      <c r="C68" s="39"/>
      <c r="D68" s="39"/>
      <c r="E68" s="39"/>
      <c r="F68" s="39"/>
      <c r="G68" s="39"/>
    </row>
    <row r="69" spans="1:7" ht="15.75" customHeight="1">
      <c r="A69" s="2904"/>
      <c r="B69" s="2908"/>
      <c r="C69" s="39"/>
      <c r="D69" s="39"/>
      <c r="E69" s="39"/>
      <c r="F69" s="39"/>
      <c r="G69" s="39"/>
    </row>
    <row r="70" spans="1:7" ht="15.75" customHeight="1">
      <c r="A70" s="2904"/>
      <c r="B70" s="2908"/>
      <c r="C70" s="39"/>
      <c r="D70" s="39"/>
      <c r="E70" s="39"/>
      <c r="F70" s="39"/>
      <c r="G70" s="39"/>
    </row>
    <row r="71" spans="1:7" ht="15.75" customHeight="1">
      <c r="A71" s="2904"/>
      <c r="B71" s="2908"/>
      <c r="C71" s="39"/>
      <c r="D71" s="39"/>
      <c r="E71" s="39"/>
      <c r="F71" s="39"/>
      <c r="G71" s="39"/>
    </row>
    <row r="72" spans="1:7" ht="15.75" customHeight="1">
      <c r="A72" s="2904"/>
      <c r="B72" s="2908"/>
      <c r="C72" s="39"/>
      <c r="D72" s="39"/>
      <c r="E72" s="39"/>
      <c r="F72" s="39"/>
      <c r="G72" s="39"/>
    </row>
    <row r="73" spans="1:7" ht="15.75" customHeight="1">
      <c r="A73" s="2904"/>
      <c r="B73" s="2908"/>
      <c r="C73" s="39"/>
      <c r="D73" s="39"/>
      <c r="E73" s="39"/>
      <c r="F73" s="39"/>
      <c r="G73" s="39"/>
    </row>
    <row r="74" spans="1:7" ht="15.75" customHeight="1">
      <c r="A74" s="2904"/>
      <c r="B74" s="2908"/>
      <c r="C74" s="39"/>
      <c r="D74" s="39"/>
      <c r="E74" s="39"/>
      <c r="F74" s="39"/>
      <c r="G74" s="39"/>
    </row>
    <row r="75" spans="1:7" ht="15.75" customHeight="1">
      <c r="A75" s="2904"/>
      <c r="B75" s="2908"/>
      <c r="C75" s="39"/>
      <c r="D75" s="39"/>
      <c r="E75" s="39"/>
      <c r="F75" s="39"/>
      <c r="G75" s="39"/>
    </row>
    <row r="76" spans="1:7" ht="15.75" customHeight="1">
      <c r="A76" s="2904"/>
      <c r="B76" s="2908"/>
      <c r="C76" s="39"/>
      <c r="D76" s="39"/>
      <c r="E76" s="39"/>
      <c r="F76" s="39"/>
      <c r="G76" s="39"/>
    </row>
    <row r="77" spans="1:7" ht="15.75" customHeight="1">
      <c r="A77" s="2904"/>
      <c r="B77" s="2908"/>
      <c r="C77" s="39"/>
      <c r="D77" s="39"/>
      <c r="E77" s="39"/>
      <c r="F77" s="39"/>
      <c r="G77" s="39"/>
    </row>
    <row r="78" spans="1:7" ht="15.75" customHeight="1">
      <c r="A78" s="2904"/>
      <c r="B78" s="2908"/>
      <c r="C78" s="39"/>
      <c r="D78" s="39"/>
      <c r="E78" s="39"/>
      <c r="F78" s="39"/>
      <c r="G78" s="39"/>
    </row>
    <row r="79" spans="1:7" ht="15.75" customHeight="1">
      <c r="A79" s="2904"/>
      <c r="B79" s="2908"/>
      <c r="C79" s="39"/>
      <c r="D79" s="39"/>
      <c r="E79" s="39"/>
      <c r="F79" s="39"/>
      <c r="G79" s="39"/>
    </row>
    <row r="80" spans="1:7" ht="20.100000000000001" customHeight="1">
      <c r="A80" s="2904"/>
      <c r="B80" s="2908"/>
    </row>
    <row r="81" spans="1:2" ht="20.100000000000001" customHeight="1">
      <c r="A81" s="2904"/>
      <c r="B81" s="2908"/>
    </row>
    <row r="82" spans="1:2" ht="20.100000000000001" customHeight="1">
      <c r="A82" s="2904"/>
      <c r="B82" s="2908"/>
    </row>
    <row r="83" spans="1:2" ht="20.100000000000001" customHeight="1">
      <c r="A83" s="2904"/>
      <c r="B83" s="2908"/>
    </row>
    <row r="84" spans="1:2" ht="20.100000000000001" customHeight="1">
      <c r="A84" s="2904"/>
      <c r="B84" s="2908"/>
    </row>
    <row r="85" spans="1:2" ht="20.100000000000001" customHeight="1">
      <c r="A85" s="2904"/>
      <c r="B85" s="2908"/>
    </row>
    <row r="86" spans="1:2" ht="20.100000000000001" customHeight="1">
      <c r="A86" s="2904"/>
      <c r="B86" s="2908"/>
    </row>
    <row r="87" spans="1:2">
      <c r="A87" s="2904"/>
      <c r="B87" s="2908"/>
    </row>
    <row r="88" spans="1:2" ht="20.100000000000001" customHeight="1">
      <c r="A88" s="2904"/>
      <c r="B88" s="2908"/>
    </row>
    <row r="89" spans="1:2">
      <c r="A89" s="2904"/>
      <c r="B89" s="2908"/>
    </row>
    <row r="90" spans="1:2">
      <c r="A90" s="2904"/>
      <c r="B90" s="2908"/>
    </row>
    <row r="91" spans="1:2" ht="20.100000000000001" customHeight="1">
      <c r="A91" s="2904"/>
      <c r="B91" s="2908"/>
    </row>
    <row r="92" spans="1:2" ht="20.100000000000001" customHeight="1">
      <c r="A92" s="2904"/>
      <c r="B92" s="2908"/>
    </row>
    <row r="93" spans="1:2" ht="20.100000000000001" customHeight="1">
      <c r="A93" s="2904"/>
      <c r="B93" s="2908"/>
    </row>
    <row r="94" spans="1:2" ht="20.100000000000001" customHeight="1">
      <c r="A94" s="2904"/>
      <c r="B94" s="2908"/>
    </row>
    <row r="95" spans="1:2" ht="20.100000000000001" customHeight="1">
      <c r="A95" s="2904"/>
      <c r="B95" s="2908"/>
    </row>
    <row r="96" spans="1:2" ht="20.100000000000001" customHeight="1">
      <c r="A96" s="2904"/>
      <c r="B96" s="2908"/>
    </row>
    <row r="97" spans="1:2" ht="20.100000000000001" customHeight="1">
      <c r="A97" s="2904"/>
      <c r="B97" s="2908"/>
    </row>
    <row r="98" spans="1:2" ht="20.100000000000001" customHeight="1">
      <c r="A98" s="2904"/>
      <c r="B98" s="2908"/>
    </row>
    <row r="99" spans="1:2">
      <c r="A99" s="2904"/>
      <c r="B99" s="2908"/>
    </row>
    <row r="100" spans="1:2" ht="20.100000000000001" customHeight="1">
      <c r="A100" s="2904"/>
      <c r="B100" s="2908"/>
    </row>
    <row r="101" spans="1:2">
      <c r="A101" s="2904"/>
      <c r="B101" s="2904"/>
    </row>
  </sheetData>
  <sheetProtection algorithmName="SHA-512" hashValue="nqG6p2BfSAIyI703SBPTWnXGgrTGRqzoIhgcJP4MgqS350xALhmd4+rzCe5gcyvjLjpKQw7kFQ4Rh7rdcd04Cg==" saltValue="MKe7v3KBjfWF61SO6f3kZQ==" spinCount="100000" sheet="1" objects="1" scenarios="1"/>
  <mergeCells count="1">
    <mergeCell ref="F2:G2"/>
  </mergeCells>
  <pageMargins left="0.7" right="0.7" top="0.75" bottom="0.75" header="0.3" footer="0.3"/>
  <pageSetup orientation="portrait" r:id="rId1"/>
  <ignoredErrors>
    <ignoredError sqref="C11 E11:M11" formulaRange="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499984740745262"/>
    <pageSetUpPr fitToPage="1"/>
  </sheetPr>
  <dimension ref="A1:L269"/>
  <sheetViews>
    <sheetView showGridLines="0" zoomScale="120" zoomScaleNormal="120" workbookViewId="0">
      <selection activeCell="F10" sqref="F10"/>
    </sheetView>
  </sheetViews>
  <sheetFormatPr baseColWidth="10" defaultColWidth="17.44140625" defaultRowHeight="14.4"/>
  <cols>
    <col min="1" max="1" width="5.77734375" style="2904" customWidth="1"/>
    <col min="2" max="2" width="24.44140625" customWidth="1"/>
    <col min="3" max="3" width="13.77734375" customWidth="1"/>
    <col min="4" max="4" width="16.77734375" customWidth="1"/>
    <col min="5" max="5" width="23.77734375" bestFit="1" customWidth="1"/>
    <col min="6" max="6" width="11.77734375" customWidth="1"/>
    <col min="7" max="225" width="11.44140625" customWidth="1"/>
    <col min="226" max="226" width="43.77734375" customWidth="1"/>
    <col min="227" max="227" width="17" customWidth="1"/>
  </cols>
  <sheetData>
    <row r="1" spans="2:12" ht="19.5" customHeight="1">
      <c r="B1" s="6094" t="s">
        <v>181</v>
      </c>
      <c r="C1" s="6094"/>
      <c r="D1" s="6094"/>
      <c r="E1" s="6094"/>
      <c r="F1" s="6094"/>
    </row>
    <row r="2" spans="2:12" s="3359" customFormat="1" ht="19.5" customHeight="1">
      <c r="B2" s="3474"/>
      <c r="C2" s="3474"/>
      <c r="D2" s="3474"/>
      <c r="E2" s="3474"/>
      <c r="F2" s="3474"/>
    </row>
    <row r="3" spans="2:12" s="5202" customFormat="1" ht="31.2" thickBot="1">
      <c r="B3" s="2539" t="s">
        <v>68</v>
      </c>
      <c r="C3" s="2539" t="s">
        <v>409</v>
      </c>
      <c r="D3" s="2539" t="s">
        <v>182</v>
      </c>
      <c r="E3" s="2540" t="s">
        <v>1822</v>
      </c>
      <c r="F3" s="2541" t="s">
        <v>3055</v>
      </c>
    </row>
    <row r="4" spans="2:12" s="5202" customFormat="1" ht="19.5" customHeight="1">
      <c r="B4" s="2542" t="s">
        <v>3</v>
      </c>
      <c r="C4" s="2542">
        <v>17</v>
      </c>
      <c r="D4" s="2543">
        <v>1318</v>
      </c>
      <c r="E4" s="2543">
        <v>19270</v>
      </c>
      <c r="F4" s="2544">
        <f t="shared" ref="F4:F10" si="0">D4/E4</f>
        <v>6.8396471198754541E-2</v>
      </c>
      <c r="I4" s="5205"/>
      <c r="J4" s="5205"/>
      <c r="K4" s="5205"/>
      <c r="L4" s="5205"/>
    </row>
    <row r="5" spans="2:12" s="5202" customFormat="1" ht="19.5" customHeight="1">
      <c r="B5" s="2545" t="s">
        <v>59</v>
      </c>
      <c r="C5" s="2545">
        <v>3</v>
      </c>
      <c r="D5" s="2546">
        <v>204</v>
      </c>
      <c r="E5" s="2546">
        <v>3767</v>
      </c>
      <c r="F5" s="2547">
        <f t="shared" si="0"/>
        <v>5.4154499601805149E-2</v>
      </c>
      <c r="I5" s="5205"/>
      <c r="J5" s="5205"/>
      <c r="K5" s="5205"/>
      <c r="L5" s="5205"/>
    </row>
    <row r="6" spans="2:12" s="5202" customFormat="1" ht="19.5" customHeight="1">
      <c r="B6" s="2545" t="s">
        <v>25</v>
      </c>
      <c r="C6" s="2545">
        <v>7</v>
      </c>
      <c r="D6" s="2546">
        <v>6067</v>
      </c>
      <c r="E6" s="2546">
        <v>16188</v>
      </c>
      <c r="F6" s="2547">
        <f t="shared" si="0"/>
        <v>0.37478379046207067</v>
      </c>
      <c r="I6" s="5205"/>
      <c r="J6" s="5205"/>
      <c r="K6" s="5205"/>
      <c r="L6" s="5205"/>
    </row>
    <row r="7" spans="2:12" s="5202" customFormat="1" ht="19.5" customHeight="1">
      <c r="B7" s="2545" t="s">
        <v>244</v>
      </c>
      <c r="C7" s="2545">
        <v>9</v>
      </c>
      <c r="D7" s="2546">
        <v>313</v>
      </c>
      <c r="E7" s="2546">
        <v>1356</v>
      </c>
      <c r="F7" s="2547">
        <f t="shared" si="0"/>
        <v>0.2308259587020649</v>
      </c>
      <c r="I7" s="5205"/>
      <c r="J7" s="5205"/>
      <c r="K7" s="5205"/>
      <c r="L7" s="5205"/>
    </row>
    <row r="8" spans="2:12" s="5202" customFormat="1" ht="19.5" customHeight="1">
      <c r="B8" s="2545" t="s">
        <v>48</v>
      </c>
      <c r="C8" s="2545">
        <v>6</v>
      </c>
      <c r="D8" s="2546">
        <v>513</v>
      </c>
      <c r="E8" s="2546">
        <v>19270</v>
      </c>
      <c r="F8" s="2547">
        <f t="shared" si="0"/>
        <v>2.6621691748832381E-2</v>
      </c>
      <c r="I8" s="5205"/>
      <c r="J8" s="5205"/>
      <c r="K8" s="5205"/>
      <c r="L8" s="5205"/>
    </row>
    <row r="9" spans="2:12" s="5202" customFormat="1" ht="19.5" customHeight="1">
      <c r="B9" s="2545" t="s">
        <v>87</v>
      </c>
      <c r="C9" s="2545">
        <v>1</v>
      </c>
      <c r="D9" s="2546">
        <v>306</v>
      </c>
      <c r="E9" s="2546">
        <v>1232</v>
      </c>
      <c r="F9" s="2547">
        <f t="shared" si="0"/>
        <v>0.24837662337662339</v>
      </c>
      <c r="I9" s="5205"/>
      <c r="J9" s="5205"/>
      <c r="K9" s="5205"/>
      <c r="L9" s="5205"/>
    </row>
    <row r="10" spans="2:12" s="5202" customFormat="1" ht="19.5" customHeight="1">
      <c r="B10" s="3612" t="s">
        <v>113</v>
      </c>
      <c r="C10" s="3612">
        <f>SUM(C4:C9)</f>
        <v>43</v>
      </c>
      <c r="D10" s="3613">
        <f>SUM(D4:D9)</f>
        <v>8721</v>
      </c>
      <c r="E10" s="3613">
        <f>SUM(E4:E9)</f>
        <v>61083</v>
      </c>
      <c r="F10" s="3011">
        <f t="shared" si="0"/>
        <v>0.14277294828348314</v>
      </c>
      <c r="I10" s="5205"/>
      <c r="J10" s="5205"/>
      <c r="K10" s="5205"/>
      <c r="L10" s="5205"/>
    </row>
    <row r="11" spans="2:12" s="5202" customFormat="1" ht="19.5" customHeight="1">
      <c r="B11" s="2391"/>
      <c r="C11" s="2391"/>
      <c r="E11" s="1"/>
      <c r="F11" s="5204" t="s">
        <v>2671</v>
      </c>
      <c r="I11" s="5205"/>
      <c r="J11" s="5205"/>
      <c r="K11" s="5205"/>
      <c r="L11" s="5205"/>
    </row>
    <row r="12" spans="2:12" s="5202" customFormat="1" ht="19.5" customHeight="1">
      <c r="B12" s="2391"/>
      <c r="C12" s="2391"/>
      <c r="E12" s="1"/>
      <c r="F12" s="5204"/>
      <c r="I12" s="5205"/>
      <c r="J12" s="5205"/>
      <c r="K12" s="5205"/>
      <c r="L12" s="5205"/>
    </row>
    <row r="13" spans="2:12" ht="15.6">
      <c r="B13" s="232"/>
      <c r="C13" s="232"/>
      <c r="D13" s="232"/>
      <c r="E13" s="232"/>
      <c r="F13" s="232"/>
    </row>
    <row r="14" spans="2:12" s="3359" customFormat="1" ht="31.2" thickBot="1">
      <c r="B14" s="2539" t="s">
        <v>68</v>
      </c>
      <c r="C14" s="2539" t="s">
        <v>409</v>
      </c>
      <c r="D14" s="2539" t="s">
        <v>182</v>
      </c>
      <c r="E14" s="2540" t="s">
        <v>1822</v>
      </c>
      <c r="F14" s="2541" t="s">
        <v>2813</v>
      </c>
    </row>
    <row r="15" spans="2:12" s="3359" customFormat="1">
      <c r="B15" s="2542" t="s">
        <v>3</v>
      </c>
      <c r="C15" s="2542">
        <v>14</v>
      </c>
      <c r="D15" s="2543">
        <v>5239</v>
      </c>
      <c r="E15" s="2543">
        <v>21619</v>
      </c>
      <c r="F15" s="2544">
        <f t="shared" ref="F15:F21" si="1">D15/E15</f>
        <v>0.24233313289236319</v>
      </c>
      <c r="I15" s="4143"/>
      <c r="J15" s="4143"/>
      <c r="K15" s="4143"/>
    </row>
    <row r="16" spans="2:12" s="3359" customFormat="1">
      <c r="B16" s="2545" t="s">
        <v>59</v>
      </c>
      <c r="C16" s="2545">
        <v>24</v>
      </c>
      <c r="D16" s="2546">
        <v>1024</v>
      </c>
      <c r="E16" s="2546">
        <v>4385</v>
      </c>
      <c r="F16" s="2547">
        <f t="shared" si="1"/>
        <v>0.23352337514253135</v>
      </c>
      <c r="I16" s="4143"/>
      <c r="J16" s="4143"/>
    </row>
    <row r="17" spans="2:11" s="3359" customFormat="1">
      <c r="B17" s="2545" t="s">
        <v>25</v>
      </c>
      <c r="C17" s="2545">
        <v>8</v>
      </c>
      <c r="D17" s="2546">
        <v>11193</v>
      </c>
      <c r="E17" s="2546">
        <v>19022</v>
      </c>
      <c r="F17" s="2547">
        <f t="shared" si="1"/>
        <v>0.58842393018610029</v>
      </c>
      <c r="I17" s="4143"/>
      <c r="J17" s="4143"/>
      <c r="K17" s="4143"/>
    </row>
    <row r="18" spans="2:11" s="3359" customFormat="1">
      <c r="B18" s="2545" t="s">
        <v>244</v>
      </c>
      <c r="C18" s="2545">
        <v>11</v>
      </c>
      <c r="D18" s="2546">
        <v>631</v>
      </c>
      <c r="E18" s="2546">
        <v>1509</v>
      </c>
      <c r="F18" s="2547">
        <f t="shared" si="1"/>
        <v>0.41815772034459908</v>
      </c>
      <c r="I18" s="4143"/>
      <c r="J18" s="4143"/>
      <c r="K18" s="4143"/>
    </row>
    <row r="19" spans="2:11" s="3359" customFormat="1">
      <c r="B19" s="2545" t="s">
        <v>48</v>
      </c>
      <c r="C19" s="2545">
        <v>8</v>
      </c>
      <c r="D19" s="2546">
        <v>5601</v>
      </c>
      <c r="E19" s="2546">
        <v>21695</v>
      </c>
      <c r="F19" s="2547">
        <f t="shared" si="1"/>
        <v>0.25817008527310442</v>
      </c>
      <c r="I19" s="4143"/>
      <c r="J19" s="4143"/>
      <c r="K19" s="4143"/>
    </row>
    <row r="20" spans="2:11" s="3359" customFormat="1">
      <c r="B20" s="2545" t="s">
        <v>87</v>
      </c>
      <c r="C20" s="2545">
        <v>5</v>
      </c>
      <c r="D20" s="2546">
        <v>378</v>
      </c>
      <c r="E20" s="2546">
        <v>1239</v>
      </c>
      <c r="F20" s="2547">
        <f t="shared" si="1"/>
        <v>0.30508474576271188</v>
      </c>
      <c r="I20" s="4143"/>
      <c r="J20" s="4143"/>
      <c r="K20" s="4143"/>
    </row>
    <row r="21" spans="2:11" s="3359" customFormat="1">
      <c r="B21" s="3612" t="s">
        <v>113</v>
      </c>
      <c r="C21" s="3612">
        <f>SUM(C15:C20)</f>
        <v>70</v>
      </c>
      <c r="D21" s="3613">
        <f>SUM(D15:D20)</f>
        <v>24066</v>
      </c>
      <c r="E21" s="3613">
        <f>SUM(E15:E20)</f>
        <v>69469</v>
      </c>
      <c r="F21" s="3011">
        <f t="shared" si="1"/>
        <v>0.34642790309346616</v>
      </c>
      <c r="I21" s="4143"/>
      <c r="J21" s="4143"/>
      <c r="K21" s="4143"/>
    </row>
    <row r="22" spans="2:11" s="3359" customFormat="1" ht="15.6">
      <c r="B22" s="2391"/>
      <c r="C22" s="2391"/>
      <c r="F22" s="5204" t="s">
        <v>2671</v>
      </c>
      <c r="I22" s="4143"/>
      <c r="J22" s="4143"/>
      <c r="K22" s="4143"/>
    </row>
    <row r="23" spans="2:11" s="3359" customFormat="1" ht="15.6">
      <c r="B23" s="2391"/>
      <c r="C23" s="2391"/>
      <c r="D23" s="2391"/>
      <c r="E23" s="2391"/>
      <c r="F23" s="2391"/>
      <c r="I23" s="4143"/>
      <c r="J23" s="4143"/>
      <c r="K23" s="4143"/>
    </row>
    <row r="24" spans="2:11" ht="31.2" thickBot="1">
      <c r="B24" s="2539" t="s">
        <v>68</v>
      </c>
      <c r="C24" s="2539" t="s">
        <v>409</v>
      </c>
      <c r="D24" s="2539" t="s">
        <v>182</v>
      </c>
      <c r="E24" s="2540" t="s">
        <v>1822</v>
      </c>
      <c r="F24" s="2541" t="s">
        <v>2814</v>
      </c>
    </row>
    <row r="25" spans="2:11">
      <c r="B25" s="2542" t="s">
        <v>3</v>
      </c>
      <c r="C25" s="2542">
        <v>24</v>
      </c>
      <c r="D25" s="2543">
        <v>8418</v>
      </c>
      <c r="E25" s="2543">
        <v>20990</v>
      </c>
      <c r="F25" s="2544">
        <f t="shared" ref="F25:F31" si="2">D25/E25</f>
        <v>0.40104811815150071</v>
      </c>
    </row>
    <row r="26" spans="2:11">
      <c r="B26" s="2545" t="s">
        <v>59</v>
      </c>
      <c r="C26" s="2545">
        <v>17</v>
      </c>
      <c r="D26" s="2546">
        <v>1285</v>
      </c>
      <c r="E26" s="2546">
        <v>4069</v>
      </c>
      <c r="F26" s="2547">
        <f t="shared" si="2"/>
        <v>0.31580240845416563</v>
      </c>
    </row>
    <row r="27" spans="2:11">
      <c r="B27" s="2545" t="s">
        <v>25</v>
      </c>
      <c r="C27" s="2545">
        <v>7</v>
      </c>
      <c r="D27" s="2546">
        <v>15570</v>
      </c>
      <c r="E27" s="2546">
        <v>19430</v>
      </c>
      <c r="F27" s="2547">
        <f t="shared" si="2"/>
        <v>0.80133813690169842</v>
      </c>
    </row>
    <row r="28" spans="2:11">
      <c r="B28" s="2545" t="s">
        <v>244</v>
      </c>
      <c r="C28" s="2545">
        <v>15</v>
      </c>
      <c r="D28" s="2546">
        <v>1258</v>
      </c>
      <c r="E28" s="2546">
        <v>1266</v>
      </c>
      <c r="F28" s="2547">
        <f t="shared" si="2"/>
        <v>0.99368088467614535</v>
      </c>
    </row>
    <row r="29" spans="2:11">
      <c r="B29" s="2545" t="s">
        <v>48</v>
      </c>
      <c r="C29" s="2545">
        <v>13</v>
      </c>
      <c r="D29" s="2546">
        <v>2045</v>
      </c>
      <c r="E29" s="2546">
        <v>21560</v>
      </c>
      <c r="F29" s="2547">
        <f t="shared" si="2"/>
        <v>9.4851576994434139E-2</v>
      </c>
    </row>
    <row r="30" spans="2:11">
      <c r="B30" s="2545" t="s">
        <v>87</v>
      </c>
      <c r="C30" s="2545">
        <v>11</v>
      </c>
      <c r="D30" s="2546">
        <v>1324</v>
      </c>
      <c r="E30" s="2546">
        <v>1226</v>
      </c>
      <c r="F30" s="2547">
        <f t="shared" si="2"/>
        <v>1.0799347471451877</v>
      </c>
    </row>
    <row r="31" spans="2:11">
      <c r="B31" s="3612" t="s">
        <v>113</v>
      </c>
      <c r="C31" s="3612">
        <f>SUM(C25:C30)</f>
        <v>87</v>
      </c>
      <c r="D31" s="3613">
        <f>SUM(D25:D30)</f>
        <v>29900</v>
      </c>
      <c r="E31" s="3613">
        <f>SUM(E25:E30)</f>
        <v>68541</v>
      </c>
      <c r="F31" s="3011">
        <f t="shared" si="2"/>
        <v>0.43623524605710451</v>
      </c>
    </row>
    <row r="32" spans="2:11" ht="15.6">
      <c r="B32" s="232"/>
      <c r="C32" s="232"/>
      <c r="D32" s="2538" t="s">
        <v>2671</v>
      </c>
      <c r="F32" s="232"/>
    </row>
    <row r="33" spans="2:6" s="5202" customFormat="1" ht="15.6">
      <c r="B33" s="2391"/>
      <c r="C33" s="2391"/>
      <c r="D33" s="2538"/>
      <c r="F33" s="2391"/>
    </row>
    <row r="34" spans="2:6" ht="15.6">
      <c r="B34" s="232"/>
      <c r="C34" s="232"/>
      <c r="D34" s="232"/>
      <c r="E34" s="232"/>
      <c r="F34" s="232"/>
    </row>
    <row r="35" spans="2:6" ht="31.2" thickBot="1">
      <c r="B35" s="2539" t="s">
        <v>68</v>
      </c>
      <c r="C35" s="2539" t="s">
        <v>409</v>
      </c>
      <c r="D35" s="2539" t="s">
        <v>182</v>
      </c>
      <c r="E35" s="2540" t="s">
        <v>445</v>
      </c>
      <c r="F35" s="2541" t="s">
        <v>2815</v>
      </c>
    </row>
    <row r="36" spans="2:6">
      <c r="B36" s="2542" t="s">
        <v>3</v>
      </c>
      <c r="C36" s="2542">
        <v>24</v>
      </c>
      <c r="D36" s="2543">
        <v>13006</v>
      </c>
      <c r="E36" s="2543">
        <v>20764</v>
      </c>
      <c r="F36" s="2544">
        <f t="shared" ref="F36:F42" si="3">D36/E36</f>
        <v>0.62637256790599116</v>
      </c>
    </row>
    <row r="37" spans="2:6">
      <c r="B37" s="2545" t="s">
        <v>59</v>
      </c>
      <c r="C37" s="2545">
        <v>12</v>
      </c>
      <c r="D37" s="2546">
        <v>923</v>
      </c>
      <c r="E37" s="2546">
        <v>3813</v>
      </c>
      <c r="F37" s="2547">
        <f t="shared" si="3"/>
        <v>0.24206661421452924</v>
      </c>
    </row>
    <row r="38" spans="2:6">
      <c r="B38" s="2545" t="s">
        <v>25</v>
      </c>
      <c r="C38" s="2545">
        <v>9</v>
      </c>
      <c r="D38" s="2546">
        <v>11218</v>
      </c>
      <c r="E38" s="2546">
        <v>19615</v>
      </c>
      <c r="F38" s="2547">
        <f t="shared" si="3"/>
        <v>0.57190925312261021</v>
      </c>
    </row>
    <row r="39" spans="2:6">
      <c r="B39" s="2545" t="s">
        <v>244</v>
      </c>
      <c r="C39" s="2545">
        <v>11</v>
      </c>
      <c r="D39" s="2546">
        <v>1199</v>
      </c>
      <c r="E39" s="2546">
        <v>1074</v>
      </c>
      <c r="F39" s="2547">
        <f t="shared" si="3"/>
        <v>1.1163873370577282</v>
      </c>
    </row>
    <row r="40" spans="2:6">
      <c r="B40" s="2545" t="s">
        <v>48</v>
      </c>
      <c r="C40" s="2545">
        <v>45</v>
      </c>
      <c r="D40" s="2546">
        <v>24003</v>
      </c>
      <c r="E40" s="2546">
        <v>21184</v>
      </c>
      <c r="F40" s="2547">
        <f t="shared" si="3"/>
        <v>1.1330721299093656</v>
      </c>
    </row>
    <row r="41" spans="2:6">
      <c r="B41" s="2545" t="s">
        <v>87</v>
      </c>
      <c r="C41" s="2545">
        <v>21</v>
      </c>
      <c r="D41" s="2546">
        <v>1205</v>
      </c>
      <c r="E41" s="2546">
        <v>1244</v>
      </c>
      <c r="F41" s="2547">
        <f t="shared" si="3"/>
        <v>0.9686495176848875</v>
      </c>
    </row>
    <row r="42" spans="2:6">
      <c r="B42" s="3612" t="s">
        <v>113</v>
      </c>
      <c r="C42" s="3612">
        <f>SUM(C36:C41)</f>
        <v>122</v>
      </c>
      <c r="D42" s="3613">
        <f>SUM(D36:D41)</f>
        <v>51554</v>
      </c>
      <c r="E42" s="3613">
        <f>SUM(E36:E41)</f>
        <v>67694</v>
      </c>
      <c r="F42" s="3011">
        <f t="shared" si="3"/>
        <v>0.76157414246462019</v>
      </c>
    </row>
    <row r="44" spans="2:6" ht="15.6">
      <c r="B44" s="232"/>
      <c r="C44" s="232"/>
      <c r="D44" s="232"/>
      <c r="E44" s="232"/>
      <c r="F44" s="232"/>
    </row>
    <row r="45" spans="2:6" ht="31.2" thickBot="1">
      <c r="B45" s="2539" t="s">
        <v>68</v>
      </c>
      <c r="C45" s="2539" t="s">
        <v>409</v>
      </c>
      <c r="D45" s="2539" t="s">
        <v>182</v>
      </c>
      <c r="E45" s="2540" t="s">
        <v>445</v>
      </c>
      <c r="F45" s="2541" t="s">
        <v>2816</v>
      </c>
    </row>
    <row r="46" spans="2:6">
      <c r="B46" s="2542" t="s">
        <v>3</v>
      </c>
      <c r="C46" s="2542">
        <v>22</v>
      </c>
      <c r="D46" s="2543">
        <v>4452</v>
      </c>
      <c r="E46" s="2543">
        <f>18364+2761</f>
        <v>21125</v>
      </c>
      <c r="F46" s="2544">
        <f>D46/E46</f>
        <v>0.21074556213017751</v>
      </c>
    </row>
    <row r="47" spans="2:6">
      <c r="B47" s="2545" t="s">
        <v>59</v>
      </c>
      <c r="C47" s="2545">
        <v>18</v>
      </c>
      <c r="D47" s="2546">
        <v>648</v>
      </c>
      <c r="E47" s="2546">
        <f>2950+525</f>
        <v>3475</v>
      </c>
      <c r="F47" s="2547">
        <f t="shared" ref="F47:F52" si="4">D47/E47</f>
        <v>0.18647482014388489</v>
      </c>
    </row>
    <row r="48" spans="2:6">
      <c r="B48" s="2545" t="s">
        <v>25</v>
      </c>
      <c r="C48" s="2545">
        <v>8</v>
      </c>
      <c r="D48" s="2546">
        <v>12025</v>
      </c>
      <c r="E48" s="2546">
        <f>17611+2450</f>
        <v>20061</v>
      </c>
      <c r="F48" s="2547">
        <f t="shared" si="4"/>
        <v>0.59942176362095612</v>
      </c>
    </row>
    <row r="49" spans="2:6">
      <c r="B49" s="2545" t="s">
        <v>244</v>
      </c>
      <c r="C49" s="2545">
        <v>18</v>
      </c>
      <c r="D49" s="2546">
        <v>1305</v>
      </c>
      <c r="E49" s="2546">
        <f>674+145</f>
        <v>819</v>
      </c>
      <c r="F49" s="2547">
        <f t="shared" si="4"/>
        <v>1.5934065934065933</v>
      </c>
    </row>
    <row r="50" spans="2:6">
      <c r="B50" s="2545" t="s">
        <v>48</v>
      </c>
      <c r="C50" s="2545">
        <v>10</v>
      </c>
      <c r="D50" s="2546">
        <v>1512</v>
      </c>
      <c r="E50" s="2546">
        <f>18143+2781</f>
        <v>20924</v>
      </c>
      <c r="F50" s="2547">
        <f t="shared" si="4"/>
        <v>7.2261517874211437E-2</v>
      </c>
    </row>
    <row r="51" spans="2:6">
      <c r="B51" s="2545" t="s">
        <v>87</v>
      </c>
      <c r="C51" s="2545">
        <v>21</v>
      </c>
      <c r="D51" s="2546">
        <v>1205</v>
      </c>
      <c r="E51" s="2546">
        <v>1260</v>
      </c>
      <c r="F51" s="2547">
        <f t="shared" si="4"/>
        <v>0.95634920634920639</v>
      </c>
    </row>
    <row r="52" spans="2:6">
      <c r="B52" s="3612" t="s">
        <v>113</v>
      </c>
      <c r="C52" s="3612">
        <f>SUM(C46:C51)</f>
        <v>97</v>
      </c>
      <c r="D52" s="3613">
        <f>SUM(D46:D51)</f>
        <v>21147</v>
      </c>
      <c r="E52" s="3613">
        <f>SUM(E46:E51)</f>
        <v>67664</v>
      </c>
      <c r="F52" s="3011">
        <f t="shared" si="4"/>
        <v>0.31252955781508629</v>
      </c>
    </row>
    <row r="54" spans="2:6" ht="15.6">
      <c r="B54" s="232"/>
      <c r="C54" s="232"/>
      <c r="D54" s="232"/>
      <c r="E54" s="232"/>
      <c r="F54" s="232"/>
    </row>
    <row r="55" spans="2:6" ht="31.2" thickBot="1">
      <c r="B55" s="2539" t="s">
        <v>68</v>
      </c>
      <c r="C55" s="2539" t="s">
        <v>409</v>
      </c>
      <c r="D55" s="2539" t="s">
        <v>182</v>
      </c>
      <c r="E55" s="2540" t="s">
        <v>445</v>
      </c>
      <c r="F55" s="2541" t="s">
        <v>2817</v>
      </c>
    </row>
    <row r="56" spans="2:6">
      <c r="B56" s="2542" t="s">
        <v>3</v>
      </c>
      <c r="C56" s="2542">
        <v>29</v>
      </c>
      <c r="D56" s="2543">
        <v>10587</v>
      </c>
      <c r="E56" s="2543">
        <f>18515+1454+1307</f>
        <v>21276</v>
      </c>
      <c r="F56" s="2544">
        <f>D56/E56</f>
        <v>0.49760293288212071</v>
      </c>
    </row>
    <row r="57" spans="2:6">
      <c r="B57" s="2545" t="s">
        <v>59</v>
      </c>
      <c r="C57" s="2545">
        <v>9</v>
      </c>
      <c r="D57" s="2546">
        <v>2165</v>
      </c>
      <c r="E57" s="2546">
        <f>2545+239+286</f>
        <v>3070</v>
      </c>
      <c r="F57" s="2547">
        <f t="shared" ref="F57:F62" si="5">D57/E57</f>
        <v>0.7052117263843648</v>
      </c>
    </row>
    <row r="58" spans="2:6">
      <c r="B58" s="2545" t="s">
        <v>25</v>
      </c>
      <c r="C58" s="2545">
        <v>8</v>
      </c>
      <c r="D58" s="2546">
        <v>14583</v>
      </c>
      <c r="E58" s="2546">
        <f>17479+1273+1177</f>
        <v>19929</v>
      </c>
      <c r="F58" s="2547">
        <f t="shared" si="5"/>
        <v>0.73174770435044412</v>
      </c>
    </row>
    <row r="59" spans="2:6">
      <c r="B59" s="2545" t="s">
        <v>244</v>
      </c>
      <c r="C59" s="2545">
        <v>13</v>
      </c>
      <c r="D59" s="2546">
        <v>855</v>
      </c>
      <c r="E59" s="2546">
        <f>594+64+81</f>
        <v>739</v>
      </c>
      <c r="F59" s="2547">
        <f t="shared" si="5"/>
        <v>1.1569688768606226</v>
      </c>
    </row>
    <row r="60" spans="2:6">
      <c r="B60" s="2545" t="s">
        <v>48</v>
      </c>
      <c r="C60" s="2545">
        <v>23</v>
      </c>
      <c r="D60" s="2546">
        <v>10777</v>
      </c>
      <c r="E60" s="2546">
        <f>17959+1410+1371</f>
        <v>20740</v>
      </c>
      <c r="F60" s="2547">
        <f t="shared" si="5"/>
        <v>0.51962391513982642</v>
      </c>
    </row>
    <row r="61" spans="2:6">
      <c r="B61" s="2545" t="s">
        <v>87</v>
      </c>
      <c r="C61" s="2545">
        <v>12</v>
      </c>
      <c r="D61" s="2546">
        <v>963</v>
      </c>
      <c r="E61" s="2546">
        <f>5+1225</f>
        <v>1230</v>
      </c>
      <c r="F61" s="2547">
        <f t="shared" si="5"/>
        <v>0.78292682926829271</v>
      </c>
    </row>
    <row r="62" spans="2:6">
      <c r="B62" s="3612" t="s">
        <v>113</v>
      </c>
      <c r="C62" s="3612">
        <f>SUM(C56:C61)</f>
        <v>94</v>
      </c>
      <c r="D62" s="3613">
        <f>SUM(D56:D61)</f>
        <v>39930</v>
      </c>
      <c r="E62" s="3613">
        <f>SUM(E56:E61)</f>
        <v>66984</v>
      </c>
      <c r="F62" s="3011">
        <f t="shared" si="5"/>
        <v>0.59611250447868147</v>
      </c>
    </row>
    <row r="63" spans="2:6" ht="15.6">
      <c r="B63" s="232"/>
      <c r="C63" s="232"/>
      <c r="D63" s="232"/>
      <c r="E63" s="232"/>
      <c r="F63" s="232"/>
    </row>
    <row r="64" spans="2:6" ht="15.6">
      <c r="B64" s="232"/>
      <c r="C64" s="232"/>
      <c r="D64" s="232"/>
      <c r="E64" s="232"/>
      <c r="F64" s="232"/>
    </row>
    <row r="65" spans="2:6" ht="31.2" thickBot="1">
      <c r="B65" s="2539" t="s">
        <v>68</v>
      </c>
      <c r="C65" s="2539" t="s">
        <v>409</v>
      </c>
      <c r="D65" s="2539" t="s">
        <v>182</v>
      </c>
      <c r="E65" s="2540" t="s">
        <v>445</v>
      </c>
      <c r="F65" s="2541" t="s">
        <v>2818</v>
      </c>
    </row>
    <row r="66" spans="2:6">
      <c r="B66" s="2542" t="s">
        <v>3</v>
      </c>
      <c r="C66" s="2542">
        <v>11</v>
      </c>
      <c r="D66" s="2543">
        <v>7131</v>
      </c>
      <c r="E66" s="2543">
        <f>18664+1456+1313</f>
        <v>21433</v>
      </c>
      <c r="F66" s="2544">
        <f t="shared" ref="F66:F72" si="6">D66/E66</f>
        <v>0.3327112396771334</v>
      </c>
    </row>
    <row r="67" spans="2:6">
      <c r="B67" s="2545" t="s">
        <v>59</v>
      </c>
      <c r="C67" s="2545">
        <v>3</v>
      </c>
      <c r="D67" s="2546">
        <v>314</v>
      </c>
      <c r="E67" s="2546">
        <f>2188+228+271</f>
        <v>2687</v>
      </c>
      <c r="F67" s="2547">
        <f t="shared" si="6"/>
        <v>0.11685895050241905</v>
      </c>
    </row>
    <row r="68" spans="2:6">
      <c r="B68" s="2545" t="s">
        <v>25</v>
      </c>
      <c r="C68" s="2545">
        <v>3</v>
      </c>
      <c r="D68" s="2546">
        <v>1025</v>
      </c>
      <c r="E68" s="2546">
        <f>17457+1295+1189</f>
        <v>19941</v>
      </c>
      <c r="F68" s="2547">
        <f t="shared" si="6"/>
        <v>5.1401634822727048E-2</v>
      </c>
    </row>
    <row r="69" spans="2:6">
      <c r="B69" s="2545" t="s">
        <v>244</v>
      </c>
      <c r="C69" s="2545">
        <v>9</v>
      </c>
      <c r="D69" s="2546">
        <v>753</v>
      </c>
      <c r="E69" s="2546">
        <f>458+72+80</f>
        <v>610</v>
      </c>
      <c r="F69" s="2547">
        <f t="shared" si="6"/>
        <v>1.2344262295081967</v>
      </c>
    </row>
    <row r="70" spans="2:6">
      <c r="B70" s="2545" t="s">
        <v>48</v>
      </c>
      <c r="C70" s="2545">
        <v>18</v>
      </c>
      <c r="D70" s="2546">
        <v>13100</v>
      </c>
      <c r="E70" s="2546">
        <f>17839+1398+1379</f>
        <v>20616</v>
      </c>
      <c r="F70" s="2547">
        <f t="shared" si="6"/>
        <v>0.63542879317035317</v>
      </c>
    </row>
    <row r="71" spans="2:6">
      <c r="B71" s="2545" t="s">
        <v>87</v>
      </c>
      <c r="C71" s="2545">
        <v>14</v>
      </c>
      <c r="D71" s="2546">
        <v>1056</v>
      </c>
      <c r="E71" s="2546">
        <f>5+1248</f>
        <v>1253</v>
      </c>
      <c r="F71" s="2547">
        <f t="shared" si="6"/>
        <v>0.84277733439744618</v>
      </c>
    </row>
    <row r="72" spans="2:6">
      <c r="B72" s="3612" t="s">
        <v>113</v>
      </c>
      <c r="C72" s="3612">
        <f>SUM(C66:C71)</f>
        <v>58</v>
      </c>
      <c r="D72" s="3613">
        <f>SUM(D66:D71)</f>
        <v>23379</v>
      </c>
      <c r="E72" s="3613">
        <f>SUM(E66:E71)</f>
        <v>66540</v>
      </c>
      <c r="F72" s="3011">
        <f t="shared" si="6"/>
        <v>0.3513525698827773</v>
      </c>
    </row>
    <row r="73" spans="2:6" ht="15.6">
      <c r="B73" s="232"/>
      <c r="C73" s="232"/>
      <c r="D73" s="232"/>
      <c r="E73" s="232"/>
      <c r="F73" s="232"/>
    </row>
    <row r="74" spans="2:6">
      <c r="F74" s="75"/>
    </row>
    <row r="75" spans="2:6" ht="31.2" thickBot="1">
      <c r="B75" s="2539" t="s">
        <v>68</v>
      </c>
      <c r="C75" s="2539" t="s">
        <v>409</v>
      </c>
      <c r="D75" s="2539" t="s">
        <v>182</v>
      </c>
      <c r="E75" s="2540" t="s">
        <v>445</v>
      </c>
      <c r="F75" s="2541" t="s">
        <v>2819</v>
      </c>
    </row>
    <row r="76" spans="2:6">
      <c r="B76" s="2542" t="s">
        <v>3</v>
      </c>
      <c r="C76" s="2542">
        <v>16</v>
      </c>
      <c r="D76" s="2543">
        <v>9629</v>
      </c>
      <c r="E76" s="2543">
        <f>18745+1430+1329</f>
        <v>21504</v>
      </c>
      <c r="F76" s="2544">
        <f t="shared" ref="F76:F82" si="7">D76/E76</f>
        <v>0.44777715773809523</v>
      </c>
    </row>
    <row r="77" spans="2:6">
      <c r="B77" s="2545" t="s">
        <v>59</v>
      </c>
      <c r="C77" s="2545">
        <v>9</v>
      </c>
      <c r="D77" s="2546">
        <v>478</v>
      </c>
      <c r="E77" s="2546">
        <f>1792+207+216</f>
        <v>2215</v>
      </c>
      <c r="F77" s="2547">
        <f t="shared" si="7"/>
        <v>0.21580135440180587</v>
      </c>
    </row>
    <row r="78" spans="2:6">
      <c r="B78" s="2545" t="s">
        <v>25</v>
      </c>
      <c r="C78" s="2545">
        <v>8</v>
      </c>
      <c r="D78" s="2546">
        <v>0</v>
      </c>
      <c r="E78" s="2546">
        <f>17088+1292+1198</f>
        <v>19578</v>
      </c>
      <c r="F78" s="2547">
        <f t="shared" si="7"/>
        <v>0</v>
      </c>
    </row>
    <row r="79" spans="2:6">
      <c r="B79" s="2545" t="s">
        <v>244</v>
      </c>
      <c r="C79" s="2545">
        <v>1</v>
      </c>
      <c r="D79" s="2546">
        <v>246</v>
      </c>
      <c r="E79" s="2546">
        <f>377+63+56</f>
        <v>496</v>
      </c>
      <c r="F79" s="2547">
        <f t="shared" si="7"/>
        <v>0.49596774193548387</v>
      </c>
    </row>
    <row r="80" spans="2:6">
      <c r="B80" s="2545" t="s">
        <v>48</v>
      </c>
      <c r="C80" s="2545">
        <v>18</v>
      </c>
      <c r="D80" s="2546">
        <v>13100</v>
      </c>
      <c r="E80" s="2546">
        <f>17965+1391+1346</f>
        <v>20702</v>
      </c>
      <c r="F80" s="2547">
        <f t="shared" si="7"/>
        <v>0.63278910250217368</v>
      </c>
    </row>
    <row r="81" spans="2:6">
      <c r="B81" s="2545" t="s">
        <v>87</v>
      </c>
      <c r="C81" s="2545">
        <v>18</v>
      </c>
      <c r="D81" s="2546">
        <v>1282</v>
      </c>
      <c r="E81" s="2546">
        <f>5+1211</f>
        <v>1216</v>
      </c>
      <c r="F81" s="2547">
        <f t="shared" si="7"/>
        <v>1.0542763157894737</v>
      </c>
    </row>
    <row r="82" spans="2:6">
      <c r="B82" s="3612" t="s">
        <v>113</v>
      </c>
      <c r="C82" s="3612">
        <f>SUM(C76:C81)</f>
        <v>70</v>
      </c>
      <c r="D82" s="3613">
        <f>SUM(D76:D81)</f>
        <v>24735</v>
      </c>
      <c r="E82" s="3613">
        <f>SUM(E76:E81)</f>
        <v>65711</v>
      </c>
      <c r="F82" s="3011">
        <f t="shared" si="7"/>
        <v>0.37642099496279163</v>
      </c>
    </row>
    <row r="83" spans="2:6">
      <c r="F83" s="75"/>
    </row>
    <row r="84" spans="2:6">
      <c r="F84" s="75"/>
    </row>
    <row r="85" spans="2:6" ht="31.2" thickBot="1">
      <c r="B85" s="2539" t="s">
        <v>68</v>
      </c>
      <c r="C85" s="2539" t="s">
        <v>409</v>
      </c>
      <c r="D85" s="2539" t="s">
        <v>182</v>
      </c>
      <c r="E85" s="2540" t="s">
        <v>1822</v>
      </c>
      <c r="F85" s="2541" t="s">
        <v>2820</v>
      </c>
    </row>
    <row r="86" spans="2:6">
      <c r="B86" s="2542" t="s">
        <v>70</v>
      </c>
      <c r="C86" s="2542">
        <v>20</v>
      </c>
      <c r="D86" s="2543">
        <v>7928</v>
      </c>
      <c r="E86" s="2543">
        <f>18444+1480+1334</f>
        <v>21258</v>
      </c>
      <c r="F86" s="2544">
        <f>D86/E86</f>
        <v>0.37294195126540597</v>
      </c>
    </row>
    <row r="87" spans="2:6">
      <c r="B87" s="2545" t="s">
        <v>72</v>
      </c>
      <c r="C87" s="2545">
        <v>13</v>
      </c>
      <c r="D87" s="2546">
        <v>862</v>
      </c>
      <c r="E87" s="2546">
        <f>1613+214+218</f>
        <v>2045</v>
      </c>
      <c r="F87" s="2547">
        <f t="shared" ref="F87:F92" si="8">D87/E87</f>
        <v>0.42151589242053789</v>
      </c>
    </row>
    <row r="88" spans="2:6">
      <c r="B88" s="2545" t="s">
        <v>73</v>
      </c>
      <c r="C88" s="2545">
        <v>9</v>
      </c>
      <c r="D88" s="2546">
        <v>4134</v>
      </c>
      <c r="E88" s="2546">
        <f>16373+1290+1199</f>
        <v>18862</v>
      </c>
      <c r="F88" s="2547">
        <f t="shared" si="8"/>
        <v>0.21917081963736612</v>
      </c>
    </row>
    <row r="89" spans="2:6">
      <c r="B89" s="2545" t="s">
        <v>82</v>
      </c>
      <c r="C89" s="2545"/>
      <c r="D89" s="2546"/>
      <c r="E89" s="2546">
        <f>228+46+50</f>
        <v>324</v>
      </c>
      <c r="F89" s="2547">
        <f t="shared" si="8"/>
        <v>0</v>
      </c>
    </row>
    <row r="90" spans="2:6">
      <c r="B90" s="2545" t="s">
        <v>74</v>
      </c>
      <c r="C90" s="2545">
        <v>37</v>
      </c>
      <c r="D90" s="2546">
        <v>7751</v>
      </c>
      <c r="E90" s="2546">
        <f>17706+1378+1363</f>
        <v>20447</v>
      </c>
      <c r="F90" s="2547">
        <f t="shared" si="8"/>
        <v>0.37907761529808776</v>
      </c>
    </row>
    <row r="91" spans="2:6">
      <c r="B91" s="2545" t="s">
        <v>191</v>
      </c>
      <c r="C91" s="2545">
        <v>13</v>
      </c>
      <c r="D91" s="2546">
        <v>825</v>
      </c>
      <c r="E91" s="2546">
        <f>4+1219</f>
        <v>1223</v>
      </c>
      <c r="F91" s="2547">
        <f t="shared" si="8"/>
        <v>0.67457072771872439</v>
      </c>
    </row>
    <row r="92" spans="2:6">
      <c r="B92" s="3612" t="s">
        <v>67</v>
      </c>
      <c r="C92" s="3612">
        <f>SUM(C86:C91)</f>
        <v>92</v>
      </c>
      <c r="D92" s="3613">
        <f>SUM(D86:D91)</f>
        <v>21500</v>
      </c>
      <c r="E92" s="3613">
        <f>SUM(E86:E91)</f>
        <v>64159</v>
      </c>
      <c r="F92" s="3011">
        <f t="shared" si="8"/>
        <v>0.33510497358125907</v>
      </c>
    </row>
    <row r="93" spans="2:6">
      <c r="E93" s="1278" t="s">
        <v>1823</v>
      </c>
      <c r="F93" s="1277"/>
    </row>
    <row r="94" spans="2:6" ht="20.100000000000001" customHeight="1"/>
    <row r="95" spans="2:6" ht="31.2" thickBot="1">
      <c r="B95" s="2539" t="s">
        <v>68</v>
      </c>
      <c r="C95" s="2539" t="s">
        <v>409</v>
      </c>
      <c r="D95" s="2539" t="s">
        <v>182</v>
      </c>
      <c r="E95" s="2540" t="s">
        <v>445</v>
      </c>
      <c r="F95" s="2541" t="s">
        <v>2821</v>
      </c>
    </row>
    <row r="96" spans="2:6">
      <c r="B96" s="2542" t="s">
        <v>70</v>
      </c>
      <c r="C96" s="2542">
        <v>16</v>
      </c>
      <c r="D96" s="2543">
        <v>4692</v>
      </c>
      <c r="E96" s="2543">
        <v>20776</v>
      </c>
      <c r="F96" s="2544">
        <f>D96/E96</f>
        <v>0.22583750481324605</v>
      </c>
    </row>
    <row r="97" spans="2:6">
      <c r="B97" s="2545" t="s">
        <v>72</v>
      </c>
      <c r="C97" s="2545">
        <v>10</v>
      </c>
      <c r="D97" s="2546">
        <v>1522</v>
      </c>
      <c r="E97" s="2546">
        <v>1813</v>
      </c>
      <c r="F97" s="2547">
        <f t="shared" ref="F97:F102" si="9">D97/E97</f>
        <v>0.83949255377826804</v>
      </c>
    </row>
    <row r="98" spans="2:6">
      <c r="B98" s="2545" t="s">
        <v>73</v>
      </c>
      <c r="C98" s="2545">
        <v>6</v>
      </c>
      <c r="D98" s="2546">
        <v>3853</v>
      </c>
      <c r="E98" s="2546">
        <v>18147</v>
      </c>
      <c r="F98" s="2547">
        <f t="shared" si="9"/>
        <v>0.21232159585606436</v>
      </c>
    </row>
    <row r="99" spans="2:6">
      <c r="B99" s="2545" t="s">
        <v>82</v>
      </c>
      <c r="C99" s="2545"/>
      <c r="D99" s="2546"/>
      <c r="E99" s="2546">
        <v>241</v>
      </c>
      <c r="F99" s="2547">
        <f t="shared" si="9"/>
        <v>0</v>
      </c>
    </row>
    <row r="100" spans="2:6" ht="15" customHeight="1">
      <c r="B100" s="2545" t="s">
        <v>74</v>
      </c>
      <c r="C100" s="2545">
        <v>15</v>
      </c>
      <c r="D100" s="2546">
        <v>2760</v>
      </c>
      <c r="E100" s="2546">
        <v>20424</v>
      </c>
      <c r="F100" s="2547">
        <f t="shared" si="9"/>
        <v>0.13513513513513514</v>
      </c>
    </row>
    <row r="101" spans="2:6">
      <c r="B101" s="2545" t="s">
        <v>191</v>
      </c>
      <c r="C101" s="2545">
        <v>17</v>
      </c>
      <c r="D101" s="2546">
        <v>1947</v>
      </c>
      <c r="E101" s="2546">
        <v>1200</v>
      </c>
      <c r="F101" s="2547">
        <f t="shared" si="9"/>
        <v>1.6225000000000001</v>
      </c>
    </row>
    <row r="102" spans="2:6">
      <c r="B102" s="3612" t="s">
        <v>67</v>
      </c>
      <c r="C102" s="3612">
        <f>SUM(C96:C101)</f>
        <v>64</v>
      </c>
      <c r="D102" s="3613">
        <f>SUM(D96:D101)</f>
        <v>14774</v>
      </c>
      <c r="E102" s="3613">
        <f>SUM(E96:E101)</f>
        <v>62601</v>
      </c>
      <c r="F102" s="3011">
        <f t="shared" si="9"/>
        <v>0.23600261976645739</v>
      </c>
    </row>
    <row r="104" spans="2:6" s="42" customFormat="1" ht="15" customHeight="1"/>
    <row r="105" spans="2:6" s="42" customFormat="1" ht="13.8"/>
    <row r="106" spans="2:6" s="42" customFormat="1" ht="13.8"/>
    <row r="107" spans="2:6" s="42" customFormat="1" ht="13.8"/>
    <row r="108" spans="2:6" s="42" customFormat="1" ht="13.8"/>
    <row r="109" spans="2:6" s="42" customFormat="1" ht="13.8"/>
    <row r="110" spans="2:6" s="42" customFormat="1" ht="13.8"/>
    <row r="111" spans="2:6" s="42" customFormat="1" ht="13.8"/>
    <row r="112" spans="2:6" s="42" customFormat="1" ht="12.75" customHeight="1"/>
    <row r="113" s="42" customFormat="1" ht="13.8"/>
    <row r="114" s="42" customFormat="1" ht="13.8"/>
    <row r="115" s="42" customFormat="1" ht="13.8"/>
    <row r="116" s="42" customFormat="1" ht="13.8"/>
    <row r="117" s="42" customFormat="1" ht="13.8"/>
    <row r="118" s="42" customFormat="1" ht="13.8"/>
    <row r="119" s="42" customFormat="1" ht="13.8"/>
    <row r="120" s="42" customFormat="1" ht="13.8"/>
    <row r="121" s="42" customFormat="1" ht="13.8"/>
    <row r="122" s="42" customFormat="1" ht="15" customHeight="1"/>
    <row r="123" s="42" customFormat="1" ht="13.8"/>
    <row r="124" s="42" customFormat="1" ht="13.8"/>
    <row r="125" s="42" customFormat="1" ht="13.8"/>
    <row r="126" s="42" customFormat="1" ht="13.8"/>
    <row r="127" s="42" customFormat="1" ht="13.8"/>
    <row r="128" s="42" customFormat="1" ht="13.8"/>
    <row r="129" s="42" customFormat="1" ht="13.8"/>
    <row r="130" s="42" customFormat="1" ht="13.8"/>
    <row r="131" s="42" customFormat="1" ht="13.8"/>
    <row r="132" s="42" customFormat="1" ht="13.8"/>
    <row r="133" s="42" customFormat="1" ht="13.8"/>
    <row r="134" s="42" customFormat="1" ht="13.8"/>
    <row r="135" s="42" customFormat="1" ht="13.8"/>
    <row r="136" s="42" customFormat="1" ht="13.8"/>
    <row r="137" s="42" customFormat="1" ht="13.8"/>
    <row r="138" s="42" customFormat="1" ht="13.8"/>
    <row r="139" s="42" customFormat="1" ht="13.8"/>
    <row r="145" ht="15" customHeight="1"/>
    <row r="147" ht="15" customHeight="1"/>
    <row r="149" ht="15" customHeight="1"/>
    <row r="150" ht="15" customHeight="1"/>
    <row r="156" ht="15" customHeight="1"/>
    <row r="181" ht="15" customHeight="1"/>
    <row r="182" ht="15" customHeight="1"/>
    <row r="183" ht="15" customHeight="1"/>
    <row r="184" ht="15" customHeight="1"/>
    <row r="185" ht="15" customHeight="1"/>
    <row r="186" ht="15" customHeight="1"/>
    <row r="187" ht="15" customHeight="1"/>
    <row r="191" ht="15" customHeight="1"/>
    <row r="192" ht="15" customHeight="1"/>
    <row r="196" ht="15" customHeight="1"/>
    <row r="212" ht="15" customHeight="1"/>
    <row r="213" ht="12.75" customHeight="1"/>
    <row r="219" ht="15" customHeight="1"/>
    <row r="223" ht="15" customHeight="1"/>
    <row r="231" ht="15" customHeight="1"/>
    <row r="241" ht="15" customHeight="1"/>
    <row r="246" ht="15" customHeight="1"/>
    <row r="265" ht="15" customHeight="1"/>
    <row r="269" ht="15" customHeight="1"/>
  </sheetData>
  <sheetProtection algorithmName="SHA-512" hashValue="OpguqWABq7dODSedqos62SK96f2ZDlRSCCjZjKox1wmgbxx3LgYuKPK9QzT2EIDlOR2CLCPkZ8iuCNMZuIihWg==" saltValue="13+hy9O5BBBiJM+10XARzg==" spinCount="100000" sheet="1" objects="1" scenarios="1"/>
  <mergeCells count="1">
    <mergeCell ref="B1:F1"/>
  </mergeCells>
  <pageMargins left="0.70866141732283472" right="0.70866141732283472" top="0.74803149606299213" bottom="0.74803149606299213" header="0.31496062992125984" footer="0.31496062992125984"/>
  <pageSetup scale="4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499984740745262"/>
  </sheetPr>
  <dimension ref="A1:H715"/>
  <sheetViews>
    <sheetView showGridLines="0" zoomScaleNormal="100" workbookViewId="0">
      <selection activeCell="G16" sqref="G16"/>
    </sheetView>
  </sheetViews>
  <sheetFormatPr baseColWidth="10" defaultRowHeight="14.4"/>
  <cols>
    <col min="1" max="1" width="40.44140625" bestFit="1" customWidth="1"/>
    <col min="2" max="2" width="11.5546875" customWidth="1"/>
    <col min="3" max="3" width="17.5546875" customWidth="1"/>
    <col min="4" max="4" width="8.5546875" customWidth="1"/>
    <col min="5" max="5" width="40.21875" customWidth="1"/>
    <col min="6" max="6" width="25.77734375" customWidth="1"/>
    <col min="7" max="8" width="18.77734375" customWidth="1"/>
  </cols>
  <sheetData>
    <row r="1" spans="1:8" ht="19.5" customHeight="1">
      <c r="D1" s="104"/>
      <c r="E1" s="129"/>
      <c r="F1" s="129"/>
      <c r="G1" s="129"/>
    </row>
    <row r="2" spans="1:8" s="5205" customFormat="1" ht="19.5" customHeight="1">
      <c r="A2" s="6094" t="s">
        <v>502</v>
      </c>
      <c r="B2" s="6094"/>
      <c r="C2" s="6094"/>
      <c r="D2" s="104"/>
      <c r="E2" s="2552"/>
      <c r="F2" s="2552"/>
      <c r="G2" s="2552"/>
    </row>
    <row r="3" spans="1:8" s="5205" customFormat="1" ht="19.5" customHeight="1">
      <c r="A3" s="5206"/>
      <c r="B3" s="5206"/>
      <c r="C3" s="5206"/>
      <c r="D3" s="104"/>
      <c r="E3" s="2552"/>
      <c r="F3" s="2552"/>
      <c r="G3" s="2552"/>
    </row>
    <row r="4" spans="1:8" s="5205" customFormat="1" ht="19.5" customHeight="1">
      <c r="A4" s="6104" t="s">
        <v>3063</v>
      </c>
      <c r="B4" s="6105"/>
      <c r="C4" s="6106"/>
      <c r="E4" s="6107" t="s">
        <v>3064</v>
      </c>
      <c r="F4" s="6108"/>
      <c r="G4" s="6108"/>
      <c r="H4" s="6109"/>
    </row>
    <row r="5" spans="1:8" s="5205" customFormat="1" ht="19.5" customHeight="1">
      <c r="A5" s="6110" t="s">
        <v>312</v>
      </c>
      <c r="B5" s="6111"/>
      <c r="C5" s="6112"/>
      <c r="E5" s="6270" t="s">
        <v>314</v>
      </c>
      <c r="F5" s="6113" t="s">
        <v>315</v>
      </c>
      <c r="G5" s="6115" t="s">
        <v>2508</v>
      </c>
      <c r="H5" s="6116"/>
    </row>
    <row r="6" spans="1:8" s="5205" customFormat="1" ht="19.5" customHeight="1">
      <c r="A6" s="6269" t="s">
        <v>183</v>
      </c>
      <c r="B6" s="6119" t="s">
        <v>814</v>
      </c>
      <c r="C6" s="6119" t="s">
        <v>815</v>
      </c>
      <c r="E6" s="6114"/>
      <c r="F6" s="6114"/>
      <c r="G6" s="4163" t="s">
        <v>499</v>
      </c>
      <c r="H6" s="5207" t="s">
        <v>1982</v>
      </c>
    </row>
    <row r="7" spans="1:8" s="5205" customFormat="1" ht="19.5" customHeight="1">
      <c r="A7" s="6269"/>
      <c r="B7" s="6103"/>
      <c r="C7" s="6103"/>
      <c r="E7" s="2407"/>
      <c r="F7" s="2407"/>
      <c r="G7" s="1753"/>
    </row>
    <row r="8" spans="1:8" s="5205" customFormat="1" ht="19.5" customHeight="1">
      <c r="A8" s="5208" t="s">
        <v>186</v>
      </c>
      <c r="B8" s="5209" t="s">
        <v>3057</v>
      </c>
      <c r="C8" s="5210">
        <v>35</v>
      </c>
      <c r="E8" s="5211" t="s">
        <v>821</v>
      </c>
      <c r="F8" s="5212" t="s">
        <v>2509</v>
      </c>
      <c r="G8" s="5213"/>
      <c r="H8" s="5214"/>
    </row>
    <row r="9" spans="1:8" s="5205" customFormat="1" ht="19.5" customHeight="1">
      <c r="A9" s="5208" t="s">
        <v>1758</v>
      </c>
      <c r="B9" s="5209" t="s">
        <v>3025</v>
      </c>
      <c r="C9" s="5210">
        <v>30</v>
      </c>
      <c r="E9" s="5215" t="s">
        <v>2677</v>
      </c>
      <c r="F9" s="5216" t="s">
        <v>2509</v>
      </c>
      <c r="G9" s="5217"/>
      <c r="H9" s="5218"/>
    </row>
    <row r="10" spans="1:8" s="5205" customFormat="1" ht="19.5" customHeight="1">
      <c r="A10" s="5219" t="s">
        <v>185</v>
      </c>
      <c r="B10" s="5220">
        <v>3</v>
      </c>
      <c r="C10" s="5221">
        <v>151</v>
      </c>
      <c r="E10" s="5222" t="s">
        <v>2678</v>
      </c>
      <c r="F10" s="5223" t="s">
        <v>2510</v>
      </c>
      <c r="G10" s="5224"/>
      <c r="H10" s="5225"/>
    </row>
    <row r="11" spans="1:8" s="5205" customFormat="1" ht="19.5" customHeight="1">
      <c r="A11" s="5226" t="s">
        <v>2498</v>
      </c>
      <c r="B11" s="5220">
        <v>1</v>
      </c>
      <c r="C11" s="5221">
        <v>28</v>
      </c>
      <c r="E11" s="5227" t="s">
        <v>71</v>
      </c>
      <c r="F11" s="5228">
        <f>G11+H11</f>
        <v>0</v>
      </c>
      <c r="G11" s="5229">
        <f>SUM(G8:G10)</f>
        <v>0</v>
      </c>
      <c r="H11" s="5229">
        <f>SUM(H8:H10)</f>
        <v>0</v>
      </c>
    </row>
    <row r="12" spans="1:8" s="5205" customFormat="1" ht="19.5" customHeight="1">
      <c r="A12" s="5226" t="s">
        <v>3058</v>
      </c>
      <c r="B12" s="5220">
        <v>1</v>
      </c>
      <c r="C12" s="5221">
        <v>11</v>
      </c>
    </row>
    <row r="13" spans="1:8" s="5205" customFormat="1" ht="19.5" customHeight="1">
      <c r="A13" s="5219" t="s">
        <v>316</v>
      </c>
      <c r="B13" s="5220">
        <v>6</v>
      </c>
      <c r="C13" s="5221">
        <v>1370</v>
      </c>
    </row>
    <row r="14" spans="1:8" s="5205" customFormat="1" ht="19.5" customHeight="1">
      <c r="A14" s="5219" t="s">
        <v>2679</v>
      </c>
      <c r="B14" s="5220"/>
      <c r="C14" s="5221"/>
    </row>
    <row r="15" spans="1:8" s="5205" customFormat="1" ht="19.5" customHeight="1">
      <c r="A15" s="5219" t="s">
        <v>2680</v>
      </c>
      <c r="B15" s="5220">
        <v>1</v>
      </c>
      <c r="C15" s="5221">
        <v>25</v>
      </c>
      <c r="E15" s="2432"/>
      <c r="F15" s="2432"/>
      <c r="G15" s="2432"/>
      <c r="H15" s="2432"/>
    </row>
    <row r="16" spans="1:8" s="5205" customFormat="1" ht="19.5" customHeight="1">
      <c r="A16" s="5219" t="s">
        <v>406</v>
      </c>
      <c r="B16" s="5220">
        <v>4</v>
      </c>
      <c r="C16" s="5221">
        <v>554</v>
      </c>
      <c r="G16" s="2433"/>
    </row>
    <row r="17" spans="1:8" s="5205" customFormat="1" ht="19.5" customHeight="1">
      <c r="A17" s="5219" t="s">
        <v>317</v>
      </c>
      <c r="B17" s="5230">
        <v>1</v>
      </c>
      <c r="C17" s="5230">
        <v>245</v>
      </c>
      <c r="G17" s="2433"/>
    </row>
    <row r="18" spans="1:8" s="5205" customFormat="1" ht="19.5" customHeight="1">
      <c r="A18" s="5219" t="s">
        <v>2681</v>
      </c>
      <c r="B18" s="5220"/>
      <c r="C18" s="5221"/>
      <c r="G18" s="2435"/>
      <c r="H18" s="2433"/>
    </row>
    <row r="19" spans="1:8" s="5205" customFormat="1" ht="19.5" customHeight="1">
      <c r="A19" s="5219" t="s">
        <v>1829</v>
      </c>
      <c r="B19" s="5220">
        <v>3</v>
      </c>
      <c r="C19" s="5221">
        <v>12</v>
      </c>
      <c r="F19" s="2"/>
      <c r="G19" s="2436"/>
      <c r="H19" s="2"/>
    </row>
    <row r="20" spans="1:8" s="5205" customFormat="1" ht="19.5" customHeight="1">
      <c r="A20" s="5219" t="s">
        <v>1827</v>
      </c>
      <c r="B20" s="5220">
        <v>5</v>
      </c>
      <c r="C20" s="5221">
        <v>60</v>
      </c>
    </row>
    <row r="21" spans="1:8" s="5205" customFormat="1" ht="19.5" customHeight="1">
      <c r="A21" s="5231" t="s">
        <v>2682</v>
      </c>
      <c r="B21" s="5220">
        <v>2</v>
      </c>
      <c r="C21" s="5221">
        <v>17</v>
      </c>
    </row>
    <row r="22" spans="1:8" s="5205" customFormat="1" ht="19.5" customHeight="1">
      <c r="A22" s="5231" t="s">
        <v>3059</v>
      </c>
      <c r="B22" s="5220">
        <v>1</v>
      </c>
      <c r="C22" s="5221">
        <v>25</v>
      </c>
    </row>
    <row r="23" spans="1:8" s="5205" customFormat="1" ht="19.5" customHeight="1">
      <c r="A23" s="5219" t="s">
        <v>188</v>
      </c>
      <c r="B23" s="5220"/>
      <c r="C23" s="5221"/>
    </row>
    <row r="24" spans="1:8" s="5205" customFormat="1" ht="19.5" customHeight="1">
      <c r="A24" s="5219" t="s">
        <v>187</v>
      </c>
      <c r="B24" s="5220"/>
      <c r="C24" s="5221"/>
    </row>
    <row r="25" spans="1:8" s="5205" customFormat="1" ht="19.5" customHeight="1">
      <c r="A25" s="5219" t="s">
        <v>322</v>
      </c>
      <c r="B25" s="5220">
        <v>2</v>
      </c>
      <c r="C25" s="5221">
        <v>26</v>
      </c>
    </row>
    <row r="26" spans="1:8" s="5205" customFormat="1" ht="19.5" customHeight="1">
      <c r="A26" s="5232" t="s">
        <v>407</v>
      </c>
      <c r="B26" s="5220">
        <v>1</v>
      </c>
      <c r="C26" s="5221">
        <v>70</v>
      </c>
    </row>
    <row r="27" spans="1:8" s="5205" customFormat="1" ht="19.5" customHeight="1">
      <c r="A27" s="5233" t="s">
        <v>2501</v>
      </c>
      <c r="B27" s="5220"/>
      <c r="C27" s="5221"/>
    </row>
    <row r="28" spans="1:8" s="5205" customFormat="1" ht="19.5" customHeight="1">
      <c r="A28" s="5231" t="s">
        <v>1973</v>
      </c>
      <c r="B28" s="5220">
        <v>1</v>
      </c>
      <c r="C28" s="5221">
        <v>36</v>
      </c>
      <c r="F28" s="5234">
        <f>C31+F11</f>
        <v>2853</v>
      </c>
    </row>
    <row r="29" spans="1:8" s="5205" customFormat="1" ht="19.5" customHeight="1">
      <c r="A29" s="5231" t="s">
        <v>552</v>
      </c>
      <c r="B29" s="5220"/>
      <c r="C29" s="5221"/>
    </row>
    <row r="30" spans="1:8" s="5205" customFormat="1" ht="19.5" customHeight="1">
      <c r="A30" s="5235" t="s">
        <v>2073</v>
      </c>
      <c r="B30" s="5220">
        <v>3</v>
      </c>
      <c r="C30" s="5221">
        <v>158</v>
      </c>
    </row>
    <row r="31" spans="1:8" s="5205" customFormat="1" ht="19.5" customHeight="1">
      <c r="A31" s="5236" t="s">
        <v>71</v>
      </c>
      <c r="B31" s="5237">
        <f>SUM(B10:B30)</f>
        <v>35</v>
      </c>
      <c r="C31" s="5238">
        <f>SUM(C8:C30)</f>
        <v>2853</v>
      </c>
    </row>
    <row r="32" spans="1:8" s="5205" customFormat="1" ht="19.5" customHeight="1">
      <c r="A32" s="2441" t="s">
        <v>323</v>
      </c>
      <c r="B32" s="5239"/>
      <c r="C32" s="2552"/>
    </row>
    <row r="33" spans="1:4" s="5205" customFormat="1" ht="19.5" customHeight="1">
      <c r="B33" s="2552"/>
      <c r="C33" s="2552"/>
      <c r="D33" s="2432"/>
    </row>
    <row r="34" spans="1:4" s="5205" customFormat="1" ht="19.5" customHeight="1">
      <c r="A34" s="6104" t="s">
        <v>3063</v>
      </c>
      <c r="B34" s="6105"/>
      <c r="C34" s="6106"/>
      <c r="D34" s="2552"/>
    </row>
    <row r="35" spans="1:4" s="5205" customFormat="1" ht="19.5" customHeight="1">
      <c r="A35" s="6107" t="s">
        <v>313</v>
      </c>
      <c r="B35" s="6108"/>
      <c r="C35" s="6109"/>
    </row>
    <row r="36" spans="1:4" s="5205" customFormat="1" ht="19.5" customHeight="1">
      <c r="A36" s="6269" t="s">
        <v>314</v>
      </c>
      <c r="B36" s="6119" t="s">
        <v>816</v>
      </c>
      <c r="C36" s="6119" t="s">
        <v>184</v>
      </c>
    </row>
    <row r="37" spans="1:4" s="5205" customFormat="1" ht="19.5" customHeight="1">
      <c r="A37" s="6269"/>
      <c r="B37" s="6103"/>
      <c r="C37" s="6103"/>
    </row>
    <row r="38" spans="1:4" s="5205" customFormat="1" ht="19.5" customHeight="1">
      <c r="A38" s="5208" t="s">
        <v>2001</v>
      </c>
      <c r="B38" s="5240">
        <v>365</v>
      </c>
      <c r="C38" s="5210">
        <v>1080</v>
      </c>
    </row>
    <row r="39" spans="1:4" s="5205" customFormat="1" ht="19.5" customHeight="1">
      <c r="A39" s="5230" t="s">
        <v>2502</v>
      </c>
      <c r="B39" s="5233">
        <v>117</v>
      </c>
      <c r="C39" s="5241">
        <v>292</v>
      </c>
    </row>
    <row r="40" spans="1:4" s="5205" customFormat="1" ht="19.5" customHeight="1">
      <c r="A40" s="5230" t="s">
        <v>2066</v>
      </c>
      <c r="B40" s="5233">
        <v>1</v>
      </c>
      <c r="C40" s="5241">
        <v>5</v>
      </c>
    </row>
    <row r="41" spans="1:4" s="5205" customFormat="1" ht="19.5" customHeight="1">
      <c r="A41" s="5219" t="s">
        <v>1974</v>
      </c>
      <c r="B41" s="5220">
        <v>845</v>
      </c>
      <c r="C41" s="5221">
        <v>11272</v>
      </c>
    </row>
    <row r="42" spans="1:4" s="5205" customFormat="1" ht="19.5" customHeight="1">
      <c r="A42" s="5219" t="s">
        <v>1976</v>
      </c>
      <c r="B42" s="5220">
        <v>80</v>
      </c>
      <c r="C42" s="5221">
        <v>400</v>
      </c>
    </row>
    <row r="43" spans="1:4" s="5205" customFormat="1" ht="19.5" customHeight="1">
      <c r="A43" s="5219" t="s">
        <v>1962</v>
      </c>
      <c r="B43" s="5220">
        <v>64</v>
      </c>
      <c r="C43" s="5221">
        <v>128</v>
      </c>
    </row>
    <row r="44" spans="1:4" s="5205" customFormat="1" ht="19.5" customHeight="1">
      <c r="A44" s="5219" t="s">
        <v>3060</v>
      </c>
      <c r="B44" s="5220">
        <v>1</v>
      </c>
      <c r="C44" s="5221">
        <v>4</v>
      </c>
    </row>
    <row r="45" spans="1:4" s="5205" customFormat="1" ht="19.5" customHeight="1">
      <c r="A45" s="5219" t="s">
        <v>316</v>
      </c>
      <c r="B45" s="5220">
        <v>104</v>
      </c>
      <c r="C45" s="5221">
        <v>1040</v>
      </c>
    </row>
    <row r="46" spans="1:4" s="5205" customFormat="1" ht="19.5" customHeight="1">
      <c r="A46" s="5219" t="s">
        <v>317</v>
      </c>
      <c r="B46" s="5220">
        <v>266</v>
      </c>
      <c r="C46" s="5221">
        <v>2514</v>
      </c>
    </row>
    <row r="47" spans="1:4" s="5205" customFormat="1" ht="19.5" customHeight="1">
      <c r="A47" s="5219" t="s">
        <v>3061</v>
      </c>
      <c r="B47" s="5220">
        <v>292</v>
      </c>
      <c r="C47" s="5221">
        <v>292</v>
      </c>
    </row>
    <row r="48" spans="1:4" s="5205" customFormat="1" ht="19.5" customHeight="1">
      <c r="A48" s="5219" t="s">
        <v>318</v>
      </c>
      <c r="B48" s="5220">
        <v>79993</v>
      </c>
      <c r="C48" s="5221">
        <v>79993</v>
      </c>
    </row>
    <row r="49" spans="1:5" s="5205" customFormat="1" ht="19.5" customHeight="1">
      <c r="A49" s="5219" t="s">
        <v>2503</v>
      </c>
      <c r="B49" s="5220">
        <v>8355</v>
      </c>
      <c r="C49" s="5221">
        <v>8355</v>
      </c>
    </row>
    <row r="50" spans="1:5" s="5205" customFormat="1" ht="19.5" customHeight="1">
      <c r="A50" s="5219" t="s">
        <v>819</v>
      </c>
      <c r="B50" s="5220">
        <v>855</v>
      </c>
      <c r="C50" s="5221">
        <v>3418</v>
      </c>
    </row>
    <row r="51" spans="1:5" s="5205" customFormat="1" ht="19.5" customHeight="1">
      <c r="A51" s="5219" t="s">
        <v>1828</v>
      </c>
      <c r="B51" s="5220">
        <v>40</v>
      </c>
      <c r="C51" s="5221">
        <v>160</v>
      </c>
    </row>
    <row r="52" spans="1:5" s="5205" customFormat="1" ht="19.5" customHeight="1">
      <c r="A52" s="5219" t="s">
        <v>674</v>
      </c>
      <c r="B52" s="5220">
        <v>188</v>
      </c>
      <c r="C52" s="5221">
        <v>188</v>
      </c>
    </row>
    <row r="53" spans="1:5" s="5205" customFormat="1" ht="19.5" customHeight="1">
      <c r="A53" s="5226" t="s">
        <v>319</v>
      </c>
      <c r="B53" s="5220" t="s">
        <v>3062</v>
      </c>
      <c r="C53" s="5220">
        <v>10553</v>
      </c>
    </row>
    <row r="54" spans="1:5" s="5205" customFormat="1" ht="19.5" customHeight="1">
      <c r="A54" s="5226" t="s">
        <v>1843</v>
      </c>
      <c r="B54" s="5220">
        <v>3424</v>
      </c>
      <c r="C54" s="5220">
        <v>53390</v>
      </c>
    </row>
    <row r="55" spans="1:5" s="5205" customFormat="1" ht="19.5" customHeight="1">
      <c r="A55" s="5219" t="s">
        <v>320</v>
      </c>
      <c r="B55" s="5220">
        <v>5480</v>
      </c>
      <c r="C55" s="5221">
        <v>5480</v>
      </c>
    </row>
    <row r="56" spans="1:5" s="5205" customFormat="1" ht="19.5" customHeight="1">
      <c r="A56" s="5219" t="s">
        <v>188</v>
      </c>
      <c r="B56" s="5220">
        <v>300</v>
      </c>
      <c r="C56" s="5221">
        <v>600</v>
      </c>
    </row>
    <row r="57" spans="1:5" s="5205" customFormat="1" ht="19.5" customHeight="1">
      <c r="A57" s="5219" t="s">
        <v>321</v>
      </c>
      <c r="B57" s="5220">
        <v>36</v>
      </c>
      <c r="C57" s="5221">
        <v>612</v>
      </c>
    </row>
    <row r="58" spans="1:5" s="5205" customFormat="1" ht="19.5" customHeight="1">
      <c r="A58" s="5219" t="s">
        <v>322</v>
      </c>
      <c r="B58" s="5220">
        <v>814</v>
      </c>
      <c r="C58" s="5221">
        <v>2227</v>
      </c>
    </row>
    <row r="59" spans="1:5" s="5205" customFormat="1" ht="19.5" customHeight="1">
      <c r="A59" s="5219" t="s">
        <v>2505</v>
      </c>
      <c r="B59" s="5220">
        <v>80</v>
      </c>
      <c r="C59" s="5221">
        <v>1200</v>
      </c>
    </row>
    <row r="60" spans="1:5" s="5205" customFormat="1" ht="19.5" customHeight="1">
      <c r="A60" s="5219" t="s">
        <v>2037</v>
      </c>
      <c r="B60" s="5220">
        <v>189</v>
      </c>
      <c r="C60" s="5221">
        <v>2693</v>
      </c>
    </row>
    <row r="61" spans="1:5" s="5205" customFormat="1" ht="19.5" customHeight="1">
      <c r="A61" s="5219" t="s">
        <v>2507</v>
      </c>
      <c r="B61" s="5220">
        <v>20</v>
      </c>
      <c r="C61" s="5221">
        <v>90</v>
      </c>
    </row>
    <row r="62" spans="1:5" s="5205" customFormat="1" ht="19.5" customHeight="1">
      <c r="A62" s="5219" t="s">
        <v>1760</v>
      </c>
      <c r="B62" s="5220">
        <v>80</v>
      </c>
      <c r="C62" s="5221">
        <v>2240</v>
      </c>
    </row>
    <row r="63" spans="1:5" s="5205" customFormat="1" ht="19.5" customHeight="1">
      <c r="A63" s="5236" t="s">
        <v>71</v>
      </c>
      <c r="B63" s="5237">
        <f>SUM(B38:B62)</f>
        <v>101989</v>
      </c>
      <c r="C63" s="5243">
        <f>SUM(C38:C62)</f>
        <v>188226</v>
      </c>
      <c r="E63" s="5242"/>
    </row>
    <row r="64" spans="1:5" s="5205" customFormat="1" ht="19.5" customHeight="1">
      <c r="A64" s="2441" t="s">
        <v>323</v>
      </c>
      <c r="B64" s="2552"/>
      <c r="C64" s="2552"/>
    </row>
    <row r="65" spans="1:8" s="5205" customFormat="1" ht="19.5" customHeight="1">
      <c r="A65" s="5206"/>
      <c r="B65" s="5206"/>
      <c r="C65" s="5206"/>
      <c r="D65" s="104"/>
      <c r="E65" s="2552"/>
      <c r="F65" s="2552"/>
      <c r="G65" s="2552"/>
    </row>
    <row r="66" spans="1:8" s="5205" customFormat="1" ht="19.5" customHeight="1">
      <c r="A66" s="5206"/>
      <c r="B66" s="5206"/>
      <c r="C66" s="5206"/>
      <c r="D66" s="104"/>
      <c r="E66" s="2552"/>
      <c r="F66" s="2552"/>
      <c r="G66" s="2552"/>
    </row>
    <row r="67" spans="1:8" s="4144" customFormat="1" ht="18">
      <c r="A67" s="6104" t="s">
        <v>2876</v>
      </c>
      <c r="B67" s="6105"/>
      <c r="C67" s="6106"/>
      <c r="D67" s="5205"/>
      <c r="E67" s="6107" t="s">
        <v>2877</v>
      </c>
      <c r="F67" s="6108"/>
      <c r="G67" s="6108"/>
      <c r="H67" s="6109"/>
    </row>
    <row r="68" spans="1:8" s="4144" customFormat="1" ht="15.6">
      <c r="A68" s="6110" t="s">
        <v>312</v>
      </c>
      <c r="B68" s="6111"/>
      <c r="C68" s="6112"/>
      <c r="D68" s="5205"/>
      <c r="E68" s="6113" t="s">
        <v>314</v>
      </c>
      <c r="F68" s="6113" t="s">
        <v>315</v>
      </c>
      <c r="G68" s="6115" t="s">
        <v>2508</v>
      </c>
      <c r="H68" s="6116"/>
    </row>
    <row r="69" spans="1:8" s="4144" customFormat="1" ht="14.4" customHeight="1">
      <c r="A69" s="6117" t="s">
        <v>183</v>
      </c>
      <c r="B69" s="6119" t="s">
        <v>814</v>
      </c>
      <c r="C69" s="6119" t="s">
        <v>815</v>
      </c>
      <c r="D69" s="5205"/>
      <c r="E69" s="6114"/>
      <c r="F69" s="6114"/>
      <c r="G69" s="4163" t="s">
        <v>499</v>
      </c>
      <c r="H69" s="4164" t="s">
        <v>1982</v>
      </c>
    </row>
    <row r="70" spans="1:8" s="4144" customFormat="1">
      <c r="A70" s="6118"/>
      <c r="B70" s="6103"/>
      <c r="C70" s="6103"/>
      <c r="D70" s="5205"/>
      <c r="E70" s="2407"/>
      <c r="F70" s="2407"/>
      <c r="G70" s="1753"/>
      <c r="H70" s="5205"/>
    </row>
    <row r="71" spans="1:8" s="4144" customFormat="1">
      <c r="A71" s="4165" t="s">
        <v>186</v>
      </c>
      <c r="B71" s="4166" t="s">
        <v>2873</v>
      </c>
      <c r="C71" s="4167">
        <v>214</v>
      </c>
      <c r="D71" s="5205"/>
      <c r="E71" s="4168" t="s">
        <v>2874</v>
      </c>
      <c r="F71" s="4169" t="s">
        <v>2875</v>
      </c>
      <c r="G71" s="4170">
        <v>8350</v>
      </c>
      <c r="H71" s="4171">
        <v>1760</v>
      </c>
    </row>
    <row r="72" spans="1:8" s="4144" customFormat="1">
      <c r="A72" s="4172" t="s">
        <v>185</v>
      </c>
      <c r="B72" s="4173">
        <v>17</v>
      </c>
      <c r="C72" s="4174">
        <v>850</v>
      </c>
      <c r="D72" s="5205"/>
      <c r="E72" s="4175" t="s">
        <v>821</v>
      </c>
      <c r="F72" s="4176" t="s">
        <v>2509</v>
      </c>
      <c r="G72" s="4177">
        <v>5223</v>
      </c>
      <c r="H72" s="4178">
        <v>7350</v>
      </c>
    </row>
    <row r="73" spans="1:8" s="4144" customFormat="1">
      <c r="A73" s="4179" t="s">
        <v>2498</v>
      </c>
      <c r="B73" s="4173">
        <v>1</v>
      </c>
      <c r="C73" s="4174">
        <v>20</v>
      </c>
      <c r="D73" s="5205"/>
      <c r="E73" s="4180" t="s">
        <v>2677</v>
      </c>
      <c r="F73" s="4181" t="s">
        <v>2509</v>
      </c>
      <c r="G73" s="4182">
        <v>7310</v>
      </c>
      <c r="H73" s="4183">
        <v>7350</v>
      </c>
    </row>
    <row r="74" spans="1:8" s="4144" customFormat="1">
      <c r="A74" s="4172" t="s">
        <v>316</v>
      </c>
      <c r="B74" s="4173">
        <v>25</v>
      </c>
      <c r="C74" s="4174">
        <v>4290</v>
      </c>
      <c r="D74" s="5205"/>
      <c r="E74" s="4184" t="s">
        <v>2678</v>
      </c>
      <c r="F74" s="4185" t="s">
        <v>2510</v>
      </c>
      <c r="G74" s="4186">
        <v>1600</v>
      </c>
      <c r="H74" s="4171">
        <v>7600</v>
      </c>
    </row>
    <row r="75" spans="1:8" s="4144" customFormat="1">
      <c r="A75" s="4172" t="s">
        <v>2679</v>
      </c>
      <c r="B75" s="4173">
        <v>2</v>
      </c>
      <c r="C75" s="4174">
        <v>35</v>
      </c>
      <c r="D75" s="5205"/>
      <c r="E75" s="4238">
        <v>4</v>
      </c>
      <c r="F75" s="5205"/>
      <c r="G75" s="4187">
        <f>SUM(G71:G74)</f>
        <v>22483</v>
      </c>
      <c r="H75" s="4187">
        <f>SUM(H71:H74)</f>
        <v>24060</v>
      </c>
    </row>
    <row r="76" spans="1:8" s="4144" customFormat="1">
      <c r="A76" s="4172" t="s">
        <v>2680</v>
      </c>
      <c r="B76" s="4173">
        <v>1</v>
      </c>
      <c r="C76" s="4174">
        <v>50</v>
      </c>
      <c r="D76" s="5205"/>
      <c r="E76" s="5205"/>
      <c r="F76" s="5205"/>
      <c r="G76" s="5205"/>
      <c r="H76" s="5205"/>
    </row>
    <row r="77" spans="1:8" s="4144" customFormat="1">
      <c r="A77" s="4172" t="s">
        <v>406</v>
      </c>
      <c r="B77" s="4173">
        <v>9</v>
      </c>
      <c r="C77" s="4174">
        <v>1710</v>
      </c>
      <c r="D77" s="5205"/>
      <c r="E77" s="5205"/>
      <c r="F77" s="5205"/>
      <c r="G77" s="5205"/>
      <c r="H77" s="5205"/>
    </row>
    <row r="78" spans="1:8" s="4144" customFormat="1">
      <c r="A78" s="4172" t="s">
        <v>317</v>
      </c>
      <c r="B78" s="4188">
        <v>6</v>
      </c>
      <c r="C78" s="4188">
        <v>800</v>
      </c>
      <c r="D78" s="5205"/>
      <c r="E78" s="5205"/>
      <c r="F78" s="5205"/>
      <c r="G78" s="5205"/>
      <c r="H78" s="5205"/>
    </row>
    <row r="79" spans="1:8" s="4144" customFormat="1">
      <c r="A79" s="4172" t="s">
        <v>2681</v>
      </c>
      <c r="B79" s="4173">
        <v>1</v>
      </c>
      <c r="C79" s="4174">
        <v>70</v>
      </c>
      <c r="D79" s="5205"/>
      <c r="E79" s="2432"/>
      <c r="F79" s="2432"/>
      <c r="G79" s="2432"/>
      <c r="H79" s="2432"/>
    </row>
    <row r="80" spans="1:8" s="4144" customFormat="1">
      <c r="A80" s="4172" t="s">
        <v>1829</v>
      </c>
      <c r="B80" s="4173">
        <v>5</v>
      </c>
      <c r="C80" s="4174">
        <v>60</v>
      </c>
      <c r="D80" s="5205"/>
      <c r="E80" s="5205"/>
      <c r="F80" s="5205"/>
      <c r="G80" s="2433"/>
      <c r="H80" s="5205"/>
    </row>
    <row r="81" spans="1:8" s="4144" customFormat="1">
      <c r="A81" s="4172" t="s">
        <v>1827</v>
      </c>
      <c r="B81" s="4173">
        <v>4</v>
      </c>
      <c r="C81" s="4174">
        <v>113</v>
      </c>
      <c r="D81" s="5205"/>
      <c r="E81" s="5205"/>
      <c r="F81" s="5205"/>
      <c r="G81" s="2433"/>
      <c r="H81" s="5205"/>
    </row>
    <row r="82" spans="1:8" s="4144" customFormat="1">
      <c r="A82" s="4189" t="s">
        <v>2682</v>
      </c>
      <c r="B82" s="4173">
        <v>4</v>
      </c>
      <c r="C82" s="4174">
        <v>60</v>
      </c>
      <c r="D82" s="5205"/>
      <c r="E82" s="5205"/>
      <c r="F82" s="5205"/>
      <c r="G82" s="2435"/>
      <c r="H82" s="2433"/>
    </row>
    <row r="83" spans="1:8" s="4144" customFormat="1">
      <c r="A83" s="4172" t="s">
        <v>188</v>
      </c>
      <c r="B83" s="4173">
        <v>1</v>
      </c>
      <c r="C83" s="4174">
        <v>20</v>
      </c>
      <c r="F83" s="2"/>
      <c r="G83" s="2436"/>
      <c r="H83" s="2"/>
    </row>
    <row r="84" spans="1:8" s="4144" customFormat="1">
      <c r="A84" s="4172" t="s">
        <v>187</v>
      </c>
      <c r="B84" s="4173">
        <v>1</v>
      </c>
      <c r="C84" s="4174">
        <v>16</v>
      </c>
      <c r="H84" s="2"/>
    </row>
    <row r="85" spans="1:8" s="4144" customFormat="1">
      <c r="A85" s="4172" t="s">
        <v>322</v>
      </c>
      <c r="B85" s="4173">
        <v>14</v>
      </c>
      <c r="C85" s="4174">
        <v>240</v>
      </c>
      <c r="H85" s="2"/>
    </row>
    <row r="86" spans="1:8" s="4144" customFormat="1">
      <c r="A86" s="4190" t="s">
        <v>407</v>
      </c>
      <c r="B86" s="4173">
        <v>2</v>
      </c>
      <c r="C86" s="4174">
        <v>87</v>
      </c>
    </row>
    <row r="87" spans="1:8" s="4144" customFormat="1">
      <c r="A87" s="4191" t="s">
        <v>2501</v>
      </c>
      <c r="B87" s="4173">
        <v>26</v>
      </c>
      <c r="C87" s="4174">
        <v>371</v>
      </c>
      <c r="G87" s="2"/>
    </row>
    <row r="88" spans="1:8" s="4144" customFormat="1">
      <c r="A88" s="4189" t="s">
        <v>1973</v>
      </c>
      <c r="B88" s="4173">
        <v>4</v>
      </c>
      <c r="C88" s="4174">
        <v>59</v>
      </c>
    </row>
    <row r="89" spans="1:8" s="4144" customFormat="1">
      <c r="A89" s="4189" t="s">
        <v>552</v>
      </c>
      <c r="B89" s="4173">
        <v>3</v>
      </c>
      <c r="C89" s="4174">
        <v>15</v>
      </c>
    </row>
    <row r="90" spans="1:8" s="4144" customFormat="1">
      <c r="A90" s="4192" t="s">
        <v>2073</v>
      </c>
      <c r="B90" s="4173">
        <v>13</v>
      </c>
      <c r="C90" s="4174">
        <v>741</v>
      </c>
    </row>
    <row r="91" spans="1:8" s="4144" customFormat="1">
      <c r="A91" s="4193" t="s">
        <v>71</v>
      </c>
      <c r="B91" s="4239">
        <f>SUM(B71:B90)</f>
        <v>139</v>
      </c>
      <c r="C91" s="4197">
        <f>SUM(C71:C90)</f>
        <v>9821</v>
      </c>
    </row>
    <row r="92" spans="1:8" s="4144" customFormat="1">
      <c r="A92" s="2441" t="s">
        <v>323</v>
      </c>
      <c r="B92" s="2552"/>
      <c r="C92" s="2552"/>
    </row>
    <row r="93" spans="1:8" s="4144" customFormat="1">
      <c r="B93" s="2552"/>
      <c r="C93" s="2552"/>
      <c r="D93" s="2432"/>
    </row>
    <row r="94" spans="1:8" s="4144" customFormat="1" ht="18">
      <c r="A94" s="6095" t="s">
        <v>2878</v>
      </c>
      <c r="B94" s="6096"/>
      <c r="C94" s="6097"/>
      <c r="D94" s="2552"/>
    </row>
    <row r="95" spans="1:8" s="4144" customFormat="1" ht="18">
      <c r="A95" s="6098" t="s">
        <v>313</v>
      </c>
      <c r="B95" s="6099"/>
      <c r="C95" s="6100"/>
    </row>
    <row r="96" spans="1:8" s="4144" customFormat="1">
      <c r="A96" s="6101" t="s">
        <v>314</v>
      </c>
      <c r="B96" s="6102" t="s">
        <v>816</v>
      </c>
      <c r="C96" s="6102" t="s">
        <v>184</v>
      </c>
    </row>
    <row r="97" spans="1:3" s="4144" customFormat="1">
      <c r="A97" s="6101"/>
      <c r="B97" s="6103"/>
      <c r="C97" s="6103"/>
    </row>
    <row r="98" spans="1:3" s="4144" customFormat="1">
      <c r="A98" s="4165" t="s">
        <v>2001</v>
      </c>
      <c r="B98" s="4194">
        <v>3600</v>
      </c>
      <c r="C98" s="4167">
        <v>7500</v>
      </c>
    </row>
    <row r="99" spans="1:3" s="4144" customFormat="1">
      <c r="A99" s="4188" t="s">
        <v>2502</v>
      </c>
      <c r="B99" s="4191">
        <v>2</v>
      </c>
      <c r="C99" s="4195">
        <v>100</v>
      </c>
    </row>
    <row r="100" spans="1:3" s="4144" customFormat="1">
      <c r="A100" s="4172" t="s">
        <v>1974</v>
      </c>
      <c r="B100" s="4173">
        <v>3000</v>
      </c>
      <c r="C100" s="4174">
        <v>21053</v>
      </c>
    </row>
    <row r="101" spans="1:3" s="4144" customFormat="1">
      <c r="A101" s="4172" t="s">
        <v>1976</v>
      </c>
      <c r="B101" s="4173">
        <v>60</v>
      </c>
      <c r="C101" s="4174">
        <v>1100</v>
      </c>
    </row>
    <row r="102" spans="1:3" s="4144" customFormat="1">
      <c r="A102" s="4172" t="s">
        <v>1962</v>
      </c>
      <c r="B102" s="4173">
        <v>557</v>
      </c>
      <c r="C102" s="4174">
        <v>2228</v>
      </c>
    </row>
    <row r="103" spans="1:3" s="4144" customFormat="1">
      <c r="A103" s="4172" t="s">
        <v>316</v>
      </c>
      <c r="B103" s="4173">
        <v>90</v>
      </c>
      <c r="C103" s="4174">
        <v>2300</v>
      </c>
    </row>
    <row r="104" spans="1:3" s="4144" customFormat="1">
      <c r="A104" s="4172" t="s">
        <v>317</v>
      </c>
      <c r="B104" s="4173">
        <v>294</v>
      </c>
      <c r="C104" s="4174">
        <v>8496</v>
      </c>
    </row>
    <row r="105" spans="1:3" s="4144" customFormat="1">
      <c r="A105" s="4172" t="s">
        <v>318</v>
      </c>
      <c r="B105" s="4173">
        <v>180684</v>
      </c>
      <c r="C105" s="4174">
        <v>180684</v>
      </c>
    </row>
    <row r="106" spans="1:3" s="4144" customFormat="1">
      <c r="A106" s="4172" t="s">
        <v>2503</v>
      </c>
      <c r="B106" s="4173">
        <v>22165</v>
      </c>
      <c r="C106" s="4174">
        <v>22165</v>
      </c>
    </row>
    <row r="107" spans="1:3" s="4144" customFormat="1">
      <c r="A107" s="4172" t="s">
        <v>819</v>
      </c>
      <c r="B107" s="4173">
        <v>1368</v>
      </c>
      <c r="C107" s="4174">
        <v>7527</v>
      </c>
    </row>
    <row r="108" spans="1:3" s="4144" customFormat="1">
      <c r="A108" s="4172" t="s">
        <v>1828</v>
      </c>
      <c r="B108" s="4173">
        <v>50</v>
      </c>
      <c r="C108" s="4174">
        <v>500</v>
      </c>
    </row>
    <row r="109" spans="1:3" s="4144" customFormat="1">
      <c r="A109" s="4172" t="s">
        <v>2683</v>
      </c>
      <c r="B109" s="4173">
        <v>1453</v>
      </c>
      <c r="C109" s="4174">
        <v>1453</v>
      </c>
    </row>
    <row r="110" spans="1:3" s="4144" customFormat="1">
      <c r="A110" s="4172" t="s">
        <v>674</v>
      </c>
      <c r="B110" s="4173">
        <v>1370</v>
      </c>
      <c r="C110" s="4174">
        <v>1370</v>
      </c>
    </row>
    <row r="111" spans="1:3" s="4144" customFormat="1">
      <c r="A111" s="4179" t="s">
        <v>319</v>
      </c>
      <c r="B111" s="4173">
        <v>16153</v>
      </c>
      <c r="C111" s="4173">
        <v>16153</v>
      </c>
    </row>
    <row r="112" spans="1:3" s="4144" customFormat="1">
      <c r="A112" s="4179" t="s">
        <v>1843</v>
      </c>
      <c r="B112" s="4173">
        <v>4660</v>
      </c>
      <c r="C112" s="4173">
        <v>65240</v>
      </c>
    </row>
    <row r="113" spans="1:8" s="4144" customFormat="1">
      <c r="A113" s="4172" t="s">
        <v>320</v>
      </c>
      <c r="B113" s="4173">
        <v>5900</v>
      </c>
      <c r="C113" s="4174">
        <v>11800</v>
      </c>
    </row>
    <row r="114" spans="1:8" s="4144" customFormat="1">
      <c r="A114" s="4172" t="s">
        <v>188</v>
      </c>
      <c r="B114" s="4173">
        <v>1068</v>
      </c>
      <c r="C114" s="4174">
        <v>2136</v>
      </c>
    </row>
    <row r="115" spans="1:8" s="4144" customFormat="1">
      <c r="A115" s="4172" t="s">
        <v>321</v>
      </c>
      <c r="B115" s="4173">
        <v>160</v>
      </c>
      <c r="C115" s="4174">
        <v>2758</v>
      </c>
    </row>
    <row r="116" spans="1:8" s="4144" customFormat="1">
      <c r="A116" s="4172" t="s">
        <v>322</v>
      </c>
      <c r="B116" s="4173">
        <v>2087</v>
      </c>
      <c r="C116" s="4174">
        <v>8975</v>
      </c>
    </row>
    <row r="117" spans="1:8" s="4144" customFormat="1">
      <c r="A117" s="4172" t="s">
        <v>2505</v>
      </c>
      <c r="B117" s="4173">
        <v>373</v>
      </c>
      <c r="C117" s="4174">
        <v>6564</v>
      </c>
    </row>
    <row r="118" spans="1:8" s="4144" customFormat="1">
      <c r="A118" s="4172" t="s">
        <v>2037</v>
      </c>
      <c r="B118" s="4173">
        <v>520</v>
      </c>
      <c r="C118" s="4174">
        <v>11116</v>
      </c>
    </row>
    <row r="119" spans="1:8" s="4144" customFormat="1">
      <c r="A119" s="4172" t="s">
        <v>2507</v>
      </c>
      <c r="B119" s="4173">
        <v>360</v>
      </c>
      <c r="C119" s="4174">
        <v>4320</v>
      </c>
    </row>
    <row r="120" spans="1:8" s="4144" customFormat="1">
      <c r="A120" s="4172" t="s">
        <v>1760</v>
      </c>
      <c r="B120" s="4173">
        <v>80</v>
      </c>
      <c r="C120" s="4174">
        <v>2800</v>
      </c>
    </row>
    <row r="121" spans="1:8" s="4144" customFormat="1">
      <c r="A121" s="4193" t="s">
        <v>71</v>
      </c>
      <c r="B121" s="4239">
        <f>SUM(B98:B120)</f>
        <v>246054</v>
      </c>
      <c r="C121" s="4198">
        <f>SUM(C98:C120)</f>
        <v>388338</v>
      </c>
    </row>
    <row r="122" spans="1:8" s="4144" customFormat="1" ht="19.5" customHeight="1">
      <c r="A122" s="2441" t="s">
        <v>323</v>
      </c>
      <c r="B122" s="2552"/>
      <c r="C122" s="2552"/>
    </row>
    <row r="123" spans="1:8" s="4144" customFormat="1" ht="19.5" customHeight="1">
      <c r="A123" s="4145"/>
      <c r="B123" s="4145"/>
      <c r="C123" s="4145"/>
      <c r="D123" s="104"/>
      <c r="E123" s="2552"/>
      <c r="F123" s="2552"/>
      <c r="G123" s="2552"/>
    </row>
    <row r="124" spans="1:8" s="2390" customFormat="1" ht="15.6">
      <c r="A124" s="2391"/>
      <c r="B124" s="2391"/>
      <c r="C124" s="2391"/>
      <c r="D124" s="104"/>
      <c r="E124" s="2552"/>
      <c r="F124" s="2552"/>
      <c r="G124" s="2552"/>
      <c r="H124" s="4144"/>
    </row>
    <row r="125" spans="1:8" s="2390" customFormat="1" ht="18">
      <c r="A125" s="6095" t="s">
        <v>2684</v>
      </c>
      <c r="B125" s="6096"/>
      <c r="C125" s="6097"/>
      <c r="D125" s="4144"/>
      <c r="E125" s="6098" t="s">
        <v>2685</v>
      </c>
      <c r="F125" s="6099"/>
      <c r="G125" s="6099"/>
      <c r="H125" s="6100"/>
    </row>
    <row r="126" spans="1:8" s="2390" customFormat="1" ht="15.6">
      <c r="A126" s="6131" t="s">
        <v>312</v>
      </c>
      <c r="B126" s="6132"/>
      <c r="C126" s="6133"/>
      <c r="D126" s="4144"/>
      <c r="E126" s="6134" t="s">
        <v>314</v>
      </c>
      <c r="F126" s="6134" t="s">
        <v>315</v>
      </c>
      <c r="G126" s="6135" t="s">
        <v>2508</v>
      </c>
      <c r="H126" s="6136"/>
    </row>
    <row r="127" spans="1:8" s="2390" customFormat="1" ht="15" customHeight="1">
      <c r="A127" s="6137" t="s">
        <v>183</v>
      </c>
      <c r="B127" s="6102" t="s">
        <v>814</v>
      </c>
      <c r="C127" s="6102" t="s">
        <v>815</v>
      </c>
      <c r="D127" s="4144"/>
      <c r="E127" s="6114"/>
      <c r="F127" s="6114"/>
      <c r="G127" s="2405" t="s">
        <v>499</v>
      </c>
      <c r="H127" s="2406" t="s">
        <v>1982</v>
      </c>
    </row>
    <row r="128" spans="1:8" s="2390" customFormat="1">
      <c r="A128" s="6118"/>
      <c r="B128" s="6103"/>
      <c r="C128" s="6103"/>
      <c r="D128" s="4144"/>
      <c r="E128" s="2407"/>
      <c r="F128" s="2407"/>
      <c r="G128" s="1753"/>
      <c r="H128" s="4144"/>
    </row>
    <row r="129" spans="1:8" s="2390" customFormat="1">
      <c r="A129" s="2408" t="s">
        <v>186</v>
      </c>
      <c r="B129" s="2409" t="s">
        <v>2676</v>
      </c>
      <c r="C129" s="2410">
        <v>306</v>
      </c>
      <c r="D129" s="4144"/>
      <c r="E129" s="2411"/>
      <c r="F129" s="2412"/>
      <c r="G129" s="2413"/>
      <c r="H129" s="2414"/>
    </row>
    <row r="130" spans="1:8" s="2390" customFormat="1">
      <c r="A130" s="2415" t="s">
        <v>185</v>
      </c>
      <c r="B130" s="2416">
        <v>20</v>
      </c>
      <c r="C130" s="2417">
        <v>1157</v>
      </c>
      <c r="D130" s="4144"/>
      <c r="E130" s="2418" t="s">
        <v>821</v>
      </c>
      <c r="F130" s="2419" t="s">
        <v>2509</v>
      </c>
      <c r="G130" s="2420">
        <v>4819</v>
      </c>
      <c r="H130" s="4146">
        <v>7850</v>
      </c>
    </row>
    <row r="131" spans="1:8" s="2390" customFormat="1">
      <c r="A131" s="2421" t="s">
        <v>2498</v>
      </c>
      <c r="B131" s="2416">
        <v>1</v>
      </c>
      <c r="C131" s="2417">
        <v>20</v>
      </c>
      <c r="D131" s="4144"/>
      <c r="E131" s="2422" t="s">
        <v>2677</v>
      </c>
      <c r="F131" s="2423" t="s">
        <v>2509</v>
      </c>
      <c r="G131" s="2424">
        <v>6335</v>
      </c>
      <c r="H131" s="2425">
        <v>7850</v>
      </c>
    </row>
    <row r="132" spans="1:8" s="2390" customFormat="1">
      <c r="A132" s="2415" t="s">
        <v>316</v>
      </c>
      <c r="B132" s="2416">
        <v>33</v>
      </c>
      <c r="C132" s="2417">
        <v>5670</v>
      </c>
      <c r="D132" s="4144"/>
      <c r="E132" s="2426" t="s">
        <v>2678</v>
      </c>
      <c r="F132" s="2427" t="s">
        <v>2510</v>
      </c>
      <c r="G132" s="2428">
        <v>1600</v>
      </c>
      <c r="H132" s="2414">
        <v>9605</v>
      </c>
    </row>
    <row r="133" spans="1:8" s="2390" customFormat="1">
      <c r="A133" s="2415" t="s">
        <v>2679</v>
      </c>
      <c r="B133" s="2416">
        <v>2</v>
      </c>
      <c r="C133" s="2417">
        <v>35</v>
      </c>
      <c r="D133" s="4144"/>
      <c r="E133" s="2445">
        <v>3</v>
      </c>
      <c r="F133" s="2429" t="s">
        <v>71</v>
      </c>
      <c r="G133" s="2430">
        <f>SUM(G129:G132)</f>
        <v>12754</v>
      </c>
      <c r="H133" s="2430">
        <f>SUM(H129:H132)</f>
        <v>25305</v>
      </c>
    </row>
    <row r="134" spans="1:8" s="2390" customFormat="1">
      <c r="A134" s="2415" t="s">
        <v>2680</v>
      </c>
      <c r="B134" s="2416">
        <v>1</v>
      </c>
      <c r="C134" s="2417">
        <v>50</v>
      </c>
      <c r="D134" s="4144"/>
      <c r="E134" s="4144"/>
      <c r="F134" s="4144"/>
      <c r="G134" s="4144"/>
      <c r="H134" s="4144"/>
    </row>
    <row r="135" spans="1:8" s="2390" customFormat="1">
      <c r="A135" s="2415" t="s">
        <v>406</v>
      </c>
      <c r="B135" s="2416">
        <v>12</v>
      </c>
      <c r="C135" s="2417">
        <v>2282</v>
      </c>
    </row>
    <row r="136" spans="1:8" s="2390" customFormat="1">
      <c r="A136" s="2415" t="s">
        <v>317</v>
      </c>
      <c r="B136" s="2431">
        <v>6</v>
      </c>
      <c r="C136" s="2431">
        <v>1500</v>
      </c>
    </row>
    <row r="137" spans="1:8" s="2390" customFormat="1">
      <c r="A137" s="2415" t="s">
        <v>2681</v>
      </c>
      <c r="B137" s="2416">
        <v>2</v>
      </c>
      <c r="C137" s="2417">
        <v>50</v>
      </c>
      <c r="E137" s="2432"/>
      <c r="F137" s="2432"/>
      <c r="G137" s="2432"/>
      <c r="H137" s="2432"/>
    </row>
    <row r="138" spans="1:8" s="2390" customFormat="1">
      <c r="A138" s="2415" t="s">
        <v>1829</v>
      </c>
      <c r="B138" s="2416">
        <v>9</v>
      </c>
      <c r="C138" s="2417">
        <v>136</v>
      </c>
      <c r="G138" s="2433"/>
    </row>
    <row r="139" spans="1:8" s="2390" customFormat="1">
      <c r="A139" s="2415" t="s">
        <v>1827</v>
      </c>
      <c r="B139" s="2416">
        <v>15</v>
      </c>
      <c r="C139" s="2417">
        <v>328</v>
      </c>
      <c r="G139" s="2433"/>
    </row>
    <row r="140" spans="1:8" s="2390" customFormat="1">
      <c r="A140" s="2434" t="s">
        <v>2682</v>
      </c>
      <c r="B140" s="2416">
        <v>4</v>
      </c>
      <c r="C140" s="2417">
        <v>80</v>
      </c>
      <c r="G140" s="2435"/>
      <c r="H140" s="2433"/>
    </row>
    <row r="141" spans="1:8" s="2390" customFormat="1">
      <c r="A141" s="2415" t="s">
        <v>188</v>
      </c>
      <c r="B141" s="2416">
        <v>3</v>
      </c>
      <c r="C141" s="2417">
        <v>80</v>
      </c>
      <c r="F141" s="2"/>
      <c r="G141" s="2436"/>
      <c r="H141" s="2"/>
    </row>
    <row r="142" spans="1:8" s="2390" customFormat="1">
      <c r="A142" s="2415" t="s">
        <v>187</v>
      </c>
      <c r="B142" s="2416">
        <v>6</v>
      </c>
      <c r="C142" s="2417">
        <v>120</v>
      </c>
    </row>
    <row r="143" spans="1:8" s="2390" customFormat="1">
      <c r="A143" s="2415" t="s">
        <v>322</v>
      </c>
      <c r="B143" s="2416">
        <v>10</v>
      </c>
      <c r="C143" s="2417">
        <v>161</v>
      </c>
    </row>
    <row r="144" spans="1:8" s="2390" customFormat="1">
      <c r="A144" s="2437" t="s">
        <v>407</v>
      </c>
      <c r="B144" s="2416">
        <v>2</v>
      </c>
      <c r="C144" s="2417">
        <v>120</v>
      </c>
    </row>
    <row r="145" spans="1:5" s="2390" customFormat="1">
      <c r="A145" s="2438" t="s">
        <v>2501</v>
      </c>
      <c r="B145" s="2416">
        <v>61</v>
      </c>
      <c r="C145" s="2417">
        <v>997</v>
      </c>
    </row>
    <row r="146" spans="1:5" s="2390" customFormat="1">
      <c r="A146" s="2434" t="s">
        <v>1973</v>
      </c>
      <c r="B146" s="2416">
        <v>4</v>
      </c>
      <c r="C146" s="2417">
        <v>80</v>
      </c>
    </row>
    <row r="147" spans="1:5" s="2390" customFormat="1">
      <c r="A147" s="2434" t="s">
        <v>552</v>
      </c>
      <c r="B147" s="2416">
        <v>6</v>
      </c>
      <c r="C147" s="2417">
        <v>180</v>
      </c>
      <c r="E147" s="6129" t="s">
        <v>782</v>
      </c>
    </row>
    <row r="148" spans="1:5" s="2390" customFormat="1">
      <c r="A148" s="2439" t="s">
        <v>2073</v>
      </c>
      <c r="B148" s="2416">
        <v>13</v>
      </c>
      <c r="C148" s="2417">
        <v>886</v>
      </c>
      <c r="E148" s="6130"/>
    </row>
    <row r="149" spans="1:5" s="2390" customFormat="1">
      <c r="A149" s="2440" t="s">
        <v>71</v>
      </c>
      <c r="B149" s="2445">
        <f>SUM(B129:B148)</f>
        <v>210</v>
      </c>
      <c r="C149" s="2444">
        <f>SUM(C129:C148)</f>
        <v>14238</v>
      </c>
      <c r="E149" s="1226">
        <f>SUM(E133,B149)</f>
        <v>213</v>
      </c>
    </row>
    <row r="150" spans="1:5" s="2390" customFormat="1">
      <c r="A150" s="2441" t="s">
        <v>323</v>
      </c>
      <c r="B150" s="2393"/>
      <c r="C150" s="2393"/>
    </row>
    <row r="151" spans="1:5" s="2390" customFormat="1">
      <c r="B151" s="2393"/>
      <c r="C151" s="2393"/>
      <c r="D151" s="2432"/>
    </row>
    <row r="152" spans="1:5" s="2390" customFormat="1" ht="18">
      <c r="A152" s="6120" t="s">
        <v>2684</v>
      </c>
      <c r="B152" s="6121"/>
      <c r="C152" s="6122"/>
      <c r="D152" s="2393"/>
    </row>
    <row r="153" spans="1:5" s="2390" customFormat="1" ht="18">
      <c r="A153" s="6123" t="s">
        <v>313</v>
      </c>
      <c r="B153" s="6124"/>
      <c r="C153" s="6125"/>
    </row>
    <row r="154" spans="1:5" s="2390" customFormat="1">
      <c r="A154" s="6126" t="s">
        <v>314</v>
      </c>
      <c r="B154" s="6127" t="s">
        <v>816</v>
      </c>
      <c r="C154" s="6127" t="s">
        <v>184</v>
      </c>
    </row>
    <row r="155" spans="1:5" s="2390" customFormat="1">
      <c r="A155" s="6126"/>
      <c r="B155" s="6128"/>
      <c r="C155" s="6128"/>
    </row>
    <row r="156" spans="1:5" s="2390" customFormat="1">
      <c r="A156" s="2408" t="s">
        <v>2001</v>
      </c>
      <c r="B156" s="2439">
        <v>5006</v>
      </c>
      <c r="C156" s="2410">
        <v>10013</v>
      </c>
    </row>
    <row r="157" spans="1:5" s="2390" customFormat="1">
      <c r="A157" s="2431" t="s">
        <v>2502</v>
      </c>
      <c r="B157" s="2438">
        <v>2</v>
      </c>
      <c r="C157" s="2442">
        <v>44</v>
      </c>
    </row>
    <row r="158" spans="1:5" s="2390" customFormat="1">
      <c r="A158" s="2415" t="s">
        <v>1974</v>
      </c>
      <c r="B158" s="2416">
        <v>4481</v>
      </c>
      <c r="C158" s="2417">
        <v>27078</v>
      </c>
    </row>
    <row r="159" spans="1:5" s="2390" customFormat="1">
      <c r="A159" s="2415" t="s">
        <v>1976</v>
      </c>
      <c r="B159" s="2416">
        <v>90</v>
      </c>
      <c r="C159" s="2417">
        <v>1620</v>
      </c>
    </row>
    <row r="160" spans="1:5" s="2390" customFormat="1">
      <c r="A160" s="2415" t="s">
        <v>1962</v>
      </c>
      <c r="B160" s="2416">
        <v>1157</v>
      </c>
      <c r="C160" s="2417">
        <v>4627</v>
      </c>
    </row>
    <row r="161" spans="1:3" s="2390" customFormat="1">
      <c r="A161" s="2415" t="s">
        <v>316</v>
      </c>
      <c r="B161" s="2416">
        <v>135</v>
      </c>
      <c r="C161" s="2417">
        <v>3500</v>
      </c>
    </row>
    <row r="162" spans="1:3" s="2390" customFormat="1">
      <c r="A162" s="2415" t="s">
        <v>317</v>
      </c>
      <c r="B162" s="2416">
        <v>442</v>
      </c>
      <c r="C162" s="2417">
        <v>13419</v>
      </c>
    </row>
    <row r="163" spans="1:3" s="2390" customFormat="1">
      <c r="A163" s="2415" t="s">
        <v>318</v>
      </c>
      <c r="B163" s="2416">
        <v>249300</v>
      </c>
      <c r="C163" s="2417">
        <v>249300</v>
      </c>
    </row>
    <row r="164" spans="1:3" s="2390" customFormat="1">
      <c r="A164" s="2415" t="s">
        <v>2503</v>
      </c>
      <c r="B164" s="2416">
        <v>34608</v>
      </c>
      <c r="C164" s="2417">
        <v>34608</v>
      </c>
    </row>
    <row r="165" spans="1:3" s="2390" customFormat="1">
      <c r="A165" s="2415" t="s">
        <v>819</v>
      </c>
      <c r="B165" s="2416">
        <v>2053</v>
      </c>
      <c r="C165" s="2417">
        <v>11373</v>
      </c>
    </row>
    <row r="166" spans="1:3" s="2390" customFormat="1">
      <c r="A166" s="2415" t="s">
        <v>1828</v>
      </c>
      <c r="B166" s="2416">
        <v>72</v>
      </c>
      <c r="C166" s="2417">
        <v>720</v>
      </c>
    </row>
    <row r="167" spans="1:3" s="2390" customFormat="1">
      <c r="A167" s="2415" t="s">
        <v>408</v>
      </c>
      <c r="B167" s="2416">
        <v>72</v>
      </c>
      <c r="C167" s="2417">
        <v>1440</v>
      </c>
    </row>
    <row r="168" spans="1:3" s="2390" customFormat="1">
      <c r="A168" s="2415" t="s">
        <v>2683</v>
      </c>
      <c r="B168" s="2416">
        <v>2120</v>
      </c>
      <c r="C168" s="2417">
        <v>2120</v>
      </c>
    </row>
    <row r="169" spans="1:3" s="2390" customFormat="1">
      <c r="A169" s="2415" t="s">
        <v>674</v>
      </c>
      <c r="B169" s="2416">
        <v>2450</v>
      </c>
      <c r="C169" s="2417">
        <v>2450</v>
      </c>
    </row>
    <row r="170" spans="1:3" s="2390" customFormat="1">
      <c r="A170" s="2421" t="s">
        <v>319</v>
      </c>
      <c r="B170" s="2416">
        <v>21920</v>
      </c>
      <c r="C170" s="2416">
        <v>21920</v>
      </c>
    </row>
    <row r="171" spans="1:3" s="2390" customFormat="1">
      <c r="A171" s="2421" t="s">
        <v>1843</v>
      </c>
      <c r="B171" s="2416">
        <v>6917</v>
      </c>
      <c r="C171" s="2416">
        <v>92282</v>
      </c>
    </row>
    <row r="172" spans="1:3" s="2390" customFormat="1">
      <c r="A172" s="2415" t="s">
        <v>320</v>
      </c>
      <c r="B172" s="2416">
        <v>17700</v>
      </c>
      <c r="C172" s="2417">
        <v>17700</v>
      </c>
    </row>
    <row r="173" spans="1:3" s="2390" customFormat="1">
      <c r="A173" s="2415" t="s">
        <v>188</v>
      </c>
      <c r="B173" s="2416">
        <v>1748</v>
      </c>
      <c r="C173" s="2417">
        <v>3496</v>
      </c>
    </row>
    <row r="174" spans="1:3" s="2390" customFormat="1">
      <c r="A174" s="2415" t="s">
        <v>321</v>
      </c>
      <c r="B174" s="2416">
        <v>243</v>
      </c>
      <c r="C174" s="2417">
        <v>4189</v>
      </c>
    </row>
    <row r="175" spans="1:3" s="2390" customFormat="1">
      <c r="A175" s="2415" t="s">
        <v>322</v>
      </c>
      <c r="B175" s="2416">
        <v>3479</v>
      </c>
      <c r="C175" s="2417">
        <v>15269</v>
      </c>
    </row>
    <row r="176" spans="1:3" s="2390" customFormat="1">
      <c r="A176" s="2415" t="s">
        <v>2505</v>
      </c>
      <c r="B176" s="2416">
        <v>560</v>
      </c>
      <c r="C176" s="2417">
        <v>9886</v>
      </c>
    </row>
    <row r="177" spans="1:8" s="2390" customFormat="1">
      <c r="A177" s="2443" t="s">
        <v>2034</v>
      </c>
      <c r="B177" s="2431">
        <v>150</v>
      </c>
      <c r="C177" s="2431">
        <v>900</v>
      </c>
    </row>
    <row r="178" spans="1:8" s="2390" customFormat="1">
      <c r="A178" s="2415" t="s">
        <v>2037</v>
      </c>
      <c r="B178" s="2416">
        <v>874</v>
      </c>
      <c r="C178" s="2417">
        <v>18685</v>
      </c>
    </row>
    <row r="179" spans="1:8" s="2390" customFormat="1">
      <c r="A179" s="2415" t="s">
        <v>2507</v>
      </c>
      <c r="B179" s="2416">
        <v>1080</v>
      </c>
      <c r="C179" s="2417">
        <v>6480</v>
      </c>
    </row>
    <row r="180" spans="1:8" s="2390" customFormat="1">
      <c r="A180" s="2415" t="s">
        <v>1760</v>
      </c>
      <c r="B180" s="2416">
        <v>120</v>
      </c>
      <c r="C180" s="2417">
        <v>4200</v>
      </c>
    </row>
    <row r="181" spans="1:8" s="2390" customFormat="1">
      <c r="A181" s="2440" t="s">
        <v>71</v>
      </c>
      <c r="B181" s="4196">
        <f>SUM(B156:B180)</f>
        <v>356779</v>
      </c>
      <c r="C181" s="2446">
        <f>SUM(C156:C180)</f>
        <v>557319</v>
      </c>
    </row>
    <row r="182" spans="1:8" s="2390" customFormat="1">
      <c r="A182" s="2441" t="s">
        <v>323</v>
      </c>
      <c r="B182" s="2393"/>
      <c r="C182" s="2393"/>
    </row>
    <row r="183" spans="1:8" s="2390" customFormat="1" ht="15.6">
      <c r="A183" s="2391"/>
      <c r="B183" s="2391"/>
      <c r="C183" s="2391"/>
      <c r="D183" s="104"/>
      <c r="E183" s="2393"/>
      <c r="F183" s="2393"/>
      <c r="G183" s="2393"/>
    </row>
    <row r="184" spans="1:8" ht="15.6">
      <c r="A184" s="2391"/>
      <c r="B184" s="2391"/>
      <c r="C184" s="2391"/>
      <c r="D184" s="104"/>
      <c r="E184" s="2393"/>
      <c r="F184" s="2393"/>
      <c r="G184" s="2393"/>
      <c r="H184" s="2390"/>
    </row>
    <row r="185" spans="1:8" ht="15.6">
      <c r="A185" s="6258" t="s">
        <v>2511</v>
      </c>
      <c r="B185" s="6259"/>
      <c r="C185" s="6260"/>
      <c r="D185" s="104"/>
      <c r="E185" s="6142" t="s">
        <v>2512</v>
      </c>
      <c r="F185" s="6143"/>
      <c r="G185" s="6143"/>
      <c r="H185" s="6144"/>
    </row>
    <row r="186" spans="1:8" ht="15.6">
      <c r="A186" s="6261" t="s">
        <v>312</v>
      </c>
      <c r="B186" s="6262"/>
      <c r="C186" s="6263"/>
      <c r="D186" s="104"/>
      <c r="E186" s="6145" t="s">
        <v>314</v>
      </c>
      <c r="F186" s="6145" t="s">
        <v>315</v>
      </c>
      <c r="G186" s="6147" t="s">
        <v>2508</v>
      </c>
      <c r="H186" s="6148"/>
    </row>
    <row r="187" spans="1:8" ht="15" customHeight="1">
      <c r="A187" s="6264" t="s">
        <v>183</v>
      </c>
      <c r="B187" s="6127" t="s">
        <v>814</v>
      </c>
      <c r="C187" s="6265" t="s">
        <v>815</v>
      </c>
      <c r="D187" s="104"/>
      <c r="E187" s="6146"/>
      <c r="F187" s="6146"/>
      <c r="G187" s="1752" t="s">
        <v>499</v>
      </c>
      <c r="H187" s="1963" t="s">
        <v>1982</v>
      </c>
    </row>
    <row r="188" spans="1:8">
      <c r="A188" s="6161"/>
      <c r="B188" s="6128"/>
      <c r="C188" s="6141"/>
      <c r="D188" s="104"/>
      <c r="E188" s="1753"/>
      <c r="F188" s="1753"/>
      <c r="G188" s="1753"/>
      <c r="H188" s="2390"/>
    </row>
    <row r="189" spans="1:8">
      <c r="A189" s="1948" t="s">
        <v>186</v>
      </c>
      <c r="B189" s="2061">
        <v>11</v>
      </c>
      <c r="C189" s="1949">
        <v>206</v>
      </c>
      <c r="D189" s="104"/>
      <c r="E189" s="1965" t="s">
        <v>821</v>
      </c>
      <c r="F189" s="1966" t="s">
        <v>2509</v>
      </c>
      <c r="G189" s="1967">
        <v>4131</v>
      </c>
      <c r="H189" s="6151">
        <v>8000</v>
      </c>
    </row>
    <row r="190" spans="1:8">
      <c r="A190" s="1950" t="s">
        <v>185</v>
      </c>
      <c r="B190" s="1951">
        <v>15</v>
      </c>
      <c r="C190" s="1952">
        <v>734</v>
      </c>
      <c r="D190" s="104"/>
      <c r="E190" s="1968" t="s">
        <v>822</v>
      </c>
      <c r="F190" s="1969" t="s">
        <v>2509</v>
      </c>
      <c r="G190" s="1970">
        <v>6385</v>
      </c>
      <c r="H190" s="6152"/>
    </row>
    <row r="191" spans="1:8">
      <c r="A191" s="1953" t="s">
        <v>2498</v>
      </c>
      <c r="B191" s="1951">
        <v>3</v>
      </c>
      <c r="C191" s="1952">
        <v>60</v>
      </c>
      <c r="D191" s="104"/>
      <c r="E191" s="1971" t="s">
        <v>823</v>
      </c>
      <c r="F191" s="1972" t="s">
        <v>2510</v>
      </c>
      <c r="G191" s="1973">
        <v>1192</v>
      </c>
      <c r="H191" s="1964">
        <v>8762</v>
      </c>
    </row>
    <row r="192" spans="1:8">
      <c r="A192" s="1950" t="s">
        <v>1826</v>
      </c>
      <c r="B192" s="1951">
        <v>3</v>
      </c>
      <c r="C192" s="1952">
        <v>45</v>
      </c>
      <c r="D192" s="104"/>
      <c r="E192" s="1974">
        <v>3</v>
      </c>
      <c r="F192" s="1974" t="s">
        <v>71</v>
      </c>
      <c r="G192" s="1975">
        <f>SUM(G189:G191)</f>
        <v>11708</v>
      </c>
      <c r="H192" s="1975">
        <f>SUM(H189:H191)</f>
        <v>16762</v>
      </c>
    </row>
    <row r="193" spans="1:8">
      <c r="A193" s="1953" t="s">
        <v>2499</v>
      </c>
      <c r="B193" s="1951">
        <v>1</v>
      </c>
      <c r="C193" s="1952">
        <v>40</v>
      </c>
      <c r="D193" s="104"/>
      <c r="E193" s="2390"/>
      <c r="F193" s="2390"/>
      <c r="G193" s="2390"/>
      <c r="H193" s="2390"/>
    </row>
    <row r="194" spans="1:8">
      <c r="A194" s="1950" t="s">
        <v>1827</v>
      </c>
      <c r="B194" s="1951">
        <v>12</v>
      </c>
      <c r="C194" s="1952">
        <v>198</v>
      </c>
      <c r="D194" s="104"/>
      <c r="E194" s="2390"/>
      <c r="F194" s="2390"/>
      <c r="G194" s="2390"/>
      <c r="H194" s="2390"/>
    </row>
    <row r="195" spans="1:8">
      <c r="A195" s="1950" t="s">
        <v>2500</v>
      </c>
      <c r="B195" s="1951">
        <v>2</v>
      </c>
      <c r="C195" s="1952">
        <v>138</v>
      </c>
      <c r="D195" s="104"/>
      <c r="E195" s="2390"/>
      <c r="F195" s="2390"/>
      <c r="G195" s="2390"/>
      <c r="H195" s="2390"/>
    </row>
    <row r="196" spans="1:8">
      <c r="A196" s="1950" t="s">
        <v>316</v>
      </c>
      <c r="B196" s="1951">
        <v>26</v>
      </c>
      <c r="C196" s="1952">
        <v>6542</v>
      </c>
      <c r="D196" s="104"/>
      <c r="E196" s="2390"/>
      <c r="F196" s="2390"/>
      <c r="G196" s="2390"/>
      <c r="H196" s="2390"/>
    </row>
    <row r="197" spans="1:8">
      <c r="A197" s="1950" t="s">
        <v>406</v>
      </c>
      <c r="B197" s="1951">
        <v>6</v>
      </c>
      <c r="C197" s="1952">
        <v>1608</v>
      </c>
      <c r="D197" s="104"/>
      <c r="E197" s="2390"/>
      <c r="F197" s="2390"/>
      <c r="G197" s="2390"/>
      <c r="H197" s="2390"/>
    </row>
    <row r="198" spans="1:8">
      <c r="A198" s="1950" t="s">
        <v>317</v>
      </c>
      <c r="B198" s="1951">
        <v>5</v>
      </c>
      <c r="C198" s="1952">
        <v>1416</v>
      </c>
      <c r="D198" s="104"/>
      <c r="E198" s="2390"/>
      <c r="F198" s="2390"/>
      <c r="G198" s="2390"/>
      <c r="H198" s="2390"/>
    </row>
    <row r="199" spans="1:8">
      <c r="A199" s="1950" t="s">
        <v>1829</v>
      </c>
      <c r="B199" s="1951">
        <v>9</v>
      </c>
      <c r="C199" s="1952">
        <v>81</v>
      </c>
      <c r="D199" s="104"/>
      <c r="E199" s="2390"/>
      <c r="F199" s="2390"/>
      <c r="G199" s="2390"/>
      <c r="H199" s="2390"/>
    </row>
    <row r="200" spans="1:8">
      <c r="A200" s="1950" t="s">
        <v>1968</v>
      </c>
      <c r="B200" s="1951">
        <v>2</v>
      </c>
      <c r="C200" s="1952">
        <v>265</v>
      </c>
      <c r="D200" s="104"/>
      <c r="E200" s="2390"/>
      <c r="F200" s="2390"/>
      <c r="G200" s="2390"/>
      <c r="H200" s="2390"/>
    </row>
    <row r="201" spans="1:8">
      <c r="A201" s="1954" t="s">
        <v>1970</v>
      </c>
      <c r="B201" s="1951">
        <v>2</v>
      </c>
      <c r="C201" s="1952">
        <v>66</v>
      </c>
      <c r="D201" s="104"/>
      <c r="E201" s="2390"/>
      <c r="F201" s="2"/>
      <c r="G201" s="2390"/>
      <c r="H201" s="2390"/>
    </row>
    <row r="202" spans="1:8">
      <c r="A202" s="1950" t="s">
        <v>1845</v>
      </c>
      <c r="B202" s="1955">
        <v>1</v>
      </c>
      <c r="C202" s="1955">
        <v>90</v>
      </c>
      <c r="D202" s="104"/>
      <c r="E202" s="2390"/>
      <c r="F202" s="2390"/>
      <c r="G202" s="2390"/>
      <c r="H202" s="2390"/>
    </row>
    <row r="203" spans="1:8">
      <c r="A203" s="1950" t="s">
        <v>188</v>
      </c>
      <c r="B203" s="1951">
        <v>1</v>
      </c>
      <c r="C203" s="1952">
        <v>30</v>
      </c>
      <c r="D203" s="104"/>
      <c r="E203" s="2390"/>
      <c r="F203" s="2390"/>
      <c r="G203" s="2390"/>
      <c r="H203" s="2390"/>
    </row>
    <row r="204" spans="1:8">
      <c r="A204" s="1950" t="s">
        <v>187</v>
      </c>
      <c r="B204" s="1951">
        <v>3</v>
      </c>
      <c r="C204" s="1952">
        <v>75</v>
      </c>
      <c r="D204" s="104"/>
      <c r="E204" s="2390"/>
      <c r="F204" s="2390"/>
      <c r="G204" s="2390"/>
      <c r="H204" s="2390"/>
    </row>
    <row r="205" spans="1:8">
      <c r="A205" s="1950" t="s">
        <v>322</v>
      </c>
      <c r="B205" s="1951">
        <v>7</v>
      </c>
      <c r="C205" s="1952">
        <v>133</v>
      </c>
      <c r="D205" s="104"/>
      <c r="E205" s="2390"/>
      <c r="F205" s="2390"/>
      <c r="G205" s="2390"/>
      <c r="H205" s="2390"/>
    </row>
    <row r="206" spans="1:8">
      <c r="A206" s="1956" t="s">
        <v>407</v>
      </c>
      <c r="B206" s="1951">
        <v>3</v>
      </c>
      <c r="C206" s="1952">
        <v>72</v>
      </c>
      <c r="D206" s="104"/>
      <c r="E206" s="2390"/>
      <c r="F206" s="76"/>
      <c r="G206" s="2390"/>
      <c r="H206" s="2390"/>
    </row>
    <row r="207" spans="1:8">
      <c r="A207" s="1957" t="s">
        <v>2501</v>
      </c>
      <c r="B207" s="1951">
        <v>60</v>
      </c>
      <c r="C207" s="1952">
        <v>900</v>
      </c>
      <c r="D207" s="104"/>
      <c r="E207" s="2390"/>
      <c r="F207" s="2390"/>
      <c r="G207" s="2390"/>
      <c r="H207" s="2390"/>
    </row>
    <row r="208" spans="1:8" ht="15" customHeight="1">
      <c r="A208" s="1954" t="s">
        <v>1973</v>
      </c>
      <c r="B208" s="1951">
        <v>3</v>
      </c>
      <c r="C208" s="1952">
        <v>77</v>
      </c>
      <c r="D208" s="104"/>
      <c r="E208" s="6129" t="s">
        <v>782</v>
      </c>
      <c r="F208" s="6149" t="s">
        <v>499</v>
      </c>
      <c r="G208" s="2390"/>
      <c r="H208" s="2390"/>
    </row>
    <row r="209" spans="1:8">
      <c r="A209" s="1958" t="s">
        <v>2073</v>
      </c>
      <c r="B209" s="1951">
        <v>10</v>
      </c>
      <c r="C209" s="1952">
        <v>586</v>
      </c>
      <c r="D209" s="104"/>
      <c r="E209" s="6130"/>
      <c r="F209" s="6150"/>
      <c r="G209" s="2390"/>
      <c r="H209" s="2390"/>
    </row>
    <row r="210" spans="1:8">
      <c r="A210" s="2392" t="s">
        <v>71</v>
      </c>
      <c r="B210" s="1960">
        <f>SUM(B189:B209)</f>
        <v>185</v>
      </c>
      <c r="C210" s="1961">
        <f>SUM(C189:C209)</f>
        <v>13362</v>
      </c>
      <c r="D210" s="104"/>
      <c r="E210" s="1226">
        <f>SUM(E192,B210)</f>
        <v>188</v>
      </c>
      <c r="F210" s="1226">
        <f>SUM(G192,C210)</f>
        <v>25070</v>
      </c>
      <c r="G210" s="2390"/>
      <c r="H210" s="2390"/>
    </row>
    <row r="211" spans="1:8">
      <c r="A211" s="43" t="s">
        <v>323</v>
      </c>
      <c r="B211" s="2393"/>
      <c r="C211" s="2393"/>
      <c r="D211" s="104"/>
      <c r="E211" s="2393"/>
      <c r="F211" s="2393"/>
      <c r="G211" s="2393"/>
      <c r="H211" s="2390"/>
    </row>
    <row r="212" spans="1:8" ht="15.6">
      <c r="A212" s="2391"/>
      <c r="B212" s="2391"/>
      <c r="C212" s="2391"/>
      <c r="D212" s="104"/>
      <c r="E212" s="2393"/>
      <c r="F212" s="2393"/>
      <c r="G212" s="2393"/>
      <c r="H212" s="2390"/>
    </row>
    <row r="213" spans="1:8" ht="15.6">
      <c r="A213" s="6258" t="s">
        <v>2511</v>
      </c>
      <c r="B213" s="6259"/>
      <c r="C213" s="6260"/>
      <c r="D213" s="104"/>
      <c r="E213" s="2393"/>
      <c r="F213" s="2393"/>
      <c r="G213" s="2393"/>
      <c r="H213" s="2390"/>
    </row>
    <row r="214" spans="1:8" ht="15.6">
      <c r="A214" s="6266" t="s">
        <v>313</v>
      </c>
      <c r="B214" s="6267"/>
      <c r="C214" s="6268"/>
      <c r="D214" s="104"/>
      <c r="E214" s="129"/>
      <c r="F214" s="129"/>
      <c r="G214" s="129"/>
    </row>
    <row r="215" spans="1:8">
      <c r="A215" s="6138" t="s">
        <v>314</v>
      </c>
      <c r="B215" s="6139" t="s">
        <v>816</v>
      </c>
      <c r="C215" s="6140" t="s">
        <v>184</v>
      </c>
      <c r="D215" s="104"/>
      <c r="E215" s="129"/>
      <c r="F215" s="129"/>
      <c r="G215" s="129"/>
    </row>
    <row r="216" spans="1:8">
      <c r="A216" s="6138"/>
      <c r="B216" s="6128"/>
      <c r="C216" s="6141"/>
      <c r="D216" s="104"/>
      <c r="E216" s="129"/>
      <c r="F216" s="129"/>
      <c r="G216" s="129"/>
    </row>
    <row r="217" spans="1:8">
      <c r="A217" s="1948" t="s">
        <v>2001</v>
      </c>
      <c r="B217" s="1958">
        <v>693</v>
      </c>
      <c r="C217" s="1949">
        <v>2326</v>
      </c>
      <c r="D217" s="104"/>
      <c r="E217" s="129"/>
      <c r="F217" s="129"/>
      <c r="G217" s="129"/>
    </row>
    <row r="218" spans="1:8">
      <c r="A218" s="1955" t="s">
        <v>2502</v>
      </c>
      <c r="B218" s="1957">
        <v>360</v>
      </c>
      <c r="C218" s="1962">
        <v>13390</v>
      </c>
      <c r="D218" s="104"/>
      <c r="E218" s="129"/>
      <c r="F218" s="129"/>
      <c r="G218" s="129"/>
    </row>
    <row r="219" spans="1:8">
      <c r="A219" s="1950" t="s">
        <v>1974</v>
      </c>
      <c r="B219" s="1951">
        <v>1864</v>
      </c>
      <c r="C219" s="1952">
        <v>30250</v>
      </c>
      <c r="D219" s="104"/>
      <c r="E219" s="129"/>
      <c r="F219" s="129"/>
      <c r="G219" s="129"/>
    </row>
    <row r="220" spans="1:8">
      <c r="A220" s="1950" t="s">
        <v>1976</v>
      </c>
      <c r="B220" s="1951">
        <v>974</v>
      </c>
      <c r="C220" s="1952">
        <v>2954</v>
      </c>
      <c r="D220" s="104"/>
      <c r="E220" s="129"/>
      <c r="F220" s="129"/>
      <c r="G220" s="129"/>
    </row>
    <row r="221" spans="1:8">
      <c r="A221" s="1950" t="s">
        <v>1962</v>
      </c>
      <c r="B221" s="1951">
        <v>298</v>
      </c>
      <c r="C221" s="1952">
        <v>1028</v>
      </c>
      <c r="D221" s="104"/>
      <c r="E221" s="129"/>
      <c r="F221" s="129"/>
      <c r="G221" s="129"/>
    </row>
    <row r="222" spans="1:8">
      <c r="A222" s="1950" t="s">
        <v>316</v>
      </c>
      <c r="B222" s="1951">
        <v>90</v>
      </c>
      <c r="C222" s="1952">
        <v>2700</v>
      </c>
      <c r="D222" s="104"/>
      <c r="E222" s="129"/>
      <c r="F222" s="129"/>
      <c r="G222" s="129"/>
    </row>
    <row r="223" spans="1:8">
      <c r="A223" s="1950" t="s">
        <v>317</v>
      </c>
      <c r="B223" s="1951">
        <v>1409</v>
      </c>
      <c r="C223" s="1952">
        <v>23084</v>
      </c>
      <c r="D223" s="104"/>
      <c r="E223" s="129"/>
      <c r="F223" s="129"/>
      <c r="G223" s="129"/>
    </row>
    <row r="224" spans="1:8">
      <c r="A224" s="1950" t="s">
        <v>318</v>
      </c>
      <c r="B224" s="1951">
        <v>239458</v>
      </c>
      <c r="C224" s="1952">
        <v>239458</v>
      </c>
      <c r="D224" s="104"/>
      <c r="E224" s="129"/>
      <c r="F224" s="129"/>
      <c r="G224" s="129"/>
    </row>
    <row r="225" spans="1:7">
      <c r="A225" s="1950" t="s">
        <v>2503</v>
      </c>
      <c r="B225" s="1951">
        <v>19500</v>
      </c>
      <c r="C225" s="1952">
        <v>19500</v>
      </c>
      <c r="D225" s="104"/>
      <c r="E225" s="129"/>
      <c r="F225" s="129"/>
      <c r="G225" s="129"/>
    </row>
    <row r="226" spans="1:7">
      <c r="A226" s="1950" t="s">
        <v>819</v>
      </c>
      <c r="B226" s="1951">
        <v>2399</v>
      </c>
      <c r="C226" s="1952">
        <v>10185</v>
      </c>
      <c r="D226" s="104"/>
      <c r="E226" s="129"/>
      <c r="F226" s="129"/>
      <c r="G226" s="129"/>
    </row>
    <row r="227" spans="1:7">
      <c r="A227" s="1950" t="s">
        <v>1828</v>
      </c>
      <c r="B227" s="1951">
        <v>76</v>
      </c>
      <c r="C227" s="1952">
        <v>1260</v>
      </c>
      <c r="D227" s="104"/>
      <c r="E227" s="129"/>
      <c r="F227" s="129"/>
      <c r="G227" s="129"/>
    </row>
    <row r="228" spans="1:7">
      <c r="A228" s="1950" t="s">
        <v>408</v>
      </c>
      <c r="B228" s="1951">
        <v>66</v>
      </c>
      <c r="C228" s="1952">
        <v>1625</v>
      </c>
      <c r="D228" s="104"/>
      <c r="E228" s="129"/>
      <c r="F228" s="129"/>
      <c r="G228" s="129"/>
    </row>
    <row r="229" spans="1:7">
      <c r="A229" s="1950" t="s">
        <v>674</v>
      </c>
      <c r="B229" s="1951">
        <v>2273</v>
      </c>
      <c r="C229" s="1952">
        <v>2273</v>
      </c>
      <c r="D229" s="104"/>
      <c r="E229" s="129"/>
      <c r="F229" s="129"/>
      <c r="G229" s="129"/>
    </row>
    <row r="230" spans="1:7">
      <c r="A230" s="1953" t="s">
        <v>319</v>
      </c>
      <c r="B230" s="1951">
        <v>20883</v>
      </c>
      <c r="C230" s="1951">
        <v>20883</v>
      </c>
      <c r="D230" s="104"/>
      <c r="E230" s="129"/>
      <c r="F230" s="129"/>
      <c r="G230" s="129"/>
    </row>
    <row r="231" spans="1:7">
      <c r="A231" s="1953" t="s">
        <v>1843</v>
      </c>
      <c r="B231" s="1951">
        <v>1603</v>
      </c>
      <c r="C231" s="1951">
        <v>12460</v>
      </c>
      <c r="D231" s="104"/>
      <c r="E231" s="129"/>
      <c r="F231" s="129"/>
      <c r="G231" s="129"/>
    </row>
    <row r="232" spans="1:7">
      <c r="A232" s="1953" t="s">
        <v>2504</v>
      </c>
      <c r="B232" s="1951">
        <v>5597</v>
      </c>
      <c r="C232" s="1951">
        <v>16634</v>
      </c>
      <c r="D232" s="104"/>
      <c r="E232" s="129"/>
      <c r="F232" s="129"/>
      <c r="G232" s="129"/>
    </row>
    <row r="233" spans="1:7">
      <c r="A233" s="1950" t="s">
        <v>320</v>
      </c>
      <c r="B233" s="1951">
        <v>267</v>
      </c>
      <c r="C233" s="1952">
        <v>21276</v>
      </c>
      <c r="D233" s="104"/>
      <c r="E233" s="129"/>
      <c r="F233" s="129"/>
      <c r="G233" s="129"/>
    </row>
    <row r="234" spans="1:7">
      <c r="A234" s="1950" t="s">
        <v>188</v>
      </c>
      <c r="B234" s="1951">
        <v>5400</v>
      </c>
      <c r="C234" s="1952">
        <v>21600</v>
      </c>
      <c r="D234" s="104"/>
      <c r="E234" s="129"/>
      <c r="F234" s="129"/>
      <c r="G234" s="129"/>
    </row>
    <row r="235" spans="1:7">
      <c r="A235" s="1950" t="s">
        <v>321</v>
      </c>
      <c r="B235" s="1951">
        <v>216</v>
      </c>
      <c r="C235" s="1952">
        <v>3515</v>
      </c>
      <c r="D235" s="104"/>
      <c r="E235" s="129"/>
      <c r="F235" s="129"/>
      <c r="G235" s="129"/>
    </row>
    <row r="236" spans="1:7">
      <c r="A236" s="1950" t="s">
        <v>322</v>
      </c>
      <c r="B236" s="1951">
        <v>2215</v>
      </c>
      <c r="C236" s="1952">
        <v>12041</v>
      </c>
      <c r="D236" s="104"/>
      <c r="E236" s="129"/>
      <c r="F236" s="129"/>
      <c r="G236" s="129"/>
    </row>
    <row r="237" spans="1:7">
      <c r="A237" s="1950" t="s">
        <v>2505</v>
      </c>
      <c r="B237" s="1951">
        <v>535</v>
      </c>
      <c r="C237" s="1952">
        <v>9080</v>
      </c>
      <c r="D237" s="104"/>
      <c r="E237" s="129"/>
      <c r="F237" s="129"/>
      <c r="G237" s="129"/>
    </row>
    <row r="238" spans="1:7">
      <c r="A238" s="1950" t="s">
        <v>2506</v>
      </c>
      <c r="B238" s="1955">
        <v>99</v>
      </c>
      <c r="C238" s="1955">
        <v>772</v>
      </c>
      <c r="D238" s="104"/>
      <c r="E238" s="129"/>
      <c r="F238" s="129"/>
      <c r="G238" s="129"/>
    </row>
    <row r="239" spans="1:7">
      <c r="A239" s="1950" t="s">
        <v>2037</v>
      </c>
      <c r="B239" s="1951">
        <v>782</v>
      </c>
      <c r="C239" s="1952">
        <v>8816</v>
      </c>
      <c r="D239" s="104"/>
      <c r="E239" s="129"/>
      <c r="F239" s="129"/>
      <c r="G239" s="129"/>
    </row>
    <row r="240" spans="1:7">
      <c r="A240" s="1950" t="s">
        <v>2507</v>
      </c>
      <c r="B240" s="1951">
        <v>720</v>
      </c>
      <c r="C240" s="1952">
        <v>8640</v>
      </c>
      <c r="D240" s="104"/>
      <c r="E240" s="129"/>
      <c r="F240" s="129"/>
      <c r="G240" s="129"/>
    </row>
    <row r="241" spans="1:8">
      <c r="A241" s="1950" t="s">
        <v>1760</v>
      </c>
      <c r="B241" s="1951">
        <v>117</v>
      </c>
      <c r="C241" s="1952">
        <v>2925</v>
      </c>
      <c r="D241" s="104"/>
      <c r="E241" s="129"/>
      <c r="F241" s="129"/>
      <c r="G241" s="129"/>
    </row>
    <row r="242" spans="1:8">
      <c r="A242" s="1959" t="s">
        <v>71</v>
      </c>
      <c r="B242" s="1960">
        <f>SUM(B217:B241)</f>
        <v>307894</v>
      </c>
      <c r="C242" s="1961">
        <f>SUM(C217:C241)</f>
        <v>488675</v>
      </c>
      <c r="D242" s="104"/>
      <c r="E242" s="129"/>
      <c r="F242" s="129"/>
      <c r="G242" s="129"/>
    </row>
    <row r="243" spans="1:8">
      <c r="A243" s="43" t="s">
        <v>323</v>
      </c>
      <c r="B243" s="129"/>
      <c r="C243" s="129"/>
      <c r="D243" s="104"/>
      <c r="E243" s="129"/>
      <c r="F243" s="129"/>
      <c r="G243" s="129"/>
    </row>
    <row r="244" spans="1:8" ht="15.6">
      <c r="A244" s="232"/>
      <c r="B244" s="232"/>
      <c r="C244" s="232"/>
      <c r="D244" s="104"/>
      <c r="E244" s="129"/>
      <c r="F244" s="129"/>
      <c r="G244" s="129"/>
    </row>
    <row r="245" spans="1:8">
      <c r="A245" s="129"/>
      <c r="B245" s="129"/>
      <c r="C245" s="129"/>
      <c r="D245" s="129"/>
    </row>
    <row r="246" spans="1:8" ht="15.6">
      <c r="A246" s="6243" t="s">
        <v>2093</v>
      </c>
      <c r="B246" s="6154"/>
      <c r="C246" s="6244"/>
      <c r="E246" s="6250" t="s">
        <v>2094</v>
      </c>
      <c r="F246" s="6174"/>
      <c r="G246" s="6174"/>
      <c r="H246" s="6251"/>
    </row>
    <row r="247" spans="1:8" ht="15.6">
      <c r="A247" s="6245" t="s">
        <v>312</v>
      </c>
      <c r="B247" s="6163"/>
      <c r="C247" s="6246"/>
      <c r="E247" s="6252" t="s">
        <v>314</v>
      </c>
      <c r="F247" s="6254" t="s">
        <v>315</v>
      </c>
      <c r="G247" s="6255" t="s">
        <v>184</v>
      </c>
      <c r="H247" s="6256"/>
    </row>
    <row r="248" spans="1:8" ht="15" customHeight="1">
      <c r="A248" s="6247" t="s">
        <v>183</v>
      </c>
      <c r="B248" s="6248" t="s">
        <v>814</v>
      </c>
      <c r="C248" s="6248" t="s">
        <v>815</v>
      </c>
      <c r="E248" s="6253"/>
      <c r="F248" s="6253"/>
      <c r="G248" s="1305" t="s">
        <v>1756</v>
      </c>
      <c r="H248" s="1306" t="s">
        <v>1757</v>
      </c>
    </row>
    <row r="249" spans="1:8" ht="15" customHeight="1">
      <c r="A249" s="6247"/>
      <c r="B249" s="6249"/>
      <c r="C249" s="6249"/>
      <c r="E249" s="1291" t="s">
        <v>821</v>
      </c>
      <c r="F249" s="1280" t="s">
        <v>1850</v>
      </c>
      <c r="G249" s="1281">
        <v>4110</v>
      </c>
      <c r="H249" s="1282">
        <v>13460</v>
      </c>
    </row>
    <row r="250" spans="1:8" ht="15" customHeight="1">
      <c r="A250" s="1285" t="s">
        <v>186</v>
      </c>
      <c r="B250" s="1285">
        <v>7</v>
      </c>
      <c r="C250" s="1286">
        <v>136</v>
      </c>
      <c r="E250" s="1293" t="s">
        <v>822</v>
      </c>
      <c r="F250" s="1280" t="s">
        <v>1850</v>
      </c>
      <c r="G250" s="1307">
        <v>6080</v>
      </c>
      <c r="H250" s="1308">
        <v>13460</v>
      </c>
    </row>
    <row r="251" spans="1:8" ht="15" customHeight="1">
      <c r="A251" s="1285" t="s">
        <v>1758</v>
      </c>
      <c r="B251" s="1285">
        <v>2</v>
      </c>
      <c r="C251" s="1286">
        <v>45</v>
      </c>
      <c r="E251" s="1294" t="s">
        <v>823</v>
      </c>
      <c r="F251" s="1280" t="s">
        <v>1850</v>
      </c>
      <c r="G251" s="1307">
        <v>1142</v>
      </c>
      <c r="H251" s="1292">
        <v>6785</v>
      </c>
    </row>
    <row r="252" spans="1:8">
      <c r="A252" s="1285" t="s">
        <v>185</v>
      </c>
      <c r="B252" s="1287">
        <v>19</v>
      </c>
      <c r="C252" s="1287">
        <v>756</v>
      </c>
      <c r="E252" s="1310">
        <v>3</v>
      </c>
      <c r="F252" s="1283" t="s">
        <v>71</v>
      </c>
      <c r="G252" s="1284">
        <f>SUM(G249:G251)</f>
        <v>11332</v>
      </c>
      <c r="H252" s="1284">
        <f>SUM(H249:H251)</f>
        <v>33705</v>
      </c>
    </row>
    <row r="253" spans="1:8">
      <c r="A253" s="1285" t="s">
        <v>1825</v>
      </c>
      <c r="B253" s="1287">
        <v>2</v>
      </c>
      <c r="C253" s="1287">
        <v>60</v>
      </c>
      <c r="E253" s="1309"/>
    </row>
    <row r="254" spans="1:8" ht="15" customHeight="1">
      <c r="A254" s="1285" t="s">
        <v>1826</v>
      </c>
      <c r="B254" s="1287">
        <v>2</v>
      </c>
      <c r="C254" s="1287">
        <v>40</v>
      </c>
    </row>
    <row r="255" spans="1:8" ht="15" customHeight="1">
      <c r="A255" s="1285" t="s">
        <v>1827</v>
      </c>
      <c r="B255" s="1287">
        <v>15</v>
      </c>
      <c r="C255" s="1287">
        <v>177</v>
      </c>
    </row>
    <row r="256" spans="1:8">
      <c r="A256" s="1285" t="s">
        <v>1828</v>
      </c>
      <c r="B256" s="1287">
        <v>2</v>
      </c>
      <c r="C256" s="1287">
        <v>40</v>
      </c>
    </row>
    <row r="257" spans="1:6">
      <c r="A257" s="1285" t="s">
        <v>316</v>
      </c>
      <c r="B257" s="1287">
        <v>22</v>
      </c>
      <c r="C257" s="1287">
        <v>6000</v>
      </c>
    </row>
    <row r="258" spans="1:6">
      <c r="A258" s="1285" t="s">
        <v>406</v>
      </c>
      <c r="B258" s="1287">
        <v>12</v>
      </c>
      <c r="C258" s="1287">
        <v>2897</v>
      </c>
    </row>
    <row r="259" spans="1:6">
      <c r="A259" s="1285" t="s">
        <v>317</v>
      </c>
      <c r="B259" s="1287">
        <v>9</v>
      </c>
      <c r="C259" s="1287">
        <v>1364</v>
      </c>
    </row>
    <row r="260" spans="1:6" ht="15" customHeight="1">
      <c r="A260" s="1285" t="s">
        <v>1829</v>
      </c>
      <c r="B260" s="1287">
        <v>19</v>
      </c>
      <c r="C260" s="1287">
        <v>180</v>
      </c>
    </row>
    <row r="261" spans="1:6" ht="15" customHeight="1">
      <c r="A261" s="1285" t="s">
        <v>1830</v>
      </c>
      <c r="B261" s="1287">
        <v>1</v>
      </c>
      <c r="C261" s="1287">
        <v>40</v>
      </c>
    </row>
    <row r="262" spans="1:6" ht="15" customHeight="1">
      <c r="A262" s="1285" t="s">
        <v>1831</v>
      </c>
      <c r="B262" s="1287">
        <v>3</v>
      </c>
      <c r="C262" s="1287">
        <v>699</v>
      </c>
      <c r="D262" s="129"/>
    </row>
    <row r="263" spans="1:6">
      <c r="A263" s="1285" t="s">
        <v>1832</v>
      </c>
      <c r="B263" s="1287">
        <v>2</v>
      </c>
      <c r="C263" s="1287">
        <v>20</v>
      </c>
      <c r="D263" s="129"/>
    </row>
    <row r="264" spans="1:6">
      <c r="A264" s="1285" t="s">
        <v>188</v>
      </c>
      <c r="B264" s="1287">
        <v>4</v>
      </c>
      <c r="C264" s="1287">
        <v>94</v>
      </c>
      <c r="D264" s="48"/>
    </row>
    <row r="265" spans="1:6" ht="15" customHeight="1">
      <c r="A265" s="1285" t="s">
        <v>187</v>
      </c>
      <c r="B265" s="1287">
        <v>3</v>
      </c>
      <c r="C265" s="1287">
        <v>32</v>
      </c>
    </row>
    <row r="266" spans="1:6">
      <c r="A266" s="1285" t="s">
        <v>322</v>
      </c>
      <c r="B266" s="1287">
        <v>7</v>
      </c>
      <c r="C266" s="1287">
        <v>121</v>
      </c>
    </row>
    <row r="267" spans="1:6">
      <c r="A267" s="1285" t="s">
        <v>407</v>
      </c>
      <c r="B267" s="1287">
        <v>6</v>
      </c>
      <c r="C267" s="1287">
        <v>380</v>
      </c>
    </row>
    <row r="268" spans="1:6">
      <c r="A268" s="1285" t="s">
        <v>552</v>
      </c>
      <c r="B268" s="1287">
        <v>3</v>
      </c>
      <c r="C268" s="1287">
        <v>237</v>
      </c>
      <c r="E268" s="6241" t="s">
        <v>782</v>
      </c>
      <c r="F268" s="6257" t="s">
        <v>499</v>
      </c>
    </row>
    <row r="269" spans="1:6" ht="15" customHeight="1">
      <c r="A269" s="1285" t="s">
        <v>673</v>
      </c>
      <c r="B269" s="1287">
        <v>12</v>
      </c>
      <c r="C269" s="1287">
        <v>694</v>
      </c>
      <c r="E269" s="6242"/>
      <c r="F269" s="6150"/>
    </row>
    <row r="270" spans="1:6">
      <c r="A270" s="1288" t="s">
        <v>71</v>
      </c>
      <c r="B270" s="1289">
        <f>SUM(B250:B269)</f>
        <v>152</v>
      </c>
      <c r="C270" s="1290">
        <f>SUM(C250:C269)</f>
        <v>14012</v>
      </c>
      <c r="E270" s="1226">
        <f>SUM(B270,E252)</f>
        <v>155</v>
      </c>
      <c r="F270" s="1226">
        <f>SUM(C270,G252)</f>
        <v>25344</v>
      </c>
    </row>
    <row r="271" spans="1:6" ht="18.75" customHeight="1">
      <c r="A271" s="43" t="s">
        <v>323</v>
      </c>
    </row>
    <row r="272" spans="1:6">
      <c r="A272" s="129"/>
      <c r="B272" s="129"/>
      <c r="C272" s="129"/>
    </row>
    <row r="273" spans="1:3">
      <c r="A273" s="1227"/>
      <c r="B273" s="1227"/>
      <c r="C273" s="1227"/>
    </row>
    <row r="274" spans="1:3" ht="15.6">
      <c r="A274" s="6243" t="s">
        <v>2095</v>
      </c>
      <c r="B274" s="6154"/>
      <c r="C274" s="6244"/>
    </row>
    <row r="275" spans="1:3" ht="15.6">
      <c r="A275" s="6245" t="s">
        <v>313</v>
      </c>
      <c r="B275" s="6163"/>
      <c r="C275" s="6246"/>
    </row>
    <row r="276" spans="1:3" ht="15" customHeight="1">
      <c r="A276" s="6247" t="s">
        <v>314</v>
      </c>
      <c r="B276" s="6248" t="s">
        <v>816</v>
      </c>
      <c r="C276" s="6248" t="s">
        <v>184</v>
      </c>
    </row>
    <row r="277" spans="1:3">
      <c r="A277" s="6247"/>
      <c r="B277" s="6249"/>
      <c r="C277" s="6249"/>
    </row>
    <row r="278" spans="1:3">
      <c r="A278" s="1295" t="s">
        <v>817</v>
      </c>
      <c r="B278" s="1296">
        <v>13146</v>
      </c>
      <c r="C278" s="1296">
        <v>13146</v>
      </c>
    </row>
    <row r="279" spans="1:3">
      <c r="A279" s="1295" t="s">
        <v>1759</v>
      </c>
      <c r="B279" s="1296">
        <v>248</v>
      </c>
      <c r="C279" s="1296">
        <v>873</v>
      </c>
    </row>
    <row r="280" spans="1:3">
      <c r="A280" s="1297" t="s">
        <v>1833</v>
      </c>
      <c r="B280" s="1296">
        <v>112</v>
      </c>
      <c r="C280" s="1296">
        <v>4480</v>
      </c>
    </row>
    <row r="281" spans="1:3">
      <c r="A281" s="1298" t="s">
        <v>1834</v>
      </c>
      <c r="B281" s="1287">
        <v>4964</v>
      </c>
      <c r="C281" s="1296">
        <v>30790</v>
      </c>
    </row>
    <row r="282" spans="1:3">
      <c r="A282" s="1299" t="s">
        <v>1835</v>
      </c>
      <c r="B282" s="1287">
        <v>441</v>
      </c>
      <c r="C282" s="1296">
        <v>2073</v>
      </c>
    </row>
    <row r="283" spans="1:3">
      <c r="A283" s="1299" t="s">
        <v>1836</v>
      </c>
      <c r="B283" s="1300">
        <v>1</v>
      </c>
      <c r="C283" s="1296">
        <v>12</v>
      </c>
    </row>
    <row r="284" spans="1:3">
      <c r="A284" s="1299" t="s">
        <v>818</v>
      </c>
      <c r="B284" s="1300">
        <v>2</v>
      </c>
      <c r="C284" s="1296">
        <v>95</v>
      </c>
    </row>
    <row r="285" spans="1:3">
      <c r="A285" s="1299" t="s">
        <v>1837</v>
      </c>
      <c r="B285" s="1300">
        <v>2703</v>
      </c>
      <c r="C285" s="1296">
        <v>2703</v>
      </c>
    </row>
    <row r="286" spans="1:3">
      <c r="A286" s="1301" t="s">
        <v>553</v>
      </c>
      <c r="B286" s="1287">
        <v>1770</v>
      </c>
      <c r="C286" s="1296">
        <v>2028</v>
      </c>
    </row>
    <row r="287" spans="1:3">
      <c r="A287" s="1298" t="s">
        <v>1838</v>
      </c>
      <c r="B287" s="1287">
        <v>1171</v>
      </c>
      <c r="C287" s="1296">
        <v>1210</v>
      </c>
    </row>
    <row r="288" spans="1:3">
      <c r="A288" s="1301" t="s">
        <v>316</v>
      </c>
      <c r="B288" s="1287">
        <v>98</v>
      </c>
      <c r="C288" s="1296">
        <v>1536</v>
      </c>
    </row>
    <row r="289" spans="1:4">
      <c r="A289" s="1301" t="s">
        <v>317</v>
      </c>
      <c r="B289" s="1287">
        <v>744</v>
      </c>
      <c r="C289" s="1296">
        <v>11160</v>
      </c>
    </row>
    <row r="290" spans="1:4">
      <c r="A290" s="1301" t="s">
        <v>318</v>
      </c>
      <c r="B290" s="1287">
        <v>149850</v>
      </c>
      <c r="C290" s="1296">
        <v>316686</v>
      </c>
      <c r="D290" s="76"/>
    </row>
    <row r="291" spans="1:4">
      <c r="A291" s="1301" t="s">
        <v>1839</v>
      </c>
      <c r="B291" s="1287">
        <v>2750</v>
      </c>
      <c r="C291" s="1296">
        <v>2750</v>
      </c>
    </row>
    <row r="292" spans="1:4">
      <c r="A292" s="1301" t="s">
        <v>819</v>
      </c>
      <c r="B292" s="1287">
        <v>279</v>
      </c>
      <c r="C292" s="1296">
        <v>1116</v>
      </c>
    </row>
    <row r="293" spans="1:4">
      <c r="A293" s="1301" t="s">
        <v>820</v>
      </c>
      <c r="B293" s="1287">
        <v>55</v>
      </c>
      <c r="C293" s="1296">
        <v>550</v>
      </c>
    </row>
    <row r="294" spans="1:4">
      <c r="A294" s="1301" t="s">
        <v>408</v>
      </c>
      <c r="B294" s="1287">
        <v>35</v>
      </c>
      <c r="C294" s="1296">
        <v>525</v>
      </c>
    </row>
    <row r="295" spans="1:4">
      <c r="A295" s="1301" t="s">
        <v>674</v>
      </c>
      <c r="B295" s="1287">
        <v>1580</v>
      </c>
      <c r="C295" s="1296">
        <v>1658</v>
      </c>
    </row>
    <row r="296" spans="1:4">
      <c r="A296" s="1302" t="s">
        <v>1840</v>
      </c>
      <c r="B296" s="1287">
        <v>2436</v>
      </c>
      <c r="C296" s="1296">
        <v>2436</v>
      </c>
    </row>
    <row r="297" spans="1:4">
      <c r="A297" s="1298" t="s">
        <v>319</v>
      </c>
      <c r="B297" s="1287">
        <v>5270</v>
      </c>
      <c r="C297" s="1296">
        <v>5270</v>
      </c>
    </row>
    <row r="298" spans="1:4">
      <c r="A298" s="1301" t="s">
        <v>1841</v>
      </c>
      <c r="B298" s="1287">
        <v>6510</v>
      </c>
      <c r="C298" s="1296">
        <v>6510</v>
      </c>
    </row>
    <row r="299" spans="1:4">
      <c r="A299" s="1297" t="s">
        <v>1842</v>
      </c>
      <c r="B299" s="1303">
        <v>4507</v>
      </c>
      <c r="C299" s="1296">
        <v>4507</v>
      </c>
    </row>
    <row r="300" spans="1:4">
      <c r="A300" s="1302" t="s">
        <v>1843</v>
      </c>
      <c r="B300" s="1303">
        <v>19404</v>
      </c>
      <c r="C300" s="1296">
        <v>19404</v>
      </c>
    </row>
    <row r="301" spans="1:4" ht="15" customHeight="1">
      <c r="A301" s="1297" t="s">
        <v>1844</v>
      </c>
      <c r="B301" s="1303">
        <v>395</v>
      </c>
      <c r="C301" s="1296">
        <v>395</v>
      </c>
    </row>
    <row r="302" spans="1:4">
      <c r="A302" s="1297" t="s">
        <v>1845</v>
      </c>
      <c r="B302" s="1303">
        <v>2</v>
      </c>
      <c r="C302" s="1296">
        <v>120</v>
      </c>
    </row>
    <row r="303" spans="1:4">
      <c r="A303" s="1301" t="s">
        <v>320</v>
      </c>
      <c r="B303" s="1287">
        <v>137</v>
      </c>
      <c r="C303" s="1296">
        <v>15850</v>
      </c>
    </row>
    <row r="304" spans="1:4">
      <c r="A304" s="1301" t="s">
        <v>188</v>
      </c>
      <c r="B304" s="1287">
        <v>1634</v>
      </c>
      <c r="C304" s="1296">
        <v>3268</v>
      </c>
    </row>
    <row r="305" spans="1:8">
      <c r="A305" s="1301" t="s">
        <v>1846</v>
      </c>
      <c r="B305" s="1287">
        <v>2</v>
      </c>
      <c r="C305" s="1296">
        <v>10</v>
      </c>
    </row>
    <row r="306" spans="1:8">
      <c r="A306" s="1301" t="s">
        <v>321</v>
      </c>
      <c r="B306" s="1287">
        <v>136</v>
      </c>
      <c r="C306" s="1296">
        <v>2852</v>
      </c>
    </row>
    <row r="307" spans="1:8">
      <c r="A307" s="1304" t="s">
        <v>1847</v>
      </c>
      <c r="B307" s="1286">
        <v>1600</v>
      </c>
      <c r="C307" s="1296">
        <v>3200</v>
      </c>
    </row>
    <row r="308" spans="1:8">
      <c r="A308" s="1301" t="s">
        <v>1848</v>
      </c>
      <c r="B308" s="1287">
        <v>1890</v>
      </c>
      <c r="C308" s="1296">
        <v>8512</v>
      </c>
    </row>
    <row r="309" spans="1:8">
      <c r="A309" s="1301" t="s">
        <v>1849</v>
      </c>
      <c r="B309" s="1287"/>
      <c r="C309" s="1296">
        <v>5394</v>
      </c>
    </row>
    <row r="310" spans="1:8">
      <c r="A310" s="1301" t="s">
        <v>552</v>
      </c>
      <c r="B310" s="1287">
        <v>250</v>
      </c>
      <c r="C310" s="1296">
        <v>1000</v>
      </c>
    </row>
    <row r="311" spans="1:8">
      <c r="A311" s="1301" t="s">
        <v>673</v>
      </c>
      <c r="B311" s="1287">
        <v>852</v>
      </c>
      <c r="C311" s="1296">
        <v>8082</v>
      </c>
    </row>
    <row r="312" spans="1:8">
      <c r="A312" s="1301" t="s">
        <v>1760</v>
      </c>
      <c r="B312" s="1287">
        <v>60</v>
      </c>
      <c r="C312" s="1296">
        <v>720</v>
      </c>
    </row>
    <row r="313" spans="1:8">
      <c r="A313" s="1301" t="s">
        <v>1761</v>
      </c>
      <c r="B313" s="1287">
        <v>1</v>
      </c>
      <c r="C313" s="1296">
        <v>12</v>
      </c>
    </row>
    <row r="314" spans="1:8">
      <c r="A314" s="1288" t="s">
        <v>71</v>
      </c>
      <c r="B314" s="1289">
        <f>SUM(B278:B313)</f>
        <v>225035</v>
      </c>
      <c r="C314" s="1290">
        <f>SUM(C278:C313)</f>
        <v>480933</v>
      </c>
    </row>
    <row r="318" spans="1:8" ht="15.6">
      <c r="A318" s="6153" t="s">
        <v>1979</v>
      </c>
      <c r="B318" s="6154"/>
      <c r="C318" s="6155"/>
      <c r="E318" s="6153" t="s">
        <v>1980</v>
      </c>
      <c r="F318" s="6154"/>
      <c r="G318" s="6154"/>
      <c r="H318" s="6155"/>
    </row>
    <row r="319" spans="1:8" ht="15.6">
      <c r="A319" s="6233" t="s">
        <v>312</v>
      </c>
      <c r="B319" s="6234"/>
      <c r="C319" s="6235"/>
      <c r="E319" s="6168" t="s">
        <v>314</v>
      </c>
      <c r="F319" s="6169" t="s">
        <v>315</v>
      </c>
      <c r="G319" s="6170" t="s">
        <v>184</v>
      </c>
      <c r="H319" s="6171"/>
    </row>
    <row r="320" spans="1:8">
      <c r="A320" s="6159" t="s">
        <v>183</v>
      </c>
      <c r="B320" s="6160" t="s">
        <v>814</v>
      </c>
      <c r="C320" s="6160" t="s">
        <v>815</v>
      </c>
      <c r="E320" s="6146"/>
      <c r="F320" s="6146"/>
      <c r="G320" s="1685" t="s">
        <v>1756</v>
      </c>
      <c r="H320" s="1686" t="s">
        <v>1757</v>
      </c>
    </row>
    <row r="321" spans="1:8">
      <c r="A321" s="6159"/>
      <c r="B321" s="6128"/>
      <c r="C321" s="6128"/>
      <c r="E321" s="6200" t="s">
        <v>821</v>
      </c>
      <c r="F321" s="1687" t="s">
        <v>1955</v>
      </c>
      <c r="G321" s="1688"/>
      <c r="H321" s="1689"/>
    </row>
    <row r="322" spans="1:8">
      <c r="A322" s="1690" t="s">
        <v>186</v>
      </c>
      <c r="B322" s="1691">
        <v>12</v>
      </c>
      <c r="C322" s="1692">
        <v>218</v>
      </c>
      <c r="E322" s="6201"/>
      <c r="F322" s="1687" t="s">
        <v>1956</v>
      </c>
      <c r="G322" s="1688"/>
      <c r="H322" s="1689"/>
    </row>
    <row r="323" spans="1:8">
      <c r="A323" s="1690" t="s">
        <v>1758</v>
      </c>
      <c r="B323" s="1691">
        <v>1</v>
      </c>
      <c r="C323" s="1692">
        <v>55</v>
      </c>
      <c r="E323" s="1693" t="s">
        <v>822</v>
      </c>
      <c r="F323" s="1687" t="s">
        <v>1957</v>
      </c>
      <c r="G323" s="1688">
        <v>5987</v>
      </c>
      <c r="H323" s="1689">
        <v>7150</v>
      </c>
    </row>
    <row r="324" spans="1:8">
      <c r="A324" s="1694" t="s">
        <v>185</v>
      </c>
      <c r="B324" s="1695">
        <v>6</v>
      </c>
      <c r="C324" s="1695">
        <v>350</v>
      </c>
      <c r="E324" s="6216" t="s">
        <v>1958</v>
      </c>
      <c r="F324" s="1687" t="s">
        <v>1959</v>
      </c>
      <c r="G324" s="1688">
        <v>3846</v>
      </c>
      <c r="H324" s="1689">
        <v>7150</v>
      </c>
    </row>
    <row r="325" spans="1:8">
      <c r="A325" s="1694" t="s">
        <v>1960</v>
      </c>
      <c r="B325" s="1695">
        <v>10</v>
      </c>
      <c r="C325" s="1695">
        <v>233</v>
      </c>
      <c r="E325" s="6217"/>
      <c r="F325" s="1687" t="s">
        <v>1961</v>
      </c>
      <c r="G325" s="1688"/>
      <c r="H325" s="1689"/>
    </row>
    <row r="326" spans="1:8">
      <c r="A326" s="1694" t="s">
        <v>1962</v>
      </c>
      <c r="B326" s="1695">
        <v>1</v>
      </c>
      <c r="C326" s="1695">
        <v>16</v>
      </c>
      <c r="E326" s="1696" t="s">
        <v>823</v>
      </c>
      <c r="F326" s="1687"/>
      <c r="G326" s="1688"/>
      <c r="H326" s="1689"/>
    </row>
    <row r="327" spans="1:8">
      <c r="A327" s="1694" t="s">
        <v>316</v>
      </c>
      <c r="B327" s="1695">
        <v>22</v>
      </c>
      <c r="C327" s="1695">
        <v>6010</v>
      </c>
      <c r="E327" s="6238" t="s">
        <v>1963</v>
      </c>
      <c r="F327" s="6221" t="s">
        <v>1964</v>
      </c>
      <c r="G327" s="6209">
        <v>1133</v>
      </c>
      <c r="H327" s="6167">
        <v>4450</v>
      </c>
    </row>
    <row r="328" spans="1:8">
      <c r="A328" s="1694" t="s">
        <v>406</v>
      </c>
      <c r="B328" s="1695">
        <v>14</v>
      </c>
      <c r="C328" s="1695">
        <v>3207</v>
      </c>
      <c r="E328" s="6239"/>
      <c r="F328" s="6222"/>
      <c r="G328" s="6210"/>
      <c r="H328" s="6206"/>
    </row>
    <row r="329" spans="1:8">
      <c r="A329" s="1694" t="s">
        <v>317</v>
      </c>
      <c r="B329" s="1695">
        <v>4</v>
      </c>
      <c r="C329" s="1695">
        <v>1116</v>
      </c>
      <c r="E329" s="6240"/>
      <c r="F329" s="6223"/>
      <c r="G329" s="6211"/>
      <c r="H329" s="6152"/>
    </row>
    <row r="330" spans="1:8">
      <c r="A330" s="1694" t="s">
        <v>1965</v>
      </c>
      <c r="B330" s="1695">
        <v>1</v>
      </c>
      <c r="C330" s="1695">
        <v>15</v>
      </c>
      <c r="E330" s="1697">
        <v>3</v>
      </c>
      <c r="F330" s="1698" t="s">
        <v>15</v>
      </c>
      <c r="G330" s="1699">
        <f>SUM(G321:G329)</f>
        <v>10966</v>
      </c>
      <c r="H330" s="1699">
        <f>SUM(H321:H329)</f>
        <v>18750</v>
      </c>
    </row>
    <row r="331" spans="1:8">
      <c r="A331" s="1694" t="s">
        <v>1966</v>
      </c>
      <c r="B331" s="1695">
        <v>1</v>
      </c>
      <c r="C331" s="1695">
        <v>36</v>
      </c>
    </row>
    <row r="332" spans="1:8">
      <c r="A332" s="1694" t="s">
        <v>1967</v>
      </c>
      <c r="B332" s="1695">
        <v>2</v>
      </c>
      <c r="C332" s="1695">
        <v>260</v>
      </c>
    </row>
    <row r="333" spans="1:8">
      <c r="A333" s="1694" t="s">
        <v>1968</v>
      </c>
      <c r="B333" s="1695">
        <v>2</v>
      </c>
      <c r="C333" s="1695">
        <v>530</v>
      </c>
    </row>
    <row r="334" spans="1:8">
      <c r="A334" s="1694" t="s">
        <v>1969</v>
      </c>
      <c r="B334" s="1695">
        <v>1</v>
      </c>
      <c r="C334" s="1695">
        <v>175</v>
      </c>
      <c r="D334" s="129"/>
    </row>
    <row r="335" spans="1:8">
      <c r="A335" s="1700" t="s">
        <v>1970</v>
      </c>
      <c r="B335" s="1695">
        <v>6</v>
      </c>
      <c r="C335" s="1695">
        <v>107</v>
      </c>
      <c r="D335" s="129"/>
    </row>
    <row r="336" spans="1:8">
      <c r="A336" s="1694" t="s">
        <v>188</v>
      </c>
      <c r="B336" s="1695">
        <v>6</v>
      </c>
      <c r="C336" s="1695">
        <v>110</v>
      </c>
      <c r="D336" s="48"/>
    </row>
    <row r="337" spans="1:5">
      <c r="A337" s="1694" t="s">
        <v>187</v>
      </c>
      <c r="B337" s="1695">
        <v>3</v>
      </c>
      <c r="C337" s="1695">
        <v>46</v>
      </c>
    </row>
    <row r="338" spans="1:5">
      <c r="A338" s="1694" t="s">
        <v>322</v>
      </c>
      <c r="B338" s="1695">
        <v>7</v>
      </c>
      <c r="C338" s="1695">
        <v>108</v>
      </c>
    </row>
    <row r="339" spans="1:5">
      <c r="A339" s="1701" t="s">
        <v>407</v>
      </c>
      <c r="B339" s="1695">
        <v>4</v>
      </c>
      <c r="C339" s="1695">
        <v>348</v>
      </c>
    </row>
    <row r="340" spans="1:5">
      <c r="A340" s="1694" t="s">
        <v>1971</v>
      </c>
      <c r="B340" s="1695">
        <v>8</v>
      </c>
      <c r="C340" s="1695">
        <v>125</v>
      </c>
    </row>
    <row r="341" spans="1:5">
      <c r="A341" s="1691" t="s">
        <v>1972</v>
      </c>
      <c r="B341" s="1695">
        <v>6</v>
      </c>
      <c r="C341" s="1695">
        <v>120</v>
      </c>
    </row>
    <row r="342" spans="1:5">
      <c r="A342" s="1691" t="s">
        <v>673</v>
      </c>
      <c r="B342" s="1695">
        <v>7</v>
      </c>
      <c r="C342" s="1695">
        <v>308</v>
      </c>
      <c r="E342" s="6199" t="s">
        <v>782</v>
      </c>
    </row>
    <row r="343" spans="1:5">
      <c r="A343" s="1604" t="s">
        <v>1973</v>
      </c>
      <c r="B343" s="1604">
        <v>2</v>
      </c>
      <c r="C343" s="1604">
        <v>41</v>
      </c>
      <c r="E343" s="6130"/>
    </row>
    <row r="344" spans="1:5">
      <c r="A344" s="1702" t="s">
        <v>71</v>
      </c>
      <c r="B344" s="1703">
        <f>SUM(B322:B343)</f>
        <v>126</v>
      </c>
      <c r="C344" s="1704">
        <f>SUM(C322:C343)</f>
        <v>13534</v>
      </c>
      <c r="E344" s="1705">
        <f>SUM(B344,E330)</f>
        <v>129</v>
      </c>
    </row>
    <row r="345" spans="1:5">
      <c r="A345" s="43" t="s">
        <v>323</v>
      </c>
    </row>
    <row r="346" spans="1:5">
      <c r="A346" s="1227"/>
      <c r="B346" s="1227"/>
      <c r="C346" s="1227"/>
    </row>
    <row r="347" spans="1:5">
      <c r="A347" s="1227"/>
      <c r="B347" s="1227"/>
      <c r="C347" s="1227"/>
    </row>
    <row r="348" spans="1:5" ht="15.6">
      <c r="A348" s="6153" t="s">
        <v>1979</v>
      </c>
      <c r="B348" s="6154"/>
      <c r="C348" s="6155"/>
    </row>
    <row r="349" spans="1:5" ht="15.6">
      <c r="A349" s="6162" t="s">
        <v>313</v>
      </c>
      <c r="B349" s="6163"/>
      <c r="C349" s="6164"/>
    </row>
    <row r="350" spans="1:5">
      <c r="A350" s="6159" t="s">
        <v>314</v>
      </c>
      <c r="B350" s="6160" t="s">
        <v>816</v>
      </c>
      <c r="C350" s="6160" t="s">
        <v>184</v>
      </c>
    </row>
    <row r="351" spans="1:5">
      <c r="A351" s="6159"/>
      <c r="B351" s="6128"/>
      <c r="C351" s="6128"/>
    </row>
    <row r="352" spans="1:5">
      <c r="A352" s="1706" t="s">
        <v>817</v>
      </c>
      <c r="B352" s="1706">
        <v>26457</v>
      </c>
      <c r="C352" s="1707">
        <v>26457</v>
      </c>
    </row>
    <row r="353" spans="1:4">
      <c r="A353" s="1706" t="s">
        <v>1759</v>
      </c>
      <c r="B353" s="1706">
        <v>449</v>
      </c>
      <c r="C353" s="1707">
        <v>897</v>
      </c>
    </row>
    <row r="354" spans="1:4">
      <c r="A354" s="1694" t="s">
        <v>1974</v>
      </c>
      <c r="B354" s="1695">
        <v>5517</v>
      </c>
      <c r="C354" s="1695">
        <v>55170</v>
      </c>
    </row>
    <row r="355" spans="1:4">
      <c r="A355" s="1694" t="s">
        <v>1975</v>
      </c>
      <c r="B355" s="1695">
        <v>25</v>
      </c>
      <c r="C355" s="1695">
        <v>300</v>
      </c>
    </row>
    <row r="356" spans="1:4">
      <c r="A356" s="1604" t="s">
        <v>1976</v>
      </c>
      <c r="B356" s="1604">
        <v>440</v>
      </c>
      <c r="C356" s="1604">
        <v>440</v>
      </c>
    </row>
    <row r="357" spans="1:4">
      <c r="A357" s="1604" t="s">
        <v>818</v>
      </c>
      <c r="B357" s="1604">
        <v>2</v>
      </c>
      <c r="C357" s="1604">
        <v>60</v>
      </c>
    </row>
    <row r="358" spans="1:4">
      <c r="A358" s="1604" t="s">
        <v>1962</v>
      </c>
      <c r="B358" s="1604">
        <v>562</v>
      </c>
      <c r="C358" s="1604">
        <v>1942</v>
      </c>
    </row>
    <row r="359" spans="1:4">
      <c r="A359" s="1694" t="s">
        <v>553</v>
      </c>
      <c r="B359" s="1695">
        <v>6055</v>
      </c>
      <c r="C359" s="1695">
        <v>6055</v>
      </c>
    </row>
    <row r="360" spans="1:4">
      <c r="A360" s="1694" t="s">
        <v>1977</v>
      </c>
      <c r="B360" s="1695">
        <v>809</v>
      </c>
      <c r="C360" s="1695">
        <v>4121</v>
      </c>
    </row>
    <row r="361" spans="1:4">
      <c r="A361" s="1694" t="s">
        <v>316</v>
      </c>
      <c r="B361" s="1695">
        <v>1046</v>
      </c>
      <c r="C361" s="1695">
        <v>7522</v>
      </c>
    </row>
    <row r="362" spans="1:4">
      <c r="A362" s="1694" t="s">
        <v>317</v>
      </c>
      <c r="B362" s="1695">
        <v>1036</v>
      </c>
      <c r="C362" s="1695">
        <v>15964</v>
      </c>
    </row>
    <row r="363" spans="1:4">
      <c r="A363" s="1694" t="s">
        <v>1978</v>
      </c>
      <c r="B363" s="1695">
        <v>246</v>
      </c>
      <c r="C363" s="1695">
        <v>3291</v>
      </c>
    </row>
    <row r="364" spans="1:4">
      <c r="A364" s="1694" t="s">
        <v>318</v>
      </c>
      <c r="B364" s="1695">
        <v>296379</v>
      </c>
      <c r="C364" s="1695">
        <v>296379</v>
      </c>
      <c r="D364" s="76"/>
    </row>
    <row r="365" spans="1:4">
      <c r="A365" s="1694" t="s">
        <v>819</v>
      </c>
      <c r="B365" s="1695">
        <v>185</v>
      </c>
      <c r="C365" s="1695">
        <v>740</v>
      </c>
    </row>
    <row r="366" spans="1:4">
      <c r="A366" s="1694" t="s">
        <v>820</v>
      </c>
      <c r="B366" s="1695">
        <v>39</v>
      </c>
      <c r="C366" s="1695">
        <v>234</v>
      </c>
    </row>
    <row r="367" spans="1:4">
      <c r="A367" s="1694" t="s">
        <v>408</v>
      </c>
      <c r="B367" s="1695">
        <v>63</v>
      </c>
      <c r="C367" s="1695">
        <v>1260</v>
      </c>
    </row>
    <row r="368" spans="1:4">
      <c r="A368" s="1694" t="s">
        <v>674</v>
      </c>
      <c r="B368" s="1695">
        <v>2265</v>
      </c>
      <c r="C368" s="1695">
        <v>2265</v>
      </c>
    </row>
    <row r="369" spans="1:3">
      <c r="A369" s="1701" t="s">
        <v>319</v>
      </c>
      <c r="B369" s="1695">
        <v>55700</v>
      </c>
      <c r="C369" s="1695">
        <v>55700</v>
      </c>
    </row>
    <row r="370" spans="1:3">
      <c r="A370" s="1694" t="s">
        <v>550</v>
      </c>
      <c r="B370" s="1695">
        <v>1821</v>
      </c>
      <c r="C370" s="1695">
        <v>1821</v>
      </c>
    </row>
    <row r="371" spans="1:3">
      <c r="A371" s="1694" t="s">
        <v>320</v>
      </c>
      <c r="B371" s="1695">
        <v>16238</v>
      </c>
      <c r="C371" s="1695">
        <v>16238</v>
      </c>
    </row>
    <row r="372" spans="1:3">
      <c r="A372" s="1694" t="s">
        <v>188</v>
      </c>
      <c r="B372" s="1695">
        <v>5792</v>
      </c>
      <c r="C372" s="1695">
        <v>11596</v>
      </c>
    </row>
    <row r="373" spans="1:3">
      <c r="A373" s="1694" t="s">
        <v>321</v>
      </c>
      <c r="B373" s="1695">
        <v>106</v>
      </c>
      <c r="C373" s="1695">
        <v>1630</v>
      </c>
    </row>
    <row r="374" spans="1:3">
      <c r="A374" s="1690" t="s">
        <v>187</v>
      </c>
      <c r="B374" s="1691">
        <v>825</v>
      </c>
      <c r="C374" s="1692">
        <v>1650</v>
      </c>
    </row>
    <row r="375" spans="1:3">
      <c r="A375" s="1694" t="s">
        <v>322</v>
      </c>
      <c r="B375" s="1695">
        <v>3758</v>
      </c>
      <c r="C375" s="1695">
        <v>13976</v>
      </c>
    </row>
    <row r="376" spans="1:3">
      <c r="A376" s="1694" t="s">
        <v>552</v>
      </c>
      <c r="B376" s="1695">
        <v>100</v>
      </c>
      <c r="C376" s="1695">
        <v>400</v>
      </c>
    </row>
    <row r="377" spans="1:3">
      <c r="A377" s="1694" t="s">
        <v>673</v>
      </c>
      <c r="B377" s="1695">
        <v>589</v>
      </c>
      <c r="C377" s="1695">
        <v>6099</v>
      </c>
    </row>
    <row r="378" spans="1:3">
      <c r="A378" s="1694" t="s">
        <v>1760</v>
      </c>
      <c r="B378" s="1695">
        <v>5400</v>
      </c>
      <c r="C378" s="1695">
        <v>5400</v>
      </c>
    </row>
    <row r="379" spans="1:3">
      <c r="A379" s="1694" t="s">
        <v>1761</v>
      </c>
      <c r="B379" s="1695">
        <v>9000</v>
      </c>
      <c r="C379" s="1695">
        <v>9000</v>
      </c>
    </row>
    <row r="380" spans="1:3">
      <c r="A380" s="1702" t="s">
        <v>71</v>
      </c>
      <c r="B380" s="1703">
        <f>SUM(B352:B379)</f>
        <v>440904</v>
      </c>
      <c r="C380" s="1704">
        <f>SUM(C352:C379)</f>
        <v>546607</v>
      </c>
    </row>
    <row r="381" spans="1:3">
      <c r="A381" s="43" t="s">
        <v>323</v>
      </c>
    </row>
    <row r="385" spans="1:8" ht="15.6">
      <c r="A385" s="6153" t="s">
        <v>2002</v>
      </c>
      <c r="B385" s="6154"/>
      <c r="C385" s="6155"/>
      <c r="E385" s="6153" t="s">
        <v>2003</v>
      </c>
      <c r="F385" s="6154"/>
      <c r="G385" s="6154"/>
      <c r="H385" s="6155"/>
    </row>
    <row r="386" spans="1:8" ht="15.6">
      <c r="A386" s="6233" t="s">
        <v>312</v>
      </c>
      <c r="B386" s="6234"/>
      <c r="C386" s="6235"/>
      <c r="E386" s="6169" t="s">
        <v>314</v>
      </c>
      <c r="F386" s="6169" t="s">
        <v>315</v>
      </c>
      <c r="G386" s="6236" t="s">
        <v>1981</v>
      </c>
      <c r="H386" s="6237"/>
    </row>
    <row r="387" spans="1:8">
      <c r="A387" s="6159" t="s">
        <v>183</v>
      </c>
      <c r="B387" s="6160" t="s">
        <v>814</v>
      </c>
      <c r="C387" s="6160" t="s">
        <v>815</v>
      </c>
      <c r="E387" s="6146"/>
      <c r="F387" s="6146"/>
      <c r="G387" s="1685" t="s">
        <v>499</v>
      </c>
      <c r="H387" s="1686" t="s">
        <v>1982</v>
      </c>
    </row>
    <row r="388" spans="1:8">
      <c r="A388" s="6159"/>
      <c r="B388" s="6128"/>
      <c r="C388" s="6128"/>
      <c r="E388" s="1708"/>
      <c r="F388" s="1708"/>
      <c r="G388" s="1708"/>
      <c r="H388" s="1709"/>
    </row>
    <row r="389" spans="1:8">
      <c r="A389" s="1690" t="s">
        <v>186</v>
      </c>
      <c r="B389" s="1691">
        <f>2+2+1+4</f>
        <v>9</v>
      </c>
      <c r="C389" s="1692">
        <f>40+36+20+82</f>
        <v>178</v>
      </c>
      <c r="E389" s="1708" t="s">
        <v>1983</v>
      </c>
      <c r="F389" s="6224" t="s">
        <v>1984</v>
      </c>
      <c r="G389" s="6227">
        <v>1876</v>
      </c>
      <c r="H389" s="6167">
        <v>2755</v>
      </c>
    </row>
    <row r="390" spans="1:8">
      <c r="A390" s="1694" t="s">
        <v>185</v>
      </c>
      <c r="B390" s="1695">
        <f>0+1+3+0+4</f>
        <v>8</v>
      </c>
      <c r="C390" s="1695">
        <f>0+18+145+0+308</f>
        <v>471</v>
      </c>
      <c r="E390" s="6224" t="s">
        <v>1985</v>
      </c>
      <c r="F390" s="6225"/>
      <c r="G390" s="6228"/>
      <c r="H390" s="6206"/>
    </row>
    <row r="391" spans="1:8">
      <c r="A391" s="1694" t="s">
        <v>1986</v>
      </c>
      <c r="B391" s="1695">
        <v>2</v>
      </c>
      <c r="C391" s="1695">
        <v>34</v>
      </c>
      <c r="E391" s="6225"/>
      <c r="F391" s="6225"/>
      <c r="G391" s="6228"/>
      <c r="H391" s="6206"/>
    </row>
    <row r="392" spans="1:8">
      <c r="A392" s="1694" t="s">
        <v>1962</v>
      </c>
      <c r="B392" s="1695">
        <v>3</v>
      </c>
      <c r="C392" s="1695">
        <v>16</v>
      </c>
      <c r="E392" s="6226"/>
      <c r="F392" s="6226"/>
      <c r="G392" s="6229"/>
      <c r="H392" s="6152"/>
    </row>
    <row r="393" spans="1:8">
      <c r="A393" s="1694" t="s">
        <v>316</v>
      </c>
      <c r="B393" s="1695">
        <f>6+2+4+2+8</f>
        <v>22</v>
      </c>
      <c r="C393" s="1695">
        <f>2880+516+1550+210+1812</f>
        <v>6968</v>
      </c>
      <c r="E393" s="1696" t="s">
        <v>1987</v>
      </c>
      <c r="F393" s="6230" t="s">
        <v>1988</v>
      </c>
      <c r="G393" s="6209">
        <v>1009</v>
      </c>
      <c r="H393" s="6167">
        <v>2480</v>
      </c>
    </row>
    <row r="394" spans="1:8">
      <c r="A394" s="1694" t="s">
        <v>406</v>
      </c>
      <c r="B394" s="1695">
        <f>1+3+3</f>
        <v>7</v>
      </c>
      <c r="C394" s="1695">
        <f>192+314+576</f>
        <v>1082</v>
      </c>
      <c r="E394" s="6218" t="s">
        <v>1989</v>
      </c>
      <c r="F394" s="6231"/>
      <c r="G394" s="6210"/>
      <c r="H394" s="6206"/>
    </row>
    <row r="395" spans="1:8">
      <c r="A395" s="1694" t="s">
        <v>317</v>
      </c>
      <c r="B395" s="1695">
        <f>2+4+4</f>
        <v>10</v>
      </c>
      <c r="C395" s="1695">
        <f>210+1230+1576</f>
        <v>3016</v>
      </c>
      <c r="E395" s="6219"/>
      <c r="F395" s="6231"/>
      <c r="G395" s="6210"/>
      <c r="H395" s="6206"/>
    </row>
    <row r="396" spans="1:8">
      <c r="A396" s="1694" t="s">
        <v>1829</v>
      </c>
      <c r="B396" s="1695">
        <f>3+1</f>
        <v>4</v>
      </c>
      <c r="C396" s="1695">
        <f>69+25</f>
        <v>94</v>
      </c>
      <c r="E396" s="6219"/>
      <c r="F396" s="6231"/>
      <c r="G396" s="6210"/>
      <c r="H396" s="6206"/>
    </row>
    <row r="397" spans="1:8">
      <c r="A397" s="1694" t="s">
        <v>1990</v>
      </c>
      <c r="B397" s="1695">
        <v>1</v>
      </c>
      <c r="C397" s="1695">
        <v>310</v>
      </c>
      <c r="E397" s="6220"/>
      <c r="F397" s="6232"/>
      <c r="G397" s="6211"/>
      <c r="H397" s="6152"/>
    </row>
    <row r="398" spans="1:8">
      <c r="A398" s="1694" t="s">
        <v>1968</v>
      </c>
      <c r="B398" s="1695">
        <v>1</v>
      </c>
      <c r="C398" s="1695">
        <v>248</v>
      </c>
      <c r="E398" s="6200" t="s">
        <v>821</v>
      </c>
      <c r="F398" s="1687" t="s">
        <v>1991</v>
      </c>
      <c r="G398" s="1688"/>
      <c r="H398" s="1689"/>
    </row>
    <row r="399" spans="1:8">
      <c r="A399" s="1700" t="s">
        <v>1970</v>
      </c>
      <c r="B399" s="1695">
        <v>6</v>
      </c>
      <c r="C399" s="1695">
        <v>130</v>
      </c>
      <c r="E399" s="6201"/>
      <c r="F399" s="1687" t="s">
        <v>1992</v>
      </c>
      <c r="G399" s="1688"/>
      <c r="H399" s="1689"/>
    </row>
    <row r="400" spans="1:8">
      <c r="A400" s="1694" t="s">
        <v>188</v>
      </c>
      <c r="B400" s="1695">
        <v>4</v>
      </c>
      <c r="C400" s="1695">
        <v>70</v>
      </c>
      <c r="E400" s="1693" t="s">
        <v>822</v>
      </c>
      <c r="F400" s="1687" t="s">
        <v>1993</v>
      </c>
      <c r="G400" s="1688">
        <v>4332</v>
      </c>
      <c r="H400" s="1689">
        <v>7350</v>
      </c>
    </row>
    <row r="401" spans="1:8">
      <c r="A401" s="1694" t="s">
        <v>187</v>
      </c>
      <c r="B401" s="1695">
        <v>2</v>
      </c>
      <c r="C401" s="1695">
        <v>26</v>
      </c>
      <c r="E401" s="6216" t="s">
        <v>1958</v>
      </c>
      <c r="F401" s="1687" t="s">
        <v>1994</v>
      </c>
      <c r="G401" s="1688">
        <v>4975</v>
      </c>
      <c r="H401" s="1689">
        <v>7350</v>
      </c>
    </row>
    <row r="402" spans="1:8">
      <c r="A402" s="1694" t="s">
        <v>322</v>
      </c>
      <c r="B402" s="1695">
        <f>1+2+6</f>
        <v>9</v>
      </c>
      <c r="C402" s="1695">
        <f>40+40+92</f>
        <v>172</v>
      </c>
      <c r="E402" s="6217"/>
      <c r="F402" s="1687" t="s">
        <v>1995</v>
      </c>
      <c r="G402" s="1688"/>
      <c r="H402" s="1689"/>
    </row>
    <row r="403" spans="1:8">
      <c r="A403" s="1701" t="s">
        <v>407</v>
      </c>
      <c r="B403" s="1695">
        <v>2</v>
      </c>
      <c r="C403" s="1695">
        <v>128</v>
      </c>
      <c r="E403" s="1696" t="s">
        <v>823</v>
      </c>
      <c r="F403" s="1687"/>
      <c r="G403" s="1688"/>
      <c r="H403" s="1689"/>
    </row>
    <row r="404" spans="1:8">
      <c r="A404" s="1694" t="s">
        <v>1971</v>
      </c>
      <c r="B404" s="1695">
        <v>7</v>
      </c>
      <c r="C404" s="1695">
        <v>52</v>
      </c>
      <c r="E404" s="6218" t="s">
        <v>1996</v>
      </c>
      <c r="F404" s="6221" t="s">
        <v>1964</v>
      </c>
      <c r="G404" s="6209">
        <v>777</v>
      </c>
      <c r="H404" s="6167">
        <v>2300</v>
      </c>
    </row>
    <row r="405" spans="1:8">
      <c r="A405" s="1691" t="s">
        <v>1972</v>
      </c>
      <c r="B405" s="1695">
        <v>6</v>
      </c>
      <c r="C405" s="1695">
        <v>100</v>
      </c>
      <c r="E405" s="6219"/>
      <c r="F405" s="6222"/>
      <c r="G405" s="6210"/>
      <c r="H405" s="6206"/>
    </row>
    <row r="406" spans="1:8">
      <c r="A406" s="1691" t="s">
        <v>673</v>
      </c>
      <c r="B406" s="1695">
        <f>1+7</f>
        <v>8</v>
      </c>
      <c r="C406" s="1695">
        <f>40+664</f>
        <v>704</v>
      </c>
      <c r="E406" s="6220"/>
      <c r="F406" s="6223"/>
      <c r="G406" s="6211"/>
      <c r="H406" s="6152"/>
    </row>
    <row r="407" spans="1:8">
      <c r="A407" s="1702" t="s">
        <v>71</v>
      </c>
      <c r="B407" s="1703">
        <f>SUM(B389:B406)</f>
        <v>111</v>
      </c>
      <c r="C407" s="1704">
        <f>SUM(C389:C406)</f>
        <v>13799</v>
      </c>
      <c r="E407" s="1697">
        <v>4</v>
      </c>
      <c r="F407" s="1698" t="s">
        <v>15</v>
      </c>
      <c r="G407" s="1699">
        <f>SUM(G389:G406)</f>
        <v>12969</v>
      </c>
      <c r="H407" s="1699">
        <f>SUM(H389:H406)</f>
        <v>22235</v>
      </c>
    </row>
    <row r="408" spans="1:8">
      <c r="A408" s="6172" t="s">
        <v>323</v>
      </c>
      <c r="B408" s="6172"/>
      <c r="C408" s="6172"/>
    </row>
    <row r="409" spans="1:8">
      <c r="A409" s="1710"/>
      <c r="B409" s="1710"/>
      <c r="C409" s="1710"/>
    </row>
    <row r="410" spans="1:8" ht="15.6">
      <c r="A410" s="6153" t="s">
        <v>2004</v>
      </c>
      <c r="B410" s="6154"/>
      <c r="C410" s="6155"/>
      <c r="E410" s="6199" t="s">
        <v>782</v>
      </c>
    </row>
    <row r="411" spans="1:8" ht="15.6">
      <c r="A411" s="6162" t="s">
        <v>313</v>
      </c>
      <c r="B411" s="6163"/>
      <c r="C411" s="6164"/>
      <c r="D411" s="129"/>
      <c r="E411" s="6130"/>
    </row>
    <row r="412" spans="1:8">
      <c r="A412" s="6159" t="s">
        <v>314</v>
      </c>
      <c r="B412" s="6160" t="s">
        <v>816</v>
      </c>
      <c r="C412" s="6160" t="s">
        <v>184</v>
      </c>
      <c r="D412" s="129"/>
      <c r="E412" s="1705">
        <f>SUM(E407,B407)</f>
        <v>115</v>
      </c>
    </row>
    <row r="413" spans="1:8">
      <c r="A413" s="6159"/>
      <c r="B413" s="6128"/>
      <c r="C413" s="6128"/>
      <c r="D413" s="48"/>
    </row>
    <row r="414" spans="1:8">
      <c r="A414" s="1706" t="s">
        <v>817</v>
      </c>
      <c r="B414" s="1706">
        <v>85</v>
      </c>
      <c r="C414" s="1707">
        <v>1700</v>
      </c>
    </row>
    <row r="415" spans="1:8">
      <c r="A415" s="1694" t="s">
        <v>1974</v>
      </c>
      <c r="B415" s="1695">
        <f>4213+212+280+2034</f>
        <v>6739</v>
      </c>
      <c r="C415" s="1695">
        <f>42130+2120+1120+20340</f>
        <v>65710</v>
      </c>
    </row>
    <row r="416" spans="1:8">
      <c r="A416" s="1694" t="s">
        <v>1997</v>
      </c>
      <c r="B416" s="1695">
        <v>60</v>
      </c>
      <c r="C416" s="1695">
        <v>60</v>
      </c>
    </row>
    <row r="417" spans="1:3">
      <c r="A417" s="1694" t="s">
        <v>1975</v>
      </c>
      <c r="B417" s="1695">
        <v>21</v>
      </c>
      <c r="C417" s="1695">
        <v>252</v>
      </c>
    </row>
    <row r="418" spans="1:3">
      <c r="A418" s="1694" t="s">
        <v>1998</v>
      </c>
      <c r="B418" s="1695">
        <v>10</v>
      </c>
      <c r="C418" s="1695">
        <v>150</v>
      </c>
    </row>
    <row r="419" spans="1:3">
      <c r="A419" s="1694" t="s">
        <v>818</v>
      </c>
      <c r="B419" s="1695">
        <v>2</v>
      </c>
      <c r="C419" s="1695">
        <v>50</v>
      </c>
    </row>
    <row r="420" spans="1:3">
      <c r="A420" s="1694" t="s">
        <v>1962</v>
      </c>
      <c r="B420" s="1695">
        <v>388</v>
      </c>
      <c r="C420" s="1695">
        <v>1552</v>
      </c>
    </row>
    <row r="421" spans="1:3">
      <c r="A421" s="1694" t="s">
        <v>553</v>
      </c>
      <c r="B421" s="1695">
        <f>3599+2290</f>
        <v>5889</v>
      </c>
      <c r="C421" s="1695">
        <f>3599+2290</f>
        <v>5889</v>
      </c>
    </row>
    <row r="422" spans="1:3">
      <c r="A422" s="1694" t="s">
        <v>1977</v>
      </c>
      <c r="B422" s="1695">
        <v>1142</v>
      </c>
      <c r="C422" s="1695">
        <v>22840</v>
      </c>
    </row>
    <row r="423" spans="1:3">
      <c r="A423" s="1694" t="s">
        <v>316</v>
      </c>
      <c r="B423" s="1695">
        <f>535+230</f>
        <v>765</v>
      </c>
      <c r="C423" s="1695">
        <f>5295+1380</f>
        <v>6675</v>
      </c>
    </row>
    <row r="424" spans="1:3">
      <c r="A424" s="1694" t="s">
        <v>317</v>
      </c>
      <c r="B424" s="1695">
        <f>1213+680</f>
        <v>1893</v>
      </c>
      <c r="C424" s="1695">
        <f>24706+14960</f>
        <v>39666</v>
      </c>
    </row>
    <row r="425" spans="1:3">
      <c r="A425" s="1694" t="s">
        <v>1978</v>
      </c>
      <c r="B425" s="1695">
        <f>80+161</f>
        <v>241</v>
      </c>
      <c r="C425" s="1695">
        <f>600+2415</f>
        <v>3015</v>
      </c>
    </row>
    <row r="426" spans="1:3">
      <c r="A426" s="1694" t="s">
        <v>318</v>
      </c>
      <c r="B426" s="1695">
        <f>3955+142285+163300</f>
        <v>309540</v>
      </c>
      <c r="C426" s="1695">
        <f>3955+142285+163300</f>
        <v>309540</v>
      </c>
    </row>
    <row r="427" spans="1:3">
      <c r="A427" s="1694" t="s">
        <v>1999</v>
      </c>
      <c r="B427" s="1695">
        <v>8</v>
      </c>
      <c r="C427" s="1695">
        <v>96</v>
      </c>
    </row>
    <row r="428" spans="1:3">
      <c r="A428" s="1694" t="s">
        <v>819</v>
      </c>
      <c r="B428" s="1695">
        <f>251+556</f>
        <v>807</v>
      </c>
      <c r="C428" s="1695">
        <f>1004+2224</f>
        <v>3228</v>
      </c>
    </row>
    <row r="429" spans="1:3">
      <c r="A429" s="1694" t="s">
        <v>2000</v>
      </c>
      <c r="B429" s="1695">
        <v>1</v>
      </c>
      <c r="C429" s="1695">
        <v>35</v>
      </c>
    </row>
    <row r="430" spans="1:3">
      <c r="A430" s="1694" t="s">
        <v>820</v>
      </c>
      <c r="B430" s="1695">
        <v>40</v>
      </c>
      <c r="C430" s="1695">
        <v>240</v>
      </c>
    </row>
    <row r="431" spans="1:3">
      <c r="A431" s="1694" t="s">
        <v>408</v>
      </c>
      <c r="B431" s="1695">
        <v>66</v>
      </c>
      <c r="C431" s="1695">
        <v>1320</v>
      </c>
    </row>
    <row r="432" spans="1:3">
      <c r="A432" s="1694" t="s">
        <v>674</v>
      </c>
      <c r="B432" s="1695">
        <v>4158</v>
      </c>
      <c r="C432" s="1695">
        <v>4158</v>
      </c>
    </row>
    <row r="433" spans="1:8">
      <c r="A433" s="1701" t="s">
        <v>319</v>
      </c>
      <c r="B433" s="1695">
        <f>800+21300</f>
        <v>22100</v>
      </c>
      <c r="C433" s="1695">
        <f>800+21300</f>
        <v>22100</v>
      </c>
    </row>
    <row r="434" spans="1:8">
      <c r="A434" s="1694" t="s">
        <v>550</v>
      </c>
      <c r="B434" s="1695">
        <v>485</v>
      </c>
      <c r="C434" s="1695">
        <v>485</v>
      </c>
    </row>
    <row r="435" spans="1:8">
      <c r="A435" s="1694" t="s">
        <v>320</v>
      </c>
      <c r="B435" s="1695">
        <v>16380</v>
      </c>
      <c r="C435" s="1695">
        <v>16380</v>
      </c>
    </row>
    <row r="436" spans="1:8">
      <c r="A436" s="1694" t="s">
        <v>188</v>
      </c>
      <c r="B436" s="1695">
        <v>4039</v>
      </c>
      <c r="C436" s="1695">
        <v>8078</v>
      </c>
    </row>
    <row r="437" spans="1:8">
      <c r="A437" s="1694" t="s">
        <v>321</v>
      </c>
      <c r="B437" s="1695">
        <v>91</v>
      </c>
      <c r="C437" s="1695">
        <v>910</v>
      </c>
    </row>
    <row r="438" spans="1:8">
      <c r="A438" s="1690" t="s">
        <v>2001</v>
      </c>
      <c r="B438" s="1691">
        <f>488+153+165</f>
        <v>806</v>
      </c>
      <c r="C438" s="1692">
        <f>976+306+330</f>
        <v>1612</v>
      </c>
    </row>
    <row r="439" spans="1:8">
      <c r="A439" s="1694" t="s">
        <v>322</v>
      </c>
      <c r="B439" s="1695">
        <f>5184+872+2430+322</f>
        <v>8808</v>
      </c>
      <c r="C439" s="1695">
        <f>10368+3488+4860+1932</f>
        <v>20648</v>
      </c>
    </row>
    <row r="440" spans="1:8">
      <c r="A440" s="1694" t="s">
        <v>552</v>
      </c>
      <c r="B440" s="1695">
        <v>114</v>
      </c>
      <c r="C440" s="1695">
        <v>456</v>
      </c>
    </row>
    <row r="441" spans="1:8">
      <c r="A441" s="1694" t="s">
        <v>673</v>
      </c>
      <c r="B441" s="1695">
        <f>12+241</f>
        <v>253</v>
      </c>
      <c r="C441" s="1695">
        <f>482+2892</f>
        <v>3374</v>
      </c>
    </row>
    <row r="442" spans="1:8">
      <c r="A442" s="1702" t="s">
        <v>71</v>
      </c>
      <c r="B442" s="1703">
        <f>SUM(B414:B441)</f>
        <v>384931</v>
      </c>
      <c r="C442" s="1704">
        <f>SUM(C414:C441)</f>
        <v>540219</v>
      </c>
      <c r="D442" s="76"/>
    </row>
    <row r="443" spans="1:8">
      <c r="A443" s="43" t="s">
        <v>323</v>
      </c>
    </row>
    <row r="447" spans="1:8" ht="15.6">
      <c r="A447" s="6153" t="s">
        <v>2038</v>
      </c>
      <c r="B447" s="6154"/>
      <c r="C447" s="6155"/>
      <c r="E447" s="6153" t="s">
        <v>2039</v>
      </c>
      <c r="F447" s="6154"/>
      <c r="G447" s="6154"/>
      <c r="H447" s="6155"/>
    </row>
    <row r="448" spans="1:8" ht="15.6">
      <c r="A448" s="6153" t="s">
        <v>312</v>
      </c>
      <c r="B448" s="6154"/>
      <c r="C448" s="6155"/>
      <c r="E448" s="6190" t="s">
        <v>314</v>
      </c>
      <c r="F448" s="6191" t="s">
        <v>315</v>
      </c>
      <c r="G448" s="6192" t="s">
        <v>184</v>
      </c>
      <c r="H448" s="6193"/>
    </row>
    <row r="449" spans="1:8" ht="26.4">
      <c r="A449" s="1711" t="s">
        <v>183</v>
      </c>
      <c r="B449" s="1712" t="s">
        <v>2005</v>
      </c>
      <c r="C449" s="1712" t="s">
        <v>2006</v>
      </c>
      <c r="E449" s="6161"/>
      <c r="F449" s="6161"/>
      <c r="G449" s="1713" t="s">
        <v>1756</v>
      </c>
      <c r="H449" s="1714" t="s">
        <v>1757</v>
      </c>
    </row>
    <row r="450" spans="1:8">
      <c r="A450" s="1715" t="s">
        <v>186</v>
      </c>
      <c r="B450" s="1691">
        <v>13</v>
      </c>
      <c r="C450" s="1692">
        <v>292</v>
      </c>
      <c r="E450" s="1716" t="s">
        <v>2007</v>
      </c>
      <c r="F450" s="6207" t="s">
        <v>2008</v>
      </c>
      <c r="G450" s="6209">
        <v>1044</v>
      </c>
      <c r="H450" s="6167">
        <f>4840-1044</f>
        <v>3796</v>
      </c>
    </row>
    <row r="451" spans="1:8">
      <c r="A451" s="1715" t="s">
        <v>1758</v>
      </c>
      <c r="B451" s="1691">
        <v>8</v>
      </c>
      <c r="C451" s="1692">
        <v>2298</v>
      </c>
      <c r="E451" s="6212" t="s">
        <v>2009</v>
      </c>
      <c r="F451" s="6208"/>
      <c r="G451" s="6210"/>
      <c r="H451" s="6206"/>
    </row>
    <row r="452" spans="1:8">
      <c r="A452" s="1717" t="s">
        <v>185</v>
      </c>
      <c r="B452" s="1718">
        <v>13</v>
      </c>
      <c r="C452" s="1718">
        <v>600</v>
      </c>
      <c r="E452" s="6212"/>
      <c r="F452" s="6213" t="s">
        <v>2010</v>
      </c>
      <c r="G452" s="6210"/>
      <c r="H452" s="6206"/>
    </row>
    <row r="453" spans="1:8" ht="26.4">
      <c r="A453" s="1719" t="s">
        <v>2011</v>
      </c>
      <c r="B453" s="1720">
        <v>4</v>
      </c>
      <c r="C453" s="1720">
        <v>121</v>
      </c>
      <c r="E453" s="6212"/>
      <c r="F453" s="6213"/>
      <c r="G453" s="6210"/>
      <c r="H453" s="6206"/>
    </row>
    <row r="454" spans="1:8">
      <c r="A454" s="1717"/>
      <c r="B454" s="1718"/>
      <c r="C454" s="1718"/>
      <c r="E454" s="6212"/>
      <c r="F454" s="6213"/>
      <c r="G454" s="6210"/>
      <c r="H454" s="6206"/>
    </row>
    <row r="455" spans="1:8">
      <c r="A455" s="1717" t="s">
        <v>1826</v>
      </c>
      <c r="B455" s="1718">
        <v>4</v>
      </c>
      <c r="C455" s="1718">
        <v>125</v>
      </c>
      <c r="E455" s="6212" t="s">
        <v>2012</v>
      </c>
      <c r="F455" s="6213"/>
      <c r="G455" s="6210"/>
      <c r="H455" s="6206"/>
    </row>
    <row r="456" spans="1:8">
      <c r="A456" s="1717" t="s">
        <v>2013</v>
      </c>
      <c r="B456" s="1718">
        <v>6</v>
      </c>
      <c r="C456" s="1718">
        <v>18</v>
      </c>
      <c r="E456" s="6212"/>
      <c r="F456" s="6213"/>
      <c r="G456" s="6210"/>
      <c r="H456" s="6206"/>
    </row>
    <row r="457" spans="1:8">
      <c r="A457" s="1717" t="s">
        <v>316</v>
      </c>
      <c r="B457" s="1718">
        <v>17</v>
      </c>
      <c r="C457" s="1718">
        <v>9366</v>
      </c>
      <c r="E457" s="6212"/>
      <c r="F457" s="6213"/>
      <c r="G457" s="6210"/>
      <c r="H457" s="6206"/>
    </row>
    <row r="458" spans="1:8">
      <c r="A458" s="1717" t="s">
        <v>406</v>
      </c>
      <c r="B458" s="1718">
        <v>6</v>
      </c>
      <c r="C458" s="1718">
        <v>1092</v>
      </c>
      <c r="E458" s="6212"/>
      <c r="F458" s="6213"/>
      <c r="G458" s="6210"/>
      <c r="H458" s="6206"/>
    </row>
    <row r="459" spans="1:8">
      <c r="A459" s="1721" t="s">
        <v>317</v>
      </c>
      <c r="B459" s="1718">
        <v>8</v>
      </c>
      <c r="C459" s="1718">
        <v>2842</v>
      </c>
      <c r="E459" s="6212"/>
      <c r="F459" s="6213"/>
      <c r="G459" s="6210"/>
      <c r="H459" s="6206"/>
    </row>
    <row r="460" spans="1:8">
      <c r="A460" s="1721" t="s">
        <v>2014</v>
      </c>
      <c r="B460" s="1718">
        <v>5</v>
      </c>
      <c r="C460" s="1718">
        <v>115</v>
      </c>
      <c r="E460" s="6215"/>
      <c r="F460" s="6214"/>
      <c r="G460" s="6211"/>
      <c r="H460" s="6152"/>
    </row>
    <row r="461" spans="1:8">
      <c r="A461" s="1721" t="s">
        <v>1829</v>
      </c>
      <c r="B461" s="1718">
        <v>11</v>
      </c>
      <c r="C461" s="1718">
        <v>411</v>
      </c>
      <c r="E461" s="6200" t="s">
        <v>2015</v>
      </c>
      <c r="F461" s="1722" t="s">
        <v>2016</v>
      </c>
      <c r="G461" s="6202">
        <v>4580</v>
      </c>
      <c r="H461" s="6167">
        <v>6460</v>
      </c>
    </row>
    <row r="462" spans="1:8">
      <c r="A462" s="1721" t="s">
        <v>1990</v>
      </c>
      <c r="B462" s="1718">
        <v>2</v>
      </c>
      <c r="C462" s="1718">
        <v>670</v>
      </c>
      <c r="E462" s="6201"/>
      <c r="F462" s="1723" t="s">
        <v>2017</v>
      </c>
      <c r="G462" s="6203"/>
      <c r="H462" s="6152"/>
    </row>
    <row r="463" spans="1:8">
      <c r="A463" s="1721" t="s">
        <v>1828</v>
      </c>
      <c r="B463" s="1718">
        <v>3</v>
      </c>
      <c r="C463" s="1695">
        <v>24</v>
      </c>
      <c r="E463" s="6200" t="s">
        <v>2018</v>
      </c>
      <c r="F463" s="1724" t="s">
        <v>2019</v>
      </c>
      <c r="G463" s="6202">
        <v>3231</v>
      </c>
      <c r="H463" s="6167">
        <v>6460</v>
      </c>
    </row>
    <row r="464" spans="1:8">
      <c r="A464" s="1721" t="s">
        <v>1965</v>
      </c>
      <c r="B464" s="1718">
        <v>4</v>
      </c>
      <c r="C464" s="1718">
        <v>51</v>
      </c>
      <c r="E464" s="6204"/>
      <c r="F464" s="1723" t="s">
        <v>2020</v>
      </c>
      <c r="G464" s="6205"/>
      <c r="H464" s="6206"/>
    </row>
    <row r="465" spans="1:8">
      <c r="A465" s="1721" t="s">
        <v>1968</v>
      </c>
      <c r="B465" s="1718">
        <v>3</v>
      </c>
      <c r="C465" s="1718">
        <v>540</v>
      </c>
      <c r="E465" s="6201"/>
      <c r="F465" s="1725" t="s">
        <v>2021</v>
      </c>
      <c r="G465" s="6203"/>
      <c r="H465" s="6152"/>
    </row>
    <row r="466" spans="1:8">
      <c r="A466" s="1721" t="s">
        <v>1970</v>
      </c>
      <c r="B466" s="1718">
        <v>6</v>
      </c>
      <c r="C466" s="1718">
        <v>107</v>
      </c>
      <c r="E466" s="1726">
        <v>3</v>
      </c>
      <c r="F466" s="1704" t="s">
        <v>15</v>
      </c>
      <c r="G466" s="1704">
        <f>SUM(G450:G465)</f>
        <v>8855</v>
      </c>
      <c r="H466" s="1704">
        <f>SUM(H450:H465)</f>
        <v>16716</v>
      </c>
    </row>
    <row r="467" spans="1:8">
      <c r="A467" s="1721" t="s">
        <v>188</v>
      </c>
      <c r="B467" s="1718">
        <v>3</v>
      </c>
      <c r="C467" s="1718">
        <v>90</v>
      </c>
    </row>
    <row r="468" spans="1:8">
      <c r="A468" s="1727" t="s">
        <v>187</v>
      </c>
      <c r="B468" s="1718">
        <v>3</v>
      </c>
      <c r="C468" s="1718">
        <v>90</v>
      </c>
    </row>
    <row r="469" spans="1:8">
      <c r="A469" s="1721" t="s">
        <v>322</v>
      </c>
      <c r="B469" s="1718">
        <v>8</v>
      </c>
      <c r="C469" s="1695">
        <v>114</v>
      </c>
    </row>
    <row r="470" spans="1:8">
      <c r="A470" s="1721" t="s">
        <v>2022</v>
      </c>
      <c r="B470" s="1718">
        <v>3</v>
      </c>
      <c r="C470" s="1718">
        <v>19</v>
      </c>
    </row>
    <row r="471" spans="1:8">
      <c r="A471" s="1721" t="s">
        <v>407</v>
      </c>
      <c r="B471" s="1718">
        <v>5</v>
      </c>
      <c r="C471" s="1718">
        <v>543</v>
      </c>
    </row>
    <row r="472" spans="1:8">
      <c r="A472" s="1721" t="s">
        <v>673</v>
      </c>
      <c r="B472" s="1720">
        <v>13</v>
      </c>
      <c r="C472" s="1720">
        <v>477</v>
      </c>
      <c r="E472" s="6199" t="s">
        <v>782</v>
      </c>
    </row>
    <row r="473" spans="1:8">
      <c r="A473" s="1721" t="s">
        <v>552</v>
      </c>
      <c r="B473" s="1695">
        <v>4</v>
      </c>
      <c r="C473" s="1695">
        <v>29</v>
      </c>
      <c r="E473" s="6130"/>
    </row>
    <row r="474" spans="1:8">
      <c r="A474" s="1702" t="s">
        <v>71</v>
      </c>
      <c r="B474" s="1703">
        <f>SUM(B450:B473)</f>
        <v>152</v>
      </c>
      <c r="C474" s="1704">
        <f>SUM(C450:C473)</f>
        <v>20034</v>
      </c>
      <c r="E474" s="1705">
        <f>SUM(B474,E466)</f>
        <v>155</v>
      </c>
    </row>
    <row r="475" spans="1:8">
      <c r="A475" s="6172" t="s">
        <v>323</v>
      </c>
      <c r="B475" s="6172"/>
      <c r="C475" s="6172"/>
    </row>
    <row r="476" spans="1:8">
      <c r="A476" s="1710"/>
      <c r="B476" s="1710"/>
      <c r="C476" s="1710"/>
    </row>
    <row r="477" spans="1:8">
      <c r="A477" s="6173" t="s">
        <v>2040</v>
      </c>
      <c r="B477" s="6174"/>
      <c r="C477" s="6175"/>
    </row>
    <row r="478" spans="1:8">
      <c r="A478" s="6173" t="s">
        <v>313</v>
      </c>
      <c r="B478" s="6174"/>
      <c r="C478" s="6175"/>
      <c r="D478" s="129"/>
    </row>
    <row r="479" spans="1:8" ht="26.4">
      <c r="A479" s="1711" t="s">
        <v>314</v>
      </c>
      <c r="B479" s="1712" t="s">
        <v>2023</v>
      </c>
      <c r="C479" s="1712" t="s">
        <v>182</v>
      </c>
      <c r="D479" s="129"/>
    </row>
    <row r="480" spans="1:8">
      <c r="A480" s="1728" t="s">
        <v>2001</v>
      </c>
      <c r="B480" s="1729">
        <f>96+0+0+320</f>
        <v>416</v>
      </c>
      <c r="C480" s="1730">
        <f>2112+0+0+675</f>
        <v>2787</v>
      </c>
      <c r="D480" s="48"/>
    </row>
    <row r="481" spans="1:3">
      <c r="A481" s="1731" t="s">
        <v>2024</v>
      </c>
      <c r="B481" s="1604">
        <f>0+0+140</f>
        <v>140</v>
      </c>
      <c r="C481" s="1604">
        <f>0+0+274</f>
        <v>274</v>
      </c>
    </row>
    <row r="482" spans="1:3">
      <c r="A482" s="1732" t="s">
        <v>2025</v>
      </c>
      <c r="B482" s="1733">
        <f>75+51</f>
        <v>126</v>
      </c>
      <c r="C482" s="1733">
        <f>715+128+51</f>
        <v>894</v>
      </c>
    </row>
    <row r="483" spans="1:3" ht="15.6">
      <c r="A483" s="1734" t="s">
        <v>2026</v>
      </c>
      <c r="B483" s="1604">
        <f>0+0+213</f>
        <v>213</v>
      </c>
      <c r="C483" s="1604">
        <f>0+0+1700</f>
        <v>1700</v>
      </c>
    </row>
    <row r="484" spans="1:3">
      <c r="A484" s="1735" t="s">
        <v>1974</v>
      </c>
      <c r="B484" s="1736">
        <f>0+2880+2024+606</f>
        <v>5510</v>
      </c>
      <c r="C484" s="1736">
        <f>B484*6</f>
        <v>33060</v>
      </c>
    </row>
    <row r="485" spans="1:3">
      <c r="A485" s="1735" t="s">
        <v>2027</v>
      </c>
      <c r="B485" s="1736">
        <v>72</v>
      </c>
      <c r="C485" s="1736">
        <v>185</v>
      </c>
    </row>
    <row r="486" spans="1:3">
      <c r="A486" s="1731" t="s">
        <v>2028</v>
      </c>
      <c r="B486" s="1604">
        <f>0+37+0</f>
        <v>37</v>
      </c>
      <c r="C486" s="1604">
        <f>0+235+0</f>
        <v>235</v>
      </c>
    </row>
    <row r="487" spans="1:3">
      <c r="A487" s="1735" t="s">
        <v>2029</v>
      </c>
      <c r="B487" s="1736">
        <f>0+0+42</f>
        <v>42</v>
      </c>
      <c r="C487" s="1736">
        <f>0+0+333</f>
        <v>333</v>
      </c>
    </row>
    <row r="488" spans="1:3">
      <c r="A488" s="1735" t="s">
        <v>1998</v>
      </c>
      <c r="B488" s="1736">
        <v>79</v>
      </c>
      <c r="C488" s="1736">
        <v>227</v>
      </c>
    </row>
    <row r="489" spans="1:3">
      <c r="A489" s="1735" t="s">
        <v>2030</v>
      </c>
      <c r="B489" s="1736">
        <v>225</v>
      </c>
      <c r="C489" s="1736">
        <v>451</v>
      </c>
    </row>
    <row r="490" spans="1:3">
      <c r="A490" s="1735" t="s">
        <v>553</v>
      </c>
      <c r="B490" s="1736">
        <v>6</v>
      </c>
      <c r="C490" s="1736">
        <v>3420</v>
      </c>
    </row>
    <row r="491" spans="1:3">
      <c r="A491" s="1735" t="s">
        <v>2031</v>
      </c>
      <c r="B491" s="1736">
        <v>73</v>
      </c>
      <c r="C491" s="1736">
        <v>331</v>
      </c>
    </row>
    <row r="492" spans="1:3">
      <c r="A492" s="1735" t="s">
        <v>1977</v>
      </c>
      <c r="B492" s="1736">
        <f>95+287</f>
        <v>382</v>
      </c>
      <c r="C492" s="1736">
        <f>403+574</f>
        <v>977</v>
      </c>
    </row>
    <row r="493" spans="1:3">
      <c r="A493" s="1735" t="s">
        <v>316</v>
      </c>
      <c r="B493" s="1736">
        <f>96+540+182+124</f>
        <v>942</v>
      </c>
      <c r="C493" s="1736">
        <f>2464+4320+1092+496</f>
        <v>8372</v>
      </c>
    </row>
    <row r="494" spans="1:3">
      <c r="A494" s="1737" t="s">
        <v>317</v>
      </c>
      <c r="B494" s="1738">
        <f>0+0+796+170</f>
        <v>966</v>
      </c>
      <c r="C494" s="1738">
        <f>0+0+7956+1589</f>
        <v>9545</v>
      </c>
    </row>
    <row r="495" spans="1:3">
      <c r="A495" s="1737" t="s">
        <v>2032</v>
      </c>
      <c r="B495" s="1738">
        <v>70</v>
      </c>
      <c r="C495" s="1738">
        <v>127</v>
      </c>
    </row>
    <row r="496" spans="1:3">
      <c r="A496" s="1737" t="s">
        <v>2033</v>
      </c>
      <c r="B496" s="1738">
        <v>165</v>
      </c>
      <c r="C496" s="1738">
        <v>4000</v>
      </c>
    </row>
    <row r="497" spans="1:4">
      <c r="A497" s="1737" t="s">
        <v>318</v>
      </c>
      <c r="B497" s="1738">
        <f>274+90400+130500+2974</f>
        <v>224148</v>
      </c>
      <c r="C497" s="1738">
        <f>274+90400+130500+2974</f>
        <v>224148</v>
      </c>
    </row>
    <row r="498" spans="1:4">
      <c r="A498" s="1739" t="s">
        <v>2000</v>
      </c>
      <c r="B498" s="1738">
        <f>33+0+0</f>
        <v>33</v>
      </c>
      <c r="C498" s="1738">
        <f>462+0+0</f>
        <v>462</v>
      </c>
    </row>
    <row r="499" spans="1:4">
      <c r="A499" s="1739" t="s">
        <v>1828</v>
      </c>
      <c r="B499" s="1738">
        <f>0+0+136</f>
        <v>136</v>
      </c>
      <c r="C499" s="1738">
        <f>0+0+1088</f>
        <v>1088</v>
      </c>
    </row>
    <row r="500" spans="1:4">
      <c r="A500" s="1737" t="s">
        <v>408</v>
      </c>
      <c r="B500" s="1738">
        <f>0+0+169</f>
        <v>169</v>
      </c>
      <c r="C500" s="1738">
        <f>0+0+674</f>
        <v>674</v>
      </c>
    </row>
    <row r="501" spans="1:4">
      <c r="A501" s="1737" t="s">
        <v>2034</v>
      </c>
      <c r="B501" s="1738">
        <v>108</v>
      </c>
      <c r="C501" s="1738">
        <v>291</v>
      </c>
    </row>
    <row r="502" spans="1:4">
      <c r="A502" s="1737" t="s">
        <v>674</v>
      </c>
      <c r="B502" s="1738">
        <v>2256</v>
      </c>
      <c r="C502" s="1738">
        <v>2256</v>
      </c>
    </row>
    <row r="503" spans="1:4">
      <c r="A503" s="1737" t="s">
        <v>2035</v>
      </c>
      <c r="B503" s="1738">
        <v>51</v>
      </c>
      <c r="C503" s="1738">
        <v>135</v>
      </c>
    </row>
    <row r="504" spans="1:4">
      <c r="A504" s="1740" t="s">
        <v>319</v>
      </c>
      <c r="B504" s="1738">
        <f>0+39900+0</f>
        <v>39900</v>
      </c>
      <c r="C504" s="1738">
        <f>0+39900+0</f>
        <v>39900</v>
      </c>
    </row>
    <row r="505" spans="1:4">
      <c r="A505" s="1737" t="s">
        <v>2036</v>
      </c>
      <c r="B505" s="1738">
        <v>1</v>
      </c>
      <c r="C505" s="1738">
        <v>120</v>
      </c>
    </row>
    <row r="506" spans="1:4">
      <c r="A506" s="1737" t="s">
        <v>2014</v>
      </c>
      <c r="B506" s="1738">
        <v>79</v>
      </c>
      <c r="C506" s="1738">
        <v>244</v>
      </c>
    </row>
    <row r="507" spans="1:4">
      <c r="A507" s="1737" t="s">
        <v>550</v>
      </c>
      <c r="B507" s="1738">
        <f>0+0+997</f>
        <v>997</v>
      </c>
      <c r="C507" s="1738">
        <f>0+0+997</f>
        <v>997</v>
      </c>
    </row>
    <row r="508" spans="1:4">
      <c r="A508" s="1741" t="s">
        <v>320</v>
      </c>
      <c r="B508" s="1738">
        <f>0+0+15000+5250</f>
        <v>20250</v>
      </c>
      <c r="C508" s="1738">
        <f>0+0+15000+5250</f>
        <v>20250</v>
      </c>
    </row>
    <row r="509" spans="1:4">
      <c r="A509" s="1737" t="s">
        <v>188</v>
      </c>
      <c r="B509" s="1738">
        <f>0+5103+0</f>
        <v>5103</v>
      </c>
      <c r="C509" s="1738">
        <f>0+10206+0</f>
        <v>10206</v>
      </c>
      <c r="D509" s="76"/>
    </row>
    <row r="510" spans="1:4">
      <c r="A510" s="1737" t="s">
        <v>321</v>
      </c>
      <c r="B510" s="1738">
        <f>0+0+105</f>
        <v>105</v>
      </c>
      <c r="C510" s="1738">
        <f>0+0+1050</f>
        <v>1050</v>
      </c>
    </row>
    <row r="511" spans="1:4">
      <c r="A511" s="1741" t="s">
        <v>322</v>
      </c>
      <c r="B511" s="1736">
        <f>96+750+1475+780+1440</f>
        <v>4541</v>
      </c>
      <c r="C511" s="1736">
        <f>1856+6000+2956+1548+2288</f>
        <v>14648</v>
      </c>
    </row>
    <row r="512" spans="1:4">
      <c r="A512" s="1741" t="s">
        <v>2037</v>
      </c>
      <c r="B512" s="1736">
        <f>0+0+477+49</f>
        <v>526</v>
      </c>
      <c r="C512" s="1736">
        <f>0+0+2862+98</f>
        <v>2960</v>
      </c>
    </row>
    <row r="513" spans="1:8">
      <c r="A513" s="1741" t="s">
        <v>1760</v>
      </c>
      <c r="B513" s="1736">
        <f>96+0+0+75</f>
        <v>171</v>
      </c>
      <c r="C513" s="1736">
        <f>2144+0+0+304</f>
        <v>2448</v>
      </c>
    </row>
    <row r="514" spans="1:8">
      <c r="A514" s="1737" t="s">
        <v>1761</v>
      </c>
      <c r="B514" s="1738">
        <f>96+0+0+50</f>
        <v>146</v>
      </c>
      <c r="C514" s="1736">
        <f>2112+0+0+419</f>
        <v>2531</v>
      </c>
    </row>
    <row r="515" spans="1:8">
      <c r="A515" s="1702" t="s">
        <v>71</v>
      </c>
      <c r="B515" s="1703">
        <f>SUM(B480:B514)</f>
        <v>308184</v>
      </c>
      <c r="C515" s="1704">
        <f>SUM(C480:C514)</f>
        <v>391326</v>
      </c>
    </row>
    <row r="519" spans="1:8" ht="15.6">
      <c r="A519" s="6153" t="s">
        <v>2062</v>
      </c>
      <c r="B519" s="6154"/>
      <c r="C519" s="6155"/>
      <c r="E519" s="6153" t="s">
        <v>2063</v>
      </c>
      <c r="F519" s="6154"/>
      <c r="G519" s="6154"/>
      <c r="H519" s="6155"/>
    </row>
    <row r="520" spans="1:8" ht="15.6">
      <c r="A520" s="6153" t="s">
        <v>312</v>
      </c>
      <c r="B520" s="6154"/>
      <c r="C520" s="6155"/>
      <c r="E520" s="6190" t="s">
        <v>314</v>
      </c>
      <c r="F520" s="6191" t="s">
        <v>315</v>
      </c>
      <c r="G520" s="6192" t="s">
        <v>184</v>
      </c>
      <c r="H520" s="6193"/>
    </row>
    <row r="521" spans="1:8" ht="26.4">
      <c r="A521" s="1711" t="s">
        <v>183</v>
      </c>
      <c r="B521" s="1712" t="s">
        <v>2005</v>
      </c>
      <c r="C521" s="1712" t="s">
        <v>2006</v>
      </c>
      <c r="E521" s="6161"/>
      <c r="F521" s="6161"/>
      <c r="G521" s="1713" t="s">
        <v>1756</v>
      </c>
      <c r="H521" s="1714" t="s">
        <v>1757</v>
      </c>
    </row>
    <row r="522" spans="1:8">
      <c r="A522" s="1715" t="s">
        <v>186</v>
      </c>
      <c r="B522" s="1691">
        <v>8</v>
      </c>
      <c r="C522" s="1692">
        <f>0+18+30+91</f>
        <v>139</v>
      </c>
      <c r="E522" s="1742" t="s">
        <v>2041</v>
      </c>
      <c r="F522" s="6194" t="s">
        <v>2042</v>
      </c>
      <c r="G522" s="6196">
        <v>940</v>
      </c>
      <c r="H522" s="6181">
        <v>3100</v>
      </c>
    </row>
    <row r="523" spans="1:8">
      <c r="A523" s="1715" t="s">
        <v>1758</v>
      </c>
      <c r="B523" s="1691">
        <v>8</v>
      </c>
      <c r="C523" s="1692">
        <f>0+0+0+1842</f>
        <v>1842</v>
      </c>
      <c r="E523" s="6186" t="s">
        <v>2009</v>
      </c>
      <c r="F523" s="6195"/>
      <c r="G523" s="6197"/>
      <c r="H523" s="6185"/>
    </row>
    <row r="524" spans="1:8">
      <c r="A524" s="1717" t="s">
        <v>185</v>
      </c>
      <c r="B524" s="1718">
        <v>18</v>
      </c>
      <c r="C524" s="1718">
        <f>141+0+50+538</f>
        <v>729</v>
      </c>
      <c r="E524" s="6186"/>
      <c r="F524" s="6188" t="s">
        <v>2010</v>
      </c>
      <c r="G524" s="6197"/>
      <c r="H524" s="6185"/>
    </row>
    <row r="525" spans="1:8">
      <c r="A525" s="1719" t="s">
        <v>2043</v>
      </c>
      <c r="B525" s="1720">
        <v>1</v>
      </c>
      <c r="C525" s="1720">
        <f>0+24</f>
        <v>24</v>
      </c>
      <c r="E525" s="6186"/>
      <c r="F525" s="6188"/>
      <c r="G525" s="6197"/>
      <c r="H525" s="6185"/>
    </row>
    <row r="526" spans="1:8">
      <c r="A526" s="1717" t="s">
        <v>1826</v>
      </c>
      <c r="B526" s="1718">
        <v>1</v>
      </c>
      <c r="C526" s="1718">
        <v>34</v>
      </c>
      <c r="E526" s="6186"/>
      <c r="F526" s="6188"/>
      <c r="G526" s="6197"/>
      <c r="H526" s="6185"/>
    </row>
    <row r="527" spans="1:8">
      <c r="A527" s="1717" t="s">
        <v>2013</v>
      </c>
      <c r="B527" s="1718">
        <v>7</v>
      </c>
      <c r="C527" s="1718">
        <f>0+0+0+28</f>
        <v>28</v>
      </c>
      <c r="E527" s="6186" t="s">
        <v>2012</v>
      </c>
      <c r="F527" s="6188"/>
      <c r="G527" s="6197"/>
      <c r="H527" s="6185"/>
    </row>
    <row r="528" spans="1:8">
      <c r="A528" s="1717" t="s">
        <v>1827</v>
      </c>
      <c r="B528" s="1718">
        <v>5</v>
      </c>
      <c r="C528" s="1718">
        <f>0+0+80+289</f>
        <v>369</v>
      </c>
      <c r="E528" s="6186"/>
      <c r="F528" s="6188"/>
      <c r="G528" s="6197"/>
      <c r="H528" s="6185"/>
    </row>
    <row r="529" spans="1:8">
      <c r="A529" s="1717" t="s">
        <v>1986</v>
      </c>
      <c r="B529" s="1718">
        <v>2</v>
      </c>
      <c r="C529" s="1718">
        <f>0+0+0+34</f>
        <v>34</v>
      </c>
      <c r="E529" s="6186"/>
      <c r="F529" s="6188"/>
      <c r="G529" s="6197"/>
      <c r="H529" s="6185"/>
    </row>
    <row r="530" spans="1:8">
      <c r="A530" s="1717" t="s">
        <v>1962</v>
      </c>
      <c r="B530" s="1718">
        <v>4</v>
      </c>
      <c r="C530" s="1718">
        <f>0+0+0+112</f>
        <v>112</v>
      </c>
      <c r="E530" s="6186"/>
      <c r="F530" s="6188"/>
      <c r="G530" s="6197"/>
      <c r="H530" s="6185"/>
    </row>
    <row r="531" spans="1:8">
      <c r="A531" s="1721" t="s">
        <v>2044</v>
      </c>
      <c r="B531" s="1718">
        <v>2</v>
      </c>
      <c r="C531" s="1718">
        <f>0+0+17+3</f>
        <v>20</v>
      </c>
      <c r="E531" s="6186"/>
      <c r="F531" s="6188"/>
      <c r="G531" s="6197"/>
      <c r="H531" s="6185"/>
    </row>
    <row r="532" spans="1:8">
      <c r="A532" s="1721" t="s">
        <v>316</v>
      </c>
      <c r="B532" s="1718">
        <v>21</v>
      </c>
      <c r="C532" s="1718">
        <f>4752+120+4464+1687</f>
        <v>11023</v>
      </c>
      <c r="E532" s="6187"/>
      <c r="F532" s="6189"/>
      <c r="G532" s="6198"/>
      <c r="H532" s="6182"/>
    </row>
    <row r="533" spans="1:8">
      <c r="A533" s="1721" t="s">
        <v>2045</v>
      </c>
      <c r="B533" s="1718">
        <v>1</v>
      </c>
      <c r="C533" s="1718">
        <f>0+0+0+387</f>
        <v>387</v>
      </c>
      <c r="E533" s="1743" t="s">
        <v>2046</v>
      </c>
      <c r="F533" s="6179" t="s">
        <v>2047</v>
      </c>
      <c r="G533" s="6179">
        <v>1332</v>
      </c>
      <c r="H533" s="6181">
        <v>13642</v>
      </c>
    </row>
    <row r="534" spans="1:8">
      <c r="A534" s="1721" t="s">
        <v>406</v>
      </c>
      <c r="B534" s="1718">
        <v>2</v>
      </c>
      <c r="C534" s="1718">
        <f>0+210</f>
        <v>210</v>
      </c>
      <c r="E534" s="6186" t="s">
        <v>2048</v>
      </c>
      <c r="F534" s="6184"/>
      <c r="G534" s="6184"/>
      <c r="H534" s="6185"/>
    </row>
    <row r="535" spans="1:8">
      <c r="A535" s="1721" t="s">
        <v>317</v>
      </c>
      <c r="B535" s="1718">
        <v>14</v>
      </c>
      <c r="C535" s="1695">
        <f>1297+1929</f>
        <v>3226</v>
      </c>
      <c r="E535" s="6186"/>
      <c r="F535" s="6188" t="s">
        <v>2010</v>
      </c>
      <c r="G535" s="6184"/>
      <c r="H535" s="6185"/>
    </row>
    <row r="536" spans="1:8">
      <c r="A536" s="1721" t="s">
        <v>1829</v>
      </c>
      <c r="B536" s="1718">
        <v>2</v>
      </c>
      <c r="C536" s="1718">
        <f>140+37</f>
        <v>177</v>
      </c>
      <c r="E536" s="6186"/>
      <c r="F536" s="6188"/>
      <c r="G536" s="6184"/>
      <c r="H536" s="6185"/>
    </row>
    <row r="537" spans="1:8">
      <c r="A537" s="1721" t="s">
        <v>1990</v>
      </c>
      <c r="B537" s="1718">
        <v>1</v>
      </c>
      <c r="C537" s="1718">
        <f>281</f>
        <v>281</v>
      </c>
      <c r="E537" s="6186"/>
      <c r="F537" s="6188"/>
      <c r="G537" s="6184"/>
      <c r="H537" s="6185"/>
    </row>
    <row r="538" spans="1:8">
      <c r="A538" s="1721" t="s">
        <v>2049</v>
      </c>
      <c r="B538" s="1718">
        <v>1</v>
      </c>
      <c r="C538" s="1718">
        <f>318</f>
        <v>318</v>
      </c>
      <c r="E538" s="6186"/>
      <c r="F538" s="6188"/>
      <c r="G538" s="6184"/>
      <c r="H538" s="6185"/>
    </row>
    <row r="539" spans="1:8">
      <c r="A539" s="1721" t="s">
        <v>1828</v>
      </c>
      <c r="B539" s="1718">
        <v>3</v>
      </c>
      <c r="C539" s="1718">
        <v>17</v>
      </c>
      <c r="E539" s="6186"/>
      <c r="F539" s="6188"/>
      <c r="G539" s="6184"/>
      <c r="H539" s="6185"/>
    </row>
    <row r="540" spans="1:8">
      <c r="A540" s="1727" t="s">
        <v>1965</v>
      </c>
      <c r="B540" s="1718">
        <v>2</v>
      </c>
      <c r="C540" s="1718">
        <v>67</v>
      </c>
      <c r="E540" s="6186"/>
      <c r="F540" s="6188"/>
      <c r="G540" s="6184"/>
      <c r="H540" s="6185"/>
    </row>
    <row r="541" spans="1:8">
      <c r="A541" s="1721" t="s">
        <v>1968</v>
      </c>
      <c r="B541" s="1718">
        <v>3</v>
      </c>
      <c r="C541" s="1695">
        <f>225+360</f>
        <v>585</v>
      </c>
      <c r="E541" s="6186"/>
      <c r="F541" s="6188"/>
      <c r="G541" s="6184"/>
      <c r="H541" s="6185"/>
    </row>
    <row r="542" spans="1:8">
      <c r="A542" s="1721" t="s">
        <v>1970</v>
      </c>
      <c r="B542" s="1718">
        <v>6</v>
      </c>
      <c r="C542" s="1718">
        <f>0+0+0+122</f>
        <v>122</v>
      </c>
      <c r="E542" s="6187"/>
      <c r="F542" s="6189"/>
      <c r="G542" s="6180"/>
      <c r="H542" s="6182"/>
    </row>
    <row r="543" spans="1:8">
      <c r="A543" s="1721" t="s">
        <v>188</v>
      </c>
      <c r="B543" s="1718">
        <v>3</v>
      </c>
      <c r="C543" s="1718">
        <f>0+0+65</f>
        <v>65</v>
      </c>
      <c r="E543" s="6177" t="s">
        <v>2050</v>
      </c>
      <c r="F543" s="1744" t="s">
        <v>2051</v>
      </c>
      <c r="G543" s="6179">
        <f>1469+239+133+1696+1309</f>
        <v>4846</v>
      </c>
      <c r="H543" s="6181">
        <f>1700+60+30+2000+1600</f>
        <v>5390</v>
      </c>
    </row>
    <row r="544" spans="1:8">
      <c r="A544" s="1721" t="s">
        <v>187</v>
      </c>
      <c r="B544" s="1718">
        <v>2</v>
      </c>
      <c r="C544" s="1718">
        <f>0+0+56</f>
        <v>56</v>
      </c>
      <c r="E544" s="6178"/>
      <c r="F544" s="1745" t="s">
        <v>2052</v>
      </c>
      <c r="G544" s="6180"/>
      <c r="H544" s="6182"/>
    </row>
    <row r="545" spans="1:8">
      <c r="A545" s="1721" t="s">
        <v>322</v>
      </c>
      <c r="B545" s="1718">
        <v>6</v>
      </c>
      <c r="C545" s="1718">
        <f>0+15+0+99</f>
        <v>114</v>
      </c>
      <c r="E545" s="6177" t="s">
        <v>2053</v>
      </c>
      <c r="F545" s="1745" t="s">
        <v>2054</v>
      </c>
      <c r="G545" s="6179">
        <f>526+101+141+757+675</f>
        <v>2200</v>
      </c>
      <c r="H545" s="6181">
        <v>5390</v>
      </c>
    </row>
    <row r="546" spans="1:8">
      <c r="A546" s="1721" t="s">
        <v>407</v>
      </c>
      <c r="B546" s="1720">
        <v>4</v>
      </c>
      <c r="C546" s="1720">
        <f>522</f>
        <v>522</v>
      </c>
      <c r="E546" s="6183"/>
      <c r="F546" s="1745" t="s">
        <v>2055</v>
      </c>
      <c r="G546" s="6184"/>
      <c r="H546" s="6185"/>
    </row>
    <row r="547" spans="1:8">
      <c r="A547" s="1721" t="s">
        <v>1971</v>
      </c>
      <c r="B547" s="1695">
        <v>3</v>
      </c>
      <c r="C547" s="1695">
        <v>50</v>
      </c>
      <c r="E547" s="6178"/>
      <c r="F547" s="1746" t="s">
        <v>2056</v>
      </c>
      <c r="G547" s="6180"/>
      <c r="H547" s="6182"/>
    </row>
    <row r="548" spans="1:8">
      <c r="A548" s="1747" t="s">
        <v>2037</v>
      </c>
      <c r="B548" s="1718">
        <v>11</v>
      </c>
      <c r="C548" s="1695">
        <f>22+0+144+355</f>
        <v>521</v>
      </c>
      <c r="E548" s="1726">
        <v>4</v>
      </c>
      <c r="F548" s="1704" t="s">
        <v>15</v>
      </c>
      <c r="G548" s="1704">
        <f>SUM(G522:G547)</f>
        <v>9318</v>
      </c>
      <c r="H548" s="1704">
        <f>SUM(H522:H547)</f>
        <v>27522</v>
      </c>
    </row>
    <row r="549" spans="1:8">
      <c r="A549" s="1747" t="s">
        <v>552</v>
      </c>
      <c r="B549" s="1718">
        <v>6</v>
      </c>
      <c r="C549" s="1695">
        <v>26</v>
      </c>
    </row>
    <row r="550" spans="1:8">
      <c r="A550" s="1702" t="s">
        <v>71</v>
      </c>
      <c r="B550" s="1703">
        <f>SUM(B522:B549)</f>
        <v>147</v>
      </c>
      <c r="C550" s="1704">
        <f>SUM(C522:C549)</f>
        <v>21098</v>
      </c>
    </row>
    <row r="551" spans="1:8">
      <c r="A551" s="6172" t="s">
        <v>323</v>
      </c>
      <c r="B551" s="6172"/>
      <c r="C551" s="6172"/>
      <c r="F551" s="1705">
        <f>SUM(B550,E548)</f>
        <v>151</v>
      </c>
    </row>
    <row r="552" spans="1:8">
      <c r="A552" s="1710"/>
      <c r="B552" s="1710"/>
      <c r="C552" s="1710"/>
      <c r="D552" s="129"/>
    </row>
    <row r="553" spans="1:8">
      <c r="A553" s="6173" t="s">
        <v>2064</v>
      </c>
      <c r="B553" s="6174"/>
      <c r="C553" s="6175"/>
      <c r="D553" s="129"/>
    </row>
    <row r="554" spans="1:8">
      <c r="A554" s="6173" t="s">
        <v>313</v>
      </c>
      <c r="B554" s="6174"/>
      <c r="C554" s="6175"/>
      <c r="D554" s="48"/>
    </row>
    <row r="555" spans="1:8" ht="26.4">
      <c r="A555" s="1711" t="s">
        <v>314</v>
      </c>
      <c r="B555" s="1712" t="s">
        <v>2023</v>
      </c>
      <c r="C555" s="1712" t="s">
        <v>182</v>
      </c>
    </row>
    <row r="556" spans="1:8">
      <c r="A556" s="1748" t="s">
        <v>2001</v>
      </c>
      <c r="B556" s="1691">
        <f>332+96+23</f>
        <v>451</v>
      </c>
      <c r="C556" s="1692">
        <f>665+1440+46</f>
        <v>2151</v>
      </c>
    </row>
    <row r="557" spans="1:8">
      <c r="A557" s="1717" t="s">
        <v>2057</v>
      </c>
      <c r="B557" s="1718">
        <v>108</v>
      </c>
      <c r="C557" s="1718">
        <v>1620</v>
      </c>
    </row>
    <row r="558" spans="1:8">
      <c r="A558" s="1749" t="s">
        <v>2025</v>
      </c>
      <c r="B558" s="1750">
        <f>3+315+820</f>
        <v>1138</v>
      </c>
      <c r="C558" s="1750">
        <f>213+1260+9020</f>
        <v>10493</v>
      </c>
    </row>
    <row r="559" spans="1:8">
      <c r="A559" s="1751" t="s">
        <v>1974</v>
      </c>
      <c r="B559" s="1695">
        <f>1194+685+1669</f>
        <v>3548</v>
      </c>
      <c r="C559" s="1695">
        <f>4775+6850+10014</f>
        <v>21639</v>
      </c>
    </row>
    <row r="560" spans="1:8">
      <c r="A560" s="1751" t="s">
        <v>2058</v>
      </c>
      <c r="B560" s="1695">
        <v>1</v>
      </c>
      <c r="C560" s="1695">
        <v>167</v>
      </c>
    </row>
    <row r="561" spans="1:3">
      <c r="A561" s="1751" t="s">
        <v>2059</v>
      </c>
      <c r="B561" s="1695">
        <v>3</v>
      </c>
      <c r="C561" s="1695">
        <v>5438</v>
      </c>
    </row>
    <row r="562" spans="1:3">
      <c r="A562" s="1751" t="s">
        <v>1962</v>
      </c>
      <c r="B562" s="1695">
        <v>10</v>
      </c>
      <c r="C562" s="1695">
        <v>406</v>
      </c>
    </row>
    <row r="563" spans="1:3">
      <c r="A563" s="1751" t="s">
        <v>553</v>
      </c>
      <c r="B563" s="1695">
        <v>10</v>
      </c>
      <c r="C563" s="1695">
        <v>4451</v>
      </c>
    </row>
    <row r="564" spans="1:3">
      <c r="A564" s="1751" t="s">
        <v>1977</v>
      </c>
      <c r="B564" s="1695">
        <v>185</v>
      </c>
      <c r="C564" s="1695">
        <v>1486</v>
      </c>
    </row>
    <row r="565" spans="1:3">
      <c r="A565" s="1751" t="s">
        <v>316</v>
      </c>
      <c r="B565" s="1695">
        <f>11+525+350</f>
        <v>886</v>
      </c>
      <c r="C565" s="1695">
        <f>113+4200+4560</f>
        <v>8873</v>
      </c>
    </row>
    <row r="566" spans="1:3">
      <c r="A566" s="1721" t="s">
        <v>317</v>
      </c>
      <c r="B566" s="1718">
        <f>362+96+270+339</f>
        <v>1067</v>
      </c>
      <c r="C566" s="1718">
        <f>3623+1920+6558+4068</f>
        <v>16169</v>
      </c>
    </row>
    <row r="567" spans="1:3">
      <c r="A567" s="1721" t="s">
        <v>2060</v>
      </c>
      <c r="B567" s="1718">
        <v>38</v>
      </c>
      <c r="C567" s="1718">
        <v>380</v>
      </c>
    </row>
    <row r="568" spans="1:3">
      <c r="A568" s="1721" t="s">
        <v>1978</v>
      </c>
      <c r="B568" s="1718">
        <v>10</v>
      </c>
      <c r="C568" s="1718">
        <v>50</v>
      </c>
    </row>
    <row r="569" spans="1:3">
      <c r="A569" s="1721" t="s">
        <v>318</v>
      </c>
      <c r="B569" s="1718">
        <f>168000+26400+180</f>
        <v>194580</v>
      </c>
      <c r="C569" s="1718">
        <f>168000+26400+90000</f>
        <v>284400</v>
      </c>
    </row>
    <row r="570" spans="1:3">
      <c r="A570" s="1717" t="s">
        <v>2000</v>
      </c>
      <c r="B570" s="1718">
        <f>33</f>
        <v>33</v>
      </c>
      <c r="C570" s="1718">
        <f>396</f>
        <v>396</v>
      </c>
    </row>
    <row r="571" spans="1:3">
      <c r="A571" s="1717" t="s">
        <v>1828</v>
      </c>
      <c r="B571" s="1718">
        <f>32+72</f>
        <v>104</v>
      </c>
      <c r="C571" s="1718">
        <f>320+1296</f>
        <v>1616</v>
      </c>
    </row>
    <row r="572" spans="1:3">
      <c r="A572" s="1721" t="s">
        <v>408</v>
      </c>
      <c r="B572" s="1718">
        <v>108</v>
      </c>
      <c r="C572" s="1718">
        <v>756</v>
      </c>
    </row>
    <row r="573" spans="1:3">
      <c r="A573" s="1721" t="s">
        <v>319</v>
      </c>
      <c r="B573" s="1718">
        <f>42000+180</f>
        <v>42180</v>
      </c>
      <c r="C573" s="1718">
        <f>42000+10800</f>
        <v>52800</v>
      </c>
    </row>
    <row r="574" spans="1:3">
      <c r="A574" s="1721" t="s">
        <v>2036</v>
      </c>
      <c r="B574" s="1718">
        <v>1</v>
      </c>
      <c r="C574" s="1718">
        <v>102</v>
      </c>
    </row>
    <row r="575" spans="1:3">
      <c r="A575" s="1721" t="s">
        <v>2014</v>
      </c>
      <c r="B575" s="1718">
        <v>3</v>
      </c>
      <c r="C575" s="1718">
        <v>69</v>
      </c>
    </row>
    <row r="576" spans="1:3">
      <c r="A576" s="1721" t="s">
        <v>550</v>
      </c>
      <c r="B576" s="1718">
        <v>231</v>
      </c>
      <c r="C576" s="1718">
        <v>3465</v>
      </c>
    </row>
    <row r="577" spans="1:8">
      <c r="A577" s="1727" t="s">
        <v>320</v>
      </c>
      <c r="B577" s="1718">
        <v>180</v>
      </c>
      <c r="C577" s="1718">
        <v>12600</v>
      </c>
    </row>
    <row r="578" spans="1:8">
      <c r="A578" s="1721" t="s">
        <v>188</v>
      </c>
      <c r="B578" s="1718">
        <v>8750</v>
      </c>
      <c r="C578" s="1718">
        <v>17500</v>
      </c>
    </row>
    <row r="579" spans="1:8">
      <c r="A579" s="1721" t="s">
        <v>321</v>
      </c>
      <c r="B579" s="1718">
        <f>4+108</f>
        <v>112</v>
      </c>
      <c r="C579" s="1718">
        <f>25+1404</f>
        <v>1429</v>
      </c>
    </row>
    <row r="580" spans="1:8">
      <c r="A580" s="1727" t="s">
        <v>187</v>
      </c>
      <c r="B580" s="1718">
        <f>40+595+7</f>
        <v>642</v>
      </c>
      <c r="C580" s="1695">
        <f>80+1190+14</f>
        <v>1284</v>
      </c>
    </row>
    <row r="581" spans="1:8">
      <c r="A581" s="1727" t="s">
        <v>322</v>
      </c>
      <c r="B581" s="1695">
        <f>527+96+443</f>
        <v>1066</v>
      </c>
      <c r="C581" s="1695">
        <f>2110+1152+1772</f>
        <v>5034</v>
      </c>
    </row>
    <row r="582" spans="1:8">
      <c r="A582" s="1727" t="s">
        <v>2037</v>
      </c>
      <c r="B582" s="1695">
        <f>84+365</f>
        <v>449</v>
      </c>
      <c r="C582" s="1695">
        <f>421+2920</f>
        <v>3341</v>
      </c>
    </row>
    <row r="583" spans="1:8">
      <c r="A583" s="1727" t="s">
        <v>1760</v>
      </c>
      <c r="B583" s="1695">
        <f>0+96</f>
        <v>96</v>
      </c>
      <c r="C583" s="1695">
        <f>0+1536</f>
        <v>1536</v>
      </c>
      <c r="D583" s="76"/>
    </row>
    <row r="584" spans="1:8">
      <c r="A584" s="1721" t="s">
        <v>1761</v>
      </c>
      <c r="B584" s="1718">
        <f>0+96</f>
        <v>96</v>
      </c>
      <c r="C584" s="1695">
        <f>0+1728</f>
        <v>1728</v>
      </c>
    </row>
    <row r="585" spans="1:8">
      <c r="A585" s="1702" t="s">
        <v>71</v>
      </c>
      <c r="B585" s="1703">
        <f>SUM(B556:B584)</f>
        <v>256086</v>
      </c>
      <c r="C585" s="1704">
        <f>SUM(C556:C584)</f>
        <v>461379</v>
      </c>
    </row>
    <row r="586" spans="1:8">
      <c r="A586" s="6176" t="s">
        <v>323</v>
      </c>
      <c r="B586" s="6176"/>
      <c r="C586" s="6176"/>
    </row>
    <row r="587" spans="1:8">
      <c r="A587" s="6176" t="s">
        <v>2061</v>
      </c>
      <c r="B587" s="6176"/>
      <c r="C587" s="6176"/>
    </row>
    <row r="591" spans="1:8" ht="15.6">
      <c r="A591" s="6153" t="s">
        <v>2079</v>
      </c>
      <c r="B591" s="6154"/>
      <c r="C591" s="6155"/>
      <c r="E591" s="6162" t="s">
        <v>2080</v>
      </c>
      <c r="F591" s="6163"/>
      <c r="G591" s="6163"/>
      <c r="H591" s="6164"/>
    </row>
    <row r="592" spans="1:8" ht="15.6">
      <c r="A592" s="6162" t="s">
        <v>312</v>
      </c>
      <c r="B592" s="6163"/>
      <c r="C592" s="6164"/>
      <c r="E592" s="6168" t="s">
        <v>314</v>
      </c>
      <c r="F592" s="6169" t="s">
        <v>315</v>
      </c>
      <c r="G592" s="6170" t="s">
        <v>184</v>
      </c>
      <c r="H592" s="6171"/>
    </row>
    <row r="593" spans="1:8">
      <c r="A593" s="6159" t="s">
        <v>183</v>
      </c>
      <c r="B593" s="6160" t="s">
        <v>814</v>
      </c>
      <c r="C593" s="6160" t="s">
        <v>815</v>
      </c>
      <c r="E593" s="6146"/>
      <c r="F593" s="6146"/>
      <c r="G593" s="1752" t="s">
        <v>1756</v>
      </c>
      <c r="H593" s="1709" t="s">
        <v>1757</v>
      </c>
    </row>
    <row r="594" spans="1:8">
      <c r="A594" s="6159"/>
      <c r="B594" s="6128"/>
      <c r="C594" s="6128"/>
      <c r="E594" s="1753"/>
      <c r="F594" s="1753"/>
      <c r="G594" s="1753"/>
    </row>
    <row r="595" spans="1:8">
      <c r="A595" s="1690" t="s">
        <v>186</v>
      </c>
      <c r="B595" s="1691">
        <v>12</v>
      </c>
      <c r="C595" s="1692">
        <v>900</v>
      </c>
      <c r="E595" s="1754" t="s">
        <v>1987</v>
      </c>
      <c r="F595" s="1687" t="s">
        <v>2065</v>
      </c>
      <c r="G595" s="1688">
        <v>1149</v>
      </c>
      <c r="H595" s="1733">
        <f>15426-1149</f>
        <v>14277</v>
      </c>
    </row>
    <row r="596" spans="1:8">
      <c r="A596" s="1694" t="s">
        <v>2066</v>
      </c>
      <c r="B596" s="1695">
        <v>2</v>
      </c>
      <c r="C596" s="1695">
        <v>35</v>
      </c>
      <c r="E596" s="6165" t="s">
        <v>821</v>
      </c>
      <c r="F596" s="6166" t="s">
        <v>2067</v>
      </c>
      <c r="G596" s="6166">
        <v>3563</v>
      </c>
      <c r="H596" s="6167">
        <v>4945</v>
      </c>
    </row>
    <row r="597" spans="1:8">
      <c r="A597" s="1694" t="s">
        <v>185</v>
      </c>
      <c r="B597" s="1695">
        <v>11</v>
      </c>
      <c r="C597" s="1695">
        <v>774</v>
      </c>
      <c r="E597" s="6165"/>
      <c r="F597" s="6166"/>
      <c r="G597" s="6166"/>
      <c r="H597" s="6152"/>
    </row>
    <row r="598" spans="1:8" ht="26.4">
      <c r="A598" s="1755" t="s">
        <v>2011</v>
      </c>
      <c r="B598" s="1695">
        <v>20</v>
      </c>
      <c r="C598" s="1695">
        <v>858</v>
      </c>
      <c r="E598" s="1735" t="s">
        <v>822</v>
      </c>
      <c r="F598" s="1736" t="s">
        <v>2068</v>
      </c>
      <c r="G598" s="1736">
        <v>2698</v>
      </c>
      <c r="H598" s="1756">
        <v>4945</v>
      </c>
    </row>
    <row r="599" spans="1:8">
      <c r="A599" s="1694" t="s">
        <v>1826</v>
      </c>
      <c r="B599" s="1695">
        <v>1</v>
      </c>
      <c r="C599" s="1695">
        <v>36</v>
      </c>
      <c r="E599" s="1739" t="s">
        <v>823</v>
      </c>
      <c r="F599" s="1738" t="s">
        <v>2065</v>
      </c>
      <c r="G599" s="1738">
        <v>558</v>
      </c>
      <c r="H599" s="1733">
        <v>2360</v>
      </c>
    </row>
    <row r="600" spans="1:8">
      <c r="A600" s="1694" t="s">
        <v>2013</v>
      </c>
      <c r="B600" s="1695">
        <v>8</v>
      </c>
      <c r="C600" s="1695">
        <v>43</v>
      </c>
    </row>
    <row r="601" spans="1:8">
      <c r="A601" s="1755" t="s">
        <v>2069</v>
      </c>
      <c r="B601" s="1695">
        <v>4</v>
      </c>
      <c r="C601" s="1695">
        <v>191</v>
      </c>
      <c r="E601" s="1698" t="s">
        <v>71</v>
      </c>
      <c r="F601" s="1763">
        <v>10</v>
      </c>
      <c r="G601" s="1699">
        <f>SUM(G595:G599)</f>
        <v>7968</v>
      </c>
      <c r="H601" s="1699">
        <f>SUM(H595:H599)</f>
        <v>26527</v>
      </c>
    </row>
    <row r="602" spans="1:8">
      <c r="A602" s="1694" t="s">
        <v>2070</v>
      </c>
      <c r="B602" s="1695">
        <v>3</v>
      </c>
      <c r="C602" s="1695">
        <v>1162</v>
      </c>
    </row>
    <row r="603" spans="1:8">
      <c r="A603" s="1694" t="s">
        <v>1827</v>
      </c>
      <c r="B603" s="1695">
        <v>8</v>
      </c>
      <c r="C603" s="1695">
        <v>355</v>
      </c>
    </row>
    <row r="604" spans="1:8">
      <c r="A604" s="1694" t="s">
        <v>1986</v>
      </c>
      <c r="B604" s="1695">
        <v>1</v>
      </c>
      <c r="C604" s="1695">
        <v>15</v>
      </c>
    </row>
    <row r="605" spans="1:8">
      <c r="A605" s="1694" t="s">
        <v>1962</v>
      </c>
      <c r="B605" s="1695">
        <v>1</v>
      </c>
      <c r="C605" s="1695">
        <v>23</v>
      </c>
    </row>
    <row r="606" spans="1:8">
      <c r="A606" s="1694" t="s">
        <v>2044</v>
      </c>
      <c r="B606" s="1695">
        <v>1</v>
      </c>
      <c r="C606" s="1695">
        <v>32</v>
      </c>
    </row>
    <row r="607" spans="1:8">
      <c r="A607" s="1694" t="s">
        <v>316</v>
      </c>
      <c r="B607" s="1695">
        <v>24</v>
      </c>
      <c r="C607" s="1695">
        <v>8887</v>
      </c>
    </row>
    <row r="608" spans="1:8">
      <c r="A608" s="1694" t="s">
        <v>2071</v>
      </c>
      <c r="B608" s="1695">
        <v>3</v>
      </c>
      <c r="C608" s="1695">
        <v>407</v>
      </c>
    </row>
    <row r="609" spans="1:6">
      <c r="A609" s="1694" t="s">
        <v>406</v>
      </c>
      <c r="B609" s="1695">
        <v>2</v>
      </c>
      <c r="C609" s="1695">
        <v>430</v>
      </c>
    </row>
    <row r="610" spans="1:6">
      <c r="A610" s="1694" t="s">
        <v>317</v>
      </c>
      <c r="B610" s="1695">
        <v>10</v>
      </c>
      <c r="C610" s="1695">
        <v>3460</v>
      </c>
    </row>
    <row r="611" spans="1:6">
      <c r="A611" s="1694" t="s">
        <v>1829</v>
      </c>
      <c r="B611" s="1695">
        <v>6</v>
      </c>
      <c r="C611" s="1695">
        <v>195</v>
      </c>
    </row>
    <row r="612" spans="1:6">
      <c r="A612" s="1694" t="s">
        <v>1965</v>
      </c>
      <c r="B612" s="1695">
        <v>3</v>
      </c>
      <c r="C612" s="1695">
        <v>85</v>
      </c>
    </row>
    <row r="613" spans="1:6">
      <c r="A613" s="1694" t="s">
        <v>1968</v>
      </c>
      <c r="B613" s="1695">
        <v>1</v>
      </c>
      <c r="C613" s="1695">
        <v>412</v>
      </c>
    </row>
    <row r="614" spans="1:6">
      <c r="A614" s="1700" t="s">
        <v>1970</v>
      </c>
      <c r="B614" s="1695">
        <v>9</v>
      </c>
      <c r="C614" s="1695">
        <f>32+93</f>
        <v>125</v>
      </c>
    </row>
    <row r="615" spans="1:6">
      <c r="A615" s="1694" t="s">
        <v>188</v>
      </c>
      <c r="B615" s="1695">
        <v>2</v>
      </c>
      <c r="C615" s="1695">
        <v>125</v>
      </c>
    </row>
    <row r="616" spans="1:6">
      <c r="A616" s="1694" t="s">
        <v>187</v>
      </c>
      <c r="B616" s="1695">
        <v>4</v>
      </c>
      <c r="C616" s="1695">
        <v>266</v>
      </c>
    </row>
    <row r="617" spans="1:6">
      <c r="A617" s="1694" t="s">
        <v>322</v>
      </c>
      <c r="B617" s="1695">
        <v>10</v>
      </c>
      <c r="C617" s="1695">
        <v>180</v>
      </c>
      <c r="F617" s="76" t="s">
        <v>2072</v>
      </c>
    </row>
    <row r="618" spans="1:6">
      <c r="A618" s="1701" t="s">
        <v>407</v>
      </c>
      <c r="B618" s="1695">
        <v>5</v>
      </c>
      <c r="C618" s="1695">
        <f>593+60</f>
        <v>653</v>
      </c>
    </row>
    <row r="619" spans="1:6">
      <c r="A619" s="1700" t="s">
        <v>1973</v>
      </c>
      <c r="B619" s="1695">
        <v>2</v>
      </c>
      <c r="C619" s="1695">
        <v>127</v>
      </c>
    </row>
    <row r="620" spans="1:6">
      <c r="A620" s="1691" t="s">
        <v>2073</v>
      </c>
      <c r="B620" s="1695">
        <v>16</v>
      </c>
      <c r="C620" s="1695">
        <v>704</v>
      </c>
    </row>
    <row r="621" spans="1:6">
      <c r="A621" s="1702" t="s">
        <v>71</v>
      </c>
      <c r="B621" s="1703">
        <f>SUM(B595:B620)</f>
        <v>169</v>
      </c>
      <c r="C621" s="1704">
        <f>SUM(C595:C620)</f>
        <v>20480</v>
      </c>
      <c r="F621" s="1764">
        <f>SUM(B621,F601)</f>
        <v>179</v>
      </c>
    </row>
    <row r="622" spans="1:6">
      <c r="A622" s="43" t="s">
        <v>323</v>
      </c>
    </row>
    <row r="624" spans="1:6" ht="15.6">
      <c r="A624" s="6153" t="s">
        <v>2079</v>
      </c>
      <c r="B624" s="6154"/>
      <c r="C624" s="6155"/>
      <c r="D624" s="129"/>
    </row>
    <row r="625" spans="1:4" ht="15.6">
      <c r="A625" s="6162" t="s">
        <v>313</v>
      </c>
      <c r="B625" s="6163"/>
      <c r="C625" s="6164"/>
      <c r="D625" s="48"/>
    </row>
    <row r="626" spans="1:4">
      <c r="A626" s="6159" t="s">
        <v>314</v>
      </c>
      <c r="B626" s="6160" t="s">
        <v>816</v>
      </c>
      <c r="C626" s="6160" t="s">
        <v>184</v>
      </c>
    </row>
    <row r="627" spans="1:4">
      <c r="A627" s="6159"/>
      <c r="B627" s="6128"/>
      <c r="C627" s="6128"/>
    </row>
    <row r="628" spans="1:4">
      <c r="A628" s="49"/>
      <c r="B628" s="49"/>
      <c r="C628" s="49"/>
    </row>
    <row r="629" spans="1:4">
      <c r="A629" s="1690" t="s">
        <v>2001</v>
      </c>
      <c r="B629" s="1691">
        <f>87+87</f>
        <v>174</v>
      </c>
      <c r="C629" s="1692">
        <v>348</v>
      </c>
    </row>
    <row r="630" spans="1:4">
      <c r="A630" s="1694" t="s">
        <v>2066</v>
      </c>
      <c r="B630" s="1695">
        <v>72</v>
      </c>
      <c r="C630" s="1695">
        <v>855</v>
      </c>
    </row>
    <row r="631" spans="1:4">
      <c r="A631" s="1706" t="s">
        <v>2074</v>
      </c>
      <c r="B631" s="1706">
        <v>2873</v>
      </c>
      <c r="C631" s="1706">
        <v>6746</v>
      </c>
    </row>
    <row r="632" spans="1:4">
      <c r="A632" s="1694" t="s">
        <v>1974</v>
      </c>
      <c r="B632" s="1695">
        <f>659+174+1057</f>
        <v>1890</v>
      </c>
      <c r="C632" s="1695">
        <v>9677</v>
      </c>
    </row>
    <row r="633" spans="1:4">
      <c r="A633" s="1694" t="s">
        <v>1997</v>
      </c>
      <c r="B633" s="1695">
        <v>24</v>
      </c>
      <c r="C633" s="1695">
        <v>164</v>
      </c>
    </row>
    <row r="634" spans="1:4">
      <c r="A634" s="1694" t="s">
        <v>2075</v>
      </c>
      <c r="B634" s="1695">
        <v>24</v>
      </c>
      <c r="C634" s="1695">
        <v>186</v>
      </c>
    </row>
    <row r="635" spans="1:4">
      <c r="A635" s="1694" t="s">
        <v>1962</v>
      </c>
      <c r="B635" s="1695">
        <v>16</v>
      </c>
      <c r="C635" s="1695">
        <v>64</v>
      </c>
    </row>
    <row r="636" spans="1:4">
      <c r="A636" s="1694" t="s">
        <v>316</v>
      </c>
      <c r="B636" s="1695">
        <f>110+3948+36</f>
        <v>4094</v>
      </c>
      <c r="C636" s="1695">
        <v>49122</v>
      </c>
    </row>
    <row r="637" spans="1:4">
      <c r="A637" s="1694" t="s">
        <v>317</v>
      </c>
      <c r="B637" s="1695">
        <f>396+171</f>
        <v>567</v>
      </c>
      <c r="C637" s="1695">
        <f>7924+6020</f>
        <v>13944</v>
      </c>
    </row>
    <row r="638" spans="1:4">
      <c r="A638" s="1694" t="s">
        <v>318</v>
      </c>
      <c r="B638" s="1695">
        <f>93210+61050+18975</f>
        <v>173235</v>
      </c>
      <c r="C638" s="1695">
        <v>173235</v>
      </c>
    </row>
    <row r="639" spans="1:4">
      <c r="A639" s="1694" t="s">
        <v>2076</v>
      </c>
      <c r="B639" s="1695">
        <v>36</v>
      </c>
      <c r="C639" s="1695">
        <v>420</v>
      </c>
    </row>
    <row r="640" spans="1:4">
      <c r="A640" s="1694" t="s">
        <v>819</v>
      </c>
      <c r="B640" s="1695">
        <v>780</v>
      </c>
      <c r="C640" s="1695">
        <v>8680</v>
      </c>
    </row>
    <row r="641" spans="1:4">
      <c r="A641" s="1694" t="s">
        <v>2000</v>
      </c>
      <c r="B641" s="1695">
        <v>33</v>
      </c>
      <c r="C641" s="1695">
        <v>462</v>
      </c>
    </row>
    <row r="642" spans="1:4">
      <c r="A642" s="1694" t="s">
        <v>1828</v>
      </c>
      <c r="B642" s="1695">
        <v>72</v>
      </c>
      <c r="C642" s="1695">
        <v>642</v>
      </c>
    </row>
    <row r="643" spans="1:4">
      <c r="A643" s="1694" t="s">
        <v>408</v>
      </c>
      <c r="B643" s="1695">
        <v>72</v>
      </c>
      <c r="C643" s="1695">
        <v>562</v>
      </c>
    </row>
    <row r="644" spans="1:4">
      <c r="A644" s="1694" t="s">
        <v>2035</v>
      </c>
      <c r="B644" s="1695">
        <v>24</v>
      </c>
      <c r="C644" s="1695">
        <v>145</v>
      </c>
    </row>
    <row r="645" spans="1:4">
      <c r="A645" s="1755" t="s">
        <v>319</v>
      </c>
      <c r="B645" s="1695">
        <v>10920</v>
      </c>
      <c r="C645" s="1695">
        <v>10920</v>
      </c>
    </row>
    <row r="646" spans="1:4">
      <c r="A646" s="1694" t="s">
        <v>320</v>
      </c>
      <c r="B646" s="1695">
        <f>180+132</f>
        <v>312</v>
      </c>
      <c r="C646" s="1695">
        <v>13421</v>
      </c>
    </row>
    <row r="647" spans="1:4">
      <c r="A647" s="1694" t="s">
        <v>188</v>
      </c>
      <c r="B647" s="1695">
        <v>8664</v>
      </c>
      <c r="C647" s="1695">
        <v>17328</v>
      </c>
    </row>
    <row r="648" spans="1:4">
      <c r="A648" s="1694" t="s">
        <v>2077</v>
      </c>
      <c r="B648" s="1695">
        <v>24</v>
      </c>
      <c r="C648" s="1695">
        <v>179</v>
      </c>
    </row>
    <row r="649" spans="1:4">
      <c r="A649" s="1694" t="s">
        <v>321</v>
      </c>
      <c r="B649" s="1695">
        <v>72</v>
      </c>
      <c r="C649" s="1695">
        <v>848</v>
      </c>
    </row>
    <row r="650" spans="1:4">
      <c r="A650" s="1694" t="s">
        <v>187</v>
      </c>
      <c r="B650" s="1695">
        <v>630</v>
      </c>
      <c r="C650" s="1695">
        <v>1260</v>
      </c>
    </row>
    <row r="651" spans="1:4">
      <c r="A651" s="1694" t="s">
        <v>322</v>
      </c>
      <c r="B651" s="1695">
        <f>87+651</f>
        <v>738</v>
      </c>
      <c r="C651" s="1695">
        <v>4404</v>
      </c>
    </row>
    <row r="652" spans="1:4">
      <c r="A652" s="1694" t="s">
        <v>2037</v>
      </c>
      <c r="B652" s="1695">
        <v>49</v>
      </c>
      <c r="C652" s="1695">
        <v>125</v>
      </c>
    </row>
    <row r="653" spans="1:4">
      <c r="A653" s="1694" t="s">
        <v>1760</v>
      </c>
      <c r="B653" s="1695">
        <v>87</v>
      </c>
      <c r="C653" s="1695">
        <v>1218</v>
      </c>
    </row>
    <row r="654" spans="1:4">
      <c r="A654" s="1702" t="s">
        <v>71</v>
      </c>
      <c r="B654" s="1703">
        <f>SUM(B629:B653)</f>
        <v>205482</v>
      </c>
      <c r="C654" s="1704">
        <f>SUM(C629:C653)</f>
        <v>314955</v>
      </c>
      <c r="D654" s="1472" t="s">
        <v>2078</v>
      </c>
    </row>
    <row r="655" spans="1:4">
      <c r="A655" s="43" t="s">
        <v>323</v>
      </c>
    </row>
    <row r="659" spans="1:8" ht="15.6">
      <c r="A659" s="6153" t="s">
        <v>2091</v>
      </c>
      <c r="B659" s="6154"/>
      <c r="C659" s="6155"/>
      <c r="E659" s="6153" t="s">
        <v>2092</v>
      </c>
      <c r="F659" s="6154"/>
      <c r="G659" s="6154"/>
      <c r="H659" s="6155"/>
    </row>
    <row r="660" spans="1:8">
      <c r="A660" s="6156" t="s">
        <v>312</v>
      </c>
      <c r="B660" s="6157"/>
      <c r="C660" s="6158"/>
      <c r="E660" s="6161" t="s">
        <v>314</v>
      </c>
      <c r="F660" s="1760" t="s">
        <v>315</v>
      </c>
      <c r="G660" s="1761" t="s">
        <v>184</v>
      </c>
      <c r="H660" s="1762"/>
    </row>
    <row r="661" spans="1:8">
      <c r="A661" s="6159" t="s">
        <v>183</v>
      </c>
      <c r="B661" s="6160" t="s">
        <v>2005</v>
      </c>
      <c r="C661" s="6160" t="s">
        <v>2006</v>
      </c>
      <c r="E661" s="6159"/>
      <c r="F661" s="1713"/>
      <c r="G661" s="1713" t="s">
        <v>1756</v>
      </c>
      <c r="H661" s="1713" t="s">
        <v>1757</v>
      </c>
    </row>
    <row r="662" spans="1:8">
      <c r="A662" s="6159"/>
      <c r="B662" s="6128"/>
      <c r="C662" s="6128"/>
      <c r="E662" s="49"/>
      <c r="F662" s="49"/>
      <c r="G662" s="49"/>
      <c r="H662" s="448"/>
    </row>
    <row r="663" spans="1:8">
      <c r="A663" s="49"/>
      <c r="B663" s="49"/>
      <c r="C663" s="49"/>
      <c r="E663" s="1757" t="s">
        <v>2081</v>
      </c>
      <c r="F663" s="1691" t="s">
        <v>2065</v>
      </c>
      <c r="G663" s="1692">
        <v>1256</v>
      </c>
      <c r="H663" s="1692">
        <v>11361</v>
      </c>
    </row>
    <row r="664" spans="1:8">
      <c r="A664" s="1757" t="s">
        <v>186</v>
      </c>
      <c r="B664" s="1695">
        <f>3+3+1+2</f>
        <v>9</v>
      </c>
      <c r="C664" s="1695">
        <f>74+193+18+30+42</f>
        <v>357</v>
      </c>
      <c r="E664" s="1757" t="s">
        <v>821</v>
      </c>
      <c r="F664" s="1695" t="s">
        <v>2067</v>
      </c>
      <c r="G664" s="1695">
        <v>2658</v>
      </c>
      <c r="H664" s="1695">
        <v>3040</v>
      </c>
    </row>
    <row r="665" spans="1:8">
      <c r="A665" s="1757" t="s">
        <v>185</v>
      </c>
      <c r="B665" s="1695">
        <v>10</v>
      </c>
      <c r="C665" s="1695">
        <v>912</v>
      </c>
      <c r="E665" s="1757" t="s">
        <v>822</v>
      </c>
      <c r="F665" s="1695" t="s">
        <v>2068</v>
      </c>
      <c r="G665" s="1695">
        <v>2052</v>
      </c>
      <c r="H665" s="1695">
        <v>3040</v>
      </c>
    </row>
    <row r="666" spans="1:8">
      <c r="A666" s="1757" t="s">
        <v>1825</v>
      </c>
      <c r="B666" s="1695">
        <v>1</v>
      </c>
      <c r="C666" s="1695">
        <v>18</v>
      </c>
      <c r="E666" s="1757" t="s">
        <v>823</v>
      </c>
      <c r="F666" s="1695" t="s">
        <v>2065</v>
      </c>
      <c r="G666" s="1695">
        <v>866</v>
      </c>
      <c r="H666" s="1695">
        <v>2764</v>
      </c>
    </row>
    <row r="667" spans="1:8">
      <c r="A667" s="1757" t="s">
        <v>2082</v>
      </c>
      <c r="B667" s="1695">
        <v>1</v>
      </c>
      <c r="C667" s="1695">
        <v>478</v>
      </c>
      <c r="E667" s="49"/>
      <c r="F667" s="49"/>
      <c r="G667" s="1758"/>
      <c r="H667" s="448"/>
    </row>
    <row r="668" spans="1:8">
      <c r="A668" s="1757" t="s">
        <v>2083</v>
      </c>
      <c r="B668" s="1691">
        <f>1+1</f>
        <v>2</v>
      </c>
      <c r="C668" s="1692">
        <f>49+64</f>
        <v>113</v>
      </c>
      <c r="E668" s="1702" t="s">
        <v>71</v>
      </c>
      <c r="F668" s="1703">
        <v>10</v>
      </c>
      <c r="G668" s="1704">
        <f>SUM(G663:G667)</f>
        <v>6832</v>
      </c>
      <c r="H668" s="1704">
        <f>SUM(H663:H667)</f>
        <v>20205</v>
      </c>
    </row>
    <row r="669" spans="1:8">
      <c r="A669" s="1757" t="s">
        <v>2084</v>
      </c>
      <c r="B669" s="1695">
        <v>1</v>
      </c>
      <c r="C669" s="1695">
        <v>26</v>
      </c>
      <c r="E669" s="1"/>
      <c r="F669" s="1"/>
      <c r="G669" s="1"/>
      <c r="H669" s="1"/>
    </row>
    <row r="670" spans="1:8">
      <c r="A670" s="1757" t="s">
        <v>2085</v>
      </c>
      <c r="B670" s="1695">
        <v>1</v>
      </c>
      <c r="C670" s="1695">
        <v>16</v>
      </c>
      <c r="D670" s="1"/>
      <c r="E670" s="1"/>
      <c r="F670" s="1"/>
      <c r="G670" s="1"/>
    </row>
    <row r="671" spans="1:8">
      <c r="A671" s="1757" t="s">
        <v>1962</v>
      </c>
      <c r="B671" s="1695">
        <v>3</v>
      </c>
      <c r="C671" s="1695">
        <f>29+20+34</f>
        <v>83</v>
      </c>
      <c r="D671" s="1"/>
      <c r="E671" s="1"/>
      <c r="F671" s="1"/>
      <c r="G671" s="1"/>
    </row>
    <row r="672" spans="1:8">
      <c r="A672" s="1757" t="s">
        <v>2044</v>
      </c>
      <c r="B672" s="1695">
        <v>1</v>
      </c>
      <c r="C672" s="1695">
        <v>21</v>
      </c>
      <c r="D672" s="1"/>
      <c r="E672" s="1"/>
      <c r="F672" s="1"/>
      <c r="G672" s="1"/>
    </row>
    <row r="673" spans="1:7">
      <c r="A673" s="1757" t="s">
        <v>316</v>
      </c>
      <c r="B673" s="1695">
        <v>13</v>
      </c>
      <c r="C673" s="1695">
        <f>5407+75+580</f>
        <v>6062</v>
      </c>
      <c r="D673" s="1"/>
      <c r="E673" s="1"/>
      <c r="F673" s="1"/>
      <c r="G673" s="1"/>
    </row>
    <row r="674" spans="1:7">
      <c r="A674" s="1757" t="s">
        <v>2086</v>
      </c>
      <c r="B674" s="1695">
        <v>1</v>
      </c>
      <c r="C674" s="1695">
        <v>219</v>
      </c>
      <c r="D674" s="1"/>
      <c r="E674" s="1"/>
      <c r="F674" s="1"/>
      <c r="G674" s="1"/>
    </row>
    <row r="675" spans="1:7">
      <c r="A675" s="1757" t="s">
        <v>317</v>
      </c>
      <c r="B675" s="1695">
        <v>7</v>
      </c>
      <c r="C675" s="1695">
        <f>3285+838</f>
        <v>4123</v>
      </c>
      <c r="D675" s="1"/>
      <c r="E675" s="1"/>
      <c r="F675" s="1"/>
      <c r="G675" s="1"/>
    </row>
    <row r="676" spans="1:7">
      <c r="A676" s="1757" t="s">
        <v>1968</v>
      </c>
      <c r="B676" s="1695">
        <v>1</v>
      </c>
      <c r="C676" s="1695">
        <v>500</v>
      </c>
      <c r="D676" s="1"/>
      <c r="E676" s="1"/>
      <c r="F676" s="1"/>
      <c r="G676" s="1"/>
    </row>
    <row r="677" spans="1:7">
      <c r="A677" s="1757" t="s">
        <v>2087</v>
      </c>
      <c r="B677" s="1695">
        <v>3</v>
      </c>
      <c r="C677" s="1695">
        <f>56+46+22</f>
        <v>124</v>
      </c>
      <c r="D677" s="1"/>
      <c r="E677" s="1"/>
      <c r="F677" s="1"/>
      <c r="G677" s="1"/>
    </row>
    <row r="678" spans="1:7">
      <c r="A678" s="1757" t="s">
        <v>188</v>
      </c>
      <c r="B678" s="1695">
        <v>2</v>
      </c>
      <c r="C678" s="1695">
        <v>115</v>
      </c>
      <c r="D678" s="1"/>
      <c r="E678" s="1"/>
      <c r="F678" s="1"/>
      <c r="G678" s="1"/>
    </row>
    <row r="679" spans="1:7">
      <c r="A679" s="1757" t="s">
        <v>187</v>
      </c>
      <c r="B679" s="1695">
        <v>3</v>
      </c>
      <c r="C679" s="1695">
        <v>168</v>
      </c>
      <c r="D679" s="1"/>
      <c r="E679" s="1"/>
      <c r="F679" s="1"/>
      <c r="G679" s="1"/>
    </row>
    <row r="680" spans="1:7">
      <c r="A680" s="1757" t="s">
        <v>322</v>
      </c>
      <c r="B680" s="1695">
        <f>1+2+1+1</f>
        <v>5</v>
      </c>
      <c r="C680" s="1695">
        <f>18+30+24+32</f>
        <v>104</v>
      </c>
      <c r="D680" s="1"/>
      <c r="E680" s="1"/>
      <c r="F680" s="1"/>
      <c r="G680" s="1"/>
    </row>
    <row r="681" spans="1:7">
      <c r="A681" s="1757" t="s">
        <v>2088</v>
      </c>
      <c r="B681" s="1695">
        <v>3</v>
      </c>
      <c r="C681" s="1695">
        <v>834</v>
      </c>
      <c r="D681" s="1"/>
      <c r="E681" s="1"/>
      <c r="F681" s="1"/>
      <c r="G681" s="1"/>
    </row>
    <row r="682" spans="1:7">
      <c r="A682" s="1757" t="s">
        <v>2037</v>
      </c>
      <c r="B682" s="1695">
        <f>4+2</f>
        <v>6</v>
      </c>
      <c r="C682" s="1695">
        <f>98+80+172</f>
        <v>350</v>
      </c>
      <c r="D682" s="1"/>
      <c r="E682" s="1"/>
      <c r="F682" s="1"/>
      <c r="G682" s="1"/>
    </row>
    <row r="683" spans="1:7">
      <c r="A683" s="49"/>
      <c r="B683" s="49"/>
      <c r="C683" s="1758"/>
      <c r="D683" s="45"/>
      <c r="E683" s="1"/>
      <c r="F683" s="1"/>
      <c r="G683" s="1"/>
    </row>
    <row r="684" spans="1:7">
      <c r="A684" s="1702" t="s">
        <v>71</v>
      </c>
      <c r="B684" s="1703">
        <f>SUM(B664:B683)</f>
        <v>73</v>
      </c>
      <c r="C684" s="1703">
        <f>SUM(C664:C683)</f>
        <v>14623</v>
      </c>
      <c r="D684" s="1"/>
      <c r="E684" s="1"/>
      <c r="F684" s="1"/>
      <c r="G684" s="1"/>
    </row>
    <row r="685" spans="1:7">
      <c r="A685" s="1759" t="s">
        <v>323</v>
      </c>
      <c r="B685" s="1"/>
      <c r="C685" s="1"/>
      <c r="D685" s="1"/>
      <c r="E685" s="1"/>
      <c r="F685" s="1"/>
      <c r="G685" s="1"/>
    </row>
    <row r="686" spans="1:7">
      <c r="A686" s="1"/>
      <c r="B686" s="167"/>
      <c r="C686" s="167"/>
      <c r="D686" s="1"/>
      <c r="E686" s="1"/>
      <c r="F686" s="1"/>
      <c r="G686" s="1"/>
    </row>
    <row r="687" spans="1:7" ht="15.6">
      <c r="A687" s="6153" t="s">
        <v>2091</v>
      </c>
      <c r="B687" s="6154"/>
      <c r="C687" s="6155"/>
    </row>
    <row r="688" spans="1:7">
      <c r="A688" s="6156" t="s">
        <v>313</v>
      </c>
      <c r="B688" s="6157"/>
      <c r="C688" s="6158"/>
    </row>
    <row r="689" spans="1:3">
      <c r="A689" s="6159" t="s">
        <v>314</v>
      </c>
      <c r="B689" s="6160" t="s">
        <v>2023</v>
      </c>
      <c r="C689" s="6160" t="s">
        <v>182</v>
      </c>
    </row>
    <row r="690" spans="1:3">
      <c r="A690" s="6159"/>
      <c r="B690" s="6128"/>
      <c r="C690" s="6128"/>
    </row>
    <row r="691" spans="1:3">
      <c r="A691" s="49"/>
      <c r="B691" s="49"/>
      <c r="C691" s="49"/>
    </row>
    <row r="692" spans="1:3">
      <c r="A692" s="1757" t="s">
        <v>186</v>
      </c>
      <c r="B692" s="1695">
        <f>500+49+63+20</f>
        <v>632</v>
      </c>
      <c r="C692" s="1695">
        <f>1000+98+126+40</f>
        <v>1264</v>
      </c>
    </row>
    <row r="693" spans="1:3">
      <c r="A693" s="1757" t="s">
        <v>2066</v>
      </c>
      <c r="B693" s="1695">
        <v>11</v>
      </c>
      <c r="C693" s="1695">
        <v>111</v>
      </c>
    </row>
    <row r="694" spans="1:3">
      <c r="A694" s="1757" t="s">
        <v>1974</v>
      </c>
      <c r="B694" s="1695">
        <f>250+432</f>
        <v>682</v>
      </c>
      <c r="C694" s="1695">
        <f>750+2592</f>
        <v>3342</v>
      </c>
    </row>
    <row r="695" spans="1:3">
      <c r="A695" s="1757" t="s">
        <v>1962</v>
      </c>
      <c r="B695" s="1695">
        <f>4+19</f>
        <v>23</v>
      </c>
      <c r="C695" s="1695">
        <v>92</v>
      </c>
    </row>
    <row r="696" spans="1:3">
      <c r="A696" s="1757" t="s">
        <v>2089</v>
      </c>
      <c r="B696" s="1695">
        <v>6187</v>
      </c>
      <c r="C696" s="1695">
        <v>6187</v>
      </c>
    </row>
    <row r="697" spans="1:3">
      <c r="A697" s="1757" t="s">
        <v>316</v>
      </c>
      <c r="B697" s="1695">
        <f>1915+500+5+23</f>
        <v>2443</v>
      </c>
      <c r="C697" s="1695">
        <v>27448</v>
      </c>
    </row>
    <row r="698" spans="1:3">
      <c r="A698" s="1757" t="s">
        <v>317</v>
      </c>
      <c r="B698" s="1695">
        <f>209+500+20+154+33+167+17</f>
        <v>1100</v>
      </c>
      <c r="C698" s="1695">
        <v>19363</v>
      </c>
    </row>
    <row r="699" spans="1:3">
      <c r="A699" s="1757" t="s">
        <v>318</v>
      </c>
      <c r="B699" s="1695">
        <f>19672+105600</f>
        <v>125272</v>
      </c>
      <c r="C699" s="1695">
        <f>19672+105600</f>
        <v>125272</v>
      </c>
    </row>
    <row r="700" spans="1:3">
      <c r="A700" s="1757" t="s">
        <v>2076</v>
      </c>
      <c r="B700" s="1695">
        <v>90</v>
      </c>
      <c r="C700" s="1695">
        <v>90</v>
      </c>
    </row>
    <row r="701" spans="1:3">
      <c r="A701" s="1757" t="s">
        <v>819</v>
      </c>
      <c r="B701" s="1695">
        <v>3000</v>
      </c>
      <c r="C701" s="1695">
        <v>9000</v>
      </c>
    </row>
    <row r="702" spans="1:3">
      <c r="A702" s="1757" t="s">
        <v>1828</v>
      </c>
      <c r="B702" s="1695">
        <v>360</v>
      </c>
      <c r="C702" s="1695">
        <v>360</v>
      </c>
    </row>
    <row r="703" spans="1:3">
      <c r="A703" s="1757" t="s">
        <v>319</v>
      </c>
      <c r="B703" s="1695">
        <v>11000</v>
      </c>
      <c r="C703" s="1695">
        <v>11000</v>
      </c>
    </row>
    <row r="704" spans="1:3">
      <c r="A704" s="1757" t="s">
        <v>550</v>
      </c>
      <c r="B704" s="1691">
        <v>154</v>
      </c>
      <c r="C704" s="1692">
        <v>154</v>
      </c>
    </row>
    <row r="705" spans="1:3">
      <c r="A705" s="1757" t="s">
        <v>320</v>
      </c>
      <c r="B705" s="1695">
        <v>1357</v>
      </c>
      <c r="C705" s="1695">
        <v>1357</v>
      </c>
    </row>
    <row r="706" spans="1:3">
      <c r="A706" s="1757" t="s">
        <v>188</v>
      </c>
      <c r="B706" s="1695">
        <v>8815</v>
      </c>
      <c r="C706" s="1695">
        <v>17630</v>
      </c>
    </row>
    <row r="707" spans="1:3">
      <c r="A707" s="1757" t="s">
        <v>321</v>
      </c>
      <c r="B707" s="1695">
        <v>186</v>
      </c>
      <c r="C707" s="1695">
        <v>186</v>
      </c>
    </row>
    <row r="708" spans="1:3">
      <c r="A708" s="1757" t="s">
        <v>187</v>
      </c>
      <c r="B708" s="1695">
        <v>603</v>
      </c>
      <c r="C708" s="1695">
        <v>1206</v>
      </c>
    </row>
    <row r="709" spans="1:3">
      <c r="A709" s="1757" t="s">
        <v>322</v>
      </c>
      <c r="B709" s="1695">
        <v>2687</v>
      </c>
      <c r="C709" s="1695">
        <f>150+4000+508+550+166</f>
        <v>5374</v>
      </c>
    </row>
    <row r="710" spans="1:3">
      <c r="A710" s="1757" t="s">
        <v>2090</v>
      </c>
      <c r="B710" s="1695">
        <v>250</v>
      </c>
      <c r="C710" s="1695">
        <v>3250</v>
      </c>
    </row>
    <row r="711" spans="1:3">
      <c r="A711" s="1757" t="s">
        <v>2037</v>
      </c>
      <c r="B711" s="1695">
        <v>63</v>
      </c>
      <c r="C711" s="1695">
        <v>252</v>
      </c>
    </row>
    <row r="712" spans="1:3">
      <c r="A712" s="1757" t="s">
        <v>1760</v>
      </c>
      <c r="B712" s="1695">
        <v>118</v>
      </c>
      <c r="C712" s="1695">
        <v>118</v>
      </c>
    </row>
    <row r="713" spans="1:3">
      <c r="A713" s="49"/>
      <c r="B713" s="49"/>
      <c r="C713" s="1758"/>
    </row>
    <row r="714" spans="1:3">
      <c r="A714" s="1702" t="s">
        <v>71</v>
      </c>
      <c r="B714" s="1703">
        <f>SUM(B692:B713)</f>
        <v>165033</v>
      </c>
      <c r="C714" s="1704">
        <f>SUM(C692:C713)</f>
        <v>233056</v>
      </c>
    </row>
    <row r="715" spans="1:3">
      <c r="A715" s="1759" t="s">
        <v>323</v>
      </c>
    </row>
  </sheetData>
  <sheetProtection algorithmName="SHA-512" hashValue="yB3AxYol8Xt6bxzh9/DszffxegB2/B0z+c08s0jLPRXtt6bL8x73cK2exuL54flV2le3ZxNRMQLaLygfoaRuKQ==" saltValue="42/8J4nYFHsATSKUVhD6vQ==" spinCount="100000" sheet="1" objects="1" scenarios="1"/>
  <mergeCells count="208">
    <mergeCell ref="A34:C34"/>
    <mergeCell ref="A35:C35"/>
    <mergeCell ref="A36:A37"/>
    <mergeCell ref="B36:B37"/>
    <mergeCell ref="C36:C37"/>
    <mergeCell ref="A4:C4"/>
    <mergeCell ref="E4:H4"/>
    <mergeCell ref="A5:C5"/>
    <mergeCell ref="E5:E6"/>
    <mergeCell ref="F5:F6"/>
    <mergeCell ref="G5:H5"/>
    <mergeCell ref="A6:A7"/>
    <mergeCell ref="B6:B7"/>
    <mergeCell ref="C6:C7"/>
    <mergeCell ref="E268:E269"/>
    <mergeCell ref="A274:C274"/>
    <mergeCell ref="A275:C275"/>
    <mergeCell ref="A276:A277"/>
    <mergeCell ref="B276:B277"/>
    <mergeCell ref="C276:C277"/>
    <mergeCell ref="A2:C2"/>
    <mergeCell ref="A246:C246"/>
    <mergeCell ref="E246:H246"/>
    <mergeCell ref="A247:C247"/>
    <mergeCell ref="E247:E248"/>
    <mergeCell ref="F247:F248"/>
    <mergeCell ref="G247:H247"/>
    <mergeCell ref="A248:A249"/>
    <mergeCell ref="B248:B249"/>
    <mergeCell ref="C248:C249"/>
    <mergeCell ref="F268:F269"/>
    <mergeCell ref="A185:C185"/>
    <mergeCell ref="A186:C186"/>
    <mergeCell ref="A187:A188"/>
    <mergeCell ref="B187:B188"/>
    <mergeCell ref="C187:C188"/>
    <mergeCell ref="A213:C213"/>
    <mergeCell ref="A214:C214"/>
    <mergeCell ref="G327:G329"/>
    <mergeCell ref="H327:H329"/>
    <mergeCell ref="A318:C318"/>
    <mergeCell ref="E318:H318"/>
    <mergeCell ref="A319:C319"/>
    <mergeCell ref="E319:E320"/>
    <mergeCell ref="F319:F320"/>
    <mergeCell ref="G319:H319"/>
    <mergeCell ref="A320:A321"/>
    <mergeCell ref="B320:B321"/>
    <mergeCell ref="C320:C321"/>
    <mergeCell ref="E321:E322"/>
    <mergeCell ref="E342:E343"/>
    <mergeCell ref="A348:C348"/>
    <mergeCell ref="A349:C349"/>
    <mergeCell ref="A350:A351"/>
    <mergeCell ref="B350:B351"/>
    <mergeCell ref="C350:C351"/>
    <mergeCell ref="E324:E325"/>
    <mergeCell ref="E327:E329"/>
    <mergeCell ref="F327:F329"/>
    <mergeCell ref="A385:C385"/>
    <mergeCell ref="E385:H385"/>
    <mergeCell ref="A386:C386"/>
    <mergeCell ref="E386:E387"/>
    <mergeCell ref="F386:F387"/>
    <mergeCell ref="G386:H386"/>
    <mergeCell ref="A387:A388"/>
    <mergeCell ref="B387:B388"/>
    <mergeCell ref="C387:C388"/>
    <mergeCell ref="E398:E399"/>
    <mergeCell ref="E401:E402"/>
    <mergeCell ref="E404:E406"/>
    <mergeCell ref="F404:F406"/>
    <mergeCell ref="G404:G406"/>
    <mergeCell ref="F389:F392"/>
    <mergeCell ref="G389:G392"/>
    <mergeCell ref="H389:H392"/>
    <mergeCell ref="E390:E392"/>
    <mergeCell ref="F393:F397"/>
    <mergeCell ref="G393:G397"/>
    <mergeCell ref="H393:H397"/>
    <mergeCell ref="E394:E397"/>
    <mergeCell ref="A412:A413"/>
    <mergeCell ref="B412:B413"/>
    <mergeCell ref="C412:C413"/>
    <mergeCell ref="A447:C447"/>
    <mergeCell ref="E447:H447"/>
    <mergeCell ref="H404:H406"/>
    <mergeCell ref="A408:C408"/>
    <mergeCell ref="A410:C410"/>
    <mergeCell ref="E410:E411"/>
    <mergeCell ref="A411:C411"/>
    <mergeCell ref="A448:C448"/>
    <mergeCell ref="E448:E449"/>
    <mergeCell ref="F448:F449"/>
    <mergeCell ref="G448:H448"/>
    <mergeCell ref="F450:F451"/>
    <mergeCell ref="G450:G460"/>
    <mergeCell ref="H450:H460"/>
    <mergeCell ref="E451:E454"/>
    <mergeCell ref="F452:F460"/>
    <mergeCell ref="E455:E460"/>
    <mergeCell ref="E472:E473"/>
    <mergeCell ref="A475:C475"/>
    <mergeCell ref="A477:C477"/>
    <mergeCell ref="A478:C478"/>
    <mergeCell ref="A519:C519"/>
    <mergeCell ref="E519:H519"/>
    <mergeCell ref="E461:E462"/>
    <mergeCell ref="G461:G462"/>
    <mergeCell ref="H461:H462"/>
    <mergeCell ref="E463:E465"/>
    <mergeCell ref="G463:G465"/>
    <mergeCell ref="H463:H465"/>
    <mergeCell ref="F533:F534"/>
    <mergeCell ref="G533:G542"/>
    <mergeCell ref="H533:H542"/>
    <mergeCell ref="E534:E542"/>
    <mergeCell ref="F535:F542"/>
    <mergeCell ref="A520:C520"/>
    <mergeCell ref="E520:E521"/>
    <mergeCell ref="F520:F521"/>
    <mergeCell ref="G520:H520"/>
    <mergeCell ref="F522:F523"/>
    <mergeCell ref="G522:G532"/>
    <mergeCell ref="H522:H532"/>
    <mergeCell ref="E523:E526"/>
    <mergeCell ref="F524:F532"/>
    <mergeCell ref="E527:E532"/>
    <mergeCell ref="A551:C551"/>
    <mergeCell ref="A553:C553"/>
    <mergeCell ref="A554:C554"/>
    <mergeCell ref="A586:C586"/>
    <mergeCell ref="A587:C587"/>
    <mergeCell ref="E543:E544"/>
    <mergeCell ref="G543:G544"/>
    <mergeCell ref="H543:H544"/>
    <mergeCell ref="E545:E547"/>
    <mergeCell ref="G545:G547"/>
    <mergeCell ref="H545:H547"/>
    <mergeCell ref="A591:C591"/>
    <mergeCell ref="E591:H591"/>
    <mergeCell ref="A592:C592"/>
    <mergeCell ref="E592:E593"/>
    <mergeCell ref="F592:F593"/>
    <mergeCell ref="G592:H592"/>
    <mergeCell ref="A593:A594"/>
    <mergeCell ref="B593:B594"/>
    <mergeCell ref="C593:C594"/>
    <mergeCell ref="E659:H659"/>
    <mergeCell ref="A625:C625"/>
    <mergeCell ref="A626:A627"/>
    <mergeCell ref="B626:B627"/>
    <mergeCell ref="C626:C627"/>
    <mergeCell ref="A659:C659"/>
    <mergeCell ref="E596:E597"/>
    <mergeCell ref="F596:F597"/>
    <mergeCell ref="G596:G597"/>
    <mergeCell ref="H596:H597"/>
    <mergeCell ref="A624:C624"/>
    <mergeCell ref="A687:C687"/>
    <mergeCell ref="A688:C688"/>
    <mergeCell ref="A689:A690"/>
    <mergeCell ref="B689:B690"/>
    <mergeCell ref="C689:C690"/>
    <mergeCell ref="A660:C660"/>
    <mergeCell ref="E660:E661"/>
    <mergeCell ref="A661:A662"/>
    <mergeCell ref="B661:B662"/>
    <mergeCell ref="C661:C662"/>
    <mergeCell ref="A215:A216"/>
    <mergeCell ref="B215:B216"/>
    <mergeCell ref="C215:C216"/>
    <mergeCell ref="E185:H185"/>
    <mergeCell ref="E186:E187"/>
    <mergeCell ref="F186:F187"/>
    <mergeCell ref="G186:H186"/>
    <mergeCell ref="E208:E209"/>
    <mergeCell ref="F208:F209"/>
    <mergeCell ref="H189:H190"/>
    <mergeCell ref="A152:C152"/>
    <mergeCell ref="A153:C153"/>
    <mergeCell ref="A154:A155"/>
    <mergeCell ref="B154:B155"/>
    <mergeCell ref="C154:C155"/>
    <mergeCell ref="E147:E148"/>
    <mergeCell ref="A125:C125"/>
    <mergeCell ref="E125:H125"/>
    <mergeCell ref="A126:C126"/>
    <mergeCell ref="E126:E127"/>
    <mergeCell ref="F126:F127"/>
    <mergeCell ref="G126:H126"/>
    <mergeCell ref="A127:A128"/>
    <mergeCell ref="B127:B128"/>
    <mergeCell ref="C127:C128"/>
    <mergeCell ref="A94:C94"/>
    <mergeCell ref="A95:C95"/>
    <mergeCell ref="A96:A97"/>
    <mergeCell ref="B96:B97"/>
    <mergeCell ref="C96:C97"/>
    <mergeCell ref="A67:C67"/>
    <mergeCell ref="E67:H67"/>
    <mergeCell ref="A68:C68"/>
    <mergeCell ref="E68:E69"/>
    <mergeCell ref="F68:F69"/>
    <mergeCell ref="G68:H68"/>
    <mergeCell ref="A69:A70"/>
    <mergeCell ref="B69:B70"/>
    <mergeCell ref="C69:C70"/>
  </mergeCells>
  <printOptions horizontalCentered="1"/>
  <pageMargins left="0.19685039370078741" right="0.19685039370078741" top="0.19685039370078741" bottom="0.31496062992125984" header="0.15748031496062992"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499984740745262"/>
    <pageSetUpPr fitToPage="1"/>
  </sheetPr>
  <dimension ref="B1:K273"/>
  <sheetViews>
    <sheetView showGridLines="0" zoomScale="120" zoomScaleNormal="120" workbookViewId="0">
      <selection activeCell="G5" sqref="G5"/>
    </sheetView>
  </sheetViews>
  <sheetFormatPr baseColWidth="10" defaultColWidth="11.44140625" defaultRowHeight="18" customHeight="1"/>
  <cols>
    <col min="1" max="1" width="5.77734375" style="132" customWidth="1"/>
    <col min="2" max="2" width="55.21875" style="132" bestFit="1" customWidth="1"/>
    <col min="3" max="3" width="9.77734375" style="132" customWidth="1"/>
    <col min="4" max="4" width="13.44140625" style="132" bestFit="1" customWidth="1"/>
    <col min="5" max="5" width="9.77734375" style="132" customWidth="1"/>
    <col min="6" max="6" width="5.77734375" style="132" customWidth="1"/>
    <col min="7" max="7" width="55.77734375" style="132" customWidth="1"/>
    <col min="8" max="8" width="9.77734375" style="132" customWidth="1"/>
    <col min="9" max="9" width="13.44140625" style="132" bestFit="1" customWidth="1"/>
    <col min="10" max="10" width="9.77734375" style="132" customWidth="1"/>
    <col min="11" max="11" width="11.44140625" style="132" customWidth="1"/>
    <col min="12" max="16384" width="11.44140625" style="132"/>
  </cols>
  <sheetData>
    <row r="1" spans="2:11" ht="36" customHeight="1">
      <c r="B1" s="6039" t="s">
        <v>2882</v>
      </c>
      <c r="C1" s="6039"/>
      <c r="D1" s="6039"/>
      <c r="E1" s="6039"/>
    </row>
    <row r="2" spans="2:11" ht="18" customHeight="1">
      <c r="B2" s="232"/>
    </row>
    <row r="3" spans="2:11" ht="52.5" customHeight="1">
      <c r="B3" s="6277" t="s">
        <v>651</v>
      </c>
      <c r="C3" s="6277"/>
      <c r="D3" s="6277"/>
      <c r="E3" s="6277"/>
      <c r="F3" s="166"/>
      <c r="G3" s="166"/>
      <c r="H3" s="166"/>
      <c r="I3" s="166"/>
      <c r="J3" s="166"/>
      <c r="K3" s="163"/>
    </row>
    <row r="4" spans="2:11" ht="14.4">
      <c r="B4" s="5441"/>
      <c r="C4" s="5441"/>
      <c r="D4" s="5441"/>
      <c r="E4" s="5441"/>
      <c r="F4" s="166"/>
      <c r="G4" s="166"/>
      <c r="H4" s="166"/>
      <c r="I4" s="166"/>
      <c r="J4" s="166"/>
      <c r="K4" s="163"/>
    </row>
    <row r="5" spans="2:11" ht="15.6">
      <c r="B5" s="6271" t="s">
        <v>3867</v>
      </c>
      <c r="C5" s="6271"/>
      <c r="D5" s="6271"/>
      <c r="E5" s="6271"/>
      <c r="F5" s="166"/>
      <c r="G5" s="166"/>
      <c r="H5" s="166"/>
      <c r="I5" s="166"/>
      <c r="J5" s="166"/>
      <c r="K5" s="163"/>
    </row>
    <row r="6" spans="2:11" ht="29.4" thickBot="1">
      <c r="B6" s="5440" t="s">
        <v>88</v>
      </c>
      <c r="C6" s="5440" t="s">
        <v>89</v>
      </c>
      <c r="D6" s="2539" t="s">
        <v>616</v>
      </c>
      <c r="E6" s="5440" t="s">
        <v>90</v>
      </c>
      <c r="F6" s="166"/>
      <c r="G6" s="166"/>
      <c r="H6" s="166"/>
      <c r="I6" s="166"/>
      <c r="J6" s="166"/>
      <c r="K6" s="163"/>
    </row>
    <row r="7" spans="2:11" ht="18" customHeight="1">
      <c r="B7" s="4229" t="s">
        <v>152</v>
      </c>
      <c r="C7" s="4230">
        <v>1</v>
      </c>
      <c r="D7" s="4230">
        <v>1</v>
      </c>
      <c r="E7" s="4225">
        <v>113</v>
      </c>
      <c r="F7" s="166"/>
      <c r="G7" s="166"/>
      <c r="H7" s="166"/>
      <c r="I7" s="166"/>
      <c r="J7" s="166"/>
      <c r="K7" s="163"/>
    </row>
    <row r="8" spans="2:11" ht="28.8">
      <c r="B8" s="4231" t="s">
        <v>1889</v>
      </c>
      <c r="C8" s="4227">
        <v>2</v>
      </c>
      <c r="D8" s="4210">
        <v>17</v>
      </c>
      <c r="E8" s="4210">
        <v>685</v>
      </c>
      <c r="F8" s="166"/>
      <c r="G8" s="166"/>
      <c r="H8" s="166"/>
      <c r="I8" s="166"/>
      <c r="J8" s="166"/>
      <c r="K8" s="163"/>
    </row>
    <row r="9" spans="2:11" ht="18" customHeight="1">
      <c r="B9" s="4231" t="s">
        <v>1890</v>
      </c>
      <c r="C9" s="4227">
        <v>3</v>
      </c>
      <c r="D9" s="4227">
        <v>20</v>
      </c>
      <c r="E9" s="4210">
        <v>746</v>
      </c>
      <c r="F9" s="166"/>
      <c r="G9" s="166"/>
      <c r="H9" s="166"/>
      <c r="I9" s="166"/>
      <c r="J9" s="166"/>
      <c r="K9" s="163"/>
    </row>
    <row r="10" spans="2:11" ht="18" customHeight="1">
      <c r="B10" s="4231" t="s">
        <v>154</v>
      </c>
      <c r="C10" s="4227">
        <v>4</v>
      </c>
      <c r="D10" s="4227">
        <v>24</v>
      </c>
      <c r="E10" s="4210">
        <v>846</v>
      </c>
      <c r="F10" s="166"/>
      <c r="G10" s="166"/>
      <c r="H10" s="166"/>
      <c r="I10" s="166"/>
      <c r="J10" s="166"/>
      <c r="K10" s="163"/>
    </row>
    <row r="11" spans="2:11" ht="18" customHeight="1">
      <c r="B11" s="4232" t="s">
        <v>96</v>
      </c>
      <c r="C11" s="4227">
        <v>5</v>
      </c>
      <c r="D11" s="4227">
        <v>25</v>
      </c>
      <c r="E11" s="4233">
        <v>867</v>
      </c>
      <c r="F11" s="166"/>
      <c r="G11" s="166"/>
      <c r="H11" s="166"/>
      <c r="I11" s="166"/>
      <c r="J11" s="166"/>
      <c r="K11" s="163"/>
    </row>
    <row r="12" spans="2:11" ht="18" customHeight="1">
      <c r="B12" s="2253" t="s">
        <v>95</v>
      </c>
      <c r="C12" s="2252">
        <v>6</v>
      </c>
      <c r="D12" s="2252">
        <v>26</v>
      </c>
      <c r="E12" s="2252">
        <v>921</v>
      </c>
      <c r="F12" s="166"/>
      <c r="G12" s="166"/>
      <c r="H12" s="166"/>
      <c r="I12" s="166"/>
      <c r="J12" s="166"/>
      <c r="K12" s="163"/>
    </row>
    <row r="13" spans="2:11" ht="18" customHeight="1">
      <c r="B13" s="4232" t="s">
        <v>617</v>
      </c>
      <c r="C13" s="4226">
        <v>7</v>
      </c>
      <c r="D13" s="4226">
        <v>29</v>
      </c>
      <c r="E13" s="4210">
        <v>1030</v>
      </c>
      <c r="F13" s="166"/>
      <c r="G13" s="166"/>
      <c r="H13" s="166"/>
      <c r="I13" s="166"/>
      <c r="J13" s="166"/>
      <c r="K13" s="163"/>
    </row>
    <row r="14" spans="2:11" ht="18" customHeight="1">
      <c r="B14" s="4232" t="s">
        <v>157</v>
      </c>
      <c r="C14" s="4227">
        <v>8</v>
      </c>
      <c r="D14" s="2250">
        <v>34</v>
      </c>
      <c r="E14" s="4210">
        <v>1160</v>
      </c>
      <c r="F14" s="166"/>
      <c r="G14" s="166"/>
      <c r="H14" s="166"/>
      <c r="I14" s="166"/>
      <c r="J14" s="166"/>
      <c r="K14" s="163"/>
    </row>
    <row r="15" spans="2:11" ht="18" customHeight="1">
      <c r="B15" s="4231" t="s">
        <v>338</v>
      </c>
      <c r="C15" s="4227">
        <v>9</v>
      </c>
      <c r="D15" s="4226">
        <v>44</v>
      </c>
      <c r="E15" s="4210">
        <v>1359</v>
      </c>
      <c r="F15" s="166"/>
      <c r="G15" s="166"/>
      <c r="H15" s="166"/>
      <c r="I15" s="166"/>
      <c r="J15" s="166"/>
      <c r="K15" s="163"/>
    </row>
    <row r="16" spans="2:11" ht="18" customHeight="1">
      <c r="B16" s="4232" t="s">
        <v>696</v>
      </c>
      <c r="C16" s="4227">
        <v>10</v>
      </c>
      <c r="D16" s="4226">
        <v>51</v>
      </c>
      <c r="E16" s="4210">
        <v>1451</v>
      </c>
      <c r="F16" s="166"/>
      <c r="G16" s="166"/>
      <c r="H16" s="166"/>
      <c r="I16" s="166"/>
      <c r="J16" s="166"/>
      <c r="K16" s="163"/>
    </row>
    <row r="17" spans="2:11" ht="18" customHeight="1">
      <c r="B17" s="4232" t="s">
        <v>697</v>
      </c>
      <c r="C17" s="4226">
        <v>11</v>
      </c>
      <c r="D17" s="4226">
        <v>56</v>
      </c>
      <c r="E17" s="4210">
        <v>1516</v>
      </c>
      <c r="F17" s="166"/>
      <c r="G17" s="166"/>
      <c r="H17" s="166"/>
      <c r="I17" s="166"/>
      <c r="J17" s="166"/>
      <c r="K17" s="163"/>
    </row>
    <row r="18" spans="2:11" ht="18" customHeight="1">
      <c r="B18" s="4232" t="s">
        <v>337</v>
      </c>
      <c r="C18" s="4226">
        <v>12</v>
      </c>
      <c r="D18" s="4226">
        <v>57</v>
      </c>
      <c r="E18" s="4210">
        <v>1517</v>
      </c>
      <c r="F18" s="166"/>
      <c r="G18" s="166"/>
      <c r="H18" s="166"/>
      <c r="I18" s="166"/>
      <c r="J18" s="166"/>
      <c r="K18" s="163"/>
    </row>
    <row r="19" spans="2:11" ht="18" customHeight="1">
      <c r="B19" s="4232" t="s">
        <v>525</v>
      </c>
      <c r="C19" s="4227">
        <v>13</v>
      </c>
      <c r="D19" s="2250">
        <v>69</v>
      </c>
      <c r="E19" s="4210">
        <v>1650</v>
      </c>
      <c r="F19" s="166"/>
      <c r="G19" s="166"/>
      <c r="H19" s="166"/>
      <c r="I19" s="166"/>
      <c r="J19" s="166"/>
      <c r="K19" s="163"/>
    </row>
    <row r="20" spans="2:11" ht="18" customHeight="1">
      <c r="B20" s="4234" t="s">
        <v>3866</v>
      </c>
      <c r="C20" s="4227">
        <v>14</v>
      </c>
      <c r="D20" s="2250">
        <v>86</v>
      </c>
      <c r="E20" s="4210">
        <v>1796</v>
      </c>
      <c r="F20" s="166"/>
      <c r="G20" s="166"/>
      <c r="H20" s="166"/>
      <c r="I20" s="166"/>
      <c r="J20" s="166"/>
      <c r="K20" s="163"/>
    </row>
    <row r="21" spans="2:11" ht="18" customHeight="1">
      <c r="B21" s="4235" t="s">
        <v>704</v>
      </c>
      <c r="C21" s="4236">
        <v>15</v>
      </c>
      <c r="D21" s="4228">
        <v>91</v>
      </c>
      <c r="E21" s="4212">
        <v>1835</v>
      </c>
      <c r="F21" s="166"/>
      <c r="G21" s="166"/>
      <c r="H21" s="166"/>
      <c r="I21" s="166"/>
      <c r="J21" s="166"/>
      <c r="K21" s="163"/>
    </row>
    <row r="22" spans="2:11" ht="14.4">
      <c r="B22" s="5441"/>
      <c r="C22" s="5441"/>
      <c r="D22" s="5441"/>
      <c r="E22" s="5441"/>
      <c r="F22" s="166"/>
      <c r="G22" s="166"/>
      <c r="H22" s="166"/>
      <c r="I22" s="166"/>
      <c r="J22" s="166"/>
      <c r="K22" s="163"/>
    </row>
    <row r="23" spans="2:11" ht="14.4">
      <c r="F23" s="166"/>
      <c r="G23" s="166"/>
      <c r="H23" s="166"/>
      <c r="I23" s="166"/>
      <c r="J23" s="166"/>
      <c r="K23" s="163"/>
    </row>
    <row r="24" spans="2:11" ht="15.6">
      <c r="B24" s="6271" t="s">
        <v>2883</v>
      </c>
      <c r="C24" s="6271"/>
      <c r="D24" s="6271"/>
      <c r="E24" s="6271"/>
      <c r="F24" s="166"/>
      <c r="G24" s="166"/>
      <c r="H24" s="166"/>
      <c r="I24" s="166"/>
      <c r="J24" s="166"/>
      <c r="K24" s="163"/>
    </row>
    <row r="25" spans="2:11" ht="29.4" thickBot="1">
      <c r="B25" s="4204" t="s">
        <v>88</v>
      </c>
      <c r="C25" s="4204" t="s">
        <v>89</v>
      </c>
      <c r="D25" s="2539" t="s">
        <v>616</v>
      </c>
      <c r="E25" s="4204" t="s">
        <v>90</v>
      </c>
      <c r="F25" s="166"/>
      <c r="G25" s="166"/>
      <c r="H25" s="166"/>
      <c r="I25" s="166"/>
      <c r="J25" s="166"/>
      <c r="K25" s="163"/>
    </row>
    <row r="26" spans="2:11" ht="19.05" customHeight="1">
      <c r="B26" s="4229" t="s">
        <v>152</v>
      </c>
      <c r="C26" s="4230">
        <v>1</v>
      </c>
      <c r="D26" s="4230">
        <v>2</v>
      </c>
      <c r="E26" s="4225">
        <v>152</v>
      </c>
      <c r="F26" s="166"/>
      <c r="G26" s="166"/>
      <c r="H26" s="166"/>
      <c r="I26" s="166"/>
      <c r="J26" s="166"/>
      <c r="K26" s="163"/>
    </row>
    <row r="27" spans="2:11" ht="28.8">
      <c r="B27" s="4231" t="s">
        <v>1889</v>
      </c>
      <c r="C27" s="4227">
        <v>2</v>
      </c>
      <c r="D27" s="4210">
        <v>19</v>
      </c>
      <c r="E27" s="4210">
        <v>752</v>
      </c>
      <c r="F27" s="166"/>
      <c r="G27" s="166"/>
      <c r="H27" s="166"/>
      <c r="I27" s="166"/>
      <c r="J27" s="166"/>
      <c r="K27" s="163"/>
    </row>
    <row r="28" spans="2:11" ht="19.05" customHeight="1">
      <c r="B28" s="4231" t="s">
        <v>154</v>
      </c>
      <c r="C28" s="4227">
        <v>3</v>
      </c>
      <c r="D28" s="4227">
        <v>29</v>
      </c>
      <c r="E28" s="4210">
        <v>876</v>
      </c>
      <c r="F28" s="166"/>
      <c r="G28" s="166"/>
      <c r="H28" s="166"/>
      <c r="I28" s="166"/>
      <c r="J28" s="166"/>
      <c r="K28" s="163"/>
    </row>
    <row r="29" spans="2:11" ht="19.05" customHeight="1">
      <c r="B29" s="4231" t="s">
        <v>96</v>
      </c>
      <c r="C29" s="4227">
        <v>4</v>
      </c>
      <c r="D29" s="4227">
        <v>34</v>
      </c>
      <c r="E29" s="4210">
        <v>920</v>
      </c>
      <c r="F29" s="166"/>
      <c r="G29" s="166"/>
      <c r="H29" s="166"/>
      <c r="I29" s="166"/>
      <c r="J29" s="166"/>
      <c r="K29" s="163"/>
    </row>
    <row r="30" spans="2:11" ht="19.05" customHeight="1">
      <c r="B30" s="4232" t="s">
        <v>1890</v>
      </c>
      <c r="C30" s="4227">
        <v>5</v>
      </c>
      <c r="D30" s="4227">
        <v>35</v>
      </c>
      <c r="E30" s="4233">
        <v>927</v>
      </c>
      <c r="F30" s="166"/>
      <c r="G30" s="166"/>
      <c r="H30" s="166"/>
      <c r="I30" s="166"/>
      <c r="J30" s="166"/>
      <c r="K30" s="163"/>
    </row>
    <row r="31" spans="2:11" ht="19.05" customHeight="1">
      <c r="B31" s="2253" t="s">
        <v>95</v>
      </c>
      <c r="C31" s="2252">
        <v>6</v>
      </c>
      <c r="D31" s="2252">
        <v>36</v>
      </c>
      <c r="E31" s="2252">
        <v>973</v>
      </c>
      <c r="F31" s="166"/>
      <c r="G31" s="166"/>
      <c r="H31" s="166"/>
      <c r="I31" s="166"/>
      <c r="J31" s="166"/>
      <c r="K31" s="163"/>
    </row>
    <row r="32" spans="2:11" ht="19.05" customHeight="1">
      <c r="B32" s="4232" t="s">
        <v>617</v>
      </c>
      <c r="C32" s="4226">
        <v>7</v>
      </c>
      <c r="D32" s="4226">
        <v>43</v>
      </c>
      <c r="E32" s="4210">
        <v>1096</v>
      </c>
      <c r="F32" s="166"/>
      <c r="G32" s="166"/>
      <c r="H32" s="166"/>
      <c r="I32" s="166"/>
      <c r="J32" s="166"/>
      <c r="K32" s="163"/>
    </row>
    <row r="33" spans="2:11" ht="19.05" customHeight="1">
      <c r="B33" s="4232" t="s">
        <v>157</v>
      </c>
      <c r="C33" s="4227">
        <v>8</v>
      </c>
      <c r="D33" s="2250">
        <v>44</v>
      </c>
      <c r="E33" s="4210">
        <v>1102</v>
      </c>
      <c r="F33" s="166"/>
      <c r="G33" s="166"/>
      <c r="H33" s="166"/>
      <c r="I33" s="166"/>
      <c r="J33" s="166"/>
      <c r="K33" s="163"/>
    </row>
    <row r="34" spans="2:11" ht="19.05" customHeight="1">
      <c r="B34" s="4231" t="s">
        <v>526</v>
      </c>
      <c r="C34" s="4227">
        <v>9</v>
      </c>
      <c r="D34" s="4226">
        <v>59</v>
      </c>
      <c r="E34" s="4210">
        <v>1393</v>
      </c>
      <c r="F34" s="166"/>
      <c r="G34" s="166"/>
      <c r="H34" s="166"/>
      <c r="I34" s="166"/>
      <c r="J34" s="166"/>
      <c r="K34" s="163"/>
    </row>
    <row r="35" spans="2:11" ht="19.05" customHeight="1">
      <c r="B35" s="4232" t="s">
        <v>338</v>
      </c>
      <c r="C35" s="4227">
        <v>10</v>
      </c>
      <c r="D35" s="4226">
        <v>60</v>
      </c>
      <c r="E35" s="4210">
        <v>1430</v>
      </c>
      <c r="F35" s="166"/>
      <c r="G35" s="166"/>
      <c r="H35" s="166"/>
      <c r="I35" s="166"/>
      <c r="J35" s="166"/>
      <c r="K35" s="163"/>
    </row>
    <row r="36" spans="2:11" ht="19.05" customHeight="1">
      <c r="B36" s="4232" t="s">
        <v>696</v>
      </c>
      <c r="C36" s="4226">
        <v>11</v>
      </c>
      <c r="D36" s="4226">
        <v>61</v>
      </c>
      <c r="E36" s="4210">
        <v>1448</v>
      </c>
      <c r="F36" s="166"/>
      <c r="G36" s="166"/>
      <c r="H36" s="166"/>
      <c r="I36" s="166"/>
      <c r="J36" s="166"/>
      <c r="K36" s="163"/>
    </row>
    <row r="37" spans="2:11" ht="19.05" customHeight="1">
      <c r="B37" s="4232" t="s">
        <v>337</v>
      </c>
      <c r="C37" s="4226">
        <v>12</v>
      </c>
      <c r="D37" s="4226">
        <v>70</v>
      </c>
      <c r="E37" s="4210">
        <v>1536</v>
      </c>
      <c r="F37" s="166"/>
      <c r="G37" s="166"/>
      <c r="H37" s="166"/>
      <c r="I37" s="166"/>
      <c r="J37" s="166"/>
      <c r="K37" s="163"/>
    </row>
    <row r="38" spans="2:11" ht="19.05" customHeight="1">
      <c r="B38" s="4232" t="s">
        <v>525</v>
      </c>
      <c r="C38" s="4227">
        <v>13</v>
      </c>
      <c r="D38" s="2250">
        <v>81</v>
      </c>
      <c r="E38" s="4210">
        <v>1666</v>
      </c>
      <c r="F38" s="166"/>
      <c r="G38" s="166"/>
      <c r="H38" s="166"/>
      <c r="I38" s="166"/>
      <c r="J38" s="166"/>
      <c r="K38" s="163"/>
    </row>
    <row r="39" spans="2:11" ht="19.05" customHeight="1">
      <c r="B39" s="4234" t="s">
        <v>697</v>
      </c>
      <c r="C39" s="4227">
        <v>14</v>
      </c>
      <c r="D39" s="2250">
        <v>88</v>
      </c>
      <c r="E39" s="4210">
        <v>1720</v>
      </c>
      <c r="F39" s="166"/>
      <c r="G39" s="166"/>
      <c r="H39" s="166"/>
      <c r="I39" s="166"/>
      <c r="J39" s="166"/>
      <c r="K39" s="163"/>
    </row>
    <row r="40" spans="2:11" ht="19.05" customHeight="1">
      <c r="B40" s="4235" t="s">
        <v>704</v>
      </c>
      <c r="C40" s="4236">
        <v>15</v>
      </c>
      <c r="D40" s="4228">
        <v>106</v>
      </c>
      <c r="E40" s="4212">
        <v>2011</v>
      </c>
      <c r="F40" s="166"/>
      <c r="G40" s="166"/>
      <c r="H40" s="166"/>
      <c r="I40" s="166"/>
      <c r="J40" s="166"/>
      <c r="K40" s="163"/>
    </row>
    <row r="41" spans="2:11" ht="14.4">
      <c r="B41" s="4203"/>
      <c r="C41" s="4203"/>
      <c r="D41" s="4203"/>
      <c r="E41" s="4203"/>
      <c r="F41" s="166"/>
      <c r="G41" s="166"/>
      <c r="H41" s="166"/>
      <c r="I41" s="166"/>
      <c r="J41" s="166"/>
      <c r="K41" s="163"/>
    </row>
    <row r="42" spans="2:11" ht="14.4">
      <c r="B42" s="89"/>
      <c r="C42" s="89"/>
      <c r="D42" s="89"/>
      <c r="E42" s="89"/>
      <c r="F42" s="166"/>
      <c r="G42" s="166"/>
      <c r="H42" s="166"/>
      <c r="I42" s="166"/>
      <c r="J42" s="166"/>
      <c r="K42" s="163"/>
    </row>
    <row r="43" spans="2:11" ht="15.6">
      <c r="B43" s="6271" t="s">
        <v>2666</v>
      </c>
      <c r="C43" s="6271"/>
      <c r="D43" s="6271"/>
      <c r="E43" s="6271"/>
      <c r="F43" s="166"/>
      <c r="G43" s="166"/>
      <c r="H43" s="166"/>
      <c r="I43" s="166"/>
      <c r="J43" s="166"/>
      <c r="K43" s="163"/>
    </row>
    <row r="44" spans="2:11" ht="29.4" thickBot="1">
      <c r="B44" s="2111" t="s">
        <v>88</v>
      </c>
      <c r="C44" s="2269" t="s">
        <v>89</v>
      </c>
      <c r="D44" s="2269" t="s">
        <v>616</v>
      </c>
      <c r="E44" s="2269" t="s">
        <v>90</v>
      </c>
      <c r="F44" s="166"/>
      <c r="G44" s="166"/>
      <c r="H44" s="166"/>
      <c r="I44" s="166"/>
      <c r="J44" s="166"/>
      <c r="K44" s="163"/>
    </row>
    <row r="45" spans="2:11" ht="20.100000000000001" customHeight="1">
      <c r="B45" s="2249" t="s">
        <v>152</v>
      </c>
      <c r="C45" s="2248">
        <v>1</v>
      </c>
      <c r="D45" s="2248">
        <v>2</v>
      </c>
      <c r="E45" s="2270">
        <v>155</v>
      </c>
      <c r="F45" s="166"/>
      <c r="G45" s="166"/>
      <c r="H45" s="166"/>
      <c r="I45" s="166"/>
      <c r="J45" s="166"/>
      <c r="K45" s="163"/>
    </row>
    <row r="46" spans="2:11" ht="28.8">
      <c r="B46" s="2251" t="s">
        <v>1889</v>
      </c>
      <c r="C46" s="2250">
        <v>2</v>
      </c>
      <c r="D46" s="2250">
        <v>18</v>
      </c>
      <c r="E46" s="2271">
        <v>670</v>
      </c>
      <c r="F46" s="166"/>
      <c r="G46" s="166"/>
      <c r="H46" s="166"/>
      <c r="I46" s="166"/>
      <c r="J46" s="166"/>
      <c r="K46" s="163"/>
    </row>
    <row r="47" spans="2:11" ht="20.100000000000001" customHeight="1">
      <c r="B47" s="2251" t="s">
        <v>154</v>
      </c>
      <c r="C47" s="2250">
        <v>3</v>
      </c>
      <c r="D47" s="2250">
        <v>32</v>
      </c>
      <c r="E47" s="2271">
        <v>882</v>
      </c>
      <c r="F47" s="166"/>
      <c r="G47" s="166"/>
      <c r="H47" s="166"/>
      <c r="I47" s="166"/>
      <c r="J47" s="166"/>
      <c r="K47" s="163"/>
    </row>
    <row r="48" spans="2:11" ht="20.100000000000001" customHeight="1">
      <c r="B48" s="2251" t="s">
        <v>96</v>
      </c>
      <c r="C48" s="2250">
        <v>4</v>
      </c>
      <c r="D48" s="2250">
        <v>34</v>
      </c>
      <c r="E48" s="2271">
        <v>935</v>
      </c>
      <c r="F48" s="166"/>
      <c r="G48" s="166"/>
      <c r="H48" s="166"/>
      <c r="I48" s="166"/>
      <c r="J48" s="166"/>
      <c r="K48" s="163"/>
    </row>
    <row r="49" spans="2:11" ht="20.100000000000001" customHeight="1">
      <c r="B49" s="2253" t="s">
        <v>95</v>
      </c>
      <c r="C49" s="2252">
        <v>5</v>
      </c>
      <c r="D49" s="2252">
        <v>35</v>
      </c>
      <c r="E49" s="2273">
        <v>990</v>
      </c>
      <c r="F49" s="166"/>
      <c r="G49" s="166"/>
      <c r="H49" s="166"/>
      <c r="I49" s="166"/>
      <c r="J49" s="166"/>
      <c r="K49" s="163"/>
    </row>
    <row r="50" spans="2:11" ht="20.100000000000001" customHeight="1">
      <c r="B50" s="2251" t="s">
        <v>617</v>
      </c>
      <c r="C50" s="2250">
        <v>6</v>
      </c>
      <c r="D50" s="2250">
        <v>46</v>
      </c>
      <c r="E50" s="2271">
        <v>1132</v>
      </c>
      <c r="F50" s="166"/>
      <c r="G50" s="166"/>
      <c r="H50" s="166"/>
      <c r="I50" s="166"/>
      <c r="J50" s="166"/>
      <c r="K50" s="163"/>
    </row>
    <row r="51" spans="2:11" ht="20.100000000000001" customHeight="1">
      <c r="B51" s="2251" t="s">
        <v>157</v>
      </c>
      <c r="C51" s="2250">
        <v>7</v>
      </c>
      <c r="D51" s="2250">
        <v>50</v>
      </c>
      <c r="E51" s="2271">
        <v>1161</v>
      </c>
      <c r="F51" s="166"/>
      <c r="G51" s="166"/>
      <c r="H51" s="166"/>
      <c r="I51" s="166"/>
      <c r="J51" s="166"/>
      <c r="K51" s="163"/>
    </row>
    <row r="52" spans="2:11" ht="20.100000000000001" customHeight="1">
      <c r="B52" s="2251" t="s">
        <v>1890</v>
      </c>
      <c r="C52" s="2250">
        <v>8</v>
      </c>
      <c r="D52" s="2250">
        <v>61</v>
      </c>
      <c r="E52" s="2250">
        <v>1393</v>
      </c>
      <c r="F52" s="166"/>
      <c r="G52" s="166"/>
      <c r="H52" s="166"/>
      <c r="I52" s="166"/>
      <c r="J52" s="166"/>
      <c r="K52" s="163"/>
    </row>
    <row r="53" spans="2:11" ht="20.100000000000001" customHeight="1">
      <c r="B53" s="2251" t="s">
        <v>526</v>
      </c>
      <c r="C53" s="2250">
        <v>9</v>
      </c>
      <c r="D53" s="2250">
        <v>65</v>
      </c>
      <c r="E53" s="2271">
        <v>1463</v>
      </c>
      <c r="F53" s="166"/>
      <c r="G53" s="166"/>
      <c r="H53" s="166"/>
      <c r="I53" s="166"/>
      <c r="J53" s="166"/>
      <c r="K53" s="163"/>
    </row>
    <row r="54" spans="2:11" ht="20.100000000000001" customHeight="1">
      <c r="B54" s="2251" t="s">
        <v>338</v>
      </c>
      <c r="C54" s="2250">
        <v>10</v>
      </c>
      <c r="D54" s="2250">
        <v>68</v>
      </c>
      <c r="E54" s="2271">
        <v>1519</v>
      </c>
      <c r="F54" s="166"/>
      <c r="G54" s="166"/>
      <c r="H54" s="166"/>
      <c r="I54" s="166"/>
      <c r="J54" s="166"/>
      <c r="K54" s="163"/>
    </row>
    <row r="55" spans="2:11" ht="20.100000000000001" customHeight="1">
      <c r="B55" s="2251" t="s">
        <v>696</v>
      </c>
      <c r="C55" s="2250">
        <v>11</v>
      </c>
      <c r="D55" s="2250">
        <v>69</v>
      </c>
      <c r="E55" s="2271">
        <v>1562</v>
      </c>
      <c r="F55" s="166"/>
      <c r="G55" s="166"/>
      <c r="H55" s="166"/>
      <c r="I55" s="166"/>
      <c r="J55" s="166"/>
      <c r="K55" s="163"/>
    </row>
    <row r="56" spans="2:11" ht="20.100000000000001" customHeight="1">
      <c r="B56" s="2251" t="s">
        <v>697</v>
      </c>
      <c r="C56" s="2250">
        <v>12</v>
      </c>
      <c r="D56" s="2250">
        <v>78</v>
      </c>
      <c r="E56" s="2271">
        <v>1664</v>
      </c>
      <c r="F56" s="166"/>
      <c r="G56" s="166"/>
      <c r="H56" s="166"/>
      <c r="I56" s="166"/>
      <c r="J56" s="166"/>
      <c r="K56" s="163"/>
    </row>
    <row r="57" spans="2:11" ht="20.100000000000001" customHeight="1">
      <c r="B57" s="2251" t="s">
        <v>525</v>
      </c>
      <c r="C57" s="2250">
        <v>13</v>
      </c>
      <c r="D57" s="2250">
        <v>80</v>
      </c>
      <c r="E57" s="2250">
        <v>1693</v>
      </c>
      <c r="F57" s="166"/>
      <c r="G57" s="166"/>
      <c r="H57" s="166"/>
      <c r="I57" s="166"/>
      <c r="J57" s="166"/>
      <c r="K57" s="163"/>
    </row>
    <row r="58" spans="2:11" ht="20.100000000000001" customHeight="1">
      <c r="B58" s="2251" t="s">
        <v>337</v>
      </c>
      <c r="C58" s="2250">
        <v>14</v>
      </c>
      <c r="D58" s="2250">
        <v>85</v>
      </c>
      <c r="E58" s="2250">
        <v>1730</v>
      </c>
      <c r="F58" s="166"/>
      <c r="G58" s="166"/>
      <c r="H58" s="166"/>
      <c r="I58" s="166"/>
      <c r="J58" s="166"/>
      <c r="K58" s="163"/>
    </row>
    <row r="59" spans="2:11" ht="20.100000000000001" customHeight="1">
      <c r="B59" s="2257" t="s">
        <v>704</v>
      </c>
      <c r="C59" s="2256">
        <v>15</v>
      </c>
      <c r="D59" s="2256">
        <v>104</v>
      </c>
      <c r="E59" s="2272">
        <v>2016</v>
      </c>
      <c r="F59" s="166"/>
      <c r="G59" s="166"/>
      <c r="H59" s="166"/>
      <c r="I59" s="166"/>
      <c r="J59" s="166"/>
      <c r="K59" s="163"/>
    </row>
    <row r="60" spans="2:11" ht="14.4">
      <c r="B60" s="89"/>
      <c r="C60" s="89"/>
      <c r="D60" s="89"/>
      <c r="E60" s="89"/>
      <c r="F60" s="166"/>
      <c r="G60" s="166"/>
      <c r="H60" s="166"/>
      <c r="I60" s="166"/>
      <c r="J60" s="166"/>
      <c r="K60" s="163"/>
    </row>
    <row r="61" spans="2:11" ht="14.4">
      <c r="B61" s="89"/>
      <c r="C61" s="89"/>
      <c r="D61" s="89"/>
      <c r="E61" s="89"/>
      <c r="F61" s="166"/>
      <c r="G61" s="166"/>
      <c r="H61" s="166"/>
      <c r="I61" s="166"/>
      <c r="J61" s="166"/>
      <c r="K61" s="163"/>
    </row>
    <row r="62" spans="2:11" ht="20.100000000000001" customHeight="1">
      <c r="B62" s="6272" t="s">
        <v>2663</v>
      </c>
      <c r="C62" s="6272"/>
      <c r="D62" s="6272"/>
      <c r="E62" s="6272"/>
      <c r="F62" s="166"/>
      <c r="G62" s="166"/>
      <c r="H62" s="166"/>
      <c r="I62" s="166"/>
      <c r="J62" s="166"/>
      <c r="K62" s="163"/>
    </row>
    <row r="63" spans="2:11" ht="29.4" thickBot="1">
      <c r="B63" s="2111" t="s">
        <v>88</v>
      </c>
      <c r="C63" s="2269" t="s">
        <v>89</v>
      </c>
      <c r="D63" s="2269" t="s">
        <v>616</v>
      </c>
      <c r="E63" s="2269" t="s">
        <v>90</v>
      </c>
      <c r="F63" s="166"/>
      <c r="G63" s="166"/>
      <c r="H63" s="166"/>
      <c r="I63" s="166"/>
      <c r="J63" s="166"/>
      <c r="K63" s="163"/>
    </row>
    <row r="64" spans="2:11" s="45" customFormat="1" ht="20.100000000000001" customHeight="1">
      <c r="B64" s="2249" t="s">
        <v>92</v>
      </c>
      <c r="C64" s="2248">
        <v>1</v>
      </c>
      <c r="D64" s="2248">
        <v>2</v>
      </c>
      <c r="E64" s="2270">
        <v>120</v>
      </c>
      <c r="F64" s="166"/>
      <c r="G64" s="166"/>
      <c r="H64" s="166"/>
      <c r="I64" s="166"/>
      <c r="J64" s="166"/>
      <c r="K64" s="166"/>
    </row>
    <row r="65" spans="2:11" s="45" customFormat="1" ht="20.100000000000001" customHeight="1">
      <c r="B65" s="2251" t="s">
        <v>2662</v>
      </c>
      <c r="C65" s="2250">
        <v>2</v>
      </c>
      <c r="D65" s="2250">
        <v>19</v>
      </c>
      <c r="E65" s="2271">
        <v>659</v>
      </c>
      <c r="F65" s="166"/>
      <c r="G65" s="166"/>
      <c r="H65" s="166"/>
      <c r="I65" s="166"/>
      <c r="J65" s="166"/>
      <c r="K65" s="166"/>
    </row>
    <row r="66" spans="2:11" s="45" customFormat="1" ht="20.100000000000001" customHeight="1">
      <c r="B66" s="2251" t="s">
        <v>154</v>
      </c>
      <c r="C66" s="2250">
        <v>3</v>
      </c>
      <c r="D66" s="2250">
        <v>33</v>
      </c>
      <c r="E66" s="2271">
        <v>895</v>
      </c>
      <c r="F66" s="166"/>
      <c r="G66" s="166"/>
      <c r="H66" s="166"/>
      <c r="I66" s="166"/>
      <c r="J66" s="166"/>
      <c r="K66" s="166"/>
    </row>
    <row r="67" spans="2:11" s="45" customFormat="1" ht="20.100000000000001" customHeight="1">
      <c r="B67" s="2251" t="s">
        <v>96</v>
      </c>
      <c r="C67" s="2250">
        <v>4</v>
      </c>
      <c r="D67" s="2250">
        <v>34</v>
      </c>
      <c r="E67" s="2271">
        <v>943</v>
      </c>
      <c r="F67" s="166"/>
      <c r="G67" s="166"/>
      <c r="H67" s="166"/>
      <c r="I67" s="166"/>
      <c r="J67" s="166"/>
      <c r="K67" s="166"/>
    </row>
    <row r="68" spans="2:11" s="45" customFormat="1" ht="20.100000000000001" customHeight="1">
      <c r="B68" s="2253" t="s">
        <v>95</v>
      </c>
      <c r="C68" s="2252">
        <v>5</v>
      </c>
      <c r="D68" s="2252">
        <v>35</v>
      </c>
      <c r="E68" s="2273">
        <v>991</v>
      </c>
      <c r="F68" s="166"/>
      <c r="G68" s="166"/>
      <c r="H68" s="166"/>
      <c r="I68" s="166"/>
      <c r="J68" s="166"/>
      <c r="K68" s="166"/>
    </row>
    <row r="69" spans="2:11" s="45" customFormat="1" ht="20.100000000000001" customHeight="1">
      <c r="B69" s="2251" t="s">
        <v>617</v>
      </c>
      <c r="C69" s="2250">
        <v>6</v>
      </c>
      <c r="D69" s="2250">
        <v>43</v>
      </c>
      <c r="E69" s="2271">
        <v>1153</v>
      </c>
      <c r="F69" s="166"/>
      <c r="G69" s="166"/>
      <c r="H69" s="166"/>
      <c r="I69" s="166"/>
      <c r="J69" s="166"/>
      <c r="K69" s="166"/>
    </row>
    <row r="70" spans="2:11" s="45" customFormat="1" ht="20.100000000000001" customHeight="1">
      <c r="B70" s="2251" t="s">
        <v>157</v>
      </c>
      <c r="C70" s="2250">
        <v>7</v>
      </c>
      <c r="D70" s="2250">
        <v>53</v>
      </c>
      <c r="E70" s="2271">
        <v>1288</v>
      </c>
      <c r="F70" s="166"/>
      <c r="G70" s="166"/>
      <c r="H70" s="166"/>
      <c r="I70" s="166"/>
      <c r="J70" s="166"/>
      <c r="K70" s="166"/>
    </row>
    <row r="71" spans="2:11" s="45" customFormat="1" ht="20.100000000000001" customHeight="1">
      <c r="B71" s="2251" t="s">
        <v>526</v>
      </c>
      <c r="C71" s="2250">
        <v>8</v>
      </c>
      <c r="D71" s="2250">
        <v>62</v>
      </c>
      <c r="E71" s="2250">
        <v>1478</v>
      </c>
      <c r="F71" s="166"/>
      <c r="G71" s="166"/>
      <c r="H71" s="166"/>
      <c r="I71" s="166"/>
      <c r="J71" s="166"/>
      <c r="K71" s="166"/>
    </row>
    <row r="72" spans="2:11" s="45" customFormat="1" ht="20.100000000000001" customHeight="1">
      <c r="B72" s="2251" t="s">
        <v>1890</v>
      </c>
      <c r="C72" s="2250">
        <v>9</v>
      </c>
      <c r="D72" s="2250">
        <v>63</v>
      </c>
      <c r="E72" s="2271">
        <v>1487</v>
      </c>
      <c r="F72" s="166"/>
      <c r="G72" s="166"/>
      <c r="H72" s="166"/>
      <c r="I72" s="166"/>
      <c r="J72" s="166"/>
      <c r="K72" s="166"/>
    </row>
    <row r="73" spans="2:11" s="45" customFormat="1" ht="20.100000000000001" customHeight="1">
      <c r="B73" s="2251" t="s">
        <v>338</v>
      </c>
      <c r="C73" s="2250">
        <v>10</v>
      </c>
      <c r="D73" s="2250">
        <v>67</v>
      </c>
      <c r="E73" s="2271">
        <v>1522</v>
      </c>
      <c r="F73" s="166"/>
      <c r="G73" s="166"/>
      <c r="H73" s="166"/>
      <c r="I73" s="166"/>
      <c r="J73" s="166"/>
      <c r="K73" s="166"/>
    </row>
    <row r="74" spans="2:11" s="45" customFormat="1" ht="20.100000000000001" customHeight="1">
      <c r="B74" s="2251" t="s">
        <v>696</v>
      </c>
      <c r="C74" s="2250">
        <v>11</v>
      </c>
      <c r="D74" s="2250">
        <v>73</v>
      </c>
      <c r="E74" s="2271">
        <v>1614</v>
      </c>
      <c r="F74" s="166"/>
      <c r="G74" s="166"/>
      <c r="H74" s="166"/>
      <c r="I74" s="166"/>
      <c r="J74" s="166"/>
      <c r="K74" s="166"/>
    </row>
    <row r="75" spans="2:11" s="45" customFormat="1" ht="20.100000000000001" customHeight="1">
      <c r="B75" s="2251" t="s">
        <v>697</v>
      </c>
      <c r="C75" s="2250">
        <v>12</v>
      </c>
      <c r="D75" s="2250">
        <v>78</v>
      </c>
      <c r="E75" s="2271">
        <v>1677</v>
      </c>
      <c r="F75" s="166"/>
      <c r="G75" s="166"/>
      <c r="H75" s="166"/>
      <c r="I75" s="166"/>
      <c r="J75" s="166"/>
      <c r="K75" s="166"/>
    </row>
    <row r="76" spans="2:11" s="45" customFormat="1" ht="20.100000000000001" customHeight="1">
      <c r="B76" s="2251" t="s">
        <v>525</v>
      </c>
      <c r="C76" s="2250">
        <v>13</v>
      </c>
      <c r="D76" s="2250">
        <v>79</v>
      </c>
      <c r="E76" s="2250">
        <v>1685</v>
      </c>
      <c r="F76" s="166"/>
      <c r="G76" s="166"/>
      <c r="H76" s="166"/>
      <c r="I76" s="166"/>
      <c r="J76" s="166"/>
      <c r="K76" s="166"/>
    </row>
    <row r="77" spans="2:11" s="45" customFormat="1" ht="20.100000000000001" customHeight="1">
      <c r="B77" s="2251" t="s">
        <v>337</v>
      </c>
      <c r="C77" s="2250">
        <v>14</v>
      </c>
      <c r="D77" s="2250">
        <v>81</v>
      </c>
      <c r="E77" s="2250">
        <v>1716</v>
      </c>
      <c r="F77" s="166"/>
      <c r="G77" s="166"/>
      <c r="H77" s="166"/>
      <c r="I77" s="166"/>
      <c r="J77" s="166"/>
      <c r="K77" s="166"/>
    </row>
    <row r="78" spans="2:11" s="45" customFormat="1" ht="20.100000000000001" customHeight="1">
      <c r="B78" s="2257" t="s">
        <v>2575</v>
      </c>
      <c r="C78" s="2256">
        <v>15</v>
      </c>
      <c r="D78" s="2256">
        <v>116</v>
      </c>
      <c r="E78" s="2272">
        <v>2114</v>
      </c>
      <c r="F78" s="166"/>
      <c r="G78" s="166"/>
      <c r="H78" s="166"/>
      <c r="I78" s="166"/>
      <c r="J78" s="166"/>
      <c r="K78" s="166"/>
    </row>
    <row r="79" spans="2:11" ht="14.4">
      <c r="B79" s="1032"/>
      <c r="C79" s="1032"/>
      <c r="D79" s="1032"/>
      <c r="E79" s="1032"/>
      <c r="F79" s="166"/>
      <c r="G79" s="166"/>
      <c r="H79" s="166"/>
      <c r="I79" s="166"/>
      <c r="J79" s="166"/>
      <c r="K79" s="163"/>
    </row>
    <row r="80" spans="2:11" ht="14.4">
      <c r="B80" s="1032"/>
      <c r="C80" s="1032"/>
      <c r="D80" s="1032"/>
      <c r="E80" s="1032"/>
      <c r="F80" s="166"/>
      <c r="G80" s="166"/>
      <c r="H80" s="166"/>
      <c r="I80" s="166"/>
      <c r="J80" s="166"/>
      <c r="K80" s="163"/>
    </row>
    <row r="81" spans="2:11" ht="15" customHeight="1">
      <c r="B81" s="6272" t="s">
        <v>2576</v>
      </c>
      <c r="C81" s="6272"/>
      <c r="D81" s="6272"/>
      <c r="E81" s="6272"/>
      <c r="F81" s="166"/>
      <c r="G81" s="166"/>
      <c r="H81" s="166"/>
      <c r="I81" s="166"/>
      <c r="J81" s="166"/>
      <c r="K81" s="163"/>
    </row>
    <row r="82" spans="2:11" ht="29.4" thickBot="1">
      <c r="B82" s="4668" t="s">
        <v>88</v>
      </c>
      <c r="C82" s="4669" t="s">
        <v>89</v>
      </c>
      <c r="D82" s="4669" t="s">
        <v>616</v>
      </c>
      <c r="E82" s="4669" t="s">
        <v>90</v>
      </c>
      <c r="F82" s="166"/>
      <c r="G82" s="166"/>
      <c r="H82" s="166"/>
      <c r="I82" s="166"/>
      <c r="J82" s="166"/>
      <c r="K82" s="163"/>
    </row>
    <row r="83" spans="2:11" ht="14.4">
      <c r="B83" s="4670" t="s">
        <v>92</v>
      </c>
      <c r="C83" s="4671">
        <v>1</v>
      </c>
      <c r="D83" s="4671">
        <v>2</v>
      </c>
      <c r="E83" s="4672">
        <v>128</v>
      </c>
      <c r="F83" s="166"/>
      <c r="G83" s="166"/>
      <c r="H83" s="166"/>
      <c r="I83" s="166"/>
      <c r="J83" s="166"/>
      <c r="K83" s="163"/>
    </row>
    <row r="84" spans="2:11" ht="28.8">
      <c r="B84" s="4673" t="s">
        <v>1889</v>
      </c>
      <c r="C84" s="4674">
        <v>2</v>
      </c>
      <c r="D84" s="4674">
        <v>14</v>
      </c>
      <c r="E84" s="4675">
        <v>615</v>
      </c>
      <c r="F84" s="166"/>
      <c r="G84" s="166"/>
      <c r="H84" s="166"/>
      <c r="I84" s="166"/>
      <c r="J84" s="166"/>
      <c r="K84" s="163"/>
    </row>
    <row r="85" spans="2:11" ht="14.4">
      <c r="B85" s="4673" t="s">
        <v>154</v>
      </c>
      <c r="C85" s="4674">
        <v>3</v>
      </c>
      <c r="D85" s="4674">
        <v>32</v>
      </c>
      <c r="E85" s="4675">
        <v>892</v>
      </c>
      <c r="F85" s="166"/>
      <c r="G85" s="166"/>
      <c r="H85" s="166"/>
      <c r="I85" s="166"/>
      <c r="J85" s="166"/>
      <c r="K85" s="163"/>
    </row>
    <row r="86" spans="2:11" ht="14.4">
      <c r="B86" s="4676" t="s">
        <v>95</v>
      </c>
      <c r="C86" s="4677">
        <v>4</v>
      </c>
      <c r="D86" s="4677">
        <v>34</v>
      </c>
      <c r="E86" s="4678">
        <v>974</v>
      </c>
      <c r="F86" s="166"/>
      <c r="G86" s="166"/>
      <c r="H86" s="166"/>
      <c r="I86" s="166"/>
      <c r="J86" s="166"/>
      <c r="K86" s="163"/>
    </row>
    <row r="87" spans="2:11" ht="14.4">
      <c r="B87" s="4673" t="s">
        <v>96</v>
      </c>
      <c r="C87" s="4674">
        <v>5</v>
      </c>
      <c r="D87" s="4674">
        <v>36</v>
      </c>
      <c r="E87" s="4675">
        <v>1047</v>
      </c>
      <c r="F87" s="166"/>
      <c r="G87" s="166"/>
      <c r="H87" s="166"/>
      <c r="I87" s="166"/>
      <c r="J87" s="166"/>
      <c r="K87" s="163"/>
    </row>
    <row r="88" spans="2:11" ht="14.4">
      <c r="B88" s="4673" t="s">
        <v>617</v>
      </c>
      <c r="C88" s="4674">
        <v>6</v>
      </c>
      <c r="D88" s="4674">
        <v>45</v>
      </c>
      <c r="E88" s="4675">
        <v>1152</v>
      </c>
      <c r="F88" s="166"/>
      <c r="G88" s="166"/>
      <c r="H88" s="166"/>
      <c r="I88" s="166"/>
      <c r="J88" s="166"/>
      <c r="K88" s="163"/>
    </row>
    <row r="89" spans="2:11" ht="14.4">
      <c r="B89" s="4673" t="s">
        <v>157</v>
      </c>
      <c r="C89" s="4674">
        <v>7</v>
      </c>
      <c r="D89" s="4674">
        <v>53</v>
      </c>
      <c r="E89" s="4675">
        <v>1320</v>
      </c>
      <c r="F89" s="166"/>
      <c r="G89" s="166"/>
      <c r="H89" s="166"/>
      <c r="I89" s="166"/>
      <c r="J89" s="166"/>
      <c r="K89" s="163"/>
    </row>
    <row r="90" spans="2:11" ht="14.4">
      <c r="B90" s="4673" t="s">
        <v>526</v>
      </c>
      <c r="C90" s="4674">
        <v>8</v>
      </c>
      <c r="D90" s="4674">
        <v>55</v>
      </c>
      <c r="E90" s="4674">
        <v>1375</v>
      </c>
      <c r="F90" s="166"/>
      <c r="G90" s="166"/>
      <c r="H90" s="166"/>
      <c r="I90" s="166"/>
      <c r="J90" s="166"/>
      <c r="K90" s="163"/>
    </row>
    <row r="91" spans="2:11" ht="14.4">
      <c r="B91" s="4673" t="s">
        <v>338</v>
      </c>
      <c r="C91" s="4674">
        <v>9</v>
      </c>
      <c r="D91" s="4674">
        <v>61</v>
      </c>
      <c r="E91" s="4675">
        <v>1480</v>
      </c>
      <c r="F91" s="166"/>
      <c r="G91" s="166"/>
      <c r="H91" s="166"/>
      <c r="I91" s="166"/>
      <c r="J91" s="166"/>
      <c r="K91" s="163"/>
    </row>
    <row r="92" spans="2:11" ht="14.4">
      <c r="B92" s="4673" t="s">
        <v>525</v>
      </c>
      <c r="C92" s="4674">
        <v>10</v>
      </c>
      <c r="D92" s="4674">
        <v>69</v>
      </c>
      <c r="E92" s="4675">
        <v>1571</v>
      </c>
      <c r="F92" s="166"/>
      <c r="G92" s="166"/>
      <c r="H92" s="166"/>
      <c r="I92" s="166"/>
      <c r="J92" s="166"/>
      <c r="K92" s="163"/>
    </row>
    <row r="93" spans="2:11" ht="14.4">
      <c r="B93" s="4673" t="s">
        <v>696</v>
      </c>
      <c r="C93" s="4674">
        <v>11</v>
      </c>
      <c r="D93" s="4674">
        <v>74</v>
      </c>
      <c r="E93" s="4675">
        <v>1606</v>
      </c>
      <c r="F93" s="166"/>
      <c r="G93" s="166"/>
      <c r="H93" s="166"/>
      <c r="I93" s="166"/>
      <c r="J93" s="166"/>
      <c r="K93" s="163"/>
    </row>
    <row r="94" spans="2:11" ht="14.4">
      <c r="B94" s="4673" t="s">
        <v>337</v>
      </c>
      <c r="C94" s="4674">
        <v>12</v>
      </c>
      <c r="D94" s="4674">
        <v>79</v>
      </c>
      <c r="E94" s="4675">
        <v>1702</v>
      </c>
      <c r="F94" s="166"/>
      <c r="G94" s="166"/>
      <c r="H94" s="166"/>
      <c r="I94" s="166"/>
      <c r="J94" s="166"/>
      <c r="K94" s="163"/>
    </row>
    <row r="95" spans="2:11" ht="14.4">
      <c r="B95" s="4679" t="s">
        <v>2574</v>
      </c>
      <c r="C95" s="4674">
        <v>13</v>
      </c>
      <c r="D95" s="4674">
        <v>102</v>
      </c>
      <c r="E95" s="4675">
        <v>1991</v>
      </c>
      <c r="F95" s="166"/>
      <c r="G95" s="166"/>
      <c r="H95" s="166"/>
      <c r="I95" s="166"/>
      <c r="J95" s="166"/>
      <c r="K95" s="163"/>
    </row>
    <row r="96" spans="2:11" ht="14.4">
      <c r="B96" s="4673" t="s">
        <v>2575</v>
      </c>
      <c r="C96" s="4674">
        <v>14</v>
      </c>
      <c r="D96" s="4674">
        <v>105</v>
      </c>
      <c r="E96" s="4674">
        <v>2022</v>
      </c>
      <c r="F96" s="166"/>
      <c r="G96" s="166"/>
      <c r="H96" s="166"/>
      <c r="I96" s="166"/>
      <c r="J96" s="166"/>
      <c r="K96" s="163"/>
    </row>
    <row r="97" spans="2:11" ht="14.4">
      <c r="B97" s="4680" t="s">
        <v>704</v>
      </c>
      <c r="C97" s="4681">
        <v>15</v>
      </c>
      <c r="D97" s="4681">
        <v>108</v>
      </c>
      <c r="E97" s="4682">
        <v>2047</v>
      </c>
      <c r="F97" s="166"/>
      <c r="G97" s="166"/>
      <c r="H97" s="166"/>
      <c r="I97" s="166"/>
      <c r="J97" s="166"/>
      <c r="K97" s="163"/>
    </row>
    <row r="98" spans="2:11" ht="14.4">
      <c r="B98" s="1032"/>
      <c r="C98" s="1032"/>
      <c r="D98" s="1032"/>
      <c r="E98" s="1032"/>
      <c r="F98" s="166"/>
      <c r="G98" s="166"/>
      <c r="H98" s="166"/>
      <c r="I98" s="166"/>
      <c r="J98" s="166"/>
      <c r="K98" s="163"/>
    </row>
    <row r="99" spans="2:11" ht="14.4">
      <c r="B99" s="1032"/>
      <c r="C99" s="1032"/>
      <c r="D99" s="1032"/>
      <c r="E99" s="1032"/>
      <c r="F99" s="166"/>
      <c r="G99" s="166"/>
      <c r="H99" s="166"/>
      <c r="I99" s="166"/>
      <c r="J99" s="166"/>
      <c r="K99" s="163"/>
    </row>
    <row r="100" spans="2:11" ht="15.6">
      <c r="B100" s="6272" t="s">
        <v>1888</v>
      </c>
      <c r="C100" s="6272"/>
      <c r="D100" s="6272"/>
      <c r="E100" s="6272"/>
      <c r="F100" s="166"/>
      <c r="G100" s="166"/>
      <c r="H100" s="166"/>
      <c r="I100" s="166"/>
      <c r="J100" s="166"/>
      <c r="K100" s="163"/>
    </row>
    <row r="101" spans="2:11" ht="29.4" thickBot="1">
      <c r="B101" s="4668" t="s">
        <v>88</v>
      </c>
      <c r="C101" s="4669" t="s">
        <v>89</v>
      </c>
      <c r="D101" s="4669" t="s">
        <v>616</v>
      </c>
      <c r="E101" s="4669" t="s">
        <v>90</v>
      </c>
      <c r="F101" s="166"/>
      <c r="G101" s="166"/>
      <c r="H101" s="166"/>
      <c r="I101" s="166"/>
      <c r="J101" s="166"/>
      <c r="K101" s="163"/>
    </row>
    <row r="102" spans="2:11" ht="14.4">
      <c r="B102" s="4670" t="s">
        <v>92</v>
      </c>
      <c r="C102" s="4671">
        <v>1</v>
      </c>
      <c r="D102" s="4671">
        <v>2</v>
      </c>
      <c r="E102" s="4672">
        <v>120</v>
      </c>
      <c r="F102" s="166"/>
      <c r="G102" s="166"/>
      <c r="H102" s="166"/>
      <c r="I102" s="166"/>
      <c r="J102" s="166"/>
      <c r="K102" s="163"/>
    </row>
    <row r="103" spans="2:11" ht="28.8">
      <c r="B103" s="4673" t="s">
        <v>1889</v>
      </c>
      <c r="C103" s="4674">
        <v>2</v>
      </c>
      <c r="D103" s="4674">
        <v>20</v>
      </c>
      <c r="E103" s="4675">
        <v>631</v>
      </c>
      <c r="F103" s="166"/>
      <c r="G103" s="166"/>
      <c r="H103" s="166"/>
      <c r="I103" s="166"/>
      <c r="J103" s="166"/>
      <c r="K103" s="163"/>
    </row>
    <row r="104" spans="2:11" ht="14.4">
      <c r="B104" s="4673" t="s">
        <v>1890</v>
      </c>
      <c r="C104" s="4674">
        <v>3</v>
      </c>
      <c r="D104" s="4674">
        <v>28</v>
      </c>
      <c r="E104" s="4675">
        <v>757</v>
      </c>
      <c r="F104" s="166"/>
      <c r="G104" s="166"/>
      <c r="H104" s="166"/>
      <c r="I104" s="166"/>
      <c r="J104" s="166"/>
      <c r="K104" s="163"/>
    </row>
    <row r="105" spans="2:11" ht="14.4">
      <c r="B105" s="4676" t="s">
        <v>95</v>
      </c>
      <c r="C105" s="4677">
        <v>4</v>
      </c>
      <c r="D105" s="4677">
        <v>31</v>
      </c>
      <c r="E105" s="4678">
        <v>809</v>
      </c>
      <c r="F105" s="166"/>
      <c r="G105" s="166"/>
      <c r="H105" s="166"/>
      <c r="I105" s="166"/>
      <c r="J105" s="166"/>
      <c r="K105" s="163"/>
    </row>
    <row r="106" spans="2:11" ht="14.4">
      <c r="B106" s="4673" t="s">
        <v>154</v>
      </c>
      <c r="C106" s="4674">
        <v>5</v>
      </c>
      <c r="D106" s="4674">
        <v>32</v>
      </c>
      <c r="E106" s="4675">
        <v>830</v>
      </c>
      <c r="F106" s="166"/>
      <c r="G106" s="166"/>
      <c r="H106" s="166"/>
      <c r="I106" s="166"/>
      <c r="J106" s="166"/>
      <c r="K106" s="163"/>
    </row>
    <row r="107" spans="2:11" ht="14.4">
      <c r="B107" s="4673" t="s">
        <v>96</v>
      </c>
      <c r="C107" s="4674">
        <v>6</v>
      </c>
      <c r="D107" s="4674">
        <v>36</v>
      </c>
      <c r="E107" s="4675">
        <v>888</v>
      </c>
      <c r="F107" s="166"/>
      <c r="G107" s="166"/>
      <c r="H107" s="166"/>
      <c r="I107" s="166"/>
      <c r="J107" s="166"/>
      <c r="K107" s="163"/>
    </row>
    <row r="108" spans="2:11" ht="14.4">
      <c r="B108" s="4673" t="s">
        <v>617</v>
      </c>
      <c r="C108" s="4674">
        <v>7</v>
      </c>
      <c r="D108" s="4674">
        <v>45</v>
      </c>
      <c r="E108" s="4675">
        <v>1147</v>
      </c>
      <c r="F108" s="166"/>
      <c r="G108" s="166"/>
      <c r="H108" s="166"/>
      <c r="I108" s="166"/>
      <c r="J108" s="166"/>
      <c r="K108" s="163"/>
    </row>
    <row r="109" spans="2:11" ht="14.4">
      <c r="B109" s="4673" t="s">
        <v>157</v>
      </c>
      <c r="C109" s="4674">
        <v>8</v>
      </c>
      <c r="D109" s="4674">
        <v>50</v>
      </c>
      <c r="E109" s="4674">
        <v>1228</v>
      </c>
      <c r="F109" s="166"/>
      <c r="G109" s="166"/>
      <c r="H109" s="166"/>
      <c r="I109" s="166"/>
      <c r="J109" s="166"/>
      <c r="K109" s="163"/>
    </row>
    <row r="110" spans="2:11" ht="14.4">
      <c r="B110" s="4673" t="s">
        <v>526</v>
      </c>
      <c r="C110" s="4674">
        <v>9</v>
      </c>
      <c r="D110" s="4674">
        <v>58</v>
      </c>
      <c r="E110" s="4675">
        <v>1406</v>
      </c>
      <c r="F110" s="166"/>
      <c r="G110" s="166"/>
      <c r="H110" s="166"/>
      <c r="I110" s="166"/>
      <c r="J110" s="166"/>
      <c r="K110" s="163"/>
    </row>
    <row r="111" spans="2:11" ht="14.4">
      <c r="B111" s="4673" t="s">
        <v>338</v>
      </c>
      <c r="C111" s="4674">
        <v>10</v>
      </c>
      <c r="D111" s="4674">
        <v>69</v>
      </c>
      <c r="E111" s="4675">
        <v>1484</v>
      </c>
      <c r="F111" s="166"/>
      <c r="G111" s="166"/>
      <c r="H111" s="166"/>
      <c r="I111" s="166"/>
      <c r="J111" s="166"/>
      <c r="K111" s="163"/>
    </row>
    <row r="112" spans="2:11" ht="14.4">
      <c r="B112" s="4673" t="s">
        <v>525</v>
      </c>
      <c r="C112" s="4674">
        <v>11</v>
      </c>
      <c r="D112" s="4674">
        <v>70</v>
      </c>
      <c r="E112" s="4675">
        <v>1484</v>
      </c>
      <c r="F112" s="166"/>
      <c r="G112" s="166"/>
      <c r="H112" s="166"/>
      <c r="I112" s="166"/>
      <c r="J112" s="166"/>
      <c r="K112" s="163"/>
    </row>
    <row r="113" spans="2:11" ht="14.4">
      <c r="B113" s="4673" t="s">
        <v>696</v>
      </c>
      <c r="C113" s="4674">
        <v>12</v>
      </c>
      <c r="D113" s="4674">
        <v>73</v>
      </c>
      <c r="E113" s="4675">
        <v>1493</v>
      </c>
      <c r="F113" s="166"/>
      <c r="G113" s="166"/>
      <c r="H113" s="166"/>
      <c r="I113" s="166"/>
      <c r="J113" s="166"/>
      <c r="K113" s="163"/>
    </row>
    <row r="114" spans="2:11" ht="14.4">
      <c r="B114" s="4679" t="s">
        <v>337</v>
      </c>
      <c r="C114" s="4674">
        <v>13</v>
      </c>
      <c r="D114" s="4674">
        <v>81</v>
      </c>
      <c r="E114" s="4675">
        <v>1631</v>
      </c>
      <c r="F114" s="166"/>
      <c r="G114" s="166"/>
      <c r="H114" s="166"/>
      <c r="I114" s="166"/>
      <c r="J114" s="166"/>
      <c r="K114" s="163"/>
    </row>
    <row r="115" spans="2:11" ht="14.4">
      <c r="B115" s="4673" t="s">
        <v>658</v>
      </c>
      <c r="C115" s="4674">
        <v>14</v>
      </c>
      <c r="D115" s="4674">
        <v>82</v>
      </c>
      <c r="E115" s="4674">
        <v>1642</v>
      </c>
      <c r="F115" s="166"/>
      <c r="G115" s="166"/>
      <c r="H115" s="166"/>
      <c r="I115" s="166"/>
      <c r="J115" s="166"/>
      <c r="K115" s="163"/>
    </row>
    <row r="116" spans="2:11" ht="14.4">
      <c r="B116" s="4680" t="s">
        <v>601</v>
      </c>
      <c r="C116" s="4681">
        <v>15</v>
      </c>
      <c r="D116" s="4681">
        <v>84</v>
      </c>
      <c r="E116" s="4682">
        <v>1658</v>
      </c>
      <c r="F116" s="166"/>
      <c r="G116" s="166"/>
      <c r="H116" s="166"/>
      <c r="I116" s="166"/>
      <c r="J116" s="166"/>
      <c r="K116" s="163"/>
    </row>
    <row r="117" spans="2:11" ht="14.4">
      <c r="B117" s="1032"/>
      <c r="C117" s="1032"/>
      <c r="D117" s="1032"/>
      <c r="E117" s="1032"/>
      <c r="F117" s="166"/>
      <c r="G117" s="166"/>
      <c r="H117" s="166"/>
      <c r="I117" s="166"/>
      <c r="J117" s="166"/>
      <c r="K117" s="163"/>
    </row>
    <row r="118" spans="2:11" ht="14.4">
      <c r="B118" s="1032"/>
      <c r="C118" s="1032"/>
      <c r="D118" s="1032"/>
      <c r="E118" s="1032"/>
      <c r="F118" s="166"/>
      <c r="G118" s="166"/>
      <c r="H118" s="166"/>
      <c r="I118" s="166"/>
      <c r="J118" s="166"/>
      <c r="K118" s="163"/>
    </row>
    <row r="119" spans="2:11" ht="15.6">
      <c r="B119" s="6272" t="s">
        <v>1762</v>
      </c>
      <c r="C119" s="6272"/>
      <c r="D119" s="6272"/>
      <c r="E119" s="6272"/>
      <c r="F119" s="166"/>
      <c r="G119" s="166"/>
      <c r="H119" s="166"/>
      <c r="I119" s="166"/>
      <c r="J119" s="166"/>
      <c r="K119" s="163"/>
    </row>
    <row r="120" spans="2:11" ht="29.4" thickBot="1">
      <c r="B120" s="4668" t="s">
        <v>88</v>
      </c>
      <c r="C120" s="4669" t="s">
        <v>89</v>
      </c>
      <c r="D120" s="4669" t="s">
        <v>616</v>
      </c>
      <c r="E120" s="4669" t="s">
        <v>90</v>
      </c>
      <c r="F120" s="166"/>
      <c r="G120" s="166"/>
      <c r="H120" s="166"/>
      <c r="I120" s="166"/>
      <c r="J120" s="166"/>
      <c r="K120" s="163"/>
    </row>
    <row r="121" spans="2:11" ht="15" customHeight="1">
      <c r="B121" s="4670" t="s">
        <v>92</v>
      </c>
      <c r="C121" s="4671">
        <v>1</v>
      </c>
      <c r="D121" s="4671">
        <v>2</v>
      </c>
      <c r="E121" s="4672">
        <v>58</v>
      </c>
      <c r="F121" s="166"/>
      <c r="G121" s="166"/>
      <c r="H121" s="166"/>
      <c r="I121" s="166"/>
      <c r="J121" s="166"/>
      <c r="K121" s="163"/>
    </row>
    <row r="122" spans="2:11" ht="28.8">
      <c r="B122" s="4673" t="s">
        <v>835</v>
      </c>
      <c r="C122" s="4674">
        <v>2</v>
      </c>
      <c r="D122" s="4674">
        <v>21</v>
      </c>
      <c r="E122" s="4675">
        <v>663</v>
      </c>
      <c r="F122" s="166"/>
      <c r="G122" s="166"/>
      <c r="H122" s="166"/>
      <c r="I122" s="166"/>
      <c r="J122" s="166"/>
      <c r="K122" s="163"/>
    </row>
    <row r="123" spans="2:11" ht="15" customHeight="1">
      <c r="B123" s="4676" t="s">
        <v>524</v>
      </c>
      <c r="C123" s="4677">
        <v>3</v>
      </c>
      <c r="D123" s="4677">
        <v>26</v>
      </c>
      <c r="E123" s="4678">
        <v>739</v>
      </c>
      <c r="F123" s="166"/>
      <c r="G123" s="166"/>
      <c r="H123" s="166"/>
      <c r="I123" s="166"/>
      <c r="J123" s="166"/>
      <c r="K123" s="163"/>
    </row>
    <row r="124" spans="2:11" ht="15" customHeight="1">
      <c r="B124" s="4683" t="s">
        <v>429</v>
      </c>
      <c r="C124" s="4684">
        <v>4</v>
      </c>
      <c r="D124" s="4684">
        <v>27</v>
      </c>
      <c r="E124" s="4685">
        <v>744</v>
      </c>
      <c r="F124" s="166"/>
      <c r="G124" s="166"/>
      <c r="H124" s="166"/>
      <c r="I124" s="166"/>
      <c r="J124" s="166"/>
      <c r="K124" s="163"/>
    </row>
    <row r="125" spans="2:11" ht="15" customHeight="1">
      <c r="B125" s="4673" t="s">
        <v>836</v>
      </c>
      <c r="C125" s="4674">
        <v>5</v>
      </c>
      <c r="D125" s="4674">
        <v>30</v>
      </c>
      <c r="E125" s="4675">
        <v>772</v>
      </c>
      <c r="F125" s="166"/>
      <c r="G125" s="166"/>
      <c r="H125" s="166"/>
      <c r="I125" s="166"/>
      <c r="J125" s="166"/>
      <c r="K125" s="163"/>
    </row>
    <row r="126" spans="2:11" ht="15" customHeight="1">
      <c r="B126" s="4673" t="s">
        <v>96</v>
      </c>
      <c r="C126" s="4674">
        <v>6</v>
      </c>
      <c r="D126" s="4674">
        <v>31</v>
      </c>
      <c r="E126" s="4675">
        <v>779</v>
      </c>
      <c r="F126" s="166"/>
      <c r="G126" s="166"/>
      <c r="H126" s="166"/>
      <c r="I126" s="166"/>
      <c r="J126" s="166"/>
      <c r="K126" s="163"/>
    </row>
    <row r="127" spans="2:11" ht="15" customHeight="1">
      <c r="B127" s="4673" t="s">
        <v>334</v>
      </c>
      <c r="C127" s="4674">
        <v>7</v>
      </c>
      <c r="D127" s="4674">
        <v>42</v>
      </c>
      <c r="E127" s="4675">
        <v>1004</v>
      </c>
      <c r="F127" s="166"/>
      <c r="G127" s="166"/>
      <c r="H127" s="166"/>
      <c r="I127" s="166"/>
      <c r="J127" s="166"/>
      <c r="K127" s="163"/>
    </row>
    <row r="128" spans="2:11" ht="15" customHeight="1">
      <c r="B128" s="4673" t="s">
        <v>328</v>
      </c>
      <c r="C128" s="4674">
        <v>8</v>
      </c>
      <c r="D128" s="4674">
        <v>48</v>
      </c>
      <c r="E128" s="4674">
        <v>1093</v>
      </c>
      <c r="F128" s="166"/>
      <c r="G128" s="166"/>
      <c r="H128" s="166"/>
      <c r="I128" s="166"/>
      <c r="J128" s="166"/>
      <c r="K128" s="163"/>
    </row>
    <row r="129" spans="2:11" ht="15" customHeight="1">
      <c r="B129" s="4673" t="s">
        <v>526</v>
      </c>
      <c r="C129" s="4674">
        <v>9</v>
      </c>
      <c r="D129" s="4674">
        <v>59</v>
      </c>
      <c r="E129" s="4675">
        <v>1281</v>
      </c>
      <c r="F129" s="166"/>
      <c r="G129" s="166"/>
      <c r="H129" s="166"/>
      <c r="I129" s="166"/>
      <c r="J129" s="166"/>
      <c r="K129" s="163"/>
    </row>
    <row r="130" spans="2:11" ht="15" customHeight="1">
      <c r="B130" s="4673" t="s">
        <v>339</v>
      </c>
      <c r="C130" s="4674">
        <v>10</v>
      </c>
      <c r="D130" s="4674">
        <v>67</v>
      </c>
      <c r="E130" s="4675">
        <v>1343</v>
      </c>
      <c r="F130" s="166"/>
      <c r="G130" s="166"/>
      <c r="H130" s="166"/>
      <c r="I130" s="166"/>
      <c r="J130" s="166"/>
      <c r="K130" s="163"/>
    </row>
    <row r="131" spans="2:11" ht="15" customHeight="1">
      <c r="B131" s="4673" t="s">
        <v>697</v>
      </c>
      <c r="C131" s="4674">
        <v>11</v>
      </c>
      <c r="D131" s="4674">
        <v>69</v>
      </c>
      <c r="E131" s="4675">
        <v>1356</v>
      </c>
      <c r="F131" s="166"/>
      <c r="G131" s="166"/>
      <c r="H131" s="166"/>
      <c r="I131" s="166"/>
      <c r="J131" s="166"/>
      <c r="K131" s="163"/>
    </row>
    <row r="132" spans="2:11" ht="15" customHeight="1">
      <c r="B132" s="4673" t="s">
        <v>696</v>
      </c>
      <c r="C132" s="4674">
        <v>12</v>
      </c>
      <c r="D132" s="4674">
        <v>75</v>
      </c>
      <c r="E132" s="4675">
        <v>1405</v>
      </c>
      <c r="F132" s="166"/>
      <c r="G132" s="166"/>
      <c r="H132" s="166"/>
      <c r="I132" s="166"/>
      <c r="J132" s="166"/>
      <c r="K132" s="163"/>
    </row>
    <row r="133" spans="2:11" ht="15" customHeight="1">
      <c r="B133" s="4679" t="s">
        <v>699</v>
      </c>
      <c r="C133" s="4674">
        <v>13</v>
      </c>
      <c r="D133" s="4674">
        <v>78</v>
      </c>
      <c r="E133" s="4675">
        <v>1475</v>
      </c>
      <c r="F133" s="166"/>
      <c r="G133" s="166"/>
      <c r="H133" s="166"/>
      <c r="I133" s="166"/>
      <c r="J133" s="166"/>
      <c r="K133" s="163"/>
    </row>
    <row r="134" spans="2:11" ht="15" customHeight="1">
      <c r="B134" s="4673" t="s">
        <v>525</v>
      </c>
      <c r="C134" s="4674">
        <v>14</v>
      </c>
      <c r="D134" s="4674">
        <v>79</v>
      </c>
      <c r="E134" s="4674">
        <v>1482</v>
      </c>
      <c r="F134" s="166"/>
      <c r="G134" s="166"/>
      <c r="H134" s="166"/>
      <c r="I134" s="166"/>
      <c r="J134" s="166"/>
      <c r="K134" s="163"/>
    </row>
    <row r="135" spans="2:11" ht="15" customHeight="1">
      <c r="B135" s="4680" t="s">
        <v>338</v>
      </c>
      <c r="C135" s="4681">
        <v>15</v>
      </c>
      <c r="D135" s="4681">
        <v>84</v>
      </c>
      <c r="E135" s="4682">
        <v>1522</v>
      </c>
      <c r="F135" s="166"/>
      <c r="G135" s="166"/>
      <c r="H135" s="166"/>
      <c r="I135" s="166"/>
      <c r="J135" s="166"/>
      <c r="K135" s="163"/>
    </row>
    <row r="136" spans="2:11" ht="14.4">
      <c r="B136" s="2062" t="s">
        <v>1763</v>
      </c>
      <c r="C136" s="1032"/>
      <c r="D136" s="1032"/>
      <c r="E136" s="1032"/>
      <c r="F136" s="166"/>
      <c r="G136" s="166"/>
      <c r="H136" s="166"/>
      <c r="I136" s="166"/>
      <c r="J136" s="166"/>
      <c r="K136" s="163"/>
    </row>
    <row r="137" spans="2:11" ht="14.4">
      <c r="B137" s="1032"/>
      <c r="C137" s="1032"/>
      <c r="D137" s="1032"/>
      <c r="E137" s="1032"/>
      <c r="F137" s="166"/>
      <c r="G137" s="166"/>
      <c r="H137" s="166"/>
      <c r="I137" s="166"/>
      <c r="J137" s="166"/>
      <c r="K137" s="163"/>
    </row>
    <row r="138" spans="2:11" ht="14.4">
      <c r="C138" s="89"/>
      <c r="D138" s="89"/>
      <c r="E138" s="89"/>
      <c r="F138" s="89"/>
      <c r="G138" s="89"/>
      <c r="H138" s="166"/>
      <c r="I138" s="166"/>
      <c r="J138" s="166"/>
      <c r="K138" s="163"/>
    </row>
    <row r="139" spans="2:11" ht="20.25" customHeight="1">
      <c r="B139" s="6272" t="s">
        <v>834</v>
      </c>
      <c r="C139" s="6272"/>
      <c r="D139" s="6272"/>
      <c r="E139" s="6272"/>
      <c r="F139" s="89"/>
      <c r="G139" s="89"/>
      <c r="H139" s="166"/>
      <c r="I139" s="166"/>
      <c r="J139" s="166"/>
      <c r="K139" s="163"/>
    </row>
    <row r="140" spans="2:11" ht="29.4" thickBot="1">
      <c r="B140" s="4668" t="s">
        <v>88</v>
      </c>
      <c r="C140" s="4669" t="s">
        <v>89</v>
      </c>
      <c r="D140" s="4669" t="s">
        <v>616</v>
      </c>
      <c r="E140" s="4669" t="s">
        <v>90</v>
      </c>
      <c r="F140" s="89"/>
      <c r="G140" s="89"/>
      <c r="H140" s="166"/>
      <c r="I140" s="166"/>
      <c r="J140" s="166"/>
      <c r="K140" s="163"/>
    </row>
    <row r="141" spans="2:11" ht="15" customHeight="1">
      <c r="B141" s="4670" t="s">
        <v>92</v>
      </c>
      <c r="C141" s="4671">
        <v>1</v>
      </c>
      <c r="D141" s="4671">
        <v>2</v>
      </c>
      <c r="E141" s="4672">
        <v>56</v>
      </c>
      <c r="F141" s="89"/>
      <c r="G141" s="89"/>
      <c r="H141" s="166"/>
      <c r="I141" s="166"/>
      <c r="J141" s="166"/>
      <c r="K141" s="163"/>
    </row>
    <row r="142" spans="2:11" ht="28.8">
      <c r="B142" s="4673" t="s">
        <v>835</v>
      </c>
      <c r="C142" s="4674">
        <v>2</v>
      </c>
      <c r="D142" s="4674">
        <v>22</v>
      </c>
      <c r="E142" s="4675">
        <v>597</v>
      </c>
      <c r="F142" s="89"/>
      <c r="G142" s="89"/>
      <c r="H142" s="166"/>
      <c r="I142" s="166"/>
      <c r="J142" s="166"/>
      <c r="K142" s="163"/>
    </row>
    <row r="143" spans="2:11" ht="15" customHeight="1">
      <c r="B143" s="4673" t="s">
        <v>96</v>
      </c>
      <c r="C143" s="4674">
        <v>3</v>
      </c>
      <c r="D143" s="4674">
        <v>25</v>
      </c>
      <c r="E143" s="4675">
        <v>683</v>
      </c>
      <c r="F143" s="89"/>
      <c r="G143" s="89"/>
      <c r="H143" s="166"/>
      <c r="I143" s="166"/>
      <c r="J143" s="166"/>
      <c r="K143" s="163"/>
    </row>
    <row r="144" spans="2:11" ht="15" customHeight="1">
      <c r="B144" s="4676" t="s">
        <v>524</v>
      </c>
      <c r="C144" s="4677">
        <v>4</v>
      </c>
      <c r="D144" s="4677">
        <v>29</v>
      </c>
      <c r="E144" s="4678">
        <v>742</v>
      </c>
      <c r="F144" s="89"/>
      <c r="G144" s="89"/>
      <c r="H144" s="166"/>
      <c r="I144" s="166"/>
      <c r="J144" s="166"/>
      <c r="K144" s="163"/>
    </row>
    <row r="145" spans="2:11" ht="15" customHeight="1">
      <c r="B145" s="4673" t="s">
        <v>429</v>
      </c>
      <c r="C145" s="4674">
        <v>5</v>
      </c>
      <c r="D145" s="4674">
        <v>34</v>
      </c>
      <c r="E145" s="4675">
        <v>791</v>
      </c>
      <c r="F145" s="89"/>
      <c r="G145" s="89"/>
      <c r="H145" s="166"/>
      <c r="I145" s="166"/>
      <c r="J145" s="166"/>
      <c r="K145" s="163"/>
    </row>
    <row r="146" spans="2:11" ht="15" customHeight="1">
      <c r="B146" s="4673" t="s">
        <v>328</v>
      </c>
      <c r="C146" s="4674">
        <v>6</v>
      </c>
      <c r="D146" s="4674">
        <v>41</v>
      </c>
      <c r="E146" s="4675">
        <v>878</v>
      </c>
      <c r="F146" s="89"/>
      <c r="G146" s="89"/>
      <c r="H146" s="166"/>
      <c r="I146" s="166"/>
      <c r="J146" s="166"/>
      <c r="K146" s="163"/>
    </row>
    <row r="147" spans="2:11" ht="15" customHeight="1">
      <c r="B147" s="4673" t="s">
        <v>836</v>
      </c>
      <c r="C147" s="4674">
        <v>7</v>
      </c>
      <c r="D147" s="4674">
        <v>46</v>
      </c>
      <c r="E147" s="4675">
        <v>912</v>
      </c>
      <c r="F147" s="89"/>
      <c r="G147" s="89"/>
      <c r="H147" s="166"/>
      <c r="I147" s="166"/>
      <c r="J147" s="166"/>
      <c r="K147" s="163"/>
    </row>
    <row r="148" spans="2:11" ht="15" customHeight="1">
      <c r="B148" s="4673" t="s">
        <v>339</v>
      </c>
      <c r="C148" s="4674">
        <v>8</v>
      </c>
      <c r="D148" s="4674">
        <v>62</v>
      </c>
      <c r="E148" s="4674">
        <v>1262</v>
      </c>
      <c r="F148" s="89"/>
      <c r="G148" s="89"/>
      <c r="H148" s="166"/>
      <c r="I148" s="166"/>
      <c r="J148" s="166"/>
      <c r="K148" s="163"/>
    </row>
    <row r="149" spans="2:11" ht="15" customHeight="1">
      <c r="B149" s="4673" t="s">
        <v>525</v>
      </c>
      <c r="C149" s="4674">
        <v>9</v>
      </c>
      <c r="D149" s="4674">
        <v>69</v>
      </c>
      <c r="E149" s="4675">
        <v>1358</v>
      </c>
      <c r="F149" s="89"/>
      <c r="G149" s="89"/>
      <c r="H149" s="166"/>
      <c r="I149" s="166"/>
      <c r="J149" s="166"/>
      <c r="K149" s="163"/>
    </row>
    <row r="150" spans="2:11" ht="15" customHeight="1">
      <c r="B150" s="4673" t="s">
        <v>526</v>
      </c>
      <c r="C150" s="4674">
        <v>10</v>
      </c>
      <c r="D150" s="4674">
        <v>71</v>
      </c>
      <c r="E150" s="4675">
        <v>1385</v>
      </c>
      <c r="F150" s="89"/>
      <c r="G150" s="89"/>
      <c r="H150" s="166"/>
      <c r="I150" s="166"/>
      <c r="J150" s="166"/>
      <c r="K150" s="163"/>
    </row>
    <row r="151" spans="2:11" ht="15" customHeight="1">
      <c r="B151" s="4673" t="s">
        <v>696</v>
      </c>
      <c r="C151" s="4674">
        <v>11</v>
      </c>
      <c r="D151" s="4674">
        <v>75</v>
      </c>
      <c r="E151" s="4675">
        <v>1436</v>
      </c>
      <c r="F151" s="89"/>
      <c r="G151" s="89"/>
      <c r="H151" s="166"/>
      <c r="I151" s="166"/>
      <c r="J151" s="166"/>
      <c r="K151" s="163"/>
    </row>
    <row r="152" spans="2:11" ht="15" customHeight="1">
      <c r="B152" s="4673" t="s">
        <v>334</v>
      </c>
      <c r="C152" s="4674">
        <v>12</v>
      </c>
      <c r="D152" s="4674">
        <v>76</v>
      </c>
      <c r="E152" s="4675">
        <v>1437</v>
      </c>
      <c r="F152" s="89"/>
      <c r="G152" s="89"/>
      <c r="H152" s="166"/>
      <c r="I152" s="166"/>
      <c r="J152" s="166"/>
      <c r="K152" s="163"/>
    </row>
    <row r="153" spans="2:11" ht="15" customHeight="1">
      <c r="B153" s="4679" t="s">
        <v>837</v>
      </c>
      <c r="C153" s="4674">
        <v>13</v>
      </c>
      <c r="D153" s="4674">
        <v>86</v>
      </c>
      <c r="E153" s="4675">
        <v>1522</v>
      </c>
      <c r="F153" s="89"/>
      <c r="G153" s="89"/>
      <c r="H153" s="166"/>
      <c r="I153" s="166"/>
      <c r="J153" s="166"/>
      <c r="K153" s="163"/>
    </row>
    <row r="154" spans="2:11" ht="15" customHeight="1">
      <c r="B154" s="4673" t="s">
        <v>697</v>
      </c>
      <c r="C154" s="4674">
        <v>14</v>
      </c>
      <c r="D154" s="4674">
        <v>87</v>
      </c>
      <c r="E154" s="4674">
        <v>1546</v>
      </c>
      <c r="F154" s="89"/>
      <c r="G154" s="89"/>
      <c r="H154" s="166"/>
      <c r="I154" s="166"/>
      <c r="J154" s="166"/>
      <c r="K154" s="163"/>
    </row>
    <row r="155" spans="2:11" ht="15" customHeight="1">
      <c r="B155" s="4680" t="s">
        <v>695</v>
      </c>
      <c r="C155" s="4681">
        <v>15</v>
      </c>
      <c r="D155" s="4681">
        <v>94</v>
      </c>
      <c r="E155" s="4682">
        <v>1638</v>
      </c>
      <c r="F155" s="89"/>
      <c r="G155" s="89"/>
      <c r="H155" s="166"/>
      <c r="I155" s="166"/>
      <c r="J155" s="166"/>
      <c r="K155" s="163"/>
    </row>
    <row r="156" spans="2:11" ht="14.4">
      <c r="C156" s="89"/>
      <c r="D156" s="89"/>
      <c r="E156" s="89"/>
      <c r="F156" s="89"/>
      <c r="G156" s="89"/>
      <c r="H156" s="166"/>
      <c r="I156" s="166"/>
      <c r="J156" s="166"/>
      <c r="K156" s="163"/>
    </row>
    <row r="157" spans="2:11" ht="14.4">
      <c r="G157" s="160"/>
      <c r="H157" s="160"/>
      <c r="I157" s="160"/>
      <c r="J157" s="160"/>
      <c r="K157" s="160"/>
    </row>
    <row r="158" spans="2:11" ht="18" customHeight="1">
      <c r="B158" s="6272" t="s">
        <v>691</v>
      </c>
      <c r="C158" s="6272"/>
      <c r="D158" s="6272"/>
      <c r="E158" s="6272"/>
    </row>
    <row r="159" spans="2:11" ht="29.4" thickBot="1">
      <c r="B159" s="4668" t="s">
        <v>88</v>
      </c>
      <c r="C159" s="4669" t="s">
        <v>89</v>
      </c>
      <c r="D159" s="4669" t="s">
        <v>616</v>
      </c>
      <c r="E159" s="4669" t="s">
        <v>90</v>
      </c>
    </row>
    <row r="160" spans="2:11" ht="14.4">
      <c r="B160" s="4670" t="s">
        <v>92</v>
      </c>
      <c r="C160" s="4671">
        <v>1</v>
      </c>
      <c r="D160" s="4671">
        <v>2</v>
      </c>
      <c r="E160" s="4672">
        <v>50</v>
      </c>
    </row>
    <row r="161" spans="2:5" ht="14.4">
      <c r="B161" s="4676" t="s">
        <v>524</v>
      </c>
      <c r="C161" s="4677">
        <v>2</v>
      </c>
      <c r="D161" s="4677">
        <v>15</v>
      </c>
      <c r="E161" s="4678">
        <v>503</v>
      </c>
    </row>
    <row r="162" spans="2:5" ht="14.4">
      <c r="B162" s="4673" t="s">
        <v>93</v>
      </c>
      <c r="C162" s="4674">
        <v>3</v>
      </c>
      <c r="D162" s="4674">
        <v>22</v>
      </c>
      <c r="E162" s="4675">
        <v>678</v>
      </c>
    </row>
    <row r="163" spans="2:5" ht="14.4">
      <c r="B163" s="4673" t="s">
        <v>429</v>
      </c>
      <c r="C163" s="4674">
        <v>4</v>
      </c>
      <c r="D163" s="4674">
        <v>23</v>
      </c>
      <c r="E163" s="4675">
        <v>693</v>
      </c>
    </row>
    <row r="164" spans="2:5" ht="14.4">
      <c r="B164" s="4673" t="s">
        <v>96</v>
      </c>
      <c r="C164" s="4674">
        <v>5</v>
      </c>
      <c r="D164" s="4674">
        <v>25</v>
      </c>
      <c r="E164" s="4675">
        <v>764</v>
      </c>
    </row>
    <row r="165" spans="2:5" ht="14.4">
      <c r="B165" s="4673" t="s">
        <v>335</v>
      </c>
      <c r="C165" s="4674">
        <v>6</v>
      </c>
      <c r="D165" s="4674">
        <v>28</v>
      </c>
      <c r="E165" s="4675">
        <v>785</v>
      </c>
    </row>
    <row r="166" spans="2:5" ht="14.4">
      <c r="B166" s="4673" t="s">
        <v>328</v>
      </c>
      <c r="C166" s="4674">
        <v>7</v>
      </c>
      <c r="D166" s="4674">
        <v>51</v>
      </c>
      <c r="E166" s="4675">
        <v>1150</v>
      </c>
    </row>
    <row r="167" spans="2:5" ht="14.4">
      <c r="B167" s="4673" t="s">
        <v>695</v>
      </c>
      <c r="C167" s="4674">
        <v>8</v>
      </c>
      <c r="D167" s="4674">
        <v>53</v>
      </c>
      <c r="E167" s="4674">
        <v>1167</v>
      </c>
    </row>
    <row r="168" spans="2:5" ht="14.4">
      <c r="B168" s="4673" t="s">
        <v>526</v>
      </c>
      <c r="C168" s="4674">
        <v>9</v>
      </c>
      <c r="D168" s="4674">
        <v>56</v>
      </c>
      <c r="E168" s="4675">
        <v>1218</v>
      </c>
    </row>
    <row r="169" spans="2:5" ht="14.4">
      <c r="B169" s="4673" t="s">
        <v>525</v>
      </c>
      <c r="C169" s="4674">
        <v>10</v>
      </c>
      <c r="D169" s="4674">
        <v>63</v>
      </c>
      <c r="E169" s="4675">
        <v>1309</v>
      </c>
    </row>
    <row r="170" spans="2:5" ht="14.4">
      <c r="B170" s="4673" t="s">
        <v>334</v>
      </c>
      <c r="C170" s="4674">
        <v>11</v>
      </c>
      <c r="D170" s="4674">
        <v>66</v>
      </c>
      <c r="E170" s="4675">
        <v>1395</v>
      </c>
    </row>
    <row r="171" spans="2:5" ht="14.4">
      <c r="B171" s="4673" t="s">
        <v>339</v>
      </c>
      <c r="C171" s="4674">
        <v>12</v>
      </c>
      <c r="D171" s="4674">
        <v>81</v>
      </c>
      <c r="E171" s="4675">
        <v>1536</v>
      </c>
    </row>
    <row r="172" spans="2:5" ht="14.4">
      <c r="B172" s="4673" t="s">
        <v>601</v>
      </c>
      <c r="C172" s="4674">
        <v>13</v>
      </c>
      <c r="D172" s="4674">
        <v>85</v>
      </c>
      <c r="E172" s="4675">
        <v>1600</v>
      </c>
    </row>
    <row r="173" spans="2:5" ht="14.4">
      <c r="B173" s="4673" t="s">
        <v>696</v>
      </c>
      <c r="C173" s="4674">
        <v>14</v>
      </c>
      <c r="D173" s="4674">
        <v>89</v>
      </c>
      <c r="E173" s="4675">
        <v>1624</v>
      </c>
    </row>
    <row r="174" spans="2:5" ht="14.4">
      <c r="B174" s="4679" t="s">
        <v>697</v>
      </c>
      <c r="C174" s="4674">
        <v>15</v>
      </c>
      <c r="D174" s="4674">
        <v>90</v>
      </c>
      <c r="E174" s="4675">
        <v>1627</v>
      </c>
    </row>
    <row r="175" spans="2:5" ht="15" customHeight="1">
      <c r="B175" s="4673" t="s">
        <v>337</v>
      </c>
      <c r="C175" s="4674">
        <v>16</v>
      </c>
      <c r="D175" s="4674">
        <v>95</v>
      </c>
      <c r="E175" s="4674">
        <v>1676</v>
      </c>
    </row>
    <row r="176" spans="2:5" ht="14.4">
      <c r="B176" s="159"/>
    </row>
    <row r="177" spans="2:11" ht="14.4">
      <c r="B177" s="399" t="s">
        <v>75</v>
      </c>
      <c r="C177" s="400"/>
      <c r="D177" s="316"/>
    </row>
    <row r="178" spans="2:11" ht="14.4">
      <c r="B178" s="401" t="s">
        <v>619</v>
      </c>
      <c r="C178" s="401" t="s">
        <v>620</v>
      </c>
      <c r="D178" s="401" t="s">
        <v>621</v>
      </c>
    </row>
    <row r="179" spans="2:11" ht="14.4">
      <c r="B179" s="235">
        <v>915</v>
      </c>
      <c r="C179" s="235">
        <v>352</v>
      </c>
      <c r="D179" s="235">
        <v>442</v>
      </c>
    </row>
    <row r="180" spans="2:11" ht="14.4">
      <c r="B180" s="133" t="s">
        <v>622</v>
      </c>
    </row>
    <row r="181" spans="2:11" ht="14.4">
      <c r="B181" s="134" t="s">
        <v>707</v>
      </c>
      <c r="D181" s="164">
        <v>41681</v>
      </c>
    </row>
    <row r="182" spans="2:11" ht="14.4"/>
    <row r="183" spans="2:11" ht="18" customHeight="1">
      <c r="B183" s="6274" t="s">
        <v>522</v>
      </c>
      <c r="C183" s="6275"/>
      <c r="D183" s="6275"/>
      <c r="E183" s="6276"/>
      <c r="G183" s="6274" t="s">
        <v>615</v>
      </c>
      <c r="H183" s="6275"/>
      <c r="I183" s="6275"/>
      <c r="J183" s="6276"/>
      <c r="K183" s="162"/>
    </row>
    <row r="184" spans="2:11" ht="28.8">
      <c r="B184" s="170" t="s">
        <v>88</v>
      </c>
      <c r="C184" s="197" t="s">
        <v>89</v>
      </c>
      <c r="D184" s="398" t="s">
        <v>616</v>
      </c>
      <c r="E184" s="197" t="s">
        <v>90</v>
      </c>
      <c r="G184" s="170" t="s">
        <v>88</v>
      </c>
      <c r="H184" s="197" t="s">
        <v>89</v>
      </c>
      <c r="I184" s="398" t="s">
        <v>616</v>
      </c>
      <c r="J184" s="197" t="s">
        <v>90</v>
      </c>
      <c r="K184" s="45"/>
    </row>
    <row r="185" spans="2:11" ht="18" customHeight="1">
      <c r="B185" s="188" t="s">
        <v>92</v>
      </c>
      <c r="C185" s="187">
        <v>1</v>
      </c>
      <c r="D185" s="187">
        <v>2</v>
      </c>
      <c r="E185" s="198">
        <v>36</v>
      </c>
      <c r="G185" s="188" t="s">
        <v>92</v>
      </c>
      <c r="H185" s="187">
        <v>1</v>
      </c>
      <c r="I185" s="187">
        <v>2</v>
      </c>
      <c r="J185" s="198">
        <v>70</v>
      </c>
      <c r="K185" s="45"/>
    </row>
    <row r="186" spans="2:11" ht="18" customHeight="1">
      <c r="B186" s="202" t="s">
        <v>524</v>
      </c>
      <c r="C186" s="199">
        <v>2</v>
      </c>
      <c r="D186" s="199">
        <v>20</v>
      </c>
      <c r="E186" s="200">
        <v>496</v>
      </c>
      <c r="G186" s="188" t="s">
        <v>93</v>
      </c>
      <c r="H186" s="187">
        <v>2</v>
      </c>
      <c r="I186" s="187">
        <v>19</v>
      </c>
      <c r="J186" s="187">
        <v>591</v>
      </c>
      <c r="K186" s="45"/>
    </row>
    <row r="187" spans="2:11" ht="18" customHeight="1">
      <c r="B187" s="188" t="s">
        <v>429</v>
      </c>
      <c r="C187" s="187">
        <v>3</v>
      </c>
      <c r="D187" s="187">
        <v>28</v>
      </c>
      <c r="E187" s="198">
        <v>660</v>
      </c>
      <c r="G187" s="202" t="s">
        <v>524</v>
      </c>
      <c r="H187" s="199">
        <v>3</v>
      </c>
      <c r="I187" s="199">
        <v>20</v>
      </c>
      <c r="J187" s="200">
        <v>592</v>
      </c>
      <c r="K187" s="45"/>
    </row>
    <row r="188" spans="2:11" ht="18" customHeight="1">
      <c r="B188" s="188" t="s">
        <v>96</v>
      </c>
      <c r="C188" s="187">
        <v>4</v>
      </c>
      <c r="D188" s="187">
        <v>30</v>
      </c>
      <c r="E188" s="198">
        <v>676</v>
      </c>
      <c r="G188" s="188" t="s">
        <v>96</v>
      </c>
      <c r="H188" s="187">
        <v>4</v>
      </c>
      <c r="I188" s="187">
        <v>30</v>
      </c>
      <c r="J188" s="198">
        <v>861</v>
      </c>
      <c r="K188" s="45"/>
    </row>
    <row r="189" spans="2:11" ht="18" customHeight="1">
      <c r="B189" s="188" t="s">
        <v>335</v>
      </c>
      <c r="C189" s="187">
        <v>5</v>
      </c>
      <c r="D189" s="187">
        <v>41</v>
      </c>
      <c r="E189" s="198">
        <v>799</v>
      </c>
      <c r="G189" s="188" t="s">
        <v>335</v>
      </c>
      <c r="H189" s="187">
        <v>5</v>
      </c>
      <c r="I189" s="187">
        <v>38</v>
      </c>
      <c r="J189" s="198">
        <v>950</v>
      </c>
      <c r="K189" s="45"/>
    </row>
    <row r="190" spans="2:11" ht="18" customHeight="1">
      <c r="B190" s="188" t="s">
        <v>93</v>
      </c>
      <c r="C190" s="187">
        <v>6</v>
      </c>
      <c r="D190" s="187">
        <v>51</v>
      </c>
      <c r="E190" s="198">
        <v>963</v>
      </c>
      <c r="G190" s="188" t="s">
        <v>429</v>
      </c>
      <c r="H190" s="187">
        <v>6</v>
      </c>
      <c r="I190" s="187">
        <v>39</v>
      </c>
      <c r="J190" s="198">
        <v>974</v>
      </c>
      <c r="K190" s="45"/>
    </row>
    <row r="191" spans="2:11" ht="18" customHeight="1">
      <c r="B191" s="188" t="s">
        <v>328</v>
      </c>
      <c r="C191" s="201">
        <v>7</v>
      </c>
      <c r="D191" s="187">
        <v>66</v>
      </c>
      <c r="E191" s="198">
        <v>1100</v>
      </c>
      <c r="G191" s="188" t="s">
        <v>526</v>
      </c>
      <c r="H191" s="187">
        <v>7</v>
      </c>
      <c r="I191" s="187">
        <v>49</v>
      </c>
      <c r="J191" s="198">
        <v>1120</v>
      </c>
      <c r="K191" s="45"/>
    </row>
    <row r="192" spans="2:11" ht="18" customHeight="1">
      <c r="B192" s="188" t="s">
        <v>525</v>
      </c>
      <c r="C192" s="187">
        <v>8</v>
      </c>
      <c r="D192" s="187">
        <v>68</v>
      </c>
      <c r="E192" s="198">
        <v>1129</v>
      </c>
      <c r="G192" s="188" t="s">
        <v>525</v>
      </c>
      <c r="H192" s="187">
        <v>8</v>
      </c>
      <c r="I192" s="187">
        <v>61</v>
      </c>
      <c r="J192" s="198">
        <v>1327</v>
      </c>
      <c r="K192" s="45"/>
    </row>
    <row r="193" spans="2:11" ht="18" customHeight="1">
      <c r="B193" s="188" t="s">
        <v>601</v>
      </c>
      <c r="C193" s="187">
        <v>9</v>
      </c>
      <c r="D193" s="187">
        <v>69</v>
      </c>
      <c r="E193" s="198">
        <v>1129</v>
      </c>
      <c r="G193" s="188" t="s">
        <v>601</v>
      </c>
      <c r="H193" s="187">
        <v>9</v>
      </c>
      <c r="I193" s="187">
        <v>62</v>
      </c>
      <c r="J193" s="198">
        <v>1327</v>
      </c>
      <c r="K193" s="45"/>
    </row>
    <row r="194" spans="2:11" ht="18" customHeight="1">
      <c r="B194" s="188" t="s">
        <v>158</v>
      </c>
      <c r="C194" s="187">
        <v>10</v>
      </c>
      <c r="D194" s="187">
        <v>75</v>
      </c>
      <c r="E194" s="198">
        <v>1221</v>
      </c>
      <c r="G194" s="188" t="s">
        <v>328</v>
      </c>
      <c r="H194" s="187">
        <v>10</v>
      </c>
      <c r="I194" s="187">
        <v>68</v>
      </c>
      <c r="J194" s="198">
        <v>1407</v>
      </c>
      <c r="K194" s="45"/>
    </row>
    <row r="195" spans="2:11" ht="18" customHeight="1">
      <c r="B195" s="188" t="s">
        <v>696</v>
      </c>
      <c r="C195" s="187">
        <v>11</v>
      </c>
      <c r="D195" s="187">
        <v>88</v>
      </c>
      <c r="E195" s="198">
        <v>1357</v>
      </c>
      <c r="G195" s="188" t="s">
        <v>339</v>
      </c>
      <c r="H195" s="187">
        <v>11</v>
      </c>
      <c r="I195" s="187">
        <v>70</v>
      </c>
      <c r="J195" s="198">
        <v>1434</v>
      </c>
      <c r="K195" s="45"/>
    </row>
    <row r="196" spans="2:11" ht="18" customHeight="1">
      <c r="B196" s="188" t="s">
        <v>695</v>
      </c>
      <c r="C196" s="187">
        <v>12</v>
      </c>
      <c r="D196" s="187">
        <v>91</v>
      </c>
      <c r="E196" s="198">
        <v>1390</v>
      </c>
      <c r="G196" s="188" t="s">
        <v>695</v>
      </c>
      <c r="H196" s="187">
        <v>12</v>
      </c>
      <c r="I196" s="187">
        <v>75</v>
      </c>
      <c r="J196" s="198">
        <v>1488</v>
      </c>
      <c r="K196" s="45"/>
    </row>
    <row r="197" spans="2:11" ht="18" customHeight="1">
      <c r="B197" s="188" t="s">
        <v>337</v>
      </c>
      <c r="C197" s="187">
        <v>13</v>
      </c>
      <c r="D197" s="187">
        <v>102</v>
      </c>
      <c r="E197" s="198">
        <v>1557</v>
      </c>
      <c r="G197" s="188" t="s">
        <v>697</v>
      </c>
      <c r="H197" s="187">
        <v>13</v>
      </c>
      <c r="I197" s="187">
        <v>77</v>
      </c>
      <c r="J197" s="198">
        <v>1542</v>
      </c>
      <c r="K197" s="45"/>
    </row>
    <row r="198" spans="2:11" ht="18" customHeight="1">
      <c r="B198" s="188" t="s">
        <v>698</v>
      </c>
      <c r="C198" s="187">
        <v>14</v>
      </c>
      <c r="D198" s="187">
        <v>104</v>
      </c>
      <c r="E198" s="198">
        <v>1564</v>
      </c>
      <c r="G198" s="188" t="s">
        <v>698</v>
      </c>
      <c r="H198" s="187">
        <v>14</v>
      </c>
      <c r="I198" s="187">
        <v>82</v>
      </c>
      <c r="J198" s="198">
        <v>1588</v>
      </c>
      <c r="K198" s="45"/>
    </row>
    <row r="199" spans="2:11" ht="18" customHeight="1">
      <c r="B199" s="188" t="s">
        <v>703</v>
      </c>
      <c r="C199" s="187">
        <v>15</v>
      </c>
      <c r="D199" s="187">
        <v>107</v>
      </c>
      <c r="E199" s="198">
        <v>1615</v>
      </c>
      <c r="G199" s="188" t="s">
        <v>699</v>
      </c>
      <c r="H199" s="187">
        <v>15</v>
      </c>
      <c r="I199" s="187">
        <v>85</v>
      </c>
      <c r="J199" s="198">
        <v>1652</v>
      </c>
      <c r="K199" s="45"/>
    </row>
    <row r="200" spans="2:11" ht="18" customHeight="1">
      <c r="B200" s="188" t="s">
        <v>339</v>
      </c>
      <c r="C200" s="187">
        <v>16</v>
      </c>
      <c r="D200" s="187">
        <v>111</v>
      </c>
      <c r="E200" s="198">
        <v>1650</v>
      </c>
      <c r="G200" s="188" t="s">
        <v>696</v>
      </c>
      <c r="H200" s="187">
        <v>16</v>
      </c>
      <c r="I200" s="402" t="s">
        <v>618</v>
      </c>
      <c r="J200" s="198">
        <v>1787</v>
      </c>
      <c r="K200" s="45"/>
    </row>
    <row r="201" spans="2:11" ht="18" customHeight="1">
      <c r="B201" s="188" t="s">
        <v>704</v>
      </c>
      <c r="C201" s="187">
        <v>17</v>
      </c>
      <c r="D201" s="187">
        <v>126</v>
      </c>
      <c r="E201" s="198">
        <v>1760</v>
      </c>
      <c r="G201" s="188" t="s">
        <v>339</v>
      </c>
      <c r="H201" s="187">
        <v>17</v>
      </c>
      <c r="I201" s="402" t="s">
        <v>618</v>
      </c>
      <c r="J201" s="198">
        <v>1911</v>
      </c>
      <c r="K201" s="45"/>
    </row>
    <row r="202" spans="2:11" ht="18" customHeight="1">
      <c r="B202" s="188" t="s">
        <v>526</v>
      </c>
      <c r="C202" s="187">
        <v>18</v>
      </c>
      <c r="D202" s="187">
        <v>132</v>
      </c>
      <c r="E202" s="198">
        <v>1800</v>
      </c>
      <c r="G202" s="188" t="s">
        <v>337</v>
      </c>
      <c r="H202" s="187">
        <v>18</v>
      </c>
      <c r="I202" s="402" t="s">
        <v>618</v>
      </c>
      <c r="J202" s="198">
        <v>1977</v>
      </c>
      <c r="K202" s="45"/>
    </row>
    <row r="203" spans="2:11" ht="18" customHeight="1">
      <c r="G203" s="403"/>
    </row>
    <row r="204" spans="2:11" ht="14.4">
      <c r="B204" s="399" t="s">
        <v>75</v>
      </c>
      <c r="C204" s="400"/>
      <c r="D204" s="316"/>
      <c r="E204" s="45"/>
      <c r="F204" s="45"/>
      <c r="G204" s="399" t="s">
        <v>75</v>
      </c>
      <c r="H204" s="400"/>
      <c r="I204" s="316"/>
    </row>
    <row r="205" spans="2:11" ht="14.4">
      <c r="B205" s="404" t="s">
        <v>619</v>
      </c>
      <c r="C205" s="404" t="s">
        <v>620</v>
      </c>
      <c r="D205" s="404" t="s">
        <v>621</v>
      </c>
      <c r="E205" s="45"/>
      <c r="F205" s="45"/>
      <c r="G205" s="404" t="s">
        <v>619</v>
      </c>
      <c r="H205" s="404" t="s">
        <v>620</v>
      </c>
      <c r="I205" s="404" t="s">
        <v>621</v>
      </c>
    </row>
    <row r="206" spans="2:11" ht="14.4">
      <c r="B206" s="235">
        <v>810</v>
      </c>
      <c r="C206" s="235">
        <v>599</v>
      </c>
      <c r="D206" s="235">
        <v>250</v>
      </c>
      <c r="E206" s="45"/>
      <c r="F206" s="45"/>
      <c r="G206" s="235">
        <v>926</v>
      </c>
      <c r="H206" s="235">
        <v>514</v>
      </c>
      <c r="I206" s="235">
        <v>467</v>
      </c>
    </row>
    <row r="207" spans="2:11" ht="14.4">
      <c r="B207" s="133" t="s">
        <v>622</v>
      </c>
      <c r="G207" s="134" t="s">
        <v>622</v>
      </c>
    </row>
    <row r="208" spans="2:11" ht="14.4">
      <c r="B208" s="134" t="s">
        <v>707</v>
      </c>
      <c r="D208" s="164">
        <v>41312</v>
      </c>
      <c r="G208" s="134" t="s">
        <v>707</v>
      </c>
      <c r="I208" s="164">
        <v>41505</v>
      </c>
    </row>
    <row r="210" spans="2:11" ht="18" customHeight="1">
      <c r="B210" s="6274" t="s">
        <v>391</v>
      </c>
      <c r="C210" s="6275"/>
      <c r="D210" s="6275"/>
      <c r="E210" s="6276"/>
      <c r="G210" s="6274" t="s">
        <v>646</v>
      </c>
      <c r="H210" s="6275"/>
      <c r="I210" s="6275"/>
      <c r="J210" s="6276"/>
      <c r="K210" s="162"/>
    </row>
    <row r="211" spans="2:11" ht="28.8">
      <c r="B211" s="170" t="s">
        <v>88</v>
      </c>
      <c r="C211" s="197" t="s">
        <v>89</v>
      </c>
      <c r="D211" s="398" t="s">
        <v>616</v>
      </c>
      <c r="E211" s="197" t="s">
        <v>90</v>
      </c>
      <c r="G211" s="170" t="s">
        <v>88</v>
      </c>
      <c r="H211" s="197" t="s">
        <v>89</v>
      </c>
      <c r="I211" s="398" t="s">
        <v>616</v>
      </c>
      <c r="J211" s="197" t="s">
        <v>90</v>
      </c>
      <c r="K211" s="45"/>
    </row>
    <row r="212" spans="2:11" ht="18" customHeight="1">
      <c r="B212" s="188" t="s">
        <v>92</v>
      </c>
      <c r="C212" s="187">
        <v>1</v>
      </c>
      <c r="D212" s="187">
        <v>2</v>
      </c>
      <c r="E212" s="198">
        <v>38</v>
      </c>
      <c r="G212" s="188" t="s">
        <v>92</v>
      </c>
      <c r="H212" s="187">
        <v>1</v>
      </c>
      <c r="I212" s="187">
        <v>2</v>
      </c>
      <c r="J212" s="198">
        <v>41</v>
      </c>
      <c r="K212" s="45"/>
    </row>
    <row r="213" spans="2:11" ht="18" customHeight="1">
      <c r="B213" s="188" t="s">
        <v>96</v>
      </c>
      <c r="C213" s="187">
        <v>2</v>
      </c>
      <c r="D213" s="187">
        <v>18</v>
      </c>
      <c r="E213" s="198">
        <v>493</v>
      </c>
      <c r="G213" s="188" t="s">
        <v>96</v>
      </c>
      <c r="H213" s="187">
        <v>2</v>
      </c>
      <c r="I213" s="187">
        <v>23</v>
      </c>
      <c r="J213" s="198">
        <v>575</v>
      </c>
      <c r="K213" s="45"/>
    </row>
    <row r="214" spans="2:11" ht="18" customHeight="1">
      <c r="B214" s="188" t="s">
        <v>335</v>
      </c>
      <c r="C214" s="187">
        <v>3</v>
      </c>
      <c r="D214" s="187">
        <v>24</v>
      </c>
      <c r="E214" s="198">
        <v>572</v>
      </c>
      <c r="G214" s="202" t="s">
        <v>524</v>
      </c>
      <c r="H214" s="199">
        <v>3</v>
      </c>
      <c r="I214" s="199">
        <v>27</v>
      </c>
      <c r="J214" s="200">
        <v>650</v>
      </c>
      <c r="K214" s="45"/>
    </row>
    <row r="215" spans="2:11" ht="18" customHeight="1">
      <c r="B215" s="188" t="s">
        <v>429</v>
      </c>
      <c r="C215" s="187">
        <v>4</v>
      </c>
      <c r="D215" s="187">
        <v>35</v>
      </c>
      <c r="E215" s="198">
        <v>685</v>
      </c>
      <c r="G215" s="188" t="s">
        <v>429</v>
      </c>
      <c r="H215" s="187">
        <v>4</v>
      </c>
      <c r="I215" s="187">
        <v>28</v>
      </c>
      <c r="J215" s="198">
        <v>658</v>
      </c>
      <c r="K215" s="45"/>
    </row>
    <row r="216" spans="2:11" ht="18" customHeight="1">
      <c r="B216" s="202" t="s">
        <v>524</v>
      </c>
      <c r="C216" s="199">
        <v>5</v>
      </c>
      <c r="D216" s="199">
        <v>36</v>
      </c>
      <c r="E216" s="200">
        <v>704</v>
      </c>
      <c r="G216" s="188" t="s">
        <v>328</v>
      </c>
      <c r="H216" s="187">
        <v>5</v>
      </c>
      <c r="I216" s="187">
        <v>37</v>
      </c>
      <c r="J216" s="198">
        <v>711</v>
      </c>
      <c r="K216" s="45"/>
    </row>
    <row r="217" spans="2:11" ht="18" customHeight="1">
      <c r="B217" s="188" t="s">
        <v>328</v>
      </c>
      <c r="C217" s="187">
        <v>6</v>
      </c>
      <c r="D217" s="187">
        <v>37</v>
      </c>
      <c r="E217" s="198">
        <v>718</v>
      </c>
      <c r="G217" s="188" t="s">
        <v>93</v>
      </c>
      <c r="H217" s="187">
        <v>6</v>
      </c>
      <c r="I217" s="187">
        <v>51</v>
      </c>
      <c r="J217" s="198">
        <v>951</v>
      </c>
      <c r="K217" s="45"/>
    </row>
    <row r="218" spans="2:11" ht="18" customHeight="1">
      <c r="B218" s="188" t="s">
        <v>93</v>
      </c>
      <c r="C218" s="187">
        <v>7</v>
      </c>
      <c r="D218" s="187">
        <v>47</v>
      </c>
      <c r="E218" s="198">
        <v>853</v>
      </c>
      <c r="G218" s="188" t="s">
        <v>601</v>
      </c>
      <c r="H218" s="187">
        <v>7</v>
      </c>
      <c r="I218" s="405">
        <v>62</v>
      </c>
      <c r="J218" s="198">
        <v>1078</v>
      </c>
      <c r="K218" s="45"/>
    </row>
    <row r="219" spans="2:11" ht="18" customHeight="1">
      <c r="B219" s="188" t="s">
        <v>601</v>
      </c>
      <c r="C219" s="187">
        <v>8</v>
      </c>
      <c r="D219" s="187">
        <v>48</v>
      </c>
      <c r="E219" s="198">
        <v>871</v>
      </c>
      <c r="G219" s="188" t="s">
        <v>525</v>
      </c>
      <c r="H219" s="187">
        <v>8</v>
      </c>
      <c r="I219" s="187">
        <v>68</v>
      </c>
      <c r="J219" s="198">
        <v>1162</v>
      </c>
      <c r="K219" s="45"/>
    </row>
    <row r="220" spans="2:11" ht="18" customHeight="1">
      <c r="B220" s="188" t="s">
        <v>525</v>
      </c>
      <c r="C220" s="187">
        <v>9</v>
      </c>
      <c r="D220" s="187">
        <v>56</v>
      </c>
      <c r="E220" s="198">
        <v>973</v>
      </c>
      <c r="G220" s="188" t="s">
        <v>158</v>
      </c>
      <c r="H220" s="187">
        <v>9</v>
      </c>
      <c r="I220" s="187">
        <v>70</v>
      </c>
      <c r="J220" s="198">
        <v>1171</v>
      </c>
      <c r="K220" s="45"/>
    </row>
    <row r="221" spans="2:11" ht="18" customHeight="1">
      <c r="B221" s="188" t="s">
        <v>526</v>
      </c>
      <c r="C221" s="187">
        <v>10</v>
      </c>
      <c r="D221" s="187">
        <v>62</v>
      </c>
      <c r="E221" s="198">
        <v>1079</v>
      </c>
      <c r="G221" s="188" t="s">
        <v>526</v>
      </c>
      <c r="H221" s="187">
        <v>10</v>
      </c>
      <c r="I221" s="187">
        <v>75</v>
      </c>
      <c r="J221" s="198">
        <v>1211</v>
      </c>
      <c r="K221" s="45"/>
    </row>
    <row r="222" spans="2:11" ht="18" customHeight="1">
      <c r="B222" s="188" t="s">
        <v>158</v>
      </c>
      <c r="C222" s="187">
        <v>11</v>
      </c>
      <c r="D222" s="187">
        <v>69</v>
      </c>
      <c r="E222" s="198">
        <v>1140</v>
      </c>
      <c r="G222" s="188" t="s">
        <v>696</v>
      </c>
      <c r="H222" s="187">
        <v>11</v>
      </c>
      <c r="I222" s="187">
        <v>80</v>
      </c>
      <c r="J222" s="198">
        <v>1240</v>
      </c>
      <c r="K222" s="45"/>
    </row>
    <row r="223" spans="2:11" ht="18" customHeight="1">
      <c r="B223" s="188" t="s">
        <v>703</v>
      </c>
      <c r="C223" s="187">
        <v>12</v>
      </c>
      <c r="D223" s="187">
        <v>70</v>
      </c>
      <c r="E223" s="198">
        <v>1143</v>
      </c>
      <c r="G223" s="188" t="s">
        <v>339</v>
      </c>
      <c r="H223" s="187">
        <v>12</v>
      </c>
      <c r="I223" s="187" t="s">
        <v>611</v>
      </c>
      <c r="J223" s="198">
        <v>1563</v>
      </c>
      <c r="K223" s="45"/>
    </row>
    <row r="224" spans="2:11" ht="18" customHeight="1">
      <c r="B224" s="188" t="s">
        <v>696</v>
      </c>
      <c r="C224" s="187">
        <v>13</v>
      </c>
      <c r="D224" s="187">
        <v>72</v>
      </c>
      <c r="E224" s="198">
        <v>1166</v>
      </c>
      <c r="G224" s="188" t="s">
        <v>701</v>
      </c>
      <c r="H224" s="187">
        <v>13</v>
      </c>
      <c r="I224" s="187" t="s">
        <v>611</v>
      </c>
      <c r="J224" s="198">
        <v>1602</v>
      </c>
      <c r="K224" s="45"/>
    </row>
    <row r="225" spans="2:11" ht="18" customHeight="1">
      <c r="B225" s="188" t="s">
        <v>339</v>
      </c>
      <c r="C225" s="187">
        <v>14</v>
      </c>
      <c r="D225" s="187">
        <v>78</v>
      </c>
      <c r="E225" s="198">
        <v>1193</v>
      </c>
      <c r="G225" s="188" t="s">
        <v>702</v>
      </c>
      <c r="H225" s="187">
        <v>14</v>
      </c>
      <c r="I225" s="187" t="s">
        <v>611</v>
      </c>
      <c r="J225" s="198">
        <v>1643</v>
      </c>
      <c r="K225" s="45"/>
    </row>
    <row r="226" spans="2:11" ht="18" customHeight="1">
      <c r="B226" s="188" t="s">
        <v>704</v>
      </c>
      <c r="C226" s="187">
        <v>15</v>
      </c>
      <c r="D226" s="187">
        <v>90</v>
      </c>
      <c r="E226" s="198">
        <v>1243</v>
      </c>
      <c r="G226" s="188" t="s">
        <v>337</v>
      </c>
      <c r="H226" s="187">
        <v>15</v>
      </c>
      <c r="I226" s="187" t="s">
        <v>611</v>
      </c>
      <c r="J226" s="198">
        <v>1666</v>
      </c>
      <c r="K226" s="45"/>
    </row>
    <row r="227" spans="2:11" ht="18" customHeight="1">
      <c r="B227" s="188" t="s">
        <v>695</v>
      </c>
      <c r="C227" s="187">
        <v>16</v>
      </c>
      <c r="D227" s="187">
        <v>97</v>
      </c>
      <c r="E227" s="198">
        <v>1327</v>
      </c>
      <c r="G227" s="188" t="s">
        <v>695</v>
      </c>
      <c r="H227" s="187">
        <v>16</v>
      </c>
      <c r="I227" s="187" t="s">
        <v>611</v>
      </c>
      <c r="J227" s="198">
        <v>1671</v>
      </c>
      <c r="K227" s="45"/>
    </row>
    <row r="228" spans="2:11" ht="18" customHeight="1">
      <c r="B228" s="188" t="s">
        <v>337</v>
      </c>
      <c r="C228" s="187">
        <v>17</v>
      </c>
      <c r="D228" s="187">
        <v>99</v>
      </c>
      <c r="E228" s="198">
        <v>1337</v>
      </c>
      <c r="G228" s="188" t="s">
        <v>700</v>
      </c>
      <c r="H228" s="187">
        <v>17</v>
      </c>
      <c r="I228" s="187" t="s">
        <v>611</v>
      </c>
      <c r="J228" s="198">
        <v>1217</v>
      </c>
      <c r="K228" s="45"/>
    </row>
    <row r="229" spans="2:11" ht="14.4">
      <c r="B229" s="165">
        <v>40947</v>
      </c>
      <c r="C229" s="45"/>
      <c r="E229" s="45"/>
      <c r="G229" s="44" t="s">
        <v>649</v>
      </c>
      <c r="H229" s="45"/>
      <c r="I229" s="45"/>
      <c r="J229" s="45"/>
      <c r="K229" s="45"/>
    </row>
    <row r="230" spans="2:11" ht="14.4">
      <c r="G230" s="131" t="s">
        <v>650</v>
      </c>
      <c r="H230" s="164">
        <v>41148</v>
      </c>
    </row>
    <row r="231" spans="2:11" ht="14.4"/>
    <row r="232" spans="2:11" ht="18" customHeight="1">
      <c r="B232" s="6273" t="s">
        <v>458</v>
      </c>
      <c r="C232" s="6273"/>
      <c r="D232" s="6273"/>
      <c r="E232" s="6273"/>
      <c r="G232" s="6274" t="s">
        <v>647</v>
      </c>
      <c r="H232" s="6275"/>
      <c r="I232" s="6275"/>
      <c r="J232" s="6276"/>
      <c r="K232" s="161"/>
    </row>
    <row r="233" spans="2:11" ht="28.8">
      <c r="B233" s="170" t="s">
        <v>88</v>
      </c>
      <c r="C233" s="197" t="s">
        <v>89</v>
      </c>
      <c r="D233" s="197" t="s">
        <v>616</v>
      </c>
      <c r="E233" s="197" t="s">
        <v>90</v>
      </c>
      <c r="G233" s="170" t="s">
        <v>88</v>
      </c>
      <c r="H233" s="197" t="s">
        <v>89</v>
      </c>
      <c r="I233" s="398" t="s">
        <v>616</v>
      </c>
      <c r="J233" s="197" t="s">
        <v>90</v>
      </c>
      <c r="K233" s="97"/>
    </row>
    <row r="234" spans="2:11" ht="18" customHeight="1">
      <c r="B234" s="188" t="s">
        <v>92</v>
      </c>
      <c r="C234" s="187">
        <v>1</v>
      </c>
      <c r="D234" s="187">
        <v>2</v>
      </c>
      <c r="E234" s="198">
        <v>66</v>
      </c>
      <c r="G234" s="188" t="s">
        <v>92</v>
      </c>
      <c r="H234" s="187">
        <v>1</v>
      </c>
      <c r="I234" s="187">
        <v>2</v>
      </c>
      <c r="J234" s="198">
        <v>49</v>
      </c>
      <c r="K234" s="151"/>
    </row>
    <row r="235" spans="2:11" ht="18" customHeight="1">
      <c r="B235" s="188" t="s">
        <v>96</v>
      </c>
      <c r="C235" s="187">
        <v>2</v>
      </c>
      <c r="D235" s="187">
        <v>22</v>
      </c>
      <c r="E235" s="198">
        <v>550</v>
      </c>
      <c r="G235" s="188" t="s">
        <v>96</v>
      </c>
      <c r="H235" s="187">
        <v>2</v>
      </c>
      <c r="I235" s="187">
        <v>19</v>
      </c>
      <c r="J235" s="198">
        <v>522</v>
      </c>
      <c r="K235" s="151"/>
    </row>
    <row r="236" spans="2:11" ht="18" customHeight="1">
      <c r="B236" s="188" t="s">
        <v>335</v>
      </c>
      <c r="C236" s="187">
        <v>3</v>
      </c>
      <c r="D236" s="187">
        <v>25</v>
      </c>
      <c r="E236" s="198">
        <v>593</v>
      </c>
      <c r="G236" s="202" t="s">
        <v>524</v>
      </c>
      <c r="H236" s="199">
        <v>3</v>
      </c>
      <c r="I236" s="199">
        <v>26</v>
      </c>
      <c r="J236" s="200">
        <v>593</v>
      </c>
      <c r="K236" s="46"/>
    </row>
    <row r="237" spans="2:11" ht="18" customHeight="1">
      <c r="B237" s="188" t="s">
        <v>526</v>
      </c>
      <c r="C237" s="187">
        <v>4</v>
      </c>
      <c r="D237" s="187">
        <v>38</v>
      </c>
      <c r="E237" s="198">
        <v>765</v>
      </c>
      <c r="G237" s="188" t="s">
        <v>429</v>
      </c>
      <c r="H237" s="187">
        <v>4</v>
      </c>
      <c r="I237" s="187">
        <v>27</v>
      </c>
      <c r="J237" s="198">
        <v>616</v>
      </c>
      <c r="K237" s="151"/>
    </row>
    <row r="238" spans="2:11" ht="18" customHeight="1">
      <c r="B238" s="202" t="s">
        <v>524</v>
      </c>
      <c r="C238" s="199">
        <v>5</v>
      </c>
      <c r="D238" s="199">
        <v>41</v>
      </c>
      <c r="E238" s="200">
        <v>823</v>
      </c>
      <c r="G238" s="188" t="s">
        <v>335</v>
      </c>
      <c r="H238" s="187">
        <v>5</v>
      </c>
      <c r="I238" s="187">
        <v>32</v>
      </c>
      <c r="J238" s="198">
        <v>737</v>
      </c>
      <c r="K238" s="151"/>
    </row>
    <row r="239" spans="2:11" ht="18" customHeight="1">
      <c r="B239" s="188" t="s">
        <v>429</v>
      </c>
      <c r="C239" s="187">
        <v>6</v>
      </c>
      <c r="D239" s="187">
        <v>52</v>
      </c>
      <c r="E239" s="198">
        <v>956</v>
      </c>
      <c r="G239" s="188" t="s">
        <v>328</v>
      </c>
      <c r="H239" s="187">
        <v>6</v>
      </c>
      <c r="I239" s="187">
        <v>45</v>
      </c>
      <c r="J239" s="198">
        <v>1017</v>
      </c>
      <c r="K239" s="151"/>
    </row>
    <row r="240" spans="2:11" ht="18" customHeight="1">
      <c r="B240" s="188" t="s">
        <v>703</v>
      </c>
      <c r="C240" s="187">
        <v>7</v>
      </c>
      <c r="D240" s="187">
        <v>60</v>
      </c>
      <c r="E240" s="198">
        <v>1019</v>
      </c>
      <c r="G240" s="188" t="s">
        <v>696</v>
      </c>
      <c r="H240" s="187">
        <v>7</v>
      </c>
      <c r="I240" s="187">
        <v>54</v>
      </c>
      <c r="J240" s="198">
        <v>1087</v>
      </c>
      <c r="K240" s="151"/>
    </row>
    <row r="241" spans="2:11" ht="18" customHeight="1">
      <c r="B241" s="188" t="s">
        <v>328</v>
      </c>
      <c r="C241" s="187">
        <v>8</v>
      </c>
      <c r="D241" s="187">
        <v>61</v>
      </c>
      <c r="E241" s="198">
        <v>1029</v>
      </c>
      <c r="G241" s="188" t="s">
        <v>158</v>
      </c>
      <c r="H241" s="187">
        <v>8</v>
      </c>
      <c r="I241" s="187">
        <v>56</v>
      </c>
      <c r="J241" s="198">
        <v>1094</v>
      </c>
      <c r="K241" s="151"/>
    </row>
    <row r="242" spans="2:11" ht="18" customHeight="1">
      <c r="B242" s="188" t="s">
        <v>696</v>
      </c>
      <c r="C242" s="187">
        <v>9</v>
      </c>
      <c r="D242" s="187">
        <v>62</v>
      </c>
      <c r="E242" s="198">
        <v>1066</v>
      </c>
      <c r="G242" s="188" t="s">
        <v>525</v>
      </c>
      <c r="H242" s="187">
        <v>9</v>
      </c>
      <c r="I242" s="187">
        <v>63</v>
      </c>
      <c r="J242" s="198">
        <v>1150</v>
      </c>
      <c r="K242" s="151"/>
    </row>
    <row r="243" spans="2:11" ht="18" customHeight="1">
      <c r="B243" s="188" t="s">
        <v>158</v>
      </c>
      <c r="C243" s="187">
        <v>10</v>
      </c>
      <c r="D243" s="187">
        <v>70</v>
      </c>
      <c r="E243" s="198">
        <v>1157</v>
      </c>
      <c r="G243" s="188" t="s">
        <v>601</v>
      </c>
      <c r="H243" s="187">
        <v>10</v>
      </c>
      <c r="I243" s="187">
        <v>68</v>
      </c>
      <c r="J243" s="198">
        <v>1189</v>
      </c>
      <c r="K243" s="151"/>
    </row>
    <row r="244" spans="2:11" ht="18" customHeight="1">
      <c r="B244" s="188" t="s">
        <v>93</v>
      </c>
      <c r="C244" s="187">
        <v>11</v>
      </c>
      <c r="D244" s="187">
        <v>76</v>
      </c>
      <c r="E244" s="198">
        <v>1172</v>
      </c>
      <c r="G244" s="188" t="s">
        <v>703</v>
      </c>
      <c r="H244" s="187">
        <v>11</v>
      </c>
      <c r="I244" s="187">
        <v>71</v>
      </c>
      <c r="J244" s="198">
        <v>1220</v>
      </c>
      <c r="K244" s="151"/>
    </row>
    <row r="245" spans="2:11" ht="18" customHeight="1">
      <c r="B245" s="188" t="s">
        <v>601</v>
      </c>
      <c r="C245" s="187">
        <v>12</v>
      </c>
      <c r="D245" s="187">
        <v>81</v>
      </c>
      <c r="E245" s="198">
        <v>1227</v>
      </c>
      <c r="G245" s="188" t="s">
        <v>526</v>
      </c>
      <c r="H245" s="187">
        <v>12</v>
      </c>
      <c r="I245" s="187">
        <v>76</v>
      </c>
      <c r="J245" s="198">
        <v>1256</v>
      </c>
      <c r="K245" s="151"/>
    </row>
    <row r="246" spans="2:11" ht="18" customHeight="1">
      <c r="B246" s="188" t="s">
        <v>525</v>
      </c>
      <c r="C246" s="187">
        <v>13</v>
      </c>
      <c r="D246" s="187">
        <v>84</v>
      </c>
      <c r="E246" s="198">
        <v>1251</v>
      </c>
      <c r="G246" s="188" t="s">
        <v>338</v>
      </c>
      <c r="H246" s="187">
        <v>13</v>
      </c>
      <c r="I246" s="187">
        <v>80</v>
      </c>
      <c r="J246" s="198">
        <v>1303</v>
      </c>
      <c r="K246" s="151"/>
    </row>
    <row r="247" spans="2:11" ht="18" customHeight="1">
      <c r="B247" s="188" t="s">
        <v>705</v>
      </c>
      <c r="C247" s="187">
        <v>14</v>
      </c>
      <c r="D247" s="187">
        <v>85</v>
      </c>
      <c r="E247" s="198">
        <v>1258</v>
      </c>
      <c r="G247" s="188" t="s">
        <v>339</v>
      </c>
      <c r="H247" s="187">
        <v>14</v>
      </c>
      <c r="I247" s="187">
        <v>81</v>
      </c>
      <c r="J247" s="198">
        <v>1309</v>
      </c>
      <c r="K247" s="151"/>
    </row>
    <row r="248" spans="2:11" ht="18" customHeight="1">
      <c r="B248" s="188" t="s">
        <v>339</v>
      </c>
      <c r="C248" s="187">
        <v>15</v>
      </c>
      <c r="D248" s="187">
        <v>92</v>
      </c>
      <c r="E248" s="198">
        <v>1355</v>
      </c>
      <c r="G248" s="188" t="s">
        <v>337</v>
      </c>
      <c r="H248" s="187">
        <v>15</v>
      </c>
      <c r="I248" s="187">
        <v>83</v>
      </c>
      <c r="J248" s="198">
        <v>1324</v>
      </c>
      <c r="K248" s="151"/>
    </row>
    <row r="249" spans="2:11" ht="18" customHeight="1">
      <c r="B249" s="188" t="s">
        <v>704</v>
      </c>
      <c r="C249" s="187">
        <v>16</v>
      </c>
      <c r="D249" s="187">
        <v>98</v>
      </c>
      <c r="E249" s="198">
        <v>1464</v>
      </c>
      <c r="G249" s="188" t="s">
        <v>704</v>
      </c>
      <c r="H249" s="187">
        <v>16</v>
      </c>
      <c r="I249" s="187">
        <v>89</v>
      </c>
      <c r="J249" s="198">
        <v>1367</v>
      </c>
      <c r="K249" s="151"/>
    </row>
    <row r="250" spans="2:11" ht="18" customHeight="1">
      <c r="B250" s="165">
        <v>40688</v>
      </c>
      <c r="C250" s="45"/>
      <c r="E250" s="45"/>
      <c r="G250" s="165">
        <v>40792</v>
      </c>
      <c r="H250" s="45"/>
      <c r="J250" s="45"/>
      <c r="K250" s="45"/>
    </row>
    <row r="252" spans="2:11" ht="18" customHeight="1">
      <c r="G252" s="6274" t="s">
        <v>648</v>
      </c>
      <c r="H252" s="6275"/>
      <c r="I252" s="6275"/>
      <c r="J252" s="6276"/>
    </row>
    <row r="253" spans="2:11" ht="28.8">
      <c r="G253" s="170" t="s">
        <v>88</v>
      </c>
      <c r="H253" s="197" t="s">
        <v>89</v>
      </c>
      <c r="I253" s="197" t="s">
        <v>616</v>
      </c>
      <c r="J253" s="197" t="s">
        <v>90</v>
      </c>
    </row>
    <row r="254" spans="2:11" ht="18" customHeight="1">
      <c r="G254" s="188" t="s">
        <v>92</v>
      </c>
      <c r="H254" s="187">
        <v>1</v>
      </c>
      <c r="I254" s="187">
        <v>1</v>
      </c>
      <c r="J254" s="405">
        <v>70</v>
      </c>
    </row>
    <row r="255" spans="2:11" ht="18" customHeight="1">
      <c r="G255" s="188" t="s">
        <v>335</v>
      </c>
      <c r="H255" s="187">
        <v>2</v>
      </c>
      <c r="I255" s="187">
        <v>8</v>
      </c>
      <c r="J255" s="405">
        <v>460</v>
      </c>
    </row>
    <row r="256" spans="2:11" ht="18" customHeight="1">
      <c r="G256" s="188" t="s">
        <v>96</v>
      </c>
      <c r="H256" s="187">
        <v>3</v>
      </c>
      <c r="I256" s="187">
        <v>20</v>
      </c>
      <c r="J256" s="405">
        <v>653</v>
      </c>
    </row>
    <row r="257" spans="7:10" ht="18" customHeight="1">
      <c r="G257" s="202" t="s">
        <v>524</v>
      </c>
      <c r="H257" s="199">
        <v>4</v>
      </c>
      <c r="I257" s="199">
        <v>24</v>
      </c>
      <c r="J257" s="406">
        <v>698</v>
      </c>
    </row>
    <row r="258" spans="7:10" ht="18" customHeight="1">
      <c r="G258" s="188" t="s">
        <v>429</v>
      </c>
      <c r="H258" s="187">
        <v>5</v>
      </c>
      <c r="I258" s="187">
        <v>38</v>
      </c>
      <c r="J258" s="405">
        <v>948</v>
      </c>
    </row>
    <row r="259" spans="7:10" ht="18" customHeight="1">
      <c r="G259" s="188" t="s">
        <v>328</v>
      </c>
      <c r="H259" s="187">
        <v>6</v>
      </c>
      <c r="I259" s="187">
        <v>40</v>
      </c>
      <c r="J259" s="405">
        <v>1026</v>
      </c>
    </row>
    <row r="260" spans="7:10" ht="18" customHeight="1">
      <c r="G260" s="188" t="s">
        <v>158</v>
      </c>
      <c r="H260" s="187">
        <v>7</v>
      </c>
      <c r="I260" s="187">
        <v>56</v>
      </c>
      <c r="J260" s="405">
        <v>1283</v>
      </c>
    </row>
    <row r="261" spans="7:10" ht="18" customHeight="1">
      <c r="G261" s="188" t="s">
        <v>695</v>
      </c>
      <c r="H261" s="187">
        <v>8</v>
      </c>
      <c r="I261" s="187">
        <v>62</v>
      </c>
      <c r="J261" s="405">
        <v>1347</v>
      </c>
    </row>
    <row r="262" spans="7:10" ht="18" customHeight="1">
      <c r="G262" s="188" t="s">
        <v>700</v>
      </c>
      <c r="H262" s="187">
        <v>9</v>
      </c>
      <c r="I262" s="187">
        <v>67</v>
      </c>
      <c r="J262" s="405">
        <v>1366</v>
      </c>
    </row>
    <row r="263" spans="7:10" ht="18" customHeight="1">
      <c r="G263" s="188" t="s">
        <v>525</v>
      </c>
      <c r="H263" s="187">
        <v>10</v>
      </c>
      <c r="I263" s="187">
        <v>69</v>
      </c>
      <c r="J263" s="405">
        <v>1381</v>
      </c>
    </row>
    <row r="264" spans="7:10" ht="18" customHeight="1">
      <c r="G264" s="188" t="s">
        <v>696</v>
      </c>
      <c r="H264" s="187">
        <v>11</v>
      </c>
      <c r="I264" s="187">
        <v>70</v>
      </c>
      <c r="J264" s="405">
        <v>1394</v>
      </c>
    </row>
    <row r="265" spans="7:10" ht="18" customHeight="1">
      <c r="G265" s="188" t="s">
        <v>601</v>
      </c>
      <c r="H265" s="187">
        <v>12</v>
      </c>
      <c r="I265" s="187">
        <v>72</v>
      </c>
      <c r="J265" s="405">
        <v>1412</v>
      </c>
    </row>
    <row r="266" spans="7:10" ht="18" customHeight="1">
      <c r="G266" s="188" t="s">
        <v>703</v>
      </c>
      <c r="H266" s="187">
        <v>13</v>
      </c>
      <c r="I266" s="187">
        <v>75</v>
      </c>
      <c r="J266" s="405">
        <v>1444</v>
      </c>
    </row>
    <row r="267" spans="7:10" ht="18" customHeight="1">
      <c r="G267" s="188" t="s">
        <v>339</v>
      </c>
      <c r="H267" s="187">
        <v>14</v>
      </c>
      <c r="I267" s="187">
        <v>79</v>
      </c>
      <c r="J267" s="405">
        <v>1550</v>
      </c>
    </row>
    <row r="268" spans="7:10" ht="18" customHeight="1">
      <c r="G268" s="188" t="s">
        <v>705</v>
      </c>
      <c r="H268" s="187">
        <v>15</v>
      </c>
      <c r="I268" s="187">
        <v>81</v>
      </c>
      <c r="J268" s="405">
        <v>1559</v>
      </c>
    </row>
    <row r="269" spans="7:10" ht="18" customHeight="1">
      <c r="G269" s="188" t="s">
        <v>526</v>
      </c>
      <c r="H269" s="187">
        <v>16</v>
      </c>
      <c r="I269" s="187">
        <v>86</v>
      </c>
      <c r="J269" s="405">
        <v>1589</v>
      </c>
    </row>
    <row r="270" spans="7:10" ht="18" customHeight="1">
      <c r="G270" s="188" t="s">
        <v>697</v>
      </c>
      <c r="H270" s="187">
        <v>17</v>
      </c>
      <c r="I270" s="187">
        <v>95</v>
      </c>
      <c r="J270" s="405">
        <v>1681</v>
      </c>
    </row>
    <row r="271" spans="7:10" ht="18" customHeight="1">
      <c r="G271" s="188" t="s">
        <v>338</v>
      </c>
      <c r="H271" s="187">
        <v>18</v>
      </c>
      <c r="I271" s="187">
        <v>96</v>
      </c>
      <c r="J271" s="405">
        <v>1689</v>
      </c>
    </row>
    <row r="272" spans="7:10" ht="18" customHeight="1">
      <c r="G272" s="188" t="s">
        <v>706</v>
      </c>
      <c r="H272" s="187">
        <v>19</v>
      </c>
      <c r="I272" s="187">
        <v>99</v>
      </c>
      <c r="J272" s="405">
        <v>1704</v>
      </c>
    </row>
    <row r="273" spans="7:7" ht="18" customHeight="1">
      <c r="G273" s="164">
        <v>40395</v>
      </c>
    </row>
  </sheetData>
  <sheetProtection algorithmName="SHA-512" hashValue="flNBhktq8akGquh0Ai8uEuN/XCdrSxNLKxcVbruKZ5dpRKQlZNGLvBd2FkeGNwtQODvqBa/25gOS2byyfVe6Nw==" saltValue="n6ogXB36ZXhr34WPrN6/HQ==" spinCount="100000" sheet="1" objects="1" scenarios="1"/>
  <mergeCells count="18">
    <mergeCell ref="G232:J232"/>
    <mergeCell ref="G252:J252"/>
    <mergeCell ref="B3:E3"/>
    <mergeCell ref="B139:E139"/>
    <mergeCell ref="B158:E158"/>
    <mergeCell ref="B183:E183"/>
    <mergeCell ref="G183:J183"/>
    <mergeCell ref="B210:E210"/>
    <mergeCell ref="G210:J210"/>
    <mergeCell ref="B119:E119"/>
    <mergeCell ref="B100:E100"/>
    <mergeCell ref="B81:E81"/>
    <mergeCell ref="B43:E43"/>
    <mergeCell ref="B24:E24"/>
    <mergeCell ref="B5:E5"/>
    <mergeCell ref="B1:E1"/>
    <mergeCell ref="B62:E62"/>
    <mergeCell ref="B232:E232"/>
  </mergeCells>
  <hyperlinks>
    <hyperlink ref="B136" r:id="rId1" xr:uid="{00000000-0004-0000-3400-000000000000}"/>
  </hyperlinks>
  <pageMargins left="0.31496062992125984" right="0.11811023622047245" top="0.55118110236220474" bottom="0.74803149606299213" header="0" footer="0"/>
  <pageSetup scale="31" orientation="landscape"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499984740745262"/>
    <pageSetUpPr fitToPage="1"/>
  </sheetPr>
  <dimension ref="B1:D221"/>
  <sheetViews>
    <sheetView showGridLines="0" zoomScale="120" zoomScaleNormal="120" workbookViewId="0">
      <selection activeCell="H11" sqref="H11"/>
    </sheetView>
  </sheetViews>
  <sheetFormatPr baseColWidth="10" defaultRowHeight="14.4"/>
  <cols>
    <col min="2" max="2" width="13.5546875" customWidth="1"/>
    <col min="3" max="3" width="57" customWidth="1"/>
    <col min="4" max="4" width="13.77734375" customWidth="1"/>
    <col min="5" max="5" width="5.21875" customWidth="1"/>
    <col min="6" max="8" width="5.5546875" customWidth="1"/>
    <col min="9" max="9" width="5.21875" customWidth="1"/>
    <col min="10" max="10" width="6.5546875" customWidth="1"/>
    <col min="11" max="11" width="4.5546875" customWidth="1"/>
    <col min="12" max="12" width="6" customWidth="1"/>
    <col min="13" max="13" width="5.44140625" customWidth="1"/>
    <col min="14" max="14" width="5.21875" customWidth="1"/>
    <col min="15" max="15" width="6.21875" customWidth="1"/>
    <col min="16" max="16" width="5.5546875" customWidth="1"/>
    <col min="17" max="17" width="5.21875" customWidth="1"/>
    <col min="18" max="18" width="8.5546875" bestFit="1" customWidth="1"/>
    <col min="19" max="19" width="5.21875" customWidth="1"/>
    <col min="21" max="21" width="45.5546875" bestFit="1" customWidth="1"/>
    <col min="22" max="22" width="7.77734375" bestFit="1" customWidth="1"/>
    <col min="23" max="23" width="3.5546875" customWidth="1"/>
    <col min="25" max="25" width="45.5546875" bestFit="1" customWidth="1"/>
    <col min="26" max="26" width="5.21875" bestFit="1" customWidth="1"/>
  </cols>
  <sheetData>
    <row r="1" spans="2:3" ht="33" customHeight="1">
      <c r="B1" s="6039" t="s">
        <v>2760</v>
      </c>
      <c r="C1" s="6039"/>
    </row>
    <row r="2" spans="2:3" s="5179" customFormat="1" ht="15.6">
      <c r="B2" s="5181"/>
      <c r="C2" s="5181"/>
    </row>
    <row r="3" spans="2:3" s="5179" customFormat="1" ht="29.4" thickBot="1">
      <c r="B3" s="5180" t="s">
        <v>1892</v>
      </c>
      <c r="C3" s="3979" t="s">
        <v>2880</v>
      </c>
    </row>
    <row r="4" spans="2:3" s="5179" customFormat="1" ht="16.95" customHeight="1">
      <c r="B4" s="4225">
        <v>3</v>
      </c>
      <c r="C4" s="4205" t="s">
        <v>1890</v>
      </c>
    </row>
    <row r="5" spans="2:3" s="5179" customFormat="1" ht="16.95" customHeight="1">
      <c r="B5" s="4210">
        <v>7</v>
      </c>
      <c r="C5" s="5200" t="s">
        <v>1767</v>
      </c>
    </row>
    <row r="6" spans="2:3" s="5179" customFormat="1" ht="16.95" customHeight="1">
      <c r="B6" s="4210">
        <v>25</v>
      </c>
      <c r="C6" s="5200" t="s">
        <v>1770</v>
      </c>
    </row>
    <row r="7" spans="2:3" s="5179" customFormat="1" ht="16.95" customHeight="1">
      <c r="B7" s="2252">
        <v>27</v>
      </c>
      <c r="C7" s="4207" t="s">
        <v>1771</v>
      </c>
    </row>
    <row r="8" spans="2:3" s="5179" customFormat="1" ht="16.95" customHeight="1">
      <c r="B8" s="4210">
        <v>39</v>
      </c>
      <c r="C8" s="5200" t="s">
        <v>2653</v>
      </c>
    </row>
    <row r="9" spans="2:3" s="5179" customFormat="1" ht="16.95" customHeight="1">
      <c r="B9" s="4210">
        <v>42</v>
      </c>
      <c r="C9" s="4209" t="s">
        <v>1772</v>
      </c>
    </row>
    <row r="10" spans="2:3" s="5179" customFormat="1" ht="16.95" customHeight="1">
      <c r="B10" s="4210">
        <v>43</v>
      </c>
      <c r="C10" s="4211" t="s">
        <v>1773</v>
      </c>
    </row>
    <row r="11" spans="2:3" s="5179" customFormat="1" ht="16.95" customHeight="1">
      <c r="B11" s="4210">
        <v>44</v>
      </c>
      <c r="C11" s="4211" t="s">
        <v>1776</v>
      </c>
    </row>
    <row r="12" spans="2:3" s="5179" customFormat="1" ht="16.95" customHeight="1">
      <c r="B12" s="4210">
        <v>52</v>
      </c>
      <c r="C12" s="4209" t="s">
        <v>1775</v>
      </c>
    </row>
    <row r="13" spans="2:3" s="5179" customFormat="1" ht="16.95" customHeight="1">
      <c r="B13" s="4210">
        <v>70</v>
      </c>
      <c r="C13" s="4211" t="s">
        <v>526</v>
      </c>
    </row>
    <row r="14" spans="2:3" s="5179" customFormat="1" ht="16.95" customHeight="1">
      <c r="B14" s="4210">
        <v>82</v>
      </c>
      <c r="C14" s="4211" t="s">
        <v>2654</v>
      </c>
    </row>
    <row r="15" spans="2:3" s="5179" customFormat="1" ht="16.95" customHeight="1">
      <c r="B15" s="4210">
        <v>83</v>
      </c>
      <c r="C15" s="4211" t="s">
        <v>3051</v>
      </c>
    </row>
    <row r="16" spans="2:3" s="5179" customFormat="1" ht="16.95" customHeight="1">
      <c r="B16" s="4210">
        <v>84</v>
      </c>
      <c r="C16" s="4211" t="s">
        <v>1774</v>
      </c>
    </row>
    <row r="17" spans="2:3" s="5179" customFormat="1" ht="16.95" customHeight="1">
      <c r="B17" s="4210">
        <v>92</v>
      </c>
      <c r="C17" s="4211" t="s">
        <v>617</v>
      </c>
    </row>
    <row r="18" spans="2:3" s="5179" customFormat="1" ht="16.95" customHeight="1">
      <c r="B18" s="4212">
        <v>94</v>
      </c>
      <c r="C18" s="5201" t="s">
        <v>3052</v>
      </c>
    </row>
    <row r="19" spans="2:3" s="5179" customFormat="1" ht="15.6">
      <c r="B19" s="5181"/>
      <c r="C19" s="5181"/>
    </row>
    <row r="20" spans="2:3" s="5179" customFormat="1" ht="15.6">
      <c r="B20" s="5181"/>
      <c r="C20" s="5181"/>
    </row>
    <row r="21" spans="2:3" s="5179" customFormat="1" ht="15.6">
      <c r="B21" s="5181"/>
      <c r="C21" s="5181"/>
    </row>
    <row r="22" spans="2:3" s="4199" customFormat="1" ht="15.6">
      <c r="B22" s="4201"/>
      <c r="C22" s="4201"/>
    </row>
    <row r="23" spans="2:3" s="4199" customFormat="1" ht="29.4" thickBot="1">
      <c r="B23" s="4200" t="s">
        <v>1892</v>
      </c>
      <c r="C23" s="3979" t="s">
        <v>3048</v>
      </c>
    </row>
    <row r="24" spans="2:3" s="4199" customFormat="1" ht="19.05" customHeight="1">
      <c r="B24" s="2248">
        <v>3</v>
      </c>
      <c r="C24" s="4205" t="s">
        <v>1890</v>
      </c>
    </row>
    <row r="25" spans="2:3" s="4199" customFormat="1" ht="19.05" customHeight="1">
      <c r="B25" s="2250">
        <v>6</v>
      </c>
      <c r="C25" s="4206" t="s">
        <v>1767</v>
      </c>
    </row>
    <row r="26" spans="2:3" s="4199" customFormat="1" ht="19.05" customHeight="1">
      <c r="B26" s="2250">
        <v>25</v>
      </c>
      <c r="C26" s="4206" t="s">
        <v>1770</v>
      </c>
    </row>
    <row r="27" spans="2:3" s="4199" customFormat="1" ht="19.05" customHeight="1">
      <c r="B27" s="2252">
        <v>28</v>
      </c>
      <c r="C27" s="4207" t="s">
        <v>1771</v>
      </c>
    </row>
    <row r="28" spans="2:3" s="4199" customFormat="1" ht="19.05" customHeight="1">
      <c r="B28" s="2250">
        <v>39</v>
      </c>
      <c r="C28" s="2255" t="s">
        <v>1772</v>
      </c>
    </row>
    <row r="29" spans="2:3" s="4199" customFormat="1" ht="19.05" customHeight="1">
      <c r="B29" s="2250">
        <v>42</v>
      </c>
      <c r="C29" s="4206" t="s">
        <v>2653</v>
      </c>
    </row>
    <row r="30" spans="2:3" s="4199" customFormat="1" ht="19.05" customHeight="1">
      <c r="B30" s="2250">
        <v>46</v>
      </c>
      <c r="C30" s="4208" t="s">
        <v>1773</v>
      </c>
    </row>
    <row r="31" spans="2:3" s="4199" customFormat="1" ht="19.05" customHeight="1">
      <c r="B31" s="2250">
        <v>48</v>
      </c>
      <c r="C31" s="4208" t="s">
        <v>1776</v>
      </c>
    </row>
    <row r="32" spans="2:3" s="4199" customFormat="1" ht="19.05" customHeight="1">
      <c r="B32" s="2250">
        <v>50</v>
      </c>
      <c r="C32" s="4209" t="s">
        <v>1775</v>
      </c>
    </row>
    <row r="33" spans="2:3" s="4199" customFormat="1" ht="19.05" customHeight="1">
      <c r="B33" s="2250">
        <v>66</v>
      </c>
      <c r="C33" s="4208" t="s">
        <v>526</v>
      </c>
    </row>
    <row r="34" spans="2:3" s="4199" customFormat="1" ht="19.05" customHeight="1">
      <c r="B34" s="2250">
        <v>75</v>
      </c>
      <c r="C34" s="4208" t="s">
        <v>1774</v>
      </c>
    </row>
    <row r="35" spans="2:3" s="4199" customFormat="1" ht="19.05" customHeight="1">
      <c r="B35" s="2250">
        <v>82</v>
      </c>
      <c r="C35" s="4208" t="s">
        <v>2654</v>
      </c>
    </row>
    <row r="36" spans="2:3" s="4199" customFormat="1" ht="19.05" customHeight="1">
      <c r="B36" s="4210">
        <v>88</v>
      </c>
      <c r="C36" s="4211" t="s">
        <v>338</v>
      </c>
    </row>
    <row r="37" spans="2:3" s="4199" customFormat="1" ht="19.05" customHeight="1">
      <c r="B37" s="2250">
        <v>89</v>
      </c>
      <c r="C37" s="4208" t="s">
        <v>617</v>
      </c>
    </row>
    <row r="38" spans="2:3" s="4199" customFormat="1" ht="19.05" customHeight="1">
      <c r="B38" s="4212">
        <v>98</v>
      </c>
      <c r="C38" s="4213" t="s">
        <v>337</v>
      </c>
    </row>
    <row r="39" spans="2:3" s="4199" customFormat="1" ht="15.6">
      <c r="B39" s="4201"/>
      <c r="C39" s="4201"/>
    </row>
    <row r="40" spans="2:3" s="2904" customFormat="1" ht="20.100000000000001" customHeight="1">
      <c r="B40" s="2268"/>
      <c r="C40" s="2268"/>
    </row>
    <row r="41" spans="2:3" ht="29.4" thickBot="1">
      <c r="B41" s="2111" t="s">
        <v>1892</v>
      </c>
      <c r="C41" s="2111" t="s">
        <v>2761</v>
      </c>
    </row>
    <row r="42" spans="2:3" ht="20.100000000000001" customHeight="1">
      <c r="B42" s="2248">
        <v>4</v>
      </c>
      <c r="C42" s="2249" t="s">
        <v>1767</v>
      </c>
    </row>
    <row r="43" spans="2:3" ht="20.100000000000001" customHeight="1">
      <c r="B43" s="2250">
        <v>6</v>
      </c>
      <c r="C43" s="2251" t="s">
        <v>335</v>
      </c>
    </row>
    <row r="44" spans="2:3" ht="20.100000000000001" customHeight="1">
      <c r="B44" s="2250">
        <v>23</v>
      </c>
      <c r="C44" s="2251" t="s">
        <v>1770</v>
      </c>
    </row>
    <row r="45" spans="2:3" ht="20.100000000000001" customHeight="1">
      <c r="B45" s="2252">
        <v>29</v>
      </c>
      <c r="C45" s="2253" t="s">
        <v>1771</v>
      </c>
    </row>
    <row r="46" spans="2:3" ht="20.100000000000001" customHeight="1">
      <c r="B46" s="2250">
        <v>39</v>
      </c>
      <c r="C46" s="2251" t="s">
        <v>2653</v>
      </c>
    </row>
    <row r="47" spans="2:3" ht="20.100000000000001" customHeight="1">
      <c r="B47" s="2250">
        <v>42</v>
      </c>
      <c r="C47" s="2251" t="s">
        <v>1772</v>
      </c>
    </row>
    <row r="48" spans="2:3" ht="20.100000000000001" customHeight="1">
      <c r="B48" s="2250">
        <v>47</v>
      </c>
      <c r="C48" s="2251" t="s">
        <v>1773</v>
      </c>
    </row>
    <row r="49" spans="2:4" ht="20.100000000000001" customHeight="1">
      <c r="B49" s="2250">
        <v>55</v>
      </c>
      <c r="C49" s="2251" t="s">
        <v>1776</v>
      </c>
    </row>
    <row r="50" spans="2:4" ht="20.100000000000001" customHeight="1">
      <c r="B50" s="2250">
        <v>56</v>
      </c>
      <c r="C50" s="2251" t="s">
        <v>1775</v>
      </c>
    </row>
    <row r="51" spans="2:4" ht="20.100000000000001" customHeight="1">
      <c r="B51" s="2250">
        <v>63</v>
      </c>
      <c r="C51" s="2063" t="s">
        <v>1774</v>
      </c>
    </row>
    <row r="52" spans="2:4" ht="20.100000000000001" customHeight="1">
      <c r="B52" s="2254">
        <v>66</v>
      </c>
      <c r="C52" s="2251" t="s">
        <v>526</v>
      </c>
    </row>
    <row r="53" spans="2:4" ht="20.100000000000001" customHeight="1">
      <c r="B53" s="2250">
        <v>86</v>
      </c>
      <c r="C53" s="2251" t="s">
        <v>2654</v>
      </c>
    </row>
    <row r="54" spans="2:4" ht="20.100000000000001" customHeight="1">
      <c r="B54" s="2250">
        <v>91</v>
      </c>
      <c r="C54" s="2255" t="s">
        <v>617</v>
      </c>
    </row>
    <row r="55" spans="2:4" ht="20.100000000000001" customHeight="1">
      <c r="B55" s="2250">
        <v>96</v>
      </c>
      <c r="C55" s="2251" t="s">
        <v>337</v>
      </c>
    </row>
    <row r="56" spans="2:4" ht="20.100000000000001" customHeight="1">
      <c r="B56" s="2256">
        <v>98</v>
      </c>
      <c r="C56" s="2257" t="s">
        <v>338</v>
      </c>
    </row>
    <row r="57" spans="2:4" ht="26.25" customHeight="1">
      <c r="B57" s="6278" t="s">
        <v>2661</v>
      </c>
      <c r="C57" s="6278"/>
    </row>
    <row r="60" spans="2:4" ht="15.75" customHeight="1">
      <c r="B60" s="6279" t="s">
        <v>2425</v>
      </c>
      <c r="C60" s="6279"/>
      <c r="D60" s="6279"/>
    </row>
    <row r="61" spans="2:4" ht="28.8">
      <c r="B61" s="1228" t="s">
        <v>1892</v>
      </c>
      <c r="C61" s="1834" t="s">
        <v>1765</v>
      </c>
      <c r="D61" s="1586" t="s">
        <v>1766</v>
      </c>
    </row>
    <row r="62" spans="2:4">
      <c r="B62" s="1907">
        <v>4</v>
      </c>
      <c r="C62" s="1903" t="s">
        <v>1767</v>
      </c>
      <c r="D62" s="1910">
        <v>95.9</v>
      </c>
    </row>
    <row r="63" spans="2:4" ht="28.8">
      <c r="B63" s="1907">
        <v>5</v>
      </c>
      <c r="C63" s="1903" t="s">
        <v>1768</v>
      </c>
      <c r="D63" s="1910">
        <v>95.2</v>
      </c>
    </row>
    <row r="64" spans="2:4">
      <c r="B64" s="1837">
        <v>30</v>
      </c>
      <c r="C64" s="1903" t="s">
        <v>1770</v>
      </c>
      <c r="D64" s="1838">
        <v>74</v>
      </c>
    </row>
    <row r="65" spans="2:4">
      <c r="B65" s="1840">
        <v>32</v>
      </c>
      <c r="C65" s="1841" t="s">
        <v>1771</v>
      </c>
      <c r="D65" s="1842">
        <v>73.400000000000006</v>
      </c>
    </row>
    <row r="66" spans="2:4">
      <c r="B66" s="1907">
        <v>35</v>
      </c>
      <c r="C66" s="1639" t="s">
        <v>1769</v>
      </c>
      <c r="D66" s="1910">
        <v>71</v>
      </c>
    </row>
    <row r="67" spans="2:4">
      <c r="B67" s="1837">
        <v>37</v>
      </c>
      <c r="C67" s="1639" t="s">
        <v>1772</v>
      </c>
      <c r="D67" s="1838">
        <v>69</v>
      </c>
    </row>
    <row r="68" spans="2:4">
      <c r="B68" s="1837">
        <v>50</v>
      </c>
      <c r="C68" s="1903" t="s">
        <v>526</v>
      </c>
      <c r="D68" s="1838">
        <v>62.1</v>
      </c>
    </row>
    <row r="69" spans="2:4">
      <c r="B69" s="1907">
        <v>52</v>
      </c>
      <c r="C69" s="1639" t="s">
        <v>1773</v>
      </c>
      <c r="D69" s="1910">
        <v>60.7</v>
      </c>
    </row>
    <row r="70" spans="2:4">
      <c r="B70" s="1907">
        <v>56</v>
      </c>
      <c r="C70" s="1903" t="s">
        <v>1776</v>
      </c>
      <c r="D70" s="1910">
        <v>59</v>
      </c>
    </row>
    <row r="71" spans="2:4">
      <c r="B71" s="1907">
        <v>61</v>
      </c>
      <c r="C71" s="1731" t="s">
        <v>1774</v>
      </c>
      <c r="D71" s="1910">
        <v>57</v>
      </c>
    </row>
    <row r="72" spans="2:4">
      <c r="B72" s="1604">
        <v>62</v>
      </c>
      <c r="C72" s="1904" t="s">
        <v>1775</v>
      </c>
      <c r="D72" s="1839">
        <v>56.9</v>
      </c>
    </row>
    <row r="73" spans="2:4">
      <c r="B73" s="1837">
        <v>88</v>
      </c>
      <c r="C73" s="1639" t="s">
        <v>617</v>
      </c>
      <c r="D73" s="1838">
        <v>49</v>
      </c>
    </row>
    <row r="74" spans="2:4">
      <c r="B74" s="1908">
        <v>99</v>
      </c>
      <c r="C74" s="1905" t="s">
        <v>337</v>
      </c>
      <c r="D74" s="1911">
        <v>46.4</v>
      </c>
    </row>
    <row r="75" spans="2:4">
      <c r="B75" s="1837">
        <v>108</v>
      </c>
      <c r="C75" s="1639" t="s">
        <v>700</v>
      </c>
      <c r="D75" s="1838">
        <v>44.3</v>
      </c>
    </row>
    <row r="76" spans="2:4">
      <c r="B76" s="1909">
        <v>111</v>
      </c>
      <c r="C76" s="1906" t="s">
        <v>1788</v>
      </c>
      <c r="D76" s="1912">
        <v>43.3</v>
      </c>
    </row>
    <row r="79" spans="2:4" ht="15.75" customHeight="1">
      <c r="B79" s="6279" t="s">
        <v>1891</v>
      </c>
      <c r="C79" s="6279"/>
      <c r="D79" s="6279"/>
    </row>
    <row r="80" spans="2:4" ht="28.8">
      <c r="B80" s="1228" t="s">
        <v>1892</v>
      </c>
      <c r="C80" s="1834" t="s">
        <v>1765</v>
      </c>
      <c r="D80" s="1586" t="s">
        <v>1766</v>
      </c>
    </row>
    <row r="81" spans="2:4">
      <c r="B81" s="1588">
        <v>4</v>
      </c>
      <c r="C81" s="1601" t="s">
        <v>1767</v>
      </c>
      <c r="D81" s="1589">
        <v>96.5</v>
      </c>
    </row>
    <row r="82" spans="2:4" ht="30" customHeight="1">
      <c r="B82" s="1588">
        <v>7</v>
      </c>
      <c r="C82" s="1597" t="s">
        <v>1768</v>
      </c>
      <c r="D82" s="1589">
        <v>93.7</v>
      </c>
    </row>
    <row r="83" spans="2:4">
      <c r="B83" s="1587">
        <v>23</v>
      </c>
      <c r="C83" s="1598" t="s">
        <v>1769</v>
      </c>
      <c r="D83" s="1590">
        <v>80.7</v>
      </c>
    </row>
    <row r="84" spans="2:4">
      <c r="B84" s="1591">
        <v>30</v>
      </c>
      <c r="C84" s="1599" t="s">
        <v>1771</v>
      </c>
      <c r="D84" s="1592">
        <v>77.599999999999994</v>
      </c>
    </row>
    <row r="85" spans="2:4">
      <c r="B85" s="1588">
        <v>32</v>
      </c>
      <c r="C85" s="1598" t="s">
        <v>1770</v>
      </c>
      <c r="D85" s="1589">
        <v>76.099999999999994</v>
      </c>
    </row>
    <row r="86" spans="2:4">
      <c r="B86" s="1587">
        <v>39</v>
      </c>
      <c r="C86" s="1598" t="s">
        <v>1772</v>
      </c>
      <c r="D86" s="1590">
        <v>69.5</v>
      </c>
    </row>
    <row r="87" spans="2:4">
      <c r="B87" s="1587">
        <v>51</v>
      </c>
      <c r="C87" s="1598" t="s">
        <v>1773</v>
      </c>
      <c r="D87" s="1590">
        <v>65.400000000000006</v>
      </c>
    </row>
    <row r="88" spans="2:4">
      <c r="B88" s="1588">
        <v>53</v>
      </c>
      <c r="C88" s="1598" t="s">
        <v>1776</v>
      </c>
      <c r="D88" s="1589">
        <v>64.2</v>
      </c>
    </row>
    <row r="89" spans="2:4">
      <c r="B89" s="1588">
        <v>55</v>
      </c>
      <c r="C89" s="1598" t="s">
        <v>526</v>
      </c>
      <c r="D89" s="1589">
        <v>63.6</v>
      </c>
    </row>
    <row r="90" spans="2:4">
      <c r="B90" s="1588">
        <v>56</v>
      </c>
      <c r="C90" s="1598" t="s">
        <v>1775</v>
      </c>
      <c r="D90" s="1589">
        <v>63.1</v>
      </c>
    </row>
    <row r="91" spans="2:4">
      <c r="B91" s="1295">
        <v>64</v>
      </c>
      <c r="C91" s="1600" t="s">
        <v>1774</v>
      </c>
      <c r="D91" s="1593">
        <v>60.8</v>
      </c>
    </row>
    <row r="92" spans="2:4">
      <c r="B92" s="1587">
        <v>72</v>
      </c>
      <c r="C92" s="1598" t="s">
        <v>617</v>
      </c>
      <c r="D92" s="1590">
        <v>57.9</v>
      </c>
    </row>
    <row r="93" spans="2:4">
      <c r="B93" s="1594">
        <v>96</v>
      </c>
      <c r="C93" s="1598" t="s">
        <v>1778</v>
      </c>
      <c r="D93" s="1236">
        <v>49.3</v>
      </c>
    </row>
    <row r="94" spans="2:4">
      <c r="B94" s="1587">
        <v>98</v>
      </c>
      <c r="C94" s="1598" t="s">
        <v>338</v>
      </c>
      <c r="D94" s="1590">
        <v>48.5</v>
      </c>
    </row>
    <row r="95" spans="2:4">
      <c r="B95" s="1595">
        <v>101</v>
      </c>
      <c r="C95" s="1598" t="s">
        <v>1788</v>
      </c>
      <c r="D95" s="1596">
        <v>47.9</v>
      </c>
    </row>
    <row r="96" spans="2:4">
      <c r="B96" s="37" t="s">
        <v>2244</v>
      </c>
    </row>
    <row r="97" spans="2:4">
      <c r="B97" s="37"/>
    </row>
    <row r="99" spans="2:4" ht="15.6">
      <c r="B99" s="6279" t="s">
        <v>2268</v>
      </c>
      <c r="C99" s="6279"/>
      <c r="D99" s="6279"/>
    </row>
    <row r="100" spans="2:4" ht="43.2">
      <c r="B100" s="1228" t="s">
        <v>1764</v>
      </c>
      <c r="C100" s="1835" t="s">
        <v>1765</v>
      </c>
      <c r="D100" s="1228" t="s">
        <v>1766</v>
      </c>
    </row>
    <row r="101" spans="2:4">
      <c r="B101" s="1231">
        <v>6</v>
      </c>
      <c r="C101" s="1229" t="s">
        <v>1767</v>
      </c>
      <c r="D101" s="1232">
        <v>94.9</v>
      </c>
    </row>
    <row r="102" spans="2:4" ht="15" customHeight="1">
      <c r="B102" s="1231">
        <v>9</v>
      </c>
      <c r="C102" s="1229" t="s">
        <v>1768</v>
      </c>
      <c r="D102" s="1232">
        <v>86.7</v>
      </c>
    </row>
    <row r="103" spans="2:4">
      <c r="B103" s="1224">
        <v>22</v>
      </c>
      <c r="C103" s="1229" t="s">
        <v>1769</v>
      </c>
      <c r="D103" s="1233">
        <v>75.8</v>
      </c>
    </row>
    <row r="104" spans="2:4">
      <c r="B104" s="1231">
        <v>35</v>
      </c>
      <c r="C104" s="1229" t="s">
        <v>1770</v>
      </c>
      <c r="D104" s="1232">
        <v>68.2</v>
      </c>
    </row>
    <row r="105" spans="2:4">
      <c r="B105" s="1230">
        <v>36</v>
      </c>
      <c r="C105" s="1836" t="s">
        <v>1771</v>
      </c>
      <c r="D105" s="1234">
        <v>68.099999999999994</v>
      </c>
    </row>
    <row r="106" spans="2:4">
      <c r="B106" s="1224">
        <v>37</v>
      </c>
      <c r="C106" s="1229" t="s">
        <v>1772</v>
      </c>
      <c r="D106" s="1233">
        <v>67.2</v>
      </c>
    </row>
    <row r="107" spans="2:4">
      <c r="B107" s="1224">
        <v>42</v>
      </c>
      <c r="C107" s="1229" t="s">
        <v>1773</v>
      </c>
      <c r="D107" s="1233">
        <v>62.2</v>
      </c>
    </row>
    <row r="108" spans="2:4">
      <c r="B108" s="1223">
        <v>51</v>
      </c>
      <c r="C108" s="1246" t="s">
        <v>1774</v>
      </c>
      <c r="D108" s="1235">
        <v>58.5</v>
      </c>
    </row>
    <row r="109" spans="2:4">
      <c r="B109" s="1231">
        <v>58</v>
      </c>
      <c r="C109" s="1229" t="s">
        <v>1775</v>
      </c>
      <c r="D109" s="1232">
        <v>55.8</v>
      </c>
    </row>
    <row r="110" spans="2:4">
      <c r="B110" s="1231">
        <v>59</v>
      </c>
      <c r="C110" s="1229" t="s">
        <v>526</v>
      </c>
      <c r="D110" s="1232">
        <v>55.6</v>
      </c>
    </row>
    <row r="111" spans="2:4">
      <c r="B111" s="1231">
        <v>65</v>
      </c>
      <c r="C111" s="1229" t="s">
        <v>1776</v>
      </c>
      <c r="D111" s="1232">
        <v>53.3</v>
      </c>
    </row>
    <row r="112" spans="2:4">
      <c r="B112" s="1224">
        <v>74</v>
      </c>
      <c r="C112" s="1229" t="s">
        <v>617</v>
      </c>
      <c r="D112" s="1233">
        <v>48.3</v>
      </c>
    </row>
    <row r="113" spans="2:4">
      <c r="B113" s="1224">
        <v>76</v>
      </c>
      <c r="C113" s="1229" t="s">
        <v>1777</v>
      </c>
      <c r="D113" s="1236">
        <v>47.9</v>
      </c>
    </row>
    <row r="114" spans="2:4">
      <c r="B114" s="1224">
        <v>82</v>
      </c>
      <c r="C114" s="1229" t="s">
        <v>1778</v>
      </c>
      <c r="D114" s="1236">
        <v>46.5</v>
      </c>
    </row>
    <row r="115" spans="2:4">
      <c r="B115" s="1224">
        <v>104</v>
      </c>
      <c r="C115" s="1229" t="s">
        <v>338</v>
      </c>
      <c r="D115" s="1233">
        <v>39.799999999999997</v>
      </c>
    </row>
    <row r="116" spans="2:4">
      <c r="B116" s="1237" t="s">
        <v>2245</v>
      </c>
      <c r="C116" s="97"/>
      <c r="D116" s="1238"/>
    </row>
    <row r="119" spans="2:4" ht="15.6">
      <c r="B119" s="6279" t="s">
        <v>2269</v>
      </c>
      <c r="C119" s="6279"/>
      <c r="D119" s="6279"/>
    </row>
    <row r="120" spans="2:4" ht="43.2">
      <c r="B120" s="1228" t="s">
        <v>2237</v>
      </c>
      <c r="C120" s="1827" t="s">
        <v>1765</v>
      </c>
      <c r="D120" s="1827" t="s">
        <v>1766</v>
      </c>
    </row>
    <row r="121" spans="2:4" ht="28.8">
      <c r="B121" s="1837">
        <v>7</v>
      </c>
      <c r="C121" s="1639" t="s">
        <v>1768</v>
      </c>
      <c r="D121" s="1838">
        <v>91.4</v>
      </c>
    </row>
    <row r="122" spans="2:4">
      <c r="B122" s="1604">
        <v>8</v>
      </c>
      <c r="C122" s="1639" t="s">
        <v>1767</v>
      </c>
      <c r="D122" s="1838">
        <v>91</v>
      </c>
    </row>
    <row r="123" spans="2:4">
      <c r="B123" s="1837">
        <v>26</v>
      </c>
      <c r="C123" s="1639" t="s">
        <v>1770</v>
      </c>
      <c r="D123" s="1838">
        <v>78</v>
      </c>
    </row>
    <row r="124" spans="2:4">
      <c r="B124" s="1837">
        <v>28</v>
      </c>
      <c r="C124" s="1639" t="s">
        <v>1769</v>
      </c>
      <c r="D124" s="1838">
        <v>77.8</v>
      </c>
    </row>
    <row r="125" spans="2:4">
      <c r="B125" s="1840">
        <v>35</v>
      </c>
      <c r="C125" s="1841" t="s">
        <v>1771</v>
      </c>
      <c r="D125" s="1842">
        <v>74.7</v>
      </c>
    </row>
    <row r="126" spans="2:4">
      <c r="B126" s="1837">
        <v>36</v>
      </c>
      <c r="C126" s="1639" t="s">
        <v>1772</v>
      </c>
      <c r="D126" s="1838">
        <v>73.8</v>
      </c>
    </row>
    <row r="127" spans="2:4">
      <c r="B127" s="1837">
        <v>50</v>
      </c>
      <c r="C127" s="1639" t="s">
        <v>1775</v>
      </c>
      <c r="D127" s="1838">
        <v>65.599999999999994</v>
      </c>
    </row>
    <row r="128" spans="2:4">
      <c r="B128" s="1837">
        <v>59</v>
      </c>
      <c r="C128" s="1639" t="s">
        <v>1773</v>
      </c>
      <c r="D128" s="1838">
        <v>63</v>
      </c>
    </row>
    <row r="129" spans="2:4">
      <c r="B129" s="1837">
        <v>64</v>
      </c>
      <c r="C129" s="1639" t="s">
        <v>1776</v>
      </c>
      <c r="D129" s="1838">
        <v>59.8</v>
      </c>
    </row>
    <row r="130" spans="2:4">
      <c r="B130" s="1837">
        <v>68</v>
      </c>
      <c r="C130" s="1639" t="s">
        <v>526</v>
      </c>
      <c r="D130" s="1838">
        <v>58.7</v>
      </c>
    </row>
    <row r="131" spans="2:4">
      <c r="B131" s="1837">
        <v>70</v>
      </c>
      <c r="C131" s="1639" t="s">
        <v>617</v>
      </c>
      <c r="D131" s="1838">
        <v>57.6</v>
      </c>
    </row>
    <row r="132" spans="2:4">
      <c r="B132" s="1604">
        <v>95</v>
      </c>
      <c r="C132" s="1731" t="s">
        <v>1774</v>
      </c>
      <c r="D132" s="1839">
        <v>50.4</v>
      </c>
    </row>
    <row r="133" spans="2:4">
      <c r="B133" s="1837">
        <v>98</v>
      </c>
      <c r="C133" s="1639" t="s">
        <v>338</v>
      </c>
      <c r="D133" s="1838">
        <v>50</v>
      </c>
    </row>
    <row r="134" spans="2:4">
      <c r="B134" s="1837">
        <v>99</v>
      </c>
      <c r="C134" s="1639" t="s">
        <v>1778</v>
      </c>
      <c r="D134" s="1838">
        <v>49.8</v>
      </c>
    </row>
    <row r="135" spans="2:4">
      <c r="B135" s="1837">
        <v>100</v>
      </c>
      <c r="C135" s="1639" t="s">
        <v>337</v>
      </c>
      <c r="D135" s="1838">
        <v>49.1</v>
      </c>
    </row>
    <row r="136" spans="2:4">
      <c r="B136" s="37" t="s">
        <v>2243</v>
      </c>
    </row>
    <row r="138" spans="2:4" ht="15.6">
      <c r="C138" s="22"/>
    </row>
    <row r="139" spans="2:4" ht="15.6">
      <c r="B139" s="6279" t="s">
        <v>2270</v>
      </c>
      <c r="C139" s="6279"/>
      <c r="D139" s="6279"/>
    </row>
    <row r="140" spans="2:4" ht="43.2">
      <c r="B140" s="1228" t="s">
        <v>2240</v>
      </c>
      <c r="C140" s="1827" t="s">
        <v>1765</v>
      </c>
      <c r="D140" s="1827" t="s">
        <v>1766</v>
      </c>
    </row>
    <row r="141" spans="2:4">
      <c r="B141" s="1833">
        <v>6</v>
      </c>
      <c r="C141" s="1843" t="s">
        <v>1767</v>
      </c>
      <c r="D141" s="1845">
        <v>93.1</v>
      </c>
    </row>
    <row r="142" spans="2:4">
      <c r="B142" s="1833">
        <v>7</v>
      </c>
      <c r="C142" s="1843" t="s">
        <v>2238</v>
      </c>
      <c r="D142" s="1845">
        <v>89.8</v>
      </c>
    </row>
    <row r="143" spans="2:4">
      <c r="B143" s="1833">
        <v>16</v>
      </c>
      <c r="C143" s="1843" t="s">
        <v>1770</v>
      </c>
      <c r="D143" s="1845">
        <v>78.599999999999994</v>
      </c>
    </row>
    <row r="144" spans="2:4">
      <c r="B144" s="1837">
        <v>27</v>
      </c>
      <c r="C144" s="1639" t="s">
        <v>1769</v>
      </c>
      <c r="D144" s="1846">
        <v>70.599999999999994</v>
      </c>
    </row>
    <row r="145" spans="2:4">
      <c r="B145" s="1837">
        <v>31</v>
      </c>
      <c r="C145" s="1639" t="s">
        <v>1772</v>
      </c>
      <c r="D145" s="1846">
        <v>72.2</v>
      </c>
    </row>
    <row r="146" spans="2:4">
      <c r="B146" s="1840">
        <v>33</v>
      </c>
      <c r="C146" s="1841" t="s">
        <v>1771</v>
      </c>
      <c r="D146" s="1848">
        <v>70.5</v>
      </c>
    </row>
    <row r="147" spans="2:4" ht="21.75" customHeight="1">
      <c r="B147" s="1833">
        <v>48</v>
      </c>
      <c r="C147" s="1843" t="s">
        <v>1775</v>
      </c>
      <c r="D147" s="1845">
        <v>60.7</v>
      </c>
    </row>
    <row r="148" spans="2:4">
      <c r="B148" s="1837">
        <v>60</v>
      </c>
      <c r="C148" s="1639" t="s">
        <v>1773</v>
      </c>
      <c r="D148" s="1847">
        <v>54.8</v>
      </c>
    </row>
    <row r="149" spans="2:4">
      <c r="B149" s="1833">
        <v>61</v>
      </c>
      <c r="C149" s="1843" t="s">
        <v>1776</v>
      </c>
      <c r="D149" s="1845">
        <v>54.5</v>
      </c>
    </row>
    <row r="150" spans="2:4">
      <c r="B150" s="1604">
        <v>74</v>
      </c>
      <c r="C150" s="1731" t="s">
        <v>1774</v>
      </c>
      <c r="D150" s="1844">
        <v>50.6</v>
      </c>
    </row>
    <row r="151" spans="2:4">
      <c r="B151" s="1837">
        <v>77</v>
      </c>
      <c r="C151" s="1639" t="s">
        <v>617</v>
      </c>
      <c r="D151" s="1846">
        <v>50</v>
      </c>
    </row>
    <row r="152" spans="2:4">
      <c r="B152" s="1833">
        <v>79</v>
      </c>
      <c r="C152" s="1843" t="s">
        <v>526</v>
      </c>
      <c r="D152" s="1845">
        <v>49.4</v>
      </c>
    </row>
    <row r="153" spans="2:4">
      <c r="B153" s="1837">
        <v>93</v>
      </c>
      <c r="C153" s="1639" t="s">
        <v>338</v>
      </c>
      <c r="D153" s="1846">
        <v>46.3</v>
      </c>
    </row>
    <row r="154" spans="2:4">
      <c r="B154" s="1604">
        <v>99</v>
      </c>
      <c r="C154" s="1731" t="s">
        <v>337</v>
      </c>
      <c r="D154" s="1731">
        <v>44.4</v>
      </c>
    </row>
    <row r="155" spans="2:4">
      <c r="B155" s="1837">
        <v>102</v>
      </c>
      <c r="C155" s="1639" t="s">
        <v>700</v>
      </c>
      <c r="D155" s="1846">
        <v>42.9</v>
      </c>
    </row>
    <row r="156" spans="2:4">
      <c r="B156" s="37" t="s">
        <v>2242</v>
      </c>
    </row>
    <row r="158" spans="2:4" ht="15.6">
      <c r="C158" s="22"/>
    </row>
    <row r="159" spans="2:4" ht="15.6">
      <c r="B159" s="6279" t="s">
        <v>2271</v>
      </c>
      <c r="C159" s="6279"/>
      <c r="D159" s="6279"/>
    </row>
    <row r="160" spans="2:4" ht="43.2">
      <c r="B160" s="1228" t="s">
        <v>2239</v>
      </c>
      <c r="C160" s="1827" t="s">
        <v>1765</v>
      </c>
      <c r="D160" s="1827" t="s">
        <v>1766</v>
      </c>
    </row>
    <row r="161" spans="2:4">
      <c r="B161" s="1833">
        <v>5</v>
      </c>
      <c r="C161" s="1843" t="s">
        <v>1767</v>
      </c>
      <c r="D161" s="1849">
        <v>92.83</v>
      </c>
    </row>
    <row r="162" spans="2:4">
      <c r="B162" s="1833">
        <v>7</v>
      </c>
      <c r="C162" s="1843" t="s">
        <v>2238</v>
      </c>
      <c r="D162" s="1849">
        <v>85.81</v>
      </c>
    </row>
    <row r="163" spans="2:4">
      <c r="B163" s="1833">
        <v>16</v>
      </c>
      <c r="C163" s="1843" t="s">
        <v>1770</v>
      </c>
      <c r="D163" s="1849">
        <v>78.44</v>
      </c>
    </row>
    <row r="164" spans="2:4">
      <c r="B164" s="1833">
        <v>19</v>
      </c>
      <c r="C164" s="1843" t="s">
        <v>1772</v>
      </c>
      <c r="D164" s="1849">
        <v>74.680000000000007</v>
      </c>
    </row>
    <row r="165" spans="2:4">
      <c r="B165" s="1840">
        <v>21</v>
      </c>
      <c r="C165" s="1841" t="s">
        <v>1771</v>
      </c>
      <c r="D165" s="1851">
        <v>73.58</v>
      </c>
    </row>
    <row r="166" spans="2:4">
      <c r="B166" s="1837">
        <v>30</v>
      </c>
      <c r="C166" s="1639" t="s">
        <v>1769</v>
      </c>
      <c r="D166" s="1850">
        <v>70.73</v>
      </c>
    </row>
    <row r="167" spans="2:4">
      <c r="B167" s="1837">
        <v>32</v>
      </c>
      <c r="C167" s="1639" t="s">
        <v>1775</v>
      </c>
      <c r="D167" s="1850">
        <v>68.81</v>
      </c>
    </row>
    <row r="168" spans="2:4">
      <c r="B168" s="1837">
        <v>50</v>
      </c>
      <c r="C168" s="1639" t="s">
        <v>1773</v>
      </c>
      <c r="D168" s="1850">
        <v>56.31</v>
      </c>
    </row>
    <row r="169" spans="2:4">
      <c r="B169" s="1837">
        <v>51</v>
      </c>
      <c r="C169" s="1639" t="s">
        <v>1776</v>
      </c>
      <c r="D169" s="1850">
        <v>55.34</v>
      </c>
    </row>
    <row r="170" spans="2:4">
      <c r="B170" s="1837">
        <v>58</v>
      </c>
      <c r="C170" s="1639" t="s">
        <v>617</v>
      </c>
      <c r="D170" s="1850">
        <v>52.18</v>
      </c>
    </row>
    <row r="171" spans="2:4">
      <c r="B171" s="1837">
        <v>61</v>
      </c>
      <c r="C171" s="1639" t="s">
        <v>526</v>
      </c>
      <c r="D171" s="1850">
        <v>50.71</v>
      </c>
    </row>
    <row r="172" spans="2:4">
      <c r="B172" s="1837">
        <v>88</v>
      </c>
      <c r="C172" s="1639" t="s">
        <v>700</v>
      </c>
      <c r="D172" s="1850">
        <v>43.83</v>
      </c>
    </row>
    <row r="173" spans="2:4">
      <c r="B173" s="1837">
        <v>90</v>
      </c>
      <c r="C173" s="1639" t="s">
        <v>338</v>
      </c>
      <c r="D173" s="1850">
        <v>42.93</v>
      </c>
    </row>
    <row r="174" spans="2:4">
      <c r="B174" s="37" t="s">
        <v>2241</v>
      </c>
    </row>
    <row r="176" spans="2:4">
      <c r="B176" s="135"/>
    </row>
    <row r="177" spans="2:4" ht="15.6">
      <c r="C177" s="22"/>
    </row>
    <row r="178" spans="2:4" ht="15.6">
      <c r="B178" s="6279" t="s">
        <v>2272</v>
      </c>
      <c r="C178" s="6279"/>
      <c r="D178" s="6279"/>
    </row>
    <row r="179" spans="2:4" ht="43.2">
      <c r="B179" s="1228" t="s">
        <v>2247</v>
      </c>
      <c r="C179" s="1827" t="s">
        <v>1765</v>
      </c>
      <c r="D179" s="1827" t="s">
        <v>1766</v>
      </c>
    </row>
    <row r="180" spans="2:4">
      <c r="B180" s="1833">
        <v>5</v>
      </c>
      <c r="C180" s="1843" t="s">
        <v>1767</v>
      </c>
      <c r="D180" s="1849">
        <v>92.1</v>
      </c>
    </row>
    <row r="181" spans="2:4">
      <c r="B181" s="1833">
        <v>7</v>
      </c>
      <c r="C181" s="1843" t="s">
        <v>2238</v>
      </c>
      <c r="D181" s="1849">
        <v>83</v>
      </c>
    </row>
    <row r="182" spans="2:4">
      <c r="B182" s="1833">
        <v>22</v>
      </c>
      <c r="C182" s="1843" t="s">
        <v>1770</v>
      </c>
      <c r="D182" s="1849">
        <v>68.400000000000006</v>
      </c>
    </row>
    <row r="183" spans="2:4">
      <c r="B183" s="1833">
        <v>24</v>
      </c>
      <c r="C183" s="1843" t="s">
        <v>1769</v>
      </c>
      <c r="D183" s="1849">
        <v>63.2</v>
      </c>
    </row>
    <row r="184" spans="2:4">
      <c r="B184" s="1840">
        <v>25</v>
      </c>
      <c r="C184" s="1841" t="s">
        <v>1771</v>
      </c>
      <c r="D184" s="1851">
        <v>62.6</v>
      </c>
    </row>
    <row r="185" spans="2:4">
      <c r="B185" s="1837">
        <v>29</v>
      </c>
      <c r="C185" s="1639" t="s">
        <v>1772</v>
      </c>
      <c r="D185" s="1850">
        <v>60.7</v>
      </c>
    </row>
    <row r="186" spans="2:4">
      <c r="B186" s="1837">
        <v>46</v>
      </c>
      <c r="C186" s="1639" t="s">
        <v>1775</v>
      </c>
      <c r="D186" s="1850">
        <v>50.5</v>
      </c>
    </row>
    <row r="187" spans="2:4">
      <c r="B187" s="1837">
        <v>51</v>
      </c>
      <c r="C187" s="1639" t="s">
        <v>1773</v>
      </c>
      <c r="D187" s="1850">
        <v>49.1</v>
      </c>
    </row>
    <row r="188" spans="2:4">
      <c r="B188" s="1837">
        <v>57</v>
      </c>
      <c r="C188" s="1639" t="s">
        <v>1776</v>
      </c>
      <c r="D188" s="1850">
        <v>46.2</v>
      </c>
    </row>
    <row r="189" spans="2:4">
      <c r="B189" s="1837">
        <v>63</v>
      </c>
      <c r="C189" s="1639" t="s">
        <v>526</v>
      </c>
      <c r="D189" s="1850">
        <v>44.3</v>
      </c>
    </row>
    <row r="190" spans="2:4">
      <c r="B190" s="1837">
        <v>70</v>
      </c>
      <c r="C190" s="1639" t="s">
        <v>617</v>
      </c>
      <c r="D190" s="1850">
        <v>42.1</v>
      </c>
    </row>
    <row r="191" spans="2:4">
      <c r="B191" s="1837">
        <v>78</v>
      </c>
      <c r="C191" s="1639" t="s">
        <v>338</v>
      </c>
      <c r="D191" s="1850">
        <v>39.4</v>
      </c>
    </row>
    <row r="192" spans="2:4">
      <c r="B192" s="37" t="s">
        <v>2246</v>
      </c>
    </row>
    <row r="195" spans="2:3" ht="15" customHeight="1">
      <c r="B195" s="6279" t="s">
        <v>2249</v>
      </c>
      <c r="C195" s="6279"/>
    </row>
    <row r="196" spans="2:3" ht="43.2">
      <c r="B196" s="1228" t="s">
        <v>2250</v>
      </c>
      <c r="C196" s="1827" t="s">
        <v>1765</v>
      </c>
    </row>
    <row r="197" spans="2:3">
      <c r="B197" s="1680">
        <v>1</v>
      </c>
      <c r="C197" s="1680" t="s">
        <v>635</v>
      </c>
    </row>
    <row r="198" spans="2:3">
      <c r="B198" s="1680">
        <v>2</v>
      </c>
      <c r="C198" s="1680" t="s">
        <v>152</v>
      </c>
    </row>
    <row r="199" spans="2:3">
      <c r="B199" s="1680">
        <v>3</v>
      </c>
      <c r="C199" s="1680" t="s">
        <v>523</v>
      </c>
    </row>
    <row r="200" spans="2:3">
      <c r="B200" s="1680">
        <v>4</v>
      </c>
      <c r="C200" s="1680" t="s">
        <v>624</v>
      </c>
    </row>
    <row r="201" spans="2:3">
      <c r="B201" s="1680">
        <v>5</v>
      </c>
      <c r="C201" s="1680" t="s">
        <v>636</v>
      </c>
    </row>
    <row r="202" spans="2:3">
      <c r="B202" s="1680">
        <v>6</v>
      </c>
      <c r="C202" s="1680" t="s">
        <v>626</v>
      </c>
    </row>
    <row r="203" spans="2:3">
      <c r="B203" s="1680">
        <v>7</v>
      </c>
      <c r="C203" s="1680" t="s">
        <v>637</v>
      </c>
    </row>
    <row r="204" spans="2:3">
      <c r="B204" s="1680">
        <v>8</v>
      </c>
      <c r="C204" s="1680" t="s">
        <v>627</v>
      </c>
    </row>
    <row r="205" spans="2:3">
      <c r="B205" s="1680">
        <v>9</v>
      </c>
      <c r="C205" s="1680" t="s">
        <v>629</v>
      </c>
    </row>
    <row r="206" spans="2:3">
      <c r="B206" s="1680">
        <v>10</v>
      </c>
      <c r="C206" s="1680" t="s">
        <v>628</v>
      </c>
    </row>
    <row r="207" spans="2:3">
      <c r="B207" s="1680">
        <v>11</v>
      </c>
      <c r="C207" s="1680" t="s">
        <v>638</v>
      </c>
    </row>
    <row r="208" spans="2:3">
      <c r="B208" s="1680">
        <v>12</v>
      </c>
      <c r="C208" s="1680" t="s">
        <v>639</v>
      </c>
    </row>
    <row r="209" spans="2:3">
      <c r="B209" s="1680">
        <v>13</v>
      </c>
      <c r="C209" s="1680" t="s">
        <v>630</v>
      </c>
    </row>
    <row r="210" spans="2:3">
      <c r="B210" s="1680">
        <v>15</v>
      </c>
      <c r="C210" s="1680" t="s">
        <v>640</v>
      </c>
    </row>
    <row r="211" spans="2:3">
      <c r="B211" s="1680">
        <v>16</v>
      </c>
      <c r="C211" s="1680" t="s">
        <v>154</v>
      </c>
    </row>
    <row r="212" spans="2:3">
      <c r="B212" s="1680">
        <v>17</v>
      </c>
      <c r="C212" s="1680" t="s">
        <v>641</v>
      </c>
    </row>
    <row r="213" spans="2:3">
      <c r="B213" s="1680">
        <v>18</v>
      </c>
      <c r="C213" s="1680" t="s">
        <v>642</v>
      </c>
    </row>
    <row r="214" spans="2:3">
      <c r="B214" s="1680">
        <v>19</v>
      </c>
      <c r="C214" s="1680" t="s">
        <v>631</v>
      </c>
    </row>
    <row r="215" spans="2:3">
      <c r="B215" s="1680">
        <v>20</v>
      </c>
      <c r="C215" s="1680" t="s">
        <v>632</v>
      </c>
    </row>
    <row r="216" spans="2:3">
      <c r="B216" s="1604">
        <v>21</v>
      </c>
      <c r="C216" s="1604" t="s">
        <v>643</v>
      </c>
    </row>
    <row r="217" spans="2:3">
      <c r="B217" s="1852">
        <v>22</v>
      </c>
      <c r="C217" s="1852" t="s">
        <v>95</v>
      </c>
    </row>
    <row r="218" spans="2:3">
      <c r="B218" s="1604">
        <v>23</v>
      </c>
      <c r="C218" s="1604" t="s">
        <v>633</v>
      </c>
    </row>
    <row r="219" spans="2:3">
      <c r="B219" s="1604">
        <v>24</v>
      </c>
      <c r="C219" s="1604" t="s">
        <v>644</v>
      </c>
    </row>
    <row r="220" spans="2:3">
      <c r="B220" s="1604">
        <v>25</v>
      </c>
      <c r="C220" s="1604" t="s">
        <v>645</v>
      </c>
    </row>
    <row r="221" spans="2:3">
      <c r="B221" s="1237" t="s">
        <v>2248</v>
      </c>
    </row>
  </sheetData>
  <sheetProtection algorithmName="SHA-512" hashValue="GLEjXZQ2hkS5kt+XbQpWdkriPB+CQflw5aqpNZmlgjsM8f7Vpz3lZR1jieM3LZi8wsruzQLMP1pyD8PvcQ9fDA==" saltValue="sBZWn/qQ/XtipE5/n+N7mg==" spinCount="100000" sheet="1" objects="1" scenarios="1"/>
  <mergeCells count="10">
    <mergeCell ref="B1:C1"/>
    <mergeCell ref="B57:C57"/>
    <mergeCell ref="B60:D60"/>
    <mergeCell ref="B195:C195"/>
    <mergeCell ref="B79:D79"/>
    <mergeCell ref="B99:D99"/>
    <mergeCell ref="B119:D119"/>
    <mergeCell ref="B139:D139"/>
    <mergeCell ref="B159:D159"/>
    <mergeCell ref="B178:D178"/>
  </mergeCells>
  <hyperlinks>
    <hyperlink ref="B116" r:id="rId1" location="sorting=rank+region=+country=241+faculty=+stars=false+search=" display="http://www.topuniversities.com/university-rankings/latam-university-rankings/2015#sorting=rank+region=+country=241+faculty=+stars=false+search=" xr:uid="{00000000-0004-0000-3500-000000000000}"/>
    <hyperlink ref="B221" r:id="rId2" display="http://www.scimagoir.com" xr:uid="{00000000-0004-0000-3500-000001000000}"/>
    <hyperlink ref="B57" r:id="rId3" xr:uid="{00000000-0004-0000-3500-000002000000}"/>
    <hyperlink ref="C46" r:id="rId4" location="889738" display="https://www.topuniversities.com/universities/universidad-iberoamericana-ibero - 889738" xr:uid="{00000000-0004-0000-3500-000003000000}"/>
    <hyperlink ref="C45" r:id="rId5" location="889738" display="889738" xr:uid="{00000000-0004-0000-3500-000004000000}"/>
    <hyperlink ref="C44" r:id="rId6" location="889738" display="https://www.topuniversities.com/universities/instituto-politecnico-nacional-ipn - 889738" xr:uid="{00000000-0004-0000-3500-000005000000}"/>
    <hyperlink ref="C43" r:id="rId7" location="889738" display="https://www.topuniversities.com/universities/instituto-tecnologico-y-de-estudios-superiores-de-monterrey - 889738" xr:uid="{00000000-0004-0000-3500-000006000000}"/>
    <hyperlink ref="C42" r:id="rId8" location="889738" display="889738" xr:uid="{00000000-0004-0000-3500-000007000000}"/>
    <hyperlink ref="C27" r:id="rId9" location="922123" xr:uid="{00000000-0004-0000-3500-000008000000}"/>
    <hyperlink ref="C7" r:id="rId10" location="922123" xr:uid="{43F92B20-0CBE-408F-8CE2-17697F4F43B1}"/>
  </hyperlinks>
  <printOptions horizontalCentered="1" verticalCentered="1"/>
  <pageMargins left="0.31496062992125984" right="0.31496062992125984" top="7.874015748031496E-2" bottom="0.11811023622047245" header="0" footer="0.31496062992125984"/>
  <pageSetup scale="39" fitToHeight="4" orientation="landscape" r:id="rId11"/>
  <drawing r:id="rId1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tint="-0.499984740745262"/>
    <pageSetUpPr fitToPage="1"/>
  </sheetPr>
  <dimension ref="A1:G238"/>
  <sheetViews>
    <sheetView showGridLines="0" zoomScale="120" zoomScaleNormal="120" workbookViewId="0">
      <selection activeCell="H8" sqref="H8"/>
    </sheetView>
  </sheetViews>
  <sheetFormatPr baseColWidth="10" defaultRowHeight="14.4"/>
  <cols>
    <col min="1" max="3" width="10.44140625" customWidth="1"/>
    <col min="4" max="4" width="66.77734375" customWidth="1"/>
    <col min="5" max="5" width="5.44140625" customWidth="1"/>
    <col min="6" max="6" width="13.21875" customWidth="1"/>
    <col min="7" max="7" width="3.21875" bestFit="1" customWidth="1"/>
    <col min="8" max="8" width="46.21875" customWidth="1"/>
    <col min="9" max="9" width="7.5546875" bestFit="1" customWidth="1"/>
    <col min="11" max="11" width="3.21875" bestFit="1" customWidth="1"/>
    <col min="12" max="12" width="46.77734375" customWidth="1"/>
    <col min="13" max="13" width="5.5546875" bestFit="1" customWidth="1"/>
    <col min="14" max="14" width="7.5546875" customWidth="1"/>
    <col min="15" max="15" width="2.21875" bestFit="1" customWidth="1"/>
    <col min="16" max="16" width="45.5546875" bestFit="1" customWidth="1"/>
    <col min="17" max="17" width="6.77734375" bestFit="1" customWidth="1"/>
    <col min="18" max="18" width="6.21875" customWidth="1"/>
    <col min="19" max="19" width="2.21875" bestFit="1" customWidth="1"/>
    <col min="20" max="20" width="42.77734375" customWidth="1"/>
  </cols>
  <sheetData>
    <row r="1" spans="2:4" ht="33" customHeight="1">
      <c r="B1" s="6074" t="s">
        <v>2758</v>
      </c>
      <c r="C1" s="6074"/>
      <c r="D1" s="6074"/>
    </row>
    <row r="2" spans="2:4" s="5179" customFormat="1" ht="15.6">
      <c r="B2" s="5182"/>
      <c r="C2" s="5182"/>
      <c r="D2" s="5182"/>
    </row>
    <row r="3" spans="2:4" s="5179" customFormat="1" ht="15.6">
      <c r="C3" s="5197"/>
      <c r="D3" s="5198"/>
    </row>
    <row r="4" spans="2:4" s="5179" customFormat="1" ht="29.4" thickBot="1">
      <c r="B4" s="5183" t="s">
        <v>1887</v>
      </c>
      <c r="C4" s="5183" t="s">
        <v>838</v>
      </c>
      <c r="D4" s="3979" t="s">
        <v>3049</v>
      </c>
    </row>
    <row r="5" spans="2:4" s="5179" customFormat="1" ht="16.95" customHeight="1">
      <c r="B5" s="5184">
        <v>1</v>
      </c>
      <c r="C5" s="5184">
        <v>100</v>
      </c>
      <c r="D5" s="5185" t="s">
        <v>1767</v>
      </c>
    </row>
    <row r="6" spans="2:4" s="5179" customFormat="1" ht="16.95" customHeight="1">
      <c r="B6" s="5186">
        <v>2</v>
      </c>
      <c r="C6" s="5186">
        <v>155</v>
      </c>
      <c r="D6" s="5187" t="s">
        <v>655</v>
      </c>
    </row>
    <row r="7" spans="2:4" s="5179" customFormat="1" ht="16.95" customHeight="1">
      <c r="B7" s="5186">
        <v>3</v>
      </c>
      <c r="C7" s="5186" t="s">
        <v>3046</v>
      </c>
      <c r="D7" s="5187" t="s">
        <v>1784</v>
      </c>
    </row>
    <row r="8" spans="2:4" s="5179" customFormat="1" ht="16.95" customHeight="1">
      <c r="B8" s="5186">
        <v>4</v>
      </c>
      <c r="C8" s="5186" t="s">
        <v>1782</v>
      </c>
      <c r="D8" s="5187" t="s">
        <v>1783</v>
      </c>
    </row>
    <row r="9" spans="2:4" s="5179" customFormat="1" ht="16.95" customHeight="1">
      <c r="B9" s="5186">
        <v>5</v>
      </c>
      <c r="C9" s="5186" t="s">
        <v>2656</v>
      </c>
      <c r="D9" s="5187" t="s">
        <v>1770</v>
      </c>
    </row>
    <row r="10" spans="2:4" s="5179" customFormat="1" ht="16.95" customHeight="1">
      <c r="B10" s="5186">
        <v>6</v>
      </c>
      <c r="C10" s="5186" t="s">
        <v>2656</v>
      </c>
      <c r="D10" s="5187" t="s">
        <v>1772</v>
      </c>
    </row>
    <row r="11" spans="2:4" s="5179" customFormat="1" ht="16.95" customHeight="1">
      <c r="B11" s="5186">
        <v>7</v>
      </c>
      <c r="C11" s="5186" t="s">
        <v>2656</v>
      </c>
      <c r="D11" s="5187" t="s">
        <v>1769</v>
      </c>
    </row>
    <row r="12" spans="2:4" s="5179" customFormat="1" ht="16.95" customHeight="1">
      <c r="B12" s="5188">
        <v>8</v>
      </c>
      <c r="C12" s="5186" t="s">
        <v>2428</v>
      </c>
      <c r="D12" s="5187" t="s">
        <v>1773</v>
      </c>
    </row>
    <row r="13" spans="2:4" s="5179" customFormat="1" ht="16.95" customHeight="1">
      <c r="B13" s="5186">
        <v>9</v>
      </c>
      <c r="C13" s="5186" t="s">
        <v>2426</v>
      </c>
      <c r="D13" s="5189" t="s">
        <v>3047</v>
      </c>
    </row>
    <row r="14" spans="2:4" s="5179" customFormat="1" ht="16.95" customHeight="1">
      <c r="B14" s="5190">
        <v>10</v>
      </c>
      <c r="C14" s="5186" t="s">
        <v>2426</v>
      </c>
      <c r="D14" s="5191" t="s">
        <v>1787</v>
      </c>
    </row>
    <row r="15" spans="2:4" s="5179" customFormat="1" ht="16.95" customHeight="1">
      <c r="B15" s="5192">
        <v>11</v>
      </c>
      <c r="C15" s="5192" t="s">
        <v>2426</v>
      </c>
      <c r="D15" s="5193" t="s">
        <v>1771</v>
      </c>
    </row>
    <row r="16" spans="2:4" s="5179" customFormat="1" ht="16.95" customHeight="1">
      <c r="B16" s="5194">
        <v>12</v>
      </c>
      <c r="C16" s="5195" t="s">
        <v>2426</v>
      </c>
      <c r="D16" s="5196" t="s">
        <v>1775</v>
      </c>
    </row>
    <row r="17" spans="2:4" s="5179" customFormat="1" ht="15.6">
      <c r="B17" s="5182"/>
      <c r="C17" s="5182"/>
      <c r="D17" s="5182"/>
    </row>
    <row r="18" spans="2:4" s="5179" customFormat="1" ht="15.6">
      <c r="B18" s="5182"/>
      <c r="C18" s="5182"/>
      <c r="D18" s="5182"/>
    </row>
    <row r="19" spans="2:4" s="3359" customFormat="1" ht="15.6">
      <c r="B19" s="3589"/>
      <c r="C19" s="3589"/>
      <c r="D19" s="5199"/>
    </row>
    <row r="20" spans="2:4" s="4199" customFormat="1" ht="29.4" thickBot="1">
      <c r="B20" s="4214" t="s">
        <v>1887</v>
      </c>
      <c r="C20" s="4214" t="s">
        <v>838</v>
      </c>
      <c r="D20" s="2137" t="s">
        <v>3050</v>
      </c>
    </row>
    <row r="21" spans="2:4" s="4199" customFormat="1" ht="19.05" customHeight="1">
      <c r="B21" s="2260">
        <v>1</v>
      </c>
      <c r="C21" s="2260">
        <v>103</v>
      </c>
      <c r="D21" s="4215" t="s">
        <v>1767</v>
      </c>
    </row>
    <row r="22" spans="2:4" s="4199" customFormat="1" ht="19.05" customHeight="1">
      <c r="B22" s="2261">
        <v>2</v>
      </c>
      <c r="C22" s="2261">
        <v>158</v>
      </c>
      <c r="D22" s="4216" t="s">
        <v>655</v>
      </c>
    </row>
    <row r="23" spans="2:4" s="4199" customFormat="1" ht="19.05" customHeight="1">
      <c r="B23" s="2261">
        <v>3</v>
      </c>
      <c r="C23" s="2261" t="s">
        <v>2881</v>
      </c>
      <c r="D23" s="4216" t="s">
        <v>1783</v>
      </c>
    </row>
    <row r="24" spans="2:4" s="4199" customFormat="1" ht="19.05" customHeight="1">
      <c r="B24" s="2261">
        <v>4</v>
      </c>
      <c r="C24" s="2261" t="s">
        <v>1781</v>
      </c>
      <c r="D24" s="4216" t="s">
        <v>1784</v>
      </c>
    </row>
    <row r="25" spans="2:4" s="4199" customFormat="1" ht="19.05" customHeight="1">
      <c r="B25" s="2261">
        <v>5</v>
      </c>
      <c r="C25" s="2261" t="s">
        <v>1782</v>
      </c>
      <c r="D25" s="4216" t="s">
        <v>1770</v>
      </c>
    </row>
    <row r="26" spans="2:4" s="4199" customFormat="1" ht="19.05" customHeight="1">
      <c r="B26" s="2261">
        <v>6</v>
      </c>
      <c r="C26" s="2261" t="s">
        <v>1782</v>
      </c>
      <c r="D26" s="4216" t="s">
        <v>1772</v>
      </c>
    </row>
    <row r="27" spans="2:4" s="4199" customFormat="1" ht="19.05" customHeight="1">
      <c r="B27" s="2545">
        <v>7</v>
      </c>
      <c r="C27" s="2545" t="s">
        <v>1782</v>
      </c>
      <c r="D27" s="4216" t="s">
        <v>1769</v>
      </c>
    </row>
    <row r="28" spans="2:4" s="4199" customFormat="1" ht="19.05" customHeight="1">
      <c r="B28" s="4217">
        <v>8</v>
      </c>
      <c r="C28" s="2261" t="s">
        <v>2656</v>
      </c>
      <c r="D28" s="4216" t="s">
        <v>1773</v>
      </c>
    </row>
    <row r="29" spans="2:4" s="4199" customFormat="1" ht="19.05" customHeight="1">
      <c r="B29" s="2261">
        <v>9</v>
      </c>
      <c r="C29" s="2261" t="s">
        <v>2428</v>
      </c>
      <c r="D29" s="4206" t="s">
        <v>1775</v>
      </c>
    </row>
    <row r="30" spans="2:4" s="4199" customFormat="1" ht="19.05" customHeight="1">
      <c r="B30" s="4219">
        <v>10</v>
      </c>
      <c r="C30" s="2261" t="s">
        <v>2426</v>
      </c>
      <c r="D30" s="4216" t="s">
        <v>1786</v>
      </c>
    </row>
    <row r="31" spans="2:4" s="4199" customFormat="1" ht="19.05" customHeight="1">
      <c r="B31" s="4220">
        <v>11</v>
      </c>
      <c r="C31" s="2261" t="s">
        <v>2426</v>
      </c>
      <c r="D31" s="4221" t="s">
        <v>1787</v>
      </c>
    </row>
    <row r="32" spans="2:4" s="4199" customFormat="1" ht="19.05" customHeight="1">
      <c r="B32" s="4222">
        <v>12</v>
      </c>
      <c r="C32" s="2263" t="s">
        <v>2426</v>
      </c>
      <c r="D32" s="4223" t="s">
        <v>1771</v>
      </c>
    </row>
    <row r="33" spans="2:4" s="4199" customFormat="1" ht="19.05" customHeight="1">
      <c r="B33" s="4224">
        <v>13</v>
      </c>
      <c r="C33" s="2262" t="s">
        <v>2426</v>
      </c>
      <c r="D33" s="4218" t="s">
        <v>1788</v>
      </c>
    </row>
    <row r="34" spans="2:4" s="4199" customFormat="1" ht="15.6">
      <c r="B34" s="4202"/>
      <c r="C34" s="4202"/>
      <c r="D34" s="4202"/>
    </row>
    <row r="35" spans="2:4" s="4199" customFormat="1" ht="15.6">
      <c r="B35" s="4202"/>
      <c r="C35" s="4202"/>
      <c r="D35" s="4202"/>
    </row>
    <row r="36" spans="2:4" s="2904" customFormat="1" ht="18">
      <c r="B36" s="2909"/>
      <c r="C36" s="2909"/>
      <c r="D36" s="3614"/>
    </row>
    <row r="37" spans="2:4" ht="29.4" thickBot="1">
      <c r="B37" s="2258" t="s">
        <v>1887</v>
      </c>
      <c r="C37" s="2258" t="s">
        <v>838</v>
      </c>
      <c r="D37" s="2137" t="s">
        <v>2759</v>
      </c>
    </row>
    <row r="38" spans="2:4" ht="20.100000000000001" customHeight="1">
      <c r="B38" s="2260">
        <v>1</v>
      </c>
      <c r="C38" s="2260">
        <v>113</v>
      </c>
      <c r="D38" s="2264" t="s">
        <v>1767</v>
      </c>
    </row>
    <row r="39" spans="2:4" ht="20.100000000000001" customHeight="1">
      <c r="B39" s="2261">
        <v>2</v>
      </c>
      <c r="C39" s="2261">
        <v>178</v>
      </c>
      <c r="D39" s="2265" t="s">
        <v>2658</v>
      </c>
    </row>
    <row r="40" spans="2:4" ht="20.100000000000001" customHeight="1">
      <c r="B40" s="2261">
        <v>3</v>
      </c>
      <c r="C40" s="2261" t="s">
        <v>2655</v>
      </c>
      <c r="D40" s="2265" t="s">
        <v>2660</v>
      </c>
    </row>
    <row r="41" spans="2:4" ht="20.100000000000001" customHeight="1">
      <c r="B41" s="2261">
        <v>4</v>
      </c>
      <c r="C41" s="2261" t="s">
        <v>1782</v>
      </c>
      <c r="D41" s="2265" t="s">
        <v>1770</v>
      </c>
    </row>
    <row r="42" spans="2:4" ht="20.100000000000001" customHeight="1">
      <c r="B42" s="2261">
        <v>5</v>
      </c>
      <c r="C42" s="2261" t="s">
        <v>1782</v>
      </c>
      <c r="D42" s="2265" t="s">
        <v>1772</v>
      </c>
    </row>
    <row r="43" spans="2:4" ht="20.100000000000001" customHeight="1">
      <c r="B43" s="2261">
        <v>6</v>
      </c>
      <c r="C43" s="2261" t="s">
        <v>2656</v>
      </c>
      <c r="D43" s="2265" t="s">
        <v>1769</v>
      </c>
    </row>
    <row r="44" spans="2:4" ht="20.100000000000001" customHeight="1">
      <c r="B44" s="2263">
        <v>7</v>
      </c>
      <c r="C44" s="2263" t="s">
        <v>2428</v>
      </c>
      <c r="D44" s="2267" t="s">
        <v>1771</v>
      </c>
    </row>
    <row r="45" spans="2:4" ht="20.100000000000001" customHeight="1">
      <c r="B45" s="2259">
        <v>8</v>
      </c>
      <c r="C45" s="2261" t="s">
        <v>2428</v>
      </c>
      <c r="D45" s="2265" t="s">
        <v>1773</v>
      </c>
    </row>
    <row r="46" spans="2:4" ht="20.100000000000001" customHeight="1">
      <c r="B46" s="2261">
        <v>9</v>
      </c>
      <c r="C46" s="2261" t="s">
        <v>2428</v>
      </c>
      <c r="D46" s="2265" t="s">
        <v>1775</v>
      </c>
    </row>
    <row r="47" spans="2:4" ht="20.100000000000001" customHeight="1">
      <c r="B47" s="2261">
        <v>10</v>
      </c>
      <c r="C47" s="2261" t="s">
        <v>2428</v>
      </c>
      <c r="D47" s="2265" t="s">
        <v>1784</v>
      </c>
    </row>
    <row r="48" spans="2:4" ht="20.100000000000001" customHeight="1">
      <c r="B48" s="2261">
        <v>11</v>
      </c>
      <c r="C48" s="2261" t="s">
        <v>2426</v>
      </c>
      <c r="D48" s="2265" t="s">
        <v>2659</v>
      </c>
    </row>
    <row r="49" spans="2:4" ht="20.100000000000001" customHeight="1">
      <c r="B49" s="2261">
        <v>12</v>
      </c>
      <c r="C49" s="2261" t="s">
        <v>2426</v>
      </c>
      <c r="D49" s="2265" t="s">
        <v>1786</v>
      </c>
    </row>
    <row r="50" spans="2:4" ht="20.100000000000001" customHeight="1">
      <c r="B50" s="2261">
        <v>13</v>
      </c>
      <c r="C50" s="2261" t="s">
        <v>2426</v>
      </c>
      <c r="D50" s="2265" t="s">
        <v>1787</v>
      </c>
    </row>
    <row r="51" spans="2:4" ht="20.100000000000001" customHeight="1">
      <c r="B51" s="2262">
        <v>14</v>
      </c>
      <c r="C51" s="2262" t="s">
        <v>2426</v>
      </c>
      <c r="D51" s="2266" t="s">
        <v>1788</v>
      </c>
    </row>
    <row r="52" spans="2:4">
      <c r="B52" s="1237" t="s">
        <v>2657</v>
      </c>
    </row>
    <row r="55" spans="2:4" ht="20.100000000000001" customHeight="1">
      <c r="B55" s="6281" t="s">
        <v>2427</v>
      </c>
      <c r="C55" s="6281"/>
      <c r="D55" s="6281"/>
    </row>
    <row r="56" spans="2:4" ht="28.8">
      <c r="B56" s="1602" t="s">
        <v>1887</v>
      </c>
      <c r="C56" s="1602" t="s">
        <v>838</v>
      </c>
      <c r="D56" s="1603" t="s">
        <v>623</v>
      </c>
    </row>
    <row r="57" spans="2:4">
      <c r="B57" s="1604">
        <v>1</v>
      </c>
      <c r="C57" s="1604">
        <v>122</v>
      </c>
      <c r="D57" s="1605" t="s">
        <v>1767</v>
      </c>
    </row>
    <row r="58" spans="2:4">
      <c r="B58" s="1604">
        <v>2</v>
      </c>
      <c r="C58" s="1604">
        <v>199</v>
      </c>
      <c r="D58" s="1605" t="s">
        <v>335</v>
      </c>
    </row>
    <row r="59" spans="2:4">
      <c r="B59" s="1604">
        <v>3</v>
      </c>
      <c r="C59" s="1604" t="s">
        <v>1781</v>
      </c>
      <c r="D59" s="1605" t="s">
        <v>1783</v>
      </c>
    </row>
    <row r="60" spans="2:4">
      <c r="B60" s="1604">
        <v>4</v>
      </c>
      <c r="C60" s="1604" t="s">
        <v>1781</v>
      </c>
      <c r="D60" s="1605" t="s">
        <v>1769</v>
      </c>
    </row>
    <row r="61" spans="2:4">
      <c r="B61" s="1604">
        <v>5</v>
      </c>
      <c r="C61" s="1604" t="s">
        <v>1782</v>
      </c>
      <c r="D61" s="1605" t="s">
        <v>1770</v>
      </c>
    </row>
    <row r="62" spans="2:4">
      <c r="B62" s="1604">
        <v>6</v>
      </c>
      <c r="C62" s="1604" t="s">
        <v>1782</v>
      </c>
      <c r="D62" s="1605" t="s">
        <v>1772</v>
      </c>
    </row>
    <row r="63" spans="2:4">
      <c r="B63" s="1608">
        <v>7</v>
      </c>
      <c r="C63" s="1608" t="s">
        <v>2428</v>
      </c>
      <c r="D63" s="1854" t="s">
        <v>1771</v>
      </c>
    </row>
    <row r="64" spans="2:4">
      <c r="B64" s="1606">
        <v>8</v>
      </c>
      <c r="C64" s="1604" t="s">
        <v>2426</v>
      </c>
      <c r="D64" s="1605" t="s">
        <v>617</v>
      </c>
    </row>
    <row r="65" spans="2:4">
      <c r="B65" s="1604">
        <v>9</v>
      </c>
      <c r="C65" s="1604" t="s">
        <v>2426</v>
      </c>
      <c r="D65" s="1605" t="s">
        <v>1786</v>
      </c>
    </row>
    <row r="66" spans="2:4">
      <c r="B66" s="1604">
        <v>10</v>
      </c>
      <c r="C66" s="1604" t="s">
        <v>2426</v>
      </c>
      <c r="D66" s="1607" t="s">
        <v>1787</v>
      </c>
    </row>
    <row r="67" spans="2:4">
      <c r="B67" s="1604">
        <v>11</v>
      </c>
      <c r="C67" s="1604" t="s">
        <v>2426</v>
      </c>
      <c r="D67" s="1605" t="s">
        <v>1773</v>
      </c>
    </row>
    <row r="68" spans="2:4">
      <c r="B68" s="1604">
        <v>12</v>
      </c>
      <c r="C68" s="1604" t="s">
        <v>2426</v>
      </c>
      <c r="D68" s="1610" t="s">
        <v>1775</v>
      </c>
    </row>
    <row r="69" spans="2:4">
      <c r="B69" s="1604">
        <v>13</v>
      </c>
      <c r="C69" s="1604" t="s">
        <v>2426</v>
      </c>
      <c r="D69" s="1605" t="s">
        <v>1788</v>
      </c>
    </row>
    <row r="70" spans="2:4">
      <c r="B70" s="1604">
        <v>14</v>
      </c>
      <c r="C70" s="1604" t="s">
        <v>2426</v>
      </c>
      <c r="D70" s="1605" t="s">
        <v>1784</v>
      </c>
    </row>
    <row r="73" spans="2:4" ht="20.100000000000001" customHeight="1">
      <c r="B73" s="6280" t="s">
        <v>2263</v>
      </c>
      <c r="C73" s="6280"/>
      <c r="D73" s="6280"/>
    </row>
    <row r="74" spans="2:4" ht="28.8">
      <c r="B74" s="1867" t="s">
        <v>1887</v>
      </c>
      <c r="C74" s="1867" t="s">
        <v>838</v>
      </c>
      <c r="D74" s="1868" t="s">
        <v>623</v>
      </c>
    </row>
    <row r="75" spans="2:4">
      <c r="B75" s="1604">
        <v>1</v>
      </c>
      <c r="C75" s="1604">
        <v>160</v>
      </c>
      <c r="D75" s="1605" t="s">
        <v>1767</v>
      </c>
    </row>
    <row r="76" spans="2:4">
      <c r="B76" s="1604">
        <v>2</v>
      </c>
      <c r="C76" s="1604">
        <v>238</v>
      </c>
      <c r="D76" s="1605" t="s">
        <v>335</v>
      </c>
    </row>
    <row r="77" spans="2:4">
      <c r="B77" s="1604">
        <v>3</v>
      </c>
      <c r="C77" s="1604" t="s">
        <v>1780</v>
      </c>
      <c r="D77" s="1605" t="s">
        <v>1772</v>
      </c>
    </row>
    <row r="78" spans="2:4">
      <c r="B78" s="1604">
        <v>4</v>
      </c>
      <c r="C78" s="1604" t="s">
        <v>1781</v>
      </c>
      <c r="D78" s="1605" t="s">
        <v>1770</v>
      </c>
    </row>
    <row r="79" spans="2:4">
      <c r="B79" s="1604">
        <v>5</v>
      </c>
      <c r="C79" s="1604" t="s">
        <v>1782</v>
      </c>
      <c r="D79" s="1605" t="s">
        <v>1783</v>
      </c>
    </row>
    <row r="80" spans="2:4">
      <c r="B80" s="1604">
        <v>6</v>
      </c>
      <c r="C80" s="1604" t="s">
        <v>1782</v>
      </c>
      <c r="D80" s="1605" t="s">
        <v>1773</v>
      </c>
    </row>
    <row r="81" spans="2:4">
      <c r="B81" s="1604">
        <v>7</v>
      </c>
      <c r="C81" s="1604" t="s">
        <v>1782</v>
      </c>
      <c r="D81" s="1605" t="s">
        <v>1769</v>
      </c>
    </row>
    <row r="82" spans="2:4">
      <c r="B82" s="1606">
        <v>8</v>
      </c>
      <c r="C82" s="1604" t="s">
        <v>1782</v>
      </c>
      <c r="D82" s="1605" t="s">
        <v>1784</v>
      </c>
    </row>
    <row r="83" spans="2:4">
      <c r="B83" s="1604">
        <v>9</v>
      </c>
      <c r="C83" s="1604" t="s">
        <v>1785</v>
      </c>
      <c r="D83" s="1605" t="s">
        <v>617</v>
      </c>
    </row>
    <row r="84" spans="2:4">
      <c r="B84" s="1604">
        <v>10</v>
      </c>
      <c r="C84" s="1604" t="s">
        <v>1785</v>
      </c>
      <c r="D84" s="1605" t="s">
        <v>1786</v>
      </c>
    </row>
    <row r="85" spans="2:4">
      <c r="B85" s="1604">
        <v>11</v>
      </c>
      <c r="C85" s="1604" t="s">
        <v>1785</v>
      </c>
      <c r="D85" s="1607" t="s">
        <v>1787</v>
      </c>
    </row>
    <row r="86" spans="2:4">
      <c r="B86" s="1608">
        <v>12</v>
      </c>
      <c r="C86" s="1608" t="s">
        <v>1785</v>
      </c>
      <c r="D86" s="1609" t="s">
        <v>1771</v>
      </c>
    </row>
    <row r="87" spans="2:4">
      <c r="B87" s="1604">
        <v>13</v>
      </c>
      <c r="C87" s="1604" t="s">
        <v>1785</v>
      </c>
      <c r="D87" s="1610" t="s">
        <v>1775</v>
      </c>
    </row>
    <row r="88" spans="2:4">
      <c r="B88" s="1604">
        <v>14</v>
      </c>
      <c r="C88" s="1604" t="s">
        <v>1785</v>
      </c>
      <c r="D88" s="1605" t="s">
        <v>1788</v>
      </c>
    </row>
    <row r="89" spans="2:4">
      <c r="B89" s="1237" t="s">
        <v>1789</v>
      </c>
    </row>
    <row r="91" spans="2:4" ht="15.6">
      <c r="D91" s="22"/>
    </row>
    <row r="92" spans="2:4" ht="20.100000000000001" customHeight="1">
      <c r="B92" s="6280" t="s">
        <v>2264</v>
      </c>
      <c r="C92" s="6280"/>
      <c r="D92" s="6280"/>
    </row>
    <row r="93" spans="2:4" ht="43.2">
      <c r="B93" s="1239" t="s">
        <v>1779</v>
      </c>
      <c r="C93" s="1239" t="s">
        <v>838</v>
      </c>
      <c r="D93" s="1240" t="s">
        <v>623</v>
      </c>
    </row>
    <row r="94" spans="2:4">
      <c r="B94" s="1223">
        <v>1</v>
      </c>
      <c r="C94" s="1223">
        <v>160</v>
      </c>
      <c r="D94" s="1241" t="s">
        <v>1767</v>
      </c>
    </row>
    <row r="95" spans="2:4">
      <c r="B95" s="1223">
        <v>2</v>
      </c>
      <c r="C95" s="1223">
        <v>238</v>
      </c>
      <c r="D95" s="1241" t="s">
        <v>335</v>
      </c>
    </row>
    <row r="96" spans="2:4">
      <c r="B96" s="1223">
        <v>3</v>
      </c>
      <c r="C96" s="1223" t="s">
        <v>1780</v>
      </c>
      <c r="D96" s="1241" t="s">
        <v>1772</v>
      </c>
    </row>
    <row r="97" spans="2:6">
      <c r="B97" s="1223">
        <v>4</v>
      </c>
      <c r="C97" s="1223" t="s">
        <v>1781</v>
      </c>
      <c r="D97" s="1241" t="s">
        <v>1770</v>
      </c>
    </row>
    <row r="98" spans="2:6">
      <c r="B98" s="1223">
        <v>5</v>
      </c>
      <c r="C98" s="1223" t="s">
        <v>1782</v>
      </c>
      <c r="D98" s="1241" t="s">
        <v>1783</v>
      </c>
    </row>
    <row r="99" spans="2:6">
      <c r="B99" s="1223">
        <v>6</v>
      </c>
      <c r="C99" s="1223" t="s">
        <v>1782</v>
      </c>
      <c r="D99" s="1241" t="s">
        <v>1773</v>
      </c>
    </row>
    <row r="100" spans="2:6">
      <c r="B100" s="1223">
        <v>7</v>
      </c>
      <c r="C100" s="1223" t="s">
        <v>1782</v>
      </c>
      <c r="D100" s="1241" t="s">
        <v>1769</v>
      </c>
    </row>
    <row r="101" spans="2:6">
      <c r="B101" s="1242">
        <v>8</v>
      </c>
      <c r="C101" s="1223" t="s">
        <v>1782</v>
      </c>
      <c r="D101" s="1241" t="s">
        <v>1784</v>
      </c>
    </row>
    <row r="102" spans="2:6">
      <c r="B102" s="1223">
        <v>9</v>
      </c>
      <c r="C102" s="1223" t="s">
        <v>1785</v>
      </c>
      <c r="D102" s="1241" t="s">
        <v>617</v>
      </c>
    </row>
    <row r="103" spans="2:6">
      <c r="B103" s="1223">
        <v>10</v>
      </c>
      <c r="C103" s="1223" t="s">
        <v>1785</v>
      </c>
      <c r="D103" s="1241" t="s">
        <v>1786</v>
      </c>
    </row>
    <row r="104" spans="2:6">
      <c r="B104" s="1223">
        <v>11</v>
      </c>
      <c r="C104" s="1223" t="s">
        <v>1785</v>
      </c>
      <c r="D104" s="1243" t="s">
        <v>1787</v>
      </c>
    </row>
    <row r="105" spans="2:6">
      <c r="B105" s="1244">
        <v>12</v>
      </c>
      <c r="C105" s="1244" t="s">
        <v>1785</v>
      </c>
      <c r="D105" s="1245" t="s">
        <v>1771</v>
      </c>
    </row>
    <row r="106" spans="2:6">
      <c r="B106" s="1223">
        <v>13</v>
      </c>
      <c r="C106" s="1223" t="s">
        <v>1785</v>
      </c>
      <c r="D106" s="1246" t="s">
        <v>1775</v>
      </c>
    </row>
    <row r="107" spans="2:6">
      <c r="B107" s="1223">
        <v>14</v>
      </c>
      <c r="C107" s="1223" t="s">
        <v>1785</v>
      </c>
      <c r="D107" s="1241" t="s">
        <v>1788</v>
      </c>
    </row>
    <row r="108" spans="2:6" ht="15" customHeight="1">
      <c r="B108" s="1865" t="s">
        <v>1789</v>
      </c>
      <c r="C108" s="1864"/>
      <c r="D108" s="1864"/>
    </row>
    <row r="111" spans="2:6" ht="20.100000000000001" customHeight="1">
      <c r="B111" s="6280" t="s">
        <v>2265</v>
      </c>
      <c r="C111" s="6280"/>
      <c r="D111" s="6280"/>
      <c r="E111" s="228"/>
      <c r="F111" s="228"/>
    </row>
    <row r="112" spans="2:6" ht="28.8">
      <c r="B112" s="1602" t="s">
        <v>1887</v>
      </c>
      <c r="C112" s="1602" t="s">
        <v>838</v>
      </c>
      <c r="D112" s="1603" t="s">
        <v>623</v>
      </c>
      <c r="E112" s="228"/>
      <c r="F112" s="228"/>
    </row>
    <row r="113" spans="2:6" ht="15.6">
      <c r="B113" s="1604">
        <v>1</v>
      </c>
      <c r="C113" s="1604">
        <v>175</v>
      </c>
      <c r="D113" s="1610" t="s">
        <v>2251</v>
      </c>
      <c r="E113" s="228"/>
      <c r="F113" s="228"/>
    </row>
    <row r="114" spans="2:6" ht="15.6">
      <c r="B114" s="1604">
        <v>2</v>
      </c>
      <c r="C114" s="1604">
        <v>253</v>
      </c>
      <c r="D114" s="1610" t="s">
        <v>335</v>
      </c>
      <c r="E114" s="228"/>
      <c r="F114" s="228"/>
    </row>
    <row r="115" spans="2:6" ht="15.6">
      <c r="B115" s="1604">
        <v>3</v>
      </c>
      <c r="C115" s="1604" t="s">
        <v>1780</v>
      </c>
      <c r="D115" s="1610" t="s">
        <v>1770</v>
      </c>
      <c r="E115" s="228"/>
      <c r="F115" s="228"/>
    </row>
    <row r="116" spans="2:6" ht="15.6">
      <c r="B116" s="1604">
        <v>4</v>
      </c>
      <c r="C116" s="1604" t="s">
        <v>1780</v>
      </c>
      <c r="D116" s="1610" t="s">
        <v>1769</v>
      </c>
      <c r="E116" s="228"/>
      <c r="F116" s="228"/>
    </row>
    <row r="117" spans="2:6" ht="15.6">
      <c r="B117" s="1604">
        <v>5</v>
      </c>
      <c r="C117" s="1604" t="s">
        <v>1780</v>
      </c>
      <c r="D117" s="1610" t="s">
        <v>1784</v>
      </c>
      <c r="E117" s="228"/>
      <c r="F117" s="228"/>
    </row>
    <row r="118" spans="2:6" ht="15.6">
      <c r="B118" s="1604">
        <v>6</v>
      </c>
      <c r="C118" s="1604" t="s">
        <v>1781</v>
      </c>
      <c r="D118" s="1610" t="s">
        <v>1783</v>
      </c>
      <c r="E118" s="228"/>
      <c r="F118" s="228"/>
    </row>
    <row r="119" spans="2:6" ht="15.6">
      <c r="B119" s="1604">
        <v>7</v>
      </c>
      <c r="C119" s="1604" t="s">
        <v>1781</v>
      </c>
      <c r="D119" s="1610" t="s">
        <v>1773</v>
      </c>
      <c r="E119" s="228"/>
      <c r="F119" s="228"/>
    </row>
    <row r="120" spans="2:6" ht="15.6">
      <c r="B120" s="1606">
        <v>8</v>
      </c>
      <c r="C120" s="1604" t="s">
        <v>1782</v>
      </c>
      <c r="D120" s="1610" t="s">
        <v>1772</v>
      </c>
      <c r="E120" s="228"/>
      <c r="F120" s="228"/>
    </row>
    <row r="121" spans="2:6" ht="15.6">
      <c r="B121" s="1604">
        <v>9</v>
      </c>
      <c r="C121" s="1604" t="s">
        <v>1785</v>
      </c>
      <c r="D121" s="1610" t="s">
        <v>617</v>
      </c>
      <c r="E121" s="228"/>
      <c r="F121" s="228"/>
    </row>
    <row r="122" spans="2:6" ht="15.6">
      <c r="B122" s="1604">
        <v>10</v>
      </c>
      <c r="C122" s="1604" t="s">
        <v>1785</v>
      </c>
      <c r="D122" s="1610" t="s">
        <v>1786</v>
      </c>
      <c r="E122" s="228"/>
      <c r="F122" s="228"/>
    </row>
    <row r="123" spans="2:6" ht="15.6">
      <c r="B123" s="1604">
        <v>11</v>
      </c>
      <c r="C123" s="1604" t="s">
        <v>1785</v>
      </c>
      <c r="D123" s="1610" t="s">
        <v>1787</v>
      </c>
      <c r="E123" s="228"/>
      <c r="F123" s="228"/>
    </row>
    <row r="124" spans="2:6" ht="15.6">
      <c r="B124" s="1853">
        <v>12</v>
      </c>
      <c r="C124" s="1853" t="s">
        <v>1785</v>
      </c>
      <c r="D124" s="1854" t="s">
        <v>1771</v>
      </c>
      <c r="E124" s="228"/>
      <c r="F124" s="228"/>
    </row>
    <row r="125" spans="2:6" ht="15.6">
      <c r="B125" s="1604">
        <v>13</v>
      </c>
      <c r="C125" s="1604" t="s">
        <v>1785</v>
      </c>
      <c r="D125" s="1610" t="s">
        <v>1775</v>
      </c>
      <c r="E125" s="228"/>
      <c r="F125" s="228"/>
    </row>
    <row r="126" spans="2:6" ht="15.6">
      <c r="B126" s="1237" t="s">
        <v>2252</v>
      </c>
      <c r="D126" s="22"/>
      <c r="E126" s="228"/>
      <c r="F126" s="228"/>
    </row>
    <row r="127" spans="2:6" ht="15.6">
      <c r="B127" s="1237"/>
      <c r="D127" s="22"/>
      <c r="E127" s="228"/>
      <c r="F127" s="228"/>
    </row>
    <row r="128" spans="2:6" ht="15.6">
      <c r="B128" s="1237"/>
      <c r="D128" s="22"/>
      <c r="E128" s="228"/>
      <c r="F128" s="228"/>
    </row>
    <row r="129" spans="1:6" ht="20.100000000000001" customHeight="1">
      <c r="A129" s="196"/>
      <c r="B129" s="6280" t="s">
        <v>2266</v>
      </c>
      <c r="C129" s="6280"/>
      <c r="D129" s="6280"/>
    </row>
    <row r="130" spans="1:6" ht="28.8">
      <c r="A130" s="196"/>
      <c r="B130" s="1602" t="s">
        <v>1887</v>
      </c>
      <c r="C130" s="1602" t="s">
        <v>838</v>
      </c>
      <c r="D130" s="1603" t="s">
        <v>623</v>
      </c>
    </row>
    <row r="131" spans="1:6" ht="15.6">
      <c r="A131" s="196"/>
      <c r="B131" s="1604">
        <v>1</v>
      </c>
      <c r="C131" s="1855">
        <v>163</v>
      </c>
      <c r="D131" s="1856" t="s">
        <v>1767</v>
      </c>
    </row>
    <row r="132" spans="1:6" ht="15.6">
      <c r="A132" s="196"/>
      <c r="B132" s="1604">
        <v>2</v>
      </c>
      <c r="C132" s="1855">
        <v>279</v>
      </c>
      <c r="D132" s="1856" t="s">
        <v>2238</v>
      </c>
    </row>
    <row r="133" spans="1:6" ht="15.6">
      <c r="A133" s="196"/>
      <c r="B133" s="1604">
        <v>3</v>
      </c>
      <c r="C133" s="1855" t="s">
        <v>2253</v>
      </c>
      <c r="D133" s="1856" t="s">
        <v>1770</v>
      </c>
    </row>
    <row r="134" spans="1:6" ht="15.6">
      <c r="A134" s="196"/>
      <c r="B134" s="1604">
        <v>4</v>
      </c>
      <c r="C134" s="1604" t="s">
        <v>1781</v>
      </c>
      <c r="D134" s="1856" t="s">
        <v>1773</v>
      </c>
    </row>
    <row r="135" spans="1:6" ht="15.6">
      <c r="A135" s="196"/>
      <c r="B135" s="1604">
        <v>5</v>
      </c>
      <c r="C135" s="1604" t="s">
        <v>2254</v>
      </c>
      <c r="D135" s="1856" t="s">
        <v>1769</v>
      </c>
    </row>
    <row r="136" spans="1:6" ht="15.6">
      <c r="A136" s="196"/>
      <c r="B136" s="1604">
        <v>6</v>
      </c>
      <c r="C136" s="1855" t="s">
        <v>1782</v>
      </c>
      <c r="D136" s="1856" t="s">
        <v>2255</v>
      </c>
    </row>
    <row r="137" spans="1:6" ht="15.6">
      <c r="A137" s="196"/>
      <c r="B137" s="1604">
        <v>7</v>
      </c>
      <c r="C137" s="1855" t="s">
        <v>1782</v>
      </c>
      <c r="D137" s="1856" t="s">
        <v>526</v>
      </c>
    </row>
    <row r="138" spans="1:6" ht="15.6">
      <c r="A138" s="196"/>
      <c r="B138" s="1859">
        <v>8</v>
      </c>
      <c r="C138" s="1859" t="s">
        <v>1782</v>
      </c>
      <c r="D138" s="1860" t="s">
        <v>1771</v>
      </c>
    </row>
    <row r="139" spans="1:6" ht="15.6">
      <c r="A139" s="196"/>
      <c r="B139" s="1604">
        <v>9</v>
      </c>
      <c r="C139" s="1857" t="s">
        <v>1785</v>
      </c>
      <c r="D139" s="1858" t="s">
        <v>617</v>
      </c>
    </row>
    <row r="140" spans="1:6" ht="15.6">
      <c r="A140" s="196"/>
      <c r="B140" s="1604">
        <v>10</v>
      </c>
      <c r="C140" s="1855" t="s">
        <v>2256</v>
      </c>
      <c r="D140" s="1731" t="s">
        <v>1783</v>
      </c>
    </row>
    <row r="141" spans="1:6" ht="15.6">
      <c r="A141" s="196"/>
      <c r="B141" s="1604">
        <v>11</v>
      </c>
      <c r="C141" s="1640" t="s">
        <v>1785</v>
      </c>
      <c r="D141" s="1856" t="s">
        <v>2257</v>
      </c>
    </row>
    <row r="142" spans="1:6" ht="15.6">
      <c r="A142" s="196"/>
      <c r="B142" s="1604">
        <v>12</v>
      </c>
      <c r="C142" s="1640" t="s">
        <v>1785</v>
      </c>
      <c r="D142" s="1856" t="s">
        <v>1775</v>
      </c>
    </row>
    <row r="143" spans="1:6" ht="15.6">
      <c r="A143" s="196"/>
      <c r="B143" s="1237" t="s">
        <v>2262</v>
      </c>
      <c r="C143" s="196"/>
      <c r="D143" s="196"/>
      <c r="E143" s="196"/>
      <c r="F143" s="196"/>
    </row>
    <row r="144" spans="1:6" ht="15.6">
      <c r="A144" s="196"/>
      <c r="B144" s="196"/>
      <c r="C144" s="196"/>
      <c r="D144" s="196"/>
      <c r="E144" s="196"/>
      <c r="F144" s="196"/>
    </row>
    <row r="145" spans="1:6" ht="15.6">
      <c r="A145" s="196"/>
      <c r="B145" s="196"/>
      <c r="C145" s="196"/>
      <c r="D145" s="22"/>
      <c r="E145" s="196"/>
      <c r="F145" s="196"/>
    </row>
    <row r="146" spans="1:6" ht="15.6">
      <c r="A146" s="196"/>
      <c r="B146" s="6280" t="s">
        <v>2267</v>
      </c>
      <c r="C146" s="6280"/>
      <c r="D146" s="6280"/>
      <c r="E146" s="196"/>
      <c r="F146" s="196"/>
    </row>
    <row r="147" spans="1:6" ht="28.8">
      <c r="A147" s="196"/>
      <c r="B147" s="1602" t="s">
        <v>1887</v>
      </c>
      <c r="C147" s="1602" t="s">
        <v>838</v>
      </c>
      <c r="D147" s="1603" t="s">
        <v>623</v>
      </c>
      <c r="E147" s="196"/>
      <c r="F147" s="196"/>
    </row>
    <row r="148" spans="1:6" ht="15.6">
      <c r="A148" s="196"/>
      <c r="B148" s="1604">
        <v>1</v>
      </c>
      <c r="C148" s="1855">
        <v>146</v>
      </c>
      <c r="D148" s="1856" t="s">
        <v>1767</v>
      </c>
      <c r="E148" s="196"/>
      <c r="F148" s="196"/>
    </row>
    <row r="149" spans="1:6" ht="15.6">
      <c r="A149" s="196"/>
      <c r="B149" s="1604">
        <v>2</v>
      </c>
      <c r="C149" s="1855" t="s">
        <v>2258</v>
      </c>
      <c r="D149" s="1856" t="s">
        <v>2238</v>
      </c>
      <c r="E149" s="196"/>
      <c r="F149" s="196"/>
    </row>
    <row r="150" spans="1:6" ht="15.6">
      <c r="A150" s="196"/>
      <c r="B150" s="1604">
        <v>3</v>
      </c>
      <c r="C150" s="1855" t="s">
        <v>2259</v>
      </c>
      <c r="D150" s="1856" t="s">
        <v>1773</v>
      </c>
      <c r="E150" s="196"/>
      <c r="F150" s="196"/>
    </row>
    <row r="151" spans="1:6" ht="15.6">
      <c r="A151" s="196"/>
      <c r="B151" s="1604">
        <v>4</v>
      </c>
      <c r="C151" s="1855" t="s">
        <v>2253</v>
      </c>
      <c r="D151" s="1856" t="s">
        <v>1770</v>
      </c>
      <c r="E151" s="196"/>
      <c r="F151" s="196"/>
    </row>
    <row r="152" spans="1:6" ht="15.6">
      <c r="A152" s="196"/>
      <c r="B152" s="1604">
        <v>5</v>
      </c>
      <c r="C152" s="1855" t="s">
        <v>2253</v>
      </c>
      <c r="D152" s="1856" t="s">
        <v>1769</v>
      </c>
      <c r="E152" s="196"/>
      <c r="F152" s="196"/>
    </row>
    <row r="153" spans="1:6" ht="15.6">
      <c r="A153" s="196"/>
      <c r="B153" s="1604">
        <v>6</v>
      </c>
      <c r="C153" s="1855" t="s">
        <v>2256</v>
      </c>
      <c r="D153" s="1858" t="s">
        <v>617</v>
      </c>
      <c r="E153" s="196"/>
      <c r="F153" s="196"/>
    </row>
    <row r="154" spans="1:6" ht="15.6">
      <c r="A154" s="196"/>
      <c r="B154" s="1604">
        <v>7</v>
      </c>
      <c r="C154" s="1855" t="s">
        <v>2256</v>
      </c>
      <c r="D154" s="1856" t="s">
        <v>526</v>
      </c>
      <c r="E154" s="196"/>
      <c r="F154" s="196"/>
    </row>
    <row r="155" spans="1:6" ht="15.6">
      <c r="A155" s="196"/>
      <c r="B155" s="1859">
        <v>8</v>
      </c>
      <c r="C155" s="1862" t="s">
        <v>2256</v>
      </c>
      <c r="D155" s="1863" t="s">
        <v>1771</v>
      </c>
      <c r="E155" s="196"/>
      <c r="F155" s="196"/>
    </row>
    <row r="156" spans="1:6" ht="15.6">
      <c r="A156" s="196"/>
      <c r="B156" s="1604">
        <v>9</v>
      </c>
      <c r="C156" s="1857" t="s">
        <v>2256</v>
      </c>
      <c r="D156" s="1861" t="s">
        <v>1775</v>
      </c>
      <c r="E156" s="196"/>
      <c r="F156" s="196"/>
    </row>
    <row r="157" spans="1:6" ht="15.6">
      <c r="A157" s="196"/>
      <c r="B157" s="1604">
        <v>10</v>
      </c>
      <c r="C157" s="1855" t="s">
        <v>2256</v>
      </c>
      <c r="D157" s="1856" t="s">
        <v>2255</v>
      </c>
      <c r="E157" s="196"/>
      <c r="F157" s="196"/>
    </row>
    <row r="158" spans="1:6" ht="15.6">
      <c r="A158" s="196"/>
      <c r="B158" s="1604">
        <v>11</v>
      </c>
      <c r="C158" s="1641" t="s">
        <v>2260</v>
      </c>
      <c r="D158" s="1856" t="s">
        <v>700</v>
      </c>
      <c r="E158" s="196"/>
      <c r="F158" s="196"/>
    </row>
    <row r="159" spans="1:6" ht="15.6">
      <c r="A159" s="196"/>
      <c r="B159" s="1237" t="s">
        <v>2261</v>
      </c>
      <c r="C159" s="196"/>
      <c r="D159" s="196"/>
      <c r="E159" s="196"/>
      <c r="F159" s="196"/>
    </row>
    <row r="160" spans="1:6" ht="15.6">
      <c r="A160" s="196"/>
      <c r="B160" s="196"/>
      <c r="C160" s="196"/>
      <c r="D160" s="196"/>
      <c r="E160" s="196"/>
      <c r="F160" s="196"/>
    </row>
    <row r="162" spans="3:5" ht="15.6">
      <c r="C162" s="22" t="s">
        <v>652</v>
      </c>
      <c r="D162" s="22"/>
      <c r="E162" s="22"/>
    </row>
    <row r="163" spans="3:5" ht="15.6">
      <c r="C163" s="22" t="s">
        <v>392</v>
      </c>
      <c r="D163" s="22"/>
      <c r="E163" s="22"/>
    </row>
    <row r="164" spans="3:5" ht="15.6">
      <c r="D164" s="129"/>
      <c r="E164" s="22"/>
    </row>
    <row r="165" spans="3:5" ht="28.8">
      <c r="C165" s="184" t="s">
        <v>341</v>
      </c>
      <c r="D165" s="1783" t="s">
        <v>91</v>
      </c>
      <c r="E165" s="22"/>
    </row>
    <row r="166" spans="3:5" ht="15.6">
      <c r="C166" s="186">
        <v>1</v>
      </c>
      <c r="D166" s="190" t="s">
        <v>92</v>
      </c>
      <c r="E166" s="22"/>
    </row>
    <row r="167" spans="3:5" ht="15.6">
      <c r="C167" s="186">
        <v>2</v>
      </c>
      <c r="D167" s="190" t="s">
        <v>93</v>
      </c>
      <c r="E167" s="22"/>
    </row>
    <row r="168" spans="3:5" ht="15.6">
      <c r="C168" s="186">
        <v>3</v>
      </c>
      <c r="D168" s="190" t="s">
        <v>94</v>
      </c>
      <c r="E168" s="22"/>
    </row>
    <row r="169" spans="3:5" ht="15.6">
      <c r="C169" s="210">
        <v>4</v>
      </c>
      <c r="D169" s="1866" t="s">
        <v>95</v>
      </c>
      <c r="E169" s="22"/>
    </row>
    <row r="170" spans="3:5" ht="15.6">
      <c r="C170" s="186">
        <v>5</v>
      </c>
      <c r="D170" s="190" t="s">
        <v>96</v>
      </c>
      <c r="E170" s="22"/>
    </row>
    <row r="171" spans="3:5" ht="15.6">
      <c r="C171" s="186">
        <v>6</v>
      </c>
      <c r="D171" s="190" t="s">
        <v>334</v>
      </c>
      <c r="E171" s="22"/>
    </row>
    <row r="172" spans="3:5" ht="15.6">
      <c r="C172" s="186">
        <v>7</v>
      </c>
      <c r="D172" s="190" t="s">
        <v>335</v>
      </c>
      <c r="E172" s="22"/>
    </row>
    <row r="173" spans="3:5" ht="15.6">
      <c r="C173" s="186">
        <v>8</v>
      </c>
      <c r="D173" s="190" t="s">
        <v>328</v>
      </c>
      <c r="E173" s="22"/>
    </row>
    <row r="174" spans="3:5" ht="15.6">
      <c r="C174" s="186">
        <v>9</v>
      </c>
      <c r="D174" s="190" t="s">
        <v>336</v>
      </c>
      <c r="E174" s="22"/>
    </row>
    <row r="175" spans="3:5" ht="15.6">
      <c r="C175" s="186">
        <v>10</v>
      </c>
      <c r="D175" s="190" t="s">
        <v>337</v>
      </c>
      <c r="E175" s="22"/>
    </row>
    <row r="176" spans="3:5" ht="15.6">
      <c r="C176" s="186">
        <v>11</v>
      </c>
      <c r="D176" s="190" t="s">
        <v>653</v>
      </c>
      <c r="E176" s="22"/>
    </row>
    <row r="177" spans="3:6" ht="15.6">
      <c r="C177" s="186">
        <v>12</v>
      </c>
      <c r="D177" s="190" t="s">
        <v>338</v>
      </c>
      <c r="E177" s="22"/>
    </row>
    <row r="178" spans="3:6" ht="15.6">
      <c r="C178" s="186">
        <v>13</v>
      </c>
      <c r="D178" s="190" t="s">
        <v>339</v>
      </c>
      <c r="E178" s="22"/>
    </row>
    <row r="179" spans="3:6" ht="15.6">
      <c r="C179" s="186">
        <v>14</v>
      </c>
      <c r="D179" s="190" t="s">
        <v>340</v>
      </c>
      <c r="E179" s="22"/>
    </row>
    <row r="180" spans="3:6" ht="15.6">
      <c r="C180" s="186">
        <v>15</v>
      </c>
      <c r="D180" s="190" t="s">
        <v>601</v>
      </c>
      <c r="E180" s="22"/>
    </row>
    <row r="181" spans="3:6" ht="15.6">
      <c r="C181" s="44" t="s">
        <v>625</v>
      </c>
      <c r="D181" s="129"/>
      <c r="E181" s="22"/>
    </row>
    <row r="184" spans="3:6" ht="15.6">
      <c r="C184" s="22" t="s">
        <v>634</v>
      </c>
      <c r="D184" s="22"/>
      <c r="E184" s="22"/>
      <c r="F184" s="22"/>
    </row>
    <row r="185" spans="3:6" ht="15.6">
      <c r="C185" s="22" t="s">
        <v>392</v>
      </c>
      <c r="D185" s="22"/>
      <c r="E185" s="22"/>
      <c r="F185" s="22"/>
    </row>
    <row r="186" spans="3:6" ht="28.8">
      <c r="C186" s="184" t="s">
        <v>654</v>
      </c>
      <c r="D186" s="189" t="s">
        <v>91</v>
      </c>
      <c r="E186" s="22"/>
      <c r="F186" s="22"/>
    </row>
    <row r="187" spans="3:6" ht="15.6">
      <c r="C187" s="186">
        <v>1</v>
      </c>
      <c r="D187" s="397" t="s">
        <v>152</v>
      </c>
      <c r="E187" s="22"/>
      <c r="F187" s="22"/>
    </row>
    <row r="188" spans="3:6" ht="15.6">
      <c r="C188" s="186">
        <v>2</v>
      </c>
      <c r="D188" s="397" t="s">
        <v>638</v>
      </c>
      <c r="E188" s="22"/>
      <c r="F188" s="22"/>
    </row>
    <row r="189" spans="3:6" ht="15.6">
      <c r="C189" s="186">
        <v>3</v>
      </c>
      <c r="D189" s="397" t="s">
        <v>154</v>
      </c>
      <c r="E189" s="22"/>
      <c r="F189" s="22"/>
    </row>
    <row r="190" spans="3:6" ht="15.6">
      <c r="C190" s="210">
        <v>4</v>
      </c>
      <c r="D190" s="1866" t="s">
        <v>95</v>
      </c>
      <c r="E190" s="22"/>
      <c r="F190" s="22"/>
    </row>
    <row r="191" spans="3:6" ht="15.6">
      <c r="C191" s="186">
        <v>5</v>
      </c>
      <c r="D191" s="397" t="s">
        <v>617</v>
      </c>
      <c r="E191" s="22"/>
      <c r="F191" s="22"/>
    </row>
    <row r="192" spans="3:6" ht="15.6">
      <c r="C192" s="186">
        <v>6</v>
      </c>
      <c r="D192" s="397" t="s">
        <v>96</v>
      </c>
      <c r="E192" s="22"/>
      <c r="F192" s="22"/>
    </row>
    <row r="193" spans="3:6" ht="15.6">
      <c r="C193" s="186">
        <v>7</v>
      </c>
      <c r="D193" s="397" t="s">
        <v>328</v>
      </c>
      <c r="E193" s="22"/>
      <c r="F193" s="22"/>
    </row>
    <row r="194" spans="3:6" ht="15.6">
      <c r="C194" s="186">
        <v>8</v>
      </c>
      <c r="D194" s="397" t="s">
        <v>655</v>
      </c>
      <c r="E194" s="22"/>
      <c r="F194" s="22"/>
    </row>
    <row r="195" spans="3:6" ht="15.6">
      <c r="C195" s="186">
        <v>9</v>
      </c>
      <c r="D195" s="397" t="s">
        <v>656</v>
      </c>
      <c r="E195" s="22"/>
      <c r="F195" s="22"/>
    </row>
    <row r="196" spans="3:6" ht="15.6">
      <c r="C196" s="186">
        <v>10</v>
      </c>
      <c r="D196" s="397" t="s">
        <v>657</v>
      </c>
      <c r="E196" s="22"/>
      <c r="F196" s="22"/>
    </row>
    <row r="197" spans="3:6" ht="15.6">
      <c r="C197" s="186">
        <v>11</v>
      </c>
      <c r="D197" s="397" t="s">
        <v>338</v>
      </c>
      <c r="E197" s="22"/>
      <c r="F197" s="22"/>
    </row>
    <row r="198" spans="3:6" ht="15.6">
      <c r="C198" s="186">
        <v>12</v>
      </c>
      <c r="D198" s="397" t="s">
        <v>525</v>
      </c>
      <c r="E198" s="22"/>
      <c r="F198" s="22"/>
    </row>
    <row r="199" spans="3:6" ht="15.6">
      <c r="C199" s="186">
        <v>13</v>
      </c>
      <c r="D199" s="397" t="s">
        <v>658</v>
      </c>
      <c r="E199" s="22"/>
      <c r="F199" s="22"/>
    </row>
    <row r="200" spans="3:6" ht="15.6">
      <c r="C200" s="186">
        <v>14</v>
      </c>
      <c r="D200" s="397" t="s">
        <v>659</v>
      </c>
      <c r="E200" s="22"/>
      <c r="F200" s="22"/>
    </row>
    <row r="201" spans="3:6" ht="15.6">
      <c r="C201" s="186">
        <v>15</v>
      </c>
      <c r="D201" s="397" t="s">
        <v>660</v>
      </c>
      <c r="E201" s="22"/>
      <c r="F201" s="22"/>
    </row>
    <row r="202" spans="3:6" ht="15.6">
      <c r="C202" s="44" t="s">
        <v>625</v>
      </c>
      <c r="E202" s="22"/>
      <c r="F202" s="22"/>
    </row>
    <row r="208" spans="3:6" ht="6" customHeight="1"/>
    <row r="238" spans="3:7" ht="4.5" customHeight="1">
      <c r="C238" s="136"/>
      <c r="D238" s="136"/>
      <c r="E238" s="136"/>
      <c r="F238" s="136"/>
      <c r="G238" s="136"/>
    </row>
  </sheetData>
  <sheetProtection algorithmName="SHA-512" hashValue="/Md972wMHscyG/R4CG8auqAgUbxGSZxm/ttdJyCWj1mAzfkL808GVJRebWi5RfqW21CVo+xEEOCDXn2yOoNing==" saltValue="kvwEZi9FkEL2grS+njoEqQ==" spinCount="100000" sheet="1" objects="1" scenarios="1"/>
  <mergeCells count="7">
    <mergeCell ref="B146:D146"/>
    <mergeCell ref="B73:D73"/>
    <mergeCell ref="B1:D1"/>
    <mergeCell ref="B55:D55"/>
    <mergeCell ref="B92:D92"/>
    <mergeCell ref="B111:D111"/>
    <mergeCell ref="B129:D129"/>
  </mergeCells>
  <hyperlinks>
    <hyperlink ref="D104" r:id="rId1" display="http://www.topuniversities.com/universities/universidad-aut%C3%B3noma-del-estado-de-mexico-uaemex/undergrad" xr:uid="{00000000-0004-0000-3600-000000000000}"/>
    <hyperlink ref="D105" r:id="rId2" display="http://www.topuniversities.com/universities/universidad-aut%C3%B3noma-metropolitana-uam/undergrad" xr:uid="{00000000-0004-0000-3600-000001000000}"/>
    <hyperlink ref="D106" r:id="rId3" display="http://www.topuniversities.com/universities/universidad-de-las-am%C3%A9ricas-puebla-udlap/undergrad" xr:uid="{00000000-0004-0000-3600-000002000000}"/>
    <hyperlink ref="D94" r:id="rId4" location="wur" display="http://www.topuniversities.com/universities/universidad-nacional-aut%C3%B3noma-de-m%C3%A9xico-unam - wur" xr:uid="{00000000-0004-0000-3600-000003000000}"/>
    <hyperlink ref="D95" r:id="rId5" location="wur" display="http://www.topuniversities.com/universities/instituto-tecnol%C3%B3gico-y-de-estudios-superiores-de-monterrey - wur" xr:uid="{00000000-0004-0000-3600-000004000000}"/>
    <hyperlink ref="D96" r:id="rId6" location="wur" display="http://www.topuniversities.com/universities/instituto-tecnol%C3%B3gico-aut%C3%B3nomo-de-m%C3%A9xico-itam - wur" xr:uid="{00000000-0004-0000-3600-000005000000}"/>
    <hyperlink ref="D97" r:id="rId7" location="wur" display="http://www.topuniversities.com/universities/instituto-polit%C3%A9cnico-nacional-ipn - wur" xr:uid="{00000000-0004-0000-3600-000006000000}"/>
    <hyperlink ref="D98" r:id="rId8" location="wur" display="http://www.topuniversities.com/universities/universidad-anahuac - wur" xr:uid="{00000000-0004-0000-3600-000007000000}"/>
    <hyperlink ref="D99" r:id="rId9" location="wur" display="http://www.topuniversities.com/universities/universidad-de-guadalajara-udg - wur" xr:uid="{00000000-0004-0000-3600-000008000000}"/>
    <hyperlink ref="D100" r:id="rId10" location="wur" display="http://www.topuniversities.com/universities/universidad-iberoamericana-uia - wur" xr:uid="{00000000-0004-0000-3600-000009000000}"/>
    <hyperlink ref="D101" r:id="rId11" location="wur-0" display="http://www.topuniversities.com/universities/universidad-panamericana - wur-0" xr:uid="{00000000-0004-0000-3600-00000A000000}"/>
    <hyperlink ref="D102" r:id="rId12" location="wur" display="http://www.topuniversities.com/universities/benem%C3%A9rita-universidad-aut%C3%B3noma-de-puebla - wur" xr:uid="{00000000-0004-0000-3600-00000B000000}"/>
    <hyperlink ref="D103" r:id="rId13" location="wur" display="http://www.topuniversities.com/universities/universidad-autonoma-de-nuevo-leon-uanl - wur" xr:uid="{00000000-0004-0000-3600-00000C000000}"/>
    <hyperlink ref="D107" r:id="rId14" location="wur" display="http://www.topuniversities.com/universities/universidad-de-monterrey-udem - wur" xr:uid="{00000000-0004-0000-3600-00000D000000}"/>
    <hyperlink ref="B108" r:id="rId15" location="sorting=rank+region=213+country=241+faculty=+stars=false+search=" xr:uid="{00000000-0004-0000-3600-00000E000000}"/>
    <hyperlink ref="D85" r:id="rId16" display="http://www.topuniversities.com/universities/universidad-aut%C3%B3noma-del-estado-de-mexico-uaemex/undergrad" xr:uid="{00000000-0004-0000-3600-00000F000000}"/>
    <hyperlink ref="D86" r:id="rId17" display="http://www.topuniversities.com/universities/universidad-aut%C3%B3noma-metropolitana-uam/undergrad" xr:uid="{00000000-0004-0000-3600-000010000000}"/>
    <hyperlink ref="D87" r:id="rId18" display="http://www.topuniversities.com/universities/universidad-de-las-am%C3%A9ricas-puebla-udlap/undergrad" xr:uid="{00000000-0004-0000-3600-000011000000}"/>
    <hyperlink ref="D75" r:id="rId19" location="wur" display="http://www.topuniversities.com/universities/universidad-nacional-aut%C3%B3noma-de-m%C3%A9xico-unam - wur" xr:uid="{00000000-0004-0000-3600-000012000000}"/>
    <hyperlink ref="D76" r:id="rId20" location="wur" display="http://www.topuniversities.com/universities/instituto-tecnol%C3%B3gico-y-de-estudios-superiores-de-monterrey - wur" xr:uid="{00000000-0004-0000-3600-000013000000}"/>
    <hyperlink ref="D77" r:id="rId21" location="wur" display="http://www.topuniversities.com/universities/instituto-tecnol%C3%B3gico-aut%C3%B3nomo-de-m%C3%A9xico-itam - wur" xr:uid="{00000000-0004-0000-3600-000014000000}"/>
    <hyperlink ref="D78" r:id="rId22" location="wur" display="http://www.topuniversities.com/universities/instituto-polit%C3%A9cnico-nacional-ipn - wur" xr:uid="{00000000-0004-0000-3600-000015000000}"/>
    <hyperlink ref="D79" r:id="rId23" location="wur" display="http://www.topuniversities.com/universities/universidad-anahuac - wur" xr:uid="{00000000-0004-0000-3600-000016000000}"/>
    <hyperlink ref="D80" r:id="rId24" location="wur" display="http://www.topuniversities.com/universities/universidad-de-guadalajara-udg - wur" xr:uid="{00000000-0004-0000-3600-000017000000}"/>
    <hyperlink ref="D81" r:id="rId25" location="wur" display="http://www.topuniversities.com/universities/universidad-iberoamericana-uia - wur" xr:uid="{00000000-0004-0000-3600-000018000000}"/>
    <hyperlink ref="D82" r:id="rId26" location="wur-0" display="http://www.topuniversities.com/universities/universidad-panamericana - wur-0" xr:uid="{00000000-0004-0000-3600-000019000000}"/>
    <hyperlink ref="D83" r:id="rId27" location="wur" display="http://www.topuniversities.com/universities/benem%C3%A9rita-universidad-aut%C3%B3noma-de-puebla - wur" xr:uid="{00000000-0004-0000-3600-00001A000000}"/>
    <hyperlink ref="D84" r:id="rId28" location="wur" display="http://www.topuniversities.com/universities/universidad-autonoma-de-nuevo-leon-uanl - wur" xr:uid="{00000000-0004-0000-3600-00001B000000}"/>
    <hyperlink ref="D88" r:id="rId29" location="wur" display="http://www.topuniversities.com/universities/universidad-de-monterrey-udem - wur" xr:uid="{00000000-0004-0000-3600-00001C000000}"/>
    <hyperlink ref="D113" r:id="rId30" display="http://www.topuniversities.com/universities/universidad-nacional-aut%C3%B3noma-de-mexico-unam/undergrad" xr:uid="{00000000-0004-0000-3600-00001D000000}"/>
    <hyperlink ref="D114" r:id="rId31" display="http://www.topuniversities.com/universities/instituto-tecnol%C3%B3gico-y-de-estudios-superiores-de-monterrey/undergrad" xr:uid="{00000000-0004-0000-3600-00001E000000}"/>
    <hyperlink ref="D115" r:id="rId32" display="http://www.topuniversities.com/universities/instituto-polit%C3%A9cnico-nacional-ipn/undergrad" xr:uid="{00000000-0004-0000-3600-00001F000000}"/>
    <hyperlink ref="D116" r:id="rId33" display="http://www.topuniversities.com/universities/universidad-iberoamericana-uia/undergrad" xr:uid="{00000000-0004-0000-3600-000020000000}"/>
    <hyperlink ref="D117" r:id="rId34" display="http://www.topuniversities.com/universities/universidad-panamericana/undergrad-0" xr:uid="{00000000-0004-0000-3600-000021000000}"/>
    <hyperlink ref="D118" r:id="rId35" display="http://www.topuniversities.com/universities/universidad-anahuac/undergrad" xr:uid="{00000000-0004-0000-3600-000022000000}"/>
    <hyperlink ref="D119" r:id="rId36" display="http://www.topuniversities.com/universities/universidad-de-guadalajara-udg/undergrad" xr:uid="{00000000-0004-0000-3600-000023000000}"/>
    <hyperlink ref="D120" r:id="rId37" display="http://www.topuniversities.com/universities/instituto-tecnol%C3%B3gico-aut%C3%B3nomo-de-m%C3%A9xico-itam/undergrad" xr:uid="{00000000-0004-0000-3600-000024000000}"/>
    <hyperlink ref="D121" r:id="rId38" display="http://www.topuniversities.com/universities/benem%C3%A9rita-universidad-aut%C3%B3noma-de-puebla/undergrad" xr:uid="{00000000-0004-0000-3600-000025000000}"/>
    <hyperlink ref="D122" r:id="rId39" display="http://www.topuniversities.com/universities/universidad-autonoma-de-nuevo-leon-uanl/undergrad" xr:uid="{00000000-0004-0000-3600-000026000000}"/>
    <hyperlink ref="D123" r:id="rId40" display="http://www.topuniversities.com/universities/universidad-aut%C3%B3noma-del-estado-de-mexico-uaemex/undergrad" xr:uid="{00000000-0004-0000-3600-000027000000}"/>
    <hyperlink ref="D124" r:id="rId41" display="http://www.topuniversities.com/universities/universidad-aut%C3%B3noma-metropolitana-uam/undergrad" xr:uid="{00000000-0004-0000-3600-000028000000}"/>
    <hyperlink ref="D125" r:id="rId42" display="http://www.topuniversities.com/universities/universidad-de-las-am%C3%A9ricas-puebla-udlap/undergrad" xr:uid="{00000000-0004-0000-3600-000029000000}"/>
    <hyperlink ref="B126" r:id="rId43" location="sorting=rank+region=213+country=241+faculty=+stars=false+search=" xr:uid="{00000000-0004-0000-3600-00002A000000}"/>
    <hyperlink ref="D131" r:id="rId44" display="http://www.topuniversities.com/universities/universidad-nacional-aut%C3%B3noma-de-m%C3%A9xico-unam" xr:uid="{00000000-0004-0000-3600-00002B000000}"/>
    <hyperlink ref="D132" r:id="rId45" display="http://www.topuniversities.com/universities/tecnol%C3%B3gico-de-monterrey-itesm" xr:uid="{00000000-0004-0000-3600-00002C000000}"/>
    <hyperlink ref="D134" r:id="rId46" display="http://www.topuniversities.com/universities/universidad-de-guadalajara-udg" xr:uid="{00000000-0004-0000-3600-00002D000000}"/>
    <hyperlink ref="D133" r:id="rId47" display="http://www.topuniversities.com/universities/instituto-polit%C3%A9cnico-nacional-ipn" xr:uid="{00000000-0004-0000-3600-00002E000000}"/>
    <hyperlink ref="D135" r:id="rId48" display="http://www.topuniversities.com/universities/universidad-iberoamericana-uia" xr:uid="{00000000-0004-0000-3600-00002F000000}"/>
    <hyperlink ref="D142" r:id="rId49" display="http://www.topuniversities.com/universities/universidad-de-las-am%C3%A9ricas-puebla-udlap" xr:uid="{00000000-0004-0000-3600-000030000000}"/>
    <hyperlink ref="D138" r:id="rId50" display="http://www.topuniversities.com/universities/universidad-aut%C3%B3noma-metropolitana-uam" xr:uid="{00000000-0004-0000-3600-000031000000}"/>
    <hyperlink ref="D137" r:id="rId51" display="http://www.topuniversities.com/universities/universidad-aut%C3%B3noma-del-estado-de-m%C3%A9xico-1" xr:uid="{00000000-0004-0000-3600-000032000000}"/>
    <hyperlink ref="D136" r:id="rId52" display="http://www.topuniversities.com/universities/instituto-tecnol%C3%B3gico-autonomo-de-m%C3%A9xico-itam" xr:uid="{00000000-0004-0000-3600-000033000000}"/>
    <hyperlink ref="D139" r:id="rId53" display="http://www.topuniversities.com/universities/benem%C3%A9rita-universidad-aut%C3%B3noma-de-puebla-0" xr:uid="{00000000-0004-0000-3600-000034000000}"/>
    <hyperlink ref="D148" r:id="rId54" display="http://www.topuniversities.com/universities/universidad-nacional-aut%C3%B3noma-de-m%C3%A9xico-unam" xr:uid="{00000000-0004-0000-3600-000035000000}"/>
    <hyperlink ref="D149" r:id="rId55" display="http://www.topuniversities.com/universities/tecnol%C3%B3gico-de-monterrey-itesm" xr:uid="{00000000-0004-0000-3600-000036000000}"/>
    <hyperlink ref="D150" r:id="rId56" display="http://www.topuniversities.com/universities/universidad-de-guadalajara-udg" xr:uid="{00000000-0004-0000-3600-000037000000}"/>
    <hyperlink ref="D151" r:id="rId57" display="http://www.topuniversities.com/universities/instituto-polit%C3%A9cnico-nacional-ipn" xr:uid="{00000000-0004-0000-3600-000038000000}"/>
    <hyperlink ref="D152" r:id="rId58" display="http://www.topuniversities.com/universities/universidad-iberoamericana-uia" xr:uid="{00000000-0004-0000-3600-000039000000}"/>
    <hyperlink ref="D156" r:id="rId59" display="http://www.topuniversities.com/universities/universidad-de-las-am%C3%A9ricas-puebla-udlap" xr:uid="{00000000-0004-0000-3600-00003A000000}"/>
    <hyperlink ref="D155" r:id="rId60" display="http://www.topuniversities.com/universities/universidad-aut%C3%B3noma-metropolitana-uam" xr:uid="{00000000-0004-0000-3600-00003B000000}"/>
    <hyperlink ref="D154" r:id="rId61" display="http://www.topuniversities.com/universities/universidad-aut%C3%B3noma-del-estado-de-m%C3%A9xico-1" xr:uid="{00000000-0004-0000-3600-00003C000000}"/>
    <hyperlink ref="D157" r:id="rId62" display="http://www.topuniversities.com/universities/instituto-tecnol%C3%B3gico-autonomo-de-m%C3%A9xico-itam" xr:uid="{00000000-0004-0000-3600-00003D000000}"/>
    <hyperlink ref="D153" r:id="rId63" display="http://www.topuniversities.com/universities/benem%C3%A9rita-universidad-aut%C3%B3noma-de-puebla-0" xr:uid="{00000000-0004-0000-3600-00003E000000}"/>
    <hyperlink ref="D158" r:id="rId64" display="http://www.topuniversities.com/universities/colegio-de-m%C3%A9xico" xr:uid="{00000000-0004-0000-3600-00003F000000}"/>
    <hyperlink ref="B159" r:id="rId65" xr:uid="{00000000-0004-0000-3600-000040000000}"/>
    <hyperlink ref="B143" r:id="rId66" location="sorting=rank+region=213+country=241+faculty=+stars=false+search=" xr:uid="{00000000-0004-0000-3600-000041000000}"/>
    <hyperlink ref="B89" r:id="rId67" location="sorting=rank+region=213+country=241+faculty=+stars=false+search=" xr:uid="{00000000-0004-0000-3600-000042000000}"/>
    <hyperlink ref="D66" r:id="rId68" display="http://www.topuniversities.com/universities/universidad-aut%C3%B3noma-del-estado-de-mexico-uaemex/undergrad" xr:uid="{00000000-0004-0000-3600-000043000000}"/>
    <hyperlink ref="D63" r:id="rId69" display="http://www.topuniversities.com/universities/universidad-aut%C3%B3noma-metropolitana-uam/undergrad" xr:uid="{00000000-0004-0000-3600-000044000000}"/>
    <hyperlink ref="D68" r:id="rId70" display="http://www.topuniversities.com/universities/universidad-de-las-am%C3%A9ricas-puebla-udlap/undergrad" xr:uid="{00000000-0004-0000-3600-000045000000}"/>
    <hyperlink ref="D61" r:id="rId71" location="wur" display="http://www.topuniversities.com/universities/instituto-polit%C3%A9cnico-nacional-ipn - wur" xr:uid="{00000000-0004-0000-3600-000046000000}"/>
    <hyperlink ref="D67" r:id="rId72" location="wur" display="http://www.topuniversities.com/universities/universidad-de-guadalajara-udg - wur" xr:uid="{00000000-0004-0000-3600-000047000000}"/>
    <hyperlink ref="D70" r:id="rId73" location="wur-0" display="http://www.topuniversities.com/universities/universidad-panamericana - wur-0" xr:uid="{00000000-0004-0000-3600-000048000000}"/>
    <hyperlink ref="D65" r:id="rId74" location="wur" display="http://www.topuniversities.com/universities/universidad-autonoma-de-nuevo-leon-uanl - wur" xr:uid="{00000000-0004-0000-3600-000049000000}"/>
    <hyperlink ref="D69" r:id="rId75" location="wur" display="http://www.topuniversities.com/universities/universidad-de-monterrey-udem - wur" xr:uid="{00000000-0004-0000-3600-00004A000000}"/>
    <hyperlink ref="D57" r:id="rId76" location="wur" display="http://www.topuniversities.com/universities/universidad-nacional-aut%C3%B3noma-de-m%C3%A9xico-unam - wur" xr:uid="{00000000-0004-0000-3600-00004B000000}"/>
    <hyperlink ref="D58" r:id="rId77" location="wur" display="http://www.topuniversities.com/universities/instituto-tecnol%C3%B3gico-y-de-estudios-superiores-de-monterrey - wur" xr:uid="{00000000-0004-0000-3600-00004C000000}"/>
    <hyperlink ref="D62" r:id="rId78" location="wur" display="http://www.topuniversities.com/universities/instituto-tecnol%C3%B3gico-aut%C3%B3nomo-de-m%C3%A9xico-itam - wur" xr:uid="{00000000-0004-0000-3600-00004D000000}"/>
    <hyperlink ref="D59" r:id="rId79" location="wur" display="http://www.topuniversities.com/universities/universidad-anahuac - wur" xr:uid="{00000000-0004-0000-3600-00004E000000}"/>
    <hyperlink ref="D60" r:id="rId80" location="wur" display="http://www.topuniversities.com/universities/universidad-iberoamericana-uia - wur" xr:uid="{00000000-0004-0000-3600-00004F000000}"/>
    <hyperlink ref="D64" r:id="rId81" location="wur" display="http://www.topuniversities.com/universities/benem%C3%A9rita-universidad-aut%C3%B3noma-de-puebla - wur" xr:uid="{00000000-0004-0000-3600-000050000000}"/>
    <hyperlink ref="B52" r:id="rId82" xr:uid="{00000000-0004-0000-3600-000051000000}"/>
    <hyperlink ref="D31" r:id="rId83" display="http://www.topuniversities.com/universities/universidad-aut%C3%B3noma-del-estado-de-mexico-uaemex/undergrad" xr:uid="{00000000-0004-0000-3600-000052000000}"/>
    <hyperlink ref="D32" r:id="rId84" display="http://www.topuniversities.com/universities/universidad-aut%C3%B3noma-metropolitana-uam/undergrad" xr:uid="{00000000-0004-0000-3600-000053000000}"/>
    <hyperlink ref="D29" r:id="rId85" display="http://www.topuniversities.com/universities/universidad-de-las-am%C3%A9ricas-puebla-udlap/undergrad" xr:uid="{00000000-0004-0000-3600-000054000000}"/>
    <hyperlink ref="D25" r:id="rId86" location="wur" display="http://www.topuniversities.com/universities/instituto-polit%C3%A9cnico-nacional-ipn - wur" xr:uid="{00000000-0004-0000-3600-000055000000}"/>
    <hyperlink ref="D28" r:id="rId87" location="wur" display="http://www.topuniversities.com/universities/universidad-de-guadalajara-udg - wur" xr:uid="{00000000-0004-0000-3600-000056000000}"/>
    <hyperlink ref="D24" r:id="rId88" location="wur-0" display="http://www.topuniversities.com/universities/universidad-panamericana - wur-0" xr:uid="{00000000-0004-0000-3600-000057000000}"/>
    <hyperlink ref="D30" r:id="rId89" location="wur" display="http://www.topuniversities.com/universities/universidad-autonoma-de-nuevo-leon-uanl - wur" xr:uid="{00000000-0004-0000-3600-000058000000}"/>
    <hyperlink ref="D33" r:id="rId90" location="wur" display="http://www.topuniversities.com/universities/universidad-de-monterrey-udem - wur" xr:uid="{00000000-0004-0000-3600-000059000000}"/>
    <hyperlink ref="D21" r:id="rId91" location="wur" display="http://www.topuniversities.com/universities/universidad-nacional-aut%C3%B3noma-de-m%C3%A9xico-unam - wur" xr:uid="{00000000-0004-0000-3600-00005A000000}"/>
    <hyperlink ref="D22" r:id="rId92" location="wur" display="http://www.topuniversities.com/universities/instituto-tecnol%C3%B3gico-y-de-estudios-superiores-de-monterrey - wur" xr:uid="{00000000-0004-0000-3600-00005B000000}"/>
    <hyperlink ref="D26" r:id="rId93" location="wur" display="http://www.topuniversities.com/universities/instituto-tecnol%C3%B3gico-aut%C3%B3nomo-de-m%C3%A9xico-itam - wur" xr:uid="{00000000-0004-0000-3600-00005C000000}"/>
    <hyperlink ref="D23" r:id="rId94" location="wur" display="http://www.topuniversities.com/universities/universidad-anahuac - wur" xr:uid="{00000000-0004-0000-3600-00005D000000}"/>
    <hyperlink ref="D27" r:id="rId95" location="wur" display="http://www.topuniversities.com/universities/universidad-iberoamericana-uia - wur" xr:uid="{00000000-0004-0000-3600-00005E000000}"/>
    <hyperlink ref="D11" r:id="rId96" location="wur" display="http://www.topuniversities.com/universities/universidad-iberoamericana-uia - wur" xr:uid="{6279924D-CDD3-4363-860E-ACCA833B25F4}"/>
    <hyperlink ref="D8" r:id="rId97" location="wur" display="http://www.topuniversities.com/universities/universidad-anahuac - wur" xr:uid="{B29168F0-A781-49CC-B216-6E68DE103DA4}"/>
    <hyperlink ref="D10" r:id="rId98" location="wur" display="http://www.topuniversities.com/universities/instituto-tecnol%C3%B3gico-aut%C3%B3nomo-de-m%C3%A9xico-itam - wur" xr:uid="{69B5EFD0-16FA-4C4B-9683-154862F00003}"/>
    <hyperlink ref="D6" r:id="rId99" location="wur" display="http://www.topuniversities.com/universities/instituto-tecnol%C3%B3gico-y-de-estudios-superiores-de-monterrey - wur" xr:uid="{0A10B682-D737-46B0-9B65-75D910E76CE6}"/>
    <hyperlink ref="D5" r:id="rId100" location="wur" display="http://www.topuniversities.com/universities/universidad-nacional-aut%C3%B3noma-de-m%C3%A9xico-unam - wur" xr:uid="{C2ABA7DE-3FD7-4477-85FE-8AD33B4D67B0}"/>
    <hyperlink ref="D7" r:id="rId101" location="wur-0" display="http://www.topuniversities.com/universities/universidad-panamericana - wur-0" xr:uid="{337C357A-7419-4D10-806C-F80E37E408B7}"/>
    <hyperlink ref="D12" r:id="rId102" location="wur" display="http://www.topuniversities.com/universities/universidad-de-guadalajara-udg - wur" xr:uid="{B09F3EC4-5D0D-4159-9B73-51BD4D4716A4}"/>
    <hyperlink ref="D9" r:id="rId103" location="wur" display="http://www.topuniversities.com/universities/instituto-polit%C3%A9cnico-nacional-ipn - wur" xr:uid="{B495C480-BC8E-4AA9-B1F9-902EA35078CF}"/>
    <hyperlink ref="D16" r:id="rId104" display="http://www.topuniversities.com/universities/universidad-de-las-am%C3%A9ricas-puebla-udlap/undergrad" xr:uid="{49F19A8D-9481-4BEC-A032-2659D7FDDF34}"/>
    <hyperlink ref="D15" r:id="rId105" display="http://www.topuniversities.com/universities/universidad-aut%C3%B3noma-metropolitana-uam/undergrad" xr:uid="{12C714AE-4DC5-4A3D-9D47-1C6603CC02B6}"/>
    <hyperlink ref="D14" r:id="rId106" display="http://www.topuniversities.com/universities/universidad-aut%C3%B3noma-del-estado-de-mexico-uaemex/undergrad" xr:uid="{E5AF071F-AEEC-42F1-B783-9E0F768E6821}"/>
  </hyperlinks>
  <pageMargins left="0.70866141732283472" right="0.31496062992125984" top="0.15748031496062992" bottom="0" header="0" footer="0"/>
  <pageSetup scale="26" fitToHeight="2" orientation="landscape" r:id="rId107"/>
  <drawing r:id="rId108"/>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tint="-0.499984740745262"/>
  </sheetPr>
  <dimension ref="A2:U20"/>
  <sheetViews>
    <sheetView workbookViewId="0">
      <pane xSplit="1" topLeftCell="B1" activePane="topRight" state="frozen"/>
      <selection pane="topRight" activeCell="L24" sqref="L24"/>
    </sheetView>
  </sheetViews>
  <sheetFormatPr baseColWidth="10" defaultColWidth="8.77734375" defaultRowHeight="14.4"/>
  <cols>
    <col min="1" max="1" width="28.44140625" customWidth="1"/>
    <col min="2" max="5" width="8.77734375" customWidth="1"/>
    <col min="6" max="6" width="9.44140625" customWidth="1"/>
    <col min="7" max="8" width="8.77734375" customWidth="1"/>
    <col min="9" max="9" width="9.44140625" customWidth="1"/>
    <col min="10" max="11" width="8.77734375" customWidth="1"/>
    <col min="12" max="12" width="11.44140625" customWidth="1"/>
    <col min="13" max="14" width="8.77734375" customWidth="1"/>
    <col min="15" max="15" width="9.77734375" customWidth="1"/>
    <col min="16" max="24" width="8.77734375" customWidth="1"/>
    <col min="25" max="252" width="11.44140625" customWidth="1"/>
    <col min="253" max="253" width="25.44140625" bestFit="1" customWidth="1"/>
  </cols>
  <sheetData>
    <row r="2" spans="1:21" ht="18">
      <c r="A2" s="1683" t="s">
        <v>466</v>
      </c>
      <c r="B2" s="1683"/>
      <c r="C2" s="1683"/>
      <c r="D2" s="1683"/>
      <c r="E2" s="1683"/>
      <c r="F2" s="1683"/>
      <c r="G2" s="1683"/>
      <c r="H2" s="1683"/>
      <c r="I2" s="1683"/>
      <c r="L2" s="1869" t="s">
        <v>2273</v>
      </c>
    </row>
    <row r="3" spans="1:21" ht="15" customHeight="1">
      <c r="A3" s="1684" t="s">
        <v>245</v>
      </c>
    </row>
    <row r="4" spans="1:21" ht="15" customHeight="1">
      <c r="C4" s="407"/>
      <c r="D4" s="407"/>
      <c r="E4" s="407"/>
      <c r="F4" s="407"/>
      <c r="G4" s="407"/>
      <c r="H4" s="407"/>
      <c r="I4" s="407"/>
      <c r="J4" s="407"/>
      <c r="K4" s="407"/>
      <c r="L4" s="407"/>
    </row>
    <row r="5" spans="1:21" ht="14.55" customHeight="1">
      <c r="A5" s="408" t="s">
        <v>168</v>
      </c>
      <c r="B5" s="6285">
        <v>2009</v>
      </c>
      <c r="C5" s="6287"/>
      <c r="D5" s="6285">
        <v>2010</v>
      </c>
      <c r="E5" s="6286"/>
      <c r="F5" s="6287"/>
      <c r="G5" s="6285">
        <v>2011</v>
      </c>
      <c r="H5" s="6286"/>
      <c r="I5" s="6287"/>
      <c r="J5" s="6285">
        <v>2012</v>
      </c>
      <c r="K5" s="6286"/>
      <c r="L5" s="6287"/>
      <c r="M5" s="6285">
        <v>2013</v>
      </c>
      <c r="N5" s="6286"/>
      <c r="O5" s="6287"/>
      <c r="P5" s="6285">
        <v>2014</v>
      </c>
      <c r="Q5" s="6286"/>
      <c r="R5" s="6287"/>
      <c r="S5" s="6282">
        <v>2015</v>
      </c>
      <c r="T5" s="6283"/>
      <c r="U5" s="6284"/>
    </row>
    <row r="6" spans="1:21">
      <c r="A6" s="408"/>
      <c r="B6" s="409" t="s">
        <v>169</v>
      </c>
      <c r="C6" s="410" t="s">
        <v>76</v>
      </c>
      <c r="D6" s="411" t="s">
        <v>169</v>
      </c>
      <c r="E6" s="411" t="s">
        <v>76</v>
      </c>
      <c r="F6" s="411" t="s">
        <v>497</v>
      </c>
      <c r="G6" s="411" t="s">
        <v>169</v>
      </c>
      <c r="H6" s="411" t="s">
        <v>76</v>
      </c>
      <c r="I6" s="411" t="s">
        <v>497</v>
      </c>
      <c r="J6" s="411" t="s">
        <v>169</v>
      </c>
      <c r="K6" s="411" t="s">
        <v>76</v>
      </c>
      <c r="L6" s="411" t="s">
        <v>497</v>
      </c>
      <c r="M6" s="411" t="s">
        <v>169</v>
      </c>
      <c r="N6" s="411" t="s">
        <v>76</v>
      </c>
      <c r="O6" s="411" t="s">
        <v>497</v>
      </c>
      <c r="P6" s="411" t="s">
        <v>169</v>
      </c>
      <c r="Q6" s="411" t="s">
        <v>76</v>
      </c>
      <c r="R6" s="411" t="s">
        <v>497</v>
      </c>
      <c r="S6" s="1247" t="s">
        <v>169</v>
      </c>
      <c r="T6" s="1247" t="s">
        <v>76</v>
      </c>
      <c r="U6" s="1247" t="s">
        <v>497</v>
      </c>
    </row>
    <row r="7" spans="1:21" ht="17.100000000000001" customHeight="1">
      <c r="A7" s="82" t="s">
        <v>170</v>
      </c>
      <c r="B7" s="82">
        <v>54</v>
      </c>
      <c r="C7" s="86">
        <f>(B7/B18)*100</f>
        <v>33.540372670807457</v>
      </c>
      <c r="D7" s="82">
        <v>42</v>
      </c>
      <c r="E7" s="83">
        <f>(D7/D18)*100</f>
        <v>26.582278481012654</v>
      </c>
      <c r="F7" s="101">
        <f>D7/B7-1</f>
        <v>-0.22222222222222221</v>
      </c>
      <c r="G7" s="82">
        <v>49</v>
      </c>
      <c r="H7" s="83">
        <f>(G7/G18)*100</f>
        <v>20.416666666666668</v>
      </c>
      <c r="I7" s="101">
        <f>G7/D7-1</f>
        <v>0.16666666666666674</v>
      </c>
      <c r="J7" s="82">
        <v>27</v>
      </c>
      <c r="K7" s="83">
        <f>(J7/J18)*100</f>
        <v>10.384615384615385</v>
      </c>
      <c r="L7" s="101">
        <f>J7/G7-1</f>
        <v>-0.44897959183673475</v>
      </c>
      <c r="M7" s="82">
        <v>29</v>
      </c>
      <c r="N7" s="83">
        <f>(M7/M18)*100</f>
        <v>14.009661835748794</v>
      </c>
      <c r="O7" s="101">
        <f>M7/J7-1</f>
        <v>7.4074074074074181E-2</v>
      </c>
      <c r="P7" s="82">
        <v>23</v>
      </c>
      <c r="Q7" s="83">
        <f>(P7/P18)*100</f>
        <v>14.935064935064934</v>
      </c>
      <c r="R7" s="101">
        <f>P7/M7-1</f>
        <v>-0.2068965517241379</v>
      </c>
      <c r="S7" s="82">
        <v>12</v>
      </c>
      <c r="T7" s="83">
        <f>(S7/S18)*100</f>
        <v>10.810810810810811</v>
      </c>
      <c r="U7" s="101">
        <f>S7/P7-1</f>
        <v>-0.47826086956521741</v>
      </c>
    </row>
    <row r="8" spans="1:21" ht="17.100000000000001" customHeight="1">
      <c r="A8" s="78" t="s">
        <v>171</v>
      </c>
      <c r="B8" s="78">
        <v>33</v>
      </c>
      <c r="C8" s="87">
        <f>(B8/B18)*100</f>
        <v>20.496894409937887</v>
      </c>
      <c r="D8" s="78">
        <v>37</v>
      </c>
      <c r="E8" s="84">
        <f>(D8/D18)*100</f>
        <v>23.417721518987342</v>
      </c>
      <c r="F8" s="102">
        <f t="shared" ref="F8:F18" si="0">D8/B8-1</f>
        <v>0.1212121212121211</v>
      </c>
      <c r="G8" s="78">
        <v>50</v>
      </c>
      <c r="H8" s="84">
        <f>(G8/G18)*100</f>
        <v>20.833333333333336</v>
      </c>
      <c r="I8" s="102">
        <f t="shared" ref="I8:I18" si="1">G8/D8-1</f>
        <v>0.35135135135135132</v>
      </c>
      <c r="J8" s="78">
        <v>74</v>
      </c>
      <c r="K8" s="84">
        <f>(J8/J18)*100</f>
        <v>28.46153846153846</v>
      </c>
      <c r="L8" s="102">
        <f t="shared" ref="L8:L18" si="2">J8/G8-1</f>
        <v>0.48</v>
      </c>
      <c r="M8" s="78">
        <v>59</v>
      </c>
      <c r="N8" s="84">
        <f>(M8/M18)*100</f>
        <v>28.502415458937197</v>
      </c>
      <c r="O8" s="102">
        <f t="shared" ref="O8:O15" si="3">M8/J8-1</f>
        <v>-0.20270270270270274</v>
      </c>
      <c r="P8" s="78">
        <v>40</v>
      </c>
      <c r="Q8" s="84">
        <f>(P8/P18)*100</f>
        <v>25.97402597402597</v>
      </c>
      <c r="R8" s="102">
        <f t="shared" ref="R8:R15" si="4">P8/M8-1</f>
        <v>-0.32203389830508478</v>
      </c>
      <c r="S8" s="78">
        <v>17</v>
      </c>
      <c r="T8" s="84">
        <f>(S8/S18)*100</f>
        <v>15.315315315315313</v>
      </c>
      <c r="U8" s="102">
        <f t="shared" ref="U8:U14" si="5">S8/P8-1</f>
        <v>-0.57499999999999996</v>
      </c>
    </row>
    <row r="9" spans="1:21" ht="17.100000000000001" customHeight="1">
      <c r="A9" s="79" t="s">
        <v>172</v>
      </c>
      <c r="B9" s="80">
        <v>8</v>
      </c>
      <c r="C9" s="87">
        <f>(B9/B18)*100</f>
        <v>4.9689440993788816</v>
      </c>
      <c r="D9" s="80">
        <v>7</v>
      </c>
      <c r="E9" s="84">
        <f>(D9/D18)*100</f>
        <v>4.4303797468354427</v>
      </c>
      <c r="F9" s="102">
        <f t="shared" si="0"/>
        <v>-0.125</v>
      </c>
      <c r="G9" s="80">
        <v>13</v>
      </c>
      <c r="H9" s="84">
        <f>(G9/G18)*100</f>
        <v>5.416666666666667</v>
      </c>
      <c r="I9" s="102">
        <f t="shared" si="1"/>
        <v>0.85714285714285721</v>
      </c>
      <c r="J9" s="80">
        <v>10</v>
      </c>
      <c r="K9" s="84">
        <f>(J9/J18)*100</f>
        <v>3.8461538461538463</v>
      </c>
      <c r="L9" s="102">
        <f t="shared" si="2"/>
        <v>-0.23076923076923073</v>
      </c>
      <c r="M9" s="80">
        <v>9</v>
      </c>
      <c r="N9" s="84">
        <f>(M9/M18)*100</f>
        <v>4.3478260869565215</v>
      </c>
      <c r="O9" s="102">
        <f t="shared" si="3"/>
        <v>-9.9999999999999978E-2</v>
      </c>
      <c r="P9" s="80">
        <v>2</v>
      </c>
      <c r="Q9" s="84">
        <f>(P9/P18)*100</f>
        <v>1.2987012987012987</v>
      </c>
      <c r="R9" s="102">
        <f t="shared" si="4"/>
        <v>-0.77777777777777779</v>
      </c>
      <c r="S9" s="80">
        <v>5</v>
      </c>
      <c r="T9" s="84">
        <f>(S9/S18)*100</f>
        <v>4.5045045045045047</v>
      </c>
      <c r="U9" s="102">
        <f t="shared" si="5"/>
        <v>1.5</v>
      </c>
    </row>
    <row r="10" spans="1:21" ht="17.100000000000001" customHeight="1">
      <c r="A10" s="78" t="s">
        <v>173</v>
      </c>
      <c r="B10" s="78">
        <v>18</v>
      </c>
      <c r="C10" s="87">
        <f>(B10/B18)*100</f>
        <v>11.180124223602485</v>
      </c>
      <c r="D10" s="78">
        <v>17</v>
      </c>
      <c r="E10" s="84">
        <f>(D10/D18)*100</f>
        <v>10.759493670886076</v>
      </c>
      <c r="F10" s="102">
        <f t="shared" si="0"/>
        <v>-5.555555555555558E-2</v>
      </c>
      <c r="G10" s="78">
        <v>9</v>
      </c>
      <c r="H10" s="84">
        <f>(G10/G18)*100</f>
        <v>3.75</v>
      </c>
      <c r="I10" s="102">
        <f t="shared" si="1"/>
        <v>-0.47058823529411764</v>
      </c>
      <c r="J10" s="78">
        <v>19</v>
      </c>
      <c r="K10" s="84">
        <f>(J10/J18)*100</f>
        <v>7.3076923076923084</v>
      </c>
      <c r="L10" s="102">
        <f t="shared" si="2"/>
        <v>1.1111111111111112</v>
      </c>
      <c r="M10" s="78">
        <v>8</v>
      </c>
      <c r="N10" s="84">
        <f>(M10/M18)*100</f>
        <v>3.8647342995169081</v>
      </c>
      <c r="O10" s="102">
        <f t="shared" si="3"/>
        <v>-0.57894736842105265</v>
      </c>
      <c r="P10" s="78">
        <v>40</v>
      </c>
      <c r="Q10" s="84">
        <f>(P10/P18)*100</f>
        <v>25.97402597402597</v>
      </c>
      <c r="R10" s="102">
        <f t="shared" si="4"/>
        <v>4</v>
      </c>
      <c r="S10" s="78">
        <v>13</v>
      </c>
      <c r="T10" s="84">
        <f>(S10/S18)*100</f>
        <v>11.711711711711711</v>
      </c>
      <c r="U10" s="102">
        <f t="shared" si="5"/>
        <v>-0.67500000000000004</v>
      </c>
    </row>
    <row r="11" spans="1:21" ht="16.5" customHeight="1">
      <c r="A11" s="80" t="s">
        <v>174</v>
      </c>
      <c r="B11" s="80">
        <v>11</v>
      </c>
      <c r="C11" s="87">
        <f>(B11/B18)*100</f>
        <v>6.8322981366459627</v>
      </c>
      <c r="D11" s="80">
        <v>13</v>
      </c>
      <c r="E11" s="84">
        <f>(D11/D18)*100</f>
        <v>8.2278481012658222</v>
      </c>
      <c r="F11" s="102">
        <f t="shared" si="0"/>
        <v>0.18181818181818188</v>
      </c>
      <c r="G11" s="80">
        <v>13</v>
      </c>
      <c r="H11" s="84">
        <f>(G11/G18)*100</f>
        <v>5.416666666666667</v>
      </c>
      <c r="I11" s="102">
        <f t="shared" si="1"/>
        <v>0</v>
      </c>
      <c r="J11" s="80">
        <v>48</v>
      </c>
      <c r="K11" s="84">
        <f>(J11/J18)*100</f>
        <v>18.461538461538463</v>
      </c>
      <c r="L11" s="102">
        <f t="shared" si="2"/>
        <v>2.6923076923076925</v>
      </c>
      <c r="M11" s="80">
        <v>36</v>
      </c>
      <c r="N11" s="84">
        <f>(M11/M18)*100</f>
        <v>17.391304347826086</v>
      </c>
      <c r="O11" s="102">
        <f t="shared" si="3"/>
        <v>-0.25</v>
      </c>
      <c r="P11" s="80">
        <v>21</v>
      </c>
      <c r="Q11" s="84">
        <f>(P11/P18)*100</f>
        <v>13.636363636363635</v>
      </c>
      <c r="R11" s="102">
        <f t="shared" si="4"/>
        <v>-0.41666666666666663</v>
      </c>
      <c r="S11" s="80">
        <v>18</v>
      </c>
      <c r="T11" s="84">
        <f>(S11/S18)*100</f>
        <v>16.216216216216218</v>
      </c>
      <c r="U11" s="102">
        <f t="shared" si="5"/>
        <v>-0.1428571428571429</v>
      </c>
    </row>
    <row r="12" spans="1:21" ht="17.100000000000001" customHeight="1">
      <c r="A12" s="78" t="s">
        <v>175</v>
      </c>
      <c r="B12" s="78">
        <v>16</v>
      </c>
      <c r="C12" s="87">
        <f>(B12/B18)*100</f>
        <v>9.9378881987577632</v>
      </c>
      <c r="D12" s="78">
        <v>9</v>
      </c>
      <c r="E12" s="84">
        <f>(D12/D18)*100</f>
        <v>5.6962025316455698</v>
      </c>
      <c r="F12" s="102">
        <f t="shared" si="0"/>
        <v>-0.4375</v>
      </c>
      <c r="G12" s="78">
        <v>16</v>
      </c>
      <c r="H12" s="84">
        <f>(G12/G18)*100</f>
        <v>6.666666666666667</v>
      </c>
      <c r="I12" s="102">
        <f t="shared" si="1"/>
        <v>0.77777777777777768</v>
      </c>
      <c r="J12" s="78">
        <v>11</v>
      </c>
      <c r="K12" s="84">
        <f>(J12/J18)*100</f>
        <v>4.2307692307692308</v>
      </c>
      <c r="L12" s="102">
        <f t="shared" si="2"/>
        <v>-0.3125</v>
      </c>
      <c r="M12" s="78">
        <v>13</v>
      </c>
      <c r="N12" s="84">
        <f>(M12/M18)*100</f>
        <v>6.2801932367149762</v>
      </c>
      <c r="O12" s="102">
        <f t="shared" si="3"/>
        <v>0.18181818181818188</v>
      </c>
      <c r="P12" s="78"/>
      <c r="Q12" s="84">
        <f>(P12/P18)*100</f>
        <v>0</v>
      </c>
      <c r="R12" s="102">
        <f t="shared" si="4"/>
        <v>-1</v>
      </c>
      <c r="S12" s="78">
        <v>2</v>
      </c>
      <c r="T12" s="84">
        <f>(S12/S18)*100</f>
        <v>1.8018018018018018</v>
      </c>
      <c r="U12" s="102"/>
    </row>
    <row r="13" spans="1:21" ht="17.100000000000001" customHeight="1">
      <c r="A13" s="80" t="s">
        <v>176</v>
      </c>
      <c r="B13" s="80">
        <v>4</v>
      </c>
      <c r="C13" s="87">
        <f>(B13/B18)*100</f>
        <v>2.4844720496894408</v>
      </c>
      <c r="D13" s="80">
        <v>18</v>
      </c>
      <c r="E13" s="84">
        <f>(D13/D18)*100</f>
        <v>11.39240506329114</v>
      </c>
      <c r="F13" s="102">
        <f t="shared" si="0"/>
        <v>3.5</v>
      </c>
      <c r="G13" s="80">
        <v>34</v>
      </c>
      <c r="H13" s="84">
        <f>(G13/G18)*100</f>
        <v>14.166666666666666</v>
      </c>
      <c r="I13" s="102">
        <f t="shared" si="1"/>
        <v>0.88888888888888884</v>
      </c>
      <c r="J13" s="80">
        <v>40</v>
      </c>
      <c r="K13" s="84">
        <f>(J13/J18)*100</f>
        <v>15.384615384615385</v>
      </c>
      <c r="L13" s="102">
        <f t="shared" si="2"/>
        <v>0.17647058823529416</v>
      </c>
      <c r="M13" s="80">
        <v>19</v>
      </c>
      <c r="N13" s="84">
        <f>(M13/M18)*100</f>
        <v>9.1787439613526569</v>
      </c>
      <c r="O13" s="102">
        <f t="shared" si="3"/>
        <v>-0.52500000000000002</v>
      </c>
      <c r="P13" s="80">
        <v>14</v>
      </c>
      <c r="Q13" s="84">
        <f>(P13/P18)*100</f>
        <v>9.0909090909090917</v>
      </c>
      <c r="R13" s="102">
        <f t="shared" si="4"/>
        <v>-0.26315789473684215</v>
      </c>
      <c r="S13" s="80">
        <v>25</v>
      </c>
      <c r="T13" s="84">
        <f>(S13/S18)*100</f>
        <v>22.522522522522522</v>
      </c>
      <c r="U13" s="102">
        <f t="shared" si="5"/>
        <v>0.78571428571428581</v>
      </c>
    </row>
    <row r="14" spans="1:21" ht="17.100000000000001" customHeight="1">
      <c r="A14" s="78" t="s">
        <v>177</v>
      </c>
      <c r="B14" s="78">
        <v>1</v>
      </c>
      <c r="C14" s="87">
        <f>(B14/B18)*100</f>
        <v>0.6211180124223602</v>
      </c>
      <c r="D14" s="78">
        <v>0</v>
      </c>
      <c r="E14" s="84">
        <f>(D14/D18)*100</f>
        <v>0</v>
      </c>
      <c r="F14" s="102">
        <f t="shared" si="0"/>
        <v>-1</v>
      </c>
      <c r="G14" s="78">
        <v>4</v>
      </c>
      <c r="H14" s="84">
        <f>(G14/G18)*100</f>
        <v>1.6666666666666667</v>
      </c>
      <c r="I14" s="102">
        <v>3</v>
      </c>
      <c r="J14" s="78">
        <v>2</v>
      </c>
      <c r="K14" s="84">
        <f>(J14/J18)*100</f>
        <v>0.76923076923076927</v>
      </c>
      <c r="L14" s="102">
        <f t="shared" si="2"/>
        <v>-0.5</v>
      </c>
      <c r="M14" s="78">
        <v>5</v>
      </c>
      <c r="N14" s="84">
        <f>(M14/M18)*100</f>
        <v>2.4154589371980677</v>
      </c>
      <c r="O14" s="102">
        <f t="shared" si="3"/>
        <v>1.5</v>
      </c>
      <c r="P14" s="78">
        <v>2</v>
      </c>
      <c r="Q14" s="84">
        <f>(P14/P18)*100</f>
        <v>1.2987012987012987</v>
      </c>
      <c r="R14" s="102">
        <f t="shared" si="4"/>
        <v>-0.6</v>
      </c>
      <c r="S14" s="78">
        <v>1</v>
      </c>
      <c r="T14" s="84">
        <f>(S14/S18)*100</f>
        <v>0.90090090090090091</v>
      </c>
      <c r="U14" s="102">
        <f t="shared" si="5"/>
        <v>-0.5</v>
      </c>
    </row>
    <row r="15" spans="1:21" ht="17.100000000000001" customHeight="1">
      <c r="A15" s="80" t="s">
        <v>178</v>
      </c>
      <c r="B15" s="80">
        <v>2</v>
      </c>
      <c r="C15" s="87">
        <f>(B15/B18)*100</f>
        <v>1.2422360248447204</v>
      </c>
      <c r="D15" s="80">
        <v>7</v>
      </c>
      <c r="E15" s="84">
        <f>(D15/D18)*100</f>
        <v>4.4303797468354427</v>
      </c>
      <c r="F15" s="102">
        <f t="shared" si="0"/>
        <v>2.5</v>
      </c>
      <c r="G15" s="80">
        <v>9</v>
      </c>
      <c r="H15" s="84">
        <f>(G15/G18)*100</f>
        <v>3.75</v>
      </c>
      <c r="I15" s="102">
        <f t="shared" si="1"/>
        <v>0.28571428571428581</v>
      </c>
      <c r="J15" s="80">
        <v>3</v>
      </c>
      <c r="K15" s="84">
        <f>(J15/J18)*100</f>
        <v>1.153846153846154</v>
      </c>
      <c r="L15" s="102">
        <f t="shared" si="2"/>
        <v>-0.66666666666666674</v>
      </c>
      <c r="M15" s="80">
        <v>1</v>
      </c>
      <c r="N15" s="84">
        <f>(M15/M18)*100</f>
        <v>0.48309178743961351</v>
      </c>
      <c r="O15" s="102">
        <f t="shared" si="3"/>
        <v>-0.66666666666666674</v>
      </c>
      <c r="P15" s="80"/>
      <c r="Q15" s="84">
        <f>(P15/P18)*100</f>
        <v>0</v>
      </c>
      <c r="R15" s="102">
        <f t="shared" si="4"/>
        <v>-1</v>
      </c>
      <c r="S15" s="80">
        <v>0</v>
      </c>
      <c r="T15" s="84">
        <f>(S15/S18)*100</f>
        <v>0</v>
      </c>
      <c r="U15" s="102"/>
    </row>
    <row r="16" spans="1:21" ht="17.100000000000001" customHeight="1">
      <c r="A16" s="78" t="s">
        <v>179</v>
      </c>
      <c r="B16" s="78">
        <v>2</v>
      </c>
      <c r="C16" s="87">
        <f>(B16/B18)*100</f>
        <v>1.2422360248447204</v>
      </c>
      <c r="D16" s="78">
        <v>2</v>
      </c>
      <c r="E16" s="84">
        <f>(D16/D18)*100</f>
        <v>1.2658227848101267</v>
      </c>
      <c r="F16" s="102">
        <f t="shared" si="0"/>
        <v>0</v>
      </c>
      <c r="G16" s="78">
        <v>0</v>
      </c>
      <c r="H16" s="84">
        <f>(G16/G18)*100</f>
        <v>0</v>
      </c>
      <c r="I16" s="102"/>
      <c r="J16" s="78">
        <v>0</v>
      </c>
      <c r="K16" s="84">
        <f>(J16/J18)*100</f>
        <v>0</v>
      </c>
      <c r="L16" s="102"/>
      <c r="M16" s="78">
        <v>0</v>
      </c>
      <c r="N16" s="84">
        <f>(M16/M18)*100</f>
        <v>0</v>
      </c>
      <c r="O16" s="102"/>
      <c r="P16" s="78"/>
      <c r="Q16" s="84">
        <f>(P16/P18)*100</f>
        <v>0</v>
      </c>
      <c r="R16" s="102"/>
      <c r="S16" s="78">
        <v>0</v>
      </c>
      <c r="T16" s="84">
        <f>(S16/S18)*100</f>
        <v>0</v>
      </c>
      <c r="U16" s="102"/>
    </row>
    <row r="17" spans="1:21" ht="17.100000000000001" customHeight="1">
      <c r="A17" s="81" t="s">
        <v>180</v>
      </c>
      <c r="B17" s="81">
        <v>12</v>
      </c>
      <c r="C17" s="88">
        <f>(B17/B18)*100</f>
        <v>7.4534161490683228</v>
      </c>
      <c r="D17" s="81">
        <v>6</v>
      </c>
      <c r="E17" s="85">
        <f>(D17/D18)*100</f>
        <v>3.79746835443038</v>
      </c>
      <c r="F17" s="103">
        <f t="shared" si="0"/>
        <v>-0.5</v>
      </c>
      <c r="G17" s="81">
        <v>43</v>
      </c>
      <c r="H17" s="85">
        <f>(G17/G18)*100</f>
        <v>17.916666666666668</v>
      </c>
      <c r="I17" s="103">
        <f t="shared" si="1"/>
        <v>6.166666666666667</v>
      </c>
      <c r="J17" s="81">
        <v>26</v>
      </c>
      <c r="K17" s="85">
        <f>(J17/J18)*100</f>
        <v>10</v>
      </c>
      <c r="L17" s="103">
        <f t="shared" si="2"/>
        <v>-0.39534883720930236</v>
      </c>
      <c r="M17" s="81">
        <v>28</v>
      </c>
      <c r="N17" s="85">
        <f>(M17/M18)*100</f>
        <v>13.526570048309178</v>
      </c>
      <c r="O17" s="103">
        <f>M17/J17-1</f>
        <v>7.6923076923076872E-2</v>
      </c>
      <c r="P17" s="81">
        <v>12</v>
      </c>
      <c r="Q17" s="85">
        <f>(P17/P18)*100</f>
        <v>7.7922077922077921</v>
      </c>
      <c r="R17" s="103">
        <f>P17/M17-1</f>
        <v>-0.5714285714285714</v>
      </c>
      <c r="S17" s="81">
        <v>18</v>
      </c>
      <c r="T17" s="85">
        <f>(S17/S18)*100</f>
        <v>16.216216216216218</v>
      </c>
      <c r="U17" s="103">
        <f>S17/P17-1</f>
        <v>0.5</v>
      </c>
    </row>
    <row r="18" spans="1:21" ht="17.100000000000001" customHeight="1">
      <c r="A18" s="409" t="s">
        <v>396</v>
      </c>
      <c r="B18" s="412">
        <v>161</v>
      </c>
      <c r="C18" s="413">
        <f>(B18/B18)*100</f>
        <v>100</v>
      </c>
      <c r="D18" s="412">
        <v>158</v>
      </c>
      <c r="E18" s="414">
        <f>(D18/D18)*100</f>
        <v>100</v>
      </c>
      <c r="F18" s="415">
        <f t="shared" si="0"/>
        <v>-1.8633540372670843E-2</v>
      </c>
      <c r="G18" s="412">
        <v>240</v>
      </c>
      <c r="H18" s="414">
        <f>(G18/G18)*100</f>
        <v>100</v>
      </c>
      <c r="I18" s="415">
        <f t="shared" si="1"/>
        <v>0.518987341772152</v>
      </c>
      <c r="J18" s="412">
        <f>SUM(J7:J17)</f>
        <v>260</v>
      </c>
      <c r="K18" s="414">
        <f>(J18/J18)*100</f>
        <v>100</v>
      </c>
      <c r="L18" s="415">
        <f t="shared" si="2"/>
        <v>8.3333333333333259E-2</v>
      </c>
      <c r="M18" s="412">
        <f>SUM(M7:M17)</f>
        <v>207</v>
      </c>
      <c r="N18" s="414">
        <f>(M18/M18)*100</f>
        <v>100</v>
      </c>
      <c r="O18" s="415">
        <f>M18/J18-1</f>
        <v>-0.2038461538461539</v>
      </c>
      <c r="P18" s="412">
        <f>SUM(P7:P17)</f>
        <v>154</v>
      </c>
      <c r="Q18" s="414">
        <f>(P18/P18)*100</f>
        <v>100</v>
      </c>
      <c r="R18" s="415">
        <f>P18/M18-1</f>
        <v>-0.2560386473429952</v>
      </c>
      <c r="S18" s="1248">
        <f>SUM(S7:S17)</f>
        <v>111</v>
      </c>
      <c r="T18" s="1249">
        <f>(S18/S18)*100</f>
        <v>100</v>
      </c>
      <c r="U18" s="1250">
        <f>S18/P18-1</f>
        <v>-0.27922077922077926</v>
      </c>
    </row>
    <row r="20" spans="1:21">
      <c r="A20" t="s">
        <v>243</v>
      </c>
    </row>
  </sheetData>
  <mergeCells count="7">
    <mergeCell ref="S5:U5"/>
    <mergeCell ref="P5:R5"/>
    <mergeCell ref="B5:C5"/>
    <mergeCell ref="D5:F5"/>
    <mergeCell ref="G5:I5"/>
    <mergeCell ref="J5:L5"/>
    <mergeCell ref="M5:O5"/>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499984740745262"/>
  </sheetPr>
  <dimension ref="A1:AL49"/>
  <sheetViews>
    <sheetView showGridLines="0" zoomScale="120" zoomScaleNormal="120" workbookViewId="0">
      <pane xSplit="3" ySplit="5" topLeftCell="D21" activePane="bottomRight" state="frozen"/>
      <selection pane="topRight" activeCell="D1" sqref="D1"/>
      <selection pane="bottomLeft" activeCell="A6" sqref="A6"/>
      <selection pane="bottomRight" activeCell="D49" sqref="D49"/>
    </sheetView>
  </sheetViews>
  <sheetFormatPr baseColWidth="10" defaultRowHeight="14.4"/>
  <cols>
    <col min="1" max="1" width="3.21875" customWidth="1"/>
    <col min="2" max="2" width="4.21875" customWidth="1"/>
    <col min="3" max="3" width="69.21875" customWidth="1"/>
    <col min="4" max="4" width="11.77734375" customWidth="1"/>
    <col min="5" max="5" width="9.21875" bestFit="1" customWidth="1"/>
    <col min="6" max="6" width="11.77734375" customWidth="1"/>
    <col min="7" max="7" width="5.77734375" customWidth="1"/>
    <col min="8" max="9" width="11.77734375" customWidth="1"/>
    <col min="10" max="10" width="5.77734375" customWidth="1"/>
    <col min="11" max="11" width="11.77734375" customWidth="1"/>
    <col min="12" max="12" width="11.44140625" customWidth="1"/>
    <col min="13" max="13" width="5.77734375" customWidth="1"/>
    <col min="14" max="14" width="11.77734375" customWidth="1"/>
    <col min="15" max="15" width="11.44140625" customWidth="1"/>
    <col min="16" max="16" width="5.77734375" customWidth="1"/>
    <col min="17" max="17" width="11.77734375" customWidth="1"/>
    <col min="18" max="18" width="11.44140625" customWidth="1"/>
    <col min="19" max="19" width="5.77734375" customWidth="1"/>
    <col min="20" max="20" width="11.77734375" customWidth="1"/>
    <col min="21" max="21" width="11.44140625" customWidth="1"/>
    <col min="22" max="22" width="5.77734375" customWidth="1"/>
    <col min="23" max="24" width="11.44140625" customWidth="1"/>
    <col min="25" max="25" width="5.77734375" customWidth="1"/>
    <col min="26" max="27" width="11.44140625" customWidth="1"/>
    <col min="28" max="28" width="5.77734375" customWidth="1"/>
    <col min="29" max="29" width="11.44140625" customWidth="1"/>
    <col min="31" max="31" width="5.77734375" customWidth="1"/>
    <col min="34" max="34" width="5.77734375" customWidth="1"/>
  </cols>
  <sheetData>
    <row r="1" spans="1:38" ht="15.6">
      <c r="B1" s="6039" t="s">
        <v>2737</v>
      </c>
      <c r="C1" s="6039"/>
      <c r="D1" s="150"/>
      <c r="E1" s="150"/>
      <c r="F1" s="150"/>
      <c r="G1" s="150"/>
      <c r="H1" s="150"/>
      <c r="I1" s="150"/>
      <c r="J1" s="150"/>
      <c r="K1" s="150"/>
      <c r="L1" s="150"/>
      <c r="M1" s="150"/>
      <c r="N1" s="128"/>
    </row>
    <row r="2" spans="1:38">
      <c r="B2" s="6039"/>
      <c r="C2" s="6039"/>
      <c r="L2" s="75"/>
    </row>
    <row r="3" spans="1:38" s="2904" customFormat="1" ht="15.6">
      <c r="B3" s="2907"/>
      <c r="C3" s="3477" t="s">
        <v>192</v>
      </c>
      <c r="L3" s="75"/>
    </row>
    <row r="4" spans="1:38" s="27" customFormat="1">
      <c r="D4" s="6291">
        <v>2008</v>
      </c>
      <c r="E4" s="6291"/>
      <c r="F4" s="6291">
        <v>2009</v>
      </c>
      <c r="G4" s="6291"/>
      <c r="H4" s="6291"/>
      <c r="I4" s="6291">
        <v>2010</v>
      </c>
      <c r="J4" s="6291"/>
      <c r="K4" s="6291"/>
      <c r="L4" s="6291">
        <v>2011</v>
      </c>
      <c r="M4" s="6291"/>
      <c r="N4" s="6291"/>
      <c r="O4" s="6291">
        <v>2012</v>
      </c>
      <c r="P4" s="6291"/>
      <c r="Q4" s="6291"/>
      <c r="R4" s="6291">
        <v>2013</v>
      </c>
      <c r="S4" s="6291"/>
      <c r="T4" s="6291"/>
      <c r="U4" s="6291">
        <v>2014</v>
      </c>
      <c r="V4" s="6291"/>
      <c r="W4" s="6291"/>
      <c r="X4" s="6293">
        <v>2015</v>
      </c>
      <c r="Y4" s="6293"/>
      <c r="Z4" s="6293"/>
      <c r="AA4" s="6293">
        <v>2016</v>
      </c>
      <c r="AB4" s="6293"/>
      <c r="AC4" s="6293"/>
      <c r="AD4" s="6293">
        <v>2017</v>
      </c>
      <c r="AE4" s="6293"/>
      <c r="AF4" s="6293"/>
      <c r="AG4" s="6293">
        <v>2018</v>
      </c>
      <c r="AH4" s="6293"/>
      <c r="AI4" s="6293"/>
    </row>
    <row r="5" spans="1:38" ht="34.5" customHeight="1" thickBot="1">
      <c r="A5" s="2464"/>
      <c r="B5" s="3441" t="s">
        <v>326</v>
      </c>
      <c r="C5" s="2556" t="s">
        <v>193</v>
      </c>
      <c r="D5" s="3442" t="s">
        <v>194</v>
      </c>
      <c r="E5" s="3443" t="s">
        <v>76</v>
      </c>
      <c r="F5" s="3444" t="s">
        <v>194</v>
      </c>
      <c r="G5" s="3443" t="s">
        <v>76</v>
      </c>
      <c r="H5" s="3445" t="s">
        <v>496</v>
      </c>
      <c r="I5" s="3444" t="s">
        <v>194</v>
      </c>
      <c r="J5" s="3443" t="s">
        <v>76</v>
      </c>
      <c r="K5" s="3445" t="s">
        <v>496</v>
      </c>
      <c r="L5" s="3444" t="s">
        <v>194</v>
      </c>
      <c r="M5" s="3443" t="s">
        <v>76</v>
      </c>
      <c r="N5" s="3445" t="s">
        <v>496</v>
      </c>
      <c r="O5" s="3446" t="s">
        <v>194</v>
      </c>
      <c r="P5" s="3443" t="s">
        <v>76</v>
      </c>
      <c r="Q5" s="3445" t="s">
        <v>496</v>
      </c>
      <c r="R5" s="3446" t="s">
        <v>194</v>
      </c>
      <c r="S5" s="3443" t="s">
        <v>76</v>
      </c>
      <c r="T5" s="3445" t="s">
        <v>496</v>
      </c>
      <c r="U5" s="3446" t="s">
        <v>194</v>
      </c>
      <c r="V5" s="3443" t="s">
        <v>76</v>
      </c>
      <c r="W5" s="3445" t="s">
        <v>496</v>
      </c>
      <c r="X5" s="3447" t="s">
        <v>194</v>
      </c>
      <c r="Y5" s="3448" t="s">
        <v>76</v>
      </c>
      <c r="Z5" s="3449" t="s">
        <v>496</v>
      </c>
      <c r="AA5" s="3447" t="s">
        <v>194</v>
      </c>
      <c r="AB5" s="3448" t="s">
        <v>76</v>
      </c>
      <c r="AC5" s="3449" t="s">
        <v>496</v>
      </c>
      <c r="AD5" s="3447" t="s">
        <v>194</v>
      </c>
      <c r="AE5" s="3448" t="s">
        <v>76</v>
      </c>
      <c r="AF5" s="3449" t="s">
        <v>496</v>
      </c>
      <c r="AG5" s="3447" t="s">
        <v>194</v>
      </c>
      <c r="AH5" s="3448" t="s">
        <v>76</v>
      </c>
      <c r="AI5" s="4614" t="s">
        <v>496</v>
      </c>
    </row>
    <row r="6" spans="1:38" ht="15" customHeight="1">
      <c r="B6" s="2260">
        <v>1</v>
      </c>
      <c r="C6" s="3475" t="s">
        <v>681</v>
      </c>
      <c r="D6" s="3395">
        <v>141335</v>
      </c>
      <c r="E6" s="3396">
        <v>0.39586198397338046</v>
      </c>
      <c r="F6" s="3397">
        <v>186400</v>
      </c>
      <c r="G6" s="3398">
        <v>48.81</v>
      </c>
      <c r="H6" s="3399">
        <f>F6/D6-1</f>
        <v>0.31885237202391492</v>
      </c>
      <c r="I6" s="3400">
        <v>251362</v>
      </c>
      <c r="J6" s="3401">
        <f>(I6/I31)*100</f>
        <v>49.867278231646104</v>
      </c>
      <c r="K6" s="3399">
        <f>I6/F6-1</f>
        <v>0.34850858369098714</v>
      </c>
      <c r="L6" s="3400">
        <v>417719</v>
      </c>
      <c r="M6" s="3401">
        <f>L6/$L$31*100</f>
        <v>61.610290235132048</v>
      </c>
      <c r="N6" s="3399">
        <f>L6/I6-1</f>
        <v>0.66182239161050593</v>
      </c>
      <c r="O6" s="3400">
        <v>314421</v>
      </c>
      <c r="P6" s="3401">
        <f t="shared" ref="P6:P26" si="0">O6/$O$31*100</f>
        <v>76.021837893774801</v>
      </c>
      <c r="Q6" s="3399">
        <f>O6/L6-1</f>
        <v>-0.24729064275266388</v>
      </c>
      <c r="R6" s="3400">
        <v>382020</v>
      </c>
      <c r="S6" s="3401">
        <f>R6/$R$31*100</f>
        <v>45.367690632299869</v>
      </c>
      <c r="T6" s="3399">
        <f>R6/O6-1</f>
        <v>0.21499518161954834</v>
      </c>
      <c r="U6" s="3400">
        <v>445896</v>
      </c>
      <c r="V6" s="3401">
        <f>U6/$U$31*100</f>
        <v>38.773093197126293</v>
      </c>
      <c r="W6" s="3399">
        <f>U6/R6-1</f>
        <v>0.16720590544997638</v>
      </c>
      <c r="X6" s="3402">
        <v>372734</v>
      </c>
      <c r="Y6" s="3403">
        <f>X6/$X$31*100</f>
        <v>46.669162473252506</v>
      </c>
      <c r="Z6" s="3404">
        <f>X6/U6-1</f>
        <v>-0.1640786192295961</v>
      </c>
      <c r="AA6" s="3402">
        <v>211973</v>
      </c>
      <c r="AB6" s="3403">
        <f>AA6/$AA$31*100</f>
        <v>31.899671782801782</v>
      </c>
      <c r="AC6" s="3404">
        <f>AA6/X6-1</f>
        <v>-0.43130221552098813</v>
      </c>
      <c r="AD6" s="3402">
        <v>144836</v>
      </c>
      <c r="AE6" s="3403">
        <f>AD6/$AD$31*100</f>
        <v>26.968911531185295</v>
      </c>
      <c r="AF6" s="3404">
        <f>AD6/AA6-1</f>
        <v>-0.31672429979289818</v>
      </c>
      <c r="AG6" s="3402">
        <v>169377</v>
      </c>
      <c r="AH6" s="3403">
        <f>AG6/$AG$31*100</f>
        <v>19.040344256600669</v>
      </c>
      <c r="AI6" s="3404">
        <f>AG6/AD6-1</f>
        <v>0.16943991825236826</v>
      </c>
      <c r="AJ6" s="6292" t="s">
        <v>2925</v>
      </c>
      <c r="AK6" s="6288"/>
      <c r="AL6" s="6288"/>
    </row>
    <row r="7" spans="1:38" ht="21" customHeight="1">
      <c r="B7" s="2261">
        <v>2</v>
      </c>
      <c r="C7" s="3419" t="s">
        <v>400</v>
      </c>
      <c r="D7" s="3405">
        <v>33416</v>
      </c>
      <c r="E7" s="3406">
        <v>9.3594113676403454E-2</v>
      </c>
      <c r="F7" s="3407">
        <v>43192</v>
      </c>
      <c r="G7" s="3408">
        <v>11.31</v>
      </c>
      <c r="H7" s="3409">
        <f>F7/D7-1</f>
        <v>0.29255446492698112</v>
      </c>
      <c r="I7" s="3410">
        <v>59571</v>
      </c>
      <c r="J7" s="3411">
        <f>(I7/I31)*100</f>
        <v>11.818189032301582</v>
      </c>
      <c r="K7" s="3409">
        <f t="shared" ref="K7:K31" si="1">I7/F7-1</f>
        <v>0.3792137432857936</v>
      </c>
      <c r="L7" s="3410">
        <v>73937</v>
      </c>
      <c r="M7" s="3411">
        <f>L7/$L$31*100</f>
        <v>10.905130073362615</v>
      </c>
      <c r="N7" s="3409">
        <f t="shared" ref="N7:N31" si="2">L7/I7-1</f>
        <v>0.24115761024659643</v>
      </c>
      <c r="O7" s="3410">
        <v>30888</v>
      </c>
      <c r="P7" s="3411">
        <f t="shared" si="0"/>
        <v>7.4682115026124718</v>
      </c>
      <c r="Q7" s="3409">
        <f t="shared" ref="Q7:Q26" si="3">O7/L7-1</f>
        <v>-0.58223893314578623</v>
      </c>
      <c r="R7" s="3410">
        <v>61997</v>
      </c>
      <c r="S7" s="3411">
        <f t="shared" ref="S7:S27" si="4">R7/$R$31*100</f>
        <v>7.3626006914054107</v>
      </c>
      <c r="T7" s="3409">
        <f t="shared" ref="T7:T12" si="5">R7/O7-1</f>
        <v>1.0071548821548824</v>
      </c>
      <c r="U7" s="3410">
        <v>68309</v>
      </c>
      <c r="V7" s="3411">
        <f t="shared" ref="V7:V27" si="6">U7/$U$31*100</f>
        <v>5.9398407323736926</v>
      </c>
      <c r="W7" s="3409">
        <f>U7/R7-1</f>
        <v>0.1018113779699017</v>
      </c>
      <c r="X7" s="3412">
        <v>52398</v>
      </c>
      <c r="Y7" s="3413">
        <f t="shared" ref="Y7:Y27" si="7">X7/$X$31*100</f>
        <v>6.5606324490749035</v>
      </c>
      <c r="Z7" s="3414">
        <f>X7/U7-1</f>
        <v>-0.23292684712116996</v>
      </c>
      <c r="AA7" s="3412">
        <v>66874</v>
      </c>
      <c r="AB7" s="3413">
        <f t="shared" ref="AB7:AB26" si="8">AA7/$AA$31*100</f>
        <v>10.063822518920269</v>
      </c>
      <c r="AC7" s="3414">
        <f>AA7/X7-1</f>
        <v>0.27627008664452846</v>
      </c>
      <c r="AD7" s="3412">
        <v>95979</v>
      </c>
      <c r="AE7" s="3413">
        <f t="shared" ref="AE7:AE28" si="9">AD7/$AD$31*100</f>
        <v>17.871586897260581</v>
      </c>
      <c r="AF7" s="3414">
        <f>AD7/AA7-1</f>
        <v>0.43522146125549543</v>
      </c>
      <c r="AG7" s="3412">
        <v>84488</v>
      </c>
      <c r="AH7" s="3413">
        <f t="shared" ref="AH7:AH29" si="10">AG7/$AG$31*100</f>
        <v>9.4976331234564153</v>
      </c>
      <c r="AI7" s="3414">
        <f>AG7/AD7-1</f>
        <v>-0.11972410631492303</v>
      </c>
      <c r="AJ7" s="6292"/>
      <c r="AK7" s="6288"/>
      <c r="AL7" s="6288"/>
    </row>
    <row r="8" spans="1:38" ht="28.8">
      <c r="B8" s="2261">
        <v>3</v>
      </c>
      <c r="C8" s="3419" t="s">
        <v>680</v>
      </c>
      <c r="D8" s="3405">
        <v>20880</v>
      </c>
      <c r="E8" s="3406">
        <v>5.848231666157841E-2</v>
      </c>
      <c r="F8" s="3407">
        <v>15020</v>
      </c>
      <c r="G8" s="3408">
        <v>3.93</v>
      </c>
      <c r="H8" s="3409">
        <f>F8/D8-1</f>
        <v>-0.28065134099616862</v>
      </c>
      <c r="I8" s="3410">
        <v>16997</v>
      </c>
      <c r="J8" s="3411">
        <f>(I8/I31)*100</f>
        <v>3.3720058246802971</v>
      </c>
      <c r="K8" s="3409">
        <f>I8/F8-1</f>
        <v>0.13162450066577902</v>
      </c>
      <c r="L8" s="3410">
        <v>65478</v>
      </c>
      <c r="M8" s="3411">
        <f>L8/$L$31*100</f>
        <v>9.6574936357119885</v>
      </c>
      <c r="N8" s="3409">
        <f>L8/I8-1</f>
        <v>2.8523268812143319</v>
      </c>
      <c r="O8" s="3410">
        <v>12816</v>
      </c>
      <c r="P8" s="3411">
        <f t="shared" si="0"/>
        <v>3.0986984789394407</v>
      </c>
      <c r="Q8" s="3409">
        <f>O8/L8-1</f>
        <v>-0.80427013653440849</v>
      </c>
      <c r="R8" s="3410">
        <v>115153</v>
      </c>
      <c r="S8" s="3411">
        <f t="shared" si="4"/>
        <v>13.675267471287436</v>
      </c>
      <c r="T8" s="3409">
        <f>R8/O8-1</f>
        <v>7.9850967540574285</v>
      </c>
      <c r="U8" s="3410">
        <v>83690</v>
      </c>
      <c r="V8" s="3411">
        <f t="shared" si="6"/>
        <v>7.2773027110974304</v>
      </c>
      <c r="W8" s="3409">
        <f>U8/R8-1</f>
        <v>-0.27322779258899033</v>
      </c>
      <c r="X8" s="3412">
        <v>68235</v>
      </c>
      <c r="Y8" s="3413">
        <f t="shared" si="7"/>
        <v>8.5435466079359124</v>
      </c>
      <c r="Z8" s="3414">
        <f>X8/U8-1</f>
        <v>-0.184669614051858</v>
      </c>
      <c r="AA8" s="3412">
        <v>80346</v>
      </c>
      <c r="AB8" s="3413">
        <f t="shared" si="8"/>
        <v>12.091214584220593</v>
      </c>
      <c r="AC8" s="3414">
        <f>AA8/X8-1</f>
        <v>0.17748955814464717</v>
      </c>
      <c r="AD8" s="3412">
        <v>50124</v>
      </c>
      <c r="AE8" s="3413">
        <f t="shared" si="9"/>
        <v>9.3332439558475215</v>
      </c>
      <c r="AF8" s="3414">
        <f>AD8/AA8-1</f>
        <v>-0.37614815921141065</v>
      </c>
      <c r="AG8" s="3412">
        <v>34383</v>
      </c>
      <c r="AH8" s="3413">
        <f t="shared" si="10"/>
        <v>3.8651301922616463</v>
      </c>
      <c r="AI8" s="3414">
        <f>AG8/AD8-1</f>
        <v>-0.31404117787886043</v>
      </c>
      <c r="AJ8" s="6292"/>
      <c r="AK8" s="6288"/>
      <c r="AL8" s="6288"/>
    </row>
    <row r="9" spans="1:38">
      <c r="B9" s="2261"/>
      <c r="C9" s="3476" t="s">
        <v>676</v>
      </c>
      <c r="D9" s="3415"/>
      <c r="E9" s="3416"/>
      <c r="F9" s="3407">
        <v>4749</v>
      </c>
      <c r="G9" s="3408">
        <v>1.24</v>
      </c>
      <c r="H9" s="3409"/>
      <c r="I9" s="3410">
        <v>12349</v>
      </c>
      <c r="J9" s="3411">
        <f>(I9/I31)*100</f>
        <v>2.4498970364756718</v>
      </c>
      <c r="K9" s="3409">
        <f>I9/F9-1</f>
        <v>1.6003369130343228</v>
      </c>
      <c r="L9" s="3410"/>
      <c r="M9" s="3411"/>
      <c r="N9" s="3409"/>
      <c r="O9" s="3410"/>
      <c r="P9" s="3411"/>
      <c r="Q9" s="3409"/>
      <c r="R9" s="3410"/>
      <c r="S9" s="3411"/>
      <c r="T9" s="3409"/>
      <c r="U9" s="3410"/>
      <c r="V9" s="3411"/>
      <c r="W9" s="3409"/>
      <c r="X9" s="3412"/>
      <c r="Y9" s="3413"/>
      <c r="Z9" s="3414"/>
      <c r="AA9" s="3412"/>
      <c r="AB9" s="3413"/>
      <c r="AC9" s="3414"/>
      <c r="AD9" s="3412"/>
      <c r="AE9" s="3413"/>
      <c r="AF9" s="3414"/>
      <c r="AG9" s="3412"/>
      <c r="AH9" s="3413"/>
      <c r="AI9" s="3414"/>
      <c r="AJ9" s="6292"/>
      <c r="AK9" s="6288"/>
      <c r="AL9" s="6288"/>
    </row>
    <row r="10" spans="1:38">
      <c r="B10" s="2261">
        <v>4</v>
      </c>
      <c r="C10" s="3419" t="s">
        <v>397</v>
      </c>
      <c r="D10" s="3405">
        <v>27220</v>
      </c>
      <c r="E10" s="3406">
        <v>7.6239878329892916E-2</v>
      </c>
      <c r="F10" s="3407">
        <v>28820</v>
      </c>
      <c r="G10" s="3408">
        <v>7.55</v>
      </c>
      <c r="H10" s="3409">
        <f>F10/D10-1</f>
        <v>5.878030859662009E-2</v>
      </c>
      <c r="I10" s="3410">
        <v>46252</v>
      </c>
      <c r="J10" s="3411">
        <f>(I10/I31)*100</f>
        <v>9.1758553511274403</v>
      </c>
      <c r="K10" s="3409">
        <f t="shared" si="1"/>
        <v>0.60485773768216511</v>
      </c>
      <c r="L10" s="3410">
        <v>30824</v>
      </c>
      <c r="M10" s="3411">
        <f t="shared" ref="M10:M26" si="11">L10/$L$31*100</f>
        <v>4.5462992734534708</v>
      </c>
      <c r="N10" s="3409">
        <f t="shared" si="2"/>
        <v>-0.33356395399117877</v>
      </c>
      <c r="O10" s="3410">
        <v>20776</v>
      </c>
      <c r="P10" s="3411">
        <f t="shared" si="0"/>
        <v>5.0232958488175568</v>
      </c>
      <c r="Q10" s="3409">
        <f t="shared" si="3"/>
        <v>-0.32597975603425899</v>
      </c>
      <c r="R10" s="3410">
        <v>166030</v>
      </c>
      <c r="S10" s="3411">
        <f t="shared" si="4"/>
        <v>19.717286204075041</v>
      </c>
      <c r="T10" s="3409">
        <f t="shared" si="5"/>
        <v>6.9914324220254143</v>
      </c>
      <c r="U10" s="3410">
        <v>328614</v>
      </c>
      <c r="V10" s="3411">
        <f t="shared" si="6"/>
        <v>28.574782567864393</v>
      </c>
      <c r="W10" s="3409">
        <f t="shared" ref="W10:W22" si="12">U10/R10-1</f>
        <v>0.97924471481057651</v>
      </c>
      <c r="X10" s="3412">
        <v>186308</v>
      </c>
      <c r="Y10" s="3413">
        <f t="shared" si="7"/>
        <v>23.327193983019335</v>
      </c>
      <c r="Z10" s="3414">
        <f t="shared" ref="Z10:Z22" si="13">X10/U10-1</f>
        <v>-0.43304910928931817</v>
      </c>
      <c r="AA10" s="3412">
        <v>86316</v>
      </c>
      <c r="AB10" s="3413">
        <f t="shared" si="8"/>
        <v>12.989635800806321</v>
      </c>
      <c r="AC10" s="3414">
        <f t="shared" ref="AC10:AC22" si="14">AA10/X10-1</f>
        <v>-0.53670266440517844</v>
      </c>
      <c r="AD10" s="3412">
        <v>71249</v>
      </c>
      <c r="AE10" s="3413">
        <f t="shared" si="9"/>
        <v>13.266784347022986</v>
      </c>
      <c r="AF10" s="3414">
        <f t="shared" ref="AF10:AF27" si="15">AD10/AA10-1</f>
        <v>-0.17455628157004499</v>
      </c>
      <c r="AG10" s="3412">
        <v>74436</v>
      </c>
      <c r="AH10" s="3413">
        <f t="shared" si="10"/>
        <v>8.367647703550821</v>
      </c>
      <c r="AI10" s="3414">
        <f t="shared" ref="AI10:AI22" si="16">AG10/AD10-1</f>
        <v>4.4730452357226058E-2</v>
      </c>
      <c r="AJ10" s="6292"/>
      <c r="AK10" s="6288"/>
      <c r="AL10" s="6288"/>
    </row>
    <row r="11" spans="1:38">
      <c r="B11" s="2261">
        <v>5</v>
      </c>
      <c r="C11" s="3419" t="s">
        <v>679</v>
      </c>
      <c r="D11" s="3415"/>
      <c r="E11" s="3416"/>
      <c r="F11" s="3407">
        <v>20565</v>
      </c>
      <c r="G11" s="3408">
        <v>5.39</v>
      </c>
      <c r="H11" s="3409"/>
      <c r="I11" s="3410">
        <v>24319</v>
      </c>
      <c r="J11" s="3411">
        <f>(I11/I31)*100</f>
        <v>4.8246049097134875</v>
      </c>
      <c r="K11" s="3409">
        <f t="shared" si="1"/>
        <v>0.1825431558473134</v>
      </c>
      <c r="L11" s="3410">
        <v>20982</v>
      </c>
      <c r="M11" s="3411">
        <f t="shared" si="11"/>
        <v>3.0946811366338154</v>
      </c>
      <c r="N11" s="3409">
        <f t="shared" si="2"/>
        <v>-0.13721781323245197</v>
      </c>
      <c r="O11" s="3410">
        <v>9805</v>
      </c>
      <c r="P11" s="3411">
        <f t="shared" si="0"/>
        <v>2.3706880919164495</v>
      </c>
      <c r="Q11" s="3409">
        <f t="shared" si="3"/>
        <v>-0.53269469068725572</v>
      </c>
      <c r="R11" s="3410">
        <v>34045</v>
      </c>
      <c r="S11" s="3411">
        <f t="shared" si="4"/>
        <v>4.0430946745632399</v>
      </c>
      <c r="T11" s="3409">
        <f t="shared" si="5"/>
        <v>2.4722080571137175</v>
      </c>
      <c r="U11" s="3410">
        <v>27193</v>
      </c>
      <c r="V11" s="3411">
        <f t="shared" si="6"/>
        <v>2.3645799094619715</v>
      </c>
      <c r="W11" s="3409">
        <f t="shared" si="12"/>
        <v>-0.20126303421941549</v>
      </c>
      <c r="X11" s="3412">
        <v>29308</v>
      </c>
      <c r="Y11" s="3413">
        <f t="shared" si="7"/>
        <v>3.6695869273156849</v>
      </c>
      <c r="Z11" s="3414">
        <f t="shared" si="13"/>
        <v>7.7777369175890954E-2</v>
      </c>
      <c r="AA11" s="3412">
        <v>38302</v>
      </c>
      <c r="AB11" s="3413">
        <f t="shared" si="8"/>
        <v>5.7640417818536971</v>
      </c>
      <c r="AC11" s="3414">
        <f t="shared" si="14"/>
        <v>0.30687866794049401</v>
      </c>
      <c r="AD11" s="3412">
        <v>34136</v>
      </c>
      <c r="AE11" s="3413">
        <f t="shared" si="9"/>
        <v>6.3562288659486681</v>
      </c>
      <c r="AF11" s="3414">
        <f t="shared" si="15"/>
        <v>-0.10876716620542004</v>
      </c>
      <c r="AG11" s="3412">
        <v>52114</v>
      </c>
      <c r="AH11" s="3413">
        <f t="shared" si="10"/>
        <v>5.8583426355909438</v>
      </c>
      <c r="AI11" s="3414">
        <f t="shared" si="16"/>
        <v>0.52665807358800087</v>
      </c>
      <c r="AJ11" s="6292"/>
      <c r="AK11" s="6288"/>
      <c r="AL11" s="6288"/>
    </row>
    <row r="12" spans="1:38">
      <c r="B12" s="2261">
        <v>6</v>
      </c>
      <c r="C12" s="3419" t="s">
        <v>405</v>
      </c>
      <c r="D12" s="3405">
        <v>18995</v>
      </c>
      <c r="E12" s="3406">
        <v>5.3202663074074799E-2</v>
      </c>
      <c r="F12" s="3407">
        <v>17255</v>
      </c>
      <c r="G12" s="3408">
        <v>4.5199999999999996</v>
      </c>
      <c r="H12" s="3409">
        <f>F12/D12-1</f>
        <v>-9.1603053435114545E-2</v>
      </c>
      <c r="I12" s="3410">
        <v>22165</v>
      </c>
      <c r="J12" s="3411">
        <f>(I12/I31)*100</f>
        <v>4.3972765255067836</v>
      </c>
      <c r="K12" s="3409">
        <f t="shared" si="1"/>
        <v>0.28455520139090118</v>
      </c>
      <c r="L12" s="3410">
        <v>19876</v>
      </c>
      <c r="M12" s="3411">
        <f t="shared" si="11"/>
        <v>2.9315547741747072</v>
      </c>
      <c r="N12" s="3409">
        <f t="shared" si="2"/>
        <v>-0.10327092262576132</v>
      </c>
      <c r="O12" s="3410">
        <v>3670</v>
      </c>
      <c r="P12" s="3411">
        <f t="shared" si="0"/>
        <v>0.88734577229305134</v>
      </c>
      <c r="Q12" s="3409">
        <f t="shared" si="3"/>
        <v>-0.81535520225397462</v>
      </c>
      <c r="R12" s="3410">
        <v>18529</v>
      </c>
      <c r="S12" s="3411">
        <f t="shared" si="4"/>
        <v>2.2004553157580342</v>
      </c>
      <c r="T12" s="3409">
        <f t="shared" si="5"/>
        <v>4.0487738419618529</v>
      </c>
      <c r="U12" s="3410">
        <v>8754</v>
      </c>
      <c r="V12" s="3411">
        <f t="shared" si="6"/>
        <v>0.76120812442283303</v>
      </c>
      <c r="W12" s="3409">
        <f t="shared" si="12"/>
        <v>-0.5275514059042582</v>
      </c>
      <c r="X12" s="3412">
        <v>3135</v>
      </c>
      <c r="Y12" s="3413">
        <f t="shared" si="7"/>
        <v>0.39252610267280852</v>
      </c>
      <c r="Z12" s="3414">
        <f t="shared" si="13"/>
        <v>-0.64187799862919803</v>
      </c>
      <c r="AA12" s="3412">
        <v>14341</v>
      </c>
      <c r="AB12" s="3413">
        <f t="shared" si="8"/>
        <v>2.1581672809138914</v>
      </c>
      <c r="AC12" s="3414">
        <f t="shared" si="14"/>
        <v>3.5744816586921848</v>
      </c>
      <c r="AD12" s="3412">
        <v>18840</v>
      </c>
      <c r="AE12" s="3413">
        <f t="shared" si="9"/>
        <v>3.5080663180944724</v>
      </c>
      <c r="AF12" s="3414">
        <f t="shared" si="15"/>
        <v>0.3137159193919532</v>
      </c>
      <c r="AG12" s="3412">
        <v>44293</v>
      </c>
      <c r="AH12" s="3413">
        <f t="shared" si="10"/>
        <v>4.979152825694241</v>
      </c>
      <c r="AI12" s="3414">
        <f t="shared" si="16"/>
        <v>1.3510084925690022</v>
      </c>
      <c r="AJ12" s="6292"/>
      <c r="AK12" s="6288"/>
      <c r="AL12" s="6288"/>
    </row>
    <row r="13" spans="1:38">
      <c r="B13" s="2261">
        <v>7</v>
      </c>
      <c r="C13" s="3419" t="s">
        <v>399</v>
      </c>
      <c r="D13" s="3405">
        <v>13349</v>
      </c>
      <c r="E13" s="3406">
        <v>3.7388910206676729E-2</v>
      </c>
      <c r="F13" s="3407">
        <v>22023</v>
      </c>
      <c r="G13" s="3408">
        <v>5.77</v>
      </c>
      <c r="H13" s="3409">
        <f>F13/D13-1</f>
        <v>0.64978650086148781</v>
      </c>
      <c r="I13" s="3410">
        <v>27875</v>
      </c>
      <c r="J13" s="3411">
        <f>(I13/I31)*100</f>
        <v>5.5300736814122073</v>
      </c>
      <c r="K13" s="3409">
        <f>I13/F13-1</f>
        <v>0.26572219951868492</v>
      </c>
      <c r="L13" s="3410">
        <v>15677</v>
      </c>
      <c r="M13" s="3411">
        <f t="shared" si="11"/>
        <v>2.3122350671531939</v>
      </c>
      <c r="N13" s="3409">
        <f>L13/I13-1</f>
        <v>-0.43759641255605386</v>
      </c>
      <c r="O13" s="3410">
        <v>3388</v>
      </c>
      <c r="P13" s="3411">
        <f t="shared" si="0"/>
        <v>0.81916280014410303</v>
      </c>
      <c r="Q13" s="3409">
        <f>O13/L13-1</f>
        <v>-0.78388722332078842</v>
      </c>
      <c r="R13" s="3410">
        <v>3337</v>
      </c>
      <c r="S13" s="3411">
        <f t="shared" si="4"/>
        <v>0.39629334495572127</v>
      </c>
      <c r="T13" s="3409">
        <f>R13/O13-1</f>
        <v>-1.5053128689492379E-2</v>
      </c>
      <c r="U13" s="3410">
        <v>3726</v>
      </c>
      <c r="V13" s="3411">
        <f t="shared" si="6"/>
        <v>0.32399605570019147</v>
      </c>
      <c r="W13" s="3409">
        <f t="shared" si="12"/>
        <v>0.11657177105184302</v>
      </c>
      <c r="X13" s="3412">
        <v>2203</v>
      </c>
      <c r="Y13" s="3413">
        <f t="shared" si="7"/>
        <v>0.27583253722111556</v>
      </c>
      <c r="Z13" s="3414">
        <f t="shared" si="13"/>
        <v>-0.40874932903918415</v>
      </c>
      <c r="AA13" s="3412">
        <v>9645</v>
      </c>
      <c r="AB13" s="3413">
        <f t="shared" si="8"/>
        <v>1.4514694529261896</v>
      </c>
      <c r="AC13" s="3414">
        <f t="shared" si="14"/>
        <v>3.3781207444394008</v>
      </c>
      <c r="AD13" s="3412">
        <v>14126</v>
      </c>
      <c r="AE13" s="3413">
        <f t="shared" si="9"/>
        <v>2.6303049261890932</v>
      </c>
      <c r="AF13" s="3414">
        <f t="shared" si="15"/>
        <v>0.4645930533955418</v>
      </c>
      <c r="AG13" s="3412">
        <v>12420</v>
      </c>
      <c r="AH13" s="3413">
        <f t="shared" si="10"/>
        <v>1.396181746441254</v>
      </c>
      <c r="AI13" s="3414">
        <f t="shared" si="16"/>
        <v>-0.12077021095851626</v>
      </c>
      <c r="AJ13" s="6292"/>
      <c r="AK13" s="6288"/>
      <c r="AL13" s="6288"/>
    </row>
    <row r="14" spans="1:38">
      <c r="B14" s="2261">
        <v>8</v>
      </c>
      <c r="C14" s="3419" t="s">
        <v>398</v>
      </c>
      <c r="D14" s="3405">
        <v>24509</v>
      </c>
      <c r="E14" s="3406">
        <v>6.8646700146485884E-2</v>
      </c>
      <c r="F14" s="3407">
        <v>16911</v>
      </c>
      <c r="G14" s="3408">
        <v>4.43</v>
      </c>
      <c r="H14" s="3409">
        <f>F14/D14-1</f>
        <v>-0.31000856828103962</v>
      </c>
      <c r="I14" s="3410">
        <v>19255</v>
      </c>
      <c r="J14" s="3411">
        <f>(I14/I31)*100</f>
        <v>3.8199665914113736</v>
      </c>
      <c r="K14" s="3409">
        <f>I14/F14-1</f>
        <v>0.13860800662290806</v>
      </c>
      <c r="L14" s="3410">
        <v>9533</v>
      </c>
      <c r="M14" s="3411">
        <f t="shared" si="11"/>
        <v>1.4060430500205012</v>
      </c>
      <c r="N14" s="3409">
        <f>L14/I14-1</f>
        <v>-0.50490781615164892</v>
      </c>
      <c r="O14" s="3410">
        <v>5138</v>
      </c>
      <c r="P14" s="3411">
        <f t="shared" si="0"/>
        <v>1.242284081210272</v>
      </c>
      <c r="Q14" s="3409">
        <f>O14/L14-1</f>
        <v>-0.46103010594776039</v>
      </c>
      <c r="R14" s="3410">
        <v>39569</v>
      </c>
      <c r="S14" s="3411">
        <f t="shared" si="4"/>
        <v>4.6991103885384886</v>
      </c>
      <c r="T14" s="3409">
        <f>R14/O14-1</f>
        <v>6.7012456208641495</v>
      </c>
      <c r="U14" s="3410">
        <v>144836</v>
      </c>
      <c r="V14" s="3411">
        <f t="shared" si="6"/>
        <v>12.594281460921344</v>
      </c>
      <c r="W14" s="3409">
        <f t="shared" si="12"/>
        <v>2.6603401652809016</v>
      </c>
      <c r="X14" s="3412">
        <v>29418</v>
      </c>
      <c r="Y14" s="3413">
        <f t="shared" si="7"/>
        <v>3.6833597730235028</v>
      </c>
      <c r="Z14" s="3414">
        <f t="shared" si="13"/>
        <v>-0.79688751415393966</v>
      </c>
      <c r="AA14" s="3412">
        <v>32308</v>
      </c>
      <c r="AB14" s="3413">
        <f t="shared" si="8"/>
        <v>4.8620088216837045</v>
      </c>
      <c r="AC14" s="3414">
        <f t="shared" si="14"/>
        <v>9.8239173295261439E-2</v>
      </c>
      <c r="AD14" s="3412">
        <v>12980</v>
      </c>
      <c r="AE14" s="3413">
        <f t="shared" si="9"/>
        <v>2.4169161788145566</v>
      </c>
      <c r="AF14" s="3414">
        <f t="shared" si="15"/>
        <v>-0.59824192150550948</v>
      </c>
      <c r="AG14" s="3412">
        <v>13990</v>
      </c>
      <c r="AH14" s="3413">
        <f t="shared" si="10"/>
        <v>1.5726717095582241</v>
      </c>
      <c r="AI14" s="3414">
        <f t="shared" si="16"/>
        <v>7.7812018489984647E-2</v>
      </c>
      <c r="AJ14" s="6292"/>
      <c r="AK14" s="6288"/>
      <c r="AL14" s="6288"/>
    </row>
    <row r="15" spans="1:38">
      <c r="B15" s="2261">
        <v>9</v>
      </c>
      <c r="C15" s="3419" t="s">
        <v>196</v>
      </c>
      <c r="D15" s="3415"/>
      <c r="E15" s="3416"/>
      <c r="F15" s="3407">
        <v>2247</v>
      </c>
      <c r="G15" s="3408">
        <v>0.59</v>
      </c>
      <c r="H15" s="3409"/>
      <c r="I15" s="3410">
        <v>1967</v>
      </c>
      <c r="J15" s="3411">
        <f>(I15/I31)*100</f>
        <v>0.39022977332153586</v>
      </c>
      <c r="K15" s="3409">
        <f>I15/F15-1</f>
        <v>-0.12461059190031154</v>
      </c>
      <c r="L15" s="3410">
        <v>4379</v>
      </c>
      <c r="M15" s="3411">
        <f t="shared" si="11"/>
        <v>0.64586830127344752</v>
      </c>
      <c r="N15" s="3409">
        <f>L15/I15-1</f>
        <v>1.2262328418912047</v>
      </c>
      <c r="O15" s="3410">
        <v>3658</v>
      </c>
      <c r="P15" s="3411">
        <f t="shared" si="0"/>
        <v>0.88444436922288339</v>
      </c>
      <c r="Q15" s="3409">
        <f>O15/L15-1</f>
        <v>-0.16464946334779629</v>
      </c>
      <c r="R15" s="3410">
        <v>3983</v>
      </c>
      <c r="S15" s="3411">
        <f t="shared" si="4"/>
        <v>0.47301060622074859</v>
      </c>
      <c r="T15" s="3409">
        <f>R15/O15-1</f>
        <v>8.8846364133406297E-2</v>
      </c>
      <c r="U15" s="3410">
        <v>6146</v>
      </c>
      <c r="V15" s="3411">
        <f t="shared" si="6"/>
        <v>0.53442827652532932</v>
      </c>
      <c r="W15" s="3409">
        <f t="shared" si="12"/>
        <v>0.54305799648506148</v>
      </c>
      <c r="X15" s="3412">
        <v>10501</v>
      </c>
      <c r="Y15" s="3413">
        <f t="shared" si="7"/>
        <v>1.3148059343435925</v>
      </c>
      <c r="Z15" s="3414">
        <f t="shared" si="13"/>
        <v>0.70859095346566869</v>
      </c>
      <c r="AA15" s="3412">
        <v>5967</v>
      </c>
      <c r="AB15" s="3413">
        <f t="shared" si="8"/>
        <v>0.89796974863769541</v>
      </c>
      <c r="AC15" s="3414">
        <f t="shared" si="14"/>
        <v>-0.43176840300923724</v>
      </c>
      <c r="AD15" s="3412">
        <v>6630</v>
      </c>
      <c r="AE15" s="3413">
        <f t="shared" si="9"/>
        <v>1.2345265227689144</v>
      </c>
      <c r="AF15" s="3414">
        <f t="shared" si="15"/>
        <v>0.11111111111111116</v>
      </c>
      <c r="AG15" s="3412">
        <v>1731</v>
      </c>
      <c r="AH15" s="3413">
        <f t="shared" si="10"/>
        <v>0.19458861538565306</v>
      </c>
      <c r="AI15" s="3414">
        <f t="shared" si="16"/>
        <v>-0.73891402714932131</v>
      </c>
      <c r="AJ15" s="6292"/>
      <c r="AK15" s="6288"/>
      <c r="AL15" s="6288"/>
    </row>
    <row r="16" spans="1:38">
      <c r="B16" s="2261">
        <v>10</v>
      </c>
      <c r="C16" s="3419" t="s">
        <v>404</v>
      </c>
      <c r="D16" s="3415"/>
      <c r="E16" s="3416"/>
      <c r="F16" s="3407">
        <v>2691</v>
      </c>
      <c r="G16" s="3408">
        <v>0.7</v>
      </c>
      <c r="H16" s="3409"/>
      <c r="I16" s="3410">
        <v>2552</v>
      </c>
      <c r="J16" s="3411">
        <f>(I16/I31)*100</f>
        <v>0.50628692502112838</v>
      </c>
      <c r="K16" s="3409">
        <f>I16/F16-1</f>
        <v>-5.1653660349312513E-2</v>
      </c>
      <c r="L16" s="3410">
        <v>3355</v>
      </c>
      <c r="M16" s="3411">
        <f t="shared" si="11"/>
        <v>0.49483629841799881</v>
      </c>
      <c r="N16" s="3409">
        <f>L16/I16-1</f>
        <v>0.31465517241379315</v>
      </c>
      <c r="O16" s="3410">
        <v>1078</v>
      </c>
      <c r="P16" s="3411">
        <f t="shared" si="0"/>
        <v>0.26064270913676008</v>
      </c>
      <c r="Q16" s="3409">
        <f>O16/L16-1</f>
        <v>-0.67868852459016393</v>
      </c>
      <c r="R16" s="3410">
        <v>847</v>
      </c>
      <c r="S16" s="3411">
        <f t="shared" si="4"/>
        <v>0.10058749271126639</v>
      </c>
      <c r="T16" s="3409">
        <f>R16/O16-1</f>
        <v>-0.2142857142857143</v>
      </c>
      <c r="U16" s="3410">
        <v>1514</v>
      </c>
      <c r="V16" s="3411">
        <f t="shared" si="6"/>
        <v>0.13165057121043744</v>
      </c>
      <c r="W16" s="3409">
        <f t="shared" si="12"/>
        <v>0.78748524203069659</v>
      </c>
      <c r="X16" s="3412">
        <v>1620</v>
      </c>
      <c r="Y16" s="3413">
        <f t="shared" si="7"/>
        <v>0.20283645496968097</v>
      </c>
      <c r="Z16" s="3414">
        <f t="shared" si="13"/>
        <v>7.0013210039630014E-2</v>
      </c>
      <c r="AA16" s="3412">
        <v>2697</v>
      </c>
      <c r="AB16" s="3413">
        <f t="shared" si="8"/>
        <v>0.40586968528169337</v>
      </c>
      <c r="AC16" s="3414">
        <f t="shared" si="14"/>
        <v>0.66481481481481475</v>
      </c>
      <c r="AD16" s="3412">
        <v>1660</v>
      </c>
      <c r="AE16" s="3413">
        <f t="shared" si="9"/>
        <v>0.30909713843082925</v>
      </c>
      <c r="AF16" s="3414">
        <f t="shared" si="15"/>
        <v>-0.38450129773822761</v>
      </c>
      <c r="AG16" s="3412">
        <v>1632</v>
      </c>
      <c r="AH16" s="3413">
        <f t="shared" si="10"/>
        <v>0.18345963045025176</v>
      </c>
      <c r="AI16" s="3414">
        <f t="shared" si="16"/>
        <v>-1.6867469879518038E-2</v>
      </c>
    </row>
    <row r="17" spans="2:35" ht="28.8">
      <c r="B17" s="2261">
        <v>11</v>
      </c>
      <c r="C17" s="3419" t="s">
        <v>678</v>
      </c>
      <c r="D17" s="3415"/>
      <c r="E17" s="3416"/>
      <c r="F17" s="3407">
        <v>3975</v>
      </c>
      <c r="G17" s="3408">
        <v>1.04</v>
      </c>
      <c r="H17" s="3409"/>
      <c r="I17" s="3410">
        <v>4353</v>
      </c>
      <c r="J17" s="3411">
        <f>(I17/I31)*100</f>
        <v>0.86358424162107039</v>
      </c>
      <c r="K17" s="3409">
        <f t="shared" si="1"/>
        <v>9.5094339622641577E-2</v>
      </c>
      <c r="L17" s="3410">
        <v>3097</v>
      </c>
      <c r="M17" s="3411">
        <f t="shared" si="11"/>
        <v>0.45678331332355948</v>
      </c>
      <c r="N17" s="3409">
        <f t="shared" si="2"/>
        <v>-0.28853664139673785</v>
      </c>
      <c r="O17" s="3410">
        <v>1245</v>
      </c>
      <c r="P17" s="3411">
        <f t="shared" si="0"/>
        <v>0.30102056852993164</v>
      </c>
      <c r="Q17" s="3409">
        <f t="shared" si="3"/>
        <v>-0.59799806264126576</v>
      </c>
      <c r="R17" s="3410">
        <v>7679</v>
      </c>
      <c r="S17" s="3411">
        <f t="shared" si="4"/>
        <v>0.91193784714263837</v>
      </c>
      <c r="T17" s="3409">
        <f t="shared" ref="T17:T31" si="17">R17/O17-1</f>
        <v>5.1678714859437749</v>
      </c>
      <c r="U17" s="3410">
        <v>17816</v>
      </c>
      <c r="V17" s="3411">
        <f t="shared" si="6"/>
        <v>1.5491985314961383</v>
      </c>
      <c r="W17" s="3409">
        <f t="shared" si="12"/>
        <v>1.3200937622086211</v>
      </c>
      <c r="X17" s="3412">
        <v>29270</v>
      </c>
      <c r="Y17" s="3413">
        <f t="shared" si="7"/>
        <v>3.6648290351620751</v>
      </c>
      <c r="Z17" s="3414">
        <f t="shared" si="13"/>
        <v>0.64290525370453522</v>
      </c>
      <c r="AA17" s="3412">
        <v>87833</v>
      </c>
      <c r="AB17" s="3413">
        <f t="shared" si="8"/>
        <v>13.217928093195026</v>
      </c>
      <c r="AC17" s="3414">
        <f t="shared" si="14"/>
        <v>2.0007857874957296</v>
      </c>
      <c r="AD17" s="3412">
        <v>18038</v>
      </c>
      <c r="AE17" s="3413">
        <f t="shared" si="9"/>
        <v>3.3587314355513849</v>
      </c>
      <c r="AF17" s="3414">
        <f t="shared" si="15"/>
        <v>-0.79463299670966492</v>
      </c>
      <c r="AG17" s="3412">
        <v>161383</v>
      </c>
      <c r="AH17" s="3413">
        <f t="shared" si="10"/>
        <v>18.141706826564324</v>
      </c>
      <c r="AI17" s="3414">
        <f t="shared" si="16"/>
        <v>7.9468344605832133</v>
      </c>
    </row>
    <row r="18" spans="2:35">
      <c r="B18" s="2261">
        <v>12</v>
      </c>
      <c r="C18" s="3419" t="s">
        <v>401</v>
      </c>
      <c r="D18" s="3415"/>
      <c r="E18" s="3416"/>
      <c r="F18" s="3407">
        <v>3523</v>
      </c>
      <c r="G18" s="3408">
        <v>0.92</v>
      </c>
      <c r="H18" s="3409"/>
      <c r="I18" s="3410">
        <v>3640</v>
      </c>
      <c r="J18" s="3411">
        <f>(I18/I31)*100</f>
        <v>0.72213338835301999</v>
      </c>
      <c r="K18" s="3409">
        <f t="shared" si="1"/>
        <v>3.3210332103321027E-2</v>
      </c>
      <c r="L18" s="3410">
        <v>2384</v>
      </c>
      <c r="M18" s="3411">
        <f t="shared" si="11"/>
        <v>0.35162138164784179</v>
      </c>
      <c r="N18" s="3409">
        <f t="shared" si="2"/>
        <v>-0.34505494505494505</v>
      </c>
      <c r="O18" s="3410">
        <v>1047</v>
      </c>
      <c r="P18" s="3411">
        <f t="shared" si="0"/>
        <v>0.25314741787215939</v>
      </c>
      <c r="Q18" s="3409">
        <f t="shared" si="3"/>
        <v>-0.56082214765100669</v>
      </c>
      <c r="R18" s="3410">
        <v>1481</v>
      </c>
      <c r="S18" s="3411">
        <f t="shared" si="4"/>
        <v>0.17587966553174209</v>
      </c>
      <c r="T18" s="3409">
        <f t="shared" si="17"/>
        <v>0.41451766953199609</v>
      </c>
      <c r="U18" s="3410">
        <v>733</v>
      </c>
      <c r="V18" s="3411">
        <f t="shared" si="6"/>
        <v>6.3738354489597512E-2</v>
      </c>
      <c r="W18" s="3409">
        <f t="shared" si="12"/>
        <v>-0.50506414584740034</v>
      </c>
      <c r="X18" s="3412">
        <v>1601</v>
      </c>
      <c r="Y18" s="3413">
        <f t="shared" si="7"/>
        <v>0.20045750889287603</v>
      </c>
      <c r="Z18" s="3414">
        <f t="shared" si="13"/>
        <v>1.1841746248294678</v>
      </c>
      <c r="AA18" s="3412">
        <v>2474</v>
      </c>
      <c r="AB18" s="3413">
        <f t="shared" si="8"/>
        <v>0.37231056781123822</v>
      </c>
      <c r="AC18" s="3414">
        <f t="shared" si="14"/>
        <v>0.54528419737663958</v>
      </c>
      <c r="AD18" s="3412">
        <v>2700</v>
      </c>
      <c r="AE18" s="3413">
        <f t="shared" si="9"/>
        <v>0.50274835768869819</v>
      </c>
      <c r="AF18" s="3414">
        <f t="shared" si="15"/>
        <v>9.1350040420371759E-2</v>
      </c>
      <c r="AG18" s="3412">
        <v>3328</v>
      </c>
      <c r="AH18" s="3413">
        <f t="shared" si="10"/>
        <v>0.3741137562122781</v>
      </c>
      <c r="AI18" s="3414">
        <f t="shared" si="16"/>
        <v>0.23259259259259268</v>
      </c>
    </row>
    <row r="19" spans="2:35">
      <c r="B19" s="2261">
        <v>13</v>
      </c>
      <c r="C19" s="3419" t="s">
        <v>195</v>
      </c>
      <c r="D19" s="3415"/>
      <c r="E19" s="3416"/>
      <c r="F19" s="3407">
        <v>3419</v>
      </c>
      <c r="G19" s="3408">
        <v>0.9</v>
      </c>
      <c r="H19" s="3409"/>
      <c r="I19" s="3410">
        <v>3313</v>
      </c>
      <c r="J19" s="3411">
        <f>(I19/I31)*100</f>
        <v>0.65726041637735044</v>
      </c>
      <c r="K19" s="3409">
        <f t="shared" si="1"/>
        <v>-3.1003217315004439E-2</v>
      </c>
      <c r="L19" s="3410">
        <v>2323</v>
      </c>
      <c r="M19" s="3411">
        <f t="shared" si="11"/>
        <v>0.34262435804024177</v>
      </c>
      <c r="N19" s="3409">
        <f t="shared" si="2"/>
        <v>-0.2988228191971023</v>
      </c>
      <c r="O19" s="3410">
        <v>759</v>
      </c>
      <c r="P19" s="3411">
        <f t="shared" si="0"/>
        <v>0.18351374418812696</v>
      </c>
      <c r="Q19" s="3409">
        <f t="shared" si="3"/>
        <v>-0.6732673267326732</v>
      </c>
      <c r="R19" s="3410">
        <v>402</v>
      </c>
      <c r="S19" s="3411">
        <f t="shared" si="4"/>
        <v>4.7740462892478262E-2</v>
      </c>
      <c r="T19" s="3409">
        <f t="shared" si="17"/>
        <v>-0.47035573122529639</v>
      </c>
      <c r="U19" s="3410">
        <v>3096</v>
      </c>
      <c r="V19" s="3411">
        <f t="shared" si="6"/>
        <v>0.26921411391513494</v>
      </c>
      <c r="W19" s="3409">
        <f t="shared" si="12"/>
        <v>6.7014925373134329</v>
      </c>
      <c r="X19" s="3412">
        <v>937</v>
      </c>
      <c r="Y19" s="3413">
        <f t="shared" si="7"/>
        <v>0.11731960389295745</v>
      </c>
      <c r="Z19" s="3414">
        <f t="shared" si="13"/>
        <v>-0.69735142118863047</v>
      </c>
      <c r="AA19" s="3412">
        <v>1159</v>
      </c>
      <c r="AB19" s="3413">
        <f t="shared" si="8"/>
        <v>0.17441711725676035</v>
      </c>
      <c r="AC19" s="3414">
        <f t="shared" si="14"/>
        <v>0.23692636072572038</v>
      </c>
      <c r="AD19" s="3412">
        <v>1044</v>
      </c>
      <c r="AE19" s="3413">
        <f t="shared" si="9"/>
        <v>0.19439603163962998</v>
      </c>
      <c r="AF19" s="3414">
        <f t="shared" si="15"/>
        <v>-9.9223468507333878E-2</v>
      </c>
      <c r="AG19" s="3412">
        <v>1973</v>
      </c>
      <c r="AH19" s="3413">
        <f t="shared" si="10"/>
        <v>0.22179280078330069</v>
      </c>
      <c r="AI19" s="3414">
        <f t="shared" si="16"/>
        <v>0.88984674329501923</v>
      </c>
    </row>
    <row r="20" spans="2:35">
      <c r="B20" s="2261">
        <v>14</v>
      </c>
      <c r="C20" s="3419" t="s">
        <v>677</v>
      </c>
      <c r="D20" s="3405">
        <v>71847</v>
      </c>
      <c r="E20" s="3406">
        <v>0.20123462668507777</v>
      </c>
      <c r="F20" s="3407"/>
      <c r="G20" s="3408"/>
      <c r="H20" s="3409">
        <f>F20/D20-1</f>
        <v>-1</v>
      </c>
      <c r="I20" s="3410"/>
      <c r="J20" s="3411"/>
      <c r="K20" s="3409"/>
      <c r="L20" s="3410">
        <v>2411</v>
      </c>
      <c r="M20" s="3411">
        <f t="shared" si="11"/>
        <v>0.35560367078563188</v>
      </c>
      <c r="N20" s="3409"/>
      <c r="O20" s="3410">
        <v>1059</v>
      </c>
      <c r="P20" s="3411">
        <f t="shared" si="0"/>
        <v>0.25604882094232734</v>
      </c>
      <c r="Q20" s="3409">
        <f>O20/L20-1</f>
        <v>-0.56076316880962263</v>
      </c>
      <c r="R20" s="3410">
        <v>737</v>
      </c>
      <c r="S20" s="3411">
        <f t="shared" si="4"/>
        <v>8.752418196954348E-2</v>
      </c>
      <c r="T20" s="3409">
        <f>R20/O20-1</f>
        <v>-0.3040604343720491</v>
      </c>
      <c r="U20" s="3410">
        <v>1105</v>
      </c>
      <c r="V20" s="3411">
        <f t="shared" si="6"/>
        <v>9.6085786781726135E-2</v>
      </c>
      <c r="W20" s="3409">
        <f t="shared" si="12"/>
        <v>0.49932157394843957</v>
      </c>
      <c r="X20" s="3412">
        <v>933</v>
      </c>
      <c r="Y20" s="3413">
        <f t="shared" si="7"/>
        <v>0.11681877313994588</v>
      </c>
      <c r="Z20" s="3414">
        <f t="shared" si="13"/>
        <v>-0.15565610859728507</v>
      </c>
      <c r="AA20" s="3412">
        <v>1115</v>
      </c>
      <c r="AB20" s="3413">
        <f t="shared" si="8"/>
        <v>0.16779558735227593</v>
      </c>
      <c r="AC20" s="3414">
        <f t="shared" si="14"/>
        <v>0.195069667738478</v>
      </c>
      <c r="AD20" s="3412">
        <v>1274</v>
      </c>
      <c r="AE20" s="3413">
        <f t="shared" si="9"/>
        <v>0.23722274359088946</v>
      </c>
      <c r="AF20" s="3414">
        <f t="shared" si="15"/>
        <v>0.14260089686098665</v>
      </c>
      <c r="AG20" s="3412">
        <v>1314</v>
      </c>
      <c r="AH20" s="3413">
        <f t="shared" si="10"/>
        <v>0.14771198186987183</v>
      </c>
      <c r="AI20" s="3414">
        <f t="shared" si="16"/>
        <v>3.1397174254317095E-2</v>
      </c>
    </row>
    <row r="21" spans="2:35">
      <c r="B21" s="2261">
        <v>15</v>
      </c>
      <c r="C21" s="3419" t="s">
        <v>402</v>
      </c>
      <c r="D21" s="3405">
        <v>5480</v>
      </c>
      <c r="E21" s="3406">
        <v>1.5348807246429582E-2</v>
      </c>
      <c r="F21" s="3407">
        <v>2446</v>
      </c>
      <c r="G21" s="3408">
        <v>0.64</v>
      </c>
      <c r="H21" s="3409">
        <f>F21/D21-1</f>
        <v>-0.55364963503649633</v>
      </c>
      <c r="I21" s="3410">
        <v>2297</v>
      </c>
      <c r="J21" s="3411">
        <f>(I21/I31)*100</f>
        <v>0.45569791017771621</v>
      </c>
      <c r="K21" s="3409">
        <f t="shared" si="1"/>
        <v>-6.0915780866721225E-2</v>
      </c>
      <c r="L21" s="3410">
        <v>1981</v>
      </c>
      <c r="M21" s="3411">
        <f t="shared" si="11"/>
        <v>0.29218202896156648</v>
      </c>
      <c r="N21" s="3409">
        <f t="shared" si="2"/>
        <v>-0.13757074444928163</v>
      </c>
      <c r="O21" s="3410">
        <v>1009</v>
      </c>
      <c r="P21" s="3411">
        <f t="shared" si="0"/>
        <v>0.24395964148329397</v>
      </c>
      <c r="Q21" s="3409">
        <f t="shared" si="3"/>
        <v>-0.49066128218071681</v>
      </c>
      <c r="R21" s="3410">
        <v>972</v>
      </c>
      <c r="S21" s="3411">
        <f t="shared" si="4"/>
        <v>0.11543216400867878</v>
      </c>
      <c r="T21" s="3409">
        <f t="shared" si="17"/>
        <v>-3.6669970267591667E-2</v>
      </c>
      <c r="U21" s="3410">
        <v>1939</v>
      </c>
      <c r="V21" s="3411">
        <f t="shared" si="6"/>
        <v>0.16860664304956285</v>
      </c>
      <c r="W21" s="3409">
        <f t="shared" si="12"/>
        <v>0.99485596707818935</v>
      </c>
      <c r="X21" s="3412">
        <v>2677</v>
      </c>
      <c r="Y21" s="3413">
        <f t="shared" si="7"/>
        <v>0.33518098145298514</v>
      </c>
      <c r="Z21" s="3414">
        <f t="shared" si="13"/>
        <v>0.38060856111397623</v>
      </c>
      <c r="AA21" s="3412">
        <v>2545</v>
      </c>
      <c r="AB21" s="3413">
        <f t="shared" si="8"/>
        <v>0.38299530924801994</v>
      </c>
      <c r="AC21" s="3414">
        <f t="shared" si="14"/>
        <v>-4.9308927904370581E-2</v>
      </c>
      <c r="AD21" s="3412">
        <v>2697</v>
      </c>
      <c r="AE21" s="3413">
        <f t="shared" si="9"/>
        <v>0.5021897484023774</v>
      </c>
      <c r="AF21" s="3414">
        <f t="shared" si="15"/>
        <v>5.972495088408647E-2</v>
      </c>
      <c r="AG21" s="3412">
        <v>1415</v>
      </c>
      <c r="AH21" s="3413">
        <f t="shared" si="10"/>
        <v>0.15906579478376606</v>
      </c>
      <c r="AI21" s="3414">
        <f t="shared" si="16"/>
        <v>-0.47534297367445311</v>
      </c>
    </row>
    <row r="22" spans="2:35">
      <c r="B22" s="2261">
        <v>16</v>
      </c>
      <c r="C22" s="3419" t="s">
        <v>197</v>
      </c>
      <c r="D22" s="3417"/>
      <c r="E22" s="3418"/>
      <c r="F22" s="3407">
        <v>2005</v>
      </c>
      <c r="G22" s="3408">
        <v>0.53</v>
      </c>
      <c r="H22" s="3409"/>
      <c r="I22" s="3410">
        <v>1132</v>
      </c>
      <c r="J22" s="3411">
        <f>(I22/I31)*100</f>
        <v>0.22457554824604911</v>
      </c>
      <c r="K22" s="3409">
        <f>I22/F22-1</f>
        <v>-0.43541147132169578</v>
      </c>
      <c r="L22" s="3410">
        <v>1236</v>
      </c>
      <c r="M22" s="3411">
        <f t="shared" si="11"/>
        <v>0.18230034719661595</v>
      </c>
      <c r="N22" s="3409">
        <f>L22/I22-1</f>
        <v>9.1872791519434616E-2</v>
      </c>
      <c r="O22" s="3410">
        <v>1195</v>
      </c>
      <c r="P22" s="3411">
        <f t="shared" si="0"/>
        <v>0.28893138907089821</v>
      </c>
      <c r="Q22" s="3409">
        <f>O22/L22-1</f>
        <v>-3.3171521035598728E-2</v>
      </c>
      <c r="R22" s="3410">
        <v>1397</v>
      </c>
      <c r="S22" s="3411">
        <f t="shared" si="4"/>
        <v>0.16590404641988094</v>
      </c>
      <c r="T22" s="3409">
        <f>R22/O22-1</f>
        <v>0.16903765690376571</v>
      </c>
      <c r="U22" s="3410">
        <v>1996</v>
      </c>
      <c r="V22" s="3411">
        <f t="shared" si="6"/>
        <v>0.17356310444916323</v>
      </c>
      <c r="W22" s="3409">
        <f t="shared" si="12"/>
        <v>0.42877594846098788</v>
      </c>
      <c r="X22" s="3412">
        <v>2185</v>
      </c>
      <c r="Y22" s="3413">
        <f t="shared" si="7"/>
        <v>0.27357879883256353</v>
      </c>
      <c r="Z22" s="3414">
        <f t="shared" si="13"/>
        <v>9.468937875751493E-2</v>
      </c>
      <c r="AA22" s="3412">
        <v>3005</v>
      </c>
      <c r="AB22" s="3413">
        <f t="shared" si="8"/>
        <v>0.45222039461308444</v>
      </c>
      <c r="AC22" s="3414">
        <f t="shared" si="14"/>
        <v>0.37528604118993125</v>
      </c>
      <c r="AD22" s="3412">
        <v>2055</v>
      </c>
      <c r="AE22" s="3413">
        <f t="shared" si="9"/>
        <v>0.38264736112973141</v>
      </c>
      <c r="AF22" s="3414">
        <f t="shared" si="15"/>
        <v>-0.31613976705490854</v>
      </c>
      <c r="AG22" s="3412">
        <v>1582</v>
      </c>
      <c r="AH22" s="3413">
        <f t="shared" si="10"/>
        <v>0.17783893098792788</v>
      </c>
      <c r="AI22" s="3414">
        <f t="shared" si="16"/>
        <v>-0.23017031630170315</v>
      </c>
    </row>
    <row r="23" spans="2:35">
      <c r="B23" s="2261">
        <v>17</v>
      </c>
      <c r="C23" s="3419" t="s">
        <v>403</v>
      </c>
      <c r="D23" s="3415"/>
      <c r="E23" s="3416"/>
      <c r="F23" s="3407">
        <v>2205</v>
      </c>
      <c r="G23" s="3408">
        <v>0.57999999999999996</v>
      </c>
      <c r="H23" s="3409"/>
      <c r="I23" s="3410">
        <v>2486</v>
      </c>
      <c r="J23" s="3411">
        <f>(I23/I31)*100</f>
        <v>0.49319329764989223</v>
      </c>
      <c r="K23" s="3409">
        <f t="shared" si="1"/>
        <v>0.12743764172335603</v>
      </c>
      <c r="L23" s="3410">
        <v>953</v>
      </c>
      <c r="M23" s="3411">
        <f t="shared" si="11"/>
        <v>0.14056005734496357</v>
      </c>
      <c r="N23" s="3409">
        <f t="shared" si="2"/>
        <v>-0.61665325824617856</v>
      </c>
      <c r="O23" s="3410">
        <v>564</v>
      </c>
      <c r="P23" s="3411">
        <f t="shared" si="0"/>
        <v>0.13636594429789672</v>
      </c>
      <c r="Q23" s="3409">
        <f t="shared" si="3"/>
        <v>-0.40818467995802732</v>
      </c>
      <c r="R23" s="3410">
        <v>588</v>
      </c>
      <c r="S23" s="3411">
        <f t="shared" si="4"/>
        <v>6.98293337830279E-2</v>
      </c>
      <c r="T23" s="3409">
        <f t="shared" si="17"/>
        <v>4.2553191489361764E-2</v>
      </c>
      <c r="U23" s="3410">
        <v>1146</v>
      </c>
      <c r="V23" s="3411">
        <f t="shared" si="6"/>
        <v>9.9650960770912345E-2</v>
      </c>
      <c r="W23" s="3409">
        <f t="shared" ref="W23:W31" si="18">U23/R23-1</f>
        <v>0.94897959183673475</v>
      </c>
      <c r="X23" s="3412">
        <v>1152</v>
      </c>
      <c r="Y23" s="3413">
        <f t="shared" si="7"/>
        <v>0.14423925686732869</v>
      </c>
      <c r="Z23" s="3414">
        <f t="shared" ref="Z23:Z31" si="19">X23/U23-1</f>
        <v>5.2356020942407877E-3</v>
      </c>
      <c r="AA23" s="3412">
        <v>2773</v>
      </c>
      <c r="AB23" s="3413">
        <f t="shared" si="8"/>
        <v>0.41730687329853022</v>
      </c>
      <c r="AC23" s="3414">
        <f t="shared" ref="AC23:AC31" si="20">AA23/X23-1</f>
        <v>1.4071180555555554</v>
      </c>
      <c r="AD23" s="3412">
        <v>4026</v>
      </c>
      <c r="AE23" s="3413">
        <f t="shared" si="9"/>
        <v>0.74965366224248109</v>
      </c>
      <c r="AF23" s="3414">
        <f t="shared" si="15"/>
        <v>0.45185719437432392</v>
      </c>
      <c r="AG23" s="3412">
        <v>2495</v>
      </c>
      <c r="AH23" s="3413">
        <f t="shared" si="10"/>
        <v>0.2804729031699621</v>
      </c>
      <c r="AI23" s="3414">
        <f t="shared" ref="AI23:AI28" si="21">AG23/AD23-1</f>
        <v>-0.38027819175360156</v>
      </c>
    </row>
    <row r="24" spans="2:35">
      <c r="B24" s="2261">
        <v>18</v>
      </c>
      <c r="C24" s="3419" t="s">
        <v>198</v>
      </c>
      <c r="D24" s="3415"/>
      <c r="E24" s="3416"/>
      <c r="F24" s="3407">
        <v>1721</v>
      </c>
      <c r="G24" s="3408">
        <v>0.45</v>
      </c>
      <c r="H24" s="3409"/>
      <c r="I24" s="3410">
        <v>968</v>
      </c>
      <c r="J24" s="3411">
        <f>(I24/I31)*100</f>
        <v>0.19203986811146248</v>
      </c>
      <c r="K24" s="3409">
        <f t="shared" si="1"/>
        <v>-0.43753631609529342</v>
      </c>
      <c r="L24" s="3410">
        <v>777</v>
      </c>
      <c r="M24" s="3411">
        <f t="shared" si="11"/>
        <v>0.11460143185418332</v>
      </c>
      <c r="N24" s="3409">
        <f t="shared" si="2"/>
        <v>-0.1973140495867769</v>
      </c>
      <c r="O24" s="3410">
        <v>353</v>
      </c>
      <c r="P24" s="3411">
        <f t="shared" si="0"/>
        <v>8.5349606980775788E-2</v>
      </c>
      <c r="Q24" s="3409">
        <f t="shared" si="3"/>
        <v>-0.54568854568854563</v>
      </c>
      <c r="R24" s="3410">
        <v>294</v>
      </c>
      <c r="S24" s="3411">
        <f t="shared" si="4"/>
        <v>3.491466689151395E-2</v>
      </c>
      <c r="T24" s="3409">
        <f t="shared" si="17"/>
        <v>-0.16713881019830024</v>
      </c>
      <c r="U24" s="3410">
        <v>522</v>
      </c>
      <c r="V24" s="3411">
        <f t="shared" si="6"/>
        <v>4.5390751764761122E-2</v>
      </c>
      <c r="W24" s="3409">
        <f t="shared" si="18"/>
        <v>0.77551020408163263</v>
      </c>
      <c r="X24" s="3412">
        <v>780</v>
      </c>
      <c r="Y24" s="3413">
        <f t="shared" si="7"/>
        <v>9.7661996837253795E-2</v>
      </c>
      <c r="Z24" s="3414">
        <f t="shared" si="19"/>
        <v>0.49425287356321834</v>
      </c>
      <c r="AA24" s="3412">
        <v>1194</v>
      </c>
      <c r="AB24" s="3413">
        <f t="shared" si="8"/>
        <v>0.17968424331714569</v>
      </c>
      <c r="AC24" s="3414">
        <f t="shared" si="20"/>
        <v>0.53076923076923066</v>
      </c>
      <c r="AD24" s="3412">
        <v>1087</v>
      </c>
      <c r="AE24" s="3413">
        <f t="shared" si="9"/>
        <v>0.20240276474356111</v>
      </c>
      <c r="AF24" s="3414">
        <f t="shared" si="15"/>
        <v>-8.9614740368509249E-2</v>
      </c>
      <c r="AG24" s="3412">
        <v>991</v>
      </c>
      <c r="AH24" s="3413">
        <f t="shared" si="10"/>
        <v>0.11140226334325949</v>
      </c>
      <c r="AI24" s="3414">
        <f t="shared" si="21"/>
        <v>-8.8316467341306382E-2</v>
      </c>
    </row>
    <row r="25" spans="2:35">
      <c r="B25" s="2261">
        <v>19</v>
      </c>
      <c r="C25" s="3419" t="s">
        <v>199</v>
      </c>
      <c r="D25" s="3415"/>
      <c r="E25" s="3416"/>
      <c r="F25" s="3407">
        <v>1582</v>
      </c>
      <c r="G25" s="3408">
        <v>0.41</v>
      </c>
      <c r="H25" s="3409"/>
      <c r="I25" s="3410">
        <v>757</v>
      </c>
      <c r="J25" s="3411">
        <f>(I25/I31)*100</f>
        <v>0.15017993818220776</v>
      </c>
      <c r="K25" s="3409">
        <f t="shared" si="1"/>
        <v>-0.52149178255372952</v>
      </c>
      <c r="L25" s="3410">
        <v>725</v>
      </c>
      <c r="M25" s="3411">
        <f t="shared" si="11"/>
        <v>0.10693183795918006</v>
      </c>
      <c r="N25" s="3409">
        <f t="shared" si="2"/>
        <v>-4.2272126816380484E-2</v>
      </c>
      <c r="O25" s="3410">
        <v>283</v>
      </c>
      <c r="P25" s="3411">
        <f t="shared" si="0"/>
        <v>6.8424755738129034E-2</v>
      </c>
      <c r="Q25" s="3409">
        <f t="shared" si="3"/>
        <v>-0.60965517241379308</v>
      </c>
      <c r="R25" s="3410">
        <v>2048</v>
      </c>
      <c r="S25" s="3411">
        <f t="shared" si="4"/>
        <v>0.2432150945368047</v>
      </c>
      <c r="T25" s="3409">
        <f t="shared" si="17"/>
        <v>6.2367491166077738</v>
      </c>
      <c r="U25" s="3410">
        <v>1379</v>
      </c>
      <c r="V25" s="3411">
        <f t="shared" si="6"/>
        <v>0.11991158368506818</v>
      </c>
      <c r="W25" s="3409">
        <f t="shared" si="18"/>
        <v>-0.32666015625</v>
      </c>
      <c r="X25" s="3412">
        <v>1561</v>
      </c>
      <c r="Y25" s="3413">
        <f t="shared" si="7"/>
        <v>0.19544920136276045</v>
      </c>
      <c r="Z25" s="3414">
        <f t="shared" si="19"/>
        <v>0.13197969543147203</v>
      </c>
      <c r="AA25" s="3412">
        <v>5972</v>
      </c>
      <c r="AB25" s="3413">
        <f t="shared" si="8"/>
        <v>0.89872219521775054</v>
      </c>
      <c r="AC25" s="3414">
        <f t="shared" si="20"/>
        <v>2.8257527226137094</v>
      </c>
      <c r="AD25" s="3412">
        <v>4506</v>
      </c>
      <c r="AE25" s="3413">
        <f t="shared" si="9"/>
        <v>0.8390311480538053</v>
      </c>
      <c r="AF25" s="3414">
        <f t="shared" si="15"/>
        <v>-0.24547890154052243</v>
      </c>
      <c r="AG25" s="3412">
        <v>9184</v>
      </c>
      <c r="AH25" s="3413">
        <f t="shared" si="10"/>
        <v>1.0324100772396518</v>
      </c>
      <c r="AI25" s="3414">
        <f t="shared" si="21"/>
        <v>1.0381713271193962</v>
      </c>
    </row>
    <row r="26" spans="2:35">
      <c r="B26" s="2261">
        <v>20</v>
      </c>
      <c r="C26" s="3419" t="s">
        <v>200</v>
      </c>
      <c r="D26" s="3415"/>
      <c r="E26" s="3416"/>
      <c r="F26" s="3407">
        <v>1141</v>
      </c>
      <c r="G26" s="3408">
        <v>0.3</v>
      </c>
      <c r="H26" s="3409"/>
      <c r="I26" s="3410">
        <v>452</v>
      </c>
      <c r="J26" s="3411">
        <f>(I26/I31)*100</f>
        <v>8.9671508663616784E-2</v>
      </c>
      <c r="K26" s="3409">
        <f t="shared" si="1"/>
        <v>-0.60385626643295354</v>
      </c>
      <c r="L26" s="3410">
        <v>355</v>
      </c>
      <c r="M26" s="3411">
        <f t="shared" si="11"/>
        <v>5.2359727552426093E-2</v>
      </c>
      <c r="N26" s="3409">
        <f t="shared" si="2"/>
        <v>-0.21460176991150437</v>
      </c>
      <c r="O26" s="3410">
        <v>441</v>
      </c>
      <c r="P26" s="3411">
        <f t="shared" si="0"/>
        <v>0.10662656282867455</v>
      </c>
      <c r="Q26" s="3409">
        <f t="shared" si="3"/>
        <v>0.24225352112676046</v>
      </c>
      <c r="R26" s="3410">
        <v>776</v>
      </c>
      <c r="S26" s="3411">
        <f t="shared" si="4"/>
        <v>9.2155719414336146E-2</v>
      </c>
      <c r="T26" s="3409">
        <f t="shared" si="17"/>
        <v>0.75963718820861681</v>
      </c>
      <c r="U26" s="3410">
        <v>1023</v>
      </c>
      <c r="V26" s="3411">
        <f t="shared" si="6"/>
        <v>8.8955438803353701E-2</v>
      </c>
      <c r="W26" s="3409">
        <f t="shared" si="18"/>
        <v>0.31829896907216493</v>
      </c>
      <c r="X26" s="3412">
        <v>1146</v>
      </c>
      <c r="Y26" s="3413">
        <f t="shared" si="7"/>
        <v>0.14348801073781134</v>
      </c>
      <c r="Z26" s="3414">
        <f t="shared" si="19"/>
        <v>0.12023460410557174</v>
      </c>
      <c r="AA26" s="3412">
        <v>3037</v>
      </c>
      <c r="AB26" s="3413">
        <f t="shared" si="8"/>
        <v>0.45703605272543679</v>
      </c>
      <c r="AC26" s="3414">
        <f t="shared" si="20"/>
        <v>1.6500872600349039</v>
      </c>
      <c r="AD26" s="3412">
        <v>4798</v>
      </c>
      <c r="AE26" s="3413">
        <f t="shared" si="9"/>
        <v>0.89340245192236067</v>
      </c>
      <c r="AF26" s="3414">
        <f t="shared" si="15"/>
        <v>0.5798485347382285</v>
      </c>
      <c r="AG26" s="3412">
        <v>3146</v>
      </c>
      <c r="AH26" s="3413">
        <f t="shared" si="10"/>
        <v>0.35365441016941912</v>
      </c>
      <c r="AI26" s="3414">
        <f t="shared" si="21"/>
        <v>-0.34431012922050852</v>
      </c>
    </row>
    <row r="27" spans="2:35">
      <c r="B27" s="2261">
        <v>21</v>
      </c>
      <c r="C27" s="3419" t="s">
        <v>675</v>
      </c>
      <c r="D27" s="3405"/>
      <c r="E27" s="3406"/>
      <c r="F27" s="3407"/>
      <c r="G27" s="3408"/>
      <c r="H27" s="3409"/>
      <c r="I27" s="3410"/>
      <c r="J27" s="3411"/>
      <c r="K27" s="3409"/>
      <c r="L27" s="3410"/>
      <c r="M27" s="3411"/>
      <c r="N27" s="3409"/>
      <c r="O27" s="3410"/>
      <c r="P27" s="3411"/>
      <c r="Q27" s="3409"/>
      <c r="R27" s="3410">
        <v>169</v>
      </c>
      <c r="S27" s="3411">
        <f t="shared" si="4"/>
        <v>2.006999559410156E-2</v>
      </c>
      <c r="T27" s="3409"/>
      <c r="U27" s="3410">
        <v>581</v>
      </c>
      <c r="V27" s="3411">
        <f t="shared" si="6"/>
        <v>5.0521124090663241E-2</v>
      </c>
      <c r="W27" s="3409">
        <f t="shared" si="18"/>
        <v>2.4378698224852071</v>
      </c>
      <c r="X27" s="3412">
        <v>571</v>
      </c>
      <c r="Y27" s="3413">
        <f t="shared" si="7"/>
        <v>7.1493589992399895E-2</v>
      </c>
      <c r="Z27" s="3414">
        <f t="shared" si="19"/>
        <v>-1.7211703958691871E-2</v>
      </c>
      <c r="AA27" s="3412">
        <v>4623</v>
      </c>
      <c r="AB27" s="3413">
        <f>AA27/$AA$31*100</f>
        <v>0.69571210791889826</v>
      </c>
      <c r="AC27" s="3414">
        <f t="shared" si="20"/>
        <v>7.0963222416812606</v>
      </c>
      <c r="AD27" s="3412">
        <v>2955</v>
      </c>
      <c r="AE27" s="3413">
        <f t="shared" si="9"/>
        <v>0.55023014702596418</v>
      </c>
      <c r="AF27" s="3414">
        <f t="shared" si="15"/>
        <v>-0.36080467229072033</v>
      </c>
      <c r="AG27" s="3412">
        <v>3499</v>
      </c>
      <c r="AH27" s="3413">
        <f t="shared" si="10"/>
        <v>0.3933365483734258</v>
      </c>
      <c r="AI27" s="3414">
        <f t="shared" si="21"/>
        <v>0.18409475465313019</v>
      </c>
    </row>
    <row r="28" spans="2:35">
      <c r="B28" s="2261">
        <v>22</v>
      </c>
      <c r="C28" s="3419" t="s">
        <v>2526</v>
      </c>
      <c r="D28" s="3405"/>
      <c r="E28" s="3406"/>
      <c r="F28" s="3407"/>
      <c r="G28" s="3408"/>
      <c r="H28" s="3409"/>
      <c r="I28" s="3410"/>
      <c r="J28" s="3411"/>
      <c r="K28" s="3409"/>
      <c r="L28" s="3410"/>
      <c r="M28" s="3411"/>
      <c r="N28" s="3409"/>
      <c r="O28" s="3410"/>
      <c r="P28" s="3411"/>
      <c r="Q28" s="3409"/>
      <c r="R28" s="3410"/>
      <c r="S28" s="3411"/>
      <c r="T28" s="3409"/>
      <c r="U28" s="3410"/>
      <c r="V28" s="3411"/>
      <c r="W28" s="3409"/>
      <c r="X28" s="3412"/>
      <c r="Y28" s="3413"/>
      <c r="Z28" s="3414"/>
      <c r="AA28" s="3412"/>
      <c r="AB28" s="3413"/>
      <c r="AC28" s="3414"/>
      <c r="AD28" s="3412">
        <v>41308</v>
      </c>
      <c r="AE28" s="3413">
        <f t="shared" si="9"/>
        <v>7.691677466446202</v>
      </c>
      <c r="AF28" s="3414"/>
      <c r="AG28" s="3412">
        <v>181695</v>
      </c>
      <c r="AH28" s="3413">
        <f t="shared" si="10"/>
        <v>20.425059776138781</v>
      </c>
      <c r="AI28" s="3414">
        <f t="shared" si="21"/>
        <v>3.3985426551757527</v>
      </c>
    </row>
    <row r="29" spans="2:35" ht="26.4">
      <c r="B29" s="2262">
        <v>23</v>
      </c>
      <c r="C29" s="3420" t="s">
        <v>2672</v>
      </c>
      <c r="D29" s="3421"/>
      <c r="E29" s="3422"/>
      <c r="F29" s="3423"/>
      <c r="G29" s="3424"/>
      <c r="H29" s="3425"/>
      <c r="I29" s="3426"/>
      <c r="J29" s="3427"/>
      <c r="K29" s="3425"/>
      <c r="L29" s="3426"/>
      <c r="M29" s="3427"/>
      <c r="N29" s="3425"/>
      <c r="O29" s="3426"/>
      <c r="P29" s="3427"/>
      <c r="Q29" s="3425"/>
      <c r="R29" s="3426"/>
      <c r="S29" s="3427"/>
      <c r="T29" s="3425"/>
      <c r="U29" s="3426"/>
      <c r="V29" s="3427"/>
      <c r="W29" s="3425"/>
      <c r="X29" s="3428"/>
      <c r="Y29" s="3429"/>
      <c r="Z29" s="3430"/>
      <c r="AA29" s="3428"/>
      <c r="AB29" s="3429"/>
      <c r="AC29" s="3430"/>
      <c r="AD29" s="3428"/>
      <c r="AE29" s="3429"/>
      <c r="AF29" s="3430"/>
      <c r="AG29" s="3428">
        <v>28700</v>
      </c>
      <c r="AH29" s="3429">
        <f t="shared" si="10"/>
        <v>3.2262814913739128</v>
      </c>
      <c r="AI29" s="3430"/>
    </row>
    <row r="30" spans="2:35" s="2904" customFormat="1">
      <c r="B30" s="2581"/>
    </row>
    <row r="31" spans="2:35">
      <c r="B31" s="6290" t="s">
        <v>15</v>
      </c>
      <c r="C31" s="6290"/>
      <c r="D31" s="3431">
        <f>SUM(D6:D27)</f>
        <v>357031</v>
      </c>
      <c r="E31" s="3432">
        <f>SUM(E6:E27)</f>
        <v>1</v>
      </c>
      <c r="F31" s="3440">
        <f>SUM(F6:F27)</f>
        <v>381890</v>
      </c>
      <c r="G31" s="3433">
        <f>SUM(G6:G27)</f>
        <v>100.01</v>
      </c>
      <c r="H31" s="3434">
        <f>F31/D31-1</f>
        <v>6.9627007178648448E-2</v>
      </c>
      <c r="I31" s="3439">
        <f>SUM(I6:I26)</f>
        <v>504062</v>
      </c>
      <c r="J31" s="3435">
        <f>(I31/I31)*100</f>
        <v>100</v>
      </c>
      <c r="K31" s="3434">
        <f t="shared" si="1"/>
        <v>0.31991411139333326</v>
      </c>
      <c r="L31" s="3439">
        <f>SUM(L6:L27)</f>
        <v>678002</v>
      </c>
      <c r="M31" s="3435">
        <f>L31/$L$31*100</f>
        <v>100</v>
      </c>
      <c r="N31" s="3434">
        <f t="shared" si="2"/>
        <v>0.34507659772012178</v>
      </c>
      <c r="O31" s="3439">
        <f>SUM(O6:O27)</f>
        <v>413593</v>
      </c>
      <c r="P31" s="3431">
        <f>SUM(P6:P26)</f>
        <v>100</v>
      </c>
      <c r="Q31" s="3434">
        <f>O31/L31-1</f>
        <v>-0.38998262541998396</v>
      </c>
      <c r="R31" s="3439">
        <f>SUM(R6:R27)</f>
        <v>842053</v>
      </c>
      <c r="S31" s="3431">
        <f>SUM(S6:S27)</f>
        <v>100</v>
      </c>
      <c r="T31" s="3434">
        <f t="shared" si="17"/>
        <v>1.03594596620349</v>
      </c>
      <c r="U31" s="3439">
        <f>SUM(U6:U27)</f>
        <v>1150014</v>
      </c>
      <c r="V31" s="3431">
        <f>SUM(V6:V27)</f>
        <v>100</v>
      </c>
      <c r="W31" s="3434">
        <f t="shared" si="18"/>
        <v>0.36572638539379354</v>
      </c>
      <c r="X31" s="3438">
        <f>SUM(X6:X27)</f>
        <v>798673</v>
      </c>
      <c r="Y31" s="3436">
        <f>SUM(Y6:Y27)</f>
        <v>100</v>
      </c>
      <c r="Z31" s="3437">
        <f t="shared" si="19"/>
        <v>-0.30551019378894517</v>
      </c>
      <c r="AA31" s="3438">
        <f>SUM(AA6:AA27)</f>
        <v>664499</v>
      </c>
      <c r="AB31" s="3436">
        <f>SUM(AB6:AB27)</f>
        <v>99.999999999999972</v>
      </c>
      <c r="AC31" s="3437">
        <f t="shared" si="20"/>
        <v>-0.16799616363643188</v>
      </c>
      <c r="AD31" s="3438">
        <f>SUM(AD6:AD28)</f>
        <v>537048</v>
      </c>
      <c r="AE31" s="3436">
        <f>SUM(AE6:AE28)</f>
        <v>100.00000000000003</v>
      </c>
      <c r="AF31" s="3437">
        <f>AD31/AA31-1</f>
        <v>-0.19180013814919206</v>
      </c>
      <c r="AG31" s="3438">
        <f>SUM(AG6:AG29)</f>
        <v>889569</v>
      </c>
      <c r="AH31" s="3436">
        <f>SUM(AH6:AH29)</f>
        <v>100.00000000000003</v>
      </c>
      <c r="AI31" s="4615">
        <f>AG31/AD31-1</f>
        <v>0.65640501407695395</v>
      </c>
    </row>
    <row r="32" spans="2:35">
      <c r="C32" s="139" t="s">
        <v>201</v>
      </c>
      <c r="D32" s="140"/>
      <c r="E32" s="140"/>
      <c r="F32" s="140"/>
      <c r="G32" s="140"/>
      <c r="H32" s="140"/>
      <c r="I32" s="141"/>
      <c r="J32" s="142"/>
      <c r="K32" s="142"/>
    </row>
    <row r="33" spans="2:5">
      <c r="B33" s="41" t="s">
        <v>243</v>
      </c>
    </row>
    <row r="35" spans="2:5" ht="15" customHeight="1">
      <c r="C35" s="6288" t="s">
        <v>2925</v>
      </c>
      <c r="D35" s="4616"/>
      <c r="E35" s="4616"/>
    </row>
    <row r="36" spans="2:5">
      <c r="C36" s="6288"/>
      <c r="D36" s="4616"/>
      <c r="E36" s="4616"/>
    </row>
    <row r="37" spans="2:5">
      <c r="C37" s="6288"/>
      <c r="D37" s="4616"/>
      <c r="E37" s="4616"/>
    </row>
    <row r="38" spans="2:5">
      <c r="C38" s="6288"/>
      <c r="D38" s="4616"/>
      <c r="E38" s="4616"/>
    </row>
    <row r="39" spans="2:5">
      <c r="C39" s="6288"/>
      <c r="D39" s="4616"/>
      <c r="E39" s="4616"/>
    </row>
    <row r="40" spans="2:5">
      <c r="C40" s="6288"/>
      <c r="D40" s="4616"/>
      <c r="E40" s="4616"/>
    </row>
    <row r="41" spans="2:5">
      <c r="C41" s="4617" t="s">
        <v>2926</v>
      </c>
      <c r="D41" s="6289">
        <v>2019</v>
      </c>
      <c r="E41" s="6289"/>
    </row>
    <row r="42" spans="2:5" ht="15" thickBot="1">
      <c r="C42" s="4618" t="s">
        <v>2927</v>
      </c>
      <c r="D42" s="2531" t="s">
        <v>71</v>
      </c>
      <c r="E42" s="2291" t="s">
        <v>76</v>
      </c>
    </row>
    <row r="43" spans="2:5">
      <c r="C43" s="4619" t="s">
        <v>2928</v>
      </c>
      <c r="D43" s="4620">
        <v>18729</v>
      </c>
      <c r="E43" s="4621">
        <f>D43*100/D49</f>
        <v>35.379791072406825</v>
      </c>
    </row>
    <row r="44" spans="2:5">
      <c r="C44" s="4622" t="s">
        <v>2929</v>
      </c>
      <c r="D44" s="4623">
        <v>3913</v>
      </c>
      <c r="E44" s="4624">
        <f>D44*100/D49</f>
        <v>7.3918053535334458</v>
      </c>
    </row>
    <row r="45" spans="2:5">
      <c r="C45" s="4622" t="s">
        <v>2930</v>
      </c>
      <c r="D45" s="4623">
        <v>1979</v>
      </c>
      <c r="E45" s="4624">
        <f>D45*100/D49</f>
        <v>3.7384060298090183</v>
      </c>
    </row>
    <row r="46" spans="2:5">
      <c r="C46" s="4622" t="s">
        <v>2931</v>
      </c>
      <c r="D46" s="4623">
        <v>2723</v>
      </c>
      <c r="E46" s="4624">
        <f>D46*100/D49</f>
        <v>5.1438502370742585</v>
      </c>
    </row>
    <row r="47" spans="2:5">
      <c r="C47" s="4622" t="s">
        <v>2932</v>
      </c>
      <c r="D47" s="4623">
        <v>22624</v>
      </c>
      <c r="E47" s="4624">
        <f>D47*100/D49</f>
        <v>42.73759374350643</v>
      </c>
    </row>
    <row r="48" spans="2:5">
      <c r="C48" s="4625" t="s">
        <v>2933</v>
      </c>
      <c r="D48" s="4626">
        <v>2969</v>
      </c>
      <c r="E48" s="4627">
        <f>D48*100/D49</f>
        <v>5.6085535636700232</v>
      </c>
    </row>
    <row r="49" spans="3:5">
      <c r="C49" s="4628" t="s">
        <v>71</v>
      </c>
      <c r="D49" s="4629">
        <f>SUM(D43:D48)</f>
        <v>52937</v>
      </c>
      <c r="E49" s="4630">
        <f>SUM(E43:E48)</f>
        <v>100.00000000000001</v>
      </c>
    </row>
  </sheetData>
  <mergeCells count="16">
    <mergeCell ref="I4:K4"/>
    <mergeCell ref="L4:N4"/>
    <mergeCell ref="AJ6:AL15"/>
    <mergeCell ref="B1:C2"/>
    <mergeCell ref="AG4:AI4"/>
    <mergeCell ref="AD4:AF4"/>
    <mergeCell ref="AA4:AC4"/>
    <mergeCell ref="X4:Z4"/>
    <mergeCell ref="U4:W4"/>
    <mergeCell ref="O4:Q4"/>
    <mergeCell ref="R4:T4"/>
    <mergeCell ref="C35:C40"/>
    <mergeCell ref="D41:E41"/>
    <mergeCell ref="B31:C31"/>
    <mergeCell ref="D4:E4"/>
    <mergeCell ref="F4:H4"/>
  </mergeCells>
  <pageMargins left="0.7" right="0.7" top="0.75" bottom="0.75" header="0.3" footer="0.3"/>
  <pageSetup orientation="portrait" r:id="rId1"/>
  <ignoredErrors>
    <ignoredError sqref="T31:Z31 AF3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499984740745262"/>
  </sheetPr>
  <dimension ref="B1:N173"/>
  <sheetViews>
    <sheetView showGridLines="0" zoomScaleNormal="100" workbookViewId="0">
      <pane xSplit="2" ySplit="5" topLeftCell="C6" activePane="bottomRight" state="frozen"/>
      <selection activeCell="N91" sqref="N91"/>
      <selection pane="topRight" activeCell="N91" sqref="N91"/>
      <selection pane="bottomLeft" activeCell="N91" sqref="N91"/>
      <selection pane="bottomRight" activeCell="N35" sqref="N35"/>
    </sheetView>
  </sheetViews>
  <sheetFormatPr baseColWidth="10" defaultColWidth="11.44140625" defaultRowHeight="13.8"/>
  <cols>
    <col min="1" max="1" width="4" style="448" customWidth="1"/>
    <col min="2" max="2" width="38.5546875" style="445" customWidth="1"/>
    <col min="3" max="8" width="12.77734375" style="445" customWidth="1"/>
    <col min="9" max="9" width="12.77734375" style="448" customWidth="1"/>
    <col min="10" max="16384" width="11.44140625" style="448"/>
  </cols>
  <sheetData>
    <row r="1" spans="2:13" ht="15.6">
      <c r="B1" s="447" t="s">
        <v>1293</v>
      </c>
    </row>
    <row r="2" spans="2:13" ht="15.6">
      <c r="B2" s="3604" t="s">
        <v>843</v>
      </c>
      <c r="C2" s="450"/>
      <c r="D2" s="450"/>
      <c r="E2" s="450"/>
      <c r="F2" s="450"/>
      <c r="I2" s="150"/>
    </row>
    <row r="3" spans="2:13">
      <c r="B3" s="451"/>
      <c r="C3" s="451"/>
      <c r="D3" s="451"/>
      <c r="E3" s="451"/>
      <c r="F3" s="451"/>
    </row>
    <row r="4" spans="2:13" ht="15" customHeight="1">
      <c r="B4" s="5634" t="s">
        <v>2765</v>
      </c>
      <c r="C4" s="3848">
        <v>2010</v>
      </c>
      <c r="D4" s="3849">
        <v>2011</v>
      </c>
      <c r="E4" s="3850">
        <v>2012</v>
      </c>
      <c r="F4" s="3850">
        <v>2013</v>
      </c>
      <c r="G4" s="3850">
        <v>2014</v>
      </c>
      <c r="H4" s="3850">
        <v>2015</v>
      </c>
      <c r="I4" s="3850">
        <v>2016</v>
      </c>
      <c r="J4" s="3850">
        <v>2017</v>
      </c>
      <c r="K4" s="3850">
        <v>2018</v>
      </c>
      <c r="L4" s="3850">
        <v>2019</v>
      </c>
      <c r="M4" s="3850" t="s">
        <v>3863</v>
      </c>
    </row>
    <row r="5" spans="2:13" s="449" customFormat="1" ht="15" thickBot="1">
      <c r="B5" s="5635"/>
      <c r="C5" s="3851" t="s">
        <v>1292</v>
      </c>
      <c r="D5" s="2128" t="s">
        <v>1291</v>
      </c>
      <c r="E5" s="3852" t="s">
        <v>1007</v>
      </c>
      <c r="F5" s="3453" t="s">
        <v>1290</v>
      </c>
      <c r="G5" s="3853" t="s">
        <v>1289</v>
      </c>
      <c r="H5" s="3853" t="s">
        <v>1636</v>
      </c>
      <c r="I5" s="3853" t="s">
        <v>1860</v>
      </c>
      <c r="J5" s="3853" t="s">
        <v>2521</v>
      </c>
      <c r="K5" s="3853" t="s">
        <v>2692</v>
      </c>
      <c r="L5" s="3853" t="s">
        <v>2764</v>
      </c>
      <c r="M5" s="3853" t="s">
        <v>3932</v>
      </c>
    </row>
    <row r="6" spans="2:13" ht="14.4">
      <c r="B6" s="3854" t="s">
        <v>5</v>
      </c>
      <c r="C6" s="3855">
        <v>0.17515274949083504</v>
      </c>
      <c r="D6" s="3855">
        <v>0.2049335863377609</v>
      </c>
      <c r="E6" s="3855">
        <v>0.21473354231974923</v>
      </c>
      <c r="F6" s="3855">
        <v>0.23387096774193547</v>
      </c>
      <c r="G6" s="3855">
        <v>0.22259887005649717</v>
      </c>
      <c r="H6" s="3855">
        <v>0.24552160168598525</v>
      </c>
      <c r="I6" s="3855">
        <v>0.26197757390417942</v>
      </c>
      <c r="J6" s="3855">
        <v>0.34200000000000003</v>
      </c>
      <c r="K6" s="3856">
        <v>0.37605042016806722</v>
      </c>
      <c r="L6" s="3856">
        <v>0.4164989939637827</v>
      </c>
      <c r="M6" s="3856">
        <v>0.33718244803695152</v>
      </c>
    </row>
    <row r="7" spans="2:13" ht="14.4">
      <c r="B7" s="3857" t="s">
        <v>6</v>
      </c>
      <c r="C7" s="3858">
        <v>0.13060686015831136</v>
      </c>
      <c r="D7" s="3858">
        <v>0.14171122994652408</v>
      </c>
      <c r="E7" s="3858">
        <v>0.1293833131801693</v>
      </c>
      <c r="F7" s="3858">
        <v>0.16097023153252479</v>
      </c>
      <c r="G7" s="3858">
        <v>0.15217391304347827</v>
      </c>
      <c r="H7" s="3858">
        <v>0.17899543378995433</v>
      </c>
      <c r="I7" s="3858">
        <v>0.21062106210621062</v>
      </c>
      <c r="J7" s="3858">
        <v>0.25985663082437277</v>
      </c>
      <c r="K7" s="3859">
        <v>0.30542340627973358</v>
      </c>
      <c r="L7" s="3859">
        <v>0.33486238532110091</v>
      </c>
      <c r="M7" s="3859">
        <v>0.29828326180257508</v>
      </c>
    </row>
    <row r="8" spans="2:13" ht="14.4">
      <c r="B8" s="3857" t="s">
        <v>7</v>
      </c>
      <c r="C8" s="3858">
        <v>6.7757009345794386E-2</v>
      </c>
      <c r="D8" s="3858">
        <v>8.7155963302752298E-2</v>
      </c>
      <c r="E8" s="3858">
        <v>8.3155650319829424E-2</v>
      </c>
      <c r="F8" s="3858">
        <v>9.4488188976377951E-2</v>
      </c>
      <c r="G8" s="3858">
        <v>9.9236641221374045E-2</v>
      </c>
      <c r="H8" s="3858">
        <v>0.10178571428571428</v>
      </c>
      <c r="I8" s="3858">
        <v>0.11551155115511551</v>
      </c>
      <c r="J8" s="3858">
        <v>0.15372670807453417</v>
      </c>
      <c r="K8" s="3859">
        <v>0.17713365539452497</v>
      </c>
      <c r="L8" s="3859">
        <v>0.20579268292682926</v>
      </c>
      <c r="M8" s="3859">
        <v>0.1806020066889632</v>
      </c>
    </row>
    <row r="9" spans="2:13" ht="14.4">
      <c r="B9" s="3857" t="s">
        <v>8</v>
      </c>
      <c r="C9" s="3858">
        <v>0.20891364902506965</v>
      </c>
      <c r="D9" s="3858">
        <v>0.21052631578947367</v>
      </c>
      <c r="E9" s="3858">
        <v>0.21067415730337077</v>
      </c>
      <c r="F9" s="3858">
        <v>0.20526315789473684</v>
      </c>
      <c r="G9" s="3858">
        <v>0.21212121212121213</v>
      </c>
      <c r="H9" s="3858">
        <v>0.18032786885245902</v>
      </c>
      <c r="I9" s="3858">
        <v>0.16237623762376238</v>
      </c>
      <c r="J9" s="3858">
        <v>0.15689655172413794</v>
      </c>
      <c r="K9" s="3859">
        <v>0.18959731543624161</v>
      </c>
      <c r="L9" s="3859">
        <v>0.2361111111111111</v>
      </c>
      <c r="M9" s="3859">
        <v>0.19247467438494936</v>
      </c>
    </row>
    <row r="10" spans="2:13" ht="14.4">
      <c r="B10" s="3857" t="s">
        <v>9</v>
      </c>
      <c r="C10" s="3858">
        <v>0.21616541353383459</v>
      </c>
      <c r="D10" s="3858">
        <v>0.21957340025094102</v>
      </c>
      <c r="E10" s="3858">
        <v>0.21698113207547171</v>
      </c>
      <c r="F10" s="3858">
        <v>0.25743855109961189</v>
      </c>
      <c r="G10" s="3858">
        <v>0.26462938881664499</v>
      </c>
      <c r="H10" s="3858">
        <v>0.26476868327402137</v>
      </c>
      <c r="I10" s="3858">
        <v>0.28647822765469827</v>
      </c>
      <c r="J10" s="3858">
        <v>0.32380151387720774</v>
      </c>
      <c r="K10" s="3859">
        <v>0.36078431372549019</v>
      </c>
      <c r="L10" s="3859">
        <v>0.4062205466540999</v>
      </c>
      <c r="M10" s="3859">
        <v>0.34129692832764508</v>
      </c>
    </row>
    <row r="11" spans="2:13" ht="14.4">
      <c r="B11" s="3857" t="s">
        <v>10</v>
      </c>
      <c r="C11" s="3858">
        <v>0.13443830570902393</v>
      </c>
      <c r="D11" s="3858">
        <v>0.13912231559290383</v>
      </c>
      <c r="E11" s="3858">
        <v>0.14804469273743018</v>
      </c>
      <c r="F11" s="3858">
        <v>0.16135084427767354</v>
      </c>
      <c r="G11" s="3858">
        <v>0.14561403508771931</v>
      </c>
      <c r="H11" s="3858">
        <v>0.16010733452593917</v>
      </c>
      <c r="I11" s="3858">
        <v>0.17166979362101314</v>
      </c>
      <c r="J11" s="3858">
        <v>0.20874751491053678</v>
      </c>
      <c r="K11" s="3859">
        <v>0.24312431243124313</v>
      </c>
      <c r="L11" s="3859">
        <v>0.28406708595387842</v>
      </c>
      <c r="M11" s="3859">
        <v>0.25383707201889022</v>
      </c>
    </row>
    <row r="12" spans="2:13" ht="14.4">
      <c r="B12" s="3857" t="s">
        <v>11</v>
      </c>
      <c r="C12" s="3858">
        <v>0.13548387096774195</v>
      </c>
      <c r="D12" s="3858">
        <v>0.12804878048780488</v>
      </c>
      <c r="E12" s="3858">
        <v>0.125</v>
      </c>
      <c r="F12" s="3858">
        <v>0.13122171945701358</v>
      </c>
      <c r="G12" s="3858">
        <v>0.16538461538461538</v>
      </c>
      <c r="H12" s="3858">
        <v>0.16408668730650156</v>
      </c>
      <c r="I12" s="3858">
        <v>0.14248021108179421</v>
      </c>
      <c r="J12" s="3858">
        <v>0.15144766146993319</v>
      </c>
      <c r="K12" s="3859">
        <v>0.15495867768595042</v>
      </c>
      <c r="L12" s="3859">
        <v>0.2058252427184466</v>
      </c>
      <c r="M12" s="3859">
        <v>0.14874551971326164</v>
      </c>
    </row>
    <row r="13" spans="2:13" ht="14.4">
      <c r="B13" s="3857" t="s">
        <v>12</v>
      </c>
      <c r="C13" s="3858">
        <v>0.19656283566058003</v>
      </c>
      <c r="D13" s="3858">
        <v>0.19804134929270947</v>
      </c>
      <c r="E13" s="3858">
        <v>0.20267489711934156</v>
      </c>
      <c r="F13" s="3858">
        <v>0.20317145688800792</v>
      </c>
      <c r="G13" s="3858">
        <v>0.2300469483568075</v>
      </c>
      <c r="H13" s="3858">
        <v>0.24904580152671757</v>
      </c>
      <c r="I13" s="3858">
        <v>0.26937984496124029</v>
      </c>
      <c r="J13" s="3858">
        <v>0.28741328047571851</v>
      </c>
      <c r="K13" s="3859">
        <v>0.32075471698113206</v>
      </c>
      <c r="L13" s="3859">
        <v>0.34984193888303478</v>
      </c>
      <c r="M13" s="3859">
        <v>0.27544910179640719</v>
      </c>
    </row>
    <row r="14" spans="2:13" ht="14.4">
      <c r="B14" s="3857" t="s">
        <v>13</v>
      </c>
      <c r="C14" s="3858">
        <v>0.1488469601677149</v>
      </c>
      <c r="D14" s="3858">
        <v>0.14347590687601516</v>
      </c>
      <c r="E14" s="3858">
        <v>0.14827586206896551</v>
      </c>
      <c r="F14" s="3858">
        <v>0.15393866506313891</v>
      </c>
      <c r="G14" s="3858">
        <v>0.15119047619047618</v>
      </c>
      <c r="H14" s="3858">
        <v>0.15246338215712382</v>
      </c>
      <c r="I14" s="3858">
        <v>0.1643330876934414</v>
      </c>
      <c r="J14" s="3858">
        <v>0.18362282878411912</v>
      </c>
      <c r="K14" s="3859">
        <v>0.20194174757281552</v>
      </c>
      <c r="L14" s="3859">
        <v>0.23902894491129786</v>
      </c>
      <c r="M14" s="3859">
        <v>0.17937219730941703</v>
      </c>
    </row>
    <row r="15" spans="2:13" ht="14.4">
      <c r="B15" s="3857" t="s">
        <v>14</v>
      </c>
      <c r="C15" s="3858">
        <v>7.7952755905511817E-2</v>
      </c>
      <c r="D15" s="3858">
        <v>0.10605074821080027</v>
      </c>
      <c r="E15" s="3858">
        <v>0.11848601206801974</v>
      </c>
      <c r="F15" s="3858">
        <v>0.14004914004914004</v>
      </c>
      <c r="G15" s="3858">
        <v>0.17739694302918019</v>
      </c>
      <c r="H15" s="3858">
        <v>0.18327117741076185</v>
      </c>
      <c r="I15" s="3858">
        <v>0.19645042839657284</v>
      </c>
      <c r="J15" s="3858">
        <v>0.22970007315288954</v>
      </c>
      <c r="K15" s="3859">
        <v>0.2549526270456503</v>
      </c>
      <c r="L15" s="3859">
        <v>0.26926263463131733</v>
      </c>
      <c r="M15" s="3859">
        <v>0.22281449893390193</v>
      </c>
    </row>
    <row r="16" spans="2:13" ht="14.4">
      <c r="B16" s="3860" t="s">
        <v>544</v>
      </c>
      <c r="C16" s="3861">
        <v>0.15219327543976843</v>
      </c>
      <c r="D16" s="3861">
        <v>0.15830157866086009</v>
      </c>
      <c r="E16" s="3861">
        <v>0.16088980858768753</v>
      </c>
      <c r="F16" s="3861">
        <v>0.17769620001984324</v>
      </c>
      <c r="G16" s="3861">
        <v>0.18616129633078785</v>
      </c>
      <c r="H16" s="3861">
        <v>0.19411480945489629</v>
      </c>
      <c r="I16" s="3861">
        <v>0.20811623246492986</v>
      </c>
      <c r="J16" s="3861">
        <v>0.24150903960706449</v>
      </c>
      <c r="K16" s="3862">
        <v>0.27037249283667619</v>
      </c>
      <c r="L16" s="3862">
        <v>0.30486604702022962</v>
      </c>
      <c r="M16" s="3862">
        <v>0.24987555998008959</v>
      </c>
    </row>
    <row r="17" spans="2:13" ht="14.4">
      <c r="B17" s="3857" t="s">
        <v>17</v>
      </c>
      <c r="C17" s="3858">
        <v>0.49312169312169313</v>
      </c>
      <c r="D17" s="3858">
        <v>0.47207303974221265</v>
      </c>
      <c r="E17" s="3858">
        <v>0.47120418848167539</v>
      </c>
      <c r="F17" s="3858">
        <v>0.49844398340248963</v>
      </c>
      <c r="G17" s="3858">
        <v>0.5179593961478397</v>
      </c>
      <c r="H17" s="3858">
        <v>0.56949152542372883</v>
      </c>
      <c r="I17" s="3858">
        <v>0.57760532150776056</v>
      </c>
      <c r="J17" s="3858">
        <v>0.58934337997847153</v>
      </c>
      <c r="K17" s="3859">
        <v>0.61430119176598053</v>
      </c>
      <c r="L17" s="3859">
        <v>0.64737121614445037</v>
      </c>
      <c r="M17" s="3859">
        <v>0.56150583244962882</v>
      </c>
    </row>
    <row r="18" spans="2:13" ht="14.4">
      <c r="B18" s="3857" t="s">
        <v>18</v>
      </c>
      <c r="C18" s="3858">
        <v>0.47844019497562806</v>
      </c>
      <c r="D18" s="3858">
        <v>0.47212475633528267</v>
      </c>
      <c r="E18" s="3858">
        <v>0.46901300688599845</v>
      </c>
      <c r="F18" s="3858">
        <v>0.51156617368221469</v>
      </c>
      <c r="G18" s="3858">
        <v>0.51145324821629745</v>
      </c>
      <c r="H18" s="3858">
        <v>0.54517254749903066</v>
      </c>
      <c r="I18" s="3858">
        <v>0.5505742867728789</v>
      </c>
      <c r="J18" s="3858">
        <v>0.56676036542515806</v>
      </c>
      <c r="K18" s="3859">
        <v>0.59516513449097719</v>
      </c>
      <c r="L18" s="3859">
        <v>0.62920973657885959</v>
      </c>
      <c r="M18" s="3859">
        <v>0.55462184873949583</v>
      </c>
    </row>
    <row r="19" spans="2:13" ht="14.4">
      <c r="B19" s="3857" t="s">
        <v>19</v>
      </c>
      <c r="C19" s="3858">
        <v>0.24616626311541565</v>
      </c>
      <c r="D19" s="3858">
        <v>0.24552845528455283</v>
      </c>
      <c r="E19" s="3858">
        <v>0.24019215372297839</v>
      </c>
      <c r="F19" s="3858">
        <v>0.25604996096799376</v>
      </c>
      <c r="G19" s="3858">
        <v>0.23899848254931716</v>
      </c>
      <c r="H19" s="3858">
        <v>0.26750000000000002</v>
      </c>
      <c r="I19" s="3858">
        <v>0.26586345381526105</v>
      </c>
      <c r="J19" s="3858">
        <v>0.27538461538461539</v>
      </c>
      <c r="K19" s="3859">
        <v>0.28821656050955413</v>
      </c>
      <c r="L19" s="3859">
        <v>0.31910112359550563</v>
      </c>
      <c r="M19" s="3859">
        <v>0.22395464209780297</v>
      </c>
    </row>
    <row r="20" spans="2:13" ht="14.4">
      <c r="B20" s="3857" t="s">
        <v>20</v>
      </c>
      <c r="C20" s="3858">
        <v>0.21460843373493976</v>
      </c>
      <c r="D20" s="3858">
        <v>0.22427035330261136</v>
      </c>
      <c r="E20" s="3858">
        <v>0.21667907669396871</v>
      </c>
      <c r="F20" s="3858">
        <v>0.24084919472913616</v>
      </c>
      <c r="G20" s="3858">
        <v>0.25478645066273931</v>
      </c>
      <c r="H20" s="3858">
        <v>0.2935560859188544</v>
      </c>
      <c r="I20" s="3858">
        <v>0.28375286041189929</v>
      </c>
      <c r="J20" s="3858">
        <v>0.30524759793052475</v>
      </c>
      <c r="K20" s="3859">
        <v>0.32030075187969925</v>
      </c>
      <c r="L20" s="3859">
        <v>0.35761107064821557</v>
      </c>
      <c r="M20" s="3859">
        <v>0.28203240058910162</v>
      </c>
    </row>
    <row r="21" spans="2:13" ht="14.4">
      <c r="B21" s="3860" t="s">
        <v>545</v>
      </c>
      <c r="C21" s="3861">
        <v>0.39275687815833799</v>
      </c>
      <c r="D21" s="3861">
        <v>0.38568759879293002</v>
      </c>
      <c r="E21" s="3861">
        <v>0.38181562675660485</v>
      </c>
      <c r="F21" s="3861">
        <v>0.41139767054908488</v>
      </c>
      <c r="G21" s="3861">
        <v>0.41570247933884297</v>
      </c>
      <c r="H21" s="3861">
        <v>0.4560681751395827</v>
      </c>
      <c r="I21" s="3861">
        <v>0.45771355716107098</v>
      </c>
      <c r="J21" s="3861">
        <v>0.47288296860133205</v>
      </c>
      <c r="K21" s="3862">
        <v>0.49803229746234223</v>
      </c>
      <c r="L21" s="3862">
        <v>0.53003952569169965</v>
      </c>
      <c r="M21" s="3862">
        <v>0.44831591173054586</v>
      </c>
    </row>
    <row r="22" spans="2:13" ht="14.4">
      <c r="B22" s="3857" t="s">
        <v>22</v>
      </c>
      <c r="C22" s="3858">
        <v>0.40179104477611938</v>
      </c>
      <c r="D22" s="3858">
        <v>0.38416075650118203</v>
      </c>
      <c r="E22" s="3858">
        <v>0.36225975538730343</v>
      </c>
      <c r="F22" s="3858">
        <v>0.38242142025611175</v>
      </c>
      <c r="G22" s="3858">
        <v>0.37815126050420167</v>
      </c>
      <c r="H22" s="3858">
        <v>0.40509725016767273</v>
      </c>
      <c r="I22" s="3858">
        <v>0.40697674418604651</v>
      </c>
      <c r="J22" s="3858">
        <v>0.44788732394366199</v>
      </c>
      <c r="K22" s="3859">
        <v>0.4708554125662377</v>
      </c>
      <c r="L22" s="3859">
        <v>0.51130561633843907</v>
      </c>
      <c r="M22" s="3859">
        <v>0.46884984025559107</v>
      </c>
    </row>
    <row r="23" spans="2:13" ht="14.4">
      <c r="B23" s="3857" t="s">
        <v>23</v>
      </c>
      <c r="C23" s="3858">
        <v>0.53054448871181936</v>
      </c>
      <c r="D23" s="3858">
        <v>0.5332446808510638</v>
      </c>
      <c r="E23" s="3858">
        <v>0.52649690295939433</v>
      </c>
      <c r="F23" s="3858">
        <v>0.52536231884057971</v>
      </c>
      <c r="G23" s="3858">
        <v>0.53276131045241815</v>
      </c>
      <c r="H23" s="3858">
        <v>0.53621981681931719</v>
      </c>
      <c r="I23" s="3858">
        <v>0.53255425709515858</v>
      </c>
      <c r="J23" s="3858">
        <v>0.55564142194744981</v>
      </c>
      <c r="K23" s="3859">
        <v>0.56175595238095233</v>
      </c>
      <c r="L23" s="3859">
        <v>0.60847333820306793</v>
      </c>
      <c r="M23" s="3859">
        <v>0.56129032258064515</v>
      </c>
    </row>
    <row r="24" spans="2:13" ht="14.4">
      <c r="B24" s="3857" t="s">
        <v>24</v>
      </c>
      <c r="C24" s="3858">
        <v>0.39897435897435896</v>
      </c>
      <c r="D24" s="3858">
        <v>0.41675503711558853</v>
      </c>
      <c r="E24" s="3858">
        <v>0.42173913043478262</v>
      </c>
      <c r="F24" s="3858">
        <v>0.43970893970893971</v>
      </c>
      <c r="G24" s="3858">
        <v>0.46129707112970714</v>
      </c>
      <c r="H24" s="3858">
        <v>0.48537378114842905</v>
      </c>
      <c r="I24" s="3858">
        <v>0.49410503751339763</v>
      </c>
      <c r="J24" s="3858">
        <v>0.51530612244897955</v>
      </c>
      <c r="K24" s="3859">
        <v>0.54913880445795338</v>
      </c>
      <c r="L24" s="3859">
        <v>0.59507389162561575</v>
      </c>
      <c r="M24" s="3859">
        <v>0.5122171945701357</v>
      </c>
    </row>
    <row r="25" spans="2:13" ht="14.4">
      <c r="B25" s="3860" t="s">
        <v>546</v>
      </c>
      <c r="C25" s="3861">
        <v>0.44778633301251203</v>
      </c>
      <c r="D25" s="3861">
        <v>0.44575984537327856</v>
      </c>
      <c r="E25" s="3861">
        <v>0.43398533007334961</v>
      </c>
      <c r="F25" s="3861">
        <v>0.44458128078817732</v>
      </c>
      <c r="G25" s="3861">
        <v>0.44928278688524592</v>
      </c>
      <c r="H25" s="3861">
        <v>0.46915629322268326</v>
      </c>
      <c r="I25" s="3861">
        <v>0.4714723072641247</v>
      </c>
      <c r="J25" s="3861">
        <v>0.50351922035733621</v>
      </c>
      <c r="K25" s="3862">
        <v>0.52546549835706458</v>
      </c>
      <c r="L25" s="3862">
        <v>0.56937416777629823</v>
      </c>
      <c r="M25" s="3862">
        <v>0.51778858459175836</v>
      </c>
    </row>
    <row r="26" spans="2:13" ht="15" customHeight="1">
      <c r="B26" s="3863" t="s">
        <v>106</v>
      </c>
      <c r="C26" s="3006">
        <v>0.29740400750172735</v>
      </c>
      <c r="D26" s="3006">
        <v>0.29497608834984962</v>
      </c>
      <c r="E26" s="3006">
        <v>0.28973216424704135</v>
      </c>
      <c r="F26" s="3006">
        <v>0.30738607091002762</v>
      </c>
      <c r="G26" s="3006">
        <v>0.30914984932882844</v>
      </c>
      <c r="H26" s="3006">
        <v>0.32772058116039643</v>
      </c>
      <c r="I26" s="3006">
        <v>0.33937572702597907</v>
      </c>
      <c r="J26" s="3006">
        <v>0.37099903006789525</v>
      </c>
      <c r="K26" s="3007">
        <v>0.40251190114453561</v>
      </c>
      <c r="L26" s="3007">
        <v>0.43674963396778915</v>
      </c>
      <c r="M26" s="3007">
        <v>0.38111923623806621</v>
      </c>
    </row>
    <row r="27" spans="2:13" ht="14.4">
      <c r="B27" s="3864" t="s">
        <v>26</v>
      </c>
      <c r="C27" s="3865">
        <v>0.23314606741573032</v>
      </c>
      <c r="D27" s="3865">
        <v>0.2341678939617084</v>
      </c>
      <c r="E27" s="3865">
        <v>0.22222222222222221</v>
      </c>
      <c r="F27" s="3865">
        <v>0.20792079207920791</v>
      </c>
      <c r="G27" s="3865">
        <v>0.21509971509971509</v>
      </c>
      <c r="H27" s="3865">
        <v>0.20930232558139536</v>
      </c>
      <c r="I27" s="3865">
        <v>0.17107309486780714</v>
      </c>
      <c r="J27" s="3865">
        <v>0.16220238095238096</v>
      </c>
      <c r="K27" s="3866">
        <v>0.22748815165876776</v>
      </c>
      <c r="L27" s="3866">
        <v>0.28125</v>
      </c>
      <c r="M27" s="3866">
        <v>0.21904761904761905</v>
      </c>
    </row>
    <row r="28" spans="2:13" ht="14.4">
      <c r="B28" s="3857" t="s">
        <v>27</v>
      </c>
      <c r="C28" s="3858">
        <v>0.22222222222222221</v>
      </c>
      <c r="D28" s="3858">
        <v>0.20754716981132076</v>
      </c>
      <c r="E28" s="3858">
        <v>0.21008403361344538</v>
      </c>
      <c r="F28" s="3858">
        <v>0.18253968253968253</v>
      </c>
      <c r="G28" s="3858">
        <v>0.2421875</v>
      </c>
      <c r="H28" s="3858">
        <v>0.26771653543307089</v>
      </c>
      <c r="I28" s="3858">
        <v>0.24342105263157895</v>
      </c>
      <c r="J28" s="3858">
        <v>0.24848484848484848</v>
      </c>
      <c r="K28" s="3859">
        <v>0.19736842105263158</v>
      </c>
      <c r="L28" s="3859">
        <v>0.21511627906976744</v>
      </c>
      <c r="M28" s="3859">
        <v>0.13253012048192772</v>
      </c>
    </row>
    <row r="29" spans="2:13" ht="14.4">
      <c r="B29" s="3857" t="s">
        <v>12</v>
      </c>
      <c r="C29" s="3858">
        <v>0.21852731591448932</v>
      </c>
      <c r="D29" s="3858">
        <v>0.23076923076923078</v>
      </c>
      <c r="E29" s="3858">
        <v>0.23076923076923078</v>
      </c>
      <c r="F29" s="3858">
        <v>0.24242424242424243</v>
      </c>
      <c r="G29" s="3858">
        <v>0.20080321285140562</v>
      </c>
      <c r="H29" s="3858">
        <v>0.20449897750511248</v>
      </c>
      <c r="I29" s="3858">
        <v>0.21212121212121213</v>
      </c>
      <c r="J29" s="3858">
        <v>0.20666666666666667</v>
      </c>
      <c r="K29" s="3859">
        <v>0.25850340136054423</v>
      </c>
      <c r="L29" s="3859">
        <v>0.32558139534883723</v>
      </c>
      <c r="M29" s="3859">
        <v>0.28219971056439941</v>
      </c>
    </row>
    <row r="30" spans="2:13" ht="14.4">
      <c r="B30" s="3857" t="s">
        <v>28</v>
      </c>
      <c r="C30" s="3858">
        <v>0.203125</v>
      </c>
      <c r="D30" s="3858">
        <v>0.20952380952380953</v>
      </c>
      <c r="E30" s="3858">
        <v>0.21008403361344538</v>
      </c>
      <c r="F30" s="3858">
        <v>0.21108179419525067</v>
      </c>
      <c r="G30" s="3858">
        <v>0.1875</v>
      </c>
      <c r="H30" s="3858">
        <v>0.19362186788154898</v>
      </c>
      <c r="I30" s="3858">
        <v>0.18297872340425531</v>
      </c>
      <c r="J30" s="3858">
        <v>0.16489361702127658</v>
      </c>
      <c r="K30" s="3859">
        <v>0.22140221402214022</v>
      </c>
      <c r="L30" s="3859">
        <v>0.23809523809523808</v>
      </c>
      <c r="M30" s="3859">
        <v>0.20579710144927535</v>
      </c>
    </row>
    <row r="31" spans="2:13" ht="14.4">
      <c r="B31" s="3857" t="s">
        <v>29</v>
      </c>
      <c r="C31" s="3858">
        <v>0.14736842105263157</v>
      </c>
      <c r="D31" s="3858">
        <v>0.15555555555555556</v>
      </c>
      <c r="E31" s="3858">
        <v>0.156794425087108</v>
      </c>
      <c r="F31" s="3858">
        <v>0.1366906474820144</v>
      </c>
      <c r="G31" s="3858">
        <v>0.14117647058823529</v>
      </c>
      <c r="H31" s="3858">
        <v>0.16402116402116401</v>
      </c>
      <c r="I31" s="3858">
        <v>0.17456896551724138</v>
      </c>
      <c r="J31" s="3858">
        <v>0.19038461538461537</v>
      </c>
      <c r="K31" s="3859">
        <v>0.2283464566929134</v>
      </c>
      <c r="L31" s="3859">
        <v>0.24020442930153321</v>
      </c>
      <c r="M31" s="3859">
        <v>0.1864406779661017</v>
      </c>
    </row>
    <row r="32" spans="2:13" ht="14.4">
      <c r="B32" s="3857" t="s">
        <v>13</v>
      </c>
      <c r="C32" s="3858">
        <v>0.19887005649717515</v>
      </c>
      <c r="D32" s="3858">
        <v>0.19202898550724637</v>
      </c>
      <c r="E32" s="3858">
        <v>0.20519159456118666</v>
      </c>
      <c r="F32" s="3858">
        <v>0.18863049095607234</v>
      </c>
      <c r="G32" s="3858">
        <v>0.19894598155467721</v>
      </c>
      <c r="H32" s="3858">
        <v>0.22839506172839505</v>
      </c>
      <c r="I32" s="3858">
        <v>0.22968749999999999</v>
      </c>
      <c r="J32" s="3858">
        <v>0.20472440944881889</v>
      </c>
      <c r="K32" s="3859">
        <v>0.22500000000000001</v>
      </c>
      <c r="L32" s="3859">
        <v>0.25728155339805825</v>
      </c>
      <c r="M32" s="3859">
        <v>0.23211169284467714</v>
      </c>
    </row>
    <row r="33" spans="2:13" ht="14.4">
      <c r="B33" s="3857" t="s">
        <v>30</v>
      </c>
      <c r="C33" s="3858">
        <v>8.9316987740805598E-2</v>
      </c>
      <c r="D33" s="3858">
        <v>0.10246679316888045</v>
      </c>
      <c r="E33" s="3858">
        <v>0.10912343470483005</v>
      </c>
      <c r="F33" s="3858">
        <v>0.14519056261343014</v>
      </c>
      <c r="G33" s="3858">
        <v>0.17803030303030304</v>
      </c>
      <c r="H33" s="3858">
        <v>0.22332506203473945</v>
      </c>
      <c r="I33" s="3858">
        <v>0.21707317073170732</v>
      </c>
      <c r="J33" s="3858">
        <v>0.2052505966587112</v>
      </c>
      <c r="K33" s="3859">
        <v>0.24040920716112532</v>
      </c>
      <c r="L33" s="3859">
        <v>0.25507900677200901</v>
      </c>
      <c r="M33" s="3859">
        <v>0.18533604887983707</v>
      </c>
    </row>
    <row r="34" spans="2:13" ht="14.4">
      <c r="B34" s="3857" t="s">
        <v>31</v>
      </c>
      <c r="C34" s="3858">
        <v>0.21666666666666667</v>
      </c>
      <c r="D34" s="3858">
        <v>0.24031007751937986</v>
      </c>
      <c r="E34" s="3858">
        <v>0.24096385542168675</v>
      </c>
      <c r="F34" s="3858">
        <v>0.25842696629213485</v>
      </c>
      <c r="G34" s="3858">
        <v>0.24401913875598086</v>
      </c>
      <c r="H34" s="3858">
        <v>0.24215246636771301</v>
      </c>
      <c r="I34" s="3858">
        <v>0.23484848484848486</v>
      </c>
      <c r="J34" s="3858">
        <v>0.22085889570552147</v>
      </c>
      <c r="K34" s="3859">
        <v>0.27272727272727271</v>
      </c>
      <c r="L34" s="3859">
        <v>0.29914529914529914</v>
      </c>
      <c r="M34" s="3859">
        <v>0.20803782505910165</v>
      </c>
    </row>
    <row r="35" spans="2:13" ht="14.4">
      <c r="B35" s="3857" t="s">
        <v>32</v>
      </c>
      <c r="C35" s="3858">
        <v>0.1720524017467249</v>
      </c>
      <c r="D35" s="3858">
        <v>0.17715827338129497</v>
      </c>
      <c r="E35" s="3858">
        <v>0.18123275068997241</v>
      </c>
      <c r="F35" s="3858">
        <v>0.18731988472622479</v>
      </c>
      <c r="G35" s="3858">
        <v>0.17948717948717949</v>
      </c>
      <c r="H35" s="3858">
        <v>0.19018404907975461</v>
      </c>
      <c r="I35" s="3858">
        <v>0.18527918781725888</v>
      </c>
      <c r="J35" s="3858">
        <v>0.2050955414012739</v>
      </c>
      <c r="K35" s="3859">
        <v>0.25534950071326679</v>
      </c>
      <c r="L35" s="3859">
        <v>0.29319371727748689</v>
      </c>
      <c r="M35" s="3859">
        <v>0.25176803394625175</v>
      </c>
    </row>
    <row r="36" spans="2:13" ht="14.4">
      <c r="B36" s="2911" t="s">
        <v>3860</v>
      </c>
      <c r="C36" s="3858"/>
      <c r="D36" s="3858"/>
      <c r="E36" s="3858"/>
      <c r="F36" s="3858"/>
      <c r="G36" s="3858"/>
      <c r="H36" s="3858"/>
      <c r="I36" s="3858"/>
      <c r="J36" s="3858"/>
      <c r="K36" s="3859"/>
      <c r="L36" s="3859"/>
      <c r="M36" s="3859">
        <v>0</v>
      </c>
    </row>
    <row r="37" spans="2:13" ht="14.4">
      <c r="B37" s="3860" t="s">
        <v>544</v>
      </c>
      <c r="C37" s="3861">
        <v>0.18363317244405442</v>
      </c>
      <c r="D37" s="3861">
        <v>0.18837262531471732</v>
      </c>
      <c r="E37" s="3861">
        <v>0.19118628978410862</v>
      </c>
      <c r="F37" s="3861">
        <v>0.19247143177235043</v>
      </c>
      <c r="G37" s="3861">
        <v>0.19286025250326513</v>
      </c>
      <c r="H37" s="3861">
        <v>0.20710343172546197</v>
      </c>
      <c r="I37" s="3861">
        <v>0.19958706125258086</v>
      </c>
      <c r="J37" s="3861">
        <v>0.19526248399487836</v>
      </c>
      <c r="K37" s="3862">
        <v>0.23842117271275381</v>
      </c>
      <c r="L37" s="3862">
        <v>0.27207977207977208</v>
      </c>
      <c r="M37" s="3862">
        <v>0.21927803379416283</v>
      </c>
    </row>
    <row r="38" spans="2:13" ht="14.4">
      <c r="B38" s="3857" t="s">
        <v>17</v>
      </c>
      <c r="C38" s="3858">
        <v>0.47701149425287354</v>
      </c>
      <c r="D38" s="3858">
        <v>0.46097560975609758</v>
      </c>
      <c r="E38" s="3858">
        <v>0.44503862150920975</v>
      </c>
      <c r="F38" s="3858">
        <v>0.48390871854885897</v>
      </c>
      <c r="G38" s="3858">
        <v>0.50058139534883717</v>
      </c>
      <c r="H38" s="3858">
        <v>0.5425330812854442</v>
      </c>
      <c r="I38" s="3858">
        <v>0.53409090909090906</v>
      </c>
      <c r="J38" s="3858">
        <v>0.53417721518987338</v>
      </c>
      <c r="K38" s="3859">
        <v>0.55771812080536909</v>
      </c>
      <c r="L38" s="3859">
        <v>0.59605263157894739</v>
      </c>
      <c r="M38" s="3859">
        <v>0.52737352737352738</v>
      </c>
    </row>
    <row r="39" spans="2:13" ht="14.4">
      <c r="B39" s="3857" t="s">
        <v>33</v>
      </c>
      <c r="C39" s="3858">
        <v>0.22631578947368422</v>
      </c>
      <c r="D39" s="3858">
        <v>0.23658536585365852</v>
      </c>
      <c r="E39" s="3858">
        <v>0.27166276346604218</v>
      </c>
      <c r="F39" s="3858">
        <v>0.28411633109619688</v>
      </c>
      <c r="G39" s="3858">
        <v>0.28144989339019189</v>
      </c>
      <c r="H39" s="3858">
        <v>0.30979498861047838</v>
      </c>
      <c r="I39" s="3858">
        <v>0.33874709976798145</v>
      </c>
      <c r="J39" s="3858">
        <v>0.33554083885209712</v>
      </c>
      <c r="K39" s="3859">
        <v>0.33333333333333331</v>
      </c>
      <c r="L39" s="3859">
        <v>0.36926605504587157</v>
      </c>
      <c r="M39" s="3859">
        <v>0.27962085308056872</v>
      </c>
    </row>
    <row r="40" spans="2:13" ht="14.4">
      <c r="B40" s="3857" t="s">
        <v>34</v>
      </c>
      <c r="C40" s="3858">
        <v>0.24660633484162897</v>
      </c>
      <c r="D40" s="3858">
        <v>0.26813186813186812</v>
      </c>
      <c r="E40" s="3858">
        <v>0.27982646420824298</v>
      </c>
      <c r="F40" s="3858">
        <v>0.31847133757961782</v>
      </c>
      <c r="G40" s="3858">
        <v>0.32285115303983231</v>
      </c>
      <c r="H40" s="3858">
        <v>0.32882882882882886</v>
      </c>
      <c r="I40" s="3858">
        <v>0.3</v>
      </c>
      <c r="J40" s="3858">
        <v>0.26898047722342733</v>
      </c>
      <c r="K40" s="3859">
        <v>0.2930232558139535</v>
      </c>
      <c r="L40" s="3859">
        <v>0.32959641255605382</v>
      </c>
      <c r="M40" s="3859">
        <v>0.26681614349775784</v>
      </c>
    </row>
    <row r="41" spans="2:13" ht="14.4">
      <c r="B41" s="3857" t="s">
        <v>35</v>
      </c>
      <c r="C41" s="3858">
        <v>0.2753303964757709</v>
      </c>
      <c r="D41" s="3858">
        <v>0.29764453961456105</v>
      </c>
      <c r="E41" s="3858">
        <v>0.27766179540709812</v>
      </c>
      <c r="F41" s="3858">
        <v>0.30443548387096775</v>
      </c>
      <c r="G41" s="3858">
        <v>0.30360531309297911</v>
      </c>
      <c r="H41" s="3858">
        <v>0.32525252525252524</v>
      </c>
      <c r="I41" s="3858">
        <v>0.33603238866396762</v>
      </c>
      <c r="J41" s="3858">
        <v>0.2950191570881226</v>
      </c>
      <c r="K41" s="3859">
        <v>0.29317269076305219</v>
      </c>
      <c r="L41" s="3859">
        <v>0.33269961977186313</v>
      </c>
      <c r="M41" s="3859">
        <v>0.25686274509803919</v>
      </c>
    </row>
    <row r="42" spans="2:13" ht="14.4">
      <c r="B42" s="3857" t="s">
        <v>19</v>
      </c>
      <c r="C42" s="3858">
        <v>0.375</v>
      </c>
      <c r="D42" s="3858">
        <v>0.3716216216216216</v>
      </c>
      <c r="E42" s="3858">
        <v>0.35164835164835168</v>
      </c>
      <c r="F42" s="3858">
        <v>0.35809806835066865</v>
      </c>
      <c r="G42" s="3858">
        <v>0.34357541899441341</v>
      </c>
      <c r="H42" s="3858">
        <v>0.38461538461538464</v>
      </c>
      <c r="I42" s="3858">
        <v>0.36737588652482267</v>
      </c>
      <c r="J42" s="3858">
        <v>0.37823129251700682</v>
      </c>
      <c r="K42" s="3859">
        <v>0.35655737704918034</v>
      </c>
      <c r="L42" s="3859">
        <v>0.38910505836575876</v>
      </c>
      <c r="M42" s="3859">
        <v>0.31719745222929935</v>
      </c>
    </row>
    <row r="43" spans="2:13" ht="14.4">
      <c r="B43" s="3857" t="s">
        <v>20</v>
      </c>
      <c r="C43" s="3858">
        <v>0.30782918149466193</v>
      </c>
      <c r="D43" s="3858">
        <v>0.3172905525846702</v>
      </c>
      <c r="E43" s="3858">
        <v>0.29609929078014185</v>
      </c>
      <c r="F43" s="3858">
        <v>0.3127208480565371</v>
      </c>
      <c r="G43" s="3858">
        <v>0.33333333333333331</v>
      </c>
      <c r="H43" s="3858">
        <v>0.34179357021996615</v>
      </c>
      <c r="I43" s="3858">
        <v>0.34285714285714286</v>
      </c>
      <c r="J43" s="3858">
        <v>0.35008103727714751</v>
      </c>
      <c r="K43" s="3859">
        <v>0.35284552845528455</v>
      </c>
      <c r="L43" s="3859">
        <v>0.38141025641025639</v>
      </c>
      <c r="M43" s="3859">
        <v>0.2928</v>
      </c>
    </row>
    <row r="44" spans="2:13" ht="14.4">
      <c r="B44" s="3857" t="s">
        <v>36</v>
      </c>
      <c r="C44" s="3858">
        <v>0.23851590106007067</v>
      </c>
      <c r="D44" s="3858">
        <v>0.22280701754385965</v>
      </c>
      <c r="E44" s="3858">
        <v>0.22608695652173913</v>
      </c>
      <c r="F44" s="3858">
        <v>0.23378839590443687</v>
      </c>
      <c r="G44" s="3858">
        <v>0.23688663282571912</v>
      </c>
      <c r="H44" s="3858">
        <v>0.28007889546351084</v>
      </c>
      <c r="I44" s="3858">
        <v>0.27843137254901962</v>
      </c>
      <c r="J44" s="3858">
        <v>0.28544423440453687</v>
      </c>
      <c r="K44" s="3859">
        <v>0.30367504835589942</v>
      </c>
      <c r="L44" s="3859">
        <v>0.33024118738404451</v>
      </c>
      <c r="M44" s="3859">
        <v>0.23191094619666047</v>
      </c>
    </row>
    <row r="45" spans="2:13" ht="14.4">
      <c r="B45" s="3857" t="s">
        <v>37</v>
      </c>
      <c r="C45" s="3858">
        <v>0.29184549356223177</v>
      </c>
      <c r="D45" s="3858">
        <v>0.27542372881355931</v>
      </c>
      <c r="E45" s="3858">
        <v>0.27906976744186046</v>
      </c>
      <c r="F45" s="3858">
        <v>0.2808988764044944</v>
      </c>
      <c r="G45" s="3858">
        <v>0.25418060200668896</v>
      </c>
      <c r="H45" s="3858">
        <v>0.29432624113475175</v>
      </c>
      <c r="I45" s="3858">
        <v>0.29702970297029702</v>
      </c>
      <c r="J45" s="3858">
        <v>0.31661442006269591</v>
      </c>
      <c r="K45" s="3859">
        <v>0.34146341463414637</v>
      </c>
      <c r="L45" s="3859">
        <v>0.35942028985507246</v>
      </c>
      <c r="M45" s="3859">
        <v>0.30372492836676218</v>
      </c>
    </row>
    <row r="46" spans="2:13" ht="14.4">
      <c r="B46" s="3857" t="s">
        <v>38</v>
      </c>
      <c r="C46" s="3858">
        <v>0.27611940298507465</v>
      </c>
      <c r="D46" s="3858">
        <v>0.25299401197604793</v>
      </c>
      <c r="E46" s="3858">
        <v>0.27101449275362322</v>
      </c>
      <c r="F46" s="3858">
        <v>0.33518005540166207</v>
      </c>
      <c r="G46" s="3858">
        <v>0.34501347708894881</v>
      </c>
      <c r="H46" s="3858">
        <v>0.37872340425531914</v>
      </c>
      <c r="I46" s="3858">
        <v>0.36338418862690708</v>
      </c>
      <c r="J46" s="3858">
        <v>0.38147138964577659</v>
      </c>
      <c r="K46" s="3859">
        <v>0.40117130307467058</v>
      </c>
      <c r="L46" s="3859">
        <v>0.43839541547277938</v>
      </c>
      <c r="M46" s="3859">
        <v>0.35971223021582732</v>
      </c>
    </row>
    <row r="47" spans="2:13" ht="14.4">
      <c r="B47" s="3857" t="s">
        <v>39</v>
      </c>
      <c r="C47" s="3858">
        <v>0.39731437598736175</v>
      </c>
      <c r="D47" s="3858">
        <v>0.39035418236623964</v>
      </c>
      <c r="E47" s="3858">
        <v>0.43284671532846714</v>
      </c>
      <c r="F47" s="3858">
        <v>0.45130813953488375</v>
      </c>
      <c r="G47" s="3858">
        <v>0.47244094488188976</v>
      </c>
      <c r="H47" s="3858">
        <v>0.48540706605222733</v>
      </c>
      <c r="I47" s="3858">
        <v>0.51036070606293171</v>
      </c>
      <c r="J47" s="3858">
        <v>0.51834862385321101</v>
      </c>
      <c r="K47" s="3859">
        <v>0.51470588235294112</v>
      </c>
      <c r="L47" s="3859">
        <v>0.55582137161084533</v>
      </c>
      <c r="M47" s="3859">
        <v>0.47993447993447991</v>
      </c>
    </row>
    <row r="48" spans="2:13" ht="14.4">
      <c r="B48" s="3857" t="s">
        <v>40</v>
      </c>
      <c r="C48" s="3858">
        <v>0.15428571428571428</v>
      </c>
      <c r="D48" s="3858">
        <v>0.15048543689320387</v>
      </c>
      <c r="E48" s="3858">
        <v>0.15767634854771784</v>
      </c>
      <c r="F48" s="3858">
        <v>0.1440329218106996</v>
      </c>
      <c r="G48" s="3858">
        <v>0.12903225806451613</v>
      </c>
      <c r="H48" s="3858">
        <v>0.13596491228070176</v>
      </c>
      <c r="I48" s="3858">
        <v>0.14225941422594143</v>
      </c>
      <c r="J48" s="3858">
        <v>0.16</v>
      </c>
      <c r="K48" s="3859">
        <v>0.19444444444444445</v>
      </c>
      <c r="L48" s="3859">
        <v>0.2265625</v>
      </c>
      <c r="M48" s="3859">
        <v>0.19318181818181818</v>
      </c>
    </row>
    <row r="49" spans="2:13" ht="14.4">
      <c r="B49" s="3860" t="s">
        <v>545</v>
      </c>
      <c r="C49" s="3861">
        <v>0.34455732946298984</v>
      </c>
      <c r="D49" s="3861">
        <v>0.33959618620302862</v>
      </c>
      <c r="E49" s="3861">
        <v>0.34366960054163848</v>
      </c>
      <c r="F49" s="3861">
        <v>0.36831656961355214</v>
      </c>
      <c r="G49" s="3861">
        <v>0.37459910198845414</v>
      </c>
      <c r="H49" s="3861">
        <v>0.40253129728986103</v>
      </c>
      <c r="I49" s="3861">
        <v>0.4020449897750511</v>
      </c>
      <c r="J49" s="3861">
        <v>0.40197123068726692</v>
      </c>
      <c r="K49" s="3862">
        <v>0.40934371523915464</v>
      </c>
      <c r="L49" s="3862">
        <v>0.44369521240728255</v>
      </c>
      <c r="M49" s="3862">
        <v>0.36703658035347309</v>
      </c>
    </row>
    <row r="50" spans="2:13" ht="14.4">
      <c r="B50" s="3857" t="s">
        <v>42</v>
      </c>
      <c r="C50" s="3858">
        <v>0.34922861150070128</v>
      </c>
      <c r="D50" s="3858">
        <v>0.32379713914174252</v>
      </c>
      <c r="E50" s="3858">
        <v>0.33291457286432163</v>
      </c>
      <c r="F50" s="3858">
        <v>0.35450346420323325</v>
      </c>
      <c r="G50" s="3858">
        <v>0.379492600422833</v>
      </c>
      <c r="H50" s="3858">
        <v>0.42633228840125392</v>
      </c>
      <c r="I50" s="3858">
        <v>0.45726055612770339</v>
      </c>
      <c r="J50" s="3858">
        <v>0.47160243407707908</v>
      </c>
      <c r="K50" s="3859">
        <v>0.49840933191940617</v>
      </c>
      <c r="L50" s="3859">
        <v>0.56020408163265301</v>
      </c>
      <c r="M50" s="3859">
        <v>0.4565677966101695</v>
      </c>
    </row>
    <row r="51" spans="2:13" ht="14.4">
      <c r="B51" s="3857" t="s">
        <v>43</v>
      </c>
      <c r="C51" s="3858">
        <v>0.32075471698113206</v>
      </c>
      <c r="D51" s="3858">
        <v>0.3492753623188406</v>
      </c>
      <c r="E51" s="3858">
        <v>0.34122562674094709</v>
      </c>
      <c r="F51" s="3858">
        <v>0.34135977337110479</v>
      </c>
      <c r="G51" s="3858">
        <v>0.36029411764705882</v>
      </c>
      <c r="H51" s="3858">
        <v>0.37920489296636084</v>
      </c>
      <c r="I51" s="3858">
        <v>0.37774524158125916</v>
      </c>
      <c r="J51" s="3858">
        <v>0.36325966850828728</v>
      </c>
      <c r="K51" s="3859">
        <v>0.4</v>
      </c>
      <c r="L51" s="3859">
        <v>0.44768211920529799</v>
      </c>
      <c r="M51" s="3859">
        <v>0.38186462324393361</v>
      </c>
    </row>
    <row r="52" spans="2:13" ht="14.4">
      <c r="B52" s="3857" t="s">
        <v>44</v>
      </c>
      <c r="C52" s="3858">
        <v>0.35153583617747441</v>
      </c>
      <c r="D52" s="3858">
        <v>0.32786885245901637</v>
      </c>
      <c r="E52" s="3858">
        <v>0.33021806853582553</v>
      </c>
      <c r="F52" s="3858">
        <v>0.33152173913043476</v>
      </c>
      <c r="G52" s="3858">
        <v>0.26463700234192039</v>
      </c>
      <c r="H52" s="3858">
        <v>0.28631578947368419</v>
      </c>
      <c r="I52" s="3858">
        <v>0.28927203065134099</v>
      </c>
      <c r="J52" s="3858">
        <v>0.36234458259325042</v>
      </c>
      <c r="K52" s="3859">
        <v>0.40924657534246578</v>
      </c>
      <c r="L52" s="3859">
        <v>0.46622734761120266</v>
      </c>
      <c r="M52" s="3859">
        <v>0.4042207792207792</v>
      </c>
    </row>
    <row r="53" spans="2:13" ht="14.4">
      <c r="B53" s="3857" t="s">
        <v>45</v>
      </c>
      <c r="C53" s="3858">
        <v>0.25806451612903225</v>
      </c>
      <c r="D53" s="3858">
        <v>0.24817518248175183</v>
      </c>
      <c r="E53" s="3858">
        <v>0.28476821192052981</v>
      </c>
      <c r="F53" s="3858">
        <v>0.27108433734939757</v>
      </c>
      <c r="G53" s="3858">
        <v>0.23966942148760331</v>
      </c>
      <c r="H53" s="3858">
        <v>0.28685258964143429</v>
      </c>
      <c r="I53" s="3858">
        <v>0.27831715210355989</v>
      </c>
      <c r="J53" s="3858">
        <v>0.31978319783197834</v>
      </c>
      <c r="K53" s="3859">
        <v>0.4020356234096692</v>
      </c>
      <c r="L53" s="3859">
        <v>0.49636803874092011</v>
      </c>
      <c r="M53" s="3859">
        <v>0.50238095238095237</v>
      </c>
    </row>
    <row r="54" spans="2:13" ht="14.4">
      <c r="B54" s="3857" t="s">
        <v>46</v>
      </c>
      <c r="C54" s="3858">
        <v>0.36478711162255467</v>
      </c>
      <c r="D54" s="3858">
        <v>0.34030197444831589</v>
      </c>
      <c r="E54" s="3858">
        <v>0.33153347732181426</v>
      </c>
      <c r="F54" s="3858">
        <v>0.32777232580961729</v>
      </c>
      <c r="G54" s="3858">
        <v>0.32350230414746545</v>
      </c>
      <c r="H54" s="3858">
        <v>0.34762348555452005</v>
      </c>
      <c r="I54" s="3858">
        <v>0.3469210754553339</v>
      </c>
      <c r="J54" s="3858">
        <v>0.35906040268456374</v>
      </c>
      <c r="K54" s="3859">
        <v>0.39347079037800686</v>
      </c>
      <c r="L54" s="3859">
        <v>0.4567901234567901</v>
      </c>
      <c r="M54" s="3859">
        <v>0.37874892887746359</v>
      </c>
    </row>
    <row r="55" spans="2:13" ht="14.4">
      <c r="B55" s="3857" t="s">
        <v>47</v>
      </c>
      <c r="C55" s="3858">
        <v>0.30836575875486383</v>
      </c>
      <c r="D55" s="3858">
        <v>0.30635838150289019</v>
      </c>
      <c r="E55" s="3858">
        <v>0.30914231856738927</v>
      </c>
      <c r="F55" s="3858">
        <v>0.3045045045045045</v>
      </c>
      <c r="G55" s="3858">
        <v>0.30704697986577179</v>
      </c>
      <c r="H55" s="3858">
        <v>0.30677966101694915</v>
      </c>
      <c r="I55" s="3858">
        <v>0.31851253031527887</v>
      </c>
      <c r="J55" s="3858">
        <v>0.31224655312246552</v>
      </c>
      <c r="K55" s="3859">
        <v>0.33475661827497866</v>
      </c>
      <c r="L55" s="3859">
        <v>0.38717532467532467</v>
      </c>
      <c r="M55" s="3859">
        <v>0.34305317324185247</v>
      </c>
    </row>
    <row r="56" spans="2:13" ht="14.4">
      <c r="B56" s="3860" t="s">
        <v>547</v>
      </c>
      <c r="C56" s="3861">
        <v>0.33342303552206676</v>
      </c>
      <c r="D56" s="3861">
        <v>0.32500000000000001</v>
      </c>
      <c r="E56" s="3861">
        <v>0.32569846463629498</v>
      </c>
      <c r="F56" s="3861">
        <v>0.32750885478158204</v>
      </c>
      <c r="G56" s="3861">
        <v>0.32633420822397202</v>
      </c>
      <c r="H56" s="3861">
        <v>0.34836601307189541</v>
      </c>
      <c r="I56" s="3861">
        <v>0.35548717948717951</v>
      </c>
      <c r="J56" s="3861">
        <v>0.36767317939609234</v>
      </c>
      <c r="K56" s="3862">
        <v>0.40301204819277109</v>
      </c>
      <c r="L56" s="3862">
        <v>0.46270665128796618</v>
      </c>
      <c r="M56" s="3862">
        <v>0.39874411302982732</v>
      </c>
    </row>
    <row r="57" spans="2:13" ht="15" customHeight="1">
      <c r="B57" s="3863" t="s">
        <v>110</v>
      </c>
      <c r="C57" s="3006">
        <v>0.2934581904510683</v>
      </c>
      <c r="D57" s="3006">
        <v>0.29279132082870402</v>
      </c>
      <c r="E57" s="3006">
        <v>0.29594347359788026</v>
      </c>
      <c r="F57" s="3006">
        <v>0.30940076288913498</v>
      </c>
      <c r="G57" s="3006">
        <v>0.31236365780319558</v>
      </c>
      <c r="H57" s="3006">
        <v>0.33620366903781357</v>
      </c>
      <c r="I57" s="3006">
        <v>0.33508358983644154</v>
      </c>
      <c r="J57" s="3006">
        <v>0.33578587567348356</v>
      </c>
      <c r="K57" s="3007">
        <v>0.36218665055874361</v>
      </c>
      <c r="L57" s="3007">
        <v>0.40123210313159546</v>
      </c>
      <c r="M57" s="3007">
        <v>0.33250014202124639</v>
      </c>
    </row>
    <row r="58" spans="2:13" ht="14.4">
      <c r="B58" s="3864" t="s">
        <v>17</v>
      </c>
      <c r="C58" s="3865">
        <v>0.46443514644351463</v>
      </c>
      <c r="D58" s="3865">
        <v>0.46617548559946415</v>
      </c>
      <c r="E58" s="3865">
        <v>0.47701532311792139</v>
      </c>
      <c r="F58" s="3865">
        <v>0.5121293800539084</v>
      </c>
      <c r="G58" s="3865">
        <v>0.503693754197448</v>
      </c>
      <c r="H58" s="3865">
        <v>0.53254437869822491</v>
      </c>
      <c r="I58" s="3865">
        <v>0.53988183161004433</v>
      </c>
      <c r="J58" s="3865">
        <v>0.52512745812090311</v>
      </c>
      <c r="K58" s="3866">
        <v>0.54980988593155888</v>
      </c>
      <c r="L58" s="3866">
        <v>0.5920177383592018</v>
      </c>
      <c r="M58" s="3866">
        <v>0.56793673616103524</v>
      </c>
    </row>
    <row r="59" spans="2:13" ht="14.4">
      <c r="B59" s="3857" t="s">
        <v>49</v>
      </c>
      <c r="C59" s="3858">
        <v>0.66415313225058004</v>
      </c>
      <c r="D59" s="3858">
        <v>0.67976878612716762</v>
      </c>
      <c r="E59" s="3858">
        <v>0.6910662824207493</v>
      </c>
      <c r="F59" s="3858">
        <v>0.71029668411867364</v>
      </c>
      <c r="G59" s="3858">
        <v>0.70745920745920743</v>
      </c>
      <c r="H59" s="3858">
        <v>0.7508090614886731</v>
      </c>
      <c r="I59" s="3858">
        <v>0.75033025099075301</v>
      </c>
      <c r="J59" s="3858">
        <v>0.74983585029546951</v>
      </c>
      <c r="K59" s="3859">
        <v>0.75549633577614927</v>
      </c>
      <c r="L59" s="3859">
        <v>0.775310254735467</v>
      </c>
      <c r="M59" s="3859">
        <v>0.71814671814671815</v>
      </c>
    </row>
    <row r="60" spans="2:13" ht="14.4">
      <c r="B60" s="3857" t="s">
        <v>19</v>
      </c>
      <c r="C60" s="3858">
        <v>0.33915806195393167</v>
      </c>
      <c r="D60" s="3858">
        <v>0.34245504300234558</v>
      </c>
      <c r="E60" s="3858">
        <v>0.35366795366795367</v>
      </c>
      <c r="F60" s="3858">
        <v>0.35362095531587057</v>
      </c>
      <c r="G60" s="3858">
        <v>0.35071806500377928</v>
      </c>
      <c r="H60" s="3858">
        <v>0.37563025210084033</v>
      </c>
      <c r="I60" s="3858">
        <v>0.37615449202350965</v>
      </c>
      <c r="J60" s="3858">
        <v>0.3577981651376147</v>
      </c>
      <c r="K60" s="3859">
        <v>0.42643171806167401</v>
      </c>
      <c r="L60" s="3859">
        <v>0.44214876033057854</v>
      </c>
      <c r="M60" s="3859">
        <v>0.4028892455858748</v>
      </c>
    </row>
    <row r="61" spans="2:13" ht="14.4">
      <c r="B61" s="3857" t="s">
        <v>50</v>
      </c>
      <c r="C61" s="3858">
        <v>0.65544041450777202</v>
      </c>
      <c r="D61" s="3858">
        <v>0.66019736842105259</v>
      </c>
      <c r="E61" s="3858">
        <v>0.65848806366047741</v>
      </c>
      <c r="F61" s="3858">
        <v>0.67817633255112308</v>
      </c>
      <c r="G61" s="3858">
        <v>0.68102288021534318</v>
      </c>
      <c r="H61" s="3858">
        <v>0.73189230185817211</v>
      </c>
      <c r="I61" s="3858">
        <v>0.73293885601577913</v>
      </c>
      <c r="J61" s="3858">
        <v>0.73253570050173678</v>
      </c>
      <c r="K61" s="3859">
        <v>0.75358280254777066</v>
      </c>
      <c r="L61" s="3859">
        <v>0.75948377004301915</v>
      </c>
      <c r="M61" s="3859">
        <v>0.73739837398373986</v>
      </c>
    </row>
    <row r="62" spans="2:13" ht="14.4">
      <c r="B62" s="3857" t="s">
        <v>20</v>
      </c>
      <c r="C62" s="3858">
        <v>0.49515190691661282</v>
      </c>
      <c r="D62" s="3858">
        <v>0.50985545335085414</v>
      </c>
      <c r="E62" s="3858">
        <v>0.5124077800134138</v>
      </c>
      <c r="F62" s="3858">
        <v>0.54023792862141362</v>
      </c>
      <c r="G62" s="3858">
        <v>0.5473309608540925</v>
      </c>
      <c r="H62" s="3858">
        <v>0.60411718131433101</v>
      </c>
      <c r="I62" s="3858">
        <v>0.61093247588424437</v>
      </c>
      <c r="J62" s="3858">
        <v>0.58550488599348538</v>
      </c>
      <c r="K62" s="3859">
        <v>0.61492281303602059</v>
      </c>
      <c r="L62" s="3859">
        <v>0.62315270935960587</v>
      </c>
      <c r="M62" s="3859">
        <v>0.5678601165695254</v>
      </c>
    </row>
    <row r="63" spans="2:13" ht="14.4">
      <c r="B63" s="3857" t="s">
        <v>51</v>
      </c>
      <c r="C63" s="3858">
        <v>0.44400785854616898</v>
      </c>
      <c r="D63" s="3858">
        <v>0.46542056074766353</v>
      </c>
      <c r="E63" s="3858">
        <v>0.48892988929889297</v>
      </c>
      <c r="F63" s="3858">
        <v>0.53090909090909089</v>
      </c>
      <c r="G63" s="3858">
        <v>0.53649635036496346</v>
      </c>
      <c r="H63" s="3858">
        <v>0.57809330628803246</v>
      </c>
      <c r="I63" s="3858">
        <v>0.57991803278688525</v>
      </c>
      <c r="J63" s="3858">
        <v>0.58246346555323592</v>
      </c>
      <c r="K63" s="3859">
        <v>0.55623721881390598</v>
      </c>
      <c r="L63" s="3859">
        <v>0.59009900990099007</v>
      </c>
      <c r="M63" s="3859">
        <v>0.46153846153846156</v>
      </c>
    </row>
    <row r="64" spans="2:13" ht="14.4">
      <c r="B64" s="3860" t="s">
        <v>545</v>
      </c>
      <c r="C64" s="3861">
        <v>0.54952410835686649</v>
      </c>
      <c r="D64" s="3861">
        <v>0.55651630378164396</v>
      </c>
      <c r="E64" s="3861">
        <v>0.56242171189979118</v>
      </c>
      <c r="F64" s="3861">
        <v>0.5840642502377682</v>
      </c>
      <c r="G64" s="3861">
        <v>0.58341267322543111</v>
      </c>
      <c r="H64" s="3861">
        <v>0.62558962264150941</v>
      </c>
      <c r="I64" s="3861">
        <v>0.62647129473937069</v>
      </c>
      <c r="J64" s="3861">
        <v>0.61813415941856309</v>
      </c>
      <c r="K64" s="3862">
        <v>0.64338507021433855</v>
      </c>
      <c r="L64" s="3862">
        <v>0.65942202053976595</v>
      </c>
      <c r="M64" s="3862">
        <v>0.61255309108069844</v>
      </c>
    </row>
    <row r="65" spans="2:13" ht="14.4">
      <c r="B65" s="3857" t="s">
        <v>42</v>
      </c>
      <c r="C65" s="3858">
        <v>0.57910228108903605</v>
      </c>
      <c r="D65" s="3858">
        <v>0.59346126510305619</v>
      </c>
      <c r="E65" s="3858">
        <v>0.61522346368715086</v>
      </c>
      <c r="F65" s="3858">
        <v>0.63944636678200695</v>
      </c>
      <c r="G65" s="3858">
        <v>0.65944482058226139</v>
      </c>
      <c r="H65" s="3858">
        <v>0.69366715758468334</v>
      </c>
      <c r="I65" s="3858">
        <v>0.68586387434554974</v>
      </c>
      <c r="J65" s="3858">
        <v>0.69885057471264367</v>
      </c>
      <c r="K65" s="3859">
        <v>0.76022453889334407</v>
      </c>
      <c r="L65" s="3859">
        <v>0.75343511450381684</v>
      </c>
      <c r="M65" s="3859">
        <v>0.66813509544787075</v>
      </c>
    </row>
    <row r="66" spans="2:13" ht="14.4">
      <c r="B66" s="3857" t="s">
        <v>52</v>
      </c>
      <c r="C66" s="3858">
        <v>0.60232067510548526</v>
      </c>
      <c r="D66" s="3858">
        <v>0.63119834710743805</v>
      </c>
      <c r="E66" s="3858">
        <v>0.67757459095283923</v>
      </c>
      <c r="F66" s="3858">
        <v>0.68778280542986425</v>
      </c>
      <c r="G66" s="3858">
        <v>0.69224062772449868</v>
      </c>
      <c r="H66" s="3858">
        <v>0.73709369024856597</v>
      </c>
      <c r="I66" s="3858">
        <v>0.75992063492063489</v>
      </c>
      <c r="J66" s="3858">
        <v>0.76165803108808294</v>
      </c>
      <c r="K66" s="3859">
        <v>0.80509413067552604</v>
      </c>
      <c r="L66" s="3859">
        <v>0.78151260504201681</v>
      </c>
      <c r="M66" s="3859">
        <v>0.7375415282392026</v>
      </c>
    </row>
    <row r="67" spans="2:13" ht="14.4">
      <c r="B67" s="3857" t="s">
        <v>53</v>
      </c>
      <c r="C67" s="3858">
        <v>0.75414691943127965</v>
      </c>
      <c r="D67" s="3858">
        <v>0.76950565812983918</v>
      </c>
      <c r="E67" s="3858">
        <v>0.78271308523409366</v>
      </c>
      <c r="F67" s="3858">
        <v>0.79408138101109738</v>
      </c>
      <c r="G67" s="3858">
        <v>0.77854889589905363</v>
      </c>
      <c r="H67" s="3858">
        <v>0.81263776634827334</v>
      </c>
      <c r="I67" s="3858">
        <v>0.81440000000000001</v>
      </c>
      <c r="J67" s="3858">
        <v>0.81239669421487604</v>
      </c>
      <c r="K67" s="3859">
        <v>0.83250414593698174</v>
      </c>
      <c r="L67" s="3859">
        <v>0.84729064039408863</v>
      </c>
      <c r="M67" s="3859">
        <v>0.76977848101265822</v>
      </c>
    </row>
    <row r="68" spans="2:13" ht="14.4">
      <c r="B68" s="3857" t="s">
        <v>54</v>
      </c>
      <c r="C68" s="3858">
        <v>0.5662285136501517</v>
      </c>
      <c r="D68" s="3858">
        <v>0.57651245551601427</v>
      </c>
      <c r="E68" s="3858">
        <v>0.61471640265712824</v>
      </c>
      <c r="F68" s="3858">
        <v>0.62519521082769391</v>
      </c>
      <c r="G68" s="3858">
        <v>0.62447257383966248</v>
      </c>
      <c r="H68" s="3858">
        <v>0.66956521739130437</v>
      </c>
      <c r="I68" s="3858">
        <v>0.66327751196172247</v>
      </c>
      <c r="J68" s="3858">
        <v>0.67598784194528871</v>
      </c>
      <c r="K68" s="3859">
        <v>0.7034990791896869</v>
      </c>
      <c r="L68" s="3859">
        <v>0.71847507331378302</v>
      </c>
      <c r="M68" s="3859">
        <v>0.62057522123893805</v>
      </c>
    </row>
    <row r="69" spans="2:13" ht="14.4">
      <c r="B69" s="3857" t="s">
        <v>55</v>
      </c>
      <c r="C69" s="3858">
        <v>0.53360768175582995</v>
      </c>
      <c r="D69" s="3858">
        <v>0.55283446712018136</v>
      </c>
      <c r="E69" s="3858">
        <v>0.56209453197405002</v>
      </c>
      <c r="F69" s="3858">
        <v>0.56484149855907784</v>
      </c>
      <c r="G69" s="3858">
        <v>0.56618740704015869</v>
      </c>
      <c r="H69" s="3858">
        <v>0.60343839541547273</v>
      </c>
      <c r="I69" s="3858">
        <v>0.60011743981209631</v>
      </c>
      <c r="J69" s="3858">
        <v>0.56071428571428572</v>
      </c>
      <c r="K69" s="3859">
        <v>0.56613418530351434</v>
      </c>
      <c r="L69" s="3859">
        <v>0.63680682510664233</v>
      </c>
      <c r="M69" s="3859">
        <v>0.51566125290023201</v>
      </c>
    </row>
    <row r="70" spans="2:13" ht="14.4">
      <c r="B70" s="3857" t="s">
        <v>56</v>
      </c>
      <c r="C70" s="3858">
        <v>0.43014705882352944</v>
      </c>
      <c r="D70" s="3858">
        <v>0.43046357615894038</v>
      </c>
      <c r="E70" s="3858">
        <v>0.4619188921859545</v>
      </c>
      <c r="F70" s="3858">
        <v>0.4872549019607843</v>
      </c>
      <c r="G70" s="3858">
        <v>0.49105545617173524</v>
      </c>
      <c r="H70" s="3858">
        <v>0.58310376492194671</v>
      </c>
      <c r="I70" s="3858">
        <v>0.59473237043330496</v>
      </c>
      <c r="J70" s="3858">
        <v>0.59548751007252221</v>
      </c>
      <c r="K70" s="3859">
        <v>0.67093235831809872</v>
      </c>
      <c r="L70" s="3859">
        <v>0.61954765751211627</v>
      </c>
      <c r="M70" s="3859">
        <v>0.5747967479674797</v>
      </c>
    </row>
    <row r="71" spans="2:13" ht="14.4">
      <c r="B71" s="3857" t="s">
        <v>259</v>
      </c>
      <c r="C71" s="3858">
        <v>0.57095926412614983</v>
      </c>
      <c r="D71" s="3858">
        <v>0.59570181329751515</v>
      </c>
      <c r="E71" s="3858">
        <v>0.58800773694390718</v>
      </c>
      <c r="F71" s="3858">
        <v>0.60790667530784182</v>
      </c>
      <c r="G71" s="3858">
        <v>0.61212886923562859</v>
      </c>
      <c r="H71" s="3858">
        <v>0.69493941553813254</v>
      </c>
      <c r="I71" s="3858">
        <v>0.67623252391464317</v>
      </c>
      <c r="J71" s="3858">
        <v>0.68569254185692541</v>
      </c>
      <c r="K71" s="3859">
        <v>0.69111969111969107</v>
      </c>
      <c r="L71" s="3859">
        <v>0.76183320811419986</v>
      </c>
      <c r="M71" s="3859">
        <v>0.62977396726422452</v>
      </c>
    </row>
    <row r="72" spans="2:13" ht="14.4">
      <c r="B72" s="3857" t="s">
        <v>272</v>
      </c>
      <c r="C72" s="3858">
        <v>0.74716981132075466</v>
      </c>
      <c r="D72" s="3858">
        <v>0.76792452830188684</v>
      </c>
      <c r="E72" s="3858">
        <v>0.77362020579981294</v>
      </c>
      <c r="F72" s="3858">
        <v>0.77962962962962967</v>
      </c>
      <c r="G72" s="3858">
        <v>0.77318640955004592</v>
      </c>
      <c r="H72" s="3858">
        <v>0.82492581602373882</v>
      </c>
      <c r="I72" s="3858">
        <v>0.80694586312563843</v>
      </c>
      <c r="J72" s="3858">
        <v>0.80776892430278879</v>
      </c>
      <c r="K72" s="3859">
        <v>0.82376237623762372</v>
      </c>
      <c r="L72" s="3859">
        <v>0.82591876208897486</v>
      </c>
      <c r="M72" s="3859">
        <v>0.7673545966228893</v>
      </c>
    </row>
    <row r="73" spans="2:13" ht="14.4">
      <c r="B73" s="3860" t="s">
        <v>547</v>
      </c>
      <c r="C73" s="3861">
        <v>0.599584703235854</v>
      </c>
      <c r="D73" s="3861">
        <v>0.61484461946751134</v>
      </c>
      <c r="E73" s="3861">
        <v>0.63207944121854753</v>
      </c>
      <c r="F73" s="3861">
        <v>0.6452868505669318</v>
      </c>
      <c r="G73" s="3861">
        <v>0.64539959704499661</v>
      </c>
      <c r="H73" s="3861">
        <v>0.69575339914322964</v>
      </c>
      <c r="I73" s="3861">
        <v>0.69060562708631379</v>
      </c>
      <c r="J73" s="3861">
        <v>0.6884407564646855</v>
      </c>
      <c r="K73" s="3862">
        <v>0.72087646999698463</v>
      </c>
      <c r="L73" s="3862">
        <v>0.73525745517307506</v>
      </c>
      <c r="M73" s="3862">
        <v>0.6478383458646616</v>
      </c>
    </row>
    <row r="74" spans="2:13" ht="14.4">
      <c r="B74" s="3857" t="s">
        <v>22</v>
      </c>
      <c r="C74" s="3858">
        <v>0.47960108794197642</v>
      </c>
      <c r="D74" s="3858">
        <v>0.48805147058823528</v>
      </c>
      <c r="E74" s="3858">
        <v>0.50336473755047106</v>
      </c>
      <c r="F74" s="3858">
        <v>0.51627693718477763</v>
      </c>
      <c r="G74" s="3858">
        <v>0.53795688847235235</v>
      </c>
      <c r="H74" s="3858">
        <v>0.56505961638154489</v>
      </c>
      <c r="I74" s="3858">
        <v>0.55448717948717952</v>
      </c>
      <c r="J74" s="3858">
        <v>0.54824797843665773</v>
      </c>
      <c r="K74" s="3859">
        <v>0.59953837276399302</v>
      </c>
      <c r="L74" s="3859">
        <v>0.63575418994413413</v>
      </c>
      <c r="M74" s="3859">
        <v>0.58234295415959259</v>
      </c>
    </row>
    <row r="75" spans="2:13" ht="14.4">
      <c r="B75" s="3857" t="s">
        <v>23</v>
      </c>
      <c r="C75" s="3858">
        <v>0.65491651205936918</v>
      </c>
      <c r="D75" s="3858">
        <v>0.64163498098859317</v>
      </c>
      <c r="E75" s="3858">
        <v>0.63459669582118561</v>
      </c>
      <c r="F75" s="3858">
        <v>0.65705765407554673</v>
      </c>
      <c r="G75" s="3858">
        <v>0.67323651452282163</v>
      </c>
      <c r="H75" s="3858">
        <v>0.70370370370370372</v>
      </c>
      <c r="I75" s="3858">
        <v>0.72330654420206664</v>
      </c>
      <c r="J75" s="3858">
        <v>0.72055427251732107</v>
      </c>
      <c r="K75" s="3859">
        <v>0.74970760233918132</v>
      </c>
      <c r="L75" s="3859">
        <v>0.76693455797933408</v>
      </c>
      <c r="M75" s="3859">
        <v>0.71331058020477811</v>
      </c>
    </row>
    <row r="76" spans="2:13" ht="14.4">
      <c r="B76" s="3857" t="s">
        <v>24</v>
      </c>
      <c r="C76" s="3858">
        <v>0.53615023474178403</v>
      </c>
      <c r="D76" s="3858">
        <v>0.54807692307692313</v>
      </c>
      <c r="E76" s="3858">
        <v>0.51448551448551449</v>
      </c>
      <c r="F76" s="3858">
        <v>0.50566426364572603</v>
      </c>
      <c r="G76" s="3858">
        <v>0.48856548856548859</v>
      </c>
      <c r="H76" s="3858">
        <v>0.50580046403712298</v>
      </c>
      <c r="I76" s="3858">
        <v>0.5140845070422535</v>
      </c>
      <c r="J76" s="3858">
        <v>0.53480278422273786</v>
      </c>
      <c r="K76" s="3859">
        <v>0.58212560386473433</v>
      </c>
      <c r="L76" s="3859">
        <v>0.61449942462600693</v>
      </c>
      <c r="M76" s="3859">
        <v>0.5770089285714286</v>
      </c>
    </row>
    <row r="77" spans="2:13" ht="14.4">
      <c r="B77" s="3857" t="s">
        <v>58</v>
      </c>
      <c r="C77" s="3858">
        <v>0.4152777777777778</v>
      </c>
      <c r="D77" s="3858">
        <v>0.39550264550264552</v>
      </c>
      <c r="E77" s="3858">
        <v>0.40433673469387754</v>
      </c>
      <c r="F77" s="3858">
        <v>0.43711083437110837</v>
      </c>
      <c r="G77" s="3858">
        <v>0.43373493975903615</v>
      </c>
      <c r="H77" s="3858">
        <v>0.54215116279069764</v>
      </c>
      <c r="I77" s="3858">
        <v>0.57994186046511631</v>
      </c>
      <c r="J77" s="3858">
        <v>0.58985507246376812</v>
      </c>
      <c r="K77" s="3859">
        <v>0.67980295566502458</v>
      </c>
      <c r="L77" s="3859">
        <v>0.66214177978883859</v>
      </c>
      <c r="M77" s="3859">
        <v>0.64589665653495443</v>
      </c>
    </row>
    <row r="78" spans="2:13" ht="14.4">
      <c r="B78" s="3860" t="s">
        <v>546</v>
      </c>
      <c r="C78" s="3861">
        <v>0.51962911816926416</v>
      </c>
      <c r="D78" s="3861">
        <v>0.51871019108280259</v>
      </c>
      <c r="E78" s="3861">
        <v>0.51695419393218323</v>
      </c>
      <c r="F78" s="3861">
        <v>0.52993348115299332</v>
      </c>
      <c r="G78" s="3861">
        <v>0.53721881390593051</v>
      </c>
      <c r="H78" s="3861">
        <v>0.57803203661327229</v>
      </c>
      <c r="I78" s="3861">
        <v>0.58487041793135652</v>
      </c>
      <c r="J78" s="3861">
        <v>0.58717528668382868</v>
      </c>
      <c r="K78" s="3862">
        <v>0.64</v>
      </c>
      <c r="L78" s="3862">
        <v>0.662771285475793</v>
      </c>
      <c r="M78" s="3862">
        <v>0.61857142857142855</v>
      </c>
    </row>
    <row r="79" spans="2:13" ht="15" customHeight="1">
      <c r="B79" s="3863" t="s">
        <v>442</v>
      </c>
      <c r="C79" s="3006">
        <v>0.56583167863143424</v>
      </c>
      <c r="D79" s="3006">
        <v>0.57519768856447684</v>
      </c>
      <c r="E79" s="3006">
        <v>0.58499962272692974</v>
      </c>
      <c r="F79" s="3006">
        <v>0.6014023321393186</v>
      </c>
      <c r="G79" s="3006">
        <v>0.60293277470957918</v>
      </c>
      <c r="H79" s="3006">
        <v>0.64871968797693746</v>
      </c>
      <c r="I79" s="3006">
        <v>0.64787390664241795</v>
      </c>
      <c r="J79" s="3006">
        <v>0.64402952670429869</v>
      </c>
      <c r="K79" s="3007">
        <v>0.67766612348361399</v>
      </c>
      <c r="L79" s="3007">
        <v>0.69442511741172375</v>
      </c>
      <c r="M79" s="3007">
        <v>0.6297392348601818</v>
      </c>
    </row>
    <row r="80" spans="2:13" ht="14.4">
      <c r="B80" s="3864" t="s">
        <v>17</v>
      </c>
      <c r="C80" s="3865">
        <v>0.50467289719626163</v>
      </c>
      <c r="D80" s="3865">
        <v>0.54285714285714282</v>
      </c>
      <c r="E80" s="3865">
        <v>0.52301255230125521</v>
      </c>
      <c r="F80" s="3865">
        <v>0.59245283018867922</v>
      </c>
      <c r="G80" s="3865">
        <v>0.62962962962962965</v>
      </c>
      <c r="H80" s="3865">
        <v>0.64556962025316456</v>
      </c>
      <c r="I80" s="3865">
        <v>0.66319444444444442</v>
      </c>
      <c r="J80" s="3865">
        <v>0.63829787234042556</v>
      </c>
      <c r="K80" s="3866">
        <v>0.63043478260869568</v>
      </c>
      <c r="L80" s="3866">
        <v>0.6630824372759857</v>
      </c>
      <c r="M80" s="3866">
        <v>0.52063492063492067</v>
      </c>
    </row>
    <row r="81" spans="2:13" ht="14.4">
      <c r="B81" s="3857" t="s">
        <v>18</v>
      </c>
      <c r="C81" s="3858">
        <v>0.67647058823529416</v>
      </c>
      <c r="D81" s="3858">
        <v>0.67647058823529416</v>
      </c>
      <c r="E81" s="3858">
        <v>0.67647058823529416</v>
      </c>
      <c r="F81" s="3858">
        <v>0.67647058823529416</v>
      </c>
      <c r="G81" s="3858">
        <v>0.73529411764705888</v>
      </c>
      <c r="H81" s="3858">
        <v>0.75757575757575757</v>
      </c>
      <c r="I81" s="3858"/>
      <c r="J81" s="3858"/>
      <c r="K81" s="3859">
        <v>0.32596685082872928</v>
      </c>
      <c r="L81" s="3859"/>
      <c r="M81" s="3859">
        <v>0.20833333333333334</v>
      </c>
    </row>
    <row r="82" spans="2:13" ht="14.4">
      <c r="B82" s="3857" t="s">
        <v>60</v>
      </c>
      <c r="C82" s="3858">
        <v>0</v>
      </c>
      <c r="D82" s="3858">
        <v>0.34782608695652173</v>
      </c>
      <c r="E82" s="3858">
        <v>0.56818181818181823</v>
      </c>
      <c r="F82" s="3858">
        <v>0.4838709677419355</v>
      </c>
      <c r="G82" s="3858">
        <v>0.43181818181818182</v>
      </c>
      <c r="H82" s="3858">
        <v>0.42268041237113402</v>
      </c>
      <c r="I82" s="3858">
        <v>0.38333333333333336</v>
      </c>
      <c r="J82" s="3858">
        <v>0.38666666666666666</v>
      </c>
      <c r="K82" s="3859">
        <v>0.19444444444444445</v>
      </c>
      <c r="L82" s="3859">
        <v>0.421875</v>
      </c>
      <c r="M82" s="3859">
        <v>0.29477611940298509</v>
      </c>
    </row>
    <row r="83" spans="2:13" ht="14.4">
      <c r="B83" s="3857" t="s">
        <v>413</v>
      </c>
      <c r="C83" s="3858"/>
      <c r="D83" s="3858">
        <v>0.1111111111111111</v>
      </c>
      <c r="E83" s="3858">
        <v>0.17241379310344829</v>
      </c>
      <c r="F83" s="3858">
        <v>0.19318181818181818</v>
      </c>
      <c r="G83" s="3858">
        <v>0.17094017094017094</v>
      </c>
      <c r="H83" s="3858">
        <v>0.23308270676691728</v>
      </c>
      <c r="I83" s="3858">
        <v>0.23749999999999999</v>
      </c>
      <c r="J83" s="3858">
        <v>0.24479166666666666</v>
      </c>
      <c r="K83" s="3859">
        <v>0.40861812778603268</v>
      </c>
      <c r="L83" s="3859">
        <v>0.23245614035087719</v>
      </c>
      <c r="M83" s="3859">
        <v>0.16083916083916083</v>
      </c>
    </row>
    <row r="84" spans="2:13" ht="14.4">
      <c r="B84" s="3860" t="s">
        <v>545</v>
      </c>
      <c r="C84" s="3861">
        <v>0.53846153846153844</v>
      </c>
      <c r="D84" s="3861">
        <v>0.49806949806949807</v>
      </c>
      <c r="E84" s="3861">
        <v>0.48799999999999999</v>
      </c>
      <c r="F84" s="3861">
        <v>0.50556792873051226</v>
      </c>
      <c r="G84" s="3861">
        <v>0.50373134328358204</v>
      </c>
      <c r="H84" s="3861">
        <v>0.51986183074265979</v>
      </c>
      <c r="I84" s="3861">
        <v>0.48415492957746481</v>
      </c>
      <c r="J84" s="3861">
        <v>0.45673076923076922</v>
      </c>
      <c r="K84" s="3862">
        <v>0.36749116607773852</v>
      </c>
      <c r="L84" s="3862">
        <v>0.4563662374821173</v>
      </c>
      <c r="M84" s="3862">
        <v>0.32306057385759829</v>
      </c>
    </row>
    <row r="85" spans="2:13" ht="14.4">
      <c r="B85" s="3857" t="s">
        <v>62</v>
      </c>
      <c r="C85" s="3858">
        <v>0.34782608695652173</v>
      </c>
      <c r="D85" s="3858">
        <v>0.312</v>
      </c>
      <c r="E85" s="3858">
        <v>0.33519553072625696</v>
      </c>
      <c r="F85" s="3858">
        <v>0.32692307692307693</v>
      </c>
      <c r="G85" s="3858">
        <v>0.316</v>
      </c>
      <c r="H85" s="3858">
        <v>0.33948339483394835</v>
      </c>
      <c r="I85" s="3858">
        <v>0.32490974729241878</v>
      </c>
      <c r="J85" s="3858">
        <v>0.3611111111111111</v>
      </c>
      <c r="K85" s="3859">
        <v>0.2132701421800948</v>
      </c>
      <c r="L85" s="3859">
        <v>0.45051194539249145</v>
      </c>
      <c r="M85" s="3859">
        <v>0.34097421203438394</v>
      </c>
    </row>
    <row r="86" spans="2:13" ht="14.4">
      <c r="B86" s="3857" t="s">
        <v>414</v>
      </c>
      <c r="C86" s="3858"/>
      <c r="D86" s="3858">
        <v>7.1428571428571425E-2</v>
      </c>
      <c r="E86" s="3858">
        <v>0.08</v>
      </c>
      <c r="F86" s="3858">
        <v>5.5555555555555552E-2</v>
      </c>
      <c r="G86" s="3858">
        <v>6.3492063492063489E-2</v>
      </c>
      <c r="H86" s="3858">
        <v>0.1310344827586207</v>
      </c>
      <c r="I86" s="3858">
        <v>0.15083798882681565</v>
      </c>
      <c r="J86" s="3858">
        <v>0.16431924882629109</v>
      </c>
      <c r="K86" s="3859">
        <v>0.52160493827160492</v>
      </c>
      <c r="L86" s="3859">
        <v>0.25</v>
      </c>
      <c r="M86" s="3859">
        <v>0.17279411764705882</v>
      </c>
    </row>
    <row r="87" spans="2:13" ht="14.4">
      <c r="B87" s="3857" t="s">
        <v>63</v>
      </c>
      <c r="C87" s="3858">
        <v>0</v>
      </c>
      <c r="D87" s="3858">
        <v>0.27272727272727271</v>
      </c>
      <c r="E87" s="3858">
        <v>0.3925233644859813</v>
      </c>
      <c r="F87" s="3858">
        <v>0.39860139860139859</v>
      </c>
      <c r="G87" s="3858">
        <v>0.43010752688172044</v>
      </c>
      <c r="H87" s="3858">
        <v>0.41991341991341991</v>
      </c>
      <c r="I87" s="3858">
        <v>0.43369175627240142</v>
      </c>
      <c r="J87" s="3858">
        <v>0.50467289719626163</v>
      </c>
      <c r="K87" s="3859">
        <v>0.38875305623471884</v>
      </c>
      <c r="L87" s="3859">
        <v>0.57831325301204817</v>
      </c>
      <c r="M87" s="3859">
        <v>0.47732696897374699</v>
      </c>
    </row>
    <row r="88" spans="2:13" ht="14.4">
      <c r="B88" s="3860" t="s">
        <v>548</v>
      </c>
      <c r="C88" s="3861">
        <v>0.34285714285714286</v>
      </c>
      <c r="D88" s="3861">
        <v>0.26923076923076922</v>
      </c>
      <c r="E88" s="3861">
        <v>0.31547619047619047</v>
      </c>
      <c r="F88" s="3861">
        <v>0.29478458049886619</v>
      </c>
      <c r="G88" s="3861">
        <v>0.29715302491103202</v>
      </c>
      <c r="H88" s="3861">
        <v>0.321483771251932</v>
      </c>
      <c r="I88" s="3861">
        <v>0.32380952380952382</v>
      </c>
      <c r="J88" s="3861">
        <v>0.36618004866180048</v>
      </c>
      <c r="K88" s="3862">
        <v>0.30801687763713081</v>
      </c>
      <c r="L88" s="3862">
        <v>0.44758539458186103</v>
      </c>
      <c r="M88" s="3862">
        <v>0.35192307692307695</v>
      </c>
    </row>
    <row r="89" spans="2:13" ht="14.4">
      <c r="B89" s="3857" t="s">
        <v>14</v>
      </c>
      <c r="C89" s="3858">
        <v>0.32758620689655171</v>
      </c>
      <c r="D89" s="3858">
        <v>0.30208333333333331</v>
      </c>
      <c r="E89" s="3858">
        <v>0.28187919463087246</v>
      </c>
      <c r="F89" s="3858">
        <v>0.28888888888888886</v>
      </c>
      <c r="G89" s="3858">
        <v>0.30882352941176472</v>
      </c>
      <c r="H89" s="3858">
        <v>0.34975369458128081</v>
      </c>
      <c r="I89" s="3858">
        <v>0.30243902439024389</v>
      </c>
      <c r="J89" s="3858">
        <v>0.26666666666666666</v>
      </c>
      <c r="K89" s="3859">
        <v>0.24657534246575341</v>
      </c>
      <c r="L89" s="3859">
        <v>0.33333333333333331</v>
      </c>
      <c r="M89" s="3859">
        <v>0.19243986254295534</v>
      </c>
    </row>
    <row r="90" spans="2:13" ht="14.4">
      <c r="B90" s="3857" t="s">
        <v>65</v>
      </c>
      <c r="C90" s="3858">
        <v>0.13333333333333333</v>
      </c>
      <c r="D90" s="3858">
        <v>9.0909090909090912E-2</v>
      </c>
      <c r="E90" s="3858">
        <v>0.11290322580645161</v>
      </c>
      <c r="F90" s="3858">
        <v>0.11627906976744186</v>
      </c>
      <c r="G90" s="3858">
        <v>0.11818181818181818</v>
      </c>
      <c r="H90" s="3858">
        <v>0.17699115044247787</v>
      </c>
      <c r="I90" s="3858">
        <v>0.1796875</v>
      </c>
      <c r="J90" s="3858">
        <v>0.21917808219178081</v>
      </c>
      <c r="K90" s="3859">
        <v>0.34193548387096773</v>
      </c>
      <c r="L90" s="3859">
        <v>0.28930817610062892</v>
      </c>
      <c r="M90" s="3859">
        <v>0.21341463414634146</v>
      </c>
    </row>
    <row r="91" spans="2:13" ht="14.4">
      <c r="B91" s="3857" t="s">
        <v>415</v>
      </c>
      <c r="C91" s="3858"/>
      <c r="D91" s="3858">
        <v>0</v>
      </c>
      <c r="E91" s="3858">
        <v>4.1666666666666664E-2</v>
      </c>
      <c r="F91" s="3858">
        <v>6.25E-2</v>
      </c>
      <c r="G91" s="3858">
        <v>0.11842105263157894</v>
      </c>
      <c r="H91" s="3858">
        <v>0.18604651162790697</v>
      </c>
      <c r="I91" s="3858">
        <v>0.29166666666666669</v>
      </c>
      <c r="J91" s="3858">
        <v>0.34745762711864409</v>
      </c>
      <c r="K91" s="3859">
        <v>0.4218009478672986</v>
      </c>
      <c r="L91" s="3859">
        <v>0.39156626506024095</v>
      </c>
      <c r="M91" s="3859">
        <v>0.29257641921397382</v>
      </c>
    </row>
    <row r="92" spans="2:13" ht="14.4">
      <c r="B92" s="3857" t="s">
        <v>81</v>
      </c>
      <c r="C92" s="3858"/>
      <c r="D92" s="3858">
        <v>0</v>
      </c>
      <c r="E92" s="3858">
        <v>0</v>
      </c>
      <c r="F92" s="3858">
        <v>0</v>
      </c>
      <c r="G92" s="3858">
        <v>0.12121212121212122</v>
      </c>
      <c r="H92" s="3858">
        <v>0.15384615384615385</v>
      </c>
      <c r="I92" s="3858">
        <v>0.26666666666666666</v>
      </c>
      <c r="J92" s="3858">
        <v>0.36809815950920244</v>
      </c>
      <c r="K92" s="3859">
        <v>0.33511348464619495</v>
      </c>
      <c r="L92" s="3859">
        <v>0.51327433628318586</v>
      </c>
      <c r="M92" s="3859">
        <v>0.40935672514619881</v>
      </c>
    </row>
    <row r="93" spans="2:13" ht="14.4">
      <c r="B93" s="3860" t="s">
        <v>549</v>
      </c>
      <c r="C93" s="3861">
        <v>0.28767123287671231</v>
      </c>
      <c r="D93" s="3861">
        <v>0.23880597014925373</v>
      </c>
      <c r="E93" s="3861">
        <v>0.2109704641350211</v>
      </c>
      <c r="F93" s="3861">
        <v>0.20504731861198738</v>
      </c>
      <c r="G93" s="3861">
        <v>0.21040189125295508</v>
      </c>
      <c r="H93" s="3861">
        <v>0.25053533190578159</v>
      </c>
      <c r="I93" s="3861">
        <v>0.26411657559198543</v>
      </c>
      <c r="J93" s="3861">
        <v>0.29601226993865032</v>
      </c>
      <c r="K93" s="3862">
        <v>0.37678571428571428</v>
      </c>
      <c r="L93" s="3862">
        <v>0.38729763387297633</v>
      </c>
      <c r="M93" s="3862">
        <v>0.29044834307992201</v>
      </c>
    </row>
    <row r="94" spans="2:13" ht="15" customHeight="1">
      <c r="B94" s="3863" t="s">
        <v>260</v>
      </c>
      <c r="C94" s="3006">
        <v>0.42657342657342656</v>
      </c>
      <c r="D94" s="3006">
        <v>0.36106489184692181</v>
      </c>
      <c r="E94" s="3006">
        <v>0.35759493670886078</v>
      </c>
      <c r="F94" s="3006">
        <v>0.3496271748135874</v>
      </c>
      <c r="G94" s="3006">
        <v>0.34582511505588431</v>
      </c>
      <c r="H94" s="3006">
        <v>0.36975782634376847</v>
      </c>
      <c r="I94" s="3006">
        <v>0.35529157667386607</v>
      </c>
      <c r="J94" s="3006">
        <v>0.3713060057197331</v>
      </c>
      <c r="K94" s="3007">
        <v>0.40151515151515149</v>
      </c>
      <c r="L94" s="3007">
        <v>0.42960442364951085</v>
      </c>
      <c r="M94" s="3007">
        <v>0.32191553042899901</v>
      </c>
    </row>
    <row r="95" spans="2:13" ht="14.4">
      <c r="B95" s="3867" t="s">
        <v>1633</v>
      </c>
      <c r="C95" s="3868"/>
      <c r="D95" s="3868"/>
      <c r="E95" s="3868"/>
      <c r="F95" s="3868"/>
      <c r="G95" s="3868"/>
      <c r="H95" s="3865">
        <v>0.45454545454545453</v>
      </c>
      <c r="I95" s="3865">
        <v>0.42857142857142855</v>
      </c>
      <c r="J95" s="3865">
        <v>0.39090909090909093</v>
      </c>
      <c r="K95" s="3866">
        <v>0.40151515151515149</v>
      </c>
      <c r="L95" s="3866">
        <v>0.44295302013422821</v>
      </c>
      <c r="M95" s="3866">
        <v>0.3346456692913386</v>
      </c>
    </row>
    <row r="96" spans="2:13" ht="14.4">
      <c r="B96" s="3860" t="s">
        <v>544</v>
      </c>
      <c r="C96" s="3861"/>
      <c r="D96" s="3861"/>
      <c r="E96" s="3861"/>
      <c r="F96" s="3861"/>
      <c r="G96" s="3861"/>
      <c r="H96" s="3861">
        <v>0.45454545454545453</v>
      </c>
      <c r="I96" s="3861">
        <v>0.42857142857142855</v>
      </c>
      <c r="J96" s="3861">
        <v>0.39090909090909093</v>
      </c>
      <c r="K96" s="3862">
        <v>0.64539007092198586</v>
      </c>
      <c r="L96" s="3862">
        <v>0.44295302013422821</v>
      </c>
      <c r="M96" s="3862">
        <v>0.3346456692913386</v>
      </c>
    </row>
    <row r="97" spans="2:14" ht="14.4">
      <c r="B97" s="3869" t="s">
        <v>791</v>
      </c>
      <c r="C97" s="3861"/>
      <c r="D97" s="3861"/>
      <c r="E97" s="3861"/>
      <c r="F97" s="3861"/>
      <c r="G97" s="3861"/>
      <c r="H97" s="3858">
        <v>0.68085106382978722</v>
      </c>
      <c r="I97" s="3858">
        <v>0.55844155844155841</v>
      </c>
      <c r="J97" s="3858">
        <v>0.6198347107438017</v>
      </c>
      <c r="K97" s="3859">
        <v>0.40625</v>
      </c>
      <c r="L97" s="3859">
        <v>0.65540540540540537</v>
      </c>
      <c r="M97" s="3859">
        <v>0.55309734513274333</v>
      </c>
    </row>
    <row r="98" spans="2:14" ht="14.4">
      <c r="B98" s="3869" t="s">
        <v>551</v>
      </c>
      <c r="C98" s="3861"/>
      <c r="D98" s="3861"/>
      <c r="E98" s="3861"/>
      <c r="F98" s="3861"/>
      <c r="G98" s="3861"/>
      <c r="H98" s="3858"/>
      <c r="I98" s="3858"/>
      <c r="J98" s="3858">
        <v>0.46666666666666667</v>
      </c>
      <c r="K98" s="3859">
        <v>0.60115606936416188</v>
      </c>
      <c r="L98" s="3859">
        <v>0.54545454545454541</v>
      </c>
      <c r="M98" s="3859">
        <v>0.59090909090909094</v>
      </c>
    </row>
    <row r="99" spans="2:14" ht="14.4">
      <c r="B99" s="3860" t="s">
        <v>545</v>
      </c>
      <c r="C99" s="3861"/>
      <c r="D99" s="3861"/>
      <c r="E99" s="3861"/>
      <c r="F99" s="3861"/>
      <c r="G99" s="3861"/>
      <c r="H99" s="3861">
        <v>0.68085106382978722</v>
      </c>
      <c r="I99" s="3861">
        <v>0.55844155844155841</v>
      </c>
      <c r="J99" s="3861">
        <v>0.6029411764705882</v>
      </c>
      <c r="K99" s="3862">
        <v>0.57333333333333336</v>
      </c>
      <c r="L99" s="3862">
        <v>0.63535911602209949</v>
      </c>
      <c r="M99" s="3862">
        <v>0.56164383561643838</v>
      </c>
    </row>
    <row r="100" spans="2:14" ht="14.4">
      <c r="B100" s="3869" t="s">
        <v>792</v>
      </c>
      <c r="C100" s="3861"/>
      <c r="D100" s="3861"/>
      <c r="E100" s="3861"/>
      <c r="F100" s="3861"/>
      <c r="G100" s="3861"/>
      <c r="H100" s="3858">
        <v>0.51111111111111107</v>
      </c>
      <c r="I100" s="3858">
        <v>0.53731343283582089</v>
      </c>
      <c r="J100" s="3858">
        <v>0.60360360360360366</v>
      </c>
      <c r="K100" s="3859">
        <v>0</v>
      </c>
      <c r="L100" s="3859">
        <v>0.58441558441558439</v>
      </c>
      <c r="M100" s="3859">
        <v>0.38062283737024222</v>
      </c>
    </row>
    <row r="101" spans="2:14" ht="14.4">
      <c r="B101" s="5557" t="s">
        <v>3934</v>
      </c>
      <c r="C101" s="3871"/>
      <c r="D101" s="3871"/>
      <c r="E101" s="3871"/>
      <c r="F101" s="3871"/>
      <c r="G101" s="3871"/>
      <c r="H101" s="4579"/>
      <c r="I101" s="4579"/>
      <c r="J101" s="4579"/>
      <c r="K101" s="4580"/>
      <c r="L101" s="4580"/>
      <c r="M101" s="4580">
        <v>0</v>
      </c>
    </row>
    <row r="102" spans="2:14" ht="14.4">
      <c r="B102" s="4578" t="s">
        <v>2696</v>
      </c>
      <c r="C102" s="3871"/>
      <c r="D102" s="3871"/>
      <c r="E102" s="3871"/>
      <c r="F102" s="3871"/>
      <c r="G102" s="3871"/>
      <c r="H102" s="4579"/>
      <c r="I102" s="4579"/>
      <c r="J102" s="4579"/>
      <c r="K102" s="4580"/>
      <c r="L102" s="4580">
        <v>0</v>
      </c>
      <c r="M102" s="4580">
        <v>0</v>
      </c>
    </row>
    <row r="103" spans="2:14" ht="14.4">
      <c r="B103" s="3870" t="s">
        <v>547</v>
      </c>
      <c r="C103" s="3871"/>
      <c r="D103" s="3871"/>
      <c r="E103" s="3871"/>
      <c r="F103" s="3871"/>
      <c r="G103" s="3871"/>
      <c r="H103" s="3871">
        <v>0.51111111111111107</v>
      </c>
      <c r="I103" s="3871">
        <v>0.53731343283582089</v>
      </c>
      <c r="J103" s="3871">
        <v>0.60360360360360366</v>
      </c>
      <c r="K103" s="3872">
        <v>0.56953642384105962</v>
      </c>
      <c r="L103" s="3872">
        <v>0.58064516129032262</v>
      </c>
      <c r="M103" s="3872">
        <v>0.37542662116040953</v>
      </c>
    </row>
    <row r="104" spans="2:14" ht="15" customHeight="1">
      <c r="B104" s="3873" t="s">
        <v>1158</v>
      </c>
      <c r="C104" s="2566"/>
      <c r="D104" s="2566"/>
      <c r="E104" s="2566"/>
      <c r="F104" s="2566"/>
      <c r="G104" s="2566"/>
      <c r="H104" s="2566">
        <v>0.55147058823529416</v>
      </c>
      <c r="I104" s="2566">
        <v>0.50934579439252337</v>
      </c>
      <c r="J104" s="2566">
        <v>0.53781512605042014</v>
      </c>
      <c r="K104" s="2567">
        <v>0.53289473684210531</v>
      </c>
      <c r="L104" s="2567">
        <v>0.55876288659793816</v>
      </c>
      <c r="M104" s="2567">
        <v>0.42789034564958284</v>
      </c>
    </row>
    <row r="105" spans="2:14" ht="15" customHeight="1">
      <c r="B105" s="1136"/>
      <c r="C105" s="1136"/>
      <c r="D105" s="1136"/>
      <c r="E105" s="1136"/>
      <c r="F105" s="1136"/>
      <c r="G105" s="1136"/>
      <c r="H105" s="1136"/>
      <c r="I105" s="1136"/>
      <c r="J105" s="1136"/>
      <c r="K105" s="1136"/>
      <c r="L105" s="1136"/>
      <c r="M105" s="1136"/>
    </row>
    <row r="106" spans="2:14" ht="15.75" customHeight="1">
      <c r="B106" s="2572" t="s">
        <v>842</v>
      </c>
      <c r="C106" s="2562">
        <v>0.41059773828756058</v>
      </c>
      <c r="D106" s="3683">
        <v>0.41303269375410073</v>
      </c>
      <c r="E106" s="3683">
        <v>0.41422026925953626</v>
      </c>
      <c r="F106" s="2566">
        <v>0.42727580164171303</v>
      </c>
      <c r="G106" s="2566">
        <v>0.42655201908792151</v>
      </c>
      <c r="H106" s="2566">
        <v>0.4532131321409632</v>
      </c>
      <c r="I106" s="2566">
        <v>0.45353666554417021</v>
      </c>
      <c r="J106" s="2566">
        <v>0.46158823343749011</v>
      </c>
      <c r="K106" s="2567">
        <v>0.49111951415148392</v>
      </c>
      <c r="L106" s="2567">
        <v>0.52046105899487882</v>
      </c>
      <c r="M106" s="2567">
        <v>0.45562157717548135</v>
      </c>
    </row>
    <row r="107" spans="2:14">
      <c r="I107" s="445"/>
      <c r="L107" s="5636" t="s">
        <v>3861</v>
      </c>
      <c r="M107" s="5636"/>
      <c r="N107" s="4789"/>
    </row>
    <row r="108" spans="2:14">
      <c r="I108" s="445"/>
      <c r="L108" s="5636"/>
      <c r="M108" s="5636"/>
      <c r="N108" s="4789"/>
    </row>
    <row r="109" spans="2:14">
      <c r="I109" s="445"/>
      <c r="L109" s="4789"/>
      <c r="M109" s="4789"/>
      <c r="N109" s="4789"/>
    </row>
    <row r="110" spans="2:14">
      <c r="I110" s="445"/>
    </row>
    <row r="111" spans="2:14">
      <c r="I111" s="445"/>
    </row>
    <row r="112" spans="2:14">
      <c r="I112" s="445"/>
    </row>
    <row r="113" spans="9:9">
      <c r="I113" s="445"/>
    </row>
    <row r="114" spans="9:9">
      <c r="I114" s="445"/>
    </row>
    <row r="115" spans="9:9">
      <c r="I115" s="445"/>
    </row>
    <row r="116" spans="9:9">
      <c r="I116" s="445"/>
    </row>
    <row r="117" spans="9:9">
      <c r="I117" s="445"/>
    </row>
    <row r="118" spans="9:9">
      <c r="I118" s="445"/>
    </row>
    <row r="125" spans="9:9">
      <c r="I125" s="445"/>
    </row>
    <row r="126" spans="9:9">
      <c r="I126" s="445"/>
    </row>
    <row r="127" spans="9:9">
      <c r="I127" s="445"/>
    </row>
    <row r="128" spans="9:9">
      <c r="I128" s="445"/>
    </row>
    <row r="129" spans="9:9">
      <c r="I129" s="445"/>
    </row>
    <row r="130" spans="9:9">
      <c r="I130" s="445"/>
    </row>
    <row r="131" spans="9:9">
      <c r="I131" s="445"/>
    </row>
    <row r="132" spans="9:9">
      <c r="I132" s="445"/>
    </row>
    <row r="133" spans="9:9">
      <c r="I133" s="445"/>
    </row>
    <row r="134" spans="9:9">
      <c r="I134" s="445"/>
    </row>
    <row r="135" spans="9:9">
      <c r="I135" s="445"/>
    </row>
    <row r="136" spans="9:9">
      <c r="I136" s="445"/>
    </row>
    <row r="137" spans="9:9">
      <c r="I137" s="445"/>
    </row>
    <row r="138" spans="9:9">
      <c r="I138" s="445"/>
    </row>
    <row r="139" spans="9:9">
      <c r="I139" s="445"/>
    </row>
    <row r="140" spans="9:9">
      <c r="I140" s="445"/>
    </row>
    <row r="141" spans="9:9">
      <c r="I141" s="445"/>
    </row>
    <row r="142" spans="9:9">
      <c r="I142" s="445"/>
    </row>
    <row r="143" spans="9:9">
      <c r="I143" s="445"/>
    </row>
    <row r="144" spans="9:9">
      <c r="I144" s="445"/>
    </row>
    <row r="145" spans="9:9">
      <c r="I145" s="445"/>
    </row>
    <row r="146" spans="9:9">
      <c r="I146" s="445"/>
    </row>
    <row r="147" spans="9:9">
      <c r="I147" s="445"/>
    </row>
    <row r="148" spans="9:9">
      <c r="I148" s="445"/>
    </row>
    <row r="149" spans="9:9">
      <c r="I149" s="445"/>
    </row>
    <row r="150" spans="9:9">
      <c r="I150" s="445"/>
    </row>
    <row r="151" spans="9:9">
      <c r="I151" s="445"/>
    </row>
    <row r="152" spans="9:9">
      <c r="I152" s="445"/>
    </row>
    <row r="153" spans="9:9">
      <c r="I153" s="445"/>
    </row>
    <row r="154" spans="9:9">
      <c r="I154" s="445"/>
    </row>
    <row r="155" spans="9:9">
      <c r="I155" s="445"/>
    </row>
    <row r="156" spans="9:9">
      <c r="I156" s="445"/>
    </row>
    <row r="157" spans="9:9">
      <c r="I157" s="445"/>
    </row>
    <row r="158" spans="9:9">
      <c r="I158" s="445"/>
    </row>
    <row r="159" spans="9:9">
      <c r="I159" s="445"/>
    </row>
    <row r="160" spans="9:9">
      <c r="I160" s="445"/>
    </row>
    <row r="161" spans="9:9">
      <c r="I161" s="445"/>
    </row>
    <row r="162" spans="9:9">
      <c r="I162" s="445"/>
    </row>
    <row r="163" spans="9:9">
      <c r="I163" s="445"/>
    </row>
    <row r="164" spans="9:9">
      <c r="I164" s="445"/>
    </row>
    <row r="165" spans="9:9">
      <c r="I165" s="445"/>
    </row>
    <row r="166" spans="9:9">
      <c r="I166" s="445"/>
    </row>
    <row r="167" spans="9:9">
      <c r="I167" s="445"/>
    </row>
    <row r="168" spans="9:9">
      <c r="I168" s="445"/>
    </row>
    <row r="169" spans="9:9">
      <c r="I169" s="445"/>
    </row>
    <row r="170" spans="9:9">
      <c r="I170" s="445"/>
    </row>
    <row r="171" spans="9:9">
      <c r="I171" s="445"/>
    </row>
    <row r="172" spans="9:9">
      <c r="I172" s="445"/>
    </row>
    <row r="173" spans="9:9">
      <c r="I173" s="445"/>
    </row>
  </sheetData>
  <sheetProtection algorithmName="SHA-512" hashValue="+9KdmC8tODPGy0D2Vx/vd23sTrwFGd+Ge58PoEZ1EqbldihhX5Q1mcFY7+mxkZo0GTmOQOiidkb+TYU8sEXsLQ==" saltValue="DhtqqaGVyzIo/jbUgJnFbQ==" spinCount="100000" sheet="1" objects="1" scenarios="1"/>
  <mergeCells count="2">
    <mergeCell ref="B4:B5"/>
    <mergeCell ref="L107:M10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sheetPr>
  <dimension ref="B1:M104"/>
  <sheetViews>
    <sheetView showGridLines="0" zoomScaleNormal="100" workbookViewId="0">
      <pane xSplit="2" ySplit="3" topLeftCell="I4" activePane="bottomRight" state="frozen"/>
      <selection activeCell="N91" sqref="N91"/>
      <selection pane="topRight" activeCell="N91" sqref="N91"/>
      <selection pane="bottomLeft" activeCell="N91" sqref="N91"/>
      <selection pane="bottomRight" activeCell="N91" sqref="N91"/>
    </sheetView>
  </sheetViews>
  <sheetFormatPr baseColWidth="10" defaultRowHeight="14.4"/>
  <cols>
    <col min="1" max="1" width="2.77734375" style="1010" customWidth="1"/>
    <col min="2" max="2" width="35.44140625" style="2464" bestFit="1" customWidth="1"/>
    <col min="3" max="7" width="9.21875" style="2465" bestFit="1" customWidth="1"/>
    <col min="8" max="8" width="9.21875" style="2465" customWidth="1"/>
    <col min="9" max="11" width="11.44140625" style="2465"/>
    <col min="12" max="247" width="11.44140625" style="1010"/>
    <col min="248" max="248" width="18.21875" style="1010" customWidth="1"/>
    <col min="249" max="249" width="13" style="1010" customWidth="1"/>
    <col min="250" max="250" width="41.77734375" style="1010" customWidth="1"/>
    <col min="251" max="251" width="14" style="1010" customWidth="1"/>
    <col min="252" max="252" width="13" style="1010" customWidth="1"/>
    <col min="253" max="253" width="13.77734375" style="1010" customWidth="1"/>
    <col min="254" max="503" width="11.44140625" style="1010"/>
    <col min="504" max="504" width="18.21875" style="1010" customWidth="1"/>
    <col min="505" max="505" width="13" style="1010" customWidth="1"/>
    <col min="506" max="506" width="41.77734375" style="1010" customWidth="1"/>
    <col min="507" max="507" width="14" style="1010" customWidth="1"/>
    <col min="508" max="508" width="13" style="1010" customWidth="1"/>
    <col min="509" max="509" width="13.77734375" style="1010" customWidth="1"/>
    <col min="510" max="759" width="11.44140625" style="1010"/>
    <col min="760" max="760" width="18.21875" style="1010" customWidth="1"/>
    <col min="761" max="761" width="13" style="1010" customWidth="1"/>
    <col min="762" max="762" width="41.77734375" style="1010" customWidth="1"/>
    <col min="763" max="763" width="14" style="1010" customWidth="1"/>
    <col min="764" max="764" width="13" style="1010" customWidth="1"/>
    <col min="765" max="765" width="13.77734375" style="1010" customWidth="1"/>
    <col min="766" max="1015" width="11.44140625" style="1010"/>
    <col min="1016" max="1016" width="18.21875" style="1010" customWidth="1"/>
    <col min="1017" max="1017" width="13" style="1010" customWidth="1"/>
    <col min="1018" max="1018" width="41.77734375" style="1010" customWidth="1"/>
    <col min="1019" max="1019" width="14" style="1010" customWidth="1"/>
    <col min="1020" max="1020" width="13" style="1010" customWidth="1"/>
    <col min="1021" max="1021" width="13.77734375" style="1010" customWidth="1"/>
    <col min="1022" max="1271" width="11.44140625" style="1010"/>
    <col min="1272" max="1272" width="18.21875" style="1010" customWidth="1"/>
    <col min="1273" max="1273" width="13" style="1010" customWidth="1"/>
    <col min="1274" max="1274" width="41.77734375" style="1010" customWidth="1"/>
    <col min="1275" max="1275" width="14" style="1010" customWidth="1"/>
    <col min="1276" max="1276" width="13" style="1010" customWidth="1"/>
    <col min="1277" max="1277" width="13.77734375" style="1010" customWidth="1"/>
    <col min="1278" max="1527" width="11.44140625" style="1010"/>
    <col min="1528" max="1528" width="18.21875" style="1010" customWidth="1"/>
    <col min="1529" max="1529" width="13" style="1010" customWidth="1"/>
    <col min="1530" max="1530" width="41.77734375" style="1010" customWidth="1"/>
    <col min="1531" max="1531" width="14" style="1010" customWidth="1"/>
    <col min="1532" max="1532" width="13" style="1010" customWidth="1"/>
    <col min="1533" max="1533" width="13.77734375" style="1010" customWidth="1"/>
    <col min="1534" max="1783" width="11.44140625" style="1010"/>
    <col min="1784" max="1784" width="18.21875" style="1010" customWidth="1"/>
    <col min="1785" max="1785" width="13" style="1010" customWidth="1"/>
    <col min="1786" max="1786" width="41.77734375" style="1010" customWidth="1"/>
    <col min="1787" max="1787" width="14" style="1010" customWidth="1"/>
    <col min="1788" max="1788" width="13" style="1010" customWidth="1"/>
    <col min="1789" max="1789" width="13.77734375" style="1010" customWidth="1"/>
    <col min="1790" max="2039" width="11.44140625" style="1010"/>
    <col min="2040" max="2040" width="18.21875" style="1010" customWidth="1"/>
    <col min="2041" max="2041" width="13" style="1010" customWidth="1"/>
    <col min="2042" max="2042" width="41.77734375" style="1010" customWidth="1"/>
    <col min="2043" max="2043" width="14" style="1010" customWidth="1"/>
    <col min="2044" max="2044" width="13" style="1010" customWidth="1"/>
    <col min="2045" max="2045" width="13.77734375" style="1010" customWidth="1"/>
    <col min="2046" max="2295" width="11.44140625" style="1010"/>
    <col min="2296" max="2296" width="18.21875" style="1010" customWidth="1"/>
    <col min="2297" max="2297" width="13" style="1010" customWidth="1"/>
    <col min="2298" max="2298" width="41.77734375" style="1010" customWidth="1"/>
    <col min="2299" max="2299" width="14" style="1010" customWidth="1"/>
    <col min="2300" max="2300" width="13" style="1010" customWidth="1"/>
    <col min="2301" max="2301" width="13.77734375" style="1010" customWidth="1"/>
    <col min="2302" max="2551" width="11.44140625" style="1010"/>
    <col min="2552" max="2552" width="18.21875" style="1010" customWidth="1"/>
    <col min="2553" max="2553" width="13" style="1010" customWidth="1"/>
    <col min="2554" max="2554" width="41.77734375" style="1010" customWidth="1"/>
    <col min="2555" max="2555" width="14" style="1010" customWidth="1"/>
    <col min="2556" max="2556" width="13" style="1010" customWidth="1"/>
    <col min="2557" max="2557" width="13.77734375" style="1010" customWidth="1"/>
    <col min="2558" max="2807" width="11.44140625" style="1010"/>
    <col min="2808" max="2808" width="18.21875" style="1010" customWidth="1"/>
    <col min="2809" max="2809" width="13" style="1010" customWidth="1"/>
    <col min="2810" max="2810" width="41.77734375" style="1010" customWidth="1"/>
    <col min="2811" max="2811" width="14" style="1010" customWidth="1"/>
    <col min="2812" max="2812" width="13" style="1010" customWidth="1"/>
    <col min="2813" max="2813" width="13.77734375" style="1010" customWidth="1"/>
    <col min="2814" max="3063" width="11.44140625" style="1010"/>
    <col min="3064" max="3064" width="18.21875" style="1010" customWidth="1"/>
    <col min="3065" max="3065" width="13" style="1010" customWidth="1"/>
    <col min="3066" max="3066" width="41.77734375" style="1010" customWidth="1"/>
    <col min="3067" max="3067" width="14" style="1010" customWidth="1"/>
    <col min="3068" max="3068" width="13" style="1010" customWidth="1"/>
    <col min="3069" max="3069" width="13.77734375" style="1010" customWidth="1"/>
    <col min="3070" max="3319" width="11.44140625" style="1010"/>
    <col min="3320" max="3320" width="18.21875" style="1010" customWidth="1"/>
    <col min="3321" max="3321" width="13" style="1010" customWidth="1"/>
    <col min="3322" max="3322" width="41.77734375" style="1010" customWidth="1"/>
    <col min="3323" max="3323" width="14" style="1010" customWidth="1"/>
    <col min="3324" max="3324" width="13" style="1010" customWidth="1"/>
    <col min="3325" max="3325" width="13.77734375" style="1010" customWidth="1"/>
    <col min="3326" max="3575" width="11.44140625" style="1010"/>
    <col min="3576" max="3576" width="18.21875" style="1010" customWidth="1"/>
    <col min="3577" max="3577" width="13" style="1010" customWidth="1"/>
    <col min="3578" max="3578" width="41.77734375" style="1010" customWidth="1"/>
    <col min="3579" max="3579" width="14" style="1010" customWidth="1"/>
    <col min="3580" max="3580" width="13" style="1010" customWidth="1"/>
    <col min="3581" max="3581" width="13.77734375" style="1010" customWidth="1"/>
    <col min="3582" max="3831" width="11.44140625" style="1010"/>
    <col min="3832" max="3832" width="18.21875" style="1010" customWidth="1"/>
    <col min="3833" max="3833" width="13" style="1010" customWidth="1"/>
    <col min="3834" max="3834" width="41.77734375" style="1010" customWidth="1"/>
    <col min="3835" max="3835" width="14" style="1010" customWidth="1"/>
    <col min="3836" max="3836" width="13" style="1010" customWidth="1"/>
    <col min="3837" max="3837" width="13.77734375" style="1010" customWidth="1"/>
    <col min="3838" max="4087" width="11.44140625" style="1010"/>
    <col min="4088" max="4088" width="18.21875" style="1010" customWidth="1"/>
    <col min="4089" max="4089" width="13" style="1010" customWidth="1"/>
    <col min="4090" max="4090" width="41.77734375" style="1010" customWidth="1"/>
    <col min="4091" max="4091" width="14" style="1010" customWidth="1"/>
    <col min="4092" max="4092" width="13" style="1010" customWidth="1"/>
    <col min="4093" max="4093" width="13.77734375" style="1010" customWidth="1"/>
    <col min="4094" max="4343" width="11.44140625" style="1010"/>
    <col min="4344" max="4344" width="18.21875" style="1010" customWidth="1"/>
    <col min="4345" max="4345" width="13" style="1010" customWidth="1"/>
    <col min="4346" max="4346" width="41.77734375" style="1010" customWidth="1"/>
    <col min="4347" max="4347" width="14" style="1010" customWidth="1"/>
    <col min="4348" max="4348" width="13" style="1010" customWidth="1"/>
    <col min="4349" max="4349" width="13.77734375" style="1010" customWidth="1"/>
    <col min="4350" max="4599" width="11.44140625" style="1010"/>
    <col min="4600" max="4600" width="18.21875" style="1010" customWidth="1"/>
    <col min="4601" max="4601" width="13" style="1010" customWidth="1"/>
    <col min="4602" max="4602" width="41.77734375" style="1010" customWidth="1"/>
    <col min="4603" max="4603" width="14" style="1010" customWidth="1"/>
    <col min="4604" max="4604" width="13" style="1010" customWidth="1"/>
    <col min="4605" max="4605" width="13.77734375" style="1010" customWidth="1"/>
    <col min="4606" max="4855" width="11.44140625" style="1010"/>
    <col min="4856" max="4856" width="18.21875" style="1010" customWidth="1"/>
    <col min="4857" max="4857" width="13" style="1010" customWidth="1"/>
    <col min="4858" max="4858" width="41.77734375" style="1010" customWidth="1"/>
    <col min="4859" max="4859" width="14" style="1010" customWidth="1"/>
    <col min="4860" max="4860" width="13" style="1010" customWidth="1"/>
    <col min="4861" max="4861" width="13.77734375" style="1010" customWidth="1"/>
    <col min="4862" max="5111" width="11.44140625" style="1010"/>
    <col min="5112" max="5112" width="18.21875" style="1010" customWidth="1"/>
    <col min="5113" max="5113" width="13" style="1010" customWidth="1"/>
    <col min="5114" max="5114" width="41.77734375" style="1010" customWidth="1"/>
    <col min="5115" max="5115" width="14" style="1010" customWidth="1"/>
    <col min="5116" max="5116" width="13" style="1010" customWidth="1"/>
    <col min="5117" max="5117" width="13.77734375" style="1010" customWidth="1"/>
    <col min="5118" max="5367" width="11.44140625" style="1010"/>
    <col min="5368" max="5368" width="18.21875" style="1010" customWidth="1"/>
    <col min="5369" max="5369" width="13" style="1010" customWidth="1"/>
    <col min="5370" max="5370" width="41.77734375" style="1010" customWidth="1"/>
    <col min="5371" max="5371" width="14" style="1010" customWidth="1"/>
    <col min="5372" max="5372" width="13" style="1010" customWidth="1"/>
    <col min="5373" max="5373" width="13.77734375" style="1010" customWidth="1"/>
    <col min="5374" max="5623" width="11.44140625" style="1010"/>
    <col min="5624" max="5624" width="18.21875" style="1010" customWidth="1"/>
    <col min="5625" max="5625" width="13" style="1010" customWidth="1"/>
    <col min="5626" max="5626" width="41.77734375" style="1010" customWidth="1"/>
    <col min="5627" max="5627" width="14" style="1010" customWidth="1"/>
    <col min="5628" max="5628" width="13" style="1010" customWidth="1"/>
    <col min="5629" max="5629" width="13.77734375" style="1010" customWidth="1"/>
    <col min="5630" max="5879" width="11.44140625" style="1010"/>
    <col min="5880" max="5880" width="18.21875" style="1010" customWidth="1"/>
    <col min="5881" max="5881" width="13" style="1010" customWidth="1"/>
    <col min="5882" max="5882" width="41.77734375" style="1010" customWidth="1"/>
    <col min="5883" max="5883" width="14" style="1010" customWidth="1"/>
    <col min="5884" max="5884" width="13" style="1010" customWidth="1"/>
    <col min="5885" max="5885" width="13.77734375" style="1010" customWidth="1"/>
    <col min="5886" max="6135" width="11.44140625" style="1010"/>
    <col min="6136" max="6136" width="18.21875" style="1010" customWidth="1"/>
    <col min="6137" max="6137" width="13" style="1010" customWidth="1"/>
    <col min="6138" max="6138" width="41.77734375" style="1010" customWidth="1"/>
    <col min="6139" max="6139" width="14" style="1010" customWidth="1"/>
    <col min="6140" max="6140" width="13" style="1010" customWidth="1"/>
    <col min="6141" max="6141" width="13.77734375" style="1010" customWidth="1"/>
    <col min="6142" max="6391" width="11.44140625" style="1010"/>
    <col min="6392" max="6392" width="18.21875" style="1010" customWidth="1"/>
    <col min="6393" max="6393" width="13" style="1010" customWidth="1"/>
    <col min="6394" max="6394" width="41.77734375" style="1010" customWidth="1"/>
    <col min="6395" max="6395" width="14" style="1010" customWidth="1"/>
    <col min="6396" max="6396" width="13" style="1010" customWidth="1"/>
    <col min="6397" max="6397" width="13.77734375" style="1010" customWidth="1"/>
    <col min="6398" max="6647" width="11.44140625" style="1010"/>
    <col min="6648" max="6648" width="18.21875" style="1010" customWidth="1"/>
    <col min="6649" max="6649" width="13" style="1010" customWidth="1"/>
    <col min="6650" max="6650" width="41.77734375" style="1010" customWidth="1"/>
    <col min="6651" max="6651" width="14" style="1010" customWidth="1"/>
    <col min="6652" max="6652" width="13" style="1010" customWidth="1"/>
    <col min="6653" max="6653" width="13.77734375" style="1010" customWidth="1"/>
    <col min="6654" max="6903" width="11.44140625" style="1010"/>
    <col min="6904" max="6904" width="18.21875" style="1010" customWidth="1"/>
    <col min="6905" max="6905" width="13" style="1010" customWidth="1"/>
    <col min="6906" max="6906" width="41.77734375" style="1010" customWidth="1"/>
    <col min="6907" max="6907" width="14" style="1010" customWidth="1"/>
    <col min="6908" max="6908" width="13" style="1010" customWidth="1"/>
    <col min="6909" max="6909" width="13.77734375" style="1010" customWidth="1"/>
    <col min="6910" max="7159" width="11.44140625" style="1010"/>
    <col min="7160" max="7160" width="18.21875" style="1010" customWidth="1"/>
    <col min="7161" max="7161" width="13" style="1010" customWidth="1"/>
    <col min="7162" max="7162" width="41.77734375" style="1010" customWidth="1"/>
    <col min="7163" max="7163" width="14" style="1010" customWidth="1"/>
    <col min="7164" max="7164" width="13" style="1010" customWidth="1"/>
    <col min="7165" max="7165" width="13.77734375" style="1010" customWidth="1"/>
    <col min="7166" max="7415" width="11.44140625" style="1010"/>
    <col min="7416" max="7416" width="18.21875" style="1010" customWidth="1"/>
    <col min="7417" max="7417" width="13" style="1010" customWidth="1"/>
    <col min="7418" max="7418" width="41.77734375" style="1010" customWidth="1"/>
    <col min="7419" max="7419" width="14" style="1010" customWidth="1"/>
    <col min="7420" max="7420" width="13" style="1010" customWidth="1"/>
    <col min="7421" max="7421" width="13.77734375" style="1010" customWidth="1"/>
    <col min="7422" max="7671" width="11.44140625" style="1010"/>
    <col min="7672" max="7672" width="18.21875" style="1010" customWidth="1"/>
    <col min="7673" max="7673" width="13" style="1010" customWidth="1"/>
    <col min="7674" max="7674" width="41.77734375" style="1010" customWidth="1"/>
    <col min="7675" max="7675" width="14" style="1010" customWidth="1"/>
    <col min="7676" max="7676" width="13" style="1010" customWidth="1"/>
    <col min="7677" max="7677" width="13.77734375" style="1010" customWidth="1"/>
    <col min="7678" max="7927" width="11.44140625" style="1010"/>
    <col min="7928" max="7928" width="18.21875" style="1010" customWidth="1"/>
    <col min="7929" max="7929" width="13" style="1010" customWidth="1"/>
    <col min="7930" max="7930" width="41.77734375" style="1010" customWidth="1"/>
    <col min="7931" max="7931" width="14" style="1010" customWidth="1"/>
    <col min="7932" max="7932" width="13" style="1010" customWidth="1"/>
    <col min="7933" max="7933" width="13.77734375" style="1010" customWidth="1"/>
    <col min="7934" max="8183" width="11.44140625" style="1010"/>
    <col min="8184" max="8184" width="18.21875" style="1010" customWidth="1"/>
    <col min="8185" max="8185" width="13" style="1010" customWidth="1"/>
    <col min="8186" max="8186" width="41.77734375" style="1010" customWidth="1"/>
    <col min="8187" max="8187" width="14" style="1010" customWidth="1"/>
    <col min="8188" max="8188" width="13" style="1010" customWidth="1"/>
    <col min="8189" max="8189" width="13.77734375" style="1010" customWidth="1"/>
    <col min="8190" max="8439" width="11.44140625" style="1010"/>
    <col min="8440" max="8440" width="18.21875" style="1010" customWidth="1"/>
    <col min="8441" max="8441" width="13" style="1010" customWidth="1"/>
    <col min="8442" max="8442" width="41.77734375" style="1010" customWidth="1"/>
    <col min="8443" max="8443" width="14" style="1010" customWidth="1"/>
    <col min="8444" max="8444" width="13" style="1010" customWidth="1"/>
    <col min="8445" max="8445" width="13.77734375" style="1010" customWidth="1"/>
    <col min="8446" max="8695" width="11.44140625" style="1010"/>
    <col min="8696" max="8696" width="18.21875" style="1010" customWidth="1"/>
    <col min="8697" max="8697" width="13" style="1010" customWidth="1"/>
    <col min="8698" max="8698" width="41.77734375" style="1010" customWidth="1"/>
    <col min="8699" max="8699" width="14" style="1010" customWidth="1"/>
    <col min="8700" max="8700" width="13" style="1010" customWidth="1"/>
    <col min="8701" max="8701" width="13.77734375" style="1010" customWidth="1"/>
    <col min="8702" max="8951" width="11.44140625" style="1010"/>
    <col min="8952" max="8952" width="18.21875" style="1010" customWidth="1"/>
    <col min="8953" max="8953" width="13" style="1010" customWidth="1"/>
    <col min="8954" max="8954" width="41.77734375" style="1010" customWidth="1"/>
    <col min="8955" max="8955" width="14" style="1010" customWidth="1"/>
    <col min="8956" max="8956" width="13" style="1010" customWidth="1"/>
    <col min="8957" max="8957" width="13.77734375" style="1010" customWidth="1"/>
    <col min="8958" max="9207" width="11.44140625" style="1010"/>
    <col min="9208" max="9208" width="18.21875" style="1010" customWidth="1"/>
    <col min="9209" max="9209" width="13" style="1010" customWidth="1"/>
    <col min="9210" max="9210" width="41.77734375" style="1010" customWidth="1"/>
    <col min="9211" max="9211" width="14" style="1010" customWidth="1"/>
    <col min="9212" max="9212" width="13" style="1010" customWidth="1"/>
    <col min="9213" max="9213" width="13.77734375" style="1010" customWidth="1"/>
    <col min="9214" max="9463" width="11.44140625" style="1010"/>
    <col min="9464" max="9464" width="18.21875" style="1010" customWidth="1"/>
    <col min="9465" max="9465" width="13" style="1010" customWidth="1"/>
    <col min="9466" max="9466" width="41.77734375" style="1010" customWidth="1"/>
    <col min="9467" max="9467" width="14" style="1010" customWidth="1"/>
    <col min="9468" max="9468" width="13" style="1010" customWidth="1"/>
    <col min="9469" max="9469" width="13.77734375" style="1010" customWidth="1"/>
    <col min="9470" max="9719" width="11.44140625" style="1010"/>
    <col min="9720" max="9720" width="18.21875" style="1010" customWidth="1"/>
    <col min="9721" max="9721" width="13" style="1010" customWidth="1"/>
    <col min="9722" max="9722" width="41.77734375" style="1010" customWidth="1"/>
    <col min="9723" max="9723" width="14" style="1010" customWidth="1"/>
    <col min="9724" max="9724" width="13" style="1010" customWidth="1"/>
    <col min="9725" max="9725" width="13.77734375" style="1010" customWidth="1"/>
    <col min="9726" max="9975" width="11.44140625" style="1010"/>
    <col min="9976" max="9976" width="18.21875" style="1010" customWidth="1"/>
    <col min="9977" max="9977" width="13" style="1010" customWidth="1"/>
    <col min="9978" max="9978" width="41.77734375" style="1010" customWidth="1"/>
    <col min="9979" max="9979" width="14" style="1010" customWidth="1"/>
    <col min="9980" max="9980" width="13" style="1010" customWidth="1"/>
    <col min="9981" max="9981" width="13.77734375" style="1010" customWidth="1"/>
    <col min="9982" max="10231" width="11.44140625" style="1010"/>
    <col min="10232" max="10232" width="18.21875" style="1010" customWidth="1"/>
    <col min="10233" max="10233" width="13" style="1010" customWidth="1"/>
    <col min="10234" max="10234" width="41.77734375" style="1010" customWidth="1"/>
    <col min="10235" max="10235" width="14" style="1010" customWidth="1"/>
    <col min="10236" max="10236" width="13" style="1010" customWidth="1"/>
    <col min="10237" max="10237" width="13.77734375" style="1010" customWidth="1"/>
    <col min="10238" max="10487" width="11.44140625" style="1010"/>
    <col min="10488" max="10488" width="18.21875" style="1010" customWidth="1"/>
    <col min="10489" max="10489" width="13" style="1010" customWidth="1"/>
    <col min="10490" max="10490" width="41.77734375" style="1010" customWidth="1"/>
    <col min="10491" max="10491" width="14" style="1010" customWidth="1"/>
    <col min="10492" max="10492" width="13" style="1010" customWidth="1"/>
    <col min="10493" max="10493" width="13.77734375" style="1010" customWidth="1"/>
    <col min="10494" max="10743" width="11.44140625" style="1010"/>
    <col min="10744" max="10744" width="18.21875" style="1010" customWidth="1"/>
    <col min="10745" max="10745" width="13" style="1010" customWidth="1"/>
    <col min="10746" max="10746" width="41.77734375" style="1010" customWidth="1"/>
    <col min="10747" max="10747" width="14" style="1010" customWidth="1"/>
    <col min="10748" max="10748" width="13" style="1010" customWidth="1"/>
    <col min="10749" max="10749" width="13.77734375" style="1010" customWidth="1"/>
    <col min="10750" max="10999" width="11.44140625" style="1010"/>
    <col min="11000" max="11000" width="18.21875" style="1010" customWidth="1"/>
    <col min="11001" max="11001" width="13" style="1010" customWidth="1"/>
    <col min="11002" max="11002" width="41.77734375" style="1010" customWidth="1"/>
    <col min="11003" max="11003" width="14" style="1010" customWidth="1"/>
    <col min="11004" max="11004" width="13" style="1010" customWidth="1"/>
    <col min="11005" max="11005" width="13.77734375" style="1010" customWidth="1"/>
    <col min="11006" max="11255" width="11.44140625" style="1010"/>
    <col min="11256" max="11256" width="18.21875" style="1010" customWidth="1"/>
    <col min="11257" max="11257" width="13" style="1010" customWidth="1"/>
    <col min="11258" max="11258" width="41.77734375" style="1010" customWidth="1"/>
    <col min="11259" max="11259" width="14" style="1010" customWidth="1"/>
    <col min="11260" max="11260" width="13" style="1010" customWidth="1"/>
    <col min="11261" max="11261" width="13.77734375" style="1010" customWidth="1"/>
    <col min="11262" max="11511" width="11.44140625" style="1010"/>
    <col min="11512" max="11512" width="18.21875" style="1010" customWidth="1"/>
    <col min="11513" max="11513" width="13" style="1010" customWidth="1"/>
    <col min="11514" max="11514" width="41.77734375" style="1010" customWidth="1"/>
    <col min="11515" max="11515" width="14" style="1010" customWidth="1"/>
    <col min="11516" max="11516" width="13" style="1010" customWidth="1"/>
    <col min="11517" max="11517" width="13.77734375" style="1010" customWidth="1"/>
    <col min="11518" max="11767" width="11.44140625" style="1010"/>
    <col min="11768" max="11768" width="18.21875" style="1010" customWidth="1"/>
    <col min="11769" max="11769" width="13" style="1010" customWidth="1"/>
    <col min="11770" max="11770" width="41.77734375" style="1010" customWidth="1"/>
    <col min="11771" max="11771" width="14" style="1010" customWidth="1"/>
    <col min="11772" max="11772" width="13" style="1010" customWidth="1"/>
    <col min="11773" max="11773" width="13.77734375" style="1010" customWidth="1"/>
    <col min="11774" max="12023" width="11.44140625" style="1010"/>
    <col min="12024" max="12024" width="18.21875" style="1010" customWidth="1"/>
    <col min="12025" max="12025" width="13" style="1010" customWidth="1"/>
    <col min="12026" max="12026" width="41.77734375" style="1010" customWidth="1"/>
    <col min="12027" max="12027" width="14" style="1010" customWidth="1"/>
    <col min="12028" max="12028" width="13" style="1010" customWidth="1"/>
    <col min="12029" max="12029" width="13.77734375" style="1010" customWidth="1"/>
    <col min="12030" max="12279" width="11.44140625" style="1010"/>
    <col min="12280" max="12280" width="18.21875" style="1010" customWidth="1"/>
    <col min="12281" max="12281" width="13" style="1010" customWidth="1"/>
    <col min="12282" max="12282" width="41.77734375" style="1010" customWidth="1"/>
    <col min="12283" max="12283" width="14" style="1010" customWidth="1"/>
    <col min="12284" max="12284" width="13" style="1010" customWidth="1"/>
    <col min="12285" max="12285" width="13.77734375" style="1010" customWidth="1"/>
    <col min="12286" max="12535" width="11.44140625" style="1010"/>
    <col min="12536" max="12536" width="18.21875" style="1010" customWidth="1"/>
    <col min="12537" max="12537" width="13" style="1010" customWidth="1"/>
    <col min="12538" max="12538" width="41.77734375" style="1010" customWidth="1"/>
    <col min="12539" max="12539" width="14" style="1010" customWidth="1"/>
    <col min="12540" max="12540" width="13" style="1010" customWidth="1"/>
    <col min="12541" max="12541" width="13.77734375" style="1010" customWidth="1"/>
    <col min="12542" max="12791" width="11.44140625" style="1010"/>
    <col min="12792" max="12792" width="18.21875" style="1010" customWidth="1"/>
    <col min="12793" max="12793" width="13" style="1010" customWidth="1"/>
    <col min="12794" max="12794" width="41.77734375" style="1010" customWidth="1"/>
    <col min="12795" max="12795" width="14" style="1010" customWidth="1"/>
    <col min="12796" max="12796" width="13" style="1010" customWidth="1"/>
    <col min="12797" max="12797" width="13.77734375" style="1010" customWidth="1"/>
    <col min="12798" max="13047" width="11.44140625" style="1010"/>
    <col min="13048" max="13048" width="18.21875" style="1010" customWidth="1"/>
    <col min="13049" max="13049" width="13" style="1010" customWidth="1"/>
    <col min="13050" max="13050" width="41.77734375" style="1010" customWidth="1"/>
    <col min="13051" max="13051" width="14" style="1010" customWidth="1"/>
    <col min="13052" max="13052" width="13" style="1010" customWidth="1"/>
    <col min="13053" max="13053" width="13.77734375" style="1010" customWidth="1"/>
    <col min="13054" max="13303" width="11.44140625" style="1010"/>
    <col min="13304" max="13304" width="18.21875" style="1010" customWidth="1"/>
    <col min="13305" max="13305" width="13" style="1010" customWidth="1"/>
    <col min="13306" max="13306" width="41.77734375" style="1010" customWidth="1"/>
    <col min="13307" max="13307" width="14" style="1010" customWidth="1"/>
    <col min="13308" max="13308" width="13" style="1010" customWidth="1"/>
    <col min="13309" max="13309" width="13.77734375" style="1010" customWidth="1"/>
    <col min="13310" max="13559" width="11.44140625" style="1010"/>
    <col min="13560" max="13560" width="18.21875" style="1010" customWidth="1"/>
    <col min="13561" max="13561" width="13" style="1010" customWidth="1"/>
    <col min="13562" max="13562" width="41.77734375" style="1010" customWidth="1"/>
    <col min="13563" max="13563" width="14" style="1010" customWidth="1"/>
    <col min="13564" max="13564" width="13" style="1010" customWidth="1"/>
    <col min="13565" max="13565" width="13.77734375" style="1010" customWidth="1"/>
    <col min="13566" max="13815" width="11.44140625" style="1010"/>
    <col min="13816" max="13816" width="18.21875" style="1010" customWidth="1"/>
    <col min="13817" max="13817" width="13" style="1010" customWidth="1"/>
    <col min="13818" max="13818" width="41.77734375" style="1010" customWidth="1"/>
    <col min="13819" max="13819" width="14" style="1010" customWidth="1"/>
    <col min="13820" max="13820" width="13" style="1010" customWidth="1"/>
    <col min="13821" max="13821" width="13.77734375" style="1010" customWidth="1"/>
    <col min="13822" max="14071" width="11.44140625" style="1010"/>
    <col min="14072" max="14072" width="18.21875" style="1010" customWidth="1"/>
    <col min="14073" max="14073" width="13" style="1010" customWidth="1"/>
    <col min="14074" max="14074" width="41.77734375" style="1010" customWidth="1"/>
    <col min="14075" max="14075" width="14" style="1010" customWidth="1"/>
    <col min="14076" max="14076" width="13" style="1010" customWidth="1"/>
    <col min="14077" max="14077" width="13.77734375" style="1010" customWidth="1"/>
    <col min="14078" max="14327" width="11.44140625" style="1010"/>
    <col min="14328" max="14328" width="18.21875" style="1010" customWidth="1"/>
    <col min="14329" max="14329" width="13" style="1010" customWidth="1"/>
    <col min="14330" max="14330" width="41.77734375" style="1010" customWidth="1"/>
    <col min="14331" max="14331" width="14" style="1010" customWidth="1"/>
    <col min="14332" max="14332" width="13" style="1010" customWidth="1"/>
    <col min="14333" max="14333" width="13.77734375" style="1010" customWidth="1"/>
    <col min="14334" max="14583" width="11.44140625" style="1010"/>
    <col min="14584" max="14584" width="18.21875" style="1010" customWidth="1"/>
    <col min="14585" max="14585" width="13" style="1010" customWidth="1"/>
    <col min="14586" max="14586" width="41.77734375" style="1010" customWidth="1"/>
    <col min="14587" max="14587" width="14" style="1010" customWidth="1"/>
    <col min="14588" max="14588" width="13" style="1010" customWidth="1"/>
    <col min="14589" max="14589" width="13.77734375" style="1010" customWidth="1"/>
    <col min="14590" max="14839" width="11.44140625" style="1010"/>
    <col min="14840" max="14840" width="18.21875" style="1010" customWidth="1"/>
    <col min="14841" max="14841" width="13" style="1010" customWidth="1"/>
    <col min="14842" max="14842" width="41.77734375" style="1010" customWidth="1"/>
    <col min="14843" max="14843" width="14" style="1010" customWidth="1"/>
    <col min="14844" max="14844" width="13" style="1010" customWidth="1"/>
    <col min="14845" max="14845" width="13.77734375" style="1010" customWidth="1"/>
    <col min="14846" max="15095" width="11.44140625" style="1010"/>
    <col min="15096" max="15096" width="18.21875" style="1010" customWidth="1"/>
    <col min="15097" max="15097" width="13" style="1010" customWidth="1"/>
    <col min="15098" max="15098" width="41.77734375" style="1010" customWidth="1"/>
    <col min="15099" max="15099" width="14" style="1010" customWidth="1"/>
    <col min="15100" max="15100" width="13" style="1010" customWidth="1"/>
    <col min="15101" max="15101" width="13.77734375" style="1010" customWidth="1"/>
    <col min="15102" max="15351" width="11.44140625" style="1010"/>
    <col min="15352" max="15352" width="18.21875" style="1010" customWidth="1"/>
    <col min="15353" max="15353" width="13" style="1010" customWidth="1"/>
    <col min="15354" max="15354" width="41.77734375" style="1010" customWidth="1"/>
    <col min="15355" max="15355" width="14" style="1010" customWidth="1"/>
    <col min="15356" max="15356" width="13" style="1010" customWidth="1"/>
    <col min="15357" max="15357" width="13.77734375" style="1010" customWidth="1"/>
    <col min="15358" max="15607" width="11.44140625" style="1010"/>
    <col min="15608" max="15608" width="18.21875" style="1010" customWidth="1"/>
    <col min="15609" max="15609" width="13" style="1010" customWidth="1"/>
    <col min="15610" max="15610" width="41.77734375" style="1010" customWidth="1"/>
    <col min="15611" max="15611" width="14" style="1010" customWidth="1"/>
    <col min="15612" max="15612" width="13" style="1010" customWidth="1"/>
    <col min="15613" max="15613" width="13.77734375" style="1010" customWidth="1"/>
    <col min="15614" max="15863" width="11.44140625" style="1010"/>
    <col min="15864" max="15864" width="18.21875" style="1010" customWidth="1"/>
    <col min="15865" max="15865" width="13" style="1010" customWidth="1"/>
    <col min="15866" max="15866" width="41.77734375" style="1010" customWidth="1"/>
    <col min="15867" max="15867" width="14" style="1010" customWidth="1"/>
    <col min="15868" max="15868" width="13" style="1010" customWidth="1"/>
    <col min="15869" max="15869" width="13.77734375" style="1010" customWidth="1"/>
    <col min="15870" max="16119" width="11.44140625" style="1010"/>
    <col min="16120" max="16120" width="18.21875" style="1010" customWidth="1"/>
    <col min="16121" max="16121" width="13" style="1010" customWidth="1"/>
    <col min="16122" max="16122" width="41.77734375" style="1010" customWidth="1"/>
    <col min="16123" max="16123" width="14" style="1010" customWidth="1"/>
    <col min="16124" max="16124" width="13" style="1010" customWidth="1"/>
    <col min="16125" max="16125" width="13.77734375" style="1010" customWidth="1"/>
    <col min="16126" max="16384" width="11.44140625" style="1010"/>
  </cols>
  <sheetData>
    <row r="1" spans="2:13" ht="15.6">
      <c r="B1" s="22" t="s">
        <v>459</v>
      </c>
    </row>
    <row r="2" spans="2:13" ht="15" customHeight="1"/>
    <row r="3" spans="2:13" ht="15" thickBot="1">
      <c r="B3" s="2531" t="s">
        <v>2728</v>
      </c>
      <c r="C3" s="2556">
        <v>2010</v>
      </c>
      <c r="D3" s="2556">
        <v>2011</v>
      </c>
      <c r="E3" s="2556">
        <v>2012</v>
      </c>
      <c r="F3" s="2556">
        <v>2013</v>
      </c>
      <c r="G3" s="2556">
        <v>2014</v>
      </c>
      <c r="H3" s="2556">
        <v>2015</v>
      </c>
      <c r="I3" s="2556">
        <v>2016</v>
      </c>
      <c r="J3" s="2556">
        <v>2017</v>
      </c>
      <c r="K3" s="2556">
        <v>2018</v>
      </c>
      <c r="L3" s="2556">
        <v>2019</v>
      </c>
      <c r="M3" s="2556" t="s">
        <v>3916</v>
      </c>
    </row>
    <row r="4" spans="2:13" ht="15" customHeight="1">
      <c r="B4" s="2917" t="s">
        <v>5</v>
      </c>
      <c r="C4" s="2918">
        <v>8.6296296296296298</v>
      </c>
      <c r="D4" s="2918">
        <v>8.2857142857142847</v>
      </c>
      <c r="E4" s="2919">
        <v>7.6750000000000007</v>
      </c>
      <c r="F4" s="2919">
        <v>6.2363636363636381</v>
      </c>
      <c r="G4" s="2918">
        <v>6.1896551724137971</v>
      </c>
      <c r="H4" s="2920">
        <v>6.8124999999999964</v>
      </c>
      <c r="I4" s="2920">
        <v>7.59</v>
      </c>
      <c r="J4" s="2920">
        <v>7.9699999999999989</v>
      </c>
      <c r="K4" s="2921">
        <v>7.120000000000001</v>
      </c>
      <c r="L4" s="3628">
        <v>9.23</v>
      </c>
      <c r="M4" s="3628">
        <v>11</v>
      </c>
    </row>
    <row r="5" spans="2:13" ht="15" customHeight="1">
      <c r="B5" s="2922" t="s">
        <v>6</v>
      </c>
      <c r="C5" s="2923">
        <v>9.375</v>
      </c>
      <c r="D5" s="2923">
        <v>8.6944444444444464</v>
      </c>
      <c r="E5" s="2924">
        <v>9.4285714285714306</v>
      </c>
      <c r="F5" s="2924">
        <v>8.4576271186440621</v>
      </c>
      <c r="G5" s="2923">
        <v>7.2325581395348912</v>
      </c>
      <c r="H5" s="2925">
        <v>7.8000000000000007</v>
      </c>
      <c r="I5" s="2925">
        <v>8.25</v>
      </c>
      <c r="J5" s="2925">
        <v>8.879999999999999</v>
      </c>
      <c r="K5" s="2926">
        <v>7.2399999999999984</v>
      </c>
      <c r="L5" s="3629">
        <v>8.7399999999999984</v>
      </c>
      <c r="M5" s="3629">
        <v>6.9699999999999989</v>
      </c>
    </row>
    <row r="6" spans="2:13" ht="15" customHeight="1">
      <c r="B6" s="2922" t="s">
        <v>7</v>
      </c>
      <c r="C6" s="2923">
        <v>8.3333333333333321</v>
      </c>
      <c r="D6" s="2923">
        <v>11.066666666666666</v>
      </c>
      <c r="E6" s="2924">
        <v>9.1000000000000014</v>
      </c>
      <c r="F6" s="2924">
        <v>11.411764705882351</v>
      </c>
      <c r="G6" s="2923">
        <v>11.904761904761905</v>
      </c>
      <c r="H6" s="2925">
        <v>8.0952380952380985</v>
      </c>
      <c r="I6" s="2925">
        <v>9.57</v>
      </c>
      <c r="J6" s="2925">
        <v>8.6700000000000017</v>
      </c>
      <c r="K6" s="2926">
        <v>6.7600000000000016</v>
      </c>
      <c r="L6" s="3629">
        <v>8.32</v>
      </c>
      <c r="M6" s="3629">
        <v>9.7100000000000009</v>
      </c>
    </row>
    <row r="7" spans="2:13" ht="15" customHeight="1">
      <c r="B7" s="2922" t="s">
        <v>8</v>
      </c>
      <c r="C7" s="2923">
        <v>9.8823529411764675</v>
      </c>
      <c r="D7" s="2923">
        <v>7.4615384615384599</v>
      </c>
      <c r="E7" s="2924">
        <v>9.411764705882355</v>
      </c>
      <c r="F7" s="2924">
        <v>9.1500000000000021</v>
      </c>
      <c r="G7" s="2923">
        <v>9.088235294117645</v>
      </c>
      <c r="H7" s="2925">
        <v>8.3500000000000014</v>
      </c>
      <c r="I7" s="2925">
        <v>7.41</v>
      </c>
      <c r="J7" s="2925">
        <v>8.9600000000000009</v>
      </c>
      <c r="K7" s="2926">
        <v>6.75</v>
      </c>
      <c r="L7" s="3629">
        <v>8.43</v>
      </c>
      <c r="M7" s="3629">
        <v>6.6499999999999986</v>
      </c>
    </row>
    <row r="8" spans="2:13" ht="15" customHeight="1">
      <c r="B8" s="2922" t="s">
        <v>9</v>
      </c>
      <c r="C8" s="2923">
        <v>8.0898876404494331</v>
      </c>
      <c r="D8" s="2923">
        <v>8.5774647887324029</v>
      </c>
      <c r="E8" s="2924">
        <v>8.2318840579710013</v>
      </c>
      <c r="F8" s="2924">
        <v>7.8198198198198234</v>
      </c>
      <c r="G8" s="2923">
        <v>8.5154639175257785</v>
      </c>
      <c r="H8" s="2925">
        <v>9.0235294117647094</v>
      </c>
      <c r="I8" s="2925">
        <v>7.879999999999999</v>
      </c>
      <c r="J8" s="2925">
        <v>8.98</v>
      </c>
      <c r="K8" s="2926">
        <v>9.27</v>
      </c>
      <c r="L8" s="3629">
        <v>7.7199999999999989</v>
      </c>
      <c r="M8" s="3629">
        <v>11.32</v>
      </c>
    </row>
    <row r="9" spans="2:13" ht="15" customHeight="1">
      <c r="B9" s="2922" t="s">
        <v>10</v>
      </c>
      <c r="C9" s="2923">
        <v>10.206896551724135</v>
      </c>
      <c r="D9" s="2923">
        <v>8.9523809523809526</v>
      </c>
      <c r="E9" s="2924">
        <v>9.3421052631578938</v>
      </c>
      <c r="F9" s="2924">
        <v>9.7962962962962941</v>
      </c>
      <c r="G9" s="2923">
        <v>9.9743589743589745</v>
      </c>
      <c r="H9" s="2925">
        <v>9.6046511627906952</v>
      </c>
      <c r="I9" s="2925">
        <v>8.4699999999999989</v>
      </c>
      <c r="J9" s="2925">
        <v>9.39</v>
      </c>
      <c r="K9" s="2926">
        <v>8.1999999999999993</v>
      </c>
      <c r="L9" s="3629">
        <v>8.75</v>
      </c>
      <c r="M9" s="3629">
        <v>11.940000000000001</v>
      </c>
    </row>
    <row r="10" spans="2:13" ht="15" customHeight="1">
      <c r="B10" s="2922" t="s">
        <v>11</v>
      </c>
      <c r="C10" s="2923">
        <v>4.8000000000000007</v>
      </c>
      <c r="D10" s="2923">
        <v>9</v>
      </c>
      <c r="E10" s="2924">
        <v>9</v>
      </c>
      <c r="F10" s="2924">
        <v>9.4444444444444429</v>
      </c>
      <c r="G10" s="2923">
        <v>10.473684210526315</v>
      </c>
      <c r="H10" s="2925">
        <v>9.764705882352942</v>
      </c>
      <c r="I10" s="2925">
        <v>8.43</v>
      </c>
      <c r="J10" s="2925">
        <v>6.1700000000000017</v>
      </c>
      <c r="K10" s="2926">
        <v>7.9499999999999993</v>
      </c>
      <c r="L10" s="3629">
        <v>7.4499999999999993</v>
      </c>
      <c r="M10" s="3629">
        <v>9.3299999999999983</v>
      </c>
    </row>
    <row r="11" spans="2:13" ht="15" customHeight="1">
      <c r="B11" s="2922" t="s">
        <v>12</v>
      </c>
      <c r="C11" s="2923">
        <v>7.9782608695652151</v>
      </c>
      <c r="D11" s="2923">
        <v>7.6222222222222129</v>
      </c>
      <c r="E11" s="2924">
        <v>6.216216216216214</v>
      </c>
      <c r="F11" s="2924">
        <v>7.1851851851851833</v>
      </c>
      <c r="G11" s="2923">
        <v>8.7261904761904852</v>
      </c>
      <c r="H11" s="2925">
        <v>8.3835616438356126</v>
      </c>
      <c r="I11" s="2925">
        <v>8.32</v>
      </c>
      <c r="J11" s="2925">
        <v>8.5799999999999983</v>
      </c>
      <c r="K11" s="2926">
        <v>7.7800000000000011</v>
      </c>
      <c r="L11" s="3629">
        <v>8.9600000000000009</v>
      </c>
      <c r="M11" s="3629">
        <v>9.25</v>
      </c>
    </row>
    <row r="12" spans="2:13" ht="15" customHeight="1">
      <c r="B12" s="2922" t="s">
        <v>13</v>
      </c>
      <c r="C12" s="2923">
        <v>10.672727272727272</v>
      </c>
      <c r="D12" s="2923">
        <v>11.253521126760575</v>
      </c>
      <c r="E12" s="2924">
        <v>9.0845070422535166</v>
      </c>
      <c r="F12" s="2924">
        <v>10.592105263157901</v>
      </c>
      <c r="G12" s="2923">
        <v>10.338983050847457</v>
      </c>
      <c r="H12" s="2925">
        <v>11.280701754385969</v>
      </c>
      <c r="I12" s="2925">
        <v>10.91</v>
      </c>
      <c r="J12" s="2925">
        <v>10.969999999999999</v>
      </c>
      <c r="K12" s="2926">
        <v>10.71</v>
      </c>
      <c r="L12" s="3629">
        <v>11.940000000000001</v>
      </c>
      <c r="M12" s="3629">
        <v>11.8</v>
      </c>
    </row>
    <row r="13" spans="2:13" ht="15" customHeight="1">
      <c r="B13" s="2922" t="s">
        <v>14</v>
      </c>
      <c r="C13" s="2923">
        <v>5.1016949152542388</v>
      </c>
      <c r="D13" s="2923">
        <v>6.75</v>
      </c>
      <c r="E13" s="2924">
        <v>6.8000000000000078</v>
      </c>
      <c r="F13" s="2924">
        <v>8.8507462686567138</v>
      </c>
      <c r="G13" s="2923">
        <v>9.4583333333333179</v>
      </c>
      <c r="H13" s="2925">
        <v>8.779220779220779</v>
      </c>
      <c r="I13" s="2925">
        <v>10.780000000000001</v>
      </c>
      <c r="J13" s="2925">
        <v>11.120000000000001</v>
      </c>
      <c r="K13" s="2926">
        <v>10.309999999999999</v>
      </c>
      <c r="L13" s="3629">
        <v>10.41</v>
      </c>
      <c r="M13" s="3629">
        <v>8.09</v>
      </c>
    </row>
    <row r="14" spans="2:13" ht="15" customHeight="1">
      <c r="B14" s="2927" t="s">
        <v>544</v>
      </c>
      <c r="C14" s="2928">
        <v>8.3451086956522005</v>
      </c>
      <c r="D14" s="2928">
        <v>8.7326732673267387</v>
      </c>
      <c r="E14" s="2929">
        <v>8.1878453038674266</v>
      </c>
      <c r="F14" s="2929">
        <v>8.6000000000000014</v>
      </c>
      <c r="G14" s="2923">
        <v>8.9216027874564432</v>
      </c>
      <c r="H14" s="2930">
        <v>8.7210626185958091</v>
      </c>
      <c r="I14" s="2930">
        <v>8.879999999999999</v>
      </c>
      <c r="J14" s="2930">
        <v>9.1700000000000017</v>
      </c>
      <c r="K14" s="2931">
        <v>8.34</v>
      </c>
      <c r="L14" s="3630">
        <v>9</v>
      </c>
      <c r="M14" s="3630">
        <v>9.23</v>
      </c>
    </row>
    <row r="15" spans="2:13" ht="15" customHeight="1">
      <c r="B15" s="2922" t="s">
        <v>17</v>
      </c>
      <c r="C15" s="2923">
        <v>3.2647058823529385</v>
      </c>
      <c r="D15" s="2923">
        <v>3.2836879432624144</v>
      </c>
      <c r="E15" s="2924">
        <v>2.5856353591160186</v>
      </c>
      <c r="F15" s="2924">
        <v>3.5571428571428552</v>
      </c>
      <c r="G15" s="2923">
        <v>2.9497206703910717</v>
      </c>
      <c r="H15" s="2925">
        <v>3.7315789473684262</v>
      </c>
      <c r="I15" s="2925">
        <v>2.92</v>
      </c>
      <c r="J15" s="2925">
        <v>3.3200000000000003</v>
      </c>
      <c r="K15" s="2926">
        <v>2.9299999999999997</v>
      </c>
      <c r="L15" s="3629">
        <v>3.01</v>
      </c>
      <c r="M15" s="3629">
        <v>1.8800000000000008</v>
      </c>
    </row>
    <row r="16" spans="2:13" ht="15" customHeight="1">
      <c r="B16" s="2922" t="s">
        <v>18</v>
      </c>
      <c r="C16" s="2923">
        <v>3.873417721518992</v>
      </c>
      <c r="D16" s="2923">
        <v>4.1005917159763214</v>
      </c>
      <c r="E16" s="2924">
        <v>3.8347826086956669</v>
      </c>
      <c r="F16" s="2924">
        <v>3.2824207492795452</v>
      </c>
      <c r="G16" s="2923">
        <v>2.797468354430384</v>
      </c>
      <c r="H16" s="2925">
        <v>3.5461254612546114</v>
      </c>
      <c r="I16" s="2925">
        <v>3.26</v>
      </c>
      <c r="J16" s="2925">
        <v>3.1400000000000006</v>
      </c>
      <c r="K16" s="2926">
        <v>3.42</v>
      </c>
      <c r="L16" s="3629">
        <v>3.16</v>
      </c>
      <c r="M16" s="3629">
        <v>3.33</v>
      </c>
    </row>
    <row r="17" spans="2:13" ht="15" customHeight="1">
      <c r="B17" s="2922" t="s">
        <v>19</v>
      </c>
      <c r="C17" s="2923">
        <v>7.4262295081967267</v>
      </c>
      <c r="D17" s="2923">
        <v>6.8431372549019613</v>
      </c>
      <c r="E17" s="2924">
        <v>6.928571428571427</v>
      </c>
      <c r="F17" s="2924">
        <v>6.216216216216214</v>
      </c>
      <c r="G17" s="2923">
        <v>7</v>
      </c>
      <c r="H17" s="2925">
        <v>5.9189189189189229</v>
      </c>
      <c r="I17" s="2925">
        <v>6</v>
      </c>
      <c r="J17" s="2925">
        <v>6.5100000000000016</v>
      </c>
      <c r="K17" s="2926">
        <v>7.0799999999999983</v>
      </c>
      <c r="L17" s="3629">
        <v>9.0599999999999987</v>
      </c>
      <c r="M17" s="3629">
        <v>7.5599999999999987</v>
      </c>
    </row>
    <row r="18" spans="2:13" ht="15" customHeight="1">
      <c r="B18" s="2922" t="s">
        <v>20</v>
      </c>
      <c r="C18" s="2923">
        <v>5.623188405797098</v>
      </c>
      <c r="D18" s="2923">
        <v>5.5384615384615365</v>
      </c>
      <c r="E18" s="2924">
        <v>6.3684210526315788</v>
      </c>
      <c r="F18" s="2924">
        <v>6.2258064516128933</v>
      </c>
      <c r="G18" s="2923">
        <v>5.3999999999999986</v>
      </c>
      <c r="H18" s="2925">
        <v>5.8617021276595729</v>
      </c>
      <c r="I18" s="2925">
        <v>4.82</v>
      </c>
      <c r="J18" s="2925">
        <v>6.84</v>
      </c>
      <c r="K18" s="2926">
        <v>6.620000000000001</v>
      </c>
      <c r="L18" s="3629">
        <v>6.1499999999999986</v>
      </c>
      <c r="M18" s="3629">
        <v>5.43</v>
      </c>
    </row>
    <row r="19" spans="2:13" ht="15" customHeight="1">
      <c r="B19" s="2927" t="s">
        <v>545</v>
      </c>
      <c r="C19" s="2928">
        <v>4.3797216699801105</v>
      </c>
      <c r="D19" s="2928">
        <v>4.4123006833712957</v>
      </c>
      <c r="E19" s="2929">
        <v>4.0095419847328309</v>
      </c>
      <c r="F19" s="2929">
        <v>4.0399999999999991</v>
      </c>
      <c r="G19" s="2923">
        <v>3.6755793226381375</v>
      </c>
      <c r="H19" s="2930">
        <v>4.2273449920508845</v>
      </c>
      <c r="I19" s="2930">
        <v>3.6199999999999992</v>
      </c>
      <c r="J19" s="2930">
        <v>4.07</v>
      </c>
      <c r="K19" s="2931">
        <v>4.0100000000000016</v>
      </c>
      <c r="L19" s="3630">
        <v>4.2199999999999989</v>
      </c>
      <c r="M19" s="3630">
        <v>3.4800000000000004</v>
      </c>
    </row>
    <row r="20" spans="2:13" ht="15" customHeight="1">
      <c r="B20" s="2922" t="s">
        <v>22</v>
      </c>
      <c r="C20" s="2923">
        <v>5.6068376068376118</v>
      </c>
      <c r="D20" s="2923">
        <v>4.131868131868135</v>
      </c>
      <c r="E20" s="2924">
        <v>4.7764705882352878</v>
      </c>
      <c r="F20" s="2924">
        <v>4.6934306569343072</v>
      </c>
      <c r="G20" s="2923">
        <v>5.415254237288142</v>
      </c>
      <c r="H20" s="2925">
        <v>6.1617647058823479</v>
      </c>
      <c r="I20" s="2925">
        <v>6.620000000000001</v>
      </c>
      <c r="J20" s="2925">
        <v>6.23</v>
      </c>
      <c r="K20" s="2926">
        <v>5.3500000000000014</v>
      </c>
      <c r="L20" s="3629">
        <v>4.3900000000000006</v>
      </c>
      <c r="M20" s="3629">
        <v>6.27</v>
      </c>
    </row>
    <row r="21" spans="2:13" ht="15" customHeight="1">
      <c r="B21" s="2922" t="s">
        <v>23</v>
      </c>
      <c r="C21" s="2923">
        <v>3.2083333333333357</v>
      </c>
      <c r="D21" s="2923">
        <v>3.5662650602409673</v>
      </c>
      <c r="E21" s="2924">
        <v>4.0380952380952309</v>
      </c>
      <c r="F21" s="2924">
        <v>3.2056074766355227</v>
      </c>
      <c r="G21" s="2923">
        <v>3.3543307086614185</v>
      </c>
      <c r="H21" s="2925">
        <v>3.7363636363636274</v>
      </c>
      <c r="I21" s="2925">
        <v>2.5199999999999996</v>
      </c>
      <c r="J21" s="2925">
        <v>3.1400000000000006</v>
      </c>
      <c r="K21" s="2926">
        <v>3.0500000000000007</v>
      </c>
      <c r="L21" s="3629">
        <v>2.5199999999999996</v>
      </c>
      <c r="M21" s="3629">
        <v>2.5600000000000005</v>
      </c>
    </row>
    <row r="22" spans="2:13" ht="15" customHeight="1">
      <c r="B22" s="2922" t="s">
        <v>24</v>
      </c>
      <c r="C22" s="2923">
        <v>4.7142857142857082</v>
      </c>
      <c r="D22" s="2923">
        <v>4.9705882352941195</v>
      </c>
      <c r="E22" s="2924">
        <v>6.603174603174601</v>
      </c>
      <c r="F22" s="2924">
        <v>4.1573033707865115</v>
      </c>
      <c r="G22" s="2923">
        <v>3.91</v>
      </c>
      <c r="H22" s="2925">
        <v>4.9278350515463956</v>
      </c>
      <c r="I22" s="2925">
        <v>3.6999999999999993</v>
      </c>
      <c r="J22" s="2925">
        <v>4.2899999999999991</v>
      </c>
      <c r="K22" s="2926">
        <v>3.26</v>
      </c>
      <c r="L22" s="3629">
        <v>4.5500000000000007</v>
      </c>
      <c r="M22" s="3629">
        <v>2.4499999999999993</v>
      </c>
    </row>
    <row r="23" spans="2:13" ht="15" customHeight="1">
      <c r="B23" s="2927" t="s">
        <v>546</v>
      </c>
      <c r="C23" s="2928">
        <v>4.476635514018696</v>
      </c>
      <c r="D23" s="2928">
        <v>4.1735537190082503</v>
      </c>
      <c r="E23" s="2929">
        <v>4.9249011857707465</v>
      </c>
      <c r="F23" s="2929">
        <v>4.07</v>
      </c>
      <c r="G23" s="2923">
        <v>4.2202898550724406</v>
      </c>
      <c r="H23" s="2930">
        <v>5.0349854227405189</v>
      </c>
      <c r="I23" s="2930">
        <v>4.1999999999999993</v>
      </c>
      <c r="J23" s="2930">
        <v>4.4899999999999984</v>
      </c>
      <c r="K23" s="2931">
        <v>3.83</v>
      </c>
      <c r="L23" s="3630">
        <v>3.6799999999999997</v>
      </c>
      <c r="M23" s="3630">
        <v>3.4299999999999997</v>
      </c>
    </row>
    <row r="24" spans="2:13" ht="15" customHeight="1">
      <c r="B24" s="2950" t="s">
        <v>106</v>
      </c>
      <c r="C24" s="2942">
        <v>5.6300335570469962</v>
      </c>
      <c r="D24" s="2942">
        <v>5.9677419354838612</v>
      </c>
      <c r="E24" s="2951">
        <v>5.5408252853380233</v>
      </c>
      <c r="F24" s="2951">
        <v>5.5500000000000007</v>
      </c>
      <c r="G24" s="2952">
        <v>5.8371621621621941</v>
      </c>
      <c r="H24" s="2953">
        <v>5.9919946631087164</v>
      </c>
      <c r="I24" s="2953">
        <v>5.68</v>
      </c>
      <c r="J24" s="2953">
        <v>6.0300000000000011</v>
      </c>
      <c r="K24" s="2954">
        <v>5.4400000000000013</v>
      </c>
      <c r="L24" s="3631">
        <v>5.6000000000000014</v>
      </c>
      <c r="M24" s="3631">
        <v>4.5599999999999987</v>
      </c>
    </row>
    <row r="25" spans="2:13" ht="15" customHeight="1">
      <c r="B25" s="2955" t="s">
        <v>26</v>
      </c>
      <c r="C25" s="2948">
        <v>5.375</v>
      </c>
      <c r="D25" s="2948">
        <v>6.6428571428571388</v>
      </c>
      <c r="E25" s="2956">
        <v>8.3703703703703702</v>
      </c>
      <c r="F25" s="2956">
        <v>9.4090909090909065</v>
      </c>
      <c r="G25" s="2948">
        <v>9.818181818181813</v>
      </c>
      <c r="H25" s="2957">
        <v>8.7727272727272698</v>
      </c>
      <c r="I25" s="2957">
        <v>9.2399999999999984</v>
      </c>
      <c r="J25" s="2957">
        <v>8.379999999999999</v>
      </c>
      <c r="K25" s="2958">
        <v>7.7100000000000009</v>
      </c>
      <c r="L25" s="3632">
        <v>10.199999999999999</v>
      </c>
      <c r="M25" s="3632">
        <v>6.8900000000000006</v>
      </c>
    </row>
    <row r="26" spans="2:13" ht="15" customHeight="1">
      <c r="B26" s="2922" t="s">
        <v>27</v>
      </c>
      <c r="C26" s="2923">
        <v>7</v>
      </c>
      <c r="D26" s="2923">
        <v>3.5999999999999996</v>
      </c>
      <c r="E26" s="2924">
        <v>8.1666666666666679</v>
      </c>
      <c r="F26" s="2924"/>
      <c r="G26" s="2923">
        <v>7.1333333333333329</v>
      </c>
      <c r="H26" s="2925">
        <v>7.7000000000000028</v>
      </c>
      <c r="I26" s="2925">
        <v>6.1700000000000017</v>
      </c>
      <c r="J26" s="2925">
        <v>8.43</v>
      </c>
      <c r="K26" s="2926">
        <v>17</v>
      </c>
      <c r="L26" s="3629">
        <v>9.43</v>
      </c>
      <c r="M26" s="3629">
        <v>9.5</v>
      </c>
    </row>
    <row r="27" spans="2:13" ht="15" customHeight="1">
      <c r="B27" s="2922" t="s">
        <v>12</v>
      </c>
      <c r="C27" s="2923">
        <v>4.8571428571428541</v>
      </c>
      <c r="D27" s="2923">
        <v>9.2000000000000028</v>
      </c>
      <c r="E27" s="2924">
        <v>6.6363636363636367</v>
      </c>
      <c r="F27" s="2924">
        <v>8.3809523809523832</v>
      </c>
      <c r="G27" s="2923">
        <v>4.9166666666666679</v>
      </c>
      <c r="H27" s="2925">
        <v>6.5789473684210513</v>
      </c>
      <c r="I27" s="2925">
        <v>5.8900000000000006</v>
      </c>
      <c r="J27" s="2925">
        <v>6.82</v>
      </c>
      <c r="K27" s="2926">
        <v>7.6000000000000014</v>
      </c>
      <c r="L27" s="3629">
        <v>7.66</v>
      </c>
      <c r="M27" s="3629">
        <v>7</v>
      </c>
    </row>
    <row r="28" spans="2:13" ht="15" customHeight="1">
      <c r="B28" s="2922" t="s">
        <v>28</v>
      </c>
      <c r="C28" s="2923">
        <v>6.7058823529411775</v>
      </c>
      <c r="D28" s="2923">
        <v>6.2941176470588225</v>
      </c>
      <c r="E28" s="2924">
        <v>7.9999999999999964</v>
      </c>
      <c r="F28" s="2924">
        <v>6.6428571428571423</v>
      </c>
      <c r="G28" s="2923">
        <v>7.3076923076923066</v>
      </c>
      <c r="H28" s="2925">
        <v>6.1249999999999964</v>
      </c>
      <c r="I28" s="2925">
        <v>7.2100000000000009</v>
      </c>
      <c r="J28" s="2925">
        <v>7.1000000000000014</v>
      </c>
      <c r="K28" s="2926">
        <v>6.34</v>
      </c>
      <c r="L28" s="3629">
        <v>6.7600000000000016</v>
      </c>
      <c r="M28" s="3629">
        <v>7.0399999999999991</v>
      </c>
    </row>
    <row r="29" spans="2:13" ht="15" customHeight="1">
      <c r="B29" s="2922" t="s">
        <v>29</v>
      </c>
      <c r="C29" s="2923">
        <v>12.230769230769234</v>
      </c>
      <c r="D29" s="2923">
        <v>4.3000000000000007</v>
      </c>
      <c r="E29" s="2924">
        <v>11.555555555555557</v>
      </c>
      <c r="F29" s="2924">
        <v>6.3636363636363633</v>
      </c>
      <c r="G29" s="2923">
        <v>6.0588235294117609</v>
      </c>
      <c r="H29" s="2925">
        <v>6.4761904761904745</v>
      </c>
      <c r="I29" s="2925">
        <v>3.74</v>
      </c>
      <c r="J29" s="2925">
        <v>6.8099999999999987</v>
      </c>
      <c r="K29" s="2926">
        <v>7.5</v>
      </c>
      <c r="L29" s="3629">
        <v>7.4600000000000009</v>
      </c>
      <c r="M29" s="3629">
        <v>7.3299999999999983</v>
      </c>
    </row>
    <row r="30" spans="2:13" ht="15" customHeight="1">
      <c r="B30" s="2922" t="s">
        <v>13</v>
      </c>
      <c r="C30" s="2923">
        <v>7.5531914893617049</v>
      </c>
      <c r="D30" s="2923">
        <v>6.9285714285714342</v>
      </c>
      <c r="E30" s="2924">
        <v>9.0444444444444478</v>
      </c>
      <c r="F30" s="2924">
        <v>9.0909090909090899</v>
      </c>
      <c r="G30" s="2923">
        <v>7.6756756756756772</v>
      </c>
      <c r="H30" s="2925">
        <v>6.7407407407407369</v>
      </c>
      <c r="I30" s="2925">
        <v>8.86</v>
      </c>
      <c r="J30" s="2925">
        <v>9.68</v>
      </c>
      <c r="K30" s="2926">
        <v>7.8900000000000006</v>
      </c>
      <c r="L30" s="3629">
        <v>8.14</v>
      </c>
      <c r="M30" s="3629">
        <v>9.93</v>
      </c>
    </row>
    <row r="31" spans="2:13" ht="15" customHeight="1">
      <c r="B31" s="2922" t="s">
        <v>30</v>
      </c>
      <c r="C31" s="2923">
        <v>6.764705882352942</v>
      </c>
      <c r="D31" s="2923">
        <v>8.1999999999999993</v>
      </c>
      <c r="E31" s="2924">
        <v>9.4375</v>
      </c>
      <c r="F31" s="2924">
        <v>10.36</v>
      </c>
      <c r="G31" s="2923">
        <v>8.0526315789473735</v>
      </c>
      <c r="H31" s="2925">
        <v>10.916666666666668</v>
      </c>
      <c r="I31" s="2925">
        <v>7.6099999999999994</v>
      </c>
      <c r="J31" s="2925">
        <v>7.6499999999999986</v>
      </c>
      <c r="K31" s="2926">
        <v>6</v>
      </c>
      <c r="L31" s="3629">
        <v>9.1999999999999993</v>
      </c>
      <c r="M31" s="3629">
        <v>10.620000000000001</v>
      </c>
    </row>
    <row r="32" spans="2:13" ht="15" customHeight="1">
      <c r="B32" s="2922" t="s">
        <v>31</v>
      </c>
      <c r="C32" s="2923">
        <v>4.2857142857142847</v>
      </c>
      <c r="D32" s="2923">
        <v>6.7272727272727266</v>
      </c>
      <c r="E32" s="2924">
        <v>5.2142857142857153</v>
      </c>
      <c r="F32" s="2924">
        <v>3.5</v>
      </c>
      <c r="G32" s="2923">
        <v>7.0000000000000036</v>
      </c>
      <c r="H32" s="2925">
        <v>6</v>
      </c>
      <c r="I32" s="2925">
        <v>5.41</v>
      </c>
      <c r="J32" s="2925">
        <v>5.7899999999999991</v>
      </c>
      <c r="K32" s="2926">
        <v>8</v>
      </c>
      <c r="L32" s="3629">
        <v>8.41</v>
      </c>
      <c r="M32" s="3629">
        <v>10.45</v>
      </c>
    </row>
    <row r="33" spans="2:13" ht="15" customHeight="1">
      <c r="B33" s="2922" t="s">
        <v>32</v>
      </c>
      <c r="C33" s="2923">
        <v>7.5333333333333385</v>
      </c>
      <c r="D33" s="2923">
        <v>7.4999999999999929</v>
      </c>
      <c r="E33" s="2924">
        <v>7.7209302325581319</v>
      </c>
      <c r="F33" s="2924">
        <v>9.9736842105263186</v>
      </c>
      <c r="G33" s="2923">
        <v>8.6666666666666643</v>
      </c>
      <c r="H33" s="2925">
        <v>7.740740740740744</v>
      </c>
      <c r="I33" s="2925">
        <v>7.129999999999999</v>
      </c>
      <c r="J33" s="2925">
        <v>8.5599999999999987</v>
      </c>
      <c r="K33" s="2926">
        <v>8.23</v>
      </c>
      <c r="L33" s="3629">
        <v>7.7600000000000016</v>
      </c>
      <c r="M33" s="3629">
        <v>8.1499999999999986</v>
      </c>
    </row>
    <row r="34" spans="2:13" ht="15" customHeight="1">
      <c r="B34" s="2927" t="s">
        <v>544</v>
      </c>
      <c r="C34" s="2928">
        <v>6.895397489539743</v>
      </c>
      <c r="D34" s="2928">
        <v>7.1229050279329584</v>
      </c>
      <c r="E34" s="2929">
        <v>8.1584158415841515</v>
      </c>
      <c r="F34" s="2929">
        <v>8.7100000000000009</v>
      </c>
      <c r="G34" s="2923">
        <v>7.8632075471698357</v>
      </c>
      <c r="H34" s="2930">
        <v>7.3179190751444949</v>
      </c>
      <c r="I34" s="2930">
        <v>6.91</v>
      </c>
      <c r="J34" s="2930">
        <v>7.870000000000001</v>
      </c>
      <c r="K34" s="2931">
        <v>7.59</v>
      </c>
      <c r="L34" s="3630">
        <v>8.3000000000000007</v>
      </c>
      <c r="M34" s="3630">
        <v>8.2800000000000011</v>
      </c>
    </row>
    <row r="35" spans="2:13" ht="15" customHeight="1">
      <c r="B35" s="2922" t="s">
        <v>17</v>
      </c>
      <c r="C35" s="2923">
        <v>4.2434210526315823</v>
      </c>
      <c r="D35" s="2923">
        <v>3.8479999999999954</v>
      </c>
      <c r="E35" s="2924">
        <v>3.2631578947368425</v>
      </c>
      <c r="F35" s="2924">
        <v>2.9157894736842032</v>
      </c>
      <c r="G35" s="2923">
        <v>3.5782312925170032</v>
      </c>
      <c r="H35" s="2925">
        <v>4.1854304635761643</v>
      </c>
      <c r="I35" s="2925">
        <v>3.3900000000000006</v>
      </c>
      <c r="J35" s="2925">
        <v>3.0500000000000007</v>
      </c>
      <c r="K35" s="2926">
        <v>3.2899999999999991</v>
      </c>
      <c r="L35" s="3629">
        <v>4.0399999999999991</v>
      </c>
      <c r="M35" s="3629">
        <v>2.0700000000000003</v>
      </c>
    </row>
    <row r="36" spans="2:13" ht="15" customHeight="1">
      <c r="B36" s="2922" t="s">
        <v>33</v>
      </c>
      <c r="C36" s="2923">
        <v>5.5263157894736814</v>
      </c>
      <c r="D36" s="2923">
        <v>7.695652173913043</v>
      </c>
      <c r="E36" s="2924">
        <v>5.1250000000000036</v>
      </c>
      <c r="F36" s="2924">
        <v>5.411764705882355</v>
      </c>
      <c r="G36" s="2923">
        <v>4.6785714285714306</v>
      </c>
      <c r="H36" s="2925">
        <v>5.75</v>
      </c>
      <c r="I36" s="2925">
        <v>5.5</v>
      </c>
      <c r="J36" s="2925">
        <v>5.2800000000000011</v>
      </c>
      <c r="K36" s="2926">
        <v>7.0799999999999983</v>
      </c>
      <c r="L36" s="3629">
        <v>7.48</v>
      </c>
      <c r="M36" s="3629">
        <v>8.2800000000000011</v>
      </c>
    </row>
    <row r="37" spans="2:13" ht="15" customHeight="1">
      <c r="B37" s="2922" t="s">
        <v>34</v>
      </c>
      <c r="C37" s="2923">
        <v>6.1999999999999993</v>
      </c>
      <c r="D37" s="2923">
        <v>6.34375</v>
      </c>
      <c r="E37" s="2924">
        <v>5.4358974358974343</v>
      </c>
      <c r="F37" s="2924">
        <v>5.5853658536585407</v>
      </c>
      <c r="G37" s="2923">
        <v>7.9166666666666679</v>
      </c>
      <c r="H37" s="2925">
        <v>6.7333333333333378</v>
      </c>
      <c r="I37" s="2925">
        <v>8.89</v>
      </c>
      <c r="J37" s="2925">
        <v>6.879999999999999</v>
      </c>
      <c r="K37" s="2926">
        <v>6</v>
      </c>
      <c r="L37" s="3629">
        <v>6.23</v>
      </c>
      <c r="M37" s="3629">
        <v>6.73</v>
      </c>
    </row>
    <row r="38" spans="2:13" ht="15" customHeight="1">
      <c r="B38" s="2922" t="s">
        <v>35</v>
      </c>
      <c r="C38" s="2923">
        <v>7.9743589743589745</v>
      </c>
      <c r="D38" s="2923">
        <v>4.5897435897435912</v>
      </c>
      <c r="E38" s="2924">
        <v>5.9200000000000017</v>
      </c>
      <c r="F38" s="2924">
        <v>6.4651162790697683</v>
      </c>
      <c r="G38" s="2923">
        <v>7.724137931034484</v>
      </c>
      <c r="H38" s="2925">
        <v>6.7857142857142847</v>
      </c>
      <c r="I38" s="2925">
        <v>7.8000000000000007</v>
      </c>
      <c r="J38" s="2925">
        <v>7.7899999999999991</v>
      </c>
      <c r="K38" s="2926">
        <v>7.16</v>
      </c>
      <c r="L38" s="3629">
        <v>6.7399999999999984</v>
      </c>
      <c r="M38" s="3629">
        <v>6.6000000000000014</v>
      </c>
    </row>
    <row r="39" spans="2:13" ht="15" customHeight="1">
      <c r="B39" s="2922" t="s">
        <v>19</v>
      </c>
      <c r="C39" s="2923">
        <v>5.589041095890412</v>
      </c>
      <c r="D39" s="2923">
        <v>3.7058823529411722</v>
      </c>
      <c r="E39" s="2924">
        <v>5.1578947368421062</v>
      </c>
      <c r="F39" s="2924">
        <v>4.5084745762711904</v>
      </c>
      <c r="G39" s="2923">
        <v>4.7380952380952408</v>
      </c>
      <c r="H39" s="2925">
        <v>4.4333333333333265</v>
      </c>
      <c r="I39" s="2925">
        <v>6.370000000000001</v>
      </c>
      <c r="J39" s="2925">
        <v>3.8200000000000003</v>
      </c>
      <c r="K39" s="2926">
        <v>4.0300000000000011</v>
      </c>
      <c r="L39" s="3629">
        <v>5.9400000000000013</v>
      </c>
      <c r="M39" s="3629">
        <v>5.1999999999999993</v>
      </c>
    </row>
    <row r="40" spans="2:13" ht="15" customHeight="1">
      <c r="B40" s="2922" t="s">
        <v>20</v>
      </c>
      <c r="C40" s="2923">
        <v>5.3333333333333357</v>
      </c>
      <c r="D40" s="2923">
        <v>3.9999999999999964</v>
      </c>
      <c r="E40" s="2924">
        <v>5.7037037037037059</v>
      </c>
      <c r="F40" s="2924">
        <v>6.0869565217391326</v>
      </c>
      <c r="G40" s="2923">
        <v>6.6730769230769234</v>
      </c>
      <c r="H40" s="2925">
        <v>5.4146341463414629</v>
      </c>
      <c r="I40" s="2925">
        <v>5.6999999999999993</v>
      </c>
      <c r="J40" s="2925">
        <v>4.879999999999999</v>
      </c>
      <c r="K40" s="2926">
        <v>6.5300000000000011</v>
      </c>
      <c r="L40" s="3629">
        <v>5.2800000000000011</v>
      </c>
      <c r="M40" s="3629">
        <v>7.6700000000000017</v>
      </c>
    </row>
    <row r="41" spans="2:13" ht="15" customHeight="1">
      <c r="B41" s="2922" t="s">
        <v>36</v>
      </c>
      <c r="C41" s="2923">
        <v>6.9166666666666679</v>
      </c>
      <c r="D41" s="2923">
        <v>8.0399999999999956</v>
      </c>
      <c r="E41" s="2924">
        <v>7.6285714285714299</v>
      </c>
      <c r="F41" s="2924">
        <v>6.441176470588232</v>
      </c>
      <c r="G41" s="2923">
        <v>5.2571428571428527</v>
      </c>
      <c r="H41" s="2925">
        <v>7.3249999999999993</v>
      </c>
      <c r="I41" s="2925">
        <v>6.370000000000001</v>
      </c>
      <c r="J41" s="2925">
        <v>5.48</v>
      </c>
      <c r="K41" s="2926">
        <v>6.9200000000000017</v>
      </c>
      <c r="L41" s="3629">
        <v>7.1700000000000017</v>
      </c>
      <c r="M41" s="3629">
        <v>8</v>
      </c>
    </row>
    <row r="42" spans="2:13" ht="15" customHeight="1">
      <c r="B42" s="2922" t="s">
        <v>37</v>
      </c>
      <c r="C42" s="2923">
        <v>3.5999999999999996</v>
      </c>
      <c r="D42" s="2923">
        <v>6.4615384615384599</v>
      </c>
      <c r="E42" s="2924">
        <v>2.294117647058826</v>
      </c>
      <c r="F42" s="2924">
        <v>5.3124999999999964</v>
      </c>
      <c r="G42" s="2923">
        <v>3.0769230769230766</v>
      </c>
      <c r="H42" s="2925">
        <v>4.7619047619047628</v>
      </c>
      <c r="I42" s="2925">
        <v>3.5199999999999996</v>
      </c>
      <c r="J42" s="2925">
        <v>5.7800000000000011</v>
      </c>
      <c r="K42" s="2926">
        <v>3.9600000000000009</v>
      </c>
      <c r="L42" s="3629">
        <v>7.129999999999999</v>
      </c>
      <c r="M42" s="3629">
        <v>6.879999999999999</v>
      </c>
    </row>
    <row r="43" spans="2:13" ht="15" customHeight="1">
      <c r="B43" s="2922" t="s">
        <v>38</v>
      </c>
      <c r="C43" s="2923">
        <v>5.0681818181818237</v>
      </c>
      <c r="D43" s="2923">
        <v>6.6363636363636296</v>
      </c>
      <c r="E43" s="2924">
        <v>5.3999999999999915</v>
      </c>
      <c r="F43" s="2924">
        <v>5.1666666666666607</v>
      </c>
      <c r="G43" s="2923">
        <v>5.5192307692307701</v>
      </c>
      <c r="H43" s="2925">
        <v>5.672413793103452</v>
      </c>
      <c r="I43" s="2925">
        <v>3.5600000000000005</v>
      </c>
      <c r="J43" s="2925">
        <v>5.3299999999999983</v>
      </c>
      <c r="K43" s="2926">
        <v>6.3099999999999987</v>
      </c>
      <c r="L43" s="3629">
        <v>4.3599999999999994</v>
      </c>
      <c r="M43" s="3629">
        <v>5.129999999999999</v>
      </c>
    </row>
    <row r="44" spans="2:13" ht="15" customHeight="1">
      <c r="B44" s="2922" t="s">
        <v>39</v>
      </c>
      <c r="C44" s="2923">
        <v>3.5806451612903256</v>
      </c>
      <c r="D44" s="2923">
        <v>3.3904761904761944</v>
      </c>
      <c r="E44" s="2924">
        <v>2.7315436241610698</v>
      </c>
      <c r="F44" s="2924">
        <v>2.625</v>
      </c>
      <c r="G44" s="2923">
        <v>4.1557377049180317</v>
      </c>
      <c r="H44" s="2925">
        <v>4.4204545454545432</v>
      </c>
      <c r="I44" s="2925">
        <v>3.1899999999999995</v>
      </c>
      <c r="J44" s="2925">
        <v>3.7100000000000009</v>
      </c>
      <c r="K44" s="2926">
        <v>3.51</v>
      </c>
      <c r="L44" s="3629">
        <v>2.6999999999999993</v>
      </c>
      <c r="M44" s="3629">
        <v>3.17</v>
      </c>
    </row>
    <row r="45" spans="2:13" ht="15" customHeight="1">
      <c r="B45" s="2922" t="s">
        <v>40</v>
      </c>
      <c r="C45" s="2923">
        <v>3.3333333333333339</v>
      </c>
      <c r="D45" s="2923">
        <v>6.25</v>
      </c>
      <c r="E45" s="2924">
        <v>9.7142857142857153</v>
      </c>
      <c r="F45" s="2924">
        <v>7.1428571428571423</v>
      </c>
      <c r="G45" s="2923">
        <v>7.7500000000000036</v>
      </c>
      <c r="H45" s="2925">
        <v>9.7272727272727266</v>
      </c>
      <c r="I45" s="2925">
        <v>9</v>
      </c>
      <c r="J45" s="2925">
        <v>10.190000000000001</v>
      </c>
      <c r="K45" s="2926">
        <v>9.0500000000000007</v>
      </c>
      <c r="L45" s="3629">
        <v>10.89</v>
      </c>
      <c r="M45" s="3629">
        <v>11.93</v>
      </c>
    </row>
    <row r="46" spans="2:13" ht="15" customHeight="1">
      <c r="B46" s="2927" t="s">
        <v>545</v>
      </c>
      <c r="C46" s="2928">
        <v>5.0493601462522761</v>
      </c>
      <c r="D46" s="2928">
        <v>4.7219917012448143</v>
      </c>
      <c r="E46" s="2929">
        <v>4.2955752212389378</v>
      </c>
      <c r="F46" s="2929">
        <v>4.2899999999999991</v>
      </c>
      <c r="G46" s="2923">
        <v>4.88586956521738</v>
      </c>
      <c r="H46" s="2930">
        <v>5.2421602787456294</v>
      </c>
      <c r="I46" s="2930">
        <v>4.6999999999999993</v>
      </c>
      <c r="J46" s="2930">
        <v>4.6499999999999986</v>
      </c>
      <c r="K46" s="2931">
        <v>5.0300000000000011</v>
      </c>
      <c r="L46" s="3630">
        <v>4.870000000000001</v>
      </c>
      <c r="M46" s="3630">
        <v>4.7699999999999996</v>
      </c>
    </row>
    <row r="47" spans="2:13" ht="15" customHeight="1">
      <c r="B47" s="2922" t="s">
        <v>42</v>
      </c>
      <c r="C47" s="2923">
        <v>5.1320754716981121</v>
      </c>
      <c r="D47" s="2923">
        <v>4.8510638297872362</v>
      </c>
      <c r="E47" s="2924">
        <v>4.80555555555555</v>
      </c>
      <c r="F47" s="2924">
        <v>5.9239130434782652</v>
      </c>
      <c r="G47" s="2923">
        <v>5.566265060240962</v>
      </c>
      <c r="H47" s="2925">
        <v>5.7578947368421041</v>
      </c>
      <c r="I47" s="2925">
        <v>7.2800000000000011</v>
      </c>
      <c r="J47" s="2925">
        <v>6.4600000000000009</v>
      </c>
      <c r="K47" s="2926">
        <v>6.0500000000000007</v>
      </c>
      <c r="L47" s="3629">
        <v>5.8000000000000007</v>
      </c>
      <c r="M47" s="3629">
        <v>7.1999999999999993</v>
      </c>
    </row>
    <row r="48" spans="2:13" ht="15" customHeight="1">
      <c r="B48" s="2922" t="s">
        <v>43</v>
      </c>
      <c r="C48" s="2923">
        <v>6.9166666666666643</v>
      </c>
      <c r="D48" s="2923">
        <v>6.7692307692307665</v>
      </c>
      <c r="E48" s="2924">
        <v>7.0243902439024382</v>
      </c>
      <c r="F48" s="2924">
        <v>7.1730769230769305</v>
      </c>
      <c r="G48" s="2923">
        <v>7.7812499999999893</v>
      </c>
      <c r="H48" s="2925">
        <v>7.428571428571427</v>
      </c>
      <c r="I48" s="2925">
        <v>5.4600000000000009</v>
      </c>
      <c r="J48" s="2925">
        <v>6.8299999999999983</v>
      </c>
      <c r="K48" s="2926">
        <v>6.1700000000000017</v>
      </c>
      <c r="L48" s="3629">
        <v>6.0300000000000011</v>
      </c>
      <c r="M48" s="3629">
        <v>8.36</v>
      </c>
    </row>
    <row r="49" spans="2:13" ht="15" customHeight="1">
      <c r="B49" s="2922" t="s">
        <v>44</v>
      </c>
      <c r="C49" s="2923">
        <v>6.1739130434782652</v>
      </c>
      <c r="D49" s="2923">
        <v>6.1764705882352935</v>
      </c>
      <c r="E49" s="2924">
        <v>8.4838709677419359</v>
      </c>
      <c r="F49" s="2924">
        <v>7.7142857142857117</v>
      </c>
      <c r="G49" s="2923">
        <v>4.7000000000000028</v>
      </c>
      <c r="H49" s="2925">
        <v>6.8292682926829222</v>
      </c>
      <c r="I49" s="2925">
        <v>7.5399999999999991</v>
      </c>
      <c r="J49" s="2925">
        <v>5.9899999999999984</v>
      </c>
      <c r="K49" s="2926">
        <v>5.8999999999999986</v>
      </c>
      <c r="L49" s="3629">
        <v>7.8000000000000007</v>
      </c>
      <c r="M49" s="3629">
        <v>7.6000000000000014</v>
      </c>
    </row>
    <row r="50" spans="2:13" ht="15" customHeight="1">
      <c r="B50" s="2922" t="s">
        <v>45</v>
      </c>
      <c r="C50" s="2923">
        <v>5</v>
      </c>
      <c r="D50" s="2923">
        <v>6.75</v>
      </c>
      <c r="E50" s="2924">
        <v>6.6428571428571459</v>
      </c>
      <c r="F50" s="2924">
        <v>4.7333333333333307</v>
      </c>
      <c r="G50" s="2923">
        <v>4.2142857142857117</v>
      </c>
      <c r="H50" s="2925">
        <v>5.7600000000000016</v>
      </c>
      <c r="I50" s="2925">
        <v>4.6700000000000017</v>
      </c>
      <c r="J50" s="2925">
        <v>4.8000000000000007</v>
      </c>
      <c r="K50" s="2926">
        <v>3.7899999999999991</v>
      </c>
      <c r="L50" s="3629">
        <v>5.8999999999999986</v>
      </c>
      <c r="M50" s="3629">
        <v>6.0799999999999983</v>
      </c>
    </row>
    <row r="51" spans="2:13" ht="15" customHeight="1">
      <c r="B51" s="2922" t="s">
        <v>46</v>
      </c>
      <c r="C51" s="2923">
        <v>6.1386138613861441</v>
      </c>
      <c r="D51" s="2923">
        <v>6.5087719298245652</v>
      </c>
      <c r="E51" s="2924">
        <v>6.9848484848484915</v>
      </c>
      <c r="F51" s="2924">
        <v>5.316455696202528</v>
      </c>
      <c r="G51" s="2923">
        <v>6.026315789473685</v>
      </c>
      <c r="H51" s="2925">
        <v>7.4117647058823479</v>
      </c>
      <c r="I51" s="2925">
        <v>7.3000000000000007</v>
      </c>
      <c r="J51" s="2925">
        <v>7.4200000000000017</v>
      </c>
      <c r="K51" s="2926">
        <v>6.379999999999999</v>
      </c>
      <c r="L51" s="3629">
        <v>7.5</v>
      </c>
      <c r="M51" s="3629">
        <v>8.0100000000000016</v>
      </c>
    </row>
    <row r="52" spans="2:13" ht="15" customHeight="1">
      <c r="B52" s="2922" t="s">
        <v>47</v>
      </c>
      <c r="C52" s="2923">
        <v>7.3582089552238834</v>
      </c>
      <c r="D52" s="2923">
        <v>7.378378378378379</v>
      </c>
      <c r="E52" s="2924">
        <v>7.5342465753424612</v>
      </c>
      <c r="F52" s="2924">
        <v>7.4074074074074048</v>
      </c>
      <c r="G52" s="2923">
        <v>7.9090909090909136</v>
      </c>
      <c r="H52" s="2925">
        <v>6.2771084337349379</v>
      </c>
      <c r="I52" s="2925">
        <v>8.27</v>
      </c>
      <c r="J52" s="2925">
        <v>7.3500000000000014</v>
      </c>
      <c r="K52" s="2926">
        <v>7.2600000000000016</v>
      </c>
      <c r="L52" s="3629">
        <v>8.5399999999999991</v>
      </c>
      <c r="M52" s="3629">
        <v>9.0799999999999983</v>
      </c>
    </row>
    <row r="53" spans="2:13" ht="15" customHeight="1">
      <c r="B53" s="2927" t="s">
        <v>547</v>
      </c>
      <c r="C53" s="2928">
        <v>6.31683168316831</v>
      </c>
      <c r="D53" s="2928">
        <v>6.4941176470588076</v>
      </c>
      <c r="E53" s="2929">
        <v>6.7373737373737335</v>
      </c>
      <c r="F53" s="2929">
        <v>6.4400000000000013</v>
      </c>
      <c r="G53" s="2923">
        <v>6.5710144927536334</v>
      </c>
      <c r="H53" s="2930">
        <v>6.5922077922077875</v>
      </c>
      <c r="I53" s="2930">
        <v>7.120000000000001</v>
      </c>
      <c r="J53" s="2930">
        <v>6.6499999999999986</v>
      </c>
      <c r="K53" s="2931">
        <v>6.07</v>
      </c>
      <c r="L53" s="3630">
        <v>6.9499999999999993</v>
      </c>
      <c r="M53" s="3630">
        <v>8.0399999999999991</v>
      </c>
    </row>
    <row r="54" spans="2:13" ht="15" customHeight="1">
      <c r="B54" s="2950" t="s">
        <v>110</v>
      </c>
      <c r="C54" s="2942">
        <v>5.8071625344352711</v>
      </c>
      <c r="D54" s="2942">
        <v>5.6844978165938898</v>
      </c>
      <c r="E54" s="2951">
        <v>5.7105263157894974</v>
      </c>
      <c r="F54" s="2951">
        <v>5.5399999999999991</v>
      </c>
      <c r="G54" s="2952">
        <v>5.9792605951307536</v>
      </c>
      <c r="H54" s="2953">
        <v>6.0185512367491434</v>
      </c>
      <c r="I54" s="2953">
        <v>6</v>
      </c>
      <c r="J54" s="2953">
        <v>5.9899999999999984</v>
      </c>
      <c r="K54" s="2954">
        <v>5.9899999999999984</v>
      </c>
      <c r="L54" s="3631">
        <v>6.4499999999999993</v>
      </c>
      <c r="M54" s="3631">
        <v>6.66</v>
      </c>
    </row>
    <row r="55" spans="2:13" ht="15" customHeight="1">
      <c r="B55" s="2955" t="s">
        <v>17</v>
      </c>
      <c r="C55" s="2948">
        <v>2</v>
      </c>
      <c r="D55" s="2948">
        <v>2.2773109243697469</v>
      </c>
      <c r="E55" s="2956">
        <v>2.4461538461538463</v>
      </c>
      <c r="F55" s="2956">
        <v>2.19463087248322</v>
      </c>
      <c r="G55" s="2948">
        <v>2.4339622641509493</v>
      </c>
      <c r="H55" s="2957">
        <v>2.3303571428571441</v>
      </c>
      <c r="I55" s="2957">
        <v>2.4000000000000004</v>
      </c>
      <c r="J55" s="2957">
        <v>2.41</v>
      </c>
      <c r="K55" s="2958">
        <v>2.6999999999999993</v>
      </c>
      <c r="L55" s="3632">
        <v>2.0299999999999994</v>
      </c>
      <c r="M55" s="3632">
        <v>1.6300000000000008</v>
      </c>
    </row>
    <row r="56" spans="2:13" ht="15" customHeight="1">
      <c r="B56" s="2922" t="s">
        <v>49</v>
      </c>
      <c r="C56" s="2923">
        <v>1.1658031088082943</v>
      </c>
      <c r="D56" s="2923">
        <v>0.97727272727273018</v>
      </c>
      <c r="E56" s="2924">
        <v>0.74117647058823088</v>
      </c>
      <c r="F56" s="2924">
        <v>0.82485875706214706</v>
      </c>
      <c r="G56" s="2923">
        <v>0.71264367816091756</v>
      </c>
      <c r="H56" s="2925">
        <v>1.0643274853801223</v>
      </c>
      <c r="I56" s="2925">
        <v>0.98000000000000043</v>
      </c>
      <c r="J56" s="2925">
        <v>0.98000000000000043</v>
      </c>
      <c r="K56" s="2926">
        <v>0.91000000000000014</v>
      </c>
      <c r="L56" s="3629">
        <v>0.53999999999999915</v>
      </c>
      <c r="M56" s="3629">
        <v>-0.76999999999999957</v>
      </c>
    </row>
    <row r="57" spans="2:13" ht="15" customHeight="1">
      <c r="B57" s="2922" t="s">
        <v>19</v>
      </c>
      <c r="C57" s="2923">
        <v>3.2857142857142776</v>
      </c>
      <c r="D57" s="2923">
        <v>3.1025641025641022</v>
      </c>
      <c r="E57" s="2924">
        <v>2.8395061728395046</v>
      </c>
      <c r="F57" s="2924">
        <v>3.7419354838709662</v>
      </c>
      <c r="G57" s="2923">
        <v>3.7837837837837842</v>
      </c>
      <c r="H57" s="2925">
        <v>4.0123456790123377</v>
      </c>
      <c r="I57" s="2925">
        <v>3.42</v>
      </c>
      <c r="J57" s="2925">
        <v>3.9700000000000006</v>
      </c>
      <c r="K57" s="2926">
        <v>4.8299999999999983</v>
      </c>
      <c r="L57" s="3629">
        <v>3.3000000000000007</v>
      </c>
      <c r="M57" s="3629">
        <v>3.1400000000000006</v>
      </c>
    </row>
    <row r="58" spans="2:13" ht="15" customHeight="1">
      <c r="B58" s="2922" t="s">
        <v>50</v>
      </c>
      <c r="C58" s="2923">
        <v>0.875</v>
      </c>
      <c r="D58" s="2923">
        <v>0.93795620437956018</v>
      </c>
      <c r="E58" s="2924">
        <v>0.73461538461538467</v>
      </c>
      <c r="F58" s="2924">
        <v>0.84084084084083877</v>
      </c>
      <c r="G58" s="2923">
        <v>0.64745762711864963</v>
      </c>
      <c r="H58" s="2925">
        <v>0.8105263157894651</v>
      </c>
      <c r="I58" s="2925">
        <v>0.80000000000000071</v>
      </c>
      <c r="J58" s="2925">
        <v>0.94999999999999929</v>
      </c>
      <c r="K58" s="2926">
        <v>0.77999999999999936</v>
      </c>
      <c r="L58" s="3629">
        <v>0.75</v>
      </c>
      <c r="M58" s="3629">
        <v>0.64000000000000057</v>
      </c>
    </row>
    <row r="59" spans="2:13" ht="15" customHeight="1">
      <c r="B59" s="2922" t="s">
        <v>20</v>
      </c>
      <c r="C59" s="2923">
        <v>1.1428571428571388</v>
      </c>
      <c r="D59" s="2923">
        <v>1.2327586206896584</v>
      </c>
      <c r="E59" s="2924">
        <v>1.5607476635514015</v>
      </c>
      <c r="F59" s="2924">
        <v>1.5223880597014965</v>
      </c>
      <c r="G59" s="2923">
        <v>1.4017094017094021</v>
      </c>
      <c r="H59" s="2925">
        <v>1.3307086614173222</v>
      </c>
      <c r="I59" s="2925">
        <v>1.7799999999999994</v>
      </c>
      <c r="J59" s="2925">
        <v>1.3200000000000003</v>
      </c>
      <c r="K59" s="2926">
        <v>2.0299999999999994</v>
      </c>
      <c r="L59" s="3629">
        <v>1.6799999999999997</v>
      </c>
      <c r="M59" s="3629">
        <v>0.44999999999999929</v>
      </c>
    </row>
    <row r="60" spans="2:13" ht="15" customHeight="1">
      <c r="B60" s="2922" t="s">
        <v>51</v>
      </c>
      <c r="C60" s="2923">
        <v>1.6956521739130412</v>
      </c>
      <c r="D60" s="2923">
        <v>1.6792452830188651</v>
      </c>
      <c r="E60" s="2924">
        <v>1.9782608695652151</v>
      </c>
      <c r="F60" s="2924">
        <v>1.8181818181818183</v>
      </c>
      <c r="G60" s="2923">
        <v>1.4047619047619015</v>
      </c>
      <c r="H60" s="2925">
        <v>1.5757575757575761</v>
      </c>
      <c r="I60" s="2925">
        <v>1.8000000000000007</v>
      </c>
      <c r="J60" s="2925">
        <v>2.1099999999999994</v>
      </c>
      <c r="K60" s="2926">
        <v>0.76999999999999957</v>
      </c>
      <c r="L60" s="3629">
        <v>1.5700000000000003</v>
      </c>
      <c r="M60" s="3629">
        <v>0.19999999999999929</v>
      </c>
    </row>
    <row r="61" spans="2:13" ht="15" customHeight="1">
      <c r="B61" s="2927" t="s">
        <v>545</v>
      </c>
      <c r="C61" s="2928">
        <v>1.5039548022598783</v>
      </c>
      <c r="D61" s="2928">
        <v>1.4387254901960649</v>
      </c>
      <c r="E61" s="2929">
        <v>1.4143576826196416</v>
      </c>
      <c r="F61" s="2929">
        <v>1.42</v>
      </c>
      <c r="G61" s="2923">
        <v>1.3316831683168306</v>
      </c>
      <c r="H61" s="2930">
        <v>1.5080346106304248</v>
      </c>
      <c r="I61" s="2930">
        <v>1.5399999999999991</v>
      </c>
      <c r="J61" s="2930">
        <v>1.5299999999999994</v>
      </c>
      <c r="K61" s="2931">
        <v>1.9100000000000001</v>
      </c>
      <c r="L61" s="3630">
        <v>1.3800000000000008</v>
      </c>
      <c r="M61" s="3630">
        <v>0.80000000000000071</v>
      </c>
    </row>
    <row r="62" spans="2:13" ht="15" customHeight="1">
      <c r="B62" s="2922" t="s">
        <v>42</v>
      </c>
      <c r="C62" s="2923">
        <v>1.0896551724137939</v>
      </c>
      <c r="D62" s="2923">
        <v>1.9194630872483192</v>
      </c>
      <c r="E62" s="2924">
        <v>1.5629139072847646</v>
      </c>
      <c r="F62" s="2924">
        <v>1.551724137931032</v>
      </c>
      <c r="G62" s="2923">
        <v>1.3875000000000011</v>
      </c>
      <c r="H62" s="2925">
        <v>1.0900900900900883</v>
      </c>
      <c r="I62" s="2925">
        <v>1.5299999999999994</v>
      </c>
      <c r="J62" s="2925">
        <v>1.6400000000000006</v>
      </c>
      <c r="K62" s="2926">
        <v>1.5600000000000005</v>
      </c>
      <c r="L62" s="3629">
        <v>1.0600000000000005</v>
      </c>
      <c r="M62" s="3629">
        <v>-1.7599999999999998</v>
      </c>
    </row>
    <row r="63" spans="2:13" ht="15" customHeight="1">
      <c r="B63" s="2922" t="s">
        <v>52</v>
      </c>
      <c r="C63" s="2923">
        <v>0.80530973451327093</v>
      </c>
      <c r="D63" s="2923">
        <v>1.392857142857137</v>
      </c>
      <c r="E63" s="2924">
        <v>1.25</v>
      </c>
      <c r="F63" s="2924">
        <v>0.69047619047618625</v>
      </c>
      <c r="G63" s="2923">
        <v>0.73214285714285943</v>
      </c>
      <c r="H63" s="2925">
        <v>1.0642201834862419</v>
      </c>
      <c r="I63" s="2925">
        <v>0.89000000000000057</v>
      </c>
      <c r="J63" s="2925">
        <v>0.73000000000000043</v>
      </c>
      <c r="K63" s="2926">
        <v>0.65000000000000036</v>
      </c>
      <c r="L63" s="3629">
        <v>-0.74000000000000021</v>
      </c>
      <c r="M63" s="3629">
        <v>-8.9999999999999858E-2</v>
      </c>
    </row>
    <row r="64" spans="2:13" ht="15" customHeight="1">
      <c r="B64" s="2922" t="s">
        <v>53</v>
      </c>
      <c r="C64" s="2923">
        <v>1.0523560209424065</v>
      </c>
      <c r="D64" s="2923">
        <v>0.71895424836600874</v>
      </c>
      <c r="E64" s="2924">
        <v>0.76687116564417046</v>
      </c>
      <c r="F64" s="2924">
        <v>0.89473684210526194</v>
      </c>
      <c r="G64" s="2923">
        <v>0.61379310344826976</v>
      </c>
      <c r="H64" s="2925">
        <v>0.95512820512820618</v>
      </c>
      <c r="I64" s="2925">
        <v>0.77999999999999936</v>
      </c>
      <c r="J64" s="2925">
        <v>0.99000000000000021</v>
      </c>
      <c r="K64" s="2926">
        <v>1.1500000000000004</v>
      </c>
      <c r="L64" s="3629">
        <v>0.92999999999999972</v>
      </c>
      <c r="M64" s="3629">
        <v>0.13000000000000078</v>
      </c>
    </row>
    <row r="65" spans="2:13" ht="15" customHeight="1">
      <c r="B65" s="2922" t="s">
        <v>54</v>
      </c>
      <c r="C65" s="2923">
        <v>2.1225490196078542</v>
      </c>
      <c r="D65" s="2923">
        <v>2.5689655172413914</v>
      </c>
      <c r="E65" s="2924">
        <v>2.4736842105263168</v>
      </c>
      <c r="F65" s="2924">
        <v>2.1741573033707962</v>
      </c>
      <c r="G65" s="2923">
        <v>2.2468354430379698</v>
      </c>
      <c r="H65" s="2925">
        <v>2.1453488372092959</v>
      </c>
      <c r="I65" s="2925">
        <v>2.4299999999999997</v>
      </c>
      <c r="J65" s="2925">
        <v>2.0999999999999996</v>
      </c>
      <c r="K65" s="2926">
        <v>1.7799999999999994</v>
      </c>
      <c r="L65" s="3629">
        <v>1.5099999999999998</v>
      </c>
      <c r="M65" s="3629">
        <v>-0.16000000000000014</v>
      </c>
    </row>
    <row r="66" spans="2:13" ht="15" customHeight="1">
      <c r="B66" s="2922" t="s">
        <v>55</v>
      </c>
      <c r="C66" s="2923">
        <v>2.3108808290155487</v>
      </c>
      <c r="D66" s="2923">
        <v>2.3465346534653477</v>
      </c>
      <c r="E66" s="2924">
        <v>1.9801324503311228</v>
      </c>
      <c r="F66" s="2924">
        <v>2.7619047619047716</v>
      </c>
      <c r="G66" s="2923">
        <v>2.1006289308176065</v>
      </c>
      <c r="H66" s="2925">
        <v>2.3825503355704605</v>
      </c>
      <c r="I66" s="2925">
        <v>1.8499999999999996</v>
      </c>
      <c r="J66" s="2925">
        <v>2.8900000000000006</v>
      </c>
      <c r="K66" s="2926">
        <v>4.8900000000000006</v>
      </c>
      <c r="L66" s="3629">
        <v>4.7600000000000016</v>
      </c>
      <c r="M66" s="3629">
        <v>4.5500000000000007</v>
      </c>
    </row>
    <row r="67" spans="2:13" ht="15" customHeight="1">
      <c r="B67" s="2922" t="s">
        <v>56</v>
      </c>
      <c r="C67" s="2923">
        <v>1.4347826086956523</v>
      </c>
      <c r="D67" s="2923">
        <v>1.1666666666666696</v>
      </c>
      <c r="E67" s="2924">
        <v>1.1981981981982006</v>
      </c>
      <c r="F67" s="2924">
        <v>1.6902654867256626</v>
      </c>
      <c r="G67" s="2923">
        <v>1.127272727272727</v>
      </c>
      <c r="H67" s="2925">
        <v>1.0944881889763796</v>
      </c>
      <c r="I67" s="2925">
        <v>1.2799999999999994</v>
      </c>
      <c r="J67" s="2925">
        <v>1.4499999999999993</v>
      </c>
      <c r="K67" s="2926">
        <v>1.1600000000000001</v>
      </c>
      <c r="L67" s="3629">
        <v>0.85999999999999943</v>
      </c>
      <c r="M67" s="3629">
        <v>-0.39000000000000057</v>
      </c>
    </row>
    <row r="68" spans="2:13" ht="15" customHeight="1">
      <c r="B68" s="2922" t="s">
        <v>259</v>
      </c>
      <c r="C68" s="2923">
        <v>1.3473684210526358</v>
      </c>
      <c r="D68" s="2923">
        <v>1.2256097560975583</v>
      </c>
      <c r="E68" s="2924">
        <v>1.4850746268656749</v>
      </c>
      <c r="F68" s="2924">
        <v>1.6944444444444464</v>
      </c>
      <c r="G68" s="2923">
        <v>1.9761904761904709</v>
      </c>
      <c r="H68" s="2925">
        <v>4.5691489361702011</v>
      </c>
      <c r="I68" s="2925">
        <v>1.8200000000000003</v>
      </c>
      <c r="J68" s="2925">
        <v>1.75</v>
      </c>
      <c r="K68" s="2926">
        <v>1.7699999999999996</v>
      </c>
      <c r="L68" s="3629">
        <v>0.90000000000000036</v>
      </c>
      <c r="M68" s="3629">
        <v>0.51999999999999957</v>
      </c>
    </row>
    <row r="69" spans="2:13" ht="15" customHeight="1">
      <c r="B69" s="2922" t="s">
        <v>272</v>
      </c>
      <c r="C69" s="2923">
        <v>-4.705882352941515E-2</v>
      </c>
      <c r="D69" s="2923">
        <v>1.0819672131147531</v>
      </c>
      <c r="E69" s="2924">
        <v>0.74766355140186924</v>
      </c>
      <c r="F69" s="2924">
        <v>0.93495934959349292</v>
      </c>
      <c r="G69" s="2923">
        <v>0.83478260869565091</v>
      </c>
      <c r="H69" s="2925">
        <v>1.3282442748091636</v>
      </c>
      <c r="I69" s="2925">
        <v>0.71000000000000085</v>
      </c>
      <c r="J69" s="2925">
        <v>0.86999999999999922</v>
      </c>
      <c r="K69" s="2926">
        <v>0.73000000000000043</v>
      </c>
      <c r="L69" s="3629">
        <v>-0.16999999999999993</v>
      </c>
      <c r="M69" s="3629">
        <v>-0.47000000000000064</v>
      </c>
    </row>
    <row r="70" spans="2:13" ht="15" customHeight="1">
      <c r="B70" s="2927" t="s">
        <v>547</v>
      </c>
      <c r="C70" s="2928">
        <v>1.8907563025210123</v>
      </c>
      <c r="D70" s="2928">
        <v>2.0655172413793181</v>
      </c>
      <c r="E70" s="2929">
        <v>1.8675105485232137</v>
      </c>
      <c r="F70" s="2929">
        <v>2.0700000000000003</v>
      </c>
      <c r="G70" s="2923">
        <v>1.8970718722271549</v>
      </c>
      <c r="H70" s="2930">
        <v>1.9965004374453077</v>
      </c>
      <c r="I70" s="2930">
        <v>1.8399999999999999</v>
      </c>
      <c r="J70" s="2930">
        <v>1.9900000000000002</v>
      </c>
      <c r="K70" s="2931">
        <v>2.0700000000000003</v>
      </c>
      <c r="L70" s="3630">
        <v>1.6999999999999993</v>
      </c>
      <c r="M70" s="3630">
        <v>0.83000000000000007</v>
      </c>
    </row>
    <row r="71" spans="2:13" ht="15" customHeight="1">
      <c r="B71" s="2922" t="s">
        <v>22</v>
      </c>
      <c r="C71" s="2923">
        <v>2.4423076923076881</v>
      </c>
      <c r="D71" s="2923">
        <v>2.6931216931216806</v>
      </c>
      <c r="E71" s="2924">
        <v>2.2928176795580129</v>
      </c>
      <c r="F71" s="2924">
        <v>2.1823529411764628</v>
      </c>
      <c r="G71" s="2923">
        <v>2.2200956937799035</v>
      </c>
      <c r="H71" s="2925">
        <v>1.7559523809523814</v>
      </c>
      <c r="I71" s="2925">
        <v>2.0600000000000005</v>
      </c>
      <c r="J71" s="2925">
        <v>1.7799999999999994</v>
      </c>
      <c r="K71" s="2926">
        <v>1.9600000000000009</v>
      </c>
      <c r="L71" s="3629">
        <v>1.9000000000000004</v>
      </c>
      <c r="M71" s="3629">
        <v>1.1400000000000006</v>
      </c>
    </row>
    <row r="72" spans="2:13" ht="15" customHeight="1">
      <c r="B72" s="2922" t="s">
        <v>23</v>
      </c>
      <c r="C72" s="2923">
        <v>1.5</v>
      </c>
      <c r="D72" s="2923">
        <v>1.5416666666666661</v>
      </c>
      <c r="E72" s="2924">
        <v>1.7659574468085104</v>
      </c>
      <c r="F72" s="2924">
        <v>1.5495495495495408</v>
      </c>
      <c r="G72" s="2923">
        <v>1.0413223140495909</v>
      </c>
      <c r="H72" s="2925">
        <v>1.2315789473684227</v>
      </c>
      <c r="I72" s="2925">
        <v>0.94999999999999929</v>
      </c>
      <c r="J72" s="2925">
        <v>1.0700000000000003</v>
      </c>
      <c r="K72" s="2926">
        <v>0.9399999999999995</v>
      </c>
      <c r="L72" s="3629">
        <v>0.46000000000000085</v>
      </c>
      <c r="M72" s="3629">
        <v>0.21000000000000085</v>
      </c>
    </row>
    <row r="73" spans="2:13" ht="15" customHeight="1">
      <c r="B73" s="2922" t="s">
        <v>24</v>
      </c>
      <c r="C73" s="2923">
        <v>2.0506329113924089</v>
      </c>
      <c r="D73" s="2923">
        <v>2.4666666666666703</v>
      </c>
      <c r="E73" s="2924">
        <v>1.9782608695652169</v>
      </c>
      <c r="F73" s="2924">
        <v>1.5921052631578938</v>
      </c>
      <c r="G73" s="2923">
        <v>1.6027397260274014</v>
      </c>
      <c r="H73" s="2925">
        <v>1.6944444444444429</v>
      </c>
      <c r="I73" s="2925">
        <v>2.1099999999999994</v>
      </c>
      <c r="J73" s="2925">
        <v>1.9299999999999997</v>
      </c>
      <c r="K73" s="2926">
        <v>1.5</v>
      </c>
      <c r="L73" s="3629">
        <v>1.2100000000000009</v>
      </c>
      <c r="M73" s="3629">
        <v>-0.28999999999999915</v>
      </c>
    </row>
    <row r="74" spans="2:13" ht="15" customHeight="1">
      <c r="B74" s="2922" t="s">
        <v>58</v>
      </c>
      <c r="C74" s="2923">
        <v>1.5151515151515138</v>
      </c>
      <c r="D74" s="2923">
        <v>1.5609756097560989</v>
      </c>
      <c r="E74" s="2924">
        <v>2.0196078431372566</v>
      </c>
      <c r="F74" s="2924">
        <v>1.8734177215189867</v>
      </c>
      <c r="G74" s="2923">
        <v>0.96000000000000263</v>
      </c>
      <c r="H74" s="2925">
        <v>2.1095890410958891</v>
      </c>
      <c r="I74" s="2925">
        <v>1.9600000000000009</v>
      </c>
      <c r="J74" s="2925">
        <v>0.91999999999999993</v>
      </c>
      <c r="K74" s="2926">
        <v>1.3000000000000007</v>
      </c>
      <c r="L74" s="3629">
        <v>1.2200000000000006</v>
      </c>
      <c r="M74" s="3629">
        <v>0.96000000000000085</v>
      </c>
    </row>
    <row r="75" spans="2:13" ht="15" customHeight="1">
      <c r="B75" s="2927" t="s">
        <v>546</v>
      </c>
      <c r="C75" s="2928">
        <v>2.0404494382022413</v>
      </c>
      <c r="D75" s="2928">
        <v>2.3050397877984086</v>
      </c>
      <c r="E75" s="2929">
        <v>2.0833333333333339</v>
      </c>
      <c r="F75" s="2929">
        <v>1.8623853211009163</v>
      </c>
      <c r="G75" s="2923">
        <v>1.6666666666666714</v>
      </c>
      <c r="H75" s="2930">
        <v>1.6862745098039245</v>
      </c>
      <c r="I75" s="2930">
        <v>1.75</v>
      </c>
      <c r="J75" s="2930">
        <v>1.5299999999999994</v>
      </c>
      <c r="K75" s="2931">
        <v>1.5600000000000005</v>
      </c>
      <c r="L75" s="3630">
        <v>1.3599999999999994</v>
      </c>
      <c r="M75" s="3630">
        <v>0.66000000000000014</v>
      </c>
    </row>
    <row r="76" spans="2:13" ht="15" customHeight="1">
      <c r="B76" s="2950" t="s">
        <v>442</v>
      </c>
      <c r="C76" s="2942">
        <v>1.7813492063491854</v>
      </c>
      <c r="D76" s="2942">
        <v>1.8865278368041025</v>
      </c>
      <c r="E76" s="2951">
        <v>1.748617609527864</v>
      </c>
      <c r="F76" s="2951">
        <v>1.8000000000000007</v>
      </c>
      <c r="G76" s="2952">
        <v>1.6620603015075446</v>
      </c>
      <c r="H76" s="2953">
        <v>1.775423728813557</v>
      </c>
      <c r="I76" s="2953">
        <v>1.7100000000000009</v>
      </c>
      <c r="J76" s="2953">
        <v>1.7599999999999998</v>
      </c>
      <c r="K76" s="2954">
        <v>1.92</v>
      </c>
      <c r="L76" s="3631">
        <v>1.5299999999999994</v>
      </c>
      <c r="M76" s="3631">
        <v>0.78999999999999915</v>
      </c>
    </row>
    <row r="77" spans="2:13" ht="15" customHeight="1">
      <c r="B77" s="2955" t="s">
        <v>17</v>
      </c>
      <c r="C77" s="2948">
        <v>1.3333333333333357</v>
      </c>
      <c r="D77" s="2948">
        <v>1.1999999999999993</v>
      </c>
      <c r="E77" s="2956">
        <v>0.93333333333333535</v>
      </c>
      <c r="F77" s="2956">
        <v>2.3437499999999982</v>
      </c>
      <c r="G77" s="2948">
        <v>2.9583333333333339</v>
      </c>
      <c r="H77" s="2957">
        <v>2.7333333333333325</v>
      </c>
      <c r="I77" s="2957">
        <v>1.4499999999999993</v>
      </c>
      <c r="J77" s="2957">
        <v>2.2200000000000006</v>
      </c>
      <c r="K77" s="2958">
        <v>1.0500000000000007</v>
      </c>
      <c r="L77" s="3632">
        <v>1.2799999999999994</v>
      </c>
      <c r="M77" s="3632">
        <v>2.8000000000000007</v>
      </c>
    </row>
    <row r="78" spans="2:13" ht="15" customHeight="1">
      <c r="B78" s="2955" t="s">
        <v>18</v>
      </c>
      <c r="C78" s="2948"/>
      <c r="D78" s="2948"/>
      <c r="E78" s="2956"/>
      <c r="F78" s="2956"/>
      <c r="G78" s="2948"/>
      <c r="H78" s="2957"/>
      <c r="I78" s="2957"/>
      <c r="J78" s="2957"/>
      <c r="K78" s="2958"/>
      <c r="L78" s="3632">
        <v>1.08</v>
      </c>
      <c r="M78" s="3632"/>
    </row>
    <row r="79" spans="2:13" ht="15" customHeight="1">
      <c r="B79" s="2922" t="s">
        <v>60</v>
      </c>
      <c r="C79" s="2923">
        <v>2.75</v>
      </c>
      <c r="D79" s="2923">
        <v>0.125</v>
      </c>
      <c r="E79" s="2924">
        <v>0.52941176470588225</v>
      </c>
      <c r="F79" s="2924">
        <v>2.25</v>
      </c>
      <c r="G79" s="2923">
        <v>0.75</v>
      </c>
      <c r="H79" s="2925">
        <v>1.5</v>
      </c>
      <c r="I79" s="2925">
        <v>4.3299999999999983</v>
      </c>
      <c r="J79" s="2925">
        <v>2.4499999999999993</v>
      </c>
      <c r="K79" s="2926">
        <v>3.17</v>
      </c>
      <c r="L79" s="3629">
        <v>3.42</v>
      </c>
      <c r="M79" s="3629">
        <v>4.0799999999999983</v>
      </c>
    </row>
    <row r="80" spans="2:13" ht="15" customHeight="1">
      <c r="B80" s="2922" t="s">
        <v>413</v>
      </c>
      <c r="C80" s="2923"/>
      <c r="D80" s="2923">
        <v>0.66666666666666607</v>
      </c>
      <c r="E80" s="2924">
        <v>2.2857142857142865</v>
      </c>
      <c r="F80" s="2924">
        <v>3.1428571428571423</v>
      </c>
      <c r="G80" s="2923">
        <v>2</v>
      </c>
      <c r="H80" s="2925">
        <v>4.0909090909090899</v>
      </c>
      <c r="I80" s="2925">
        <v>4.8599999999999994</v>
      </c>
      <c r="J80" s="2925">
        <v>6.7100000000000009</v>
      </c>
      <c r="K80" s="2926">
        <v>5.2899999999999991</v>
      </c>
      <c r="L80" s="3629">
        <v>5.1700000000000017</v>
      </c>
      <c r="M80" s="3629">
        <v>4.5</v>
      </c>
    </row>
    <row r="81" spans="2:13" ht="15" customHeight="1">
      <c r="B81" s="2927" t="s">
        <v>545</v>
      </c>
      <c r="C81" s="2928">
        <v>1.5357142857142865</v>
      </c>
      <c r="D81" s="2928">
        <v>1</v>
      </c>
      <c r="E81" s="2929">
        <v>0.98148148148148096</v>
      </c>
      <c r="F81" s="2929">
        <v>2.4700000000000006</v>
      </c>
      <c r="G81" s="2923">
        <v>3</v>
      </c>
      <c r="H81" s="2930">
        <v>3.1785714285714306</v>
      </c>
      <c r="I81" s="2930">
        <v>2.4700000000000006</v>
      </c>
      <c r="J81" s="2930">
        <v>3.17</v>
      </c>
      <c r="K81" s="2931">
        <v>1.9800000000000004</v>
      </c>
      <c r="L81" s="3630">
        <v>2.1999999999999993</v>
      </c>
      <c r="M81" s="3630">
        <v>3.91</v>
      </c>
    </row>
    <row r="82" spans="2:13" ht="15" customHeight="1">
      <c r="B82" s="2922" t="s">
        <v>62</v>
      </c>
      <c r="C82" s="2923">
        <v>1.5999999999999996</v>
      </c>
      <c r="D82" s="2923">
        <v>1.8666666666666689</v>
      </c>
      <c r="E82" s="2924">
        <v>2.9473684210526336</v>
      </c>
      <c r="F82" s="2924">
        <v>4.5</v>
      </c>
      <c r="G82" s="2923">
        <v>5.2727272727272698</v>
      </c>
      <c r="H82" s="2925">
        <v>5.8888888888888893</v>
      </c>
      <c r="I82" s="2925">
        <v>5.5</v>
      </c>
      <c r="J82" s="2925">
        <v>5.32</v>
      </c>
      <c r="K82" s="2926">
        <v>7.1400000000000006</v>
      </c>
      <c r="L82" s="3629">
        <v>3.6099999999999994</v>
      </c>
      <c r="M82" s="3629">
        <v>7.3999999999999986</v>
      </c>
    </row>
    <row r="83" spans="2:13" ht="15" customHeight="1">
      <c r="B83" s="2922" t="s">
        <v>414</v>
      </c>
      <c r="C83" s="2923"/>
      <c r="D83" s="2923">
        <v>0.5</v>
      </c>
      <c r="E83" s="2924">
        <v>3.5</v>
      </c>
      <c r="F83" s="2924"/>
      <c r="G83" s="2923">
        <v>2.5</v>
      </c>
      <c r="H83" s="2925">
        <v>5.0000000000000036</v>
      </c>
      <c r="I83" s="2925">
        <v>7.2899999999999991</v>
      </c>
      <c r="J83" s="2925">
        <v>6.1400000000000006</v>
      </c>
      <c r="K83" s="2926">
        <v>7.0799999999999983</v>
      </c>
      <c r="L83" s="3629">
        <v>5.5799999999999983</v>
      </c>
      <c r="M83" s="3629">
        <v>10</v>
      </c>
    </row>
    <row r="84" spans="2:13" ht="15" customHeight="1">
      <c r="B84" s="2922" t="s">
        <v>63</v>
      </c>
      <c r="C84" s="2923"/>
      <c r="D84" s="2923">
        <v>0.26666666666666572</v>
      </c>
      <c r="E84" s="2924">
        <v>1.1481481481481488</v>
      </c>
      <c r="F84" s="2924">
        <v>1.2000000000000011</v>
      </c>
      <c r="G84" s="2923">
        <v>1.2777777777777803</v>
      </c>
      <c r="H84" s="2925">
        <v>3.3846153846153868</v>
      </c>
      <c r="I84" s="2925">
        <v>2.8900000000000006</v>
      </c>
      <c r="J84" s="2925">
        <v>3.4499999999999993</v>
      </c>
      <c r="K84" s="2926">
        <v>2.33</v>
      </c>
      <c r="L84" s="3629">
        <v>2.5999999999999996</v>
      </c>
      <c r="M84" s="3629">
        <v>2.9299999999999997</v>
      </c>
    </row>
    <row r="85" spans="2:13" ht="15" customHeight="1">
      <c r="B85" s="2927" t="s">
        <v>548</v>
      </c>
      <c r="C85" s="2928">
        <v>1.5999999999999996</v>
      </c>
      <c r="D85" s="2928">
        <v>1.0312500000000018</v>
      </c>
      <c r="E85" s="2929">
        <v>1.9583333333333339</v>
      </c>
      <c r="F85" s="2929">
        <v>2.1400000000000006</v>
      </c>
      <c r="G85" s="2923">
        <v>2.7741935483870996</v>
      </c>
      <c r="H85" s="2930">
        <v>4.5517241379310391</v>
      </c>
      <c r="I85" s="2930">
        <v>4.620000000000001</v>
      </c>
      <c r="J85" s="2930">
        <v>4.4400000000000013</v>
      </c>
      <c r="K85" s="2931">
        <v>4.879999999999999</v>
      </c>
      <c r="L85" s="3630">
        <v>3.34</v>
      </c>
      <c r="M85" s="3630">
        <v>4.370000000000001</v>
      </c>
    </row>
    <row r="86" spans="2:13" ht="15" customHeight="1">
      <c r="B86" s="2922" t="s">
        <v>14</v>
      </c>
      <c r="C86" s="2923">
        <v>1.8888888888888893</v>
      </c>
      <c r="D86" s="2923">
        <v>1.6000000000000014</v>
      </c>
      <c r="E86" s="2924">
        <v>2.1538461538461533</v>
      </c>
      <c r="F86" s="2924">
        <v>4.3000000000000007</v>
      </c>
      <c r="G86" s="2923">
        <v>6.1000000000000014</v>
      </c>
      <c r="H86" s="2925">
        <v>2.6666666666666661</v>
      </c>
      <c r="I86" s="2925">
        <v>7.129999999999999</v>
      </c>
      <c r="J86" s="2925">
        <v>8.3999999999999986</v>
      </c>
      <c r="K86" s="2926">
        <v>5.8900000000000006</v>
      </c>
      <c r="L86" s="3629">
        <v>3.5999999999999996</v>
      </c>
      <c r="M86" s="3629">
        <v>11.670000000000002</v>
      </c>
    </row>
    <row r="87" spans="2:13" ht="15" customHeight="1">
      <c r="B87" s="2922" t="s">
        <v>65</v>
      </c>
      <c r="C87" s="2923">
        <v>0</v>
      </c>
      <c r="D87" s="2923">
        <v>7</v>
      </c>
      <c r="E87" s="2924">
        <v>2.75</v>
      </c>
      <c r="F87" s="2924">
        <v>3.3333333333333339</v>
      </c>
      <c r="G87" s="2923">
        <v>6.3333333333333321</v>
      </c>
      <c r="H87" s="2925">
        <v>7.2857142857142847</v>
      </c>
      <c r="I87" s="2925">
        <v>8.5</v>
      </c>
      <c r="J87" s="2925">
        <v>6.1099999999999994</v>
      </c>
      <c r="K87" s="2926">
        <v>6</v>
      </c>
      <c r="L87" s="3629">
        <v>6.18</v>
      </c>
      <c r="M87" s="3629">
        <v>13.329999999999998</v>
      </c>
    </row>
    <row r="88" spans="2:13" ht="15" customHeight="1">
      <c r="B88" s="2922" t="s">
        <v>415</v>
      </c>
      <c r="C88" s="2923"/>
      <c r="D88" s="2923"/>
      <c r="E88" s="2924">
        <v>1</v>
      </c>
      <c r="F88" s="2924">
        <v>1.5</v>
      </c>
      <c r="G88" s="2923">
        <v>5.3999999999999986</v>
      </c>
      <c r="H88" s="2925">
        <v>4.1428571428571423</v>
      </c>
      <c r="I88" s="2925">
        <v>6.2199999999999989</v>
      </c>
      <c r="J88" s="2925">
        <v>6.75</v>
      </c>
      <c r="K88" s="2926">
        <v>2.8599999999999994</v>
      </c>
      <c r="L88" s="3629">
        <v>6.43</v>
      </c>
      <c r="M88" s="3629">
        <v>6.6700000000000017</v>
      </c>
    </row>
    <row r="89" spans="2:13" ht="15" customHeight="1">
      <c r="B89" s="2922" t="s">
        <v>81</v>
      </c>
      <c r="C89" s="2923"/>
      <c r="D89" s="2923"/>
      <c r="E89" s="2924"/>
      <c r="F89" s="2924"/>
      <c r="G89" s="2923">
        <v>1</v>
      </c>
      <c r="H89" s="2925">
        <v>1.25</v>
      </c>
      <c r="I89" s="2925">
        <v>2.5299999999999994</v>
      </c>
      <c r="J89" s="2925">
        <v>3.2899999999999991</v>
      </c>
      <c r="K89" s="2926">
        <v>2.7799999999999994</v>
      </c>
      <c r="L89" s="3629">
        <v>3.1099999999999994</v>
      </c>
      <c r="M89" s="3629">
        <v>4.2699999999999996</v>
      </c>
    </row>
    <row r="90" spans="2:13" ht="15" customHeight="1">
      <c r="B90" s="2927" t="s">
        <v>549</v>
      </c>
      <c r="C90" s="2928">
        <v>1.6999999999999993</v>
      </c>
      <c r="D90" s="2928">
        <v>2.0909090909090917</v>
      </c>
      <c r="E90" s="2929">
        <v>2.2222222222222232</v>
      </c>
      <c r="F90" s="2929">
        <v>3.7300000000000004</v>
      </c>
      <c r="G90" s="2923">
        <v>5.0454545454545432</v>
      </c>
      <c r="H90" s="2930">
        <v>4.2083333333333393</v>
      </c>
      <c r="I90" s="2930">
        <v>5.0500000000000007</v>
      </c>
      <c r="J90" s="2930">
        <v>5.120000000000001</v>
      </c>
      <c r="K90" s="2931">
        <v>4.2399999999999984</v>
      </c>
      <c r="L90" s="3630">
        <v>4.4800000000000004</v>
      </c>
      <c r="M90" s="3630">
        <v>6.9699999999999989</v>
      </c>
    </row>
    <row r="91" spans="2:13" ht="15" customHeight="1">
      <c r="B91" s="2950" t="s">
        <v>260</v>
      </c>
      <c r="C91" s="2942">
        <v>1.5849056603773573</v>
      </c>
      <c r="D91" s="2942">
        <v>1.13829787234042</v>
      </c>
      <c r="E91" s="2951">
        <v>1.5583333333333318</v>
      </c>
      <c r="F91" s="2951">
        <v>2.6199999999999992</v>
      </c>
      <c r="G91" s="2952">
        <v>3.4418604651162763</v>
      </c>
      <c r="H91" s="2953">
        <v>3.9753086419753139</v>
      </c>
      <c r="I91" s="2953">
        <v>4.1700000000000017</v>
      </c>
      <c r="J91" s="2953">
        <v>4.3099999999999987</v>
      </c>
      <c r="K91" s="2954">
        <v>3.7699999999999996</v>
      </c>
      <c r="L91" s="3631">
        <v>3.2100000000000009</v>
      </c>
      <c r="M91" s="3631">
        <v>5.0599999999999987</v>
      </c>
    </row>
    <row r="92" spans="2:13" ht="15" customHeight="1">
      <c r="B92" s="2944" t="s">
        <v>1633</v>
      </c>
      <c r="C92" s="2945"/>
      <c r="D92" s="2945"/>
      <c r="E92" s="2946"/>
      <c r="F92" s="2946"/>
      <c r="G92" s="2947"/>
      <c r="H92" s="2947">
        <v>0.34999999999999964</v>
      </c>
      <c r="I92" s="2948">
        <v>0.59999999999999964</v>
      </c>
      <c r="J92" s="2948">
        <v>1.3100000000000005</v>
      </c>
      <c r="K92" s="2949">
        <v>3</v>
      </c>
      <c r="L92" s="3633">
        <v>3.1999999999999993</v>
      </c>
      <c r="M92" s="3633">
        <v>3.8000000000000007</v>
      </c>
    </row>
    <row r="93" spans="2:13" ht="15" customHeight="1">
      <c r="B93" s="2927" t="s">
        <v>544</v>
      </c>
      <c r="C93" s="2933"/>
      <c r="D93" s="2933"/>
      <c r="E93" s="2934"/>
      <c r="F93" s="2934"/>
      <c r="G93" s="2935"/>
      <c r="H93" s="2933">
        <v>0.34999999999999964</v>
      </c>
      <c r="I93" s="2928">
        <v>0.59999999999999964</v>
      </c>
      <c r="J93" s="2928">
        <v>1.3100000000000005</v>
      </c>
      <c r="K93" s="2937">
        <v>3</v>
      </c>
      <c r="L93" s="3634">
        <v>3.1999999999999993</v>
      </c>
      <c r="M93" s="3634">
        <v>3.8000000000000007</v>
      </c>
    </row>
    <row r="94" spans="2:13" ht="15" customHeight="1">
      <c r="B94" s="2932" t="s">
        <v>791</v>
      </c>
      <c r="C94" s="2933"/>
      <c r="D94" s="2933"/>
      <c r="E94" s="2934"/>
      <c r="F94" s="2934"/>
      <c r="G94" s="2935"/>
      <c r="H94" s="2935">
        <v>0.21874999999999645</v>
      </c>
      <c r="I94" s="2923">
        <v>0.5</v>
      </c>
      <c r="J94" s="2923">
        <v>0.86999999999999922</v>
      </c>
      <c r="K94" s="2936">
        <v>1.8800000000000008</v>
      </c>
      <c r="L94" s="3635">
        <v>2.3800000000000008</v>
      </c>
      <c r="M94" s="3635">
        <v>1.3100000000000005</v>
      </c>
    </row>
    <row r="95" spans="2:13" ht="15" customHeight="1">
      <c r="B95" s="2932" t="s">
        <v>551</v>
      </c>
      <c r="C95" s="2933"/>
      <c r="D95" s="2933"/>
      <c r="E95" s="2934"/>
      <c r="F95" s="2934"/>
      <c r="G95" s="2935"/>
      <c r="H95" s="2935"/>
      <c r="I95" s="2923"/>
      <c r="J95" s="2923">
        <v>1</v>
      </c>
      <c r="K95" s="2936">
        <v>1</v>
      </c>
      <c r="L95" s="3635">
        <v>1</v>
      </c>
      <c r="M95" s="3635">
        <v>0.86999999999999922</v>
      </c>
    </row>
    <row r="96" spans="2:13" ht="15" customHeight="1">
      <c r="B96" s="2927" t="s">
        <v>545</v>
      </c>
      <c r="C96" s="2933"/>
      <c r="D96" s="2933"/>
      <c r="E96" s="2934"/>
      <c r="F96" s="2934"/>
      <c r="G96" s="2935"/>
      <c r="H96" s="2933">
        <v>0.21874999999999645</v>
      </c>
      <c r="I96" s="2928">
        <v>0.5</v>
      </c>
      <c r="J96" s="2928">
        <v>0.89000000000000057</v>
      </c>
      <c r="K96" s="2937">
        <v>1.6400000000000006</v>
      </c>
      <c r="L96" s="3634">
        <v>1.5500000000000007</v>
      </c>
      <c r="M96" s="3634">
        <v>1.1500000000000004</v>
      </c>
    </row>
    <row r="97" spans="2:13" ht="15" customHeight="1">
      <c r="B97" s="2932" t="s">
        <v>792</v>
      </c>
      <c r="C97" s="2933"/>
      <c r="D97" s="2933"/>
      <c r="E97" s="2934"/>
      <c r="F97" s="2934"/>
      <c r="G97" s="2935"/>
      <c r="H97" s="2935">
        <v>0.13043478260869534</v>
      </c>
      <c r="I97" s="2923">
        <v>1.1400000000000006</v>
      </c>
      <c r="J97" s="2923">
        <v>1.1300000000000008</v>
      </c>
      <c r="K97" s="2936">
        <v>1.7899999999999991</v>
      </c>
      <c r="L97" s="3635">
        <v>2.4299999999999997</v>
      </c>
      <c r="M97" s="3635">
        <v>2.1300000000000008</v>
      </c>
    </row>
    <row r="98" spans="2:13" ht="15" customHeight="1">
      <c r="B98" s="2927" t="s">
        <v>547</v>
      </c>
      <c r="C98" s="2933"/>
      <c r="D98" s="2933"/>
      <c r="E98" s="2934"/>
      <c r="F98" s="2934"/>
      <c r="G98" s="2935"/>
      <c r="H98" s="2933">
        <v>0.13043478260869534</v>
      </c>
      <c r="I98" s="2928">
        <v>1.1400000000000006</v>
      </c>
      <c r="J98" s="2928">
        <v>1.1300000000000008</v>
      </c>
      <c r="K98" s="2937">
        <v>1.7899999999999991</v>
      </c>
      <c r="L98" s="3634">
        <v>2.4299999999999997</v>
      </c>
      <c r="M98" s="3634">
        <v>2.1300000000000008</v>
      </c>
    </row>
    <row r="99" spans="2:13" ht="15" customHeight="1">
      <c r="B99" s="2938" t="s">
        <v>1158</v>
      </c>
      <c r="C99" s="2939"/>
      <c r="D99" s="2939"/>
      <c r="E99" s="2940"/>
      <c r="F99" s="2940"/>
      <c r="G99" s="2941"/>
      <c r="H99" s="2939">
        <v>0.22666666666666657</v>
      </c>
      <c r="I99" s="2942">
        <v>0.83000000000000007</v>
      </c>
      <c r="J99" s="2942">
        <v>1.0500000000000007</v>
      </c>
      <c r="K99" s="2943">
        <v>1.9800000000000004</v>
      </c>
      <c r="L99" s="3636">
        <v>2.2899999999999991</v>
      </c>
      <c r="M99" s="3636">
        <v>1.92</v>
      </c>
    </row>
    <row r="100" spans="2:13" ht="15" customHeight="1">
      <c r="B100" s="1010"/>
      <c r="C100" s="1010"/>
      <c r="D100" s="1010"/>
      <c r="E100" s="1010"/>
      <c r="F100" s="1010"/>
      <c r="G100" s="1010"/>
      <c r="H100" s="1010"/>
      <c r="I100" s="1010"/>
      <c r="J100" s="1010"/>
      <c r="K100" s="1010"/>
    </row>
    <row r="101" spans="2:13" ht="15" customHeight="1">
      <c r="B101" s="2572" t="s">
        <v>842</v>
      </c>
      <c r="C101" s="2557">
        <v>3.6275236918006364</v>
      </c>
      <c r="D101" s="2557">
        <v>3.6483812949640946</v>
      </c>
      <c r="E101" s="2466">
        <v>3.5697475395806606</v>
      </c>
      <c r="F101" s="2466">
        <v>3.751781027371603</v>
      </c>
      <c r="G101" s="2557">
        <v>3.8583843571006149</v>
      </c>
      <c r="H101" s="2558">
        <v>3.9487079852341136</v>
      </c>
      <c r="I101" s="2558">
        <v>3.8599999999999994</v>
      </c>
      <c r="J101" s="2570">
        <v>4.1099999999999994</v>
      </c>
      <c r="K101" s="2571">
        <v>3.93</v>
      </c>
      <c r="L101" s="2571">
        <v>3.9700000000000006</v>
      </c>
      <c r="M101" s="2571">
        <v>3.0600000000000005</v>
      </c>
    </row>
    <row r="102" spans="2:13" ht="15.75" customHeight="1">
      <c r="L102" s="5636" t="s">
        <v>3861</v>
      </c>
      <c r="M102" s="5636"/>
    </row>
    <row r="103" spans="2:13">
      <c r="L103" s="5636"/>
      <c r="M103" s="5636"/>
    </row>
    <row r="104" spans="2:13">
      <c r="L104" s="4255"/>
      <c r="M104" s="4255"/>
    </row>
  </sheetData>
  <sheetProtection algorithmName="SHA-512" hashValue="Zg+R5t8UobOSok2zDWJqAf1ieJTf5RdrjlRrsFuS7wmUMLX/E8M6a3ASyhbFOdkFH1nhFLfdovwT/4g52g3Q4Q==" saltValue="4a+X4InskO+KyfB13TbFaQ==" spinCount="100000" sheet="1" objects="1" scenarios="1"/>
  <mergeCells count="1">
    <mergeCell ref="L102:M10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CJ201"/>
  <sheetViews>
    <sheetView topLeftCell="A94" workbookViewId="0">
      <selection activeCell="J109" sqref="J109"/>
    </sheetView>
  </sheetViews>
  <sheetFormatPr baseColWidth="10" defaultRowHeight="14.4"/>
  <cols>
    <col min="1" max="1" width="9.6640625" style="2552" bestFit="1" customWidth="1"/>
    <col min="2" max="2" width="6.33203125" style="2552" bestFit="1" customWidth="1"/>
    <col min="3" max="3" width="27.44140625" style="5484" bestFit="1" customWidth="1"/>
    <col min="4" max="4" width="9.21875" style="5484" bestFit="1" customWidth="1"/>
    <col min="5" max="5" width="3.88671875" style="5484" bestFit="1" customWidth="1"/>
    <col min="6" max="6" width="7.88671875" style="5484" bestFit="1" customWidth="1"/>
    <col min="7" max="7" width="10.77734375" style="5484" bestFit="1" customWidth="1"/>
    <col min="8" max="8" width="11.5546875" style="5484"/>
    <col min="9" max="10" width="10.77734375" style="4689"/>
    <col min="11" max="11" width="23.77734375" style="4689" bestFit="1" customWidth="1"/>
    <col min="12" max="15" width="10.77734375" style="4689"/>
    <col min="16" max="16" width="11.44140625" style="4577"/>
    <col min="17" max="17" width="8.77734375" style="44" customWidth="1"/>
    <col min="18" max="18" width="5.5546875" style="44" bestFit="1" customWidth="1"/>
    <col min="19" max="19" width="23.77734375" style="44" bestFit="1" customWidth="1"/>
    <col min="20" max="20" width="4.21875" style="44" bestFit="1" customWidth="1"/>
    <col min="21" max="21" width="3.5546875" style="44" bestFit="1" customWidth="1"/>
    <col min="22" max="22" width="6.77734375" style="44" bestFit="1" customWidth="1"/>
    <col min="23" max="23" width="8" style="44" bestFit="1" customWidth="1"/>
    <col min="24" max="24" width="11.44140625" style="4577"/>
    <col min="25" max="26" width="11.44140625" style="2454"/>
    <col min="27" max="27" width="31.77734375" style="2454" bestFit="1" customWidth="1"/>
    <col min="28" max="28" width="9" style="2454" bestFit="1" customWidth="1"/>
    <col min="29" max="29" width="8.77734375" style="2454" bestFit="1" customWidth="1"/>
    <col min="30" max="30" width="8.21875" style="2454" bestFit="1" customWidth="1"/>
    <col min="31" max="31" width="11.21875" style="2454" bestFit="1" customWidth="1"/>
    <col min="32" max="32" width="11.44140625" style="2454"/>
    <col min="35" max="35" width="31.77734375" bestFit="1" customWidth="1"/>
    <col min="40" max="40" width="11.44140625" style="41"/>
    <col min="41" max="41" width="6.77734375" style="41" bestFit="1" customWidth="1"/>
    <col min="42" max="42" width="31.77734375" style="41" bestFit="1" customWidth="1"/>
    <col min="43" max="44" width="7.77734375" style="41" bestFit="1" customWidth="1"/>
    <col min="45" max="45" width="8.21875" style="41" bestFit="1" customWidth="1"/>
    <col min="47" max="47" width="11" style="167" bestFit="1" customWidth="1"/>
    <col min="48" max="48" width="6.77734375" style="167" bestFit="1" customWidth="1"/>
    <col min="49" max="49" width="31.77734375" bestFit="1" customWidth="1"/>
    <col min="50" max="50" width="8.44140625" bestFit="1" customWidth="1"/>
    <col min="51" max="51" width="7.77734375" bestFit="1" customWidth="1"/>
    <col min="54" max="54" width="10.77734375" customWidth="1"/>
    <col min="55" max="55" width="6.77734375" bestFit="1" customWidth="1"/>
    <col min="56" max="56" width="32.5546875" bestFit="1" customWidth="1"/>
    <col min="57" max="58" width="10.77734375" customWidth="1"/>
    <col min="59" max="59" width="10.77734375" style="167" customWidth="1"/>
    <col min="60" max="60" width="10.77734375" customWidth="1"/>
    <col min="61" max="61" width="11.44140625" customWidth="1"/>
    <col min="62" max="62" width="8.21875" customWidth="1"/>
    <col min="63" max="63" width="35.44140625" customWidth="1"/>
    <col min="64" max="64" width="9.5546875" customWidth="1"/>
    <col min="65" max="65" width="11.44140625" customWidth="1"/>
    <col min="66" max="66" width="10.21875" customWidth="1"/>
    <col min="67" max="67" width="11.44140625" customWidth="1"/>
    <col min="68" max="68" width="12.44140625" style="167" customWidth="1"/>
    <col min="69" max="69" width="8.21875" style="167" customWidth="1"/>
    <col min="70" max="70" width="35.77734375" customWidth="1"/>
    <col min="71" max="74" width="11.44140625" customWidth="1"/>
    <col min="75" max="75" width="12.44140625" style="129" customWidth="1"/>
    <col min="76" max="76" width="8.21875" style="129" customWidth="1"/>
    <col min="77" max="77" width="35.77734375" customWidth="1"/>
    <col min="78" max="83" width="11.44140625" customWidth="1"/>
    <col min="84" max="84" width="33.21875" customWidth="1"/>
    <col min="85" max="85" width="11.44140625" customWidth="1"/>
    <col min="86" max="86" width="12.77734375" customWidth="1"/>
    <col min="88" max="88" width="9.5546875" style="167" bestFit="1" customWidth="1"/>
    <col min="331" max="331" width="18.21875" customWidth="1"/>
    <col min="332" max="332" width="13" customWidth="1"/>
    <col min="333" max="333" width="41.77734375" customWidth="1"/>
    <col min="334" max="334" width="14" customWidth="1"/>
    <col min="335" max="335" width="13" customWidth="1"/>
    <col min="336" max="336" width="13.77734375" customWidth="1"/>
    <col min="587" max="587" width="18.21875" customWidth="1"/>
    <col min="588" max="588" width="13" customWidth="1"/>
    <col min="589" max="589" width="41.77734375" customWidth="1"/>
    <col min="590" max="590" width="14" customWidth="1"/>
    <col min="591" max="591" width="13" customWidth="1"/>
    <col min="592" max="592" width="13.77734375" customWidth="1"/>
    <col min="843" max="843" width="18.21875" customWidth="1"/>
    <col min="844" max="844" width="13" customWidth="1"/>
    <col min="845" max="845" width="41.77734375" customWidth="1"/>
    <col min="846" max="846" width="14" customWidth="1"/>
    <col min="847" max="847" width="13" customWidth="1"/>
    <col min="848" max="848" width="13.77734375" customWidth="1"/>
    <col min="1099" max="1099" width="18.21875" customWidth="1"/>
    <col min="1100" max="1100" width="13" customWidth="1"/>
    <col min="1101" max="1101" width="41.77734375" customWidth="1"/>
    <col min="1102" max="1102" width="14" customWidth="1"/>
    <col min="1103" max="1103" width="13" customWidth="1"/>
    <col min="1104" max="1104" width="13.77734375" customWidth="1"/>
    <col min="1355" max="1355" width="18.21875" customWidth="1"/>
    <col min="1356" max="1356" width="13" customWidth="1"/>
    <col min="1357" max="1357" width="41.77734375" customWidth="1"/>
    <col min="1358" max="1358" width="14" customWidth="1"/>
    <col min="1359" max="1359" width="13" customWidth="1"/>
    <col min="1360" max="1360" width="13.77734375" customWidth="1"/>
    <col min="1611" max="1611" width="18.21875" customWidth="1"/>
    <col min="1612" max="1612" width="13" customWidth="1"/>
    <col min="1613" max="1613" width="41.77734375" customWidth="1"/>
    <col min="1614" max="1614" width="14" customWidth="1"/>
    <col min="1615" max="1615" width="13" customWidth="1"/>
    <col min="1616" max="1616" width="13.77734375" customWidth="1"/>
    <col min="1867" max="1867" width="18.21875" customWidth="1"/>
    <col min="1868" max="1868" width="13" customWidth="1"/>
    <col min="1869" max="1869" width="41.77734375" customWidth="1"/>
    <col min="1870" max="1870" width="14" customWidth="1"/>
    <col min="1871" max="1871" width="13" customWidth="1"/>
    <col min="1872" max="1872" width="13.77734375" customWidth="1"/>
    <col min="2123" max="2123" width="18.21875" customWidth="1"/>
    <col min="2124" max="2124" width="13" customWidth="1"/>
    <col min="2125" max="2125" width="41.77734375" customWidth="1"/>
    <col min="2126" max="2126" width="14" customWidth="1"/>
    <col min="2127" max="2127" width="13" customWidth="1"/>
    <col min="2128" max="2128" width="13.77734375" customWidth="1"/>
    <col min="2379" max="2379" width="18.21875" customWidth="1"/>
    <col min="2380" max="2380" width="13" customWidth="1"/>
    <col min="2381" max="2381" width="41.77734375" customWidth="1"/>
    <col min="2382" max="2382" width="14" customWidth="1"/>
    <col min="2383" max="2383" width="13" customWidth="1"/>
    <col min="2384" max="2384" width="13.77734375" customWidth="1"/>
    <col min="2635" max="2635" width="18.21875" customWidth="1"/>
    <col min="2636" max="2636" width="13" customWidth="1"/>
    <col min="2637" max="2637" width="41.77734375" customWidth="1"/>
    <col min="2638" max="2638" width="14" customWidth="1"/>
    <col min="2639" max="2639" width="13" customWidth="1"/>
    <col min="2640" max="2640" width="13.77734375" customWidth="1"/>
    <col min="2891" max="2891" width="18.21875" customWidth="1"/>
    <col min="2892" max="2892" width="13" customWidth="1"/>
    <col min="2893" max="2893" width="41.77734375" customWidth="1"/>
    <col min="2894" max="2894" width="14" customWidth="1"/>
    <col min="2895" max="2895" width="13" customWidth="1"/>
    <col min="2896" max="2896" width="13.77734375" customWidth="1"/>
    <col min="3147" max="3147" width="18.21875" customWidth="1"/>
    <col min="3148" max="3148" width="13" customWidth="1"/>
    <col min="3149" max="3149" width="41.77734375" customWidth="1"/>
    <col min="3150" max="3150" width="14" customWidth="1"/>
    <col min="3151" max="3151" width="13" customWidth="1"/>
    <col min="3152" max="3152" width="13.77734375" customWidth="1"/>
    <col min="3403" max="3403" width="18.21875" customWidth="1"/>
    <col min="3404" max="3404" width="13" customWidth="1"/>
    <col min="3405" max="3405" width="41.77734375" customWidth="1"/>
    <col min="3406" max="3406" width="14" customWidth="1"/>
    <col min="3407" max="3407" width="13" customWidth="1"/>
    <col min="3408" max="3408" width="13.77734375" customWidth="1"/>
    <col min="3659" max="3659" width="18.21875" customWidth="1"/>
    <col min="3660" max="3660" width="13" customWidth="1"/>
    <col min="3661" max="3661" width="41.77734375" customWidth="1"/>
    <col min="3662" max="3662" width="14" customWidth="1"/>
    <col min="3663" max="3663" width="13" customWidth="1"/>
    <col min="3664" max="3664" width="13.77734375" customWidth="1"/>
    <col min="3915" max="3915" width="18.21875" customWidth="1"/>
    <col min="3916" max="3916" width="13" customWidth="1"/>
    <col min="3917" max="3917" width="41.77734375" customWidth="1"/>
    <col min="3918" max="3918" width="14" customWidth="1"/>
    <col min="3919" max="3919" width="13" customWidth="1"/>
    <col min="3920" max="3920" width="13.77734375" customWidth="1"/>
    <col min="4171" max="4171" width="18.21875" customWidth="1"/>
    <col min="4172" max="4172" width="13" customWidth="1"/>
    <col min="4173" max="4173" width="41.77734375" customWidth="1"/>
    <col min="4174" max="4174" width="14" customWidth="1"/>
    <col min="4175" max="4175" width="13" customWidth="1"/>
    <col min="4176" max="4176" width="13.77734375" customWidth="1"/>
    <col min="4427" max="4427" width="18.21875" customWidth="1"/>
    <col min="4428" max="4428" width="13" customWidth="1"/>
    <col min="4429" max="4429" width="41.77734375" customWidth="1"/>
    <col min="4430" max="4430" width="14" customWidth="1"/>
    <col min="4431" max="4431" width="13" customWidth="1"/>
    <col min="4432" max="4432" width="13.77734375" customWidth="1"/>
    <col min="4683" max="4683" width="18.21875" customWidth="1"/>
    <col min="4684" max="4684" width="13" customWidth="1"/>
    <col min="4685" max="4685" width="41.77734375" customWidth="1"/>
    <col min="4686" max="4686" width="14" customWidth="1"/>
    <col min="4687" max="4687" width="13" customWidth="1"/>
    <col min="4688" max="4688" width="13.77734375" customWidth="1"/>
    <col min="4939" max="4939" width="18.21875" customWidth="1"/>
    <col min="4940" max="4940" width="13" customWidth="1"/>
    <col min="4941" max="4941" width="41.77734375" customWidth="1"/>
    <col min="4942" max="4942" width="14" customWidth="1"/>
    <col min="4943" max="4943" width="13" customWidth="1"/>
    <col min="4944" max="4944" width="13.77734375" customWidth="1"/>
    <col min="5195" max="5195" width="18.21875" customWidth="1"/>
    <col min="5196" max="5196" width="13" customWidth="1"/>
    <col min="5197" max="5197" width="41.77734375" customWidth="1"/>
    <col min="5198" max="5198" width="14" customWidth="1"/>
    <col min="5199" max="5199" width="13" customWidth="1"/>
    <col min="5200" max="5200" width="13.77734375" customWidth="1"/>
    <col min="5451" max="5451" width="18.21875" customWidth="1"/>
    <col min="5452" max="5452" width="13" customWidth="1"/>
    <col min="5453" max="5453" width="41.77734375" customWidth="1"/>
    <col min="5454" max="5454" width="14" customWidth="1"/>
    <col min="5455" max="5455" width="13" customWidth="1"/>
    <col min="5456" max="5456" width="13.77734375" customWidth="1"/>
    <col min="5707" max="5707" width="18.21875" customWidth="1"/>
    <col min="5708" max="5708" width="13" customWidth="1"/>
    <col min="5709" max="5709" width="41.77734375" customWidth="1"/>
    <col min="5710" max="5710" width="14" customWidth="1"/>
    <col min="5711" max="5711" width="13" customWidth="1"/>
    <col min="5712" max="5712" width="13.77734375" customWidth="1"/>
    <col min="5963" max="5963" width="18.21875" customWidth="1"/>
    <col min="5964" max="5964" width="13" customWidth="1"/>
    <col min="5965" max="5965" width="41.77734375" customWidth="1"/>
    <col min="5966" max="5966" width="14" customWidth="1"/>
    <col min="5967" max="5967" width="13" customWidth="1"/>
    <col min="5968" max="5968" width="13.77734375" customWidth="1"/>
    <col min="6219" max="6219" width="18.21875" customWidth="1"/>
    <col min="6220" max="6220" width="13" customWidth="1"/>
    <col min="6221" max="6221" width="41.77734375" customWidth="1"/>
    <col min="6222" max="6222" width="14" customWidth="1"/>
    <col min="6223" max="6223" width="13" customWidth="1"/>
    <col min="6224" max="6224" width="13.77734375" customWidth="1"/>
    <col min="6475" max="6475" width="18.21875" customWidth="1"/>
    <col min="6476" max="6476" width="13" customWidth="1"/>
    <col min="6477" max="6477" width="41.77734375" customWidth="1"/>
    <col min="6478" max="6478" width="14" customWidth="1"/>
    <col min="6479" max="6479" width="13" customWidth="1"/>
    <col min="6480" max="6480" width="13.77734375" customWidth="1"/>
    <col min="6731" max="6731" width="18.21875" customWidth="1"/>
    <col min="6732" max="6732" width="13" customWidth="1"/>
    <col min="6733" max="6733" width="41.77734375" customWidth="1"/>
    <col min="6734" max="6734" width="14" customWidth="1"/>
    <col min="6735" max="6735" width="13" customWidth="1"/>
    <col min="6736" max="6736" width="13.77734375" customWidth="1"/>
    <col min="6987" max="6987" width="18.21875" customWidth="1"/>
    <col min="6988" max="6988" width="13" customWidth="1"/>
    <col min="6989" max="6989" width="41.77734375" customWidth="1"/>
    <col min="6990" max="6990" width="14" customWidth="1"/>
    <col min="6991" max="6991" width="13" customWidth="1"/>
    <col min="6992" max="6992" width="13.77734375" customWidth="1"/>
    <col min="7243" max="7243" width="18.21875" customWidth="1"/>
    <col min="7244" max="7244" width="13" customWidth="1"/>
    <col min="7245" max="7245" width="41.77734375" customWidth="1"/>
    <col min="7246" max="7246" width="14" customWidth="1"/>
    <col min="7247" max="7247" width="13" customWidth="1"/>
    <col min="7248" max="7248" width="13.77734375" customWidth="1"/>
    <col min="7499" max="7499" width="18.21875" customWidth="1"/>
    <col min="7500" max="7500" width="13" customWidth="1"/>
    <col min="7501" max="7501" width="41.77734375" customWidth="1"/>
    <col min="7502" max="7502" width="14" customWidth="1"/>
    <col min="7503" max="7503" width="13" customWidth="1"/>
    <col min="7504" max="7504" width="13.77734375" customWidth="1"/>
    <col min="7755" max="7755" width="18.21875" customWidth="1"/>
    <col min="7756" max="7756" width="13" customWidth="1"/>
    <col min="7757" max="7757" width="41.77734375" customWidth="1"/>
    <col min="7758" max="7758" width="14" customWidth="1"/>
    <col min="7759" max="7759" width="13" customWidth="1"/>
    <col min="7760" max="7760" width="13.77734375" customWidth="1"/>
    <col min="8011" max="8011" width="18.21875" customWidth="1"/>
    <col min="8012" max="8012" width="13" customWidth="1"/>
    <col min="8013" max="8013" width="41.77734375" customWidth="1"/>
    <col min="8014" max="8014" width="14" customWidth="1"/>
    <col min="8015" max="8015" width="13" customWidth="1"/>
    <col min="8016" max="8016" width="13.77734375" customWidth="1"/>
    <col min="8267" max="8267" width="18.21875" customWidth="1"/>
    <col min="8268" max="8268" width="13" customWidth="1"/>
    <col min="8269" max="8269" width="41.77734375" customWidth="1"/>
    <col min="8270" max="8270" width="14" customWidth="1"/>
    <col min="8271" max="8271" width="13" customWidth="1"/>
    <col min="8272" max="8272" width="13.77734375" customWidth="1"/>
    <col min="8523" max="8523" width="18.21875" customWidth="1"/>
    <col min="8524" max="8524" width="13" customWidth="1"/>
    <col min="8525" max="8525" width="41.77734375" customWidth="1"/>
    <col min="8526" max="8526" width="14" customWidth="1"/>
    <col min="8527" max="8527" width="13" customWidth="1"/>
    <col min="8528" max="8528" width="13.77734375" customWidth="1"/>
    <col min="8779" max="8779" width="18.21875" customWidth="1"/>
    <col min="8780" max="8780" width="13" customWidth="1"/>
    <col min="8781" max="8781" width="41.77734375" customWidth="1"/>
    <col min="8782" max="8782" width="14" customWidth="1"/>
    <col min="8783" max="8783" width="13" customWidth="1"/>
    <col min="8784" max="8784" width="13.77734375" customWidth="1"/>
    <col min="9035" max="9035" width="18.21875" customWidth="1"/>
    <col min="9036" max="9036" width="13" customWidth="1"/>
    <col min="9037" max="9037" width="41.77734375" customWidth="1"/>
    <col min="9038" max="9038" width="14" customWidth="1"/>
    <col min="9039" max="9039" width="13" customWidth="1"/>
    <col min="9040" max="9040" width="13.77734375" customWidth="1"/>
    <col min="9291" max="9291" width="18.21875" customWidth="1"/>
    <col min="9292" max="9292" width="13" customWidth="1"/>
    <col min="9293" max="9293" width="41.77734375" customWidth="1"/>
    <col min="9294" max="9294" width="14" customWidth="1"/>
    <col min="9295" max="9295" width="13" customWidth="1"/>
    <col min="9296" max="9296" width="13.77734375" customWidth="1"/>
    <col min="9547" max="9547" width="18.21875" customWidth="1"/>
    <col min="9548" max="9548" width="13" customWidth="1"/>
    <col min="9549" max="9549" width="41.77734375" customWidth="1"/>
    <col min="9550" max="9550" width="14" customWidth="1"/>
    <col min="9551" max="9551" width="13" customWidth="1"/>
    <col min="9552" max="9552" width="13.77734375" customWidth="1"/>
    <col min="9803" max="9803" width="18.21875" customWidth="1"/>
    <col min="9804" max="9804" width="13" customWidth="1"/>
    <col min="9805" max="9805" width="41.77734375" customWidth="1"/>
    <col min="9806" max="9806" width="14" customWidth="1"/>
    <col min="9807" max="9807" width="13" customWidth="1"/>
    <col min="9808" max="9808" width="13.77734375" customWidth="1"/>
    <col min="10059" max="10059" width="18.21875" customWidth="1"/>
    <col min="10060" max="10060" width="13" customWidth="1"/>
    <col min="10061" max="10061" width="41.77734375" customWidth="1"/>
    <col min="10062" max="10062" width="14" customWidth="1"/>
    <col min="10063" max="10063" width="13" customWidth="1"/>
    <col min="10064" max="10064" width="13.77734375" customWidth="1"/>
    <col min="10315" max="10315" width="18.21875" customWidth="1"/>
    <col min="10316" max="10316" width="13" customWidth="1"/>
    <col min="10317" max="10317" width="41.77734375" customWidth="1"/>
    <col min="10318" max="10318" width="14" customWidth="1"/>
    <col min="10319" max="10319" width="13" customWidth="1"/>
    <col min="10320" max="10320" width="13.77734375" customWidth="1"/>
    <col min="10571" max="10571" width="18.21875" customWidth="1"/>
    <col min="10572" max="10572" width="13" customWidth="1"/>
    <col min="10573" max="10573" width="41.77734375" customWidth="1"/>
    <col min="10574" max="10574" width="14" customWidth="1"/>
    <col min="10575" max="10575" width="13" customWidth="1"/>
    <col min="10576" max="10576" width="13.77734375" customWidth="1"/>
    <col min="10827" max="10827" width="18.21875" customWidth="1"/>
    <col min="10828" max="10828" width="13" customWidth="1"/>
    <col min="10829" max="10829" width="41.77734375" customWidth="1"/>
    <col min="10830" max="10830" width="14" customWidth="1"/>
    <col min="10831" max="10831" width="13" customWidth="1"/>
    <col min="10832" max="10832" width="13.77734375" customWidth="1"/>
    <col min="11083" max="11083" width="18.21875" customWidth="1"/>
    <col min="11084" max="11084" width="13" customWidth="1"/>
    <col min="11085" max="11085" width="41.77734375" customWidth="1"/>
    <col min="11086" max="11086" width="14" customWidth="1"/>
    <col min="11087" max="11087" width="13" customWidth="1"/>
    <col min="11088" max="11088" width="13.77734375" customWidth="1"/>
    <col min="11339" max="11339" width="18.21875" customWidth="1"/>
    <col min="11340" max="11340" width="13" customWidth="1"/>
    <col min="11341" max="11341" width="41.77734375" customWidth="1"/>
    <col min="11342" max="11342" width="14" customWidth="1"/>
    <col min="11343" max="11343" width="13" customWidth="1"/>
    <col min="11344" max="11344" width="13.77734375" customWidth="1"/>
    <col min="11595" max="11595" width="18.21875" customWidth="1"/>
    <col min="11596" max="11596" width="13" customWidth="1"/>
    <col min="11597" max="11597" width="41.77734375" customWidth="1"/>
    <col min="11598" max="11598" width="14" customWidth="1"/>
    <col min="11599" max="11599" width="13" customWidth="1"/>
    <col min="11600" max="11600" width="13.77734375" customWidth="1"/>
    <col min="11851" max="11851" width="18.21875" customWidth="1"/>
    <col min="11852" max="11852" width="13" customWidth="1"/>
    <col min="11853" max="11853" width="41.77734375" customWidth="1"/>
    <col min="11854" max="11854" width="14" customWidth="1"/>
    <col min="11855" max="11855" width="13" customWidth="1"/>
    <col min="11856" max="11856" width="13.77734375" customWidth="1"/>
    <col min="12107" max="12107" width="18.21875" customWidth="1"/>
    <col min="12108" max="12108" width="13" customWidth="1"/>
    <col min="12109" max="12109" width="41.77734375" customWidth="1"/>
    <col min="12110" max="12110" width="14" customWidth="1"/>
    <col min="12111" max="12111" width="13" customWidth="1"/>
    <col min="12112" max="12112" width="13.77734375" customWidth="1"/>
    <col min="12363" max="12363" width="18.21875" customWidth="1"/>
    <col min="12364" max="12364" width="13" customWidth="1"/>
    <col min="12365" max="12365" width="41.77734375" customWidth="1"/>
    <col min="12366" max="12366" width="14" customWidth="1"/>
    <col min="12367" max="12367" width="13" customWidth="1"/>
    <col min="12368" max="12368" width="13.77734375" customWidth="1"/>
    <col min="12619" max="12619" width="18.21875" customWidth="1"/>
    <col min="12620" max="12620" width="13" customWidth="1"/>
    <col min="12621" max="12621" width="41.77734375" customWidth="1"/>
    <col min="12622" max="12622" width="14" customWidth="1"/>
    <col min="12623" max="12623" width="13" customWidth="1"/>
    <col min="12624" max="12624" width="13.77734375" customWidth="1"/>
    <col min="12875" max="12875" width="18.21875" customWidth="1"/>
    <col min="12876" max="12876" width="13" customWidth="1"/>
    <col min="12877" max="12877" width="41.77734375" customWidth="1"/>
    <col min="12878" max="12878" width="14" customWidth="1"/>
    <col min="12879" max="12879" width="13" customWidth="1"/>
    <col min="12880" max="12880" width="13.77734375" customWidth="1"/>
    <col min="13131" max="13131" width="18.21875" customWidth="1"/>
    <col min="13132" max="13132" width="13" customWidth="1"/>
    <col min="13133" max="13133" width="41.77734375" customWidth="1"/>
    <col min="13134" max="13134" width="14" customWidth="1"/>
    <col min="13135" max="13135" width="13" customWidth="1"/>
    <col min="13136" max="13136" width="13.77734375" customWidth="1"/>
    <col min="13387" max="13387" width="18.21875" customWidth="1"/>
    <col min="13388" max="13388" width="13" customWidth="1"/>
    <col min="13389" max="13389" width="41.77734375" customWidth="1"/>
    <col min="13390" max="13390" width="14" customWidth="1"/>
    <col min="13391" max="13391" width="13" customWidth="1"/>
    <col min="13392" max="13392" width="13.77734375" customWidth="1"/>
    <col min="13643" max="13643" width="18.21875" customWidth="1"/>
    <col min="13644" max="13644" width="13" customWidth="1"/>
    <col min="13645" max="13645" width="41.77734375" customWidth="1"/>
    <col min="13646" max="13646" width="14" customWidth="1"/>
    <col min="13647" max="13647" width="13" customWidth="1"/>
    <col min="13648" max="13648" width="13.77734375" customWidth="1"/>
    <col min="13899" max="13899" width="18.21875" customWidth="1"/>
    <col min="13900" max="13900" width="13" customWidth="1"/>
    <col min="13901" max="13901" width="41.77734375" customWidth="1"/>
    <col min="13902" max="13902" width="14" customWidth="1"/>
    <col min="13903" max="13903" width="13" customWidth="1"/>
    <col min="13904" max="13904" width="13.77734375" customWidth="1"/>
    <col min="14155" max="14155" width="18.21875" customWidth="1"/>
    <col min="14156" max="14156" width="13" customWidth="1"/>
    <col min="14157" max="14157" width="41.77734375" customWidth="1"/>
    <col min="14158" max="14158" width="14" customWidth="1"/>
    <col min="14159" max="14159" width="13" customWidth="1"/>
    <col min="14160" max="14160" width="13.77734375" customWidth="1"/>
    <col min="14411" max="14411" width="18.21875" customWidth="1"/>
    <col min="14412" max="14412" width="13" customWidth="1"/>
    <col min="14413" max="14413" width="41.77734375" customWidth="1"/>
    <col min="14414" max="14414" width="14" customWidth="1"/>
    <col min="14415" max="14415" width="13" customWidth="1"/>
    <col min="14416" max="14416" width="13.77734375" customWidth="1"/>
    <col min="14667" max="14667" width="18.21875" customWidth="1"/>
    <col min="14668" max="14668" width="13" customWidth="1"/>
    <col min="14669" max="14669" width="41.77734375" customWidth="1"/>
    <col min="14670" max="14670" width="14" customWidth="1"/>
    <col min="14671" max="14671" width="13" customWidth="1"/>
    <col min="14672" max="14672" width="13.77734375" customWidth="1"/>
    <col min="14923" max="14923" width="18.21875" customWidth="1"/>
    <col min="14924" max="14924" width="13" customWidth="1"/>
    <col min="14925" max="14925" width="41.77734375" customWidth="1"/>
    <col min="14926" max="14926" width="14" customWidth="1"/>
    <col min="14927" max="14927" width="13" customWidth="1"/>
    <col min="14928" max="14928" width="13.77734375" customWidth="1"/>
    <col min="15179" max="15179" width="18.21875" customWidth="1"/>
    <col min="15180" max="15180" width="13" customWidth="1"/>
    <col min="15181" max="15181" width="41.77734375" customWidth="1"/>
    <col min="15182" max="15182" width="14" customWidth="1"/>
    <col min="15183" max="15183" width="13" customWidth="1"/>
    <col min="15184" max="15184" width="13.77734375" customWidth="1"/>
    <col min="15435" max="15435" width="18.21875" customWidth="1"/>
    <col min="15436" max="15436" width="13" customWidth="1"/>
    <col min="15437" max="15437" width="41.77734375" customWidth="1"/>
    <col min="15438" max="15438" width="14" customWidth="1"/>
    <col min="15439" max="15439" width="13" customWidth="1"/>
    <col min="15440" max="15440" width="13.77734375" customWidth="1"/>
    <col min="15691" max="15691" width="18.21875" customWidth="1"/>
    <col min="15692" max="15692" width="13" customWidth="1"/>
    <col min="15693" max="15693" width="41.77734375" customWidth="1"/>
    <col min="15694" max="15694" width="14" customWidth="1"/>
    <col min="15695" max="15695" width="13" customWidth="1"/>
    <col min="15696" max="15696" width="13.77734375" customWidth="1"/>
    <col min="15947" max="15947" width="18.21875" customWidth="1"/>
    <col min="15948" max="15948" width="13" customWidth="1"/>
    <col min="15949" max="15949" width="41.77734375" customWidth="1"/>
    <col min="15950" max="15950" width="14" customWidth="1"/>
    <col min="15951" max="15951" width="13" customWidth="1"/>
    <col min="15952" max="15952" width="13.77734375" customWidth="1"/>
    <col min="16203" max="16203" width="18.21875" customWidth="1"/>
    <col min="16204" max="16204" width="13" customWidth="1"/>
    <col min="16205" max="16205" width="41.77734375" customWidth="1"/>
    <col min="16206" max="16206" width="14" customWidth="1"/>
    <col min="16207" max="16207" width="13" customWidth="1"/>
    <col min="16208" max="16208" width="13.77734375" customWidth="1"/>
  </cols>
  <sheetData>
    <row r="1" spans="1:88">
      <c r="AN1" s="32" t="s">
        <v>1926</v>
      </c>
      <c r="BJ1" s="1475"/>
      <c r="BK1" s="1475"/>
      <c r="BL1" s="1475"/>
      <c r="BM1" s="1475"/>
      <c r="BN1" s="1475"/>
    </row>
    <row r="2" spans="1:88" ht="15.6">
      <c r="A2" s="5487" t="s">
        <v>3915</v>
      </c>
      <c r="I2" s="2009" t="s">
        <v>2916</v>
      </c>
      <c r="J2" s="44"/>
      <c r="K2" s="44"/>
      <c r="L2" s="44"/>
      <c r="M2" s="44"/>
      <c r="N2" s="44"/>
      <c r="O2" s="44"/>
      <c r="Q2" s="4716" t="s">
        <v>2916</v>
      </c>
      <c r="Y2" s="32" t="s">
        <v>2918</v>
      </c>
      <c r="AG2" s="32" t="s">
        <v>2524</v>
      </c>
      <c r="AH2" s="32"/>
      <c r="AI2" s="32"/>
      <c r="AJ2" s="32"/>
      <c r="AK2" s="32"/>
      <c r="AN2" s="461" t="s">
        <v>1927</v>
      </c>
      <c r="AU2" s="1476" t="s">
        <v>459</v>
      </c>
      <c r="BB2" s="1476" t="s">
        <v>459</v>
      </c>
      <c r="BI2" s="1476" t="s">
        <v>459</v>
      </c>
      <c r="BP2" s="1475" t="s">
        <v>459</v>
      </c>
      <c r="BW2" s="1475" t="s">
        <v>459</v>
      </c>
      <c r="BX2" s="232"/>
      <c r="BY2" s="232"/>
      <c r="BZ2" s="232"/>
      <c r="CA2" s="232"/>
      <c r="CB2" s="232"/>
      <c r="CD2" s="1475" t="s">
        <v>459</v>
      </c>
    </row>
    <row r="3" spans="1:88" ht="15.6">
      <c r="I3" s="4748" t="s">
        <v>2956</v>
      </c>
      <c r="J3" s="44"/>
      <c r="K3" s="44"/>
      <c r="L3" s="44"/>
      <c r="M3" s="44"/>
      <c r="N3" s="44"/>
      <c r="O3" s="44"/>
      <c r="Q3" s="4717" t="s">
        <v>2954</v>
      </c>
      <c r="Y3" s="32" t="s">
        <v>2693</v>
      </c>
      <c r="AG3" s="32" t="s">
        <v>2520</v>
      </c>
      <c r="AN3" s="461" t="s">
        <v>1928</v>
      </c>
      <c r="BW3" s="232"/>
      <c r="BX3" s="232"/>
      <c r="BY3" s="232"/>
      <c r="BZ3" s="232"/>
      <c r="CA3" s="232"/>
      <c r="CB3" s="1477"/>
    </row>
    <row r="4" spans="1:88" ht="16.2" thickBot="1">
      <c r="I4" s="2009" t="s">
        <v>2955</v>
      </c>
      <c r="J4" s="44"/>
      <c r="K4" s="44"/>
      <c r="L4" s="5637" t="s">
        <v>2919</v>
      </c>
      <c r="M4" s="5637"/>
      <c r="N4" s="44"/>
      <c r="O4" s="44"/>
      <c r="Q4" s="4716" t="s">
        <v>2917</v>
      </c>
      <c r="T4" s="5638" t="s">
        <v>2919</v>
      </c>
      <c r="U4" s="5638"/>
      <c r="AB4" s="5639" t="s">
        <v>2694</v>
      </c>
      <c r="AC4" s="5639"/>
      <c r="AD4" s="5639"/>
      <c r="AJ4" s="5639" t="s">
        <v>2525</v>
      </c>
      <c r="AK4" s="5639"/>
      <c r="AL4" s="5639"/>
      <c r="AN4" s="461"/>
      <c r="AQ4" s="5639" t="s">
        <v>1929</v>
      </c>
      <c r="AR4" s="5639"/>
      <c r="AS4" s="5639"/>
      <c r="AX4" s="5639" t="s">
        <v>1877</v>
      </c>
      <c r="AY4" s="5639"/>
      <c r="AZ4" s="5639"/>
      <c r="BB4" s="167"/>
      <c r="BC4" s="167"/>
      <c r="BE4" s="5639" t="s">
        <v>1878</v>
      </c>
      <c r="BF4" s="5639"/>
      <c r="BG4" s="5639"/>
      <c r="BI4" s="167"/>
      <c r="BJ4" s="167"/>
      <c r="BL4" s="5639" t="s">
        <v>1879</v>
      </c>
      <c r="BM4" s="5639"/>
      <c r="BN4" s="5639"/>
      <c r="BS4" s="5639" t="s">
        <v>1880</v>
      </c>
      <c r="BT4" s="5639"/>
      <c r="BU4" s="5639"/>
      <c r="BZ4" s="5639" t="s">
        <v>1881</v>
      </c>
      <c r="CA4" s="5639"/>
      <c r="CB4" s="5639"/>
      <c r="CD4" s="1478"/>
      <c r="CE4" s="1478"/>
      <c r="CF4" s="1479"/>
      <c r="CG4" s="5639" t="s">
        <v>1882</v>
      </c>
      <c r="CH4" s="5639"/>
      <c r="CI4" s="5639"/>
      <c r="CJ4" s="5639"/>
    </row>
    <row r="5" spans="1:88" ht="37.200000000000003" thickBot="1">
      <c r="A5" s="456" t="s">
        <v>0</v>
      </c>
      <c r="B5" s="456" t="s">
        <v>1</v>
      </c>
      <c r="C5" s="456" t="s">
        <v>2</v>
      </c>
      <c r="D5" s="728" t="s">
        <v>3914</v>
      </c>
      <c r="E5" s="456" t="s">
        <v>1366</v>
      </c>
      <c r="F5" s="1480" t="s">
        <v>1302</v>
      </c>
      <c r="G5" s="4603" t="s">
        <v>1303</v>
      </c>
      <c r="I5" s="456" t="s">
        <v>0</v>
      </c>
      <c r="J5" s="456" t="s">
        <v>1</v>
      </c>
      <c r="K5" s="456" t="s">
        <v>2</v>
      </c>
      <c r="L5" s="456" t="s">
        <v>1319</v>
      </c>
      <c r="M5" s="456" t="s">
        <v>1366</v>
      </c>
      <c r="N5" s="1480" t="s">
        <v>1302</v>
      </c>
      <c r="O5" s="4603" t="s">
        <v>1303</v>
      </c>
      <c r="Q5" s="4718" t="s">
        <v>0</v>
      </c>
      <c r="R5" s="4718" t="s">
        <v>1</v>
      </c>
      <c r="S5" s="4718" t="s">
        <v>2</v>
      </c>
      <c r="T5" s="4718" t="s">
        <v>1319</v>
      </c>
      <c r="U5" s="4718" t="s">
        <v>1366</v>
      </c>
      <c r="V5" s="4719" t="s">
        <v>1302</v>
      </c>
      <c r="W5" s="4720" t="s">
        <v>1303</v>
      </c>
      <c r="Y5" s="466" t="s">
        <v>0</v>
      </c>
      <c r="Z5" s="466" t="s">
        <v>1</v>
      </c>
      <c r="AA5" s="466" t="s">
        <v>2</v>
      </c>
      <c r="AB5" s="466" t="s">
        <v>1155</v>
      </c>
      <c r="AC5" s="466" t="s">
        <v>1366</v>
      </c>
      <c r="AD5" s="1650" t="s">
        <v>1302</v>
      </c>
      <c r="AE5" s="4590" t="s">
        <v>1303</v>
      </c>
      <c r="AF5" s="2548"/>
      <c r="AG5" s="466" t="s">
        <v>0</v>
      </c>
      <c r="AH5" s="466" t="s">
        <v>1</v>
      </c>
      <c r="AI5" s="466" t="s">
        <v>2</v>
      </c>
      <c r="AJ5" s="1643" t="s">
        <v>2522</v>
      </c>
      <c r="AK5" s="466" t="s">
        <v>2523</v>
      </c>
      <c r="AL5" s="1650" t="s">
        <v>1302</v>
      </c>
      <c r="AN5" s="466" t="s">
        <v>0</v>
      </c>
      <c r="AO5" s="466" t="s">
        <v>1</v>
      </c>
      <c r="AP5" s="466" t="s">
        <v>2</v>
      </c>
      <c r="AQ5" s="466" t="s">
        <v>1872</v>
      </c>
      <c r="AR5" s="672" t="s">
        <v>1301</v>
      </c>
      <c r="AS5" s="1650" t="s">
        <v>1302</v>
      </c>
      <c r="AU5" s="938" t="s">
        <v>0</v>
      </c>
      <c r="AV5" s="938" t="s">
        <v>1</v>
      </c>
      <c r="AW5" s="938" t="s">
        <v>2</v>
      </c>
      <c r="AX5" s="672" t="s">
        <v>1883</v>
      </c>
      <c r="AY5" s="672" t="s">
        <v>1301</v>
      </c>
      <c r="AZ5" s="1480" t="s">
        <v>1302</v>
      </c>
      <c r="BB5" s="456" t="s">
        <v>0</v>
      </c>
      <c r="BC5" s="456" t="s">
        <v>1</v>
      </c>
      <c r="BD5" s="456" t="s">
        <v>2</v>
      </c>
      <c r="BE5" s="456" t="s">
        <v>1301</v>
      </c>
      <c r="BF5" s="456" t="s">
        <v>1884</v>
      </c>
      <c r="BG5" s="1480" t="s">
        <v>1302</v>
      </c>
      <c r="BI5" s="456" t="s">
        <v>0</v>
      </c>
      <c r="BJ5" s="456" t="s">
        <v>1</v>
      </c>
      <c r="BK5" s="456" t="s">
        <v>2</v>
      </c>
      <c r="BL5" s="456" t="s">
        <v>1301</v>
      </c>
      <c r="BM5" s="456" t="s">
        <v>1884</v>
      </c>
      <c r="BN5" s="1480" t="s">
        <v>1302</v>
      </c>
      <c r="BO5" s="41"/>
      <c r="BP5" s="456" t="s">
        <v>0</v>
      </c>
      <c r="BQ5" s="456" t="s">
        <v>1</v>
      </c>
      <c r="BR5" s="456" t="s">
        <v>2</v>
      </c>
      <c r="BS5" s="456" t="s">
        <v>1301</v>
      </c>
      <c r="BT5" s="456" t="s">
        <v>1884</v>
      </c>
      <c r="BU5" s="456" t="s">
        <v>1302</v>
      </c>
      <c r="BV5" s="41"/>
      <c r="BW5" s="456" t="s">
        <v>0</v>
      </c>
      <c r="BX5" s="456" t="s">
        <v>1</v>
      </c>
      <c r="BY5" s="456" t="s">
        <v>2</v>
      </c>
      <c r="BZ5" s="456" t="s">
        <v>1301</v>
      </c>
      <c r="CA5" s="456" t="s">
        <v>1884</v>
      </c>
      <c r="CB5" s="456" t="s">
        <v>1302</v>
      </c>
      <c r="CC5" s="41"/>
      <c r="CD5" s="1481" t="s">
        <v>0</v>
      </c>
      <c r="CE5" s="1481" t="s">
        <v>1</v>
      </c>
      <c r="CF5" s="1481" t="s">
        <v>2</v>
      </c>
      <c r="CG5" s="1482" t="s">
        <v>1301</v>
      </c>
      <c r="CH5" s="1482" t="s">
        <v>1885</v>
      </c>
      <c r="CI5" s="1482" t="s">
        <v>1303</v>
      </c>
      <c r="CJ5" s="1483" t="s">
        <v>1304</v>
      </c>
    </row>
    <row r="6" spans="1:88">
      <c r="A6" s="105" t="s">
        <v>3</v>
      </c>
      <c r="B6" s="105" t="s">
        <v>4</v>
      </c>
      <c r="C6" s="41" t="s">
        <v>5</v>
      </c>
      <c r="D6" s="105">
        <v>23</v>
      </c>
      <c r="E6" s="105">
        <v>14</v>
      </c>
      <c r="F6" s="1431">
        <f>D6-G6</f>
        <v>11</v>
      </c>
      <c r="G6" s="4591">
        <v>12</v>
      </c>
      <c r="I6" s="107" t="s">
        <v>3</v>
      </c>
      <c r="J6" s="107" t="s">
        <v>4</v>
      </c>
      <c r="K6" s="47" t="s">
        <v>5</v>
      </c>
      <c r="L6" s="107">
        <v>21.23</v>
      </c>
      <c r="M6" s="107">
        <v>60</v>
      </c>
      <c r="N6" s="1431">
        <f>L6-O6</f>
        <v>9.23</v>
      </c>
      <c r="O6" s="4591">
        <v>12</v>
      </c>
      <c r="Q6" s="4243" t="s">
        <v>3</v>
      </c>
      <c r="R6" s="4243" t="s">
        <v>4</v>
      </c>
      <c r="S6" s="44" t="s">
        <v>5</v>
      </c>
      <c r="T6" s="4243">
        <v>21.4</v>
      </c>
      <c r="U6" s="4243">
        <v>55</v>
      </c>
      <c r="V6" s="4721">
        <f>T6-W6</f>
        <v>9.3999999999999986</v>
      </c>
      <c r="W6" s="4722">
        <v>12</v>
      </c>
      <c r="Y6" s="41" t="s">
        <v>3</v>
      </c>
      <c r="Z6" s="41" t="s">
        <v>4</v>
      </c>
      <c r="AA6" s="41" t="s">
        <v>5</v>
      </c>
      <c r="AB6" s="1495">
        <v>19.12</v>
      </c>
      <c r="AC6" s="105">
        <v>59</v>
      </c>
      <c r="AD6" s="1431">
        <f>AB6-AE6</f>
        <v>7.120000000000001</v>
      </c>
      <c r="AE6" s="1499">
        <v>12</v>
      </c>
      <c r="AF6" s="2548"/>
      <c r="AG6" s="107" t="s">
        <v>3</v>
      </c>
      <c r="AH6" s="107" t="s">
        <v>4</v>
      </c>
      <c r="AI6" s="41" t="s">
        <v>5</v>
      </c>
      <c r="AJ6" s="105">
        <v>19.97</v>
      </c>
      <c r="AK6" s="105">
        <v>100</v>
      </c>
      <c r="AL6" s="1431">
        <f>AJ6-CI6</f>
        <v>7.9699999999999989</v>
      </c>
      <c r="AN6" s="105" t="s">
        <v>3</v>
      </c>
      <c r="AO6" s="105" t="s">
        <v>4</v>
      </c>
      <c r="AP6" s="41" t="s">
        <v>5</v>
      </c>
      <c r="AQ6" s="1495">
        <v>19.59</v>
      </c>
      <c r="AR6" s="105">
        <v>58</v>
      </c>
      <c r="AS6" s="1485">
        <f t="shared" ref="AS6:AS37" si="0">AQ6-CI6</f>
        <v>7.59</v>
      </c>
      <c r="AU6" s="817" t="s">
        <v>3</v>
      </c>
      <c r="AV6" s="817" t="s">
        <v>4</v>
      </c>
      <c r="AW6" s="1484" t="s">
        <v>5</v>
      </c>
      <c r="AX6" s="1415">
        <v>18.812499999999996</v>
      </c>
      <c r="AY6" s="1416">
        <v>64</v>
      </c>
      <c r="AZ6" s="1485">
        <f>AX6-CI6</f>
        <v>6.8124999999999964</v>
      </c>
      <c r="BB6" s="1486" t="s">
        <v>3</v>
      </c>
      <c r="BC6" s="1486" t="s">
        <v>4</v>
      </c>
      <c r="BD6" s="1487" t="s">
        <v>5</v>
      </c>
      <c r="BE6" s="1488">
        <v>58</v>
      </c>
      <c r="BF6" s="1489">
        <v>18.189655172413797</v>
      </c>
      <c r="BG6" s="1431">
        <f>BF6-12</f>
        <v>6.1896551724137971</v>
      </c>
      <c r="BI6" s="1490" t="s">
        <v>3</v>
      </c>
      <c r="BJ6" s="1490" t="s">
        <v>4</v>
      </c>
      <c r="BK6" s="457" t="s">
        <v>5</v>
      </c>
      <c r="BL6" s="458">
        <v>55</v>
      </c>
      <c r="BM6" s="459">
        <v>18.236363636363638</v>
      </c>
      <c r="BN6" s="1491">
        <f>+BM6-12</f>
        <v>6.2363636363636381</v>
      </c>
      <c r="BO6" s="41"/>
      <c r="BP6" s="1490" t="s">
        <v>3</v>
      </c>
      <c r="BQ6" s="1490" t="s">
        <v>4</v>
      </c>
      <c r="BR6" s="1492" t="s">
        <v>5</v>
      </c>
      <c r="BS6" s="1493">
        <v>40</v>
      </c>
      <c r="BT6" s="1494">
        <v>19.675000000000001</v>
      </c>
      <c r="BU6" s="1491">
        <f>+BT6-12</f>
        <v>7.6750000000000007</v>
      </c>
      <c r="BV6" s="41"/>
      <c r="BW6" s="105" t="s">
        <v>3</v>
      </c>
      <c r="BX6" s="105" t="s">
        <v>4</v>
      </c>
      <c r="BY6" s="41" t="s">
        <v>5</v>
      </c>
      <c r="BZ6" s="105">
        <v>42</v>
      </c>
      <c r="CA6" s="1495">
        <v>20.285714285714285</v>
      </c>
      <c r="CB6" s="1496">
        <f>+CA6-12</f>
        <v>8.2857142857142847</v>
      </c>
      <c r="CC6" s="41"/>
      <c r="CD6" s="1497" t="s">
        <v>3</v>
      </c>
      <c r="CE6" s="1497" t="s">
        <v>4</v>
      </c>
      <c r="CF6" s="460" t="s">
        <v>5</v>
      </c>
      <c r="CG6" s="1497">
        <v>27</v>
      </c>
      <c r="CH6" s="1498">
        <v>20.62962962962963</v>
      </c>
      <c r="CI6" s="1499">
        <v>12</v>
      </c>
      <c r="CJ6" s="1980">
        <f>CH6-CI6</f>
        <v>8.6296296296296298</v>
      </c>
    </row>
    <row r="7" spans="1:88">
      <c r="A7" s="105"/>
      <c r="B7" s="105"/>
      <c r="C7" s="41" t="s">
        <v>6</v>
      </c>
      <c r="D7" s="105">
        <v>18.97</v>
      </c>
      <c r="E7" s="105">
        <v>36</v>
      </c>
      <c r="F7" s="1431">
        <f t="shared" ref="F7:F70" si="1">D7-G7</f>
        <v>6.9699999999999989</v>
      </c>
      <c r="G7" s="4591">
        <v>12</v>
      </c>
      <c r="I7" s="107"/>
      <c r="J7" s="107"/>
      <c r="K7" s="47" t="s">
        <v>6</v>
      </c>
      <c r="L7" s="107">
        <v>20.74</v>
      </c>
      <c r="M7" s="107">
        <v>47</v>
      </c>
      <c r="N7" s="1431">
        <f t="shared" ref="N7:N70" si="2">L7-O7</f>
        <v>8.7399999999999984</v>
      </c>
      <c r="O7" s="4591">
        <v>12</v>
      </c>
      <c r="Q7" s="4243"/>
      <c r="R7" s="4243"/>
      <c r="S7" s="44" t="s">
        <v>6</v>
      </c>
      <c r="T7" s="4243">
        <v>20.74</v>
      </c>
      <c r="U7" s="4243">
        <v>34</v>
      </c>
      <c r="V7" s="4721">
        <f t="shared" ref="V7:V70" si="3">T7-W7</f>
        <v>8.7399999999999984</v>
      </c>
      <c r="W7" s="4722">
        <v>12</v>
      </c>
      <c r="Y7" s="41"/>
      <c r="Z7" s="41"/>
      <c r="AA7" s="41" t="s">
        <v>6</v>
      </c>
      <c r="AB7" s="1495">
        <v>19.239999999999998</v>
      </c>
      <c r="AC7" s="105">
        <v>75</v>
      </c>
      <c r="AD7" s="1431">
        <f t="shared" ref="AD7:AD70" si="4">AB7-AE7</f>
        <v>7.2399999999999984</v>
      </c>
      <c r="AE7" s="1499">
        <v>12</v>
      </c>
      <c r="AF7" s="2548"/>
      <c r="AG7" s="107"/>
      <c r="AH7" s="107"/>
      <c r="AI7" s="41" t="s">
        <v>6</v>
      </c>
      <c r="AJ7" s="105">
        <v>20.88</v>
      </c>
      <c r="AK7" s="105">
        <v>83</v>
      </c>
      <c r="AL7" s="1431">
        <f t="shared" ref="AL7:AL70" si="5">AJ7-CI7</f>
        <v>8.879999999999999</v>
      </c>
      <c r="AN7" s="105"/>
      <c r="AO7" s="105"/>
      <c r="AP7" s="41" t="s">
        <v>6</v>
      </c>
      <c r="AQ7" s="1495">
        <v>20.25</v>
      </c>
      <c r="AR7" s="105">
        <v>64</v>
      </c>
      <c r="AS7" s="1485">
        <f t="shared" si="0"/>
        <v>8.25</v>
      </c>
      <c r="AU7" s="817"/>
      <c r="AV7" s="817"/>
      <c r="AW7" s="1484" t="s">
        <v>6</v>
      </c>
      <c r="AX7" s="1415">
        <v>19.8</v>
      </c>
      <c r="AY7" s="1416">
        <v>70</v>
      </c>
      <c r="AZ7" s="1485">
        <f t="shared" ref="AZ7:AZ70" si="6">AX7-CI7</f>
        <v>7.8000000000000007</v>
      </c>
      <c r="BB7" s="1486"/>
      <c r="BC7" s="1486"/>
      <c r="BD7" s="1487" t="s">
        <v>6</v>
      </c>
      <c r="BE7" s="1488">
        <v>43</v>
      </c>
      <c r="BF7" s="1489">
        <v>19.232558139534891</v>
      </c>
      <c r="BG7" s="1431">
        <f t="shared" ref="BG7:BG69" si="7">BF7-12</f>
        <v>7.2325581395348912</v>
      </c>
      <c r="BI7" s="1490"/>
      <c r="BJ7" s="1490"/>
      <c r="BK7" s="457" t="s">
        <v>6</v>
      </c>
      <c r="BL7" s="458">
        <v>59</v>
      </c>
      <c r="BM7" s="459">
        <v>20.457627118644062</v>
      </c>
      <c r="BN7" s="1491">
        <f t="shared" ref="BN7:BN69" si="8">+BM7-12</f>
        <v>8.4576271186440621</v>
      </c>
      <c r="BO7" s="41"/>
      <c r="BP7" s="1490"/>
      <c r="BQ7" s="1490"/>
      <c r="BR7" s="1492" t="s">
        <v>6</v>
      </c>
      <c r="BS7" s="1493">
        <v>21</v>
      </c>
      <c r="BT7" s="1494">
        <v>21.428571428571431</v>
      </c>
      <c r="BU7" s="1491">
        <f t="shared" ref="BU7:BU69" si="9">+BT7-12</f>
        <v>9.4285714285714306</v>
      </c>
      <c r="BV7" s="41"/>
      <c r="BW7" s="105"/>
      <c r="BX7" s="105"/>
      <c r="BY7" s="41" t="s">
        <v>6</v>
      </c>
      <c r="BZ7" s="105">
        <v>36</v>
      </c>
      <c r="CA7" s="1495">
        <v>20.694444444444446</v>
      </c>
      <c r="CB7" s="1496">
        <f t="shared" ref="CB7:CB69" si="10">+CA7-12</f>
        <v>8.6944444444444464</v>
      </c>
      <c r="CC7" s="41"/>
      <c r="CD7" s="1497"/>
      <c r="CE7" s="1497"/>
      <c r="CF7" s="460" t="s">
        <v>6</v>
      </c>
      <c r="CG7" s="1497">
        <v>32</v>
      </c>
      <c r="CH7" s="1498">
        <v>21.375</v>
      </c>
      <c r="CI7" s="1499">
        <v>12</v>
      </c>
      <c r="CJ7" s="1980">
        <f t="shared" ref="CJ7:CJ70" si="11">CH7-CI7</f>
        <v>9.375</v>
      </c>
    </row>
    <row r="8" spans="1:88">
      <c r="A8" s="105"/>
      <c r="B8" s="105"/>
      <c r="C8" s="41" t="s">
        <v>7</v>
      </c>
      <c r="D8" s="105">
        <v>21.71</v>
      </c>
      <c r="E8" s="105">
        <v>7</v>
      </c>
      <c r="F8" s="1431">
        <f t="shared" si="1"/>
        <v>9.7100000000000009</v>
      </c>
      <c r="G8" s="4591">
        <v>12</v>
      </c>
      <c r="I8" s="107"/>
      <c r="J8" s="107"/>
      <c r="K8" s="47" t="s">
        <v>7</v>
      </c>
      <c r="L8" s="107">
        <v>20.32</v>
      </c>
      <c r="M8" s="107">
        <v>25</v>
      </c>
      <c r="N8" s="1431">
        <f t="shared" si="2"/>
        <v>8.32</v>
      </c>
      <c r="O8" s="4591">
        <v>12</v>
      </c>
      <c r="Q8" s="4243"/>
      <c r="R8" s="4243"/>
      <c r="S8" s="44" t="s">
        <v>7</v>
      </c>
      <c r="T8" s="4243">
        <v>19.899999999999999</v>
      </c>
      <c r="U8" s="4243">
        <v>21</v>
      </c>
      <c r="V8" s="4721">
        <f t="shared" si="3"/>
        <v>7.8999999999999986</v>
      </c>
      <c r="W8" s="4722">
        <v>12</v>
      </c>
      <c r="Y8" s="41"/>
      <c r="Z8" s="41"/>
      <c r="AA8" s="41" t="s">
        <v>7</v>
      </c>
      <c r="AB8" s="1495">
        <v>18.760000000000002</v>
      </c>
      <c r="AC8" s="105">
        <v>29</v>
      </c>
      <c r="AD8" s="1431">
        <f t="shared" si="4"/>
        <v>6.7600000000000016</v>
      </c>
      <c r="AE8" s="1499">
        <v>12</v>
      </c>
      <c r="AF8" s="2548"/>
      <c r="AG8" s="107"/>
      <c r="AH8" s="107"/>
      <c r="AI8" s="41" t="s">
        <v>7</v>
      </c>
      <c r="AJ8" s="105">
        <v>20.67</v>
      </c>
      <c r="AK8" s="105">
        <v>33</v>
      </c>
      <c r="AL8" s="1431">
        <f t="shared" si="5"/>
        <v>8.6700000000000017</v>
      </c>
      <c r="AN8" s="105"/>
      <c r="AO8" s="105"/>
      <c r="AP8" s="41" t="s">
        <v>7</v>
      </c>
      <c r="AQ8" s="1495">
        <v>21.57</v>
      </c>
      <c r="AR8" s="105">
        <v>30</v>
      </c>
      <c r="AS8" s="1485">
        <f t="shared" si="0"/>
        <v>9.57</v>
      </c>
      <c r="AU8" s="817"/>
      <c r="AV8" s="817"/>
      <c r="AW8" s="1484" t="s">
        <v>7</v>
      </c>
      <c r="AX8" s="1415">
        <v>20.095238095238098</v>
      </c>
      <c r="AY8" s="1416">
        <v>21</v>
      </c>
      <c r="AZ8" s="1485">
        <f t="shared" si="6"/>
        <v>8.0952380952380985</v>
      </c>
      <c r="BB8" s="1486"/>
      <c r="BC8" s="1486"/>
      <c r="BD8" s="1487" t="s">
        <v>7</v>
      </c>
      <c r="BE8" s="1488">
        <v>21</v>
      </c>
      <c r="BF8" s="1489">
        <v>23.904761904761905</v>
      </c>
      <c r="BG8" s="1431">
        <f t="shared" si="7"/>
        <v>11.904761904761905</v>
      </c>
      <c r="BI8" s="1490"/>
      <c r="BJ8" s="1490"/>
      <c r="BK8" s="457" t="s">
        <v>7</v>
      </c>
      <c r="BL8" s="458">
        <v>17</v>
      </c>
      <c r="BM8" s="459">
        <v>23.411764705882351</v>
      </c>
      <c r="BN8" s="1491">
        <f t="shared" si="8"/>
        <v>11.411764705882351</v>
      </c>
      <c r="BO8" s="41"/>
      <c r="BP8" s="1490"/>
      <c r="BQ8" s="1490"/>
      <c r="BR8" s="1492" t="s">
        <v>7</v>
      </c>
      <c r="BS8" s="1493">
        <v>10</v>
      </c>
      <c r="BT8" s="1494">
        <v>21.1</v>
      </c>
      <c r="BU8" s="1491">
        <f t="shared" si="9"/>
        <v>9.1000000000000014</v>
      </c>
      <c r="BV8" s="41"/>
      <c r="BW8" s="105"/>
      <c r="BX8" s="105"/>
      <c r="BY8" s="41" t="s">
        <v>7</v>
      </c>
      <c r="BZ8" s="105">
        <v>15</v>
      </c>
      <c r="CA8" s="1495">
        <v>23.066666666666666</v>
      </c>
      <c r="CB8" s="1496">
        <f t="shared" si="10"/>
        <v>11.066666666666666</v>
      </c>
      <c r="CC8" s="41"/>
      <c r="CD8" s="1497"/>
      <c r="CE8" s="1497"/>
      <c r="CF8" s="460" t="s">
        <v>7</v>
      </c>
      <c r="CG8" s="1497">
        <v>9</v>
      </c>
      <c r="CH8" s="1498">
        <v>20.333333333333332</v>
      </c>
      <c r="CI8" s="1499">
        <v>12</v>
      </c>
      <c r="CJ8" s="1980">
        <f t="shared" si="11"/>
        <v>8.3333333333333321</v>
      </c>
    </row>
    <row r="9" spans="1:88">
      <c r="A9" s="105"/>
      <c r="B9" s="105"/>
      <c r="C9" s="41" t="s">
        <v>8</v>
      </c>
      <c r="D9" s="105">
        <v>18.649999999999999</v>
      </c>
      <c r="E9" s="105">
        <v>20</v>
      </c>
      <c r="F9" s="1431">
        <f t="shared" si="1"/>
        <v>6.6499999999999986</v>
      </c>
      <c r="G9" s="4591">
        <v>12</v>
      </c>
      <c r="I9" s="107"/>
      <c r="J9" s="107"/>
      <c r="K9" s="47" t="s">
        <v>8</v>
      </c>
      <c r="L9" s="107">
        <v>20.43</v>
      </c>
      <c r="M9" s="107">
        <v>46</v>
      </c>
      <c r="N9" s="1431">
        <f t="shared" si="2"/>
        <v>8.43</v>
      </c>
      <c r="O9" s="4591">
        <v>12</v>
      </c>
      <c r="Q9" s="4243"/>
      <c r="R9" s="4243"/>
      <c r="S9" s="44" t="s">
        <v>8</v>
      </c>
      <c r="T9" s="4243">
        <v>21.36</v>
      </c>
      <c r="U9" s="4243">
        <v>28</v>
      </c>
      <c r="V9" s="4721">
        <f t="shared" si="3"/>
        <v>9.36</v>
      </c>
      <c r="W9" s="4722">
        <v>12</v>
      </c>
      <c r="Y9" s="41"/>
      <c r="Z9" s="41"/>
      <c r="AA9" s="41" t="s">
        <v>8</v>
      </c>
      <c r="AB9" s="1495">
        <v>18.75</v>
      </c>
      <c r="AC9" s="105">
        <v>36</v>
      </c>
      <c r="AD9" s="1431">
        <f t="shared" si="4"/>
        <v>6.75</v>
      </c>
      <c r="AE9" s="1499">
        <v>12</v>
      </c>
      <c r="AF9" s="2548"/>
      <c r="AG9" s="107"/>
      <c r="AH9" s="107"/>
      <c r="AI9" s="41" t="s">
        <v>8</v>
      </c>
      <c r="AJ9" s="105">
        <v>20.96</v>
      </c>
      <c r="AK9" s="105">
        <v>23</v>
      </c>
      <c r="AL9" s="1431">
        <f t="shared" si="5"/>
        <v>8.9600000000000009</v>
      </c>
      <c r="AN9" s="105"/>
      <c r="AO9" s="105"/>
      <c r="AP9" s="41" t="s">
        <v>8</v>
      </c>
      <c r="AQ9" s="1495">
        <v>19.41</v>
      </c>
      <c r="AR9" s="105">
        <v>17</v>
      </c>
      <c r="AS9" s="1485">
        <f t="shared" si="0"/>
        <v>7.41</v>
      </c>
      <c r="AU9" s="817"/>
      <c r="AV9" s="817"/>
      <c r="AW9" s="1484" t="s">
        <v>8</v>
      </c>
      <c r="AX9" s="1415">
        <v>20.350000000000001</v>
      </c>
      <c r="AY9" s="1416">
        <v>20</v>
      </c>
      <c r="AZ9" s="1485">
        <f t="shared" si="6"/>
        <v>8.3500000000000014</v>
      </c>
      <c r="BB9" s="1486"/>
      <c r="BC9" s="1486"/>
      <c r="BD9" s="1487" t="s">
        <v>8</v>
      </c>
      <c r="BE9" s="1488">
        <v>34</v>
      </c>
      <c r="BF9" s="1489">
        <v>21.088235294117645</v>
      </c>
      <c r="BG9" s="1431">
        <f t="shared" si="7"/>
        <v>9.088235294117645</v>
      </c>
      <c r="BI9" s="1490"/>
      <c r="BJ9" s="1490"/>
      <c r="BK9" s="457" t="s">
        <v>8</v>
      </c>
      <c r="BL9" s="458">
        <v>20</v>
      </c>
      <c r="BM9" s="459">
        <v>21.150000000000002</v>
      </c>
      <c r="BN9" s="1491">
        <f t="shared" si="8"/>
        <v>9.1500000000000021</v>
      </c>
      <c r="BO9" s="41"/>
      <c r="BP9" s="1490"/>
      <c r="BQ9" s="1490"/>
      <c r="BR9" s="1492" t="s">
        <v>8</v>
      </c>
      <c r="BS9" s="1493">
        <v>17</v>
      </c>
      <c r="BT9" s="1494">
        <v>21.411764705882355</v>
      </c>
      <c r="BU9" s="1491">
        <f t="shared" si="9"/>
        <v>9.411764705882355</v>
      </c>
      <c r="BV9" s="41"/>
      <c r="BW9" s="105"/>
      <c r="BX9" s="105"/>
      <c r="BY9" s="41" t="s">
        <v>8</v>
      </c>
      <c r="BZ9" s="105">
        <v>13</v>
      </c>
      <c r="CA9" s="1495">
        <v>19.46153846153846</v>
      </c>
      <c r="CB9" s="1496">
        <f t="shared" si="10"/>
        <v>7.4615384615384599</v>
      </c>
      <c r="CC9" s="41"/>
      <c r="CD9" s="1497"/>
      <c r="CE9" s="1497"/>
      <c r="CF9" s="460" t="s">
        <v>8</v>
      </c>
      <c r="CG9" s="1497">
        <v>17</v>
      </c>
      <c r="CH9" s="1498">
        <v>21.882352941176467</v>
      </c>
      <c r="CI9" s="1499">
        <v>12</v>
      </c>
      <c r="CJ9" s="1980">
        <f t="shared" si="11"/>
        <v>9.8823529411764675</v>
      </c>
    </row>
    <row r="10" spans="1:88">
      <c r="A10" s="105"/>
      <c r="B10" s="105"/>
      <c r="C10" s="41" t="s">
        <v>9</v>
      </c>
      <c r="D10" s="105">
        <v>23.32</v>
      </c>
      <c r="E10" s="105">
        <v>22</v>
      </c>
      <c r="F10" s="1431">
        <f t="shared" si="1"/>
        <v>11.32</v>
      </c>
      <c r="G10" s="4591">
        <v>12</v>
      </c>
      <c r="I10" s="107"/>
      <c r="J10" s="107"/>
      <c r="K10" s="47" t="s">
        <v>9</v>
      </c>
      <c r="L10" s="107">
        <v>19.72</v>
      </c>
      <c r="M10" s="107">
        <v>78</v>
      </c>
      <c r="N10" s="1431">
        <f t="shared" si="2"/>
        <v>7.7199999999999989</v>
      </c>
      <c r="O10" s="4591">
        <v>12</v>
      </c>
      <c r="Q10" s="4243"/>
      <c r="R10" s="4243"/>
      <c r="S10" s="44" t="s">
        <v>9</v>
      </c>
      <c r="T10" s="4243">
        <v>19.739999999999998</v>
      </c>
      <c r="U10" s="4243">
        <v>58</v>
      </c>
      <c r="V10" s="4721">
        <f t="shared" si="3"/>
        <v>7.7399999999999984</v>
      </c>
      <c r="W10" s="4722">
        <v>12</v>
      </c>
      <c r="Y10" s="41"/>
      <c r="Z10" s="41"/>
      <c r="AA10" s="41" t="s">
        <v>9</v>
      </c>
      <c r="AB10" s="1495">
        <v>21.27</v>
      </c>
      <c r="AC10" s="105">
        <v>74</v>
      </c>
      <c r="AD10" s="1431">
        <f t="shared" si="4"/>
        <v>9.27</v>
      </c>
      <c r="AE10" s="1499">
        <v>12</v>
      </c>
      <c r="AF10" s="2548"/>
      <c r="AG10" s="107"/>
      <c r="AH10" s="107"/>
      <c r="AI10" s="41" t="s">
        <v>9</v>
      </c>
      <c r="AJ10" s="105">
        <v>20.98</v>
      </c>
      <c r="AK10" s="105">
        <v>83</v>
      </c>
      <c r="AL10" s="1431">
        <f t="shared" si="5"/>
        <v>8.98</v>
      </c>
      <c r="AN10" s="105"/>
      <c r="AO10" s="105"/>
      <c r="AP10" s="41" t="s">
        <v>9</v>
      </c>
      <c r="AQ10" s="1495">
        <v>19.88</v>
      </c>
      <c r="AR10" s="105">
        <v>90</v>
      </c>
      <c r="AS10" s="1485">
        <f t="shared" si="0"/>
        <v>7.879999999999999</v>
      </c>
      <c r="AU10" s="817"/>
      <c r="AV10" s="817"/>
      <c r="AW10" s="1484" t="s">
        <v>9</v>
      </c>
      <c r="AX10" s="1415">
        <v>21.023529411764709</v>
      </c>
      <c r="AY10" s="1416">
        <v>85</v>
      </c>
      <c r="AZ10" s="1485">
        <f t="shared" si="6"/>
        <v>9.0235294117647094</v>
      </c>
      <c r="BB10" s="1486"/>
      <c r="BC10" s="1486"/>
      <c r="BD10" s="1487" t="s">
        <v>9</v>
      </c>
      <c r="BE10" s="1488">
        <v>97</v>
      </c>
      <c r="BF10" s="1489">
        <v>20.515463917525778</v>
      </c>
      <c r="BG10" s="1431">
        <f t="shared" si="7"/>
        <v>8.5154639175257785</v>
      </c>
      <c r="BI10" s="1490"/>
      <c r="BJ10" s="1490"/>
      <c r="BK10" s="457" t="s">
        <v>9</v>
      </c>
      <c r="BL10" s="458">
        <v>111</v>
      </c>
      <c r="BM10" s="459">
        <v>19.819819819819823</v>
      </c>
      <c r="BN10" s="1491">
        <f t="shared" si="8"/>
        <v>7.8198198198198234</v>
      </c>
      <c r="BO10" s="41"/>
      <c r="BP10" s="1490"/>
      <c r="BQ10" s="1490"/>
      <c r="BR10" s="1492" t="s">
        <v>9</v>
      </c>
      <c r="BS10" s="1493">
        <v>69</v>
      </c>
      <c r="BT10" s="1494">
        <v>20.231884057971001</v>
      </c>
      <c r="BU10" s="1491">
        <f t="shared" si="9"/>
        <v>8.2318840579710013</v>
      </c>
      <c r="BV10" s="41"/>
      <c r="BW10" s="105"/>
      <c r="BX10" s="105"/>
      <c r="BY10" s="41" t="s">
        <v>9</v>
      </c>
      <c r="BZ10" s="105">
        <v>71</v>
      </c>
      <c r="CA10" s="1495">
        <v>20.577464788732403</v>
      </c>
      <c r="CB10" s="1496">
        <f t="shared" si="10"/>
        <v>8.5774647887324029</v>
      </c>
      <c r="CC10" s="41"/>
      <c r="CD10" s="1497"/>
      <c r="CE10" s="1497"/>
      <c r="CF10" s="460" t="s">
        <v>9</v>
      </c>
      <c r="CG10" s="1497">
        <v>89</v>
      </c>
      <c r="CH10" s="1498">
        <v>20.089887640449433</v>
      </c>
      <c r="CI10" s="1499">
        <v>12</v>
      </c>
      <c r="CJ10" s="1980">
        <f t="shared" si="11"/>
        <v>8.0898876404494331</v>
      </c>
    </row>
    <row r="11" spans="1:88">
      <c r="A11" s="105"/>
      <c r="B11" s="105"/>
      <c r="C11" s="41" t="s">
        <v>10</v>
      </c>
      <c r="D11" s="105">
        <v>23.94</v>
      </c>
      <c r="E11" s="105">
        <v>17</v>
      </c>
      <c r="F11" s="1431">
        <f t="shared" si="1"/>
        <v>11.940000000000001</v>
      </c>
      <c r="G11" s="4591">
        <v>12</v>
      </c>
      <c r="I11" s="107"/>
      <c r="J11" s="107"/>
      <c r="K11" s="47" t="s">
        <v>10</v>
      </c>
      <c r="L11" s="107">
        <v>20.75</v>
      </c>
      <c r="M11" s="107">
        <v>53</v>
      </c>
      <c r="N11" s="1431">
        <f t="shared" si="2"/>
        <v>8.75</v>
      </c>
      <c r="O11" s="4591">
        <v>12</v>
      </c>
      <c r="Q11" s="4243"/>
      <c r="R11" s="4243"/>
      <c r="S11" s="44" t="s">
        <v>10</v>
      </c>
      <c r="T11" s="4243">
        <v>20.64</v>
      </c>
      <c r="U11" s="4243">
        <v>39</v>
      </c>
      <c r="V11" s="4721">
        <f t="shared" si="3"/>
        <v>8.64</v>
      </c>
      <c r="W11" s="4722">
        <v>12</v>
      </c>
      <c r="Y11" s="41"/>
      <c r="Z11" s="41"/>
      <c r="AA11" s="41" t="s">
        <v>10</v>
      </c>
      <c r="AB11" s="1495">
        <v>20.2</v>
      </c>
      <c r="AC11" s="105">
        <v>60</v>
      </c>
      <c r="AD11" s="1431">
        <f t="shared" si="4"/>
        <v>8.1999999999999993</v>
      </c>
      <c r="AE11" s="1499">
        <v>12</v>
      </c>
      <c r="AF11" s="2548"/>
      <c r="AG11" s="107"/>
      <c r="AH11" s="107"/>
      <c r="AI11" s="41" t="s">
        <v>10</v>
      </c>
      <c r="AJ11" s="105">
        <v>21.39</v>
      </c>
      <c r="AK11" s="105">
        <v>62</v>
      </c>
      <c r="AL11" s="1431">
        <f t="shared" si="5"/>
        <v>9.39</v>
      </c>
      <c r="AN11" s="105"/>
      <c r="AO11" s="105"/>
      <c r="AP11" s="41" t="s">
        <v>10</v>
      </c>
      <c r="AQ11" s="1495">
        <v>20.47</v>
      </c>
      <c r="AR11" s="105">
        <v>55</v>
      </c>
      <c r="AS11" s="1485">
        <f t="shared" si="0"/>
        <v>8.4699999999999989</v>
      </c>
      <c r="AU11" s="817"/>
      <c r="AV11" s="817"/>
      <c r="AW11" s="1484" t="s">
        <v>10</v>
      </c>
      <c r="AX11" s="1415">
        <v>21.604651162790695</v>
      </c>
      <c r="AY11" s="1416">
        <v>43</v>
      </c>
      <c r="AZ11" s="1485">
        <f t="shared" si="6"/>
        <v>9.6046511627906952</v>
      </c>
      <c r="BB11" s="1486"/>
      <c r="BC11" s="1486"/>
      <c r="BD11" s="1487" t="s">
        <v>10</v>
      </c>
      <c r="BE11" s="1488">
        <v>39</v>
      </c>
      <c r="BF11" s="1489">
        <v>21.974358974358974</v>
      </c>
      <c r="BG11" s="1431">
        <f t="shared" si="7"/>
        <v>9.9743589743589745</v>
      </c>
      <c r="BI11" s="1490"/>
      <c r="BJ11" s="1490"/>
      <c r="BK11" s="457" t="s">
        <v>10</v>
      </c>
      <c r="BL11" s="458">
        <v>54</v>
      </c>
      <c r="BM11" s="459">
        <v>21.796296296296294</v>
      </c>
      <c r="BN11" s="1491">
        <f t="shared" si="8"/>
        <v>9.7962962962962941</v>
      </c>
      <c r="BO11" s="41"/>
      <c r="BP11" s="1490"/>
      <c r="BQ11" s="1490"/>
      <c r="BR11" s="1492" t="s">
        <v>10</v>
      </c>
      <c r="BS11" s="1493">
        <v>38</v>
      </c>
      <c r="BT11" s="1494">
        <v>21.342105263157894</v>
      </c>
      <c r="BU11" s="1491">
        <f t="shared" si="9"/>
        <v>9.3421052631578938</v>
      </c>
      <c r="BV11" s="41"/>
      <c r="BW11" s="105"/>
      <c r="BX11" s="105"/>
      <c r="BY11" s="41" t="s">
        <v>10</v>
      </c>
      <c r="BZ11" s="105">
        <v>42</v>
      </c>
      <c r="CA11" s="1495">
        <v>20.952380952380953</v>
      </c>
      <c r="CB11" s="1496">
        <f t="shared" si="10"/>
        <v>8.9523809523809526</v>
      </c>
      <c r="CC11" s="41"/>
      <c r="CD11" s="1497"/>
      <c r="CE11" s="1497"/>
      <c r="CF11" s="460" t="s">
        <v>10</v>
      </c>
      <c r="CG11" s="1497">
        <v>29</v>
      </c>
      <c r="CH11" s="1498">
        <v>22.206896551724135</v>
      </c>
      <c r="CI11" s="1499">
        <v>12</v>
      </c>
      <c r="CJ11" s="1980">
        <f t="shared" si="11"/>
        <v>10.206896551724135</v>
      </c>
    </row>
    <row r="12" spans="1:88">
      <c r="A12" s="105"/>
      <c r="B12" s="105"/>
      <c r="C12" s="41" t="s">
        <v>11</v>
      </c>
      <c r="D12" s="105">
        <v>21.33</v>
      </c>
      <c r="E12" s="105">
        <v>3</v>
      </c>
      <c r="F12" s="1431">
        <f t="shared" si="1"/>
        <v>9.3299999999999983</v>
      </c>
      <c r="G12" s="4591">
        <v>12</v>
      </c>
      <c r="I12" s="107"/>
      <c r="J12" s="107"/>
      <c r="K12" s="47" t="s">
        <v>11</v>
      </c>
      <c r="L12" s="107">
        <v>19.45</v>
      </c>
      <c r="M12" s="107">
        <v>31</v>
      </c>
      <c r="N12" s="1431">
        <f t="shared" si="2"/>
        <v>7.4499999999999993</v>
      </c>
      <c r="O12" s="4591">
        <v>12</v>
      </c>
      <c r="Q12" s="4243"/>
      <c r="R12" s="4243"/>
      <c r="S12" s="44" t="s">
        <v>11</v>
      </c>
      <c r="T12" s="4243">
        <v>19.309999999999999</v>
      </c>
      <c r="U12" s="4243">
        <v>26</v>
      </c>
      <c r="V12" s="4721">
        <f t="shared" si="3"/>
        <v>7.3099999999999987</v>
      </c>
      <c r="W12" s="4722">
        <v>12</v>
      </c>
      <c r="Y12" s="41"/>
      <c r="Z12" s="41"/>
      <c r="AA12" s="41" t="s">
        <v>11</v>
      </c>
      <c r="AB12" s="1495">
        <v>19.95</v>
      </c>
      <c r="AC12" s="105">
        <v>19</v>
      </c>
      <c r="AD12" s="1431">
        <f t="shared" si="4"/>
        <v>7.9499999999999993</v>
      </c>
      <c r="AE12" s="1499">
        <v>12</v>
      </c>
      <c r="AF12" s="2548"/>
      <c r="AG12" s="107"/>
      <c r="AH12" s="107"/>
      <c r="AI12" s="41" t="s">
        <v>11</v>
      </c>
      <c r="AJ12" s="105">
        <v>18.170000000000002</v>
      </c>
      <c r="AK12" s="105">
        <v>23</v>
      </c>
      <c r="AL12" s="1431">
        <f t="shared" si="5"/>
        <v>6.1700000000000017</v>
      </c>
      <c r="AN12" s="105"/>
      <c r="AO12" s="105"/>
      <c r="AP12" s="41" t="s">
        <v>11</v>
      </c>
      <c r="AQ12" s="1495">
        <v>20.43</v>
      </c>
      <c r="AR12" s="105">
        <v>14</v>
      </c>
      <c r="AS12" s="1485">
        <f t="shared" si="0"/>
        <v>8.43</v>
      </c>
      <c r="AU12" s="817"/>
      <c r="AV12" s="817"/>
      <c r="AW12" s="1484" t="s">
        <v>11</v>
      </c>
      <c r="AX12" s="1415">
        <v>21.764705882352942</v>
      </c>
      <c r="AY12" s="1416">
        <v>17</v>
      </c>
      <c r="AZ12" s="1485">
        <f t="shared" si="6"/>
        <v>9.764705882352942</v>
      </c>
      <c r="BB12" s="1486"/>
      <c r="BC12" s="1486"/>
      <c r="BD12" s="1487" t="s">
        <v>11</v>
      </c>
      <c r="BE12" s="1488">
        <v>19</v>
      </c>
      <c r="BF12" s="1489">
        <v>22.473684210526315</v>
      </c>
      <c r="BG12" s="1431">
        <f t="shared" si="7"/>
        <v>10.473684210526315</v>
      </c>
      <c r="BI12" s="1490"/>
      <c r="BJ12" s="1490"/>
      <c r="BK12" s="457" t="s">
        <v>11</v>
      </c>
      <c r="BL12" s="458">
        <v>9</v>
      </c>
      <c r="BM12" s="459">
        <v>21.444444444444443</v>
      </c>
      <c r="BN12" s="1491">
        <f t="shared" si="8"/>
        <v>9.4444444444444429</v>
      </c>
      <c r="BO12" s="41"/>
      <c r="BP12" s="1490"/>
      <c r="BQ12" s="1490"/>
      <c r="BR12" s="1492" t="s">
        <v>11</v>
      </c>
      <c r="BS12" s="1493">
        <v>4</v>
      </c>
      <c r="BT12" s="1494">
        <v>21</v>
      </c>
      <c r="BU12" s="1491">
        <f t="shared" si="9"/>
        <v>9</v>
      </c>
      <c r="BV12" s="41"/>
      <c r="BW12" s="105"/>
      <c r="BX12" s="105"/>
      <c r="BY12" s="41" t="s">
        <v>11</v>
      </c>
      <c r="BZ12" s="105">
        <v>5</v>
      </c>
      <c r="CA12" s="1495">
        <v>21</v>
      </c>
      <c r="CB12" s="1496">
        <f t="shared" si="10"/>
        <v>9</v>
      </c>
      <c r="CC12" s="41"/>
      <c r="CD12" s="1497"/>
      <c r="CE12" s="1497"/>
      <c r="CF12" s="460" t="s">
        <v>11</v>
      </c>
      <c r="CG12" s="1497">
        <v>5</v>
      </c>
      <c r="CH12" s="1498">
        <v>16.8</v>
      </c>
      <c r="CI12" s="1499">
        <v>12</v>
      </c>
      <c r="CJ12" s="1980">
        <f t="shared" si="11"/>
        <v>4.8000000000000007</v>
      </c>
    </row>
    <row r="13" spans="1:88">
      <c r="A13" s="105"/>
      <c r="B13" s="105"/>
      <c r="C13" s="41" t="s">
        <v>12</v>
      </c>
      <c r="D13" s="105">
        <v>21.25</v>
      </c>
      <c r="E13" s="105">
        <v>16</v>
      </c>
      <c r="F13" s="1431">
        <f t="shared" si="1"/>
        <v>9.25</v>
      </c>
      <c r="G13" s="4591">
        <v>12</v>
      </c>
      <c r="I13" s="107"/>
      <c r="J13" s="107"/>
      <c r="K13" s="47" t="s">
        <v>12</v>
      </c>
      <c r="L13" s="107">
        <v>20.96</v>
      </c>
      <c r="M13" s="107">
        <v>49</v>
      </c>
      <c r="N13" s="1431">
        <f t="shared" si="2"/>
        <v>8.9600000000000009</v>
      </c>
      <c r="O13" s="4591">
        <v>12</v>
      </c>
      <c r="Q13" s="4243"/>
      <c r="R13" s="4243"/>
      <c r="S13" s="44" t="s">
        <v>12</v>
      </c>
      <c r="T13" s="4243">
        <v>21.45</v>
      </c>
      <c r="U13" s="4243">
        <v>38</v>
      </c>
      <c r="V13" s="4721">
        <f t="shared" si="3"/>
        <v>9.4499999999999993</v>
      </c>
      <c r="W13" s="4722">
        <v>12</v>
      </c>
      <c r="Y13" s="41"/>
      <c r="Z13" s="41"/>
      <c r="AA13" s="41" t="s">
        <v>12</v>
      </c>
      <c r="AB13" s="1495">
        <v>19.78</v>
      </c>
      <c r="AC13" s="105">
        <v>58</v>
      </c>
      <c r="AD13" s="1431">
        <f t="shared" si="4"/>
        <v>7.7800000000000011</v>
      </c>
      <c r="AE13" s="1499">
        <v>12</v>
      </c>
      <c r="AF13" s="2548"/>
      <c r="AG13" s="107"/>
      <c r="AH13" s="107"/>
      <c r="AI13" s="41" t="s">
        <v>12</v>
      </c>
      <c r="AJ13" s="105">
        <v>20.58</v>
      </c>
      <c r="AK13" s="105">
        <v>60</v>
      </c>
      <c r="AL13" s="1431">
        <f t="shared" si="5"/>
        <v>8.5799999999999983</v>
      </c>
      <c r="AN13" s="105"/>
      <c r="AO13" s="105"/>
      <c r="AP13" s="41" t="s">
        <v>12</v>
      </c>
      <c r="AQ13" s="1495">
        <v>20.32</v>
      </c>
      <c r="AR13" s="105">
        <v>56</v>
      </c>
      <c r="AS13" s="1485">
        <f t="shared" si="0"/>
        <v>8.32</v>
      </c>
      <c r="AU13" s="817"/>
      <c r="AV13" s="817"/>
      <c r="AW13" s="1484" t="s">
        <v>12</v>
      </c>
      <c r="AX13" s="1415">
        <v>20.383561643835613</v>
      </c>
      <c r="AY13" s="1416">
        <v>73</v>
      </c>
      <c r="AZ13" s="1485">
        <f t="shared" si="6"/>
        <v>8.3835616438356126</v>
      </c>
      <c r="BB13" s="1486"/>
      <c r="BC13" s="1486"/>
      <c r="BD13" s="1487" t="s">
        <v>12</v>
      </c>
      <c r="BE13" s="1488">
        <v>84</v>
      </c>
      <c r="BF13" s="1489">
        <v>20.726190476190485</v>
      </c>
      <c r="BG13" s="1431">
        <f t="shared" si="7"/>
        <v>8.7261904761904852</v>
      </c>
      <c r="BI13" s="1490"/>
      <c r="BJ13" s="1490"/>
      <c r="BK13" s="457" t="s">
        <v>12</v>
      </c>
      <c r="BL13" s="458">
        <v>54</v>
      </c>
      <c r="BM13" s="459">
        <v>19.185185185185183</v>
      </c>
      <c r="BN13" s="1491">
        <f t="shared" si="8"/>
        <v>7.1851851851851833</v>
      </c>
      <c r="BO13" s="41"/>
      <c r="BP13" s="1490"/>
      <c r="BQ13" s="1490"/>
      <c r="BR13" s="1492" t="s">
        <v>12</v>
      </c>
      <c r="BS13" s="1493">
        <v>37</v>
      </c>
      <c r="BT13" s="1494">
        <v>18.216216216216214</v>
      </c>
      <c r="BU13" s="1491">
        <f t="shared" si="9"/>
        <v>6.216216216216214</v>
      </c>
      <c r="BV13" s="41"/>
      <c r="BW13" s="105"/>
      <c r="BX13" s="105"/>
      <c r="BY13" s="41" t="s">
        <v>12</v>
      </c>
      <c r="BZ13" s="105">
        <v>45</v>
      </c>
      <c r="CA13" s="1495">
        <v>19.622222222222213</v>
      </c>
      <c r="CB13" s="1496">
        <f t="shared" si="10"/>
        <v>7.6222222222222129</v>
      </c>
      <c r="CC13" s="41"/>
      <c r="CD13" s="1497"/>
      <c r="CE13" s="1497"/>
      <c r="CF13" s="460" t="s">
        <v>12</v>
      </c>
      <c r="CG13" s="1497">
        <v>46</v>
      </c>
      <c r="CH13" s="1498">
        <v>19.978260869565215</v>
      </c>
      <c r="CI13" s="1499">
        <v>12</v>
      </c>
      <c r="CJ13" s="1980">
        <f t="shared" si="11"/>
        <v>7.9782608695652151</v>
      </c>
    </row>
    <row r="14" spans="1:88">
      <c r="A14" s="105"/>
      <c r="B14" s="105"/>
      <c r="C14" s="41" t="s">
        <v>13</v>
      </c>
      <c r="D14" s="105">
        <v>23.8</v>
      </c>
      <c r="E14" s="105">
        <v>20</v>
      </c>
      <c r="F14" s="1431">
        <f t="shared" si="1"/>
        <v>11.8</v>
      </c>
      <c r="G14" s="4591">
        <v>12</v>
      </c>
      <c r="I14" s="107"/>
      <c r="J14" s="107"/>
      <c r="K14" s="47" t="s">
        <v>13</v>
      </c>
      <c r="L14" s="107">
        <v>23.94</v>
      </c>
      <c r="M14" s="107">
        <v>52</v>
      </c>
      <c r="N14" s="1431">
        <f t="shared" si="2"/>
        <v>11.940000000000001</v>
      </c>
      <c r="O14" s="4591">
        <v>12</v>
      </c>
      <c r="Q14" s="4243"/>
      <c r="R14" s="4243"/>
      <c r="S14" s="44" t="s">
        <v>13</v>
      </c>
      <c r="T14" s="4243">
        <v>23.56</v>
      </c>
      <c r="U14" s="4243">
        <v>36</v>
      </c>
      <c r="V14" s="4721">
        <f t="shared" si="3"/>
        <v>11.559999999999999</v>
      </c>
      <c r="W14" s="4722">
        <v>12</v>
      </c>
      <c r="Y14" s="41"/>
      <c r="Z14" s="41"/>
      <c r="AA14" s="41" t="s">
        <v>13</v>
      </c>
      <c r="AB14" s="1495">
        <v>22.71</v>
      </c>
      <c r="AC14" s="105">
        <v>51</v>
      </c>
      <c r="AD14" s="1431">
        <f t="shared" si="4"/>
        <v>10.71</v>
      </c>
      <c r="AE14" s="1499">
        <v>12</v>
      </c>
      <c r="AF14" s="2548"/>
      <c r="AG14" s="107"/>
      <c r="AH14" s="107"/>
      <c r="AI14" s="41" t="s">
        <v>13</v>
      </c>
      <c r="AJ14" s="105">
        <v>22.97</v>
      </c>
      <c r="AK14" s="105">
        <v>62</v>
      </c>
      <c r="AL14" s="1431">
        <f t="shared" si="5"/>
        <v>10.969999999999999</v>
      </c>
      <c r="AN14" s="105"/>
      <c r="AO14" s="105"/>
      <c r="AP14" s="41" t="s">
        <v>13</v>
      </c>
      <c r="AQ14" s="1495">
        <v>22.91</v>
      </c>
      <c r="AR14" s="105">
        <v>57</v>
      </c>
      <c r="AS14" s="1485">
        <f t="shared" si="0"/>
        <v>10.91</v>
      </c>
      <c r="AU14" s="817"/>
      <c r="AV14" s="817"/>
      <c r="AW14" s="1484" t="s">
        <v>13</v>
      </c>
      <c r="AX14" s="1415">
        <v>23.280701754385969</v>
      </c>
      <c r="AY14" s="1416">
        <v>57</v>
      </c>
      <c r="AZ14" s="1485">
        <f t="shared" si="6"/>
        <v>11.280701754385969</v>
      </c>
      <c r="BB14" s="1486"/>
      <c r="BC14" s="1486"/>
      <c r="BD14" s="1487" t="s">
        <v>13</v>
      </c>
      <c r="BE14" s="1488">
        <v>59</v>
      </c>
      <c r="BF14" s="1489">
        <v>22.338983050847457</v>
      </c>
      <c r="BG14" s="1431">
        <f t="shared" si="7"/>
        <v>10.338983050847457</v>
      </c>
      <c r="BI14" s="1490"/>
      <c r="BJ14" s="1490"/>
      <c r="BK14" s="457" t="s">
        <v>13</v>
      </c>
      <c r="BL14" s="458">
        <v>76</v>
      </c>
      <c r="BM14" s="459">
        <v>22.592105263157901</v>
      </c>
      <c r="BN14" s="1491">
        <f t="shared" si="8"/>
        <v>10.592105263157901</v>
      </c>
      <c r="BO14" s="41"/>
      <c r="BP14" s="1490"/>
      <c r="BQ14" s="1490"/>
      <c r="BR14" s="1492" t="s">
        <v>13</v>
      </c>
      <c r="BS14" s="1493">
        <v>71</v>
      </c>
      <c r="BT14" s="1494">
        <v>21.084507042253517</v>
      </c>
      <c r="BU14" s="1491">
        <f t="shared" si="9"/>
        <v>9.0845070422535166</v>
      </c>
      <c r="BV14" s="41"/>
      <c r="BW14" s="105"/>
      <c r="BX14" s="105"/>
      <c r="BY14" s="41" t="s">
        <v>13</v>
      </c>
      <c r="BZ14" s="105">
        <v>71</v>
      </c>
      <c r="CA14" s="1495">
        <v>23.253521126760575</v>
      </c>
      <c r="CB14" s="1496">
        <f t="shared" si="10"/>
        <v>11.253521126760575</v>
      </c>
      <c r="CC14" s="41"/>
      <c r="CD14" s="1497"/>
      <c r="CE14" s="1497"/>
      <c r="CF14" s="460" t="s">
        <v>13</v>
      </c>
      <c r="CG14" s="1497">
        <v>55</v>
      </c>
      <c r="CH14" s="1498">
        <v>22.672727272727272</v>
      </c>
      <c r="CI14" s="1499">
        <v>12</v>
      </c>
      <c r="CJ14" s="1980">
        <f t="shared" si="11"/>
        <v>10.672727272727272</v>
      </c>
    </row>
    <row r="15" spans="1:88">
      <c r="A15" s="105"/>
      <c r="B15" s="105"/>
      <c r="C15" s="41" t="s">
        <v>14</v>
      </c>
      <c r="D15" s="105">
        <v>20.09</v>
      </c>
      <c r="E15" s="105">
        <v>34</v>
      </c>
      <c r="F15" s="1431">
        <f t="shared" si="1"/>
        <v>8.09</v>
      </c>
      <c r="G15" s="4591">
        <v>12</v>
      </c>
      <c r="I15" s="107"/>
      <c r="J15" s="107"/>
      <c r="K15" s="47" t="s">
        <v>14</v>
      </c>
      <c r="L15" s="107">
        <v>22.41</v>
      </c>
      <c r="M15" s="107">
        <v>37</v>
      </c>
      <c r="N15" s="1431">
        <f t="shared" si="2"/>
        <v>10.41</v>
      </c>
      <c r="O15" s="4591">
        <v>12</v>
      </c>
      <c r="Q15" s="4243"/>
      <c r="R15" s="4243"/>
      <c r="S15" s="44" t="s">
        <v>14</v>
      </c>
      <c r="T15" s="4243">
        <v>22.64</v>
      </c>
      <c r="U15" s="4243">
        <v>28</v>
      </c>
      <c r="V15" s="4721">
        <f t="shared" si="3"/>
        <v>10.64</v>
      </c>
      <c r="W15" s="4722">
        <v>12</v>
      </c>
      <c r="Y15" s="41"/>
      <c r="Z15" s="41"/>
      <c r="AA15" s="41" t="s">
        <v>14</v>
      </c>
      <c r="AB15" s="1495">
        <v>22.31</v>
      </c>
      <c r="AC15" s="105">
        <v>59</v>
      </c>
      <c r="AD15" s="1431">
        <f t="shared" si="4"/>
        <v>10.309999999999999</v>
      </c>
      <c r="AE15" s="1499">
        <v>12</v>
      </c>
      <c r="AF15" s="2548"/>
      <c r="AG15" s="107"/>
      <c r="AH15" s="107"/>
      <c r="AI15" s="41" t="s">
        <v>14</v>
      </c>
      <c r="AJ15" s="105">
        <v>23.12</v>
      </c>
      <c r="AK15" s="105">
        <v>81</v>
      </c>
      <c r="AL15" s="1431">
        <f t="shared" si="5"/>
        <v>11.120000000000001</v>
      </c>
      <c r="AN15" s="105"/>
      <c r="AO15" s="105"/>
      <c r="AP15" s="41" t="s">
        <v>14</v>
      </c>
      <c r="AQ15" s="1495">
        <v>22.78</v>
      </c>
      <c r="AR15" s="105">
        <v>81</v>
      </c>
      <c r="AS15" s="1485">
        <f t="shared" si="0"/>
        <v>10.780000000000001</v>
      </c>
      <c r="AU15" s="817"/>
      <c r="AV15" s="817"/>
      <c r="AW15" s="1484" t="s">
        <v>14</v>
      </c>
      <c r="AX15" s="1415">
        <v>20.779220779220779</v>
      </c>
      <c r="AY15" s="1416">
        <v>77</v>
      </c>
      <c r="AZ15" s="1485">
        <f t="shared" si="6"/>
        <v>8.779220779220779</v>
      </c>
      <c r="BB15" s="1486"/>
      <c r="BC15" s="1486"/>
      <c r="BD15" s="1487" t="s">
        <v>14</v>
      </c>
      <c r="BE15" s="1488">
        <v>120</v>
      </c>
      <c r="BF15" s="1489">
        <v>21.458333333333318</v>
      </c>
      <c r="BG15" s="1431">
        <f t="shared" si="7"/>
        <v>9.4583333333333179</v>
      </c>
      <c r="BI15" s="1490"/>
      <c r="BJ15" s="1490"/>
      <c r="BK15" s="457" t="s">
        <v>14</v>
      </c>
      <c r="BL15" s="458">
        <v>67</v>
      </c>
      <c r="BM15" s="459">
        <v>20.850746268656714</v>
      </c>
      <c r="BN15" s="1491">
        <f t="shared" si="8"/>
        <v>8.8507462686567138</v>
      </c>
      <c r="BO15" s="41"/>
      <c r="BP15" s="1490"/>
      <c r="BQ15" s="1490"/>
      <c r="BR15" s="1492" t="s">
        <v>14</v>
      </c>
      <c r="BS15" s="1493">
        <v>55</v>
      </c>
      <c r="BT15" s="1494">
        <v>18.800000000000008</v>
      </c>
      <c r="BU15" s="1491">
        <f t="shared" si="9"/>
        <v>6.8000000000000078</v>
      </c>
      <c r="BV15" s="41"/>
      <c r="BW15" s="105"/>
      <c r="BX15" s="105"/>
      <c r="BY15" s="41" t="s">
        <v>14</v>
      </c>
      <c r="BZ15" s="105">
        <v>64</v>
      </c>
      <c r="CA15" s="1495">
        <v>18.75</v>
      </c>
      <c r="CB15" s="1496">
        <f t="shared" si="10"/>
        <v>6.75</v>
      </c>
      <c r="CC15" s="41"/>
      <c r="CD15" s="1497"/>
      <c r="CE15" s="1497"/>
      <c r="CF15" s="460" t="s">
        <v>14</v>
      </c>
      <c r="CG15" s="1497">
        <v>59</v>
      </c>
      <c r="CH15" s="1498">
        <v>17.101694915254239</v>
      </c>
      <c r="CI15" s="1499">
        <v>12</v>
      </c>
      <c r="CJ15" s="1980">
        <f t="shared" si="11"/>
        <v>5.1016949152542388</v>
      </c>
    </row>
    <row r="16" spans="1:88">
      <c r="A16" s="105"/>
      <c r="B16" s="105"/>
      <c r="C16" s="461" t="s">
        <v>544</v>
      </c>
      <c r="D16" s="5483">
        <v>21.23</v>
      </c>
      <c r="E16" s="5483">
        <v>189</v>
      </c>
      <c r="F16" s="1989">
        <f t="shared" si="1"/>
        <v>9.23</v>
      </c>
      <c r="G16" s="4591">
        <v>12</v>
      </c>
      <c r="I16" s="107"/>
      <c r="J16" s="107"/>
      <c r="K16" s="968" t="s">
        <v>544</v>
      </c>
      <c r="L16" s="145">
        <v>21</v>
      </c>
      <c r="M16" s="145">
        <v>478</v>
      </c>
      <c r="N16" s="1989">
        <f t="shared" si="2"/>
        <v>9</v>
      </c>
      <c r="O16" s="4591">
        <v>12</v>
      </c>
      <c r="Q16" s="4243"/>
      <c r="R16" s="4243"/>
      <c r="S16" s="4716" t="s">
        <v>544</v>
      </c>
      <c r="T16" s="4723">
        <v>21.07</v>
      </c>
      <c r="U16" s="4723">
        <v>363</v>
      </c>
      <c r="V16" s="4724">
        <f t="shared" si="3"/>
        <v>9.07</v>
      </c>
      <c r="W16" s="4722">
        <v>12</v>
      </c>
      <c r="Y16" s="41"/>
      <c r="Z16" s="41"/>
      <c r="AA16" s="461" t="s">
        <v>544</v>
      </c>
      <c r="AB16" s="1510">
        <v>20.34</v>
      </c>
      <c r="AC16" s="2453">
        <v>520</v>
      </c>
      <c r="AD16" s="1989">
        <f t="shared" si="4"/>
        <v>8.34</v>
      </c>
      <c r="AE16" s="1499">
        <v>12</v>
      </c>
      <c r="AF16" s="2548"/>
      <c r="AG16" s="107"/>
      <c r="AH16" s="107"/>
      <c r="AI16" s="461" t="s">
        <v>544</v>
      </c>
      <c r="AJ16" s="96">
        <v>21.17</v>
      </c>
      <c r="AK16" s="96">
        <v>610</v>
      </c>
      <c r="AL16" s="1989">
        <f t="shared" si="5"/>
        <v>9.1700000000000017</v>
      </c>
      <c r="AN16" s="105"/>
      <c r="AO16" s="105"/>
      <c r="AP16" s="461" t="s">
        <v>544</v>
      </c>
      <c r="AQ16" s="1510">
        <v>20.88</v>
      </c>
      <c r="AR16" s="96">
        <v>522</v>
      </c>
      <c r="AS16" s="1655">
        <f t="shared" si="0"/>
        <v>8.879999999999999</v>
      </c>
      <c r="AU16" s="817"/>
      <c r="AV16" s="817"/>
      <c r="AW16" s="1500" t="s">
        <v>544</v>
      </c>
      <c r="AX16" s="1501">
        <v>20.721062618595809</v>
      </c>
      <c r="AY16" s="1502">
        <v>527</v>
      </c>
      <c r="AZ16" s="1485">
        <f t="shared" si="6"/>
        <v>8.7210626185958091</v>
      </c>
      <c r="BB16" s="1486"/>
      <c r="BC16" s="1486"/>
      <c r="BD16" s="1503" t="s">
        <v>544</v>
      </c>
      <c r="BE16" s="1504">
        <v>574</v>
      </c>
      <c r="BF16" s="1505">
        <v>20.921602787456443</v>
      </c>
      <c r="BG16" s="1431">
        <f t="shared" si="7"/>
        <v>8.9216027874564432</v>
      </c>
      <c r="BI16" s="1490"/>
      <c r="BJ16" s="1490"/>
      <c r="BK16" s="1506" t="s">
        <v>544</v>
      </c>
      <c r="BL16" s="1507">
        <f>SUM(BL6:BL15)</f>
        <v>522</v>
      </c>
      <c r="BM16" s="1508">
        <v>20.6</v>
      </c>
      <c r="BN16" s="1509">
        <f t="shared" si="8"/>
        <v>8.6000000000000014</v>
      </c>
      <c r="BO16" s="41"/>
      <c r="BP16" s="1490"/>
      <c r="BQ16" s="1490"/>
      <c r="BR16" s="1506" t="s">
        <v>544</v>
      </c>
      <c r="BS16" s="1507">
        <v>362</v>
      </c>
      <c r="BT16" s="1508">
        <v>20.187845303867427</v>
      </c>
      <c r="BU16" s="1509">
        <f t="shared" si="9"/>
        <v>8.1878453038674266</v>
      </c>
      <c r="BV16" s="41"/>
      <c r="BW16" s="105"/>
      <c r="BX16" s="105"/>
      <c r="BY16" s="461" t="s">
        <v>15</v>
      </c>
      <c r="BZ16" s="96">
        <v>404</v>
      </c>
      <c r="CA16" s="1510">
        <v>20.732673267326739</v>
      </c>
      <c r="CB16" s="1511">
        <f t="shared" si="10"/>
        <v>8.7326732673267387</v>
      </c>
      <c r="CC16" s="41"/>
      <c r="CD16" s="1497"/>
      <c r="CE16" s="1497"/>
      <c r="CF16" s="1512" t="s">
        <v>15</v>
      </c>
      <c r="CG16" s="1513">
        <v>368</v>
      </c>
      <c r="CH16" s="1514">
        <v>20.3451086956522</v>
      </c>
      <c r="CI16" s="1499">
        <v>12</v>
      </c>
      <c r="CJ16" s="1981">
        <f t="shared" si="11"/>
        <v>8.3451086956522005</v>
      </c>
    </row>
    <row r="17" spans="1:88">
      <c r="A17" s="105"/>
      <c r="B17" s="105" t="s">
        <v>16</v>
      </c>
      <c r="C17" s="41" t="s">
        <v>17</v>
      </c>
      <c r="D17" s="105">
        <v>13.88</v>
      </c>
      <c r="E17" s="105">
        <v>137</v>
      </c>
      <c r="F17" s="1431">
        <f t="shared" si="1"/>
        <v>1.8800000000000008</v>
      </c>
      <c r="G17" s="4591">
        <v>12</v>
      </c>
      <c r="I17" s="107"/>
      <c r="J17" s="107" t="s">
        <v>16</v>
      </c>
      <c r="K17" s="47" t="s">
        <v>17</v>
      </c>
      <c r="L17" s="107">
        <v>15.01</v>
      </c>
      <c r="M17" s="107">
        <v>181</v>
      </c>
      <c r="N17" s="1431">
        <f t="shared" si="2"/>
        <v>3.01</v>
      </c>
      <c r="O17" s="4591">
        <v>12</v>
      </c>
      <c r="Q17" s="4243"/>
      <c r="R17" s="4243" t="s">
        <v>16</v>
      </c>
      <c r="S17" s="44" t="s">
        <v>17</v>
      </c>
      <c r="T17" s="4243">
        <v>14.67</v>
      </c>
      <c r="U17" s="4243">
        <v>125</v>
      </c>
      <c r="V17" s="4721">
        <f t="shared" si="3"/>
        <v>2.67</v>
      </c>
      <c r="W17" s="4722">
        <v>12</v>
      </c>
      <c r="Y17" s="41"/>
      <c r="Z17" s="41" t="s">
        <v>16</v>
      </c>
      <c r="AA17" s="41" t="s">
        <v>17</v>
      </c>
      <c r="AB17" s="1495">
        <v>14.93</v>
      </c>
      <c r="AC17" s="105">
        <v>205</v>
      </c>
      <c r="AD17" s="1431">
        <f t="shared" si="4"/>
        <v>2.9299999999999997</v>
      </c>
      <c r="AE17" s="1499">
        <v>12</v>
      </c>
      <c r="AF17" s="2548"/>
      <c r="AG17" s="107"/>
      <c r="AH17" s="107" t="s">
        <v>16</v>
      </c>
      <c r="AI17" s="41" t="s">
        <v>17</v>
      </c>
      <c r="AJ17" s="105">
        <v>15.32</v>
      </c>
      <c r="AK17" s="105">
        <v>196</v>
      </c>
      <c r="AL17" s="1431">
        <f t="shared" si="5"/>
        <v>3.3200000000000003</v>
      </c>
      <c r="AN17" s="105"/>
      <c r="AO17" s="105" t="s">
        <v>16</v>
      </c>
      <c r="AP17" s="41" t="s">
        <v>17</v>
      </c>
      <c r="AQ17" s="1495">
        <v>14.92</v>
      </c>
      <c r="AR17" s="105">
        <v>169</v>
      </c>
      <c r="AS17" s="1485">
        <f t="shared" si="0"/>
        <v>2.92</v>
      </c>
      <c r="AU17" s="817"/>
      <c r="AV17" s="817" t="s">
        <v>16</v>
      </c>
      <c r="AW17" s="1484" t="s">
        <v>17</v>
      </c>
      <c r="AX17" s="1415">
        <v>15.731578947368426</v>
      </c>
      <c r="AY17" s="1416">
        <v>190</v>
      </c>
      <c r="AZ17" s="1485">
        <f t="shared" si="6"/>
        <v>3.7315789473684262</v>
      </c>
      <c r="BB17" s="1486"/>
      <c r="BC17" s="1486" t="s">
        <v>16</v>
      </c>
      <c r="BD17" s="1487" t="s">
        <v>17</v>
      </c>
      <c r="BE17" s="1488">
        <v>179</v>
      </c>
      <c r="BF17" s="1489">
        <v>14.949720670391072</v>
      </c>
      <c r="BG17" s="1431">
        <f t="shared" si="7"/>
        <v>2.9497206703910717</v>
      </c>
      <c r="BI17" s="1490"/>
      <c r="BJ17" s="1490" t="s">
        <v>16</v>
      </c>
      <c r="BK17" s="1492" t="s">
        <v>17</v>
      </c>
      <c r="BL17" s="1493">
        <v>210</v>
      </c>
      <c r="BM17" s="1494">
        <v>15.557142857142855</v>
      </c>
      <c r="BN17" s="1491">
        <f t="shared" si="8"/>
        <v>3.5571428571428552</v>
      </c>
      <c r="BO17" s="41"/>
      <c r="BP17" s="1490"/>
      <c r="BQ17" s="1490" t="s">
        <v>16</v>
      </c>
      <c r="BR17" s="1492" t="s">
        <v>17</v>
      </c>
      <c r="BS17" s="1493">
        <v>181</v>
      </c>
      <c r="BT17" s="1494">
        <v>14.585635359116019</v>
      </c>
      <c r="BU17" s="1491">
        <f t="shared" si="9"/>
        <v>2.5856353591160186</v>
      </c>
      <c r="BV17" s="41"/>
      <c r="BW17" s="105"/>
      <c r="BX17" s="105" t="s">
        <v>16</v>
      </c>
      <c r="BY17" s="41" t="s">
        <v>17</v>
      </c>
      <c r="BZ17" s="105">
        <v>141</v>
      </c>
      <c r="CA17" s="1495">
        <v>15.283687943262414</v>
      </c>
      <c r="CB17" s="1496">
        <f t="shared" si="10"/>
        <v>3.2836879432624144</v>
      </c>
      <c r="CC17" s="41"/>
      <c r="CD17" s="1497"/>
      <c r="CE17" s="1497" t="s">
        <v>16</v>
      </c>
      <c r="CF17" s="460" t="s">
        <v>17</v>
      </c>
      <c r="CG17" s="1497">
        <v>136</v>
      </c>
      <c r="CH17" s="1498">
        <v>15.264705882352938</v>
      </c>
      <c r="CI17" s="1499">
        <v>12</v>
      </c>
      <c r="CJ17" s="1980">
        <f t="shared" si="11"/>
        <v>3.2647058823529385</v>
      </c>
    </row>
    <row r="18" spans="1:88">
      <c r="A18" s="105"/>
      <c r="B18" s="105"/>
      <c r="C18" s="41" t="s">
        <v>18</v>
      </c>
      <c r="D18" s="105">
        <v>15.33</v>
      </c>
      <c r="E18" s="105">
        <v>228</v>
      </c>
      <c r="F18" s="1431">
        <f t="shared" si="1"/>
        <v>3.33</v>
      </c>
      <c r="G18" s="4591">
        <v>12</v>
      </c>
      <c r="I18" s="107"/>
      <c r="J18" s="107"/>
      <c r="K18" s="47" t="s">
        <v>18</v>
      </c>
      <c r="L18" s="107">
        <v>15.16</v>
      </c>
      <c r="M18" s="107">
        <v>282</v>
      </c>
      <c r="N18" s="1431">
        <f t="shared" si="2"/>
        <v>3.16</v>
      </c>
      <c r="O18" s="4591">
        <v>12</v>
      </c>
      <c r="Q18" s="4243"/>
      <c r="R18" s="4243"/>
      <c r="S18" s="44" t="s">
        <v>18</v>
      </c>
      <c r="T18" s="4243">
        <v>15.04</v>
      </c>
      <c r="U18" s="4243">
        <v>207</v>
      </c>
      <c r="V18" s="4721">
        <f t="shared" si="3"/>
        <v>3.0399999999999991</v>
      </c>
      <c r="W18" s="4722">
        <v>12</v>
      </c>
      <c r="Y18" s="41"/>
      <c r="Z18" s="41"/>
      <c r="AA18" s="41" t="s">
        <v>18</v>
      </c>
      <c r="AB18" s="1495">
        <v>15.42</v>
      </c>
      <c r="AC18" s="105">
        <v>326</v>
      </c>
      <c r="AD18" s="1431">
        <f t="shared" si="4"/>
        <v>3.42</v>
      </c>
      <c r="AE18" s="1499">
        <v>12</v>
      </c>
      <c r="AF18" s="2548"/>
      <c r="AG18" s="107"/>
      <c r="AH18" s="107"/>
      <c r="AI18" s="41" t="s">
        <v>18</v>
      </c>
      <c r="AJ18" s="105">
        <v>15.14</v>
      </c>
      <c r="AK18" s="105">
        <v>298</v>
      </c>
      <c r="AL18" s="1431">
        <f t="shared" si="5"/>
        <v>3.1400000000000006</v>
      </c>
      <c r="AN18" s="105"/>
      <c r="AO18" s="105"/>
      <c r="AP18" s="41" t="s">
        <v>18</v>
      </c>
      <c r="AQ18" s="1495">
        <v>15.26</v>
      </c>
      <c r="AR18" s="105">
        <v>284</v>
      </c>
      <c r="AS18" s="1485">
        <f t="shared" si="0"/>
        <v>3.26</v>
      </c>
      <c r="AU18" s="817"/>
      <c r="AV18" s="817"/>
      <c r="AW18" s="1484" t="s">
        <v>18</v>
      </c>
      <c r="AX18" s="1415">
        <v>15.546125461254611</v>
      </c>
      <c r="AY18" s="1416">
        <v>271</v>
      </c>
      <c r="AZ18" s="1485">
        <f t="shared" si="6"/>
        <v>3.5461254612546114</v>
      </c>
      <c r="BB18" s="1486"/>
      <c r="BC18" s="1486"/>
      <c r="BD18" s="1487" t="s">
        <v>18</v>
      </c>
      <c r="BE18" s="1488">
        <v>237</v>
      </c>
      <c r="BF18" s="1489">
        <v>14.797468354430384</v>
      </c>
      <c r="BG18" s="1431">
        <f t="shared" si="7"/>
        <v>2.797468354430384</v>
      </c>
      <c r="BI18" s="1490"/>
      <c r="BJ18" s="1490"/>
      <c r="BK18" s="1492" t="s">
        <v>18</v>
      </c>
      <c r="BL18" s="1493">
        <v>347</v>
      </c>
      <c r="BM18" s="1494">
        <v>15.282420749279545</v>
      </c>
      <c r="BN18" s="1491">
        <f t="shared" si="8"/>
        <v>3.2824207492795452</v>
      </c>
      <c r="BO18" s="41"/>
      <c r="BP18" s="1490"/>
      <c r="BQ18" s="1490"/>
      <c r="BR18" s="1492" t="s">
        <v>18</v>
      </c>
      <c r="BS18" s="1493">
        <v>230</v>
      </c>
      <c r="BT18" s="1494">
        <v>15.834782608695667</v>
      </c>
      <c r="BU18" s="1491">
        <f t="shared" si="9"/>
        <v>3.8347826086956669</v>
      </c>
      <c r="BV18" s="41"/>
      <c r="BW18" s="105"/>
      <c r="BX18" s="105"/>
      <c r="BY18" s="41" t="s">
        <v>18</v>
      </c>
      <c r="BZ18" s="105">
        <v>169</v>
      </c>
      <c r="CA18" s="1495">
        <v>16.100591715976321</v>
      </c>
      <c r="CB18" s="1496">
        <f t="shared" si="10"/>
        <v>4.1005917159763214</v>
      </c>
      <c r="CC18" s="41"/>
      <c r="CD18" s="1497"/>
      <c r="CE18" s="1497"/>
      <c r="CF18" s="460" t="s">
        <v>18</v>
      </c>
      <c r="CG18" s="1497">
        <v>237</v>
      </c>
      <c r="CH18" s="1498">
        <v>15.873417721518992</v>
      </c>
      <c r="CI18" s="1499">
        <v>12</v>
      </c>
      <c r="CJ18" s="1980">
        <f t="shared" si="11"/>
        <v>3.873417721518992</v>
      </c>
    </row>
    <row r="19" spans="1:88">
      <c r="A19" s="105"/>
      <c r="B19" s="105"/>
      <c r="C19" s="41" t="s">
        <v>19</v>
      </c>
      <c r="D19" s="105">
        <v>19.559999999999999</v>
      </c>
      <c r="E19" s="105">
        <v>36</v>
      </c>
      <c r="F19" s="1431">
        <f t="shared" si="1"/>
        <v>7.5599999999999987</v>
      </c>
      <c r="G19" s="4591">
        <v>12</v>
      </c>
      <c r="I19" s="107"/>
      <c r="J19" s="107"/>
      <c r="K19" s="47" t="s">
        <v>19</v>
      </c>
      <c r="L19" s="107">
        <v>21.06</v>
      </c>
      <c r="M19" s="107">
        <v>69</v>
      </c>
      <c r="N19" s="1431">
        <f t="shared" si="2"/>
        <v>9.0599999999999987</v>
      </c>
      <c r="O19" s="4591">
        <v>12</v>
      </c>
      <c r="Q19" s="4243"/>
      <c r="R19" s="4243"/>
      <c r="S19" s="44" t="s">
        <v>19</v>
      </c>
      <c r="T19" s="4243">
        <v>20.47</v>
      </c>
      <c r="U19" s="4243">
        <v>47</v>
      </c>
      <c r="V19" s="4721">
        <f t="shared" si="3"/>
        <v>8.4699999999999989</v>
      </c>
      <c r="W19" s="4722">
        <v>12</v>
      </c>
      <c r="Y19" s="41"/>
      <c r="Z19" s="41"/>
      <c r="AA19" s="41" t="s">
        <v>19</v>
      </c>
      <c r="AB19" s="1495">
        <v>19.079999999999998</v>
      </c>
      <c r="AC19" s="105">
        <v>65</v>
      </c>
      <c r="AD19" s="1431">
        <f t="shared" si="4"/>
        <v>7.0799999999999983</v>
      </c>
      <c r="AE19" s="1499">
        <v>12</v>
      </c>
      <c r="AF19" s="2548"/>
      <c r="AG19" s="107"/>
      <c r="AH19" s="107"/>
      <c r="AI19" s="41" t="s">
        <v>19</v>
      </c>
      <c r="AJ19" s="105">
        <v>18.510000000000002</v>
      </c>
      <c r="AK19" s="105">
        <v>72</v>
      </c>
      <c r="AL19" s="1431">
        <f t="shared" si="5"/>
        <v>6.5100000000000016</v>
      </c>
      <c r="AN19" s="105"/>
      <c r="AO19" s="105"/>
      <c r="AP19" s="41" t="s">
        <v>19</v>
      </c>
      <c r="AQ19" s="1495">
        <v>18</v>
      </c>
      <c r="AR19" s="105">
        <v>63</v>
      </c>
      <c r="AS19" s="1485">
        <f t="shared" si="0"/>
        <v>6</v>
      </c>
      <c r="AU19" s="817"/>
      <c r="AV19" s="817"/>
      <c r="AW19" s="1484" t="s">
        <v>19</v>
      </c>
      <c r="AX19" s="1415">
        <v>17.918918918918923</v>
      </c>
      <c r="AY19" s="1416">
        <v>74</v>
      </c>
      <c r="AZ19" s="1485">
        <f t="shared" si="6"/>
        <v>5.9189189189189229</v>
      </c>
      <c r="BB19" s="1486"/>
      <c r="BC19" s="1486"/>
      <c r="BD19" s="1487" t="s">
        <v>19</v>
      </c>
      <c r="BE19" s="1488">
        <v>55</v>
      </c>
      <c r="BF19" s="1489">
        <v>19</v>
      </c>
      <c r="BG19" s="1431">
        <f t="shared" si="7"/>
        <v>7</v>
      </c>
      <c r="BI19" s="1490"/>
      <c r="BJ19" s="1490"/>
      <c r="BK19" s="1492" t="s">
        <v>19</v>
      </c>
      <c r="BL19" s="1493">
        <v>74</v>
      </c>
      <c r="BM19" s="1494">
        <v>18.216216216216214</v>
      </c>
      <c r="BN19" s="1491">
        <f t="shared" si="8"/>
        <v>6.216216216216214</v>
      </c>
      <c r="BO19" s="41"/>
      <c r="BP19" s="1490"/>
      <c r="BQ19" s="1490"/>
      <c r="BR19" s="1492" t="s">
        <v>19</v>
      </c>
      <c r="BS19" s="1493">
        <v>56</v>
      </c>
      <c r="BT19" s="1494">
        <v>18.928571428571427</v>
      </c>
      <c r="BU19" s="1491">
        <f t="shared" si="9"/>
        <v>6.928571428571427</v>
      </c>
      <c r="BV19" s="41"/>
      <c r="BW19" s="105"/>
      <c r="BX19" s="105"/>
      <c r="BY19" s="41" t="s">
        <v>19</v>
      </c>
      <c r="BZ19" s="105">
        <v>51</v>
      </c>
      <c r="CA19" s="1495">
        <v>18.843137254901961</v>
      </c>
      <c r="CB19" s="1496">
        <f t="shared" si="10"/>
        <v>6.8431372549019613</v>
      </c>
      <c r="CC19" s="41"/>
      <c r="CD19" s="1497"/>
      <c r="CE19" s="1497"/>
      <c r="CF19" s="460" t="s">
        <v>19</v>
      </c>
      <c r="CG19" s="1497">
        <v>61</v>
      </c>
      <c r="CH19" s="1498">
        <v>19.426229508196727</v>
      </c>
      <c r="CI19" s="1499">
        <v>12</v>
      </c>
      <c r="CJ19" s="1980">
        <f t="shared" si="11"/>
        <v>7.4262295081967267</v>
      </c>
    </row>
    <row r="20" spans="1:88">
      <c r="A20" s="105"/>
      <c r="B20" s="105"/>
      <c r="C20" s="41" t="s">
        <v>20</v>
      </c>
      <c r="D20" s="105">
        <v>17.43</v>
      </c>
      <c r="E20" s="105">
        <v>53</v>
      </c>
      <c r="F20" s="1431">
        <f t="shared" si="1"/>
        <v>5.43</v>
      </c>
      <c r="G20" s="4591">
        <v>12</v>
      </c>
      <c r="I20" s="107"/>
      <c r="J20" s="107"/>
      <c r="K20" s="47" t="s">
        <v>20</v>
      </c>
      <c r="L20" s="107">
        <v>18.149999999999999</v>
      </c>
      <c r="M20" s="107">
        <v>96</v>
      </c>
      <c r="N20" s="1431">
        <f t="shared" si="2"/>
        <v>6.1499999999999986</v>
      </c>
      <c r="O20" s="4591">
        <v>12</v>
      </c>
      <c r="Q20" s="4243"/>
      <c r="R20" s="4243"/>
      <c r="S20" s="44" t="s">
        <v>20</v>
      </c>
      <c r="T20" s="4243">
        <v>17.829999999999998</v>
      </c>
      <c r="U20" s="4243">
        <v>72</v>
      </c>
      <c r="V20" s="4721">
        <f t="shared" si="3"/>
        <v>5.8299999999999983</v>
      </c>
      <c r="W20" s="4722">
        <v>12</v>
      </c>
      <c r="Y20" s="41"/>
      <c r="Z20" s="41"/>
      <c r="AA20" s="41" t="s">
        <v>20</v>
      </c>
      <c r="AB20" s="1495">
        <v>18.62</v>
      </c>
      <c r="AC20" s="105">
        <v>82</v>
      </c>
      <c r="AD20" s="1431">
        <f t="shared" si="4"/>
        <v>6.620000000000001</v>
      </c>
      <c r="AE20" s="1499">
        <v>12</v>
      </c>
      <c r="AF20" s="2548"/>
      <c r="AG20" s="107"/>
      <c r="AH20" s="107"/>
      <c r="AI20" s="41" t="s">
        <v>20</v>
      </c>
      <c r="AJ20" s="105">
        <v>18.84</v>
      </c>
      <c r="AK20" s="105">
        <v>90</v>
      </c>
      <c r="AL20" s="1431">
        <f t="shared" si="5"/>
        <v>6.84</v>
      </c>
      <c r="AN20" s="105"/>
      <c r="AO20" s="105"/>
      <c r="AP20" s="41" t="s">
        <v>20</v>
      </c>
      <c r="AQ20" s="1495">
        <v>16.82</v>
      </c>
      <c r="AR20" s="105">
        <v>62</v>
      </c>
      <c r="AS20" s="1485">
        <f t="shared" si="0"/>
        <v>4.82</v>
      </c>
      <c r="AU20" s="817"/>
      <c r="AV20" s="817"/>
      <c r="AW20" s="1484" t="s">
        <v>20</v>
      </c>
      <c r="AX20" s="1415">
        <v>17.861702127659573</v>
      </c>
      <c r="AY20" s="1416">
        <v>94</v>
      </c>
      <c r="AZ20" s="1485">
        <f t="shared" si="6"/>
        <v>5.8617021276595729</v>
      </c>
      <c r="BB20" s="1486"/>
      <c r="BC20" s="1486"/>
      <c r="BD20" s="1487" t="s">
        <v>20</v>
      </c>
      <c r="BE20" s="1488">
        <v>90</v>
      </c>
      <c r="BF20" s="1489">
        <v>17.399999999999999</v>
      </c>
      <c r="BG20" s="1431">
        <f t="shared" si="7"/>
        <v>5.3999999999999986</v>
      </c>
      <c r="BI20" s="1490"/>
      <c r="BJ20" s="1490"/>
      <c r="BK20" s="1492" t="s">
        <v>20</v>
      </c>
      <c r="BL20" s="1493">
        <v>93</v>
      </c>
      <c r="BM20" s="1494">
        <v>18.225806451612893</v>
      </c>
      <c r="BN20" s="1491">
        <f t="shared" si="8"/>
        <v>6.2258064516128933</v>
      </c>
      <c r="BO20" s="41"/>
      <c r="BP20" s="1490"/>
      <c r="BQ20" s="1490"/>
      <c r="BR20" s="1492" t="s">
        <v>20</v>
      </c>
      <c r="BS20" s="1493">
        <v>57</v>
      </c>
      <c r="BT20" s="1494">
        <v>18.368421052631579</v>
      </c>
      <c r="BU20" s="1491">
        <f t="shared" si="9"/>
        <v>6.3684210526315788</v>
      </c>
      <c r="BV20" s="41"/>
      <c r="BW20" s="105"/>
      <c r="BX20" s="105"/>
      <c r="BY20" s="41" t="s">
        <v>20</v>
      </c>
      <c r="BZ20" s="105">
        <v>78</v>
      </c>
      <c r="CA20" s="1495">
        <v>17.538461538461537</v>
      </c>
      <c r="CB20" s="1496">
        <f t="shared" si="10"/>
        <v>5.5384615384615365</v>
      </c>
      <c r="CC20" s="41"/>
      <c r="CD20" s="1497"/>
      <c r="CE20" s="1497"/>
      <c r="CF20" s="460" t="s">
        <v>20</v>
      </c>
      <c r="CG20" s="1497">
        <v>69</v>
      </c>
      <c r="CH20" s="1498">
        <v>17.623188405797098</v>
      </c>
      <c r="CI20" s="1499">
        <v>12</v>
      </c>
      <c r="CJ20" s="1980">
        <f t="shared" si="11"/>
        <v>5.623188405797098</v>
      </c>
    </row>
    <row r="21" spans="1:88">
      <c r="A21" s="105"/>
      <c r="B21" s="105"/>
      <c r="C21" s="461" t="s">
        <v>545</v>
      </c>
      <c r="D21" s="5483">
        <v>15.48</v>
      </c>
      <c r="E21" s="5483">
        <v>454</v>
      </c>
      <c r="F21" s="1989">
        <f t="shared" si="1"/>
        <v>3.4800000000000004</v>
      </c>
      <c r="G21" s="4591">
        <v>12</v>
      </c>
      <c r="I21" s="107"/>
      <c r="J21" s="107"/>
      <c r="K21" s="968" t="s">
        <v>545</v>
      </c>
      <c r="L21" s="145">
        <v>16.22</v>
      </c>
      <c r="M21" s="145">
        <v>628</v>
      </c>
      <c r="N21" s="1989">
        <f t="shared" si="2"/>
        <v>4.2199999999999989</v>
      </c>
      <c r="O21" s="4591">
        <v>12</v>
      </c>
      <c r="Q21" s="4243"/>
      <c r="R21" s="4243"/>
      <c r="S21" s="4716" t="s">
        <v>545</v>
      </c>
      <c r="T21" s="4723">
        <v>15.95</v>
      </c>
      <c r="U21" s="4723">
        <v>451</v>
      </c>
      <c r="V21" s="4724">
        <f t="shared" si="3"/>
        <v>3.9499999999999993</v>
      </c>
      <c r="W21" s="4722">
        <v>12</v>
      </c>
      <c r="Y21" s="41"/>
      <c r="Z21" s="41"/>
      <c r="AA21" s="461" t="s">
        <v>545</v>
      </c>
      <c r="AB21" s="1510">
        <v>16.010000000000002</v>
      </c>
      <c r="AC21" s="2453">
        <v>678</v>
      </c>
      <c r="AD21" s="1989">
        <f t="shared" si="4"/>
        <v>4.0100000000000016</v>
      </c>
      <c r="AE21" s="1499">
        <v>12</v>
      </c>
      <c r="AF21" s="2548"/>
      <c r="AG21" s="107"/>
      <c r="AH21" s="107"/>
      <c r="AI21" s="461" t="s">
        <v>545</v>
      </c>
      <c r="AJ21" s="96">
        <v>16.07</v>
      </c>
      <c r="AK21" s="96">
        <v>656</v>
      </c>
      <c r="AL21" s="1989">
        <f t="shared" si="5"/>
        <v>4.07</v>
      </c>
      <c r="AN21" s="105"/>
      <c r="AO21" s="105"/>
      <c r="AP21" s="461" t="s">
        <v>545</v>
      </c>
      <c r="AQ21" s="1510">
        <v>15.62</v>
      </c>
      <c r="AR21" s="96">
        <v>578</v>
      </c>
      <c r="AS21" s="1655">
        <f t="shared" si="0"/>
        <v>3.6199999999999992</v>
      </c>
      <c r="AU21" s="817"/>
      <c r="AV21" s="817"/>
      <c r="AW21" s="1500" t="s">
        <v>545</v>
      </c>
      <c r="AX21" s="1501">
        <v>16.227344992050885</v>
      </c>
      <c r="AY21" s="1502">
        <v>629</v>
      </c>
      <c r="AZ21" s="1485">
        <f t="shared" si="6"/>
        <v>4.2273449920508845</v>
      </c>
      <c r="BB21" s="1486"/>
      <c r="BC21" s="1486"/>
      <c r="BD21" s="1503" t="s">
        <v>545</v>
      </c>
      <c r="BE21" s="1504">
        <v>561</v>
      </c>
      <c r="BF21" s="1505">
        <v>15.675579322638137</v>
      </c>
      <c r="BG21" s="1431">
        <f t="shared" si="7"/>
        <v>3.6755793226381375</v>
      </c>
      <c r="BI21" s="1490"/>
      <c r="BJ21" s="1490"/>
      <c r="BK21" s="1506" t="s">
        <v>545</v>
      </c>
      <c r="BL21" s="1507">
        <f>SUM(BL17:BL20)</f>
        <v>724</v>
      </c>
      <c r="BM21" s="1508">
        <v>16.04</v>
      </c>
      <c r="BN21" s="1509">
        <f t="shared" si="8"/>
        <v>4.0399999999999991</v>
      </c>
      <c r="BO21" s="41"/>
      <c r="BP21" s="1490"/>
      <c r="BQ21" s="1490"/>
      <c r="BR21" s="1506" t="s">
        <v>545</v>
      </c>
      <c r="BS21" s="1507">
        <v>524</v>
      </c>
      <c r="BT21" s="1508">
        <v>16.009541984732831</v>
      </c>
      <c r="BU21" s="1509">
        <f t="shared" si="9"/>
        <v>4.0095419847328309</v>
      </c>
      <c r="BV21" s="41"/>
      <c r="BW21" s="105"/>
      <c r="BX21" s="105"/>
      <c r="BY21" s="461" t="s">
        <v>15</v>
      </c>
      <c r="BZ21" s="96">
        <v>439</v>
      </c>
      <c r="CA21" s="1510">
        <v>16.412300683371296</v>
      </c>
      <c r="CB21" s="1511">
        <f t="shared" si="10"/>
        <v>4.4123006833712957</v>
      </c>
      <c r="CC21" s="41"/>
      <c r="CD21" s="1497"/>
      <c r="CE21" s="1497"/>
      <c r="CF21" s="1512" t="s">
        <v>15</v>
      </c>
      <c r="CG21" s="1513">
        <v>503</v>
      </c>
      <c r="CH21" s="1514">
        <v>16.37972166998011</v>
      </c>
      <c r="CI21" s="1499">
        <v>12</v>
      </c>
      <c r="CJ21" s="1981">
        <f t="shared" si="11"/>
        <v>4.3797216699801105</v>
      </c>
    </row>
    <row r="22" spans="1:88">
      <c r="A22" s="105"/>
      <c r="B22" s="105" t="s">
        <v>21</v>
      </c>
      <c r="C22" s="41" t="s">
        <v>22</v>
      </c>
      <c r="D22" s="105">
        <v>18.27</v>
      </c>
      <c r="E22" s="105">
        <v>85</v>
      </c>
      <c r="F22" s="1431">
        <f t="shared" si="1"/>
        <v>6.27</v>
      </c>
      <c r="G22" s="4591">
        <v>12</v>
      </c>
      <c r="I22" s="107"/>
      <c r="J22" s="107" t="s">
        <v>21</v>
      </c>
      <c r="K22" s="47" t="s">
        <v>22</v>
      </c>
      <c r="L22" s="107">
        <v>16.39</v>
      </c>
      <c r="M22" s="107">
        <v>130</v>
      </c>
      <c r="N22" s="1431">
        <f t="shared" si="2"/>
        <v>4.3900000000000006</v>
      </c>
      <c r="O22" s="4591">
        <v>12</v>
      </c>
      <c r="Q22" s="4243"/>
      <c r="R22" s="4243" t="s">
        <v>21</v>
      </c>
      <c r="S22" s="44" t="s">
        <v>22</v>
      </c>
      <c r="T22" s="4243">
        <v>15.79</v>
      </c>
      <c r="U22" s="4243">
        <v>99</v>
      </c>
      <c r="V22" s="4721">
        <f t="shared" si="3"/>
        <v>3.7899999999999991</v>
      </c>
      <c r="W22" s="4722">
        <v>12</v>
      </c>
      <c r="Y22" s="41"/>
      <c r="Z22" s="41" t="s">
        <v>21</v>
      </c>
      <c r="AA22" s="41" t="s">
        <v>22</v>
      </c>
      <c r="AB22" s="1495">
        <v>17.350000000000001</v>
      </c>
      <c r="AC22" s="105">
        <v>104</v>
      </c>
      <c r="AD22" s="1431">
        <f t="shared" si="4"/>
        <v>5.3500000000000014</v>
      </c>
      <c r="AE22" s="1499">
        <v>12</v>
      </c>
      <c r="AF22" s="2548"/>
      <c r="AG22" s="107"/>
      <c r="AH22" s="107" t="s">
        <v>21</v>
      </c>
      <c r="AI22" s="41" t="s">
        <v>22</v>
      </c>
      <c r="AJ22" s="105">
        <v>18.23</v>
      </c>
      <c r="AK22" s="105">
        <v>137</v>
      </c>
      <c r="AL22" s="1431">
        <f t="shared" si="5"/>
        <v>6.23</v>
      </c>
      <c r="AN22" s="105"/>
      <c r="AO22" s="105" t="s">
        <v>21</v>
      </c>
      <c r="AP22" s="41" t="s">
        <v>22</v>
      </c>
      <c r="AQ22" s="1495">
        <v>18.62</v>
      </c>
      <c r="AR22" s="105">
        <v>106</v>
      </c>
      <c r="AS22" s="1485">
        <f t="shared" si="0"/>
        <v>6.620000000000001</v>
      </c>
      <c r="AU22" s="817"/>
      <c r="AV22" s="817" t="s">
        <v>21</v>
      </c>
      <c r="AW22" s="1484" t="s">
        <v>22</v>
      </c>
      <c r="AX22" s="1415">
        <v>18.161764705882348</v>
      </c>
      <c r="AY22" s="1416">
        <v>136</v>
      </c>
      <c r="AZ22" s="1485">
        <f t="shared" si="6"/>
        <v>6.1617647058823479</v>
      </c>
      <c r="BB22" s="1486"/>
      <c r="BC22" s="1486" t="s">
        <v>21</v>
      </c>
      <c r="BD22" s="1487" t="s">
        <v>22</v>
      </c>
      <c r="BE22" s="1488">
        <v>118</v>
      </c>
      <c r="BF22" s="1489">
        <v>17.415254237288142</v>
      </c>
      <c r="BG22" s="1431">
        <f t="shared" si="7"/>
        <v>5.415254237288142</v>
      </c>
      <c r="BI22" s="1490"/>
      <c r="BJ22" s="1490" t="s">
        <v>21</v>
      </c>
      <c r="BK22" s="1492" t="s">
        <v>22</v>
      </c>
      <c r="BL22" s="1493">
        <v>137</v>
      </c>
      <c r="BM22" s="1494">
        <v>16.693430656934307</v>
      </c>
      <c r="BN22" s="1491">
        <f t="shared" si="8"/>
        <v>4.6934306569343072</v>
      </c>
      <c r="BO22" s="41"/>
      <c r="BP22" s="1490"/>
      <c r="BQ22" s="1490" t="s">
        <v>21</v>
      </c>
      <c r="BR22" s="1492" t="s">
        <v>22</v>
      </c>
      <c r="BS22" s="1493">
        <v>85</v>
      </c>
      <c r="BT22" s="1494">
        <v>16.776470588235288</v>
      </c>
      <c r="BU22" s="1491">
        <f t="shared" si="9"/>
        <v>4.7764705882352878</v>
      </c>
      <c r="BV22" s="41"/>
      <c r="BW22" s="105"/>
      <c r="BX22" s="105" t="s">
        <v>21</v>
      </c>
      <c r="BY22" s="41" t="s">
        <v>22</v>
      </c>
      <c r="BZ22" s="105">
        <v>91</v>
      </c>
      <c r="CA22" s="1495">
        <v>16.131868131868135</v>
      </c>
      <c r="CB22" s="1496">
        <f t="shared" si="10"/>
        <v>4.131868131868135</v>
      </c>
      <c r="CC22" s="41"/>
      <c r="CD22" s="1497"/>
      <c r="CE22" s="1497" t="s">
        <v>21</v>
      </c>
      <c r="CF22" s="460" t="s">
        <v>22</v>
      </c>
      <c r="CG22" s="1497">
        <v>117</v>
      </c>
      <c r="CH22" s="1498">
        <v>17.606837606837612</v>
      </c>
      <c r="CI22" s="1499">
        <v>12</v>
      </c>
      <c r="CJ22" s="1980">
        <f t="shared" si="11"/>
        <v>5.6068376068376118</v>
      </c>
    </row>
    <row r="23" spans="1:88">
      <c r="A23" s="105"/>
      <c r="B23" s="105"/>
      <c r="C23" s="41" t="s">
        <v>23</v>
      </c>
      <c r="D23" s="105">
        <v>14.56</v>
      </c>
      <c r="E23" s="105">
        <v>179</v>
      </c>
      <c r="F23" s="1431">
        <f t="shared" si="1"/>
        <v>2.5600000000000005</v>
      </c>
      <c r="G23" s="4591">
        <v>12</v>
      </c>
      <c r="I23" s="107"/>
      <c r="J23" s="107"/>
      <c r="K23" s="47" t="s">
        <v>23</v>
      </c>
      <c r="L23" s="107">
        <v>14.52</v>
      </c>
      <c r="M23" s="107">
        <v>161</v>
      </c>
      <c r="N23" s="1431">
        <f t="shared" si="2"/>
        <v>2.5199999999999996</v>
      </c>
      <c r="O23" s="4591">
        <v>12</v>
      </c>
      <c r="Q23" s="4243"/>
      <c r="R23" s="4243"/>
      <c r="S23" s="44" t="s">
        <v>23</v>
      </c>
      <c r="T23" s="4243">
        <v>14.09</v>
      </c>
      <c r="U23" s="4243">
        <v>143</v>
      </c>
      <c r="V23" s="4721">
        <f t="shared" si="3"/>
        <v>2.09</v>
      </c>
      <c r="W23" s="4722">
        <v>12</v>
      </c>
      <c r="Y23" s="41"/>
      <c r="Z23" s="41"/>
      <c r="AA23" s="41" t="s">
        <v>23</v>
      </c>
      <c r="AB23" s="1495">
        <v>15.05</v>
      </c>
      <c r="AC23" s="105">
        <v>136</v>
      </c>
      <c r="AD23" s="1431">
        <f t="shared" si="4"/>
        <v>3.0500000000000007</v>
      </c>
      <c r="AE23" s="1499">
        <v>12</v>
      </c>
      <c r="AF23" s="2548"/>
      <c r="AG23" s="107"/>
      <c r="AH23" s="107"/>
      <c r="AI23" s="41" t="s">
        <v>23</v>
      </c>
      <c r="AJ23" s="105">
        <v>15.14</v>
      </c>
      <c r="AK23" s="105">
        <v>160</v>
      </c>
      <c r="AL23" s="1431">
        <f t="shared" si="5"/>
        <v>3.1400000000000006</v>
      </c>
      <c r="AN23" s="105"/>
      <c r="AO23" s="105"/>
      <c r="AP23" s="41" t="s">
        <v>23</v>
      </c>
      <c r="AQ23" s="1495">
        <v>14.52</v>
      </c>
      <c r="AR23" s="105">
        <v>122</v>
      </c>
      <c r="AS23" s="1485">
        <f t="shared" si="0"/>
        <v>2.5199999999999996</v>
      </c>
      <c r="AU23" s="817"/>
      <c r="AV23" s="817"/>
      <c r="AW23" s="1484" t="s">
        <v>23</v>
      </c>
      <c r="AX23" s="1415">
        <v>15.736363636363627</v>
      </c>
      <c r="AY23" s="1416">
        <v>110</v>
      </c>
      <c r="AZ23" s="1485">
        <f t="shared" si="6"/>
        <v>3.7363636363636274</v>
      </c>
      <c r="BB23" s="1486"/>
      <c r="BC23" s="1486"/>
      <c r="BD23" s="1487" t="s">
        <v>23</v>
      </c>
      <c r="BE23" s="1488">
        <v>127</v>
      </c>
      <c r="BF23" s="1489">
        <v>15.354330708661418</v>
      </c>
      <c r="BG23" s="1431">
        <f t="shared" si="7"/>
        <v>3.3543307086614185</v>
      </c>
      <c r="BI23" s="1490"/>
      <c r="BJ23" s="1490"/>
      <c r="BK23" s="1492" t="s">
        <v>23</v>
      </c>
      <c r="BL23" s="1493">
        <v>107</v>
      </c>
      <c r="BM23" s="1494">
        <v>15.205607476635523</v>
      </c>
      <c r="BN23" s="1491">
        <f t="shared" si="8"/>
        <v>3.2056074766355227</v>
      </c>
      <c r="BO23" s="41"/>
      <c r="BP23" s="1490"/>
      <c r="BQ23" s="1490"/>
      <c r="BR23" s="1492" t="s">
        <v>23</v>
      </c>
      <c r="BS23" s="1493">
        <v>105</v>
      </c>
      <c r="BT23" s="1494">
        <v>16.038095238095231</v>
      </c>
      <c r="BU23" s="1491">
        <f t="shared" si="9"/>
        <v>4.0380952380952309</v>
      </c>
      <c r="BV23" s="41"/>
      <c r="BW23" s="105"/>
      <c r="BX23" s="105"/>
      <c r="BY23" s="41" t="s">
        <v>23</v>
      </c>
      <c r="BZ23" s="105">
        <v>83</v>
      </c>
      <c r="CA23" s="1495">
        <v>15.566265060240967</v>
      </c>
      <c r="CB23" s="1496">
        <f t="shared" si="10"/>
        <v>3.5662650602409673</v>
      </c>
      <c r="CC23" s="41"/>
      <c r="CD23" s="1497"/>
      <c r="CE23" s="1497"/>
      <c r="CF23" s="460" t="s">
        <v>23</v>
      </c>
      <c r="CG23" s="1497">
        <v>120</v>
      </c>
      <c r="CH23" s="1498">
        <v>15.208333333333336</v>
      </c>
      <c r="CI23" s="1499">
        <v>12</v>
      </c>
      <c r="CJ23" s="1980">
        <f t="shared" si="11"/>
        <v>3.2083333333333357</v>
      </c>
    </row>
    <row r="24" spans="1:88">
      <c r="A24" s="105"/>
      <c r="B24" s="105"/>
      <c r="C24" s="41" t="s">
        <v>24</v>
      </c>
      <c r="D24" s="105">
        <v>14.45</v>
      </c>
      <c r="E24" s="105">
        <v>87</v>
      </c>
      <c r="F24" s="1431">
        <f t="shared" si="1"/>
        <v>2.4499999999999993</v>
      </c>
      <c r="G24" s="4591">
        <v>12</v>
      </c>
      <c r="I24" s="107"/>
      <c r="J24" s="107"/>
      <c r="K24" s="47" t="s">
        <v>24</v>
      </c>
      <c r="L24" s="107">
        <v>16.55</v>
      </c>
      <c r="M24" s="107">
        <v>107</v>
      </c>
      <c r="N24" s="1431">
        <f t="shared" si="2"/>
        <v>4.5500000000000007</v>
      </c>
      <c r="O24" s="4591">
        <v>12</v>
      </c>
      <c r="Q24" s="4243"/>
      <c r="R24" s="4243"/>
      <c r="S24" s="44" t="s">
        <v>24</v>
      </c>
      <c r="T24" s="4243">
        <v>16.21</v>
      </c>
      <c r="U24" s="4243">
        <v>80</v>
      </c>
      <c r="V24" s="4721">
        <f t="shared" si="3"/>
        <v>4.2100000000000009</v>
      </c>
      <c r="W24" s="4722">
        <v>12</v>
      </c>
      <c r="Y24" s="41"/>
      <c r="Z24" s="41"/>
      <c r="AA24" s="41" t="s">
        <v>24</v>
      </c>
      <c r="AB24" s="1495">
        <v>15.26</v>
      </c>
      <c r="AC24" s="105">
        <v>91</v>
      </c>
      <c r="AD24" s="1431">
        <f t="shared" si="4"/>
        <v>3.26</v>
      </c>
      <c r="AE24" s="1499">
        <v>12</v>
      </c>
      <c r="AF24" s="2548"/>
      <c r="AG24" s="107"/>
      <c r="AH24" s="107"/>
      <c r="AI24" s="41" t="s">
        <v>24</v>
      </c>
      <c r="AJ24" s="105">
        <v>16.29</v>
      </c>
      <c r="AK24" s="105">
        <v>112</v>
      </c>
      <c r="AL24" s="1431">
        <f t="shared" si="5"/>
        <v>4.2899999999999991</v>
      </c>
      <c r="AN24" s="105"/>
      <c r="AO24" s="105"/>
      <c r="AP24" s="41" t="s">
        <v>24</v>
      </c>
      <c r="AQ24" s="1495">
        <v>15.7</v>
      </c>
      <c r="AR24" s="105">
        <v>100</v>
      </c>
      <c r="AS24" s="1485">
        <f t="shared" si="0"/>
        <v>3.6999999999999993</v>
      </c>
      <c r="AU24" s="817"/>
      <c r="AV24" s="817"/>
      <c r="AW24" s="1484" t="s">
        <v>24</v>
      </c>
      <c r="AX24" s="1415">
        <v>16.927835051546396</v>
      </c>
      <c r="AY24" s="1416">
        <v>97</v>
      </c>
      <c r="AZ24" s="1485">
        <f t="shared" si="6"/>
        <v>4.9278350515463956</v>
      </c>
      <c r="BB24" s="1486"/>
      <c r="BC24" s="1486"/>
      <c r="BD24" s="1487" t="s">
        <v>24</v>
      </c>
      <c r="BE24" s="1488">
        <v>100</v>
      </c>
      <c r="BF24" s="1489">
        <v>15.91</v>
      </c>
      <c r="BG24" s="1431">
        <f t="shared" si="7"/>
        <v>3.91</v>
      </c>
      <c r="BI24" s="1490"/>
      <c r="BJ24" s="1490"/>
      <c r="BK24" s="1492" t="s">
        <v>24</v>
      </c>
      <c r="BL24" s="1493">
        <v>89</v>
      </c>
      <c r="BM24" s="1494">
        <v>16.157303370786511</v>
      </c>
      <c r="BN24" s="1491">
        <f t="shared" si="8"/>
        <v>4.1573033707865115</v>
      </c>
      <c r="BO24" s="41"/>
      <c r="BP24" s="1490"/>
      <c r="BQ24" s="1490"/>
      <c r="BR24" s="1492" t="s">
        <v>24</v>
      </c>
      <c r="BS24" s="1493">
        <v>63</v>
      </c>
      <c r="BT24" s="1494">
        <v>18.603174603174601</v>
      </c>
      <c r="BU24" s="1491">
        <f t="shared" si="9"/>
        <v>6.603174603174601</v>
      </c>
      <c r="BV24" s="41"/>
      <c r="BW24" s="105"/>
      <c r="BX24" s="105"/>
      <c r="BY24" s="41" t="s">
        <v>24</v>
      </c>
      <c r="BZ24" s="105">
        <v>68</v>
      </c>
      <c r="CA24" s="1495">
        <v>16.97058823529412</v>
      </c>
      <c r="CB24" s="1496">
        <f t="shared" si="10"/>
        <v>4.9705882352941195</v>
      </c>
      <c r="CC24" s="41"/>
      <c r="CD24" s="1497"/>
      <c r="CE24" s="1497"/>
      <c r="CF24" s="460" t="s">
        <v>24</v>
      </c>
      <c r="CG24" s="1497">
        <v>84</v>
      </c>
      <c r="CH24" s="1498">
        <v>16.714285714285708</v>
      </c>
      <c r="CI24" s="1499">
        <v>12</v>
      </c>
      <c r="CJ24" s="1980">
        <f t="shared" si="11"/>
        <v>4.7142857142857082</v>
      </c>
    </row>
    <row r="25" spans="1:88">
      <c r="A25" s="105"/>
      <c r="B25" s="105"/>
      <c r="C25" s="461" t="s">
        <v>546</v>
      </c>
      <c r="D25" s="5483">
        <v>15.43</v>
      </c>
      <c r="E25" s="5483">
        <v>351</v>
      </c>
      <c r="F25" s="1989">
        <f t="shared" si="1"/>
        <v>3.4299999999999997</v>
      </c>
      <c r="G25" s="4591">
        <v>12</v>
      </c>
      <c r="I25" s="107"/>
      <c r="J25" s="107"/>
      <c r="K25" s="968" t="s">
        <v>546</v>
      </c>
      <c r="L25" s="145">
        <v>15.68</v>
      </c>
      <c r="M25" s="145">
        <v>398</v>
      </c>
      <c r="N25" s="1989">
        <f t="shared" si="2"/>
        <v>3.6799999999999997</v>
      </c>
      <c r="O25" s="4591">
        <v>12</v>
      </c>
      <c r="Q25" s="4243"/>
      <c r="R25" s="4243"/>
      <c r="S25" s="4716" t="s">
        <v>546</v>
      </c>
      <c r="T25" s="4723">
        <v>15.14</v>
      </c>
      <c r="U25" s="4723">
        <v>322</v>
      </c>
      <c r="V25" s="4724">
        <f t="shared" si="3"/>
        <v>3.1400000000000006</v>
      </c>
      <c r="W25" s="4722">
        <v>12</v>
      </c>
      <c r="Y25" s="41"/>
      <c r="Z25" s="41"/>
      <c r="AA25" s="461" t="s">
        <v>546</v>
      </c>
      <c r="AB25" s="1510">
        <v>15.83</v>
      </c>
      <c r="AC25" s="2453">
        <v>331</v>
      </c>
      <c r="AD25" s="1989">
        <f t="shared" si="4"/>
        <v>3.83</v>
      </c>
      <c r="AE25" s="1499">
        <v>12</v>
      </c>
      <c r="AF25" s="2548"/>
      <c r="AG25" s="107"/>
      <c r="AH25" s="107"/>
      <c r="AI25" s="461" t="s">
        <v>546</v>
      </c>
      <c r="AJ25" s="96">
        <v>16.489999999999998</v>
      </c>
      <c r="AK25" s="96">
        <v>409</v>
      </c>
      <c r="AL25" s="1989">
        <f t="shared" si="5"/>
        <v>4.4899999999999984</v>
      </c>
      <c r="AN25" s="105"/>
      <c r="AO25" s="105"/>
      <c r="AP25" s="461" t="s">
        <v>546</v>
      </c>
      <c r="AQ25" s="1510">
        <v>16.2</v>
      </c>
      <c r="AR25" s="96">
        <v>328</v>
      </c>
      <c r="AS25" s="1655">
        <f t="shared" si="0"/>
        <v>4.1999999999999993</v>
      </c>
      <c r="AU25" s="817"/>
      <c r="AV25" s="817"/>
      <c r="AW25" s="1500" t="s">
        <v>546</v>
      </c>
      <c r="AX25" s="1501">
        <v>17.034985422740519</v>
      </c>
      <c r="AY25" s="1502">
        <v>343</v>
      </c>
      <c r="AZ25" s="1485">
        <f t="shared" si="6"/>
        <v>5.0349854227405189</v>
      </c>
      <c r="BB25" s="1486"/>
      <c r="BC25" s="1486"/>
      <c r="BD25" s="1503" t="s">
        <v>546</v>
      </c>
      <c r="BE25" s="1504">
        <v>345</v>
      </c>
      <c r="BF25" s="1505">
        <v>16.220289855072441</v>
      </c>
      <c r="BG25" s="1431">
        <f t="shared" si="7"/>
        <v>4.2202898550724406</v>
      </c>
      <c r="BI25" s="1490"/>
      <c r="BJ25" s="1490"/>
      <c r="BK25" s="1506" t="s">
        <v>546</v>
      </c>
      <c r="BL25" s="1507">
        <f>SUM(BL22:BL24)</f>
        <v>333</v>
      </c>
      <c r="BM25" s="1508">
        <v>16.07</v>
      </c>
      <c r="BN25" s="1509">
        <f t="shared" si="8"/>
        <v>4.07</v>
      </c>
      <c r="BO25" s="41"/>
      <c r="BP25" s="1490"/>
      <c r="BQ25" s="1490"/>
      <c r="BR25" s="1506" t="s">
        <v>546</v>
      </c>
      <c r="BS25" s="1507">
        <v>253</v>
      </c>
      <c r="BT25" s="1508">
        <v>16.924901185770747</v>
      </c>
      <c r="BU25" s="1509">
        <f t="shared" si="9"/>
        <v>4.9249011857707465</v>
      </c>
      <c r="BV25" s="41"/>
      <c r="BW25" s="105"/>
      <c r="BX25" s="105"/>
      <c r="BY25" s="461" t="s">
        <v>15</v>
      </c>
      <c r="BZ25" s="96">
        <v>242</v>
      </c>
      <c r="CA25" s="1510">
        <v>16.17355371900825</v>
      </c>
      <c r="CB25" s="1511">
        <f t="shared" si="10"/>
        <v>4.1735537190082503</v>
      </c>
      <c r="CC25" s="41"/>
      <c r="CD25" s="1497"/>
      <c r="CE25" s="1497"/>
      <c r="CF25" s="1512" t="s">
        <v>15</v>
      </c>
      <c r="CG25" s="1513">
        <v>321</v>
      </c>
      <c r="CH25" s="1514">
        <v>16.476635514018696</v>
      </c>
      <c r="CI25" s="1499">
        <v>12</v>
      </c>
      <c r="CJ25" s="1981">
        <f t="shared" si="11"/>
        <v>4.476635514018696</v>
      </c>
    </row>
    <row r="26" spans="1:88">
      <c r="A26" s="105"/>
      <c r="B26" s="105"/>
      <c r="C26" s="5488" t="s">
        <v>106</v>
      </c>
      <c r="D26" s="5489">
        <v>16.559999999999999</v>
      </c>
      <c r="E26" s="5489">
        <v>994</v>
      </c>
      <c r="F26" s="1990">
        <f t="shared" si="1"/>
        <v>4.5599999999999987</v>
      </c>
      <c r="G26" s="4594">
        <v>12</v>
      </c>
      <c r="I26" s="107"/>
      <c r="J26" s="107"/>
      <c r="K26" s="4592" t="s">
        <v>106</v>
      </c>
      <c r="L26" s="4593">
        <v>17.600000000000001</v>
      </c>
      <c r="M26" s="4593">
        <v>1504</v>
      </c>
      <c r="N26" s="1990">
        <f t="shared" si="2"/>
        <v>5.6000000000000014</v>
      </c>
      <c r="O26" s="4594">
        <v>12</v>
      </c>
      <c r="Q26" s="4243"/>
      <c r="R26" s="4243"/>
      <c r="S26" s="4725" t="s">
        <v>106</v>
      </c>
      <c r="T26" s="4726">
        <v>17.350000000000001</v>
      </c>
      <c r="U26" s="4726">
        <v>1136</v>
      </c>
      <c r="V26" s="4727">
        <f t="shared" si="3"/>
        <v>5.3500000000000014</v>
      </c>
      <c r="W26" s="4728">
        <v>12</v>
      </c>
      <c r="Y26" s="2460"/>
      <c r="Z26" s="2460"/>
      <c r="AA26" s="2461" t="s">
        <v>106</v>
      </c>
      <c r="AB26" s="2462">
        <v>17.440000000000001</v>
      </c>
      <c r="AC26" s="2463">
        <v>1529</v>
      </c>
      <c r="AD26" s="1990">
        <f t="shared" si="4"/>
        <v>5.4400000000000013</v>
      </c>
      <c r="AE26" s="1530">
        <v>12</v>
      </c>
      <c r="AF26" s="2548"/>
      <c r="AG26" s="1676"/>
      <c r="AH26" s="1676"/>
      <c r="AI26" s="1652" t="s">
        <v>106</v>
      </c>
      <c r="AJ26" s="1654">
        <v>18.03</v>
      </c>
      <c r="AK26" s="1654">
        <v>1675</v>
      </c>
      <c r="AL26" s="1990">
        <f t="shared" si="5"/>
        <v>6.0300000000000011</v>
      </c>
      <c r="AN26" s="1657"/>
      <c r="AO26" s="1657"/>
      <c r="AP26" s="1652" t="s">
        <v>106</v>
      </c>
      <c r="AQ26" s="1653">
        <v>17.68</v>
      </c>
      <c r="AR26" s="1654">
        <v>1428</v>
      </c>
      <c r="AS26" s="1656">
        <f t="shared" si="0"/>
        <v>5.68</v>
      </c>
      <c r="AU26" s="817"/>
      <c r="AV26" s="817"/>
      <c r="AW26" s="1500" t="s">
        <v>106</v>
      </c>
      <c r="AX26" s="1501">
        <v>17.991994663108716</v>
      </c>
      <c r="AY26" s="1502">
        <v>1499</v>
      </c>
      <c r="AZ26" s="1515">
        <f t="shared" si="6"/>
        <v>5.9919946631087164</v>
      </c>
      <c r="BB26" s="1516"/>
      <c r="BC26" s="1516"/>
      <c r="BD26" s="1517" t="s">
        <v>106</v>
      </c>
      <c r="BE26" s="1518">
        <v>1480</v>
      </c>
      <c r="BF26" s="1519">
        <v>17.837162162162194</v>
      </c>
      <c r="BG26" s="1520">
        <f t="shared" si="7"/>
        <v>5.8371621621621941</v>
      </c>
      <c r="BI26" s="1490"/>
      <c r="BJ26" s="1490"/>
      <c r="BK26" s="1506" t="s">
        <v>106</v>
      </c>
      <c r="BL26" s="1507">
        <f>SUM(BL25,BL21,BL16)</f>
        <v>1579</v>
      </c>
      <c r="BM26" s="1508">
        <v>17.55</v>
      </c>
      <c r="BN26" s="1509">
        <f t="shared" si="8"/>
        <v>5.5500000000000007</v>
      </c>
      <c r="BO26" s="41"/>
      <c r="BP26" s="1490"/>
      <c r="BQ26" s="1490"/>
      <c r="BR26" s="1506" t="s">
        <v>106</v>
      </c>
      <c r="BS26" s="1507">
        <v>1139</v>
      </c>
      <c r="BT26" s="1508">
        <v>17.540825285338023</v>
      </c>
      <c r="BU26" s="1509">
        <f t="shared" si="9"/>
        <v>5.5408252853380233</v>
      </c>
      <c r="BV26" s="41"/>
      <c r="BW26" s="1521"/>
      <c r="BX26" s="1521"/>
      <c r="BY26" s="1522" t="s">
        <v>106</v>
      </c>
      <c r="BZ26" s="1523">
        <v>1085</v>
      </c>
      <c r="CA26" s="1524">
        <v>17.967741935483861</v>
      </c>
      <c r="CB26" s="1525">
        <f t="shared" si="10"/>
        <v>5.9677419354838612</v>
      </c>
      <c r="CC26" s="41"/>
      <c r="CD26" s="1526"/>
      <c r="CE26" s="1526"/>
      <c r="CF26" s="1527" t="s">
        <v>106</v>
      </c>
      <c r="CG26" s="1528">
        <v>1192</v>
      </c>
      <c r="CH26" s="1529">
        <v>17.630033557046996</v>
      </c>
      <c r="CI26" s="1530">
        <v>12</v>
      </c>
      <c r="CJ26" s="1982">
        <f t="shared" si="11"/>
        <v>5.6300335570469962</v>
      </c>
    </row>
    <row r="27" spans="1:88">
      <c r="A27" s="105" t="s">
        <v>25</v>
      </c>
      <c r="B27" s="105" t="s">
        <v>4</v>
      </c>
      <c r="C27" s="41" t="s">
        <v>26</v>
      </c>
      <c r="D27" s="105">
        <v>18.89</v>
      </c>
      <c r="E27" s="105">
        <v>27</v>
      </c>
      <c r="F27" s="1431">
        <f t="shared" si="1"/>
        <v>6.8900000000000006</v>
      </c>
      <c r="G27" s="4591">
        <v>12</v>
      </c>
      <c r="I27" s="107" t="s">
        <v>25</v>
      </c>
      <c r="J27" s="107" t="s">
        <v>4</v>
      </c>
      <c r="K27" s="47" t="s">
        <v>26</v>
      </c>
      <c r="L27" s="107">
        <v>22.2</v>
      </c>
      <c r="M27" s="107">
        <v>61</v>
      </c>
      <c r="N27" s="1431">
        <f t="shared" si="2"/>
        <v>10.199999999999999</v>
      </c>
      <c r="O27" s="4591">
        <v>12</v>
      </c>
      <c r="Q27" s="4243" t="s">
        <v>25</v>
      </c>
      <c r="R27" s="4243" t="s">
        <v>4</v>
      </c>
      <c r="S27" s="44" t="s">
        <v>26</v>
      </c>
      <c r="T27" s="4243">
        <v>22.79</v>
      </c>
      <c r="U27" s="4243">
        <v>38</v>
      </c>
      <c r="V27" s="4721">
        <f t="shared" si="3"/>
        <v>10.79</v>
      </c>
      <c r="W27" s="4722">
        <v>12</v>
      </c>
      <c r="Y27" s="41" t="s">
        <v>25</v>
      </c>
      <c r="Z27" s="41" t="s">
        <v>4</v>
      </c>
      <c r="AA27" s="41" t="s">
        <v>26</v>
      </c>
      <c r="AB27" s="1495">
        <v>19.71</v>
      </c>
      <c r="AC27" s="105">
        <v>56</v>
      </c>
      <c r="AD27" s="1431">
        <f t="shared" si="4"/>
        <v>7.7100000000000009</v>
      </c>
      <c r="AE27" s="1499">
        <v>12</v>
      </c>
      <c r="AF27" s="2548"/>
      <c r="AG27" s="107" t="s">
        <v>25</v>
      </c>
      <c r="AH27" s="107" t="s">
        <v>4</v>
      </c>
      <c r="AI27" s="41" t="s">
        <v>26</v>
      </c>
      <c r="AJ27" s="105">
        <v>20.38</v>
      </c>
      <c r="AK27" s="105">
        <v>37</v>
      </c>
      <c r="AL27" s="1431">
        <f t="shared" si="5"/>
        <v>8.379999999999999</v>
      </c>
      <c r="AN27" s="105" t="s">
        <v>25</v>
      </c>
      <c r="AO27" s="105" t="s">
        <v>4</v>
      </c>
      <c r="AP27" s="41" t="s">
        <v>26</v>
      </c>
      <c r="AQ27" s="1495">
        <v>21.24</v>
      </c>
      <c r="AR27" s="105">
        <v>29</v>
      </c>
      <c r="AS27" s="1485">
        <f t="shared" si="0"/>
        <v>9.2399999999999984</v>
      </c>
      <c r="AU27" s="1404" t="s">
        <v>25</v>
      </c>
      <c r="AV27" s="1404" t="s">
        <v>4</v>
      </c>
      <c r="AW27" s="1531" t="s">
        <v>26</v>
      </c>
      <c r="AX27" s="1532">
        <v>20.77272727272727</v>
      </c>
      <c r="AY27" s="1533">
        <v>22</v>
      </c>
      <c r="AZ27" s="1485">
        <f t="shared" si="6"/>
        <v>8.7727272727272698</v>
      </c>
      <c r="BB27" s="1486" t="s">
        <v>25</v>
      </c>
      <c r="BC27" s="1486" t="s">
        <v>4</v>
      </c>
      <c r="BD27" s="1487" t="s">
        <v>26</v>
      </c>
      <c r="BE27" s="1488">
        <v>33</v>
      </c>
      <c r="BF27" s="1489">
        <v>21.818181818181813</v>
      </c>
      <c r="BG27" s="1431">
        <f t="shared" si="7"/>
        <v>9.818181818181813</v>
      </c>
      <c r="BI27" s="1534" t="s">
        <v>25</v>
      </c>
      <c r="BJ27" s="1534" t="s">
        <v>4</v>
      </c>
      <c r="BK27" s="1535" t="s">
        <v>26</v>
      </c>
      <c r="BL27" s="1536">
        <v>22</v>
      </c>
      <c r="BM27" s="1537">
        <v>21.409090909090907</v>
      </c>
      <c r="BN27" s="1538">
        <f t="shared" si="8"/>
        <v>9.4090909090909065</v>
      </c>
      <c r="BO27" s="41"/>
      <c r="BP27" s="1534" t="s">
        <v>25</v>
      </c>
      <c r="BQ27" s="1534" t="s">
        <v>4</v>
      </c>
      <c r="BR27" s="1535" t="s">
        <v>26</v>
      </c>
      <c r="BS27" s="1536">
        <v>27</v>
      </c>
      <c r="BT27" s="1537">
        <v>20.37037037037037</v>
      </c>
      <c r="BU27" s="1538">
        <f t="shared" si="9"/>
        <v>8.3703703703703702</v>
      </c>
      <c r="BV27" s="41"/>
      <c r="BW27" s="105" t="s">
        <v>25</v>
      </c>
      <c r="BX27" s="105" t="s">
        <v>4</v>
      </c>
      <c r="BY27" s="41" t="s">
        <v>26</v>
      </c>
      <c r="BZ27" s="105">
        <v>28</v>
      </c>
      <c r="CA27" s="1495">
        <v>18.642857142857139</v>
      </c>
      <c r="CB27" s="1496">
        <f t="shared" si="10"/>
        <v>6.6428571428571388</v>
      </c>
      <c r="CC27" s="41"/>
      <c r="CD27" s="1497" t="s">
        <v>25</v>
      </c>
      <c r="CE27" s="1497" t="s">
        <v>4</v>
      </c>
      <c r="CF27" s="460" t="s">
        <v>26</v>
      </c>
      <c r="CG27" s="1497">
        <v>48</v>
      </c>
      <c r="CH27" s="1498">
        <v>17.375</v>
      </c>
      <c r="CI27" s="1499">
        <v>12</v>
      </c>
      <c r="CJ27" s="1980">
        <f t="shared" si="11"/>
        <v>5.375</v>
      </c>
    </row>
    <row r="28" spans="1:88">
      <c r="A28" s="105"/>
      <c r="B28" s="105"/>
      <c r="C28" s="41" t="s">
        <v>27</v>
      </c>
      <c r="D28" s="105">
        <v>21.5</v>
      </c>
      <c r="E28" s="105">
        <v>6</v>
      </c>
      <c r="F28" s="1431">
        <f t="shared" si="1"/>
        <v>9.5</v>
      </c>
      <c r="G28" s="4591">
        <v>12</v>
      </c>
      <c r="I28" s="107"/>
      <c r="J28" s="107"/>
      <c r="K28" s="47" t="s">
        <v>27</v>
      </c>
      <c r="L28" s="107">
        <v>21.43</v>
      </c>
      <c r="M28" s="107">
        <v>7</v>
      </c>
      <c r="N28" s="1431">
        <f t="shared" si="2"/>
        <v>9.43</v>
      </c>
      <c r="O28" s="4591">
        <v>12</v>
      </c>
      <c r="Q28" s="4243"/>
      <c r="R28" s="4243"/>
      <c r="S28" s="44" t="s">
        <v>27</v>
      </c>
      <c r="T28" s="4243">
        <v>21.33</v>
      </c>
      <c r="U28" s="4243">
        <v>3</v>
      </c>
      <c r="V28" s="4721">
        <f t="shared" si="3"/>
        <v>9.3299999999999983</v>
      </c>
      <c r="W28" s="4722">
        <v>12</v>
      </c>
      <c r="Y28" s="41"/>
      <c r="Z28" s="41"/>
      <c r="AA28" s="41" t="s">
        <v>27</v>
      </c>
      <c r="AB28" s="1495">
        <v>29</v>
      </c>
      <c r="AC28" s="105">
        <v>3</v>
      </c>
      <c r="AD28" s="1431">
        <f t="shared" si="4"/>
        <v>17</v>
      </c>
      <c r="AE28" s="1499">
        <v>12</v>
      </c>
      <c r="AF28" s="2548"/>
      <c r="AG28" s="107"/>
      <c r="AH28" s="107"/>
      <c r="AI28" s="41" t="s">
        <v>27</v>
      </c>
      <c r="AJ28" s="105">
        <v>20.43</v>
      </c>
      <c r="AK28" s="105">
        <v>7</v>
      </c>
      <c r="AL28" s="1431">
        <f t="shared" si="5"/>
        <v>8.43</v>
      </c>
      <c r="AN28" s="105"/>
      <c r="AO28" s="105"/>
      <c r="AP28" s="41" t="s">
        <v>27</v>
      </c>
      <c r="AQ28" s="1495">
        <v>18.170000000000002</v>
      </c>
      <c r="AR28" s="105">
        <v>6</v>
      </c>
      <c r="AS28" s="1485">
        <f t="shared" si="0"/>
        <v>6.1700000000000017</v>
      </c>
      <c r="AU28" s="817"/>
      <c r="AV28" s="817"/>
      <c r="AW28" s="1484" t="s">
        <v>27</v>
      </c>
      <c r="AX28" s="1415">
        <v>19.700000000000003</v>
      </c>
      <c r="AY28" s="1416">
        <v>10</v>
      </c>
      <c r="AZ28" s="1485">
        <f t="shared" si="6"/>
        <v>7.7000000000000028</v>
      </c>
      <c r="BB28" s="1486"/>
      <c r="BC28" s="1486"/>
      <c r="BD28" s="1487" t="s">
        <v>27</v>
      </c>
      <c r="BE28" s="1488">
        <v>15</v>
      </c>
      <c r="BF28" s="1489">
        <v>19.133333333333333</v>
      </c>
      <c r="BG28" s="1431">
        <f t="shared" si="7"/>
        <v>7.1333333333333329</v>
      </c>
      <c r="BI28" s="1490"/>
      <c r="BJ28" s="1490"/>
      <c r="BK28" s="1492" t="s">
        <v>27</v>
      </c>
      <c r="BL28" s="1493">
        <v>0</v>
      </c>
      <c r="BM28" s="1494"/>
      <c r="BN28" s="1491"/>
      <c r="BO28" s="41"/>
      <c r="BP28" s="1490"/>
      <c r="BQ28" s="1490"/>
      <c r="BR28" s="1492" t="s">
        <v>27</v>
      </c>
      <c r="BS28" s="1493">
        <v>6</v>
      </c>
      <c r="BT28" s="1494">
        <v>20.166666666666668</v>
      </c>
      <c r="BU28" s="1491">
        <f t="shared" si="9"/>
        <v>8.1666666666666679</v>
      </c>
      <c r="BV28" s="41"/>
      <c r="BW28" s="105"/>
      <c r="BX28" s="105"/>
      <c r="BY28" s="41" t="s">
        <v>27</v>
      </c>
      <c r="BZ28" s="105">
        <v>5</v>
      </c>
      <c r="CA28" s="1495">
        <v>15.6</v>
      </c>
      <c r="CB28" s="1496">
        <f t="shared" si="10"/>
        <v>3.5999999999999996</v>
      </c>
      <c r="CC28" s="41"/>
      <c r="CD28" s="1497"/>
      <c r="CE28" s="1497"/>
      <c r="CF28" s="460" t="s">
        <v>27</v>
      </c>
      <c r="CG28" s="1497">
        <v>9</v>
      </c>
      <c r="CH28" s="1498">
        <v>19</v>
      </c>
      <c r="CI28" s="1499">
        <v>12</v>
      </c>
      <c r="CJ28" s="1980">
        <f t="shared" si="11"/>
        <v>7</v>
      </c>
    </row>
    <row r="29" spans="1:88">
      <c r="A29" s="105"/>
      <c r="B29" s="105"/>
      <c r="C29" s="41" t="s">
        <v>12</v>
      </c>
      <c r="D29" s="105">
        <v>19</v>
      </c>
      <c r="E29" s="105">
        <v>28</v>
      </c>
      <c r="F29" s="1431">
        <f t="shared" si="1"/>
        <v>7</v>
      </c>
      <c r="G29" s="4591">
        <v>12</v>
      </c>
      <c r="I29" s="107"/>
      <c r="J29" s="107"/>
      <c r="K29" s="47" t="s">
        <v>12</v>
      </c>
      <c r="L29" s="107">
        <v>19.66</v>
      </c>
      <c r="M29" s="107">
        <v>59</v>
      </c>
      <c r="N29" s="1431">
        <f t="shared" si="2"/>
        <v>7.66</v>
      </c>
      <c r="O29" s="4591">
        <v>12</v>
      </c>
      <c r="Q29" s="4243"/>
      <c r="R29" s="4243"/>
      <c r="S29" s="44" t="s">
        <v>12</v>
      </c>
      <c r="T29" s="4243">
        <v>18.91</v>
      </c>
      <c r="U29" s="4243">
        <v>45</v>
      </c>
      <c r="V29" s="4721">
        <f t="shared" si="3"/>
        <v>6.91</v>
      </c>
      <c r="W29" s="4722">
        <v>12</v>
      </c>
      <c r="Y29" s="41"/>
      <c r="Z29" s="41"/>
      <c r="AA29" s="41" t="s">
        <v>12</v>
      </c>
      <c r="AB29" s="1495">
        <v>19.600000000000001</v>
      </c>
      <c r="AC29" s="105">
        <v>43</v>
      </c>
      <c r="AD29" s="1431">
        <f t="shared" si="4"/>
        <v>7.6000000000000014</v>
      </c>
      <c r="AE29" s="1499">
        <v>12</v>
      </c>
      <c r="AF29" s="2548"/>
      <c r="AG29" s="107"/>
      <c r="AH29" s="107"/>
      <c r="AI29" s="41" t="s">
        <v>12</v>
      </c>
      <c r="AJ29" s="105">
        <v>18.82</v>
      </c>
      <c r="AK29" s="105">
        <v>34</v>
      </c>
      <c r="AL29" s="1431">
        <f t="shared" si="5"/>
        <v>6.82</v>
      </c>
      <c r="AN29" s="105"/>
      <c r="AO29" s="105"/>
      <c r="AP29" s="41" t="s">
        <v>12</v>
      </c>
      <c r="AQ29" s="1495">
        <v>17.89</v>
      </c>
      <c r="AR29" s="105">
        <v>35</v>
      </c>
      <c r="AS29" s="1485">
        <f t="shared" si="0"/>
        <v>5.8900000000000006</v>
      </c>
      <c r="AU29" s="817"/>
      <c r="AV29" s="817"/>
      <c r="AW29" s="1484" t="s">
        <v>12</v>
      </c>
      <c r="AX29" s="1415">
        <v>18.578947368421051</v>
      </c>
      <c r="AY29" s="1416">
        <v>19</v>
      </c>
      <c r="AZ29" s="1485">
        <f t="shared" si="6"/>
        <v>6.5789473684210513</v>
      </c>
      <c r="BB29" s="1486"/>
      <c r="BC29" s="1486"/>
      <c r="BD29" s="1487" t="s">
        <v>12</v>
      </c>
      <c r="BE29" s="1488">
        <v>12</v>
      </c>
      <c r="BF29" s="1489">
        <v>16.916666666666668</v>
      </c>
      <c r="BG29" s="1431">
        <f t="shared" si="7"/>
        <v>4.9166666666666679</v>
      </c>
      <c r="BI29" s="1490"/>
      <c r="BJ29" s="1490"/>
      <c r="BK29" s="1492" t="s">
        <v>12</v>
      </c>
      <c r="BL29" s="1493">
        <v>21</v>
      </c>
      <c r="BM29" s="459">
        <v>20.380952380952383</v>
      </c>
      <c r="BN29" s="1491">
        <f t="shared" si="8"/>
        <v>8.3809523809523832</v>
      </c>
      <c r="BO29" s="41"/>
      <c r="BP29" s="1490"/>
      <c r="BQ29" s="1490"/>
      <c r="BR29" s="1492" t="s">
        <v>12</v>
      </c>
      <c r="BS29" s="1493">
        <v>22</v>
      </c>
      <c r="BT29" s="1494">
        <v>18.636363636363637</v>
      </c>
      <c r="BU29" s="1491">
        <f t="shared" si="9"/>
        <v>6.6363636363636367</v>
      </c>
      <c r="BV29" s="41"/>
      <c r="BW29" s="105"/>
      <c r="BX29" s="105"/>
      <c r="BY29" s="41" t="s">
        <v>12</v>
      </c>
      <c r="BZ29" s="105">
        <v>25</v>
      </c>
      <c r="CA29" s="1495">
        <v>21.200000000000003</v>
      </c>
      <c r="CB29" s="1496">
        <f t="shared" si="10"/>
        <v>9.2000000000000028</v>
      </c>
      <c r="CC29" s="41"/>
      <c r="CD29" s="1497"/>
      <c r="CE29" s="1497"/>
      <c r="CF29" s="460" t="s">
        <v>12</v>
      </c>
      <c r="CG29" s="1497">
        <v>21</v>
      </c>
      <c r="CH29" s="1498">
        <v>16.857142857142854</v>
      </c>
      <c r="CI29" s="1499">
        <v>12</v>
      </c>
      <c r="CJ29" s="1980">
        <f t="shared" si="11"/>
        <v>4.8571428571428541</v>
      </c>
    </row>
    <row r="30" spans="1:88">
      <c r="A30" s="105"/>
      <c r="B30" s="105"/>
      <c r="C30" s="41" t="s">
        <v>28</v>
      </c>
      <c r="D30" s="105">
        <v>19.04</v>
      </c>
      <c r="E30" s="105">
        <v>24</v>
      </c>
      <c r="F30" s="1431">
        <f t="shared" si="1"/>
        <v>7.0399999999999991</v>
      </c>
      <c r="G30" s="4591">
        <v>12</v>
      </c>
      <c r="I30" s="107"/>
      <c r="J30" s="107"/>
      <c r="K30" s="47" t="s">
        <v>28</v>
      </c>
      <c r="L30" s="107">
        <v>18.760000000000002</v>
      </c>
      <c r="M30" s="107">
        <v>33</v>
      </c>
      <c r="N30" s="1431">
        <f t="shared" si="2"/>
        <v>6.7600000000000016</v>
      </c>
      <c r="O30" s="4591">
        <v>12</v>
      </c>
      <c r="Q30" s="4243"/>
      <c r="R30" s="4243"/>
      <c r="S30" s="44" t="s">
        <v>28</v>
      </c>
      <c r="T30" s="4243">
        <v>18.73</v>
      </c>
      <c r="U30" s="4243">
        <v>22</v>
      </c>
      <c r="V30" s="4721">
        <f t="shared" si="3"/>
        <v>6.73</v>
      </c>
      <c r="W30" s="4722">
        <v>12</v>
      </c>
      <c r="Y30" s="41"/>
      <c r="Z30" s="41"/>
      <c r="AA30" s="41" t="s">
        <v>28</v>
      </c>
      <c r="AB30" s="1495">
        <v>18.34</v>
      </c>
      <c r="AC30" s="105">
        <v>41</v>
      </c>
      <c r="AD30" s="1431">
        <f t="shared" si="4"/>
        <v>6.34</v>
      </c>
      <c r="AE30" s="1499">
        <v>12</v>
      </c>
      <c r="AF30" s="2548"/>
      <c r="AG30" s="107"/>
      <c r="AH30" s="107"/>
      <c r="AI30" s="41" t="s">
        <v>28</v>
      </c>
      <c r="AJ30" s="105">
        <v>19.100000000000001</v>
      </c>
      <c r="AK30" s="105">
        <v>20</v>
      </c>
      <c r="AL30" s="1431">
        <f t="shared" si="5"/>
        <v>7.1000000000000014</v>
      </c>
      <c r="AN30" s="105"/>
      <c r="AO30" s="105"/>
      <c r="AP30" s="41" t="s">
        <v>28</v>
      </c>
      <c r="AQ30" s="1495">
        <v>19.21</v>
      </c>
      <c r="AR30" s="105">
        <v>29</v>
      </c>
      <c r="AS30" s="1485">
        <f t="shared" si="0"/>
        <v>7.2100000000000009</v>
      </c>
      <c r="AU30" s="817"/>
      <c r="AV30" s="817"/>
      <c r="AW30" s="1484" t="s">
        <v>28</v>
      </c>
      <c r="AX30" s="1415">
        <v>18.124999999999996</v>
      </c>
      <c r="AY30" s="1416">
        <v>24</v>
      </c>
      <c r="AZ30" s="1485">
        <f t="shared" si="6"/>
        <v>6.1249999999999964</v>
      </c>
      <c r="BB30" s="1486"/>
      <c r="BC30" s="1486"/>
      <c r="BD30" s="1487" t="s">
        <v>28</v>
      </c>
      <c r="BE30" s="1488">
        <v>13</v>
      </c>
      <c r="BF30" s="1489">
        <v>19.307692307692307</v>
      </c>
      <c r="BG30" s="1431">
        <f t="shared" si="7"/>
        <v>7.3076923076923066</v>
      </c>
      <c r="BI30" s="1490"/>
      <c r="BJ30" s="1490"/>
      <c r="BK30" s="1492" t="s">
        <v>28</v>
      </c>
      <c r="BL30" s="1493">
        <v>14</v>
      </c>
      <c r="BM30" s="459">
        <v>18.642857142857142</v>
      </c>
      <c r="BN30" s="1491">
        <f t="shared" si="8"/>
        <v>6.6428571428571423</v>
      </c>
      <c r="BO30" s="41"/>
      <c r="BP30" s="1490"/>
      <c r="BQ30" s="1490"/>
      <c r="BR30" s="1492" t="s">
        <v>28</v>
      </c>
      <c r="BS30" s="1493">
        <v>20</v>
      </c>
      <c r="BT30" s="1494">
        <v>19.999999999999996</v>
      </c>
      <c r="BU30" s="1491">
        <f t="shared" si="9"/>
        <v>7.9999999999999964</v>
      </c>
      <c r="BV30" s="41"/>
      <c r="BW30" s="105"/>
      <c r="BX30" s="105"/>
      <c r="BY30" s="41" t="s">
        <v>28</v>
      </c>
      <c r="BZ30" s="105">
        <v>17</v>
      </c>
      <c r="CA30" s="1495">
        <v>18.294117647058822</v>
      </c>
      <c r="CB30" s="1496">
        <f t="shared" si="10"/>
        <v>6.2941176470588225</v>
      </c>
      <c r="CC30" s="41"/>
      <c r="CD30" s="1497"/>
      <c r="CE30" s="1497"/>
      <c r="CF30" s="460" t="s">
        <v>28</v>
      </c>
      <c r="CG30" s="1497">
        <v>17</v>
      </c>
      <c r="CH30" s="1498">
        <v>18.705882352941178</v>
      </c>
      <c r="CI30" s="1499">
        <v>12</v>
      </c>
      <c r="CJ30" s="1980">
        <f t="shared" si="11"/>
        <v>6.7058823529411775</v>
      </c>
    </row>
    <row r="31" spans="1:88">
      <c r="A31" s="105"/>
      <c r="B31" s="105"/>
      <c r="C31" s="41" t="s">
        <v>29</v>
      </c>
      <c r="D31" s="105">
        <v>19.329999999999998</v>
      </c>
      <c r="E31" s="105">
        <v>21</v>
      </c>
      <c r="F31" s="1431">
        <f t="shared" si="1"/>
        <v>7.3299999999999983</v>
      </c>
      <c r="G31" s="4591">
        <v>12</v>
      </c>
      <c r="I31" s="107"/>
      <c r="J31" s="107"/>
      <c r="K31" s="47" t="s">
        <v>29</v>
      </c>
      <c r="L31" s="107">
        <v>19.46</v>
      </c>
      <c r="M31" s="107">
        <v>28</v>
      </c>
      <c r="N31" s="1431">
        <f t="shared" si="2"/>
        <v>7.4600000000000009</v>
      </c>
      <c r="O31" s="4591">
        <v>12</v>
      </c>
      <c r="Q31" s="4243"/>
      <c r="R31" s="4243"/>
      <c r="S31" s="44" t="s">
        <v>29</v>
      </c>
      <c r="T31" s="4243">
        <v>19.21</v>
      </c>
      <c r="U31" s="4243">
        <v>19</v>
      </c>
      <c r="V31" s="4721">
        <f t="shared" si="3"/>
        <v>7.2100000000000009</v>
      </c>
      <c r="W31" s="4722">
        <v>12</v>
      </c>
      <c r="Y31" s="41"/>
      <c r="Z31" s="41"/>
      <c r="AA31" s="41" t="s">
        <v>29</v>
      </c>
      <c r="AB31" s="1495">
        <v>19.5</v>
      </c>
      <c r="AC31" s="105">
        <v>28</v>
      </c>
      <c r="AD31" s="1431">
        <f t="shared" si="4"/>
        <v>7.5</v>
      </c>
      <c r="AE31" s="1499">
        <v>12</v>
      </c>
      <c r="AF31" s="2548"/>
      <c r="AG31" s="107"/>
      <c r="AH31" s="107"/>
      <c r="AI31" s="41" t="s">
        <v>29</v>
      </c>
      <c r="AJ31" s="105">
        <v>18.809999999999999</v>
      </c>
      <c r="AK31" s="105">
        <v>26</v>
      </c>
      <c r="AL31" s="1431">
        <f t="shared" si="5"/>
        <v>6.8099999999999987</v>
      </c>
      <c r="AN31" s="105"/>
      <c r="AO31" s="105"/>
      <c r="AP31" s="41" t="s">
        <v>29</v>
      </c>
      <c r="AQ31" s="1495">
        <v>15.74</v>
      </c>
      <c r="AR31" s="105">
        <v>27</v>
      </c>
      <c r="AS31" s="1485">
        <f t="shared" si="0"/>
        <v>3.74</v>
      </c>
      <c r="AU31" s="817"/>
      <c r="AV31" s="817"/>
      <c r="AW31" s="1484" t="s">
        <v>29</v>
      </c>
      <c r="AX31" s="1415">
        <v>18.476190476190474</v>
      </c>
      <c r="AY31" s="1416">
        <v>21</v>
      </c>
      <c r="AZ31" s="1485">
        <f t="shared" si="6"/>
        <v>6.4761904761904745</v>
      </c>
      <c r="BB31" s="1486"/>
      <c r="BC31" s="1486"/>
      <c r="BD31" s="1487" t="s">
        <v>29</v>
      </c>
      <c r="BE31" s="1488">
        <v>17</v>
      </c>
      <c r="BF31" s="1489">
        <v>18.058823529411761</v>
      </c>
      <c r="BG31" s="1431">
        <f t="shared" si="7"/>
        <v>6.0588235294117609</v>
      </c>
      <c r="BI31" s="1490"/>
      <c r="BJ31" s="1490"/>
      <c r="BK31" s="1492" t="s">
        <v>29</v>
      </c>
      <c r="BL31" s="1493">
        <v>11</v>
      </c>
      <c r="BM31" s="459">
        <v>18.363636363636363</v>
      </c>
      <c r="BN31" s="1491">
        <f t="shared" si="8"/>
        <v>6.3636363636363633</v>
      </c>
      <c r="BO31" s="41"/>
      <c r="BP31" s="1490"/>
      <c r="BQ31" s="1490"/>
      <c r="BR31" s="1492" t="s">
        <v>29</v>
      </c>
      <c r="BS31" s="1493">
        <v>9</v>
      </c>
      <c r="BT31" s="1494">
        <v>23.555555555555557</v>
      </c>
      <c r="BU31" s="1491">
        <f t="shared" si="9"/>
        <v>11.555555555555557</v>
      </c>
      <c r="BV31" s="41"/>
      <c r="BW31" s="105"/>
      <c r="BX31" s="105"/>
      <c r="BY31" s="41" t="s">
        <v>29</v>
      </c>
      <c r="BZ31" s="105">
        <v>10</v>
      </c>
      <c r="CA31" s="1495">
        <v>16.3</v>
      </c>
      <c r="CB31" s="1496">
        <f t="shared" si="10"/>
        <v>4.3000000000000007</v>
      </c>
      <c r="CC31" s="41"/>
      <c r="CD31" s="1497"/>
      <c r="CE31" s="1497"/>
      <c r="CF31" s="460" t="s">
        <v>29</v>
      </c>
      <c r="CG31" s="1497">
        <v>13</v>
      </c>
      <c r="CH31" s="1498">
        <v>24.230769230769234</v>
      </c>
      <c r="CI31" s="1499">
        <v>12</v>
      </c>
      <c r="CJ31" s="1980">
        <f t="shared" si="11"/>
        <v>12.230769230769234</v>
      </c>
    </row>
    <row r="32" spans="1:88">
      <c r="A32" s="105"/>
      <c r="B32" s="105"/>
      <c r="C32" s="41" t="s">
        <v>13</v>
      </c>
      <c r="D32" s="105">
        <v>21.93</v>
      </c>
      <c r="E32" s="105">
        <v>27</v>
      </c>
      <c r="F32" s="1431">
        <f t="shared" si="1"/>
        <v>9.93</v>
      </c>
      <c r="G32" s="4591">
        <v>12</v>
      </c>
      <c r="I32" s="107"/>
      <c r="J32" s="107"/>
      <c r="K32" s="47" t="s">
        <v>13</v>
      </c>
      <c r="L32" s="107">
        <v>20.14</v>
      </c>
      <c r="M32" s="107">
        <v>35</v>
      </c>
      <c r="N32" s="1431">
        <f t="shared" si="2"/>
        <v>8.14</v>
      </c>
      <c r="O32" s="4591">
        <v>12</v>
      </c>
      <c r="Q32" s="4243"/>
      <c r="R32" s="4243"/>
      <c r="S32" s="44" t="s">
        <v>13</v>
      </c>
      <c r="T32" s="4243">
        <v>19.46</v>
      </c>
      <c r="U32" s="4243">
        <v>28</v>
      </c>
      <c r="V32" s="4721">
        <f t="shared" si="3"/>
        <v>7.4600000000000009</v>
      </c>
      <c r="W32" s="4722">
        <v>12</v>
      </c>
      <c r="Y32" s="41"/>
      <c r="Z32" s="41"/>
      <c r="AA32" s="41" t="s">
        <v>13</v>
      </c>
      <c r="AB32" s="1495">
        <v>19.89</v>
      </c>
      <c r="AC32" s="105">
        <v>27</v>
      </c>
      <c r="AD32" s="1431">
        <f t="shared" si="4"/>
        <v>7.8900000000000006</v>
      </c>
      <c r="AE32" s="1499">
        <v>12</v>
      </c>
      <c r="AF32" s="2548"/>
      <c r="AG32" s="107"/>
      <c r="AH32" s="107"/>
      <c r="AI32" s="41" t="s">
        <v>13</v>
      </c>
      <c r="AJ32" s="105">
        <v>21.68</v>
      </c>
      <c r="AK32" s="105">
        <v>31</v>
      </c>
      <c r="AL32" s="1431">
        <f t="shared" si="5"/>
        <v>9.68</v>
      </c>
      <c r="AN32" s="105"/>
      <c r="AO32" s="105"/>
      <c r="AP32" s="41" t="s">
        <v>13</v>
      </c>
      <c r="AQ32" s="1495">
        <v>20.86</v>
      </c>
      <c r="AR32" s="105">
        <v>28</v>
      </c>
      <c r="AS32" s="1485">
        <f t="shared" si="0"/>
        <v>8.86</v>
      </c>
      <c r="AU32" s="817"/>
      <c r="AV32" s="817"/>
      <c r="AW32" s="1484" t="s">
        <v>13</v>
      </c>
      <c r="AX32" s="1415">
        <v>18.740740740740737</v>
      </c>
      <c r="AY32" s="1416">
        <v>27</v>
      </c>
      <c r="AZ32" s="1485">
        <f t="shared" si="6"/>
        <v>6.7407407407407369</v>
      </c>
      <c r="BB32" s="1486"/>
      <c r="BC32" s="1486"/>
      <c r="BD32" s="1487" t="s">
        <v>13</v>
      </c>
      <c r="BE32" s="1488">
        <v>37</v>
      </c>
      <c r="BF32" s="1489">
        <v>19.675675675675677</v>
      </c>
      <c r="BG32" s="1431">
        <f t="shared" si="7"/>
        <v>7.6756756756756772</v>
      </c>
      <c r="BI32" s="1490"/>
      <c r="BJ32" s="1490"/>
      <c r="BK32" s="1492" t="s">
        <v>13</v>
      </c>
      <c r="BL32" s="1493">
        <v>22</v>
      </c>
      <c r="BM32" s="459">
        <v>21.09090909090909</v>
      </c>
      <c r="BN32" s="1491">
        <f t="shared" si="8"/>
        <v>9.0909090909090899</v>
      </c>
      <c r="BO32" s="41"/>
      <c r="BP32" s="1490"/>
      <c r="BQ32" s="1490"/>
      <c r="BR32" s="1492" t="s">
        <v>13</v>
      </c>
      <c r="BS32" s="1493">
        <v>45</v>
      </c>
      <c r="BT32" s="1494">
        <v>21.044444444444448</v>
      </c>
      <c r="BU32" s="1491">
        <f t="shared" si="9"/>
        <v>9.0444444444444478</v>
      </c>
      <c r="BV32" s="41"/>
      <c r="BW32" s="105"/>
      <c r="BX32" s="105"/>
      <c r="BY32" s="41" t="s">
        <v>13</v>
      </c>
      <c r="BZ32" s="105">
        <v>28</v>
      </c>
      <c r="CA32" s="1495">
        <v>18.928571428571434</v>
      </c>
      <c r="CB32" s="1496">
        <f t="shared" si="10"/>
        <v>6.9285714285714342</v>
      </c>
      <c r="CC32" s="41"/>
      <c r="CD32" s="1497"/>
      <c r="CE32" s="1497"/>
      <c r="CF32" s="460" t="s">
        <v>13</v>
      </c>
      <c r="CG32" s="1497">
        <v>47</v>
      </c>
      <c r="CH32" s="1498">
        <v>19.553191489361705</v>
      </c>
      <c r="CI32" s="1499">
        <v>12</v>
      </c>
      <c r="CJ32" s="1980">
        <f t="shared" si="11"/>
        <v>7.5531914893617049</v>
      </c>
    </row>
    <row r="33" spans="1:88">
      <c r="A33" s="105"/>
      <c r="B33" s="105"/>
      <c r="C33" s="41" t="s">
        <v>30</v>
      </c>
      <c r="D33" s="105">
        <v>22.62</v>
      </c>
      <c r="E33" s="105">
        <v>21</v>
      </c>
      <c r="F33" s="1431">
        <f t="shared" si="1"/>
        <v>10.620000000000001</v>
      </c>
      <c r="G33" s="4591">
        <v>12</v>
      </c>
      <c r="I33" s="107"/>
      <c r="J33" s="107"/>
      <c r="K33" s="47" t="s">
        <v>30</v>
      </c>
      <c r="L33" s="107">
        <v>21.2</v>
      </c>
      <c r="M33" s="107">
        <v>20</v>
      </c>
      <c r="N33" s="1431">
        <f t="shared" si="2"/>
        <v>9.1999999999999993</v>
      </c>
      <c r="O33" s="4591">
        <v>12</v>
      </c>
      <c r="Q33" s="4243"/>
      <c r="R33" s="4243"/>
      <c r="S33" s="44" t="s">
        <v>30</v>
      </c>
      <c r="T33" s="4243">
        <v>20.67</v>
      </c>
      <c r="U33" s="4243">
        <v>12</v>
      </c>
      <c r="V33" s="4721">
        <f t="shared" si="3"/>
        <v>8.6700000000000017</v>
      </c>
      <c r="W33" s="4722">
        <v>12</v>
      </c>
      <c r="Y33" s="41"/>
      <c r="Z33" s="41"/>
      <c r="AA33" s="41" t="s">
        <v>30</v>
      </c>
      <c r="AB33" s="1495">
        <v>18</v>
      </c>
      <c r="AC33" s="105">
        <v>22</v>
      </c>
      <c r="AD33" s="1431">
        <f t="shared" si="4"/>
        <v>6</v>
      </c>
      <c r="AE33" s="1499">
        <v>12</v>
      </c>
      <c r="AF33" s="2548"/>
      <c r="AG33" s="107"/>
      <c r="AH33" s="107"/>
      <c r="AI33" s="41" t="s">
        <v>30</v>
      </c>
      <c r="AJ33" s="105">
        <v>19.649999999999999</v>
      </c>
      <c r="AK33" s="105">
        <v>23</v>
      </c>
      <c r="AL33" s="1431">
        <f t="shared" si="5"/>
        <v>7.6499999999999986</v>
      </c>
      <c r="AN33" s="105"/>
      <c r="AO33" s="105"/>
      <c r="AP33" s="41" t="s">
        <v>30</v>
      </c>
      <c r="AQ33" s="1495">
        <v>19.61</v>
      </c>
      <c r="AR33" s="105">
        <v>18</v>
      </c>
      <c r="AS33" s="1485">
        <f t="shared" si="0"/>
        <v>7.6099999999999994</v>
      </c>
      <c r="AU33" s="817"/>
      <c r="AV33" s="817"/>
      <c r="AW33" s="1484" t="s">
        <v>30</v>
      </c>
      <c r="AX33" s="1415">
        <v>22.916666666666668</v>
      </c>
      <c r="AY33" s="1416">
        <v>12</v>
      </c>
      <c r="AZ33" s="1485">
        <f t="shared" si="6"/>
        <v>10.916666666666668</v>
      </c>
      <c r="BB33" s="1486"/>
      <c r="BC33" s="1486"/>
      <c r="BD33" s="1487" t="s">
        <v>30</v>
      </c>
      <c r="BE33" s="1488">
        <v>38</v>
      </c>
      <c r="BF33" s="1489">
        <v>20.052631578947373</v>
      </c>
      <c r="BG33" s="1431">
        <f t="shared" si="7"/>
        <v>8.0526315789473735</v>
      </c>
      <c r="BI33" s="1490"/>
      <c r="BJ33" s="1490"/>
      <c r="BK33" s="1492" t="s">
        <v>30</v>
      </c>
      <c r="BL33" s="1493">
        <v>25</v>
      </c>
      <c r="BM33" s="459">
        <v>22.36</v>
      </c>
      <c r="BN33" s="1491">
        <f t="shared" si="8"/>
        <v>10.36</v>
      </c>
      <c r="BO33" s="41"/>
      <c r="BP33" s="1490"/>
      <c r="BQ33" s="1490"/>
      <c r="BR33" s="1492" t="s">
        <v>30</v>
      </c>
      <c r="BS33" s="1493">
        <v>16</v>
      </c>
      <c r="BT33" s="1494">
        <v>21.4375</v>
      </c>
      <c r="BU33" s="1491">
        <f t="shared" si="9"/>
        <v>9.4375</v>
      </c>
      <c r="BV33" s="41"/>
      <c r="BW33" s="105"/>
      <c r="BX33" s="105"/>
      <c r="BY33" s="41" t="s">
        <v>30</v>
      </c>
      <c r="BZ33" s="105">
        <v>15</v>
      </c>
      <c r="CA33" s="1495">
        <v>20.2</v>
      </c>
      <c r="CB33" s="1496">
        <f t="shared" si="10"/>
        <v>8.1999999999999993</v>
      </c>
      <c r="CC33" s="41"/>
      <c r="CD33" s="1497"/>
      <c r="CE33" s="1497"/>
      <c r="CF33" s="460" t="s">
        <v>30</v>
      </c>
      <c r="CG33" s="1497">
        <v>17</v>
      </c>
      <c r="CH33" s="1498">
        <v>18.764705882352942</v>
      </c>
      <c r="CI33" s="1499">
        <v>12</v>
      </c>
      <c r="CJ33" s="1980">
        <f t="shared" si="11"/>
        <v>6.764705882352942</v>
      </c>
    </row>
    <row r="34" spans="1:88">
      <c r="A34" s="105"/>
      <c r="B34" s="105"/>
      <c r="C34" s="41" t="s">
        <v>31</v>
      </c>
      <c r="D34" s="105">
        <v>22.45</v>
      </c>
      <c r="E34" s="105">
        <v>11</v>
      </c>
      <c r="F34" s="1431">
        <f t="shared" si="1"/>
        <v>10.45</v>
      </c>
      <c r="G34" s="4591">
        <v>12</v>
      </c>
      <c r="I34" s="107"/>
      <c r="J34" s="107"/>
      <c r="K34" s="47" t="s">
        <v>31</v>
      </c>
      <c r="L34" s="107">
        <v>20.41</v>
      </c>
      <c r="M34" s="107">
        <v>22</v>
      </c>
      <c r="N34" s="1431">
        <f t="shared" si="2"/>
        <v>8.41</v>
      </c>
      <c r="O34" s="4591">
        <v>12</v>
      </c>
      <c r="Q34" s="4243"/>
      <c r="R34" s="4243"/>
      <c r="S34" s="44" t="s">
        <v>31</v>
      </c>
      <c r="T34" s="4243">
        <v>19.53</v>
      </c>
      <c r="U34" s="4243">
        <v>15</v>
      </c>
      <c r="V34" s="4721">
        <f t="shared" si="3"/>
        <v>7.5300000000000011</v>
      </c>
      <c r="W34" s="4722">
        <v>12</v>
      </c>
      <c r="Y34" s="41"/>
      <c r="Z34" s="41"/>
      <c r="AA34" s="41" t="s">
        <v>31</v>
      </c>
      <c r="AB34" s="1495">
        <v>20</v>
      </c>
      <c r="AC34" s="105">
        <v>26</v>
      </c>
      <c r="AD34" s="1431">
        <f t="shared" si="4"/>
        <v>8</v>
      </c>
      <c r="AE34" s="1499">
        <v>12</v>
      </c>
      <c r="AF34" s="2548"/>
      <c r="AG34" s="107"/>
      <c r="AH34" s="107"/>
      <c r="AI34" s="41" t="s">
        <v>31</v>
      </c>
      <c r="AJ34" s="105">
        <v>17.79</v>
      </c>
      <c r="AK34" s="105">
        <v>14</v>
      </c>
      <c r="AL34" s="1431">
        <f t="shared" si="5"/>
        <v>5.7899999999999991</v>
      </c>
      <c r="AN34" s="105"/>
      <c r="AO34" s="105"/>
      <c r="AP34" s="41" t="s">
        <v>31</v>
      </c>
      <c r="AQ34" s="1495">
        <v>17.41</v>
      </c>
      <c r="AR34" s="105">
        <v>17</v>
      </c>
      <c r="AS34" s="1485">
        <f t="shared" si="0"/>
        <v>5.41</v>
      </c>
      <c r="AU34" s="817"/>
      <c r="AV34" s="817"/>
      <c r="AW34" s="1484" t="s">
        <v>31</v>
      </c>
      <c r="AX34" s="1415">
        <v>18</v>
      </c>
      <c r="AY34" s="1416">
        <v>11</v>
      </c>
      <c r="AZ34" s="1485">
        <f t="shared" si="6"/>
        <v>6</v>
      </c>
      <c r="BB34" s="1486"/>
      <c r="BC34" s="1486"/>
      <c r="BD34" s="1487" t="s">
        <v>31</v>
      </c>
      <c r="BE34" s="1488">
        <v>11</v>
      </c>
      <c r="BF34" s="1489">
        <v>19.000000000000004</v>
      </c>
      <c r="BG34" s="1431">
        <f t="shared" si="7"/>
        <v>7.0000000000000036</v>
      </c>
      <c r="BI34" s="1490"/>
      <c r="BJ34" s="1490"/>
      <c r="BK34" s="1492" t="s">
        <v>31</v>
      </c>
      <c r="BL34" s="1493">
        <v>10</v>
      </c>
      <c r="BM34" s="459">
        <v>15.5</v>
      </c>
      <c r="BN34" s="1491">
        <f t="shared" si="8"/>
        <v>3.5</v>
      </c>
      <c r="BO34" s="41"/>
      <c r="BP34" s="1490"/>
      <c r="BQ34" s="1490"/>
      <c r="BR34" s="1492" t="s">
        <v>31</v>
      </c>
      <c r="BS34" s="1493">
        <v>14</v>
      </c>
      <c r="BT34" s="1494">
        <v>17.214285714285715</v>
      </c>
      <c r="BU34" s="1491">
        <f t="shared" si="9"/>
        <v>5.2142857142857153</v>
      </c>
      <c r="BV34" s="41"/>
      <c r="BW34" s="105"/>
      <c r="BX34" s="105"/>
      <c r="BY34" s="41" t="s">
        <v>31</v>
      </c>
      <c r="BZ34" s="105">
        <v>11</v>
      </c>
      <c r="CA34" s="1495">
        <v>18.727272727272727</v>
      </c>
      <c r="CB34" s="1496">
        <f t="shared" si="10"/>
        <v>6.7272727272727266</v>
      </c>
      <c r="CC34" s="41"/>
      <c r="CD34" s="1497"/>
      <c r="CE34" s="1497"/>
      <c r="CF34" s="460" t="s">
        <v>31</v>
      </c>
      <c r="CG34" s="1497">
        <v>7</v>
      </c>
      <c r="CH34" s="1498">
        <v>16.285714285714285</v>
      </c>
      <c r="CI34" s="1499">
        <v>12</v>
      </c>
      <c r="CJ34" s="1980">
        <f t="shared" si="11"/>
        <v>4.2857142857142847</v>
      </c>
    </row>
    <row r="35" spans="1:88">
      <c r="A35" s="105"/>
      <c r="B35" s="105"/>
      <c r="C35" s="41" t="s">
        <v>32</v>
      </c>
      <c r="D35" s="105">
        <v>20.149999999999999</v>
      </c>
      <c r="E35" s="105">
        <v>20</v>
      </c>
      <c r="F35" s="1431">
        <f t="shared" si="1"/>
        <v>8.1499999999999986</v>
      </c>
      <c r="G35" s="4591">
        <v>12</v>
      </c>
      <c r="I35" s="107"/>
      <c r="J35" s="107"/>
      <c r="K35" s="47" t="s">
        <v>32</v>
      </c>
      <c r="L35" s="107">
        <v>19.760000000000002</v>
      </c>
      <c r="M35" s="107">
        <v>49</v>
      </c>
      <c r="N35" s="1431">
        <f t="shared" si="2"/>
        <v>7.7600000000000016</v>
      </c>
      <c r="O35" s="4591">
        <v>12</v>
      </c>
      <c r="Q35" s="4243"/>
      <c r="R35" s="4243"/>
      <c r="S35" s="44" t="s">
        <v>32</v>
      </c>
      <c r="T35" s="4243">
        <v>19.350000000000001</v>
      </c>
      <c r="U35" s="4243">
        <v>34</v>
      </c>
      <c r="V35" s="4721">
        <f t="shared" si="3"/>
        <v>7.3500000000000014</v>
      </c>
      <c r="W35" s="4722">
        <v>12</v>
      </c>
      <c r="Y35" s="41"/>
      <c r="Z35" s="41"/>
      <c r="AA35" s="41" t="s">
        <v>32</v>
      </c>
      <c r="AB35" s="1495">
        <v>20.23</v>
      </c>
      <c r="AC35" s="105">
        <v>52</v>
      </c>
      <c r="AD35" s="1431">
        <f t="shared" si="4"/>
        <v>8.23</v>
      </c>
      <c r="AE35" s="1499">
        <v>12</v>
      </c>
      <c r="AF35" s="2548"/>
      <c r="AG35" s="107"/>
      <c r="AH35" s="107"/>
      <c r="AI35" s="41" t="s">
        <v>32</v>
      </c>
      <c r="AJ35" s="105">
        <v>20.56</v>
      </c>
      <c r="AK35" s="105">
        <v>50</v>
      </c>
      <c r="AL35" s="1431">
        <f t="shared" si="5"/>
        <v>8.5599999999999987</v>
      </c>
      <c r="AN35" s="105"/>
      <c r="AO35" s="105"/>
      <c r="AP35" s="41" t="s">
        <v>32</v>
      </c>
      <c r="AQ35" s="1495">
        <v>19.13</v>
      </c>
      <c r="AR35" s="105">
        <v>39</v>
      </c>
      <c r="AS35" s="1485">
        <f t="shared" si="0"/>
        <v>7.129999999999999</v>
      </c>
      <c r="AU35" s="817"/>
      <c r="AV35" s="817"/>
      <c r="AW35" s="1484" t="s">
        <v>32</v>
      </c>
      <c r="AX35" s="1415">
        <v>19.740740740740744</v>
      </c>
      <c r="AY35" s="1416">
        <v>27</v>
      </c>
      <c r="AZ35" s="1485">
        <f t="shared" si="6"/>
        <v>7.740740740740744</v>
      </c>
      <c r="BB35" s="1486"/>
      <c r="BC35" s="1486"/>
      <c r="BD35" s="1487" t="s">
        <v>32</v>
      </c>
      <c r="BE35" s="1488">
        <v>36</v>
      </c>
      <c r="BF35" s="1489">
        <v>20.666666666666664</v>
      </c>
      <c r="BG35" s="1431">
        <f t="shared" si="7"/>
        <v>8.6666666666666643</v>
      </c>
      <c r="BI35" s="1490"/>
      <c r="BJ35" s="1490"/>
      <c r="BK35" s="1492" t="s">
        <v>32</v>
      </c>
      <c r="BL35" s="1493">
        <v>38</v>
      </c>
      <c r="BM35" s="459">
        <v>21.973684210526319</v>
      </c>
      <c r="BN35" s="1491">
        <f t="shared" si="8"/>
        <v>9.9736842105263186</v>
      </c>
      <c r="BO35" s="41"/>
      <c r="BP35" s="1490"/>
      <c r="BQ35" s="1490"/>
      <c r="BR35" s="1492" t="s">
        <v>32</v>
      </c>
      <c r="BS35" s="1493">
        <v>43</v>
      </c>
      <c r="BT35" s="1494">
        <v>19.720930232558132</v>
      </c>
      <c r="BU35" s="1491">
        <f t="shared" si="9"/>
        <v>7.7209302325581319</v>
      </c>
      <c r="BV35" s="41"/>
      <c r="BW35" s="105"/>
      <c r="BX35" s="105"/>
      <c r="BY35" s="41" t="s">
        <v>32</v>
      </c>
      <c r="BZ35" s="105">
        <v>40</v>
      </c>
      <c r="CA35" s="1495">
        <v>19.499999999999993</v>
      </c>
      <c r="CB35" s="1496">
        <f t="shared" si="10"/>
        <v>7.4999999999999929</v>
      </c>
      <c r="CC35" s="41"/>
      <c r="CD35" s="1497"/>
      <c r="CE35" s="1497"/>
      <c r="CF35" s="460" t="s">
        <v>32</v>
      </c>
      <c r="CG35" s="1497">
        <v>60</v>
      </c>
      <c r="CH35" s="1498">
        <v>19.533333333333339</v>
      </c>
      <c r="CI35" s="1499">
        <v>12</v>
      </c>
      <c r="CJ35" s="1980">
        <f t="shared" si="11"/>
        <v>7.5333333333333385</v>
      </c>
    </row>
    <row r="36" spans="1:88">
      <c r="A36" s="105"/>
      <c r="B36" s="105"/>
      <c r="C36" s="461" t="s">
        <v>544</v>
      </c>
      <c r="D36" s="5483">
        <v>20.28</v>
      </c>
      <c r="E36" s="5483">
        <v>185</v>
      </c>
      <c r="F36" s="1989">
        <f t="shared" si="1"/>
        <v>8.2800000000000011</v>
      </c>
      <c r="G36" s="4591">
        <v>12</v>
      </c>
      <c r="I36" s="107"/>
      <c r="J36" s="107"/>
      <c r="K36" s="968" t="s">
        <v>544</v>
      </c>
      <c r="L36" s="145">
        <v>20.3</v>
      </c>
      <c r="M36" s="145">
        <v>314</v>
      </c>
      <c r="N36" s="1989">
        <f t="shared" si="2"/>
        <v>8.3000000000000007</v>
      </c>
      <c r="O36" s="4591">
        <v>12</v>
      </c>
      <c r="Q36" s="4243"/>
      <c r="R36" s="4243"/>
      <c r="S36" s="4716" t="s">
        <v>544</v>
      </c>
      <c r="T36" s="4723">
        <v>19.920000000000002</v>
      </c>
      <c r="U36" s="4723">
        <v>216</v>
      </c>
      <c r="V36" s="4724">
        <f t="shared" si="3"/>
        <v>7.9200000000000017</v>
      </c>
      <c r="W36" s="4722">
        <v>12</v>
      </c>
      <c r="Y36" s="41"/>
      <c r="Z36" s="41"/>
      <c r="AA36" s="461" t="s">
        <v>544</v>
      </c>
      <c r="AB36" s="1510">
        <v>19.59</v>
      </c>
      <c r="AC36" s="2453">
        <v>298</v>
      </c>
      <c r="AD36" s="1989">
        <f t="shared" si="4"/>
        <v>7.59</v>
      </c>
      <c r="AE36" s="1499">
        <v>12</v>
      </c>
      <c r="AF36" s="2548"/>
      <c r="AG36" s="107"/>
      <c r="AH36" s="107"/>
      <c r="AI36" s="461" t="s">
        <v>544</v>
      </c>
      <c r="AJ36" s="96">
        <v>19.87</v>
      </c>
      <c r="AK36" s="96">
        <v>242</v>
      </c>
      <c r="AL36" s="1989">
        <f t="shared" si="5"/>
        <v>7.870000000000001</v>
      </c>
      <c r="AN36" s="105"/>
      <c r="AO36" s="105"/>
      <c r="AP36" s="461" t="s">
        <v>544</v>
      </c>
      <c r="AQ36" s="1510">
        <v>18.91</v>
      </c>
      <c r="AR36" s="96">
        <v>228</v>
      </c>
      <c r="AS36" s="1655">
        <f t="shared" si="0"/>
        <v>6.91</v>
      </c>
      <c r="AU36" s="817"/>
      <c r="AV36" s="817"/>
      <c r="AW36" s="1500" t="s">
        <v>544</v>
      </c>
      <c r="AX36" s="1501">
        <v>19.317919075144495</v>
      </c>
      <c r="AY36" s="1502">
        <v>173</v>
      </c>
      <c r="AZ36" s="1485">
        <f t="shared" si="6"/>
        <v>7.3179190751444949</v>
      </c>
      <c r="BB36" s="1486"/>
      <c r="BC36" s="1486"/>
      <c r="BD36" s="1503" t="s">
        <v>544</v>
      </c>
      <c r="BE36" s="1504">
        <v>212</v>
      </c>
      <c r="BF36" s="1505">
        <v>19.863207547169836</v>
      </c>
      <c r="BG36" s="1431">
        <f t="shared" si="7"/>
        <v>7.8632075471698357</v>
      </c>
      <c r="BI36" s="1490"/>
      <c r="BJ36" s="1490"/>
      <c r="BK36" s="1506" t="s">
        <v>544</v>
      </c>
      <c r="BL36" s="1507">
        <f>SUM(BL27:BL35)</f>
        <v>163</v>
      </c>
      <c r="BM36" s="462">
        <v>20.71</v>
      </c>
      <c r="BN36" s="1509">
        <f t="shared" si="8"/>
        <v>8.7100000000000009</v>
      </c>
      <c r="BO36" s="41"/>
      <c r="BP36" s="1490"/>
      <c r="BQ36" s="1490"/>
      <c r="BR36" s="1506" t="s">
        <v>544</v>
      </c>
      <c r="BS36" s="1507">
        <v>202</v>
      </c>
      <c r="BT36" s="1508">
        <v>20.158415841584151</v>
      </c>
      <c r="BU36" s="1509">
        <f t="shared" si="9"/>
        <v>8.1584158415841515</v>
      </c>
      <c r="BV36" s="41"/>
      <c r="BW36" s="105"/>
      <c r="BX36" s="105"/>
      <c r="BY36" s="461" t="s">
        <v>15</v>
      </c>
      <c r="BZ36" s="96">
        <v>179</v>
      </c>
      <c r="CA36" s="1510">
        <v>19.122905027932958</v>
      </c>
      <c r="CB36" s="1511">
        <f t="shared" si="10"/>
        <v>7.1229050279329584</v>
      </c>
      <c r="CC36" s="41"/>
      <c r="CD36" s="1497"/>
      <c r="CE36" s="1497"/>
      <c r="CF36" s="1512" t="s">
        <v>15</v>
      </c>
      <c r="CG36" s="1513">
        <v>239</v>
      </c>
      <c r="CH36" s="1514">
        <v>18.895397489539743</v>
      </c>
      <c r="CI36" s="1499">
        <v>12</v>
      </c>
      <c r="CJ36" s="1981">
        <f t="shared" si="11"/>
        <v>6.895397489539743</v>
      </c>
    </row>
    <row r="37" spans="1:88">
      <c r="A37" s="105"/>
      <c r="B37" s="105" t="s">
        <v>16</v>
      </c>
      <c r="C37" s="41" t="s">
        <v>17</v>
      </c>
      <c r="D37" s="105">
        <v>14.07</v>
      </c>
      <c r="E37" s="105">
        <v>103</v>
      </c>
      <c r="F37" s="1431">
        <f t="shared" si="1"/>
        <v>2.0700000000000003</v>
      </c>
      <c r="G37" s="4591">
        <v>12</v>
      </c>
      <c r="I37" s="107"/>
      <c r="J37" s="107" t="s">
        <v>16</v>
      </c>
      <c r="K37" s="47" t="s">
        <v>17</v>
      </c>
      <c r="L37" s="107">
        <v>16.04</v>
      </c>
      <c r="M37" s="107">
        <v>128</v>
      </c>
      <c r="N37" s="1431">
        <f t="shared" si="2"/>
        <v>4.0399999999999991</v>
      </c>
      <c r="O37" s="4591">
        <v>12</v>
      </c>
      <c r="Q37" s="4243"/>
      <c r="R37" s="4243" t="s">
        <v>16</v>
      </c>
      <c r="S37" s="44" t="s">
        <v>17</v>
      </c>
      <c r="T37" s="4243">
        <v>16</v>
      </c>
      <c r="U37" s="4243">
        <v>78</v>
      </c>
      <c r="V37" s="4721">
        <f t="shared" si="3"/>
        <v>4</v>
      </c>
      <c r="W37" s="4722">
        <v>12</v>
      </c>
      <c r="Y37" s="41"/>
      <c r="Z37" s="41" t="s">
        <v>16</v>
      </c>
      <c r="AA37" s="41" t="s">
        <v>17</v>
      </c>
      <c r="AB37" s="1495">
        <v>15.29</v>
      </c>
      <c r="AC37" s="105">
        <v>138</v>
      </c>
      <c r="AD37" s="1431">
        <f t="shared" si="4"/>
        <v>3.2899999999999991</v>
      </c>
      <c r="AE37" s="1499">
        <v>12</v>
      </c>
      <c r="AF37" s="2548"/>
      <c r="AG37" s="107"/>
      <c r="AH37" s="107" t="s">
        <v>16</v>
      </c>
      <c r="AI37" s="41" t="s">
        <v>17</v>
      </c>
      <c r="AJ37" s="105">
        <v>15.05</v>
      </c>
      <c r="AK37" s="105">
        <v>130</v>
      </c>
      <c r="AL37" s="1431">
        <f t="shared" si="5"/>
        <v>3.0500000000000007</v>
      </c>
      <c r="AN37" s="105"/>
      <c r="AO37" s="105" t="s">
        <v>16</v>
      </c>
      <c r="AP37" s="41" t="s">
        <v>17</v>
      </c>
      <c r="AQ37" s="1495">
        <v>15.39</v>
      </c>
      <c r="AR37" s="105">
        <v>123</v>
      </c>
      <c r="AS37" s="1485">
        <f t="shared" si="0"/>
        <v>3.3900000000000006</v>
      </c>
      <c r="AU37" s="817"/>
      <c r="AV37" s="817" t="s">
        <v>16</v>
      </c>
      <c r="AW37" s="1484" t="s">
        <v>17</v>
      </c>
      <c r="AX37" s="1415">
        <v>16.185430463576164</v>
      </c>
      <c r="AY37" s="1416">
        <v>151</v>
      </c>
      <c r="AZ37" s="1485">
        <f t="shared" si="6"/>
        <v>4.1854304635761643</v>
      </c>
      <c r="BB37" s="1486"/>
      <c r="BC37" s="1486" t="s">
        <v>16</v>
      </c>
      <c r="BD37" s="1487" t="s">
        <v>17</v>
      </c>
      <c r="BE37" s="1488">
        <v>147</v>
      </c>
      <c r="BF37" s="1489">
        <v>15.578231292517003</v>
      </c>
      <c r="BG37" s="1431">
        <f t="shared" si="7"/>
        <v>3.5782312925170032</v>
      </c>
      <c r="BI37" s="1490"/>
      <c r="BJ37" s="1490" t="s">
        <v>16</v>
      </c>
      <c r="BK37" s="1492" t="s">
        <v>17</v>
      </c>
      <c r="BL37" s="1493">
        <v>190</v>
      </c>
      <c r="BM37" s="459">
        <v>14.915789473684203</v>
      </c>
      <c r="BN37" s="1491">
        <f t="shared" si="8"/>
        <v>2.9157894736842032</v>
      </c>
      <c r="BO37" s="41"/>
      <c r="BP37" s="1490"/>
      <c r="BQ37" s="1490" t="s">
        <v>16</v>
      </c>
      <c r="BR37" s="1492" t="s">
        <v>17</v>
      </c>
      <c r="BS37" s="1493">
        <v>133</v>
      </c>
      <c r="BT37" s="1494">
        <v>15.263157894736842</v>
      </c>
      <c r="BU37" s="1491">
        <f t="shared" si="9"/>
        <v>3.2631578947368425</v>
      </c>
      <c r="BV37" s="41"/>
      <c r="BW37" s="105"/>
      <c r="BX37" s="105" t="s">
        <v>16</v>
      </c>
      <c r="BY37" s="41" t="s">
        <v>17</v>
      </c>
      <c r="BZ37" s="105">
        <v>125</v>
      </c>
      <c r="CA37" s="1495">
        <v>15.847999999999995</v>
      </c>
      <c r="CB37" s="1496">
        <f t="shared" si="10"/>
        <v>3.8479999999999954</v>
      </c>
      <c r="CC37" s="41"/>
      <c r="CD37" s="1497"/>
      <c r="CE37" s="1497" t="s">
        <v>16</v>
      </c>
      <c r="CF37" s="460" t="s">
        <v>17</v>
      </c>
      <c r="CG37" s="1497">
        <v>152</v>
      </c>
      <c r="CH37" s="1498">
        <v>16.243421052631582</v>
      </c>
      <c r="CI37" s="1499">
        <v>12</v>
      </c>
      <c r="CJ37" s="1980">
        <f t="shared" si="11"/>
        <v>4.2434210526315823</v>
      </c>
    </row>
    <row r="38" spans="1:88">
      <c r="A38" s="105"/>
      <c r="B38" s="105"/>
      <c r="C38" s="41" t="s">
        <v>33</v>
      </c>
      <c r="D38" s="105">
        <v>20.28</v>
      </c>
      <c r="E38" s="105">
        <v>18</v>
      </c>
      <c r="F38" s="1431">
        <f t="shared" si="1"/>
        <v>8.2800000000000011</v>
      </c>
      <c r="G38" s="4591">
        <v>12</v>
      </c>
      <c r="I38" s="107"/>
      <c r="J38" s="107"/>
      <c r="K38" s="47" t="s">
        <v>33</v>
      </c>
      <c r="L38" s="107">
        <v>19.48</v>
      </c>
      <c r="M38" s="107">
        <v>25</v>
      </c>
      <c r="N38" s="1431">
        <f t="shared" si="2"/>
        <v>7.48</v>
      </c>
      <c r="O38" s="4591">
        <v>12</v>
      </c>
      <c r="Q38" s="4243"/>
      <c r="R38" s="4243"/>
      <c r="S38" s="44" t="s">
        <v>33</v>
      </c>
      <c r="T38" s="4243">
        <v>19.8</v>
      </c>
      <c r="U38" s="4243">
        <v>20</v>
      </c>
      <c r="V38" s="4721">
        <f t="shared" si="3"/>
        <v>7.8000000000000007</v>
      </c>
      <c r="W38" s="4722">
        <v>12</v>
      </c>
      <c r="Y38" s="41"/>
      <c r="Z38" s="41"/>
      <c r="AA38" s="41" t="s">
        <v>33</v>
      </c>
      <c r="AB38" s="1495">
        <v>19.079999999999998</v>
      </c>
      <c r="AC38" s="105">
        <v>24</v>
      </c>
      <c r="AD38" s="1431">
        <f t="shared" si="4"/>
        <v>7.0799999999999983</v>
      </c>
      <c r="AE38" s="1499">
        <v>12</v>
      </c>
      <c r="AF38" s="2548"/>
      <c r="AG38" s="107"/>
      <c r="AH38" s="107"/>
      <c r="AI38" s="41" t="s">
        <v>33</v>
      </c>
      <c r="AJ38" s="105">
        <v>17.28</v>
      </c>
      <c r="AK38" s="105">
        <v>29</v>
      </c>
      <c r="AL38" s="1431">
        <f t="shared" si="5"/>
        <v>5.2800000000000011</v>
      </c>
      <c r="AN38" s="105"/>
      <c r="AO38" s="105"/>
      <c r="AP38" s="41" t="s">
        <v>33</v>
      </c>
      <c r="AQ38" s="1495">
        <v>17.5</v>
      </c>
      <c r="AR38" s="105">
        <v>34</v>
      </c>
      <c r="AS38" s="1485">
        <f t="shared" ref="AS38:AS69" si="12">AQ38-CI38</f>
        <v>5.5</v>
      </c>
      <c r="AU38" s="817"/>
      <c r="AV38" s="817"/>
      <c r="AW38" s="1484" t="s">
        <v>33</v>
      </c>
      <c r="AX38" s="1415">
        <v>17.75</v>
      </c>
      <c r="AY38" s="1416">
        <v>32</v>
      </c>
      <c r="AZ38" s="1485">
        <f t="shared" si="6"/>
        <v>5.75</v>
      </c>
      <c r="BB38" s="1486"/>
      <c r="BC38" s="1486"/>
      <c r="BD38" s="1487" t="s">
        <v>33</v>
      </c>
      <c r="BE38" s="1488">
        <v>28</v>
      </c>
      <c r="BF38" s="1489">
        <v>16.678571428571431</v>
      </c>
      <c r="BG38" s="1431">
        <f t="shared" si="7"/>
        <v>4.6785714285714306</v>
      </c>
      <c r="BI38" s="1490"/>
      <c r="BJ38" s="1490"/>
      <c r="BK38" s="1492" t="s">
        <v>33</v>
      </c>
      <c r="BL38" s="1493">
        <v>34</v>
      </c>
      <c r="BM38" s="459">
        <v>17.411764705882355</v>
      </c>
      <c r="BN38" s="1491">
        <f t="shared" si="8"/>
        <v>5.411764705882355</v>
      </c>
      <c r="BO38" s="41"/>
      <c r="BP38" s="1490"/>
      <c r="BQ38" s="1490"/>
      <c r="BR38" s="1492" t="s">
        <v>33</v>
      </c>
      <c r="BS38" s="1493">
        <v>40</v>
      </c>
      <c r="BT38" s="1494">
        <v>17.125000000000004</v>
      </c>
      <c r="BU38" s="1491">
        <f t="shared" si="9"/>
        <v>5.1250000000000036</v>
      </c>
      <c r="BV38" s="41"/>
      <c r="BW38" s="105"/>
      <c r="BX38" s="105"/>
      <c r="BY38" s="41" t="s">
        <v>33</v>
      </c>
      <c r="BZ38" s="105">
        <v>23</v>
      </c>
      <c r="CA38" s="1495">
        <v>19.695652173913043</v>
      </c>
      <c r="CB38" s="1496">
        <f t="shared" si="10"/>
        <v>7.695652173913043</v>
      </c>
      <c r="CC38" s="41"/>
      <c r="CD38" s="1497"/>
      <c r="CE38" s="1497"/>
      <c r="CF38" s="460" t="s">
        <v>33</v>
      </c>
      <c r="CG38" s="1497">
        <v>19</v>
      </c>
      <c r="CH38" s="1498">
        <v>17.526315789473681</v>
      </c>
      <c r="CI38" s="1499">
        <v>12</v>
      </c>
      <c r="CJ38" s="1980">
        <f t="shared" si="11"/>
        <v>5.5263157894736814</v>
      </c>
    </row>
    <row r="39" spans="1:88">
      <c r="A39" s="105"/>
      <c r="B39" s="105"/>
      <c r="C39" s="41" t="s">
        <v>34</v>
      </c>
      <c r="D39" s="105">
        <v>18.73</v>
      </c>
      <c r="E39" s="105">
        <v>26</v>
      </c>
      <c r="F39" s="1431">
        <f t="shared" si="1"/>
        <v>6.73</v>
      </c>
      <c r="G39" s="4591">
        <v>12</v>
      </c>
      <c r="I39" s="107"/>
      <c r="J39" s="107"/>
      <c r="K39" s="47" t="s">
        <v>34</v>
      </c>
      <c r="L39" s="107">
        <v>18.23</v>
      </c>
      <c r="M39" s="107">
        <v>31</v>
      </c>
      <c r="N39" s="1431">
        <f t="shared" si="2"/>
        <v>6.23</v>
      </c>
      <c r="O39" s="4591">
        <v>12</v>
      </c>
      <c r="Q39" s="4243"/>
      <c r="R39" s="4243"/>
      <c r="S39" s="44" t="s">
        <v>34</v>
      </c>
      <c r="T39" s="4243">
        <v>18.29</v>
      </c>
      <c r="U39" s="4243">
        <v>24</v>
      </c>
      <c r="V39" s="4721">
        <f t="shared" si="3"/>
        <v>6.2899999999999991</v>
      </c>
      <c r="W39" s="4722">
        <v>12</v>
      </c>
      <c r="Y39" s="41"/>
      <c r="Z39" s="41"/>
      <c r="AA39" s="41" t="s">
        <v>34</v>
      </c>
      <c r="AB39" s="1495">
        <v>18</v>
      </c>
      <c r="AC39" s="105">
        <v>33</v>
      </c>
      <c r="AD39" s="1431">
        <f t="shared" si="4"/>
        <v>6</v>
      </c>
      <c r="AE39" s="1499">
        <v>12</v>
      </c>
      <c r="AF39" s="2548"/>
      <c r="AG39" s="107"/>
      <c r="AH39" s="107"/>
      <c r="AI39" s="41" t="s">
        <v>34</v>
      </c>
      <c r="AJ39" s="105">
        <v>18.88</v>
      </c>
      <c r="AK39" s="105">
        <v>25</v>
      </c>
      <c r="AL39" s="1431">
        <f t="shared" si="5"/>
        <v>6.879999999999999</v>
      </c>
      <c r="AN39" s="105"/>
      <c r="AO39" s="105"/>
      <c r="AP39" s="41" t="s">
        <v>34</v>
      </c>
      <c r="AQ39" s="1495">
        <v>20.89</v>
      </c>
      <c r="AR39" s="105">
        <v>18</v>
      </c>
      <c r="AS39" s="1485">
        <f t="shared" si="12"/>
        <v>8.89</v>
      </c>
      <c r="AU39" s="817"/>
      <c r="AV39" s="817"/>
      <c r="AW39" s="1484" t="s">
        <v>34</v>
      </c>
      <c r="AX39" s="1415">
        <v>18.733333333333338</v>
      </c>
      <c r="AY39" s="1416">
        <v>30</v>
      </c>
      <c r="AZ39" s="1485">
        <f t="shared" si="6"/>
        <v>6.7333333333333378</v>
      </c>
      <c r="BB39" s="1486"/>
      <c r="BC39" s="1486"/>
      <c r="BD39" s="1487" t="s">
        <v>34</v>
      </c>
      <c r="BE39" s="1488">
        <v>24</v>
      </c>
      <c r="BF39" s="1489">
        <v>19.916666666666668</v>
      </c>
      <c r="BG39" s="1431">
        <f t="shared" si="7"/>
        <v>7.9166666666666679</v>
      </c>
      <c r="BI39" s="1490"/>
      <c r="BJ39" s="1490"/>
      <c r="BK39" s="1492" t="s">
        <v>34</v>
      </c>
      <c r="BL39" s="1493">
        <v>41</v>
      </c>
      <c r="BM39" s="459">
        <v>17.585365853658541</v>
      </c>
      <c r="BN39" s="1491">
        <f t="shared" si="8"/>
        <v>5.5853658536585407</v>
      </c>
      <c r="BO39" s="41"/>
      <c r="BP39" s="1490"/>
      <c r="BQ39" s="1490"/>
      <c r="BR39" s="1492" t="s">
        <v>34</v>
      </c>
      <c r="BS39" s="1493">
        <v>39</v>
      </c>
      <c r="BT39" s="1494">
        <v>17.435897435897434</v>
      </c>
      <c r="BU39" s="1491">
        <f t="shared" si="9"/>
        <v>5.4358974358974343</v>
      </c>
      <c r="BV39" s="41"/>
      <c r="BW39" s="105"/>
      <c r="BX39" s="105"/>
      <c r="BY39" s="41" t="s">
        <v>34</v>
      </c>
      <c r="BZ39" s="105">
        <v>32</v>
      </c>
      <c r="CA39" s="1495">
        <v>18.34375</v>
      </c>
      <c r="CB39" s="1496">
        <f t="shared" si="10"/>
        <v>6.34375</v>
      </c>
      <c r="CC39" s="41"/>
      <c r="CD39" s="1497"/>
      <c r="CE39" s="1497"/>
      <c r="CF39" s="460" t="s">
        <v>34</v>
      </c>
      <c r="CG39" s="1497">
        <v>30</v>
      </c>
      <c r="CH39" s="1498">
        <v>18.2</v>
      </c>
      <c r="CI39" s="1499">
        <v>12</v>
      </c>
      <c r="CJ39" s="1980">
        <f t="shared" si="11"/>
        <v>6.1999999999999993</v>
      </c>
    </row>
    <row r="40" spans="1:88">
      <c r="A40" s="105"/>
      <c r="B40" s="105"/>
      <c r="C40" s="41" t="s">
        <v>35</v>
      </c>
      <c r="D40" s="105">
        <v>18.600000000000001</v>
      </c>
      <c r="E40" s="105">
        <v>15</v>
      </c>
      <c r="F40" s="1431">
        <f t="shared" si="1"/>
        <v>6.6000000000000014</v>
      </c>
      <c r="G40" s="4591">
        <v>12</v>
      </c>
      <c r="I40" s="107"/>
      <c r="J40" s="107"/>
      <c r="K40" s="47" t="s">
        <v>35</v>
      </c>
      <c r="L40" s="107">
        <v>18.739999999999998</v>
      </c>
      <c r="M40" s="107">
        <v>34</v>
      </c>
      <c r="N40" s="1431">
        <f t="shared" si="2"/>
        <v>6.7399999999999984</v>
      </c>
      <c r="O40" s="4591">
        <v>12</v>
      </c>
      <c r="Q40" s="4243"/>
      <c r="R40" s="4243"/>
      <c r="S40" s="44" t="s">
        <v>35</v>
      </c>
      <c r="T40" s="4243">
        <v>19.11</v>
      </c>
      <c r="U40" s="4243">
        <v>28</v>
      </c>
      <c r="V40" s="4721">
        <f t="shared" si="3"/>
        <v>7.1099999999999994</v>
      </c>
      <c r="W40" s="4722">
        <v>12</v>
      </c>
      <c r="Y40" s="41"/>
      <c r="Z40" s="41"/>
      <c r="AA40" s="41" t="s">
        <v>35</v>
      </c>
      <c r="AB40" s="1495">
        <v>19.16</v>
      </c>
      <c r="AC40" s="105">
        <v>32</v>
      </c>
      <c r="AD40" s="1431">
        <f t="shared" si="4"/>
        <v>7.16</v>
      </c>
      <c r="AE40" s="1499">
        <v>12</v>
      </c>
      <c r="AF40" s="2548"/>
      <c r="AG40" s="107"/>
      <c r="AH40" s="107"/>
      <c r="AI40" s="41" t="s">
        <v>35</v>
      </c>
      <c r="AJ40" s="105">
        <v>19.79</v>
      </c>
      <c r="AK40" s="105">
        <v>28</v>
      </c>
      <c r="AL40" s="1431">
        <f t="shared" si="5"/>
        <v>7.7899999999999991</v>
      </c>
      <c r="AN40" s="105"/>
      <c r="AO40" s="105"/>
      <c r="AP40" s="41" t="s">
        <v>35</v>
      </c>
      <c r="AQ40" s="1495">
        <v>19.8</v>
      </c>
      <c r="AR40" s="105">
        <v>40</v>
      </c>
      <c r="AS40" s="1485">
        <f t="shared" si="12"/>
        <v>7.8000000000000007</v>
      </c>
      <c r="AU40" s="817"/>
      <c r="AV40" s="817"/>
      <c r="AW40" s="1484" t="s">
        <v>35</v>
      </c>
      <c r="AX40" s="1415">
        <v>18.785714285714285</v>
      </c>
      <c r="AY40" s="1416">
        <v>42</v>
      </c>
      <c r="AZ40" s="1485">
        <f t="shared" si="6"/>
        <v>6.7857142857142847</v>
      </c>
      <c r="BB40" s="1486"/>
      <c r="BC40" s="1486"/>
      <c r="BD40" s="1487" t="s">
        <v>35</v>
      </c>
      <c r="BE40" s="1488">
        <v>29</v>
      </c>
      <c r="BF40" s="1489">
        <v>19.724137931034484</v>
      </c>
      <c r="BG40" s="1431">
        <f t="shared" si="7"/>
        <v>7.724137931034484</v>
      </c>
      <c r="BI40" s="1490"/>
      <c r="BJ40" s="1490"/>
      <c r="BK40" s="1492" t="s">
        <v>35</v>
      </c>
      <c r="BL40" s="1493">
        <v>43</v>
      </c>
      <c r="BM40" s="459">
        <v>18.465116279069768</v>
      </c>
      <c r="BN40" s="1491">
        <f t="shared" si="8"/>
        <v>6.4651162790697683</v>
      </c>
      <c r="BO40" s="41"/>
      <c r="BP40" s="1490"/>
      <c r="BQ40" s="1490"/>
      <c r="BR40" s="1492" t="s">
        <v>35</v>
      </c>
      <c r="BS40" s="1493">
        <v>25</v>
      </c>
      <c r="BT40" s="1494">
        <v>17.920000000000002</v>
      </c>
      <c r="BU40" s="1491">
        <f t="shared" si="9"/>
        <v>5.9200000000000017</v>
      </c>
      <c r="BV40" s="41"/>
      <c r="BW40" s="105"/>
      <c r="BX40" s="105"/>
      <c r="BY40" s="41" t="s">
        <v>35</v>
      </c>
      <c r="BZ40" s="105">
        <v>39</v>
      </c>
      <c r="CA40" s="1495">
        <v>16.589743589743591</v>
      </c>
      <c r="CB40" s="1496">
        <f t="shared" si="10"/>
        <v>4.5897435897435912</v>
      </c>
      <c r="CC40" s="41"/>
      <c r="CD40" s="1497"/>
      <c r="CE40" s="1497"/>
      <c r="CF40" s="460" t="s">
        <v>35</v>
      </c>
      <c r="CG40" s="1497">
        <v>39</v>
      </c>
      <c r="CH40" s="1498">
        <v>19.974358974358974</v>
      </c>
      <c r="CI40" s="1499">
        <v>12</v>
      </c>
      <c r="CJ40" s="1980">
        <f t="shared" si="11"/>
        <v>7.9743589743589745</v>
      </c>
    </row>
    <row r="41" spans="1:88">
      <c r="A41" s="105"/>
      <c r="B41" s="105"/>
      <c r="C41" s="41" t="s">
        <v>19</v>
      </c>
      <c r="D41" s="105">
        <v>17.2</v>
      </c>
      <c r="E41" s="105">
        <v>49</v>
      </c>
      <c r="F41" s="1431">
        <f t="shared" si="1"/>
        <v>5.1999999999999993</v>
      </c>
      <c r="G41" s="4591">
        <v>12</v>
      </c>
      <c r="I41" s="107"/>
      <c r="J41" s="107"/>
      <c r="K41" s="47" t="s">
        <v>19</v>
      </c>
      <c r="L41" s="107">
        <v>17.940000000000001</v>
      </c>
      <c r="M41" s="107">
        <v>50</v>
      </c>
      <c r="N41" s="1431">
        <f t="shared" si="2"/>
        <v>5.9400000000000013</v>
      </c>
      <c r="O41" s="4591">
        <v>12</v>
      </c>
      <c r="Q41" s="4243"/>
      <c r="R41" s="4243"/>
      <c r="S41" s="44" t="s">
        <v>19</v>
      </c>
      <c r="T41" s="4243">
        <v>18.64</v>
      </c>
      <c r="U41" s="4243">
        <v>28</v>
      </c>
      <c r="V41" s="4721">
        <f t="shared" si="3"/>
        <v>6.6400000000000006</v>
      </c>
      <c r="W41" s="4722">
        <v>12</v>
      </c>
      <c r="Y41" s="41"/>
      <c r="Z41" s="41"/>
      <c r="AA41" s="41" t="s">
        <v>19</v>
      </c>
      <c r="AB41" s="1495">
        <v>16.03</v>
      </c>
      <c r="AC41" s="105">
        <v>29</v>
      </c>
      <c r="AD41" s="1431">
        <f t="shared" si="4"/>
        <v>4.0300000000000011</v>
      </c>
      <c r="AE41" s="1499">
        <v>12</v>
      </c>
      <c r="AF41" s="2548"/>
      <c r="AG41" s="107"/>
      <c r="AH41" s="107"/>
      <c r="AI41" s="41" t="s">
        <v>19</v>
      </c>
      <c r="AJ41" s="105">
        <v>15.82</v>
      </c>
      <c r="AK41" s="105">
        <v>60</v>
      </c>
      <c r="AL41" s="1431">
        <f t="shared" si="5"/>
        <v>3.8200000000000003</v>
      </c>
      <c r="AN41" s="105"/>
      <c r="AO41" s="105"/>
      <c r="AP41" s="41" t="s">
        <v>19</v>
      </c>
      <c r="AQ41" s="1495">
        <v>18.37</v>
      </c>
      <c r="AR41" s="105">
        <v>41</v>
      </c>
      <c r="AS41" s="1485">
        <f t="shared" si="12"/>
        <v>6.370000000000001</v>
      </c>
      <c r="AU41" s="817"/>
      <c r="AV41" s="817"/>
      <c r="AW41" s="1484" t="s">
        <v>19</v>
      </c>
      <c r="AX41" s="1415">
        <v>16.433333333333326</v>
      </c>
      <c r="AY41" s="1416">
        <v>60</v>
      </c>
      <c r="AZ41" s="1485">
        <f t="shared" si="6"/>
        <v>4.4333333333333265</v>
      </c>
      <c r="BB41" s="1486"/>
      <c r="BC41" s="1486"/>
      <c r="BD41" s="1487" t="s">
        <v>19</v>
      </c>
      <c r="BE41" s="1488">
        <v>42</v>
      </c>
      <c r="BF41" s="1489">
        <v>16.738095238095241</v>
      </c>
      <c r="BG41" s="1431">
        <f t="shared" si="7"/>
        <v>4.7380952380952408</v>
      </c>
      <c r="BI41" s="1490"/>
      <c r="BJ41" s="1490"/>
      <c r="BK41" s="1492" t="s">
        <v>19</v>
      </c>
      <c r="BL41" s="1493">
        <v>59</v>
      </c>
      <c r="BM41" s="459">
        <v>16.50847457627119</v>
      </c>
      <c r="BN41" s="1491">
        <f t="shared" si="8"/>
        <v>4.5084745762711904</v>
      </c>
      <c r="BO41" s="41"/>
      <c r="BP41" s="1490"/>
      <c r="BQ41" s="1490"/>
      <c r="BR41" s="1492" t="s">
        <v>19</v>
      </c>
      <c r="BS41" s="1493">
        <v>38</v>
      </c>
      <c r="BT41" s="1494">
        <v>17.157894736842106</v>
      </c>
      <c r="BU41" s="1491">
        <f t="shared" si="9"/>
        <v>5.1578947368421062</v>
      </c>
      <c r="BV41" s="41"/>
      <c r="BW41" s="105"/>
      <c r="BX41" s="105"/>
      <c r="BY41" s="41" t="s">
        <v>19</v>
      </c>
      <c r="BZ41" s="105">
        <v>34</v>
      </c>
      <c r="CA41" s="1495">
        <v>15.705882352941172</v>
      </c>
      <c r="CB41" s="1496">
        <f t="shared" si="10"/>
        <v>3.7058823529411722</v>
      </c>
      <c r="CC41" s="41"/>
      <c r="CD41" s="1497"/>
      <c r="CE41" s="1497"/>
      <c r="CF41" s="460" t="s">
        <v>19</v>
      </c>
      <c r="CG41" s="1497">
        <v>73</v>
      </c>
      <c r="CH41" s="1498">
        <v>17.589041095890412</v>
      </c>
      <c r="CI41" s="1499">
        <v>12</v>
      </c>
      <c r="CJ41" s="1980">
        <f t="shared" si="11"/>
        <v>5.589041095890412</v>
      </c>
    </row>
    <row r="42" spans="1:88">
      <c r="A42" s="105"/>
      <c r="B42" s="105"/>
      <c r="C42" s="41" t="s">
        <v>20</v>
      </c>
      <c r="D42" s="105">
        <v>19.670000000000002</v>
      </c>
      <c r="E42" s="105">
        <v>21</v>
      </c>
      <c r="F42" s="1431">
        <f t="shared" si="1"/>
        <v>7.6700000000000017</v>
      </c>
      <c r="G42" s="4591">
        <v>12</v>
      </c>
      <c r="I42" s="107"/>
      <c r="J42" s="107"/>
      <c r="K42" s="47" t="s">
        <v>20</v>
      </c>
      <c r="L42" s="107">
        <v>17.28</v>
      </c>
      <c r="M42" s="107">
        <v>40</v>
      </c>
      <c r="N42" s="1431">
        <f t="shared" si="2"/>
        <v>5.2800000000000011</v>
      </c>
      <c r="O42" s="4591">
        <v>12</v>
      </c>
      <c r="Q42" s="4243"/>
      <c r="R42" s="4243"/>
      <c r="S42" s="44" t="s">
        <v>20</v>
      </c>
      <c r="T42" s="4243">
        <v>17.829999999999998</v>
      </c>
      <c r="U42" s="4243">
        <v>23</v>
      </c>
      <c r="V42" s="4721">
        <f t="shared" si="3"/>
        <v>5.8299999999999983</v>
      </c>
      <c r="W42" s="4722">
        <v>12</v>
      </c>
      <c r="Y42" s="41"/>
      <c r="Z42" s="41"/>
      <c r="AA42" s="41" t="s">
        <v>20</v>
      </c>
      <c r="AB42" s="1495">
        <v>18.53</v>
      </c>
      <c r="AC42" s="105">
        <v>43</v>
      </c>
      <c r="AD42" s="1431">
        <f t="shared" si="4"/>
        <v>6.5300000000000011</v>
      </c>
      <c r="AE42" s="1499">
        <v>12</v>
      </c>
      <c r="AF42" s="2548"/>
      <c r="AG42" s="107"/>
      <c r="AH42" s="107"/>
      <c r="AI42" s="41" t="s">
        <v>20</v>
      </c>
      <c r="AJ42" s="105">
        <v>16.88</v>
      </c>
      <c r="AK42" s="105">
        <v>48</v>
      </c>
      <c r="AL42" s="1431">
        <f t="shared" si="5"/>
        <v>4.879999999999999</v>
      </c>
      <c r="AN42" s="105"/>
      <c r="AO42" s="105"/>
      <c r="AP42" s="41" t="s">
        <v>20</v>
      </c>
      <c r="AQ42" s="1495">
        <v>17.7</v>
      </c>
      <c r="AR42" s="105">
        <v>40</v>
      </c>
      <c r="AS42" s="1485">
        <f t="shared" si="12"/>
        <v>5.6999999999999993</v>
      </c>
      <c r="AU42" s="817"/>
      <c r="AV42" s="817"/>
      <c r="AW42" s="1484" t="s">
        <v>20</v>
      </c>
      <c r="AX42" s="1415">
        <v>17.414634146341463</v>
      </c>
      <c r="AY42" s="1416">
        <v>41</v>
      </c>
      <c r="AZ42" s="1485">
        <f t="shared" si="6"/>
        <v>5.4146341463414629</v>
      </c>
      <c r="BB42" s="1486"/>
      <c r="BC42" s="1486"/>
      <c r="BD42" s="1487" t="s">
        <v>20</v>
      </c>
      <c r="BE42" s="1488">
        <v>52</v>
      </c>
      <c r="BF42" s="1489">
        <v>18.673076923076923</v>
      </c>
      <c r="BG42" s="1431">
        <f t="shared" si="7"/>
        <v>6.6730769230769234</v>
      </c>
      <c r="BI42" s="1490"/>
      <c r="BJ42" s="1490"/>
      <c r="BK42" s="1492" t="s">
        <v>20</v>
      </c>
      <c r="BL42" s="1493">
        <v>46</v>
      </c>
      <c r="BM42" s="459">
        <v>18.086956521739133</v>
      </c>
      <c r="BN42" s="1491">
        <f t="shared" si="8"/>
        <v>6.0869565217391326</v>
      </c>
      <c r="BO42" s="41"/>
      <c r="BP42" s="1490"/>
      <c r="BQ42" s="1490"/>
      <c r="BR42" s="1492" t="s">
        <v>20</v>
      </c>
      <c r="BS42" s="1493">
        <v>27</v>
      </c>
      <c r="BT42" s="1494">
        <v>17.703703703703706</v>
      </c>
      <c r="BU42" s="1491">
        <f t="shared" si="9"/>
        <v>5.7037037037037059</v>
      </c>
      <c r="BV42" s="41"/>
      <c r="BW42" s="105"/>
      <c r="BX42" s="105"/>
      <c r="BY42" s="41" t="s">
        <v>20</v>
      </c>
      <c r="BZ42" s="105">
        <v>38</v>
      </c>
      <c r="CA42" s="1495">
        <v>15.999999999999996</v>
      </c>
      <c r="CB42" s="1496">
        <f t="shared" si="10"/>
        <v>3.9999999999999964</v>
      </c>
      <c r="CC42" s="41"/>
      <c r="CD42" s="1497"/>
      <c r="CE42" s="1497"/>
      <c r="CF42" s="460" t="s">
        <v>20</v>
      </c>
      <c r="CG42" s="1497">
        <v>48</v>
      </c>
      <c r="CH42" s="1498">
        <v>17.333333333333336</v>
      </c>
      <c r="CI42" s="1499">
        <v>12</v>
      </c>
      <c r="CJ42" s="1980">
        <f t="shared" si="11"/>
        <v>5.3333333333333357</v>
      </c>
    </row>
    <row r="43" spans="1:88">
      <c r="A43" s="105"/>
      <c r="B43" s="105"/>
      <c r="C43" s="41" t="s">
        <v>36</v>
      </c>
      <c r="D43" s="105">
        <v>20</v>
      </c>
      <c r="E43" s="105">
        <v>15</v>
      </c>
      <c r="F43" s="1431">
        <f t="shared" si="1"/>
        <v>8</v>
      </c>
      <c r="G43" s="4591">
        <v>12</v>
      </c>
      <c r="I43" s="107"/>
      <c r="J43" s="107"/>
      <c r="K43" s="47" t="s">
        <v>36</v>
      </c>
      <c r="L43" s="107">
        <v>19.170000000000002</v>
      </c>
      <c r="M43" s="107">
        <v>24</v>
      </c>
      <c r="N43" s="1431">
        <f t="shared" si="2"/>
        <v>7.1700000000000017</v>
      </c>
      <c r="O43" s="4591">
        <v>12</v>
      </c>
      <c r="Q43" s="4243"/>
      <c r="R43" s="4243"/>
      <c r="S43" s="44" t="s">
        <v>36</v>
      </c>
      <c r="T43" s="4243">
        <v>19.38</v>
      </c>
      <c r="U43" s="4243">
        <v>16</v>
      </c>
      <c r="V43" s="4721">
        <f t="shared" si="3"/>
        <v>7.379999999999999</v>
      </c>
      <c r="W43" s="4722">
        <v>12</v>
      </c>
      <c r="Y43" s="41"/>
      <c r="Z43" s="41"/>
      <c r="AA43" s="41" t="s">
        <v>36</v>
      </c>
      <c r="AB43" s="1495">
        <v>18.920000000000002</v>
      </c>
      <c r="AC43" s="105">
        <v>38</v>
      </c>
      <c r="AD43" s="1431">
        <f t="shared" si="4"/>
        <v>6.9200000000000017</v>
      </c>
      <c r="AE43" s="1499">
        <v>12</v>
      </c>
      <c r="AF43" s="2548"/>
      <c r="AG43" s="107"/>
      <c r="AH43" s="107"/>
      <c r="AI43" s="41" t="s">
        <v>36</v>
      </c>
      <c r="AJ43" s="105">
        <v>17.48</v>
      </c>
      <c r="AK43" s="105">
        <v>33</v>
      </c>
      <c r="AL43" s="1431">
        <f t="shared" si="5"/>
        <v>5.48</v>
      </c>
      <c r="AN43" s="105"/>
      <c r="AO43" s="105"/>
      <c r="AP43" s="41" t="s">
        <v>36</v>
      </c>
      <c r="AQ43" s="1495">
        <v>18.37</v>
      </c>
      <c r="AR43" s="105">
        <v>30</v>
      </c>
      <c r="AS43" s="1485">
        <f t="shared" si="12"/>
        <v>6.370000000000001</v>
      </c>
      <c r="AU43" s="817"/>
      <c r="AV43" s="817"/>
      <c r="AW43" s="1484" t="s">
        <v>36</v>
      </c>
      <c r="AX43" s="1415">
        <v>19.324999999999999</v>
      </c>
      <c r="AY43" s="1416">
        <v>40</v>
      </c>
      <c r="AZ43" s="1485">
        <f t="shared" si="6"/>
        <v>7.3249999999999993</v>
      </c>
      <c r="BB43" s="1486"/>
      <c r="BC43" s="1486"/>
      <c r="BD43" s="1487" t="s">
        <v>36</v>
      </c>
      <c r="BE43" s="1488">
        <v>35</v>
      </c>
      <c r="BF43" s="1489">
        <v>17.257142857142853</v>
      </c>
      <c r="BG43" s="1431">
        <f t="shared" si="7"/>
        <v>5.2571428571428527</v>
      </c>
      <c r="BI43" s="1490"/>
      <c r="BJ43" s="1490"/>
      <c r="BK43" s="1492" t="s">
        <v>36</v>
      </c>
      <c r="BL43" s="1493">
        <v>34</v>
      </c>
      <c r="BM43" s="459">
        <v>18.441176470588232</v>
      </c>
      <c r="BN43" s="1491">
        <f t="shared" si="8"/>
        <v>6.441176470588232</v>
      </c>
      <c r="BO43" s="41"/>
      <c r="BP43" s="1490"/>
      <c r="BQ43" s="1490"/>
      <c r="BR43" s="1492" t="s">
        <v>36</v>
      </c>
      <c r="BS43" s="1493">
        <v>35</v>
      </c>
      <c r="BT43" s="1494">
        <v>19.62857142857143</v>
      </c>
      <c r="BU43" s="1491">
        <f t="shared" si="9"/>
        <v>7.6285714285714299</v>
      </c>
      <c r="BV43" s="41"/>
      <c r="BW43" s="105"/>
      <c r="BX43" s="105"/>
      <c r="BY43" s="41" t="s">
        <v>36</v>
      </c>
      <c r="BZ43" s="105">
        <v>25</v>
      </c>
      <c r="CA43" s="1495">
        <v>20.039999999999996</v>
      </c>
      <c r="CB43" s="1496">
        <f t="shared" si="10"/>
        <v>8.0399999999999956</v>
      </c>
      <c r="CC43" s="41"/>
      <c r="CD43" s="1497"/>
      <c r="CE43" s="1497"/>
      <c r="CF43" s="460" t="s">
        <v>36</v>
      </c>
      <c r="CG43" s="1497">
        <v>36</v>
      </c>
      <c r="CH43" s="1498">
        <v>18.916666666666668</v>
      </c>
      <c r="CI43" s="1499">
        <v>12</v>
      </c>
      <c r="CJ43" s="1980">
        <f t="shared" si="11"/>
        <v>6.9166666666666679</v>
      </c>
    </row>
    <row r="44" spans="1:88">
      <c r="A44" s="105"/>
      <c r="B44" s="105"/>
      <c r="C44" s="41" t="s">
        <v>37</v>
      </c>
      <c r="D44" s="105">
        <v>18.88</v>
      </c>
      <c r="E44" s="105">
        <v>17</v>
      </c>
      <c r="F44" s="1431">
        <f t="shared" si="1"/>
        <v>6.879999999999999</v>
      </c>
      <c r="G44" s="4591">
        <v>12</v>
      </c>
      <c r="I44" s="107"/>
      <c r="J44" s="107"/>
      <c r="K44" s="47" t="s">
        <v>37</v>
      </c>
      <c r="L44" s="107">
        <v>19.13</v>
      </c>
      <c r="M44" s="107">
        <v>16</v>
      </c>
      <c r="N44" s="1431">
        <f t="shared" si="2"/>
        <v>7.129999999999999</v>
      </c>
      <c r="O44" s="4591">
        <v>12</v>
      </c>
      <c r="Q44" s="4243"/>
      <c r="R44" s="4243"/>
      <c r="S44" s="44" t="s">
        <v>37</v>
      </c>
      <c r="T44" s="4243">
        <v>18.09</v>
      </c>
      <c r="U44" s="4243">
        <v>11</v>
      </c>
      <c r="V44" s="4721">
        <f t="shared" si="3"/>
        <v>6.09</v>
      </c>
      <c r="W44" s="4722">
        <v>12</v>
      </c>
      <c r="Y44" s="41"/>
      <c r="Z44" s="41"/>
      <c r="AA44" s="41" t="s">
        <v>37</v>
      </c>
      <c r="AB44" s="1495">
        <v>15.96</v>
      </c>
      <c r="AC44" s="105">
        <v>24</v>
      </c>
      <c r="AD44" s="1431">
        <f t="shared" si="4"/>
        <v>3.9600000000000009</v>
      </c>
      <c r="AE44" s="1499">
        <v>12</v>
      </c>
      <c r="AF44" s="2548"/>
      <c r="AG44" s="107"/>
      <c r="AH44" s="107"/>
      <c r="AI44" s="41" t="s">
        <v>37</v>
      </c>
      <c r="AJ44" s="105">
        <v>17.78</v>
      </c>
      <c r="AK44" s="105">
        <v>23</v>
      </c>
      <c r="AL44" s="1431">
        <f t="shared" si="5"/>
        <v>5.7800000000000011</v>
      </c>
      <c r="AN44" s="105"/>
      <c r="AO44" s="105"/>
      <c r="AP44" s="41" t="s">
        <v>37</v>
      </c>
      <c r="AQ44" s="1495">
        <v>15.52</v>
      </c>
      <c r="AR44" s="105">
        <v>21</v>
      </c>
      <c r="AS44" s="1485">
        <f t="shared" si="12"/>
        <v>3.5199999999999996</v>
      </c>
      <c r="AU44" s="817"/>
      <c r="AV44" s="817"/>
      <c r="AW44" s="1484" t="s">
        <v>37</v>
      </c>
      <c r="AX44" s="1415">
        <v>16.761904761904763</v>
      </c>
      <c r="AY44" s="1416">
        <v>21</v>
      </c>
      <c r="AZ44" s="1485">
        <f t="shared" si="6"/>
        <v>4.7619047619047628</v>
      </c>
      <c r="BB44" s="1486"/>
      <c r="BC44" s="1486"/>
      <c r="BD44" s="1487" t="s">
        <v>37</v>
      </c>
      <c r="BE44" s="1488">
        <v>13</v>
      </c>
      <c r="BF44" s="1489">
        <v>15.076923076923077</v>
      </c>
      <c r="BG44" s="1431">
        <f t="shared" si="7"/>
        <v>3.0769230769230766</v>
      </c>
      <c r="BI44" s="1490"/>
      <c r="BJ44" s="1490"/>
      <c r="BK44" s="1492" t="s">
        <v>37</v>
      </c>
      <c r="BL44" s="1493">
        <v>16</v>
      </c>
      <c r="BM44" s="459">
        <v>17.312499999999996</v>
      </c>
      <c r="BN44" s="1491">
        <f t="shared" si="8"/>
        <v>5.3124999999999964</v>
      </c>
      <c r="BO44" s="41"/>
      <c r="BP44" s="1490"/>
      <c r="BQ44" s="1490"/>
      <c r="BR44" s="1492" t="s">
        <v>37</v>
      </c>
      <c r="BS44" s="1493">
        <v>17</v>
      </c>
      <c r="BT44" s="1494">
        <v>14.294117647058826</v>
      </c>
      <c r="BU44" s="1491">
        <f t="shared" si="9"/>
        <v>2.294117647058826</v>
      </c>
      <c r="BV44" s="41"/>
      <c r="BW44" s="105"/>
      <c r="BX44" s="105"/>
      <c r="BY44" s="41" t="s">
        <v>37</v>
      </c>
      <c r="BZ44" s="105">
        <v>13</v>
      </c>
      <c r="CA44" s="1495">
        <v>18.46153846153846</v>
      </c>
      <c r="CB44" s="1496">
        <f t="shared" si="10"/>
        <v>6.4615384615384599</v>
      </c>
      <c r="CC44" s="41"/>
      <c r="CD44" s="1497"/>
      <c r="CE44" s="1497"/>
      <c r="CF44" s="460" t="s">
        <v>37</v>
      </c>
      <c r="CG44" s="1497">
        <v>10</v>
      </c>
      <c r="CH44" s="1498">
        <v>15.6</v>
      </c>
      <c r="CI44" s="1499">
        <v>12</v>
      </c>
      <c r="CJ44" s="1980">
        <f t="shared" si="11"/>
        <v>3.5999999999999996</v>
      </c>
    </row>
    <row r="45" spans="1:88">
      <c r="A45" s="105"/>
      <c r="B45" s="105"/>
      <c r="C45" s="41" t="s">
        <v>38</v>
      </c>
      <c r="D45" s="105">
        <v>17.13</v>
      </c>
      <c r="E45" s="105">
        <v>32</v>
      </c>
      <c r="F45" s="1431">
        <f t="shared" si="1"/>
        <v>5.129999999999999</v>
      </c>
      <c r="G45" s="4591">
        <v>12</v>
      </c>
      <c r="I45" s="107"/>
      <c r="J45" s="107"/>
      <c r="K45" s="47" t="s">
        <v>38</v>
      </c>
      <c r="L45" s="107">
        <v>16.36</v>
      </c>
      <c r="M45" s="107">
        <v>47</v>
      </c>
      <c r="N45" s="1431">
        <f t="shared" si="2"/>
        <v>4.3599999999999994</v>
      </c>
      <c r="O45" s="4591">
        <v>12</v>
      </c>
      <c r="Q45" s="4243"/>
      <c r="R45" s="4243"/>
      <c r="S45" s="44" t="s">
        <v>38</v>
      </c>
      <c r="T45" s="4243">
        <v>16.46</v>
      </c>
      <c r="U45" s="4243">
        <v>41</v>
      </c>
      <c r="V45" s="4721">
        <f t="shared" si="3"/>
        <v>4.4600000000000009</v>
      </c>
      <c r="W45" s="4722">
        <v>12</v>
      </c>
      <c r="Y45" s="41"/>
      <c r="Z45" s="41"/>
      <c r="AA45" s="41" t="s">
        <v>38</v>
      </c>
      <c r="AB45" s="1495">
        <v>18.309999999999999</v>
      </c>
      <c r="AC45" s="105">
        <v>52</v>
      </c>
      <c r="AD45" s="1431">
        <f t="shared" si="4"/>
        <v>6.3099999999999987</v>
      </c>
      <c r="AE45" s="1499">
        <v>12</v>
      </c>
      <c r="AF45" s="2548"/>
      <c r="AG45" s="107"/>
      <c r="AH45" s="107"/>
      <c r="AI45" s="41" t="s">
        <v>38</v>
      </c>
      <c r="AJ45" s="105">
        <v>17.329999999999998</v>
      </c>
      <c r="AK45" s="105">
        <v>61</v>
      </c>
      <c r="AL45" s="1431">
        <f t="shared" si="5"/>
        <v>5.3299999999999983</v>
      </c>
      <c r="AN45" s="105"/>
      <c r="AO45" s="105"/>
      <c r="AP45" s="41" t="s">
        <v>38</v>
      </c>
      <c r="AQ45" s="1495">
        <v>15.56</v>
      </c>
      <c r="AR45" s="105">
        <v>36</v>
      </c>
      <c r="AS45" s="1485">
        <f t="shared" si="12"/>
        <v>3.5600000000000005</v>
      </c>
      <c r="AU45" s="817"/>
      <c r="AV45" s="817"/>
      <c r="AW45" s="1484" t="s">
        <v>38</v>
      </c>
      <c r="AX45" s="1415">
        <v>17.672413793103452</v>
      </c>
      <c r="AY45" s="1416">
        <v>58</v>
      </c>
      <c r="AZ45" s="1485">
        <f t="shared" si="6"/>
        <v>5.672413793103452</v>
      </c>
      <c r="BB45" s="1486"/>
      <c r="BC45" s="1486"/>
      <c r="BD45" s="1487" t="s">
        <v>38</v>
      </c>
      <c r="BE45" s="1488">
        <v>52</v>
      </c>
      <c r="BF45" s="1489">
        <v>17.51923076923077</v>
      </c>
      <c r="BG45" s="1431">
        <f t="shared" si="7"/>
        <v>5.5192307692307701</v>
      </c>
      <c r="BI45" s="1490"/>
      <c r="BJ45" s="1490"/>
      <c r="BK45" s="1492" t="s">
        <v>38</v>
      </c>
      <c r="BL45" s="1493">
        <v>78</v>
      </c>
      <c r="BM45" s="459">
        <v>17.166666666666661</v>
      </c>
      <c r="BN45" s="1491">
        <f t="shared" si="8"/>
        <v>5.1666666666666607</v>
      </c>
      <c r="BO45" s="41"/>
      <c r="BP45" s="1490"/>
      <c r="BQ45" s="1490"/>
      <c r="BR45" s="1492" t="s">
        <v>38</v>
      </c>
      <c r="BS45" s="1493">
        <v>55</v>
      </c>
      <c r="BT45" s="1494">
        <v>17.399999999999991</v>
      </c>
      <c r="BU45" s="1491">
        <f t="shared" si="9"/>
        <v>5.3999999999999915</v>
      </c>
      <c r="BV45" s="41"/>
      <c r="BW45" s="105"/>
      <c r="BX45" s="105"/>
      <c r="BY45" s="41" t="s">
        <v>38</v>
      </c>
      <c r="BZ45" s="105">
        <v>44</v>
      </c>
      <c r="CA45" s="1495">
        <v>18.63636363636363</v>
      </c>
      <c r="CB45" s="1496">
        <f t="shared" si="10"/>
        <v>6.6363636363636296</v>
      </c>
      <c r="CC45" s="41"/>
      <c r="CD45" s="1497"/>
      <c r="CE45" s="1497"/>
      <c r="CF45" s="460" t="s">
        <v>38</v>
      </c>
      <c r="CG45" s="1497">
        <v>44</v>
      </c>
      <c r="CH45" s="1498">
        <v>17.068181818181824</v>
      </c>
      <c r="CI45" s="1499">
        <v>12</v>
      </c>
      <c r="CJ45" s="1980">
        <f t="shared" si="11"/>
        <v>5.0681818181818237</v>
      </c>
    </row>
    <row r="46" spans="1:88">
      <c r="A46" s="105"/>
      <c r="B46" s="105"/>
      <c r="C46" s="41" t="s">
        <v>39</v>
      </c>
      <c r="D46" s="105">
        <v>15.17</v>
      </c>
      <c r="E46" s="105">
        <v>88</v>
      </c>
      <c r="F46" s="1431">
        <f t="shared" si="1"/>
        <v>3.17</v>
      </c>
      <c r="G46" s="4591">
        <v>12</v>
      </c>
      <c r="I46" s="107"/>
      <c r="J46" s="107"/>
      <c r="K46" s="47" t="s">
        <v>39</v>
      </c>
      <c r="L46" s="107">
        <v>14.7</v>
      </c>
      <c r="M46" s="107">
        <v>117</v>
      </c>
      <c r="N46" s="1431">
        <f t="shared" si="2"/>
        <v>2.6999999999999993</v>
      </c>
      <c r="O46" s="4591">
        <v>12</v>
      </c>
      <c r="Q46" s="4243"/>
      <c r="R46" s="4243"/>
      <c r="S46" s="44" t="s">
        <v>39</v>
      </c>
      <c r="T46" s="4243">
        <v>14.28</v>
      </c>
      <c r="U46" s="4243">
        <v>105</v>
      </c>
      <c r="V46" s="4721">
        <f t="shared" si="3"/>
        <v>2.2799999999999994</v>
      </c>
      <c r="W46" s="4722">
        <v>12</v>
      </c>
      <c r="Y46" s="41"/>
      <c r="Z46" s="41"/>
      <c r="AA46" s="41" t="s">
        <v>39</v>
      </c>
      <c r="AB46" s="1495">
        <v>15.51</v>
      </c>
      <c r="AC46" s="105">
        <v>95</v>
      </c>
      <c r="AD46" s="1431">
        <f t="shared" si="4"/>
        <v>3.51</v>
      </c>
      <c r="AE46" s="1499">
        <v>12</v>
      </c>
      <c r="AF46" s="2548"/>
      <c r="AG46" s="107"/>
      <c r="AH46" s="107"/>
      <c r="AI46" s="41" t="s">
        <v>39</v>
      </c>
      <c r="AJ46" s="105">
        <v>15.71</v>
      </c>
      <c r="AK46" s="105">
        <v>106</v>
      </c>
      <c r="AL46" s="1431">
        <f t="shared" si="5"/>
        <v>3.7100000000000009</v>
      </c>
      <c r="AN46" s="105"/>
      <c r="AO46" s="105"/>
      <c r="AP46" s="41" t="s">
        <v>39</v>
      </c>
      <c r="AQ46" s="1495">
        <v>15.19</v>
      </c>
      <c r="AR46" s="105">
        <v>137</v>
      </c>
      <c r="AS46" s="1485">
        <f t="shared" si="12"/>
        <v>3.1899999999999995</v>
      </c>
      <c r="AU46" s="817"/>
      <c r="AV46" s="817"/>
      <c r="AW46" s="1484" t="s">
        <v>39</v>
      </c>
      <c r="AX46" s="1415">
        <v>16.420454545454543</v>
      </c>
      <c r="AY46" s="1416">
        <v>88</v>
      </c>
      <c r="AZ46" s="1485">
        <f t="shared" si="6"/>
        <v>4.4204545454545432</v>
      </c>
      <c r="BB46" s="1486"/>
      <c r="BC46" s="1486"/>
      <c r="BD46" s="1487" t="s">
        <v>39</v>
      </c>
      <c r="BE46" s="1488">
        <v>122</v>
      </c>
      <c r="BF46" s="1489">
        <v>16.155737704918032</v>
      </c>
      <c r="BG46" s="1431">
        <f t="shared" si="7"/>
        <v>4.1557377049180317</v>
      </c>
      <c r="BI46" s="1490"/>
      <c r="BJ46" s="1490"/>
      <c r="BK46" s="1492" t="s">
        <v>39</v>
      </c>
      <c r="BL46" s="1493">
        <v>120</v>
      </c>
      <c r="BM46" s="459">
        <v>14.625</v>
      </c>
      <c r="BN46" s="1491">
        <f t="shared" si="8"/>
        <v>2.625</v>
      </c>
      <c r="BO46" s="41"/>
      <c r="BP46" s="1490"/>
      <c r="BQ46" s="1490"/>
      <c r="BR46" s="1492" t="s">
        <v>39</v>
      </c>
      <c r="BS46" s="1493">
        <v>149</v>
      </c>
      <c r="BT46" s="1494">
        <v>14.73154362416107</v>
      </c>
      <c r="BU46" s="1491">
        <f t="shared" si="9"/>
        <v>2.7315436241610698</v>
      </c>
      <c r="BV46" s="41"/>
      <c r="BW46" s="105"/>
      <c r="BX46" s="105"/>
      <c r="BY46" s="41" t="s">
        <v>39</v>
      </c>
      <c r="BZ46" s="105">
        <v>105</v>
      </c>
      <c r="CA46" s="1495">
        <v>15.390476190476194</v>
      </c>
      <c r="CB46" s="1496">
        <f t="shared" si="10"/>
        <v>3.3904761904761944</v>
      </c>
      <c r="CC46" s="41"/>
      <c r="CD46" s="1497"/>
      <c r="CE46" s="1497"/>
      <c r="CF46" s="460" t="s">
        <v>39</v>
      </c>
      <c r="CG46" s="1497">
        <v>93</v>
      </c>
      <c r="CH46" s="1498">
        <v>15.580645161290326</v>
      </c>
      <c r="CI46" s="1499">
        <v>12</v>
      </c>
      <c r="CJ46" s="1980">
        <f t="shared" si="11"/>
        <v>3.5806451612903256</v>
      </c>
    </row>
    <row r="47" spans="1:88">
      <c r="A47" s="105"/>
      <c r="B47" s="105"/>
      <c r="C47" s="41" t="s">
        <v>40</v>
      </c>
      <c r="D47" s="105">
        <v>23.93</v>
      </c>
      <c r="E47" s="105">
        <v>14</v>
      </c>
      <c r="F47" s="1431">
        <f t="shared" si="1"/>
        <v>11.93</v>
      </c>
      <c r="G47" s="4591">
        <v>12</v>
      </c>
      <c r="I47" s="107"/>
      <c r="J47" s="107"/>
      <c r="K47" s="47" t="s">
        <v>40</v>
      </c>
      <c r="L47" s="107">
        <v>22.89</v>
      </c>
      <c r="M47" s="107">
        <v>9</v>
      </c>
      <c r="N47" s="1431">
        <f t="shared" si="2"/>
        <v>10.89</v>
      </c>
      <c r="O47" s="4591">
        <v>12</v>
      </c>
      <c r="Q47" s="4243"/>
      <c r="R47" s="4243"/>
      <c r="S47" s="44" t="s">
        <v>40</v>
      </c>
      <c r="T47" s="4243">
        <v>24</v>
      </c>
      <c r="U47" s="4243">
        <v>5</v>
      </c>
      <c r="V47" s="4721">
        <f t="shared" si="3"/>
        <v>12</v>
      </c>
      <c r="W47" s="4722">
        <v>12</v>
      </c>
      <c r="Y47" s="41"/>
      <c r="Z47" s="41"/>
      <c r="AA47" s="41" t="s">
        <v>40</v>
      </c>
      <c r="AB47" s="1495">
        <v>21.05</v>
      </c>
      <c r="AC47" s="105">
        <v>22</v>
      </c>
      <c r="AD47" s="1431">
        <f t="shared" si="4"/>
        <v>9.0500000000000007</v>
      </c>
      <c r="AE47" s="1499">
        <v>12</v>
      </c>
      <c r="AF47" s="2548"/>
      <c r="AG47" s="107"/>
      <c r="AH47" s="107"/>
      <c r="AI47" s="41" t="s">
        <v>40</v>
      </c>
      <c r="AJ47" s="105">
        <v>22.19</v>
      </c>
      <c r="AK47" s="105">
        <v>16</v>
      </c>
      <c r="AL47" s="1431">
        <f t="shared" si="5"/>
        <v>10.190000000000001</v>
      </c>
      <c r="AN47" s="105"/>
      <c r="AO47" s="105"/>
      <c r="AP47" s="41" t="s">
        <v>40</v>
      </c>
      <c r="AQ47" s="1495">
        <v>21</v>
      </c>
      <c r="AR47" s="105">
        <v>11</v>
      </c>
      <c r="AS47" s="1485">
        <f t="shared" si="12"/>
        <v>9</v>
      </c>
      <c r="AU47" s="817"/>
      <c r="AV47" s="817"/>
      <c r="AW47" s="1484" t="s">
        <v>40</v>
      </c>
      <c r="AX47" s="1415">
        <v>21.727272727272727</v>
      </c>
      <c r="AY47" s="1416">
        <v>11</v>
      </c>
      <c r="AZ47" s="1485">
        <f t="shared" si="6"/>
        <v>9.7272727272727266</v>
      </c>
      <c r="BB47" s="1486"/>
      <c r="BC47" s="1486"/>
      <c r="BD47" s="1487" t="s">
        <v>40</v>
      </c>
      <c r="BE47" s="1488">
        <v>8</v>
      </c>
      <c r="BF47" s="1489">
        <v>19.750000000000004</v>
      </c>
      <c r="BG47" s="1431">
        <f t="shared" si="7"/>
        <v>7.7500000000000036</v>
      </c>
      <c r="BI47" s="1490"/>
      <c r="BJ47" s="1490"/>
      <c r="BK47" s="1492" t="s">
        <v>40</v>
      </c>
      <c r="BL47" s="1493">
        <v>7</v>
      </c>
      <c r="BM47" s="459">
        <v>19.142857142857142</v>
      </c>
      <c r="BN47" s="1491">
        <f t="shared" si="8"/>
        <v>7.1428571428571423</v>
      </c>
      <c r="BO47" s="41"/>
      <c r="BP47" s="1490"/>
      <c r="BQ47" s="1490"/>
      <c r="BR47" s="1492" t="s">
        <v>40</v>
      </c>
      <c r="BS47" s="1493">
        <v>7</v>
      </c>
      <c r="BT47" s="1494">
        <v>21.714285714285715</v>
      </c>
      <c r="BU47" s="1491">
        <f t="shared" si="9"/>
        <v>9.7142857142857153</v>
      </c>
      <c r="BV47" s="41"/>
      <c r="BW47" s="105"/>
      <c r="BX47" s="105"/>
      <c r="BY47" s="41" t="s">
        <v>40</v>
      </c>
      <c r="BZ47" s="105">
        <v>4</v>
      </c>
      <c r="CA47" s="1495">
        <v>18.25</v>
      </c>
      <c r="CB47" s="1496">
        <f t="shared" si="10"/>
        <v>6.25</v>
      </c>
      <c r="CC47" s="41"/>
      <c r="CD47" s="1497"/>
      <c r="CE47" s="1497"/>
      <c r="CF47" s="460" t="s">
        <v>40</v>
      </c>
      <c r="CG47" s="1497">
        <v>3</v>
      </c>
      <c r="CH47" s="1498">
        <v>15.333333333333334</v>
      </c>
      <c r="CI47" s="1499">
        <v>12</v>
      </c>
      <c r="CJ47" s="1980">
        <f t="shared" si="11"/>
        <v>3.3333333333333339</v>
      </c>
    </row>
    <row r="48" spans="1:88">
      <c r="A48" s="105"/>
      <c r="B48" s="105"/>
      <c r="C48" s="461" t="s">
        <v>545</v>
      </c>
      <c r="D48" s="5483">
        <v>16.77</v>
      </c>
      <c r="E48" s="5483">
        <v>398</v>
      </c>
      <c r="F48" s="1989">
        <f t="shared" si="1"/>
        <v>4.7699999999999996</v>
      </c>
      <c r="G48" s="4591">
        <v>12</v>
      </c>
      <c r="I48" s="107"/>
      <c r="J48" s="107"/>
      <c r="K48" s="968" t="s">
        <v>545</v>
      </c>
      <c r="L48" s="145">
        <v>16.87</v>
      </c>
      <c r="M48" s="145">
        <v>521</v>
      </c>
      <c r="N48" s="1989">
        <f t="shared" si="2"/>
        <v>4.870000000000001</v>
      </c>
      <c r="O48" s="4591">
        <v>12</v>
      </c>
      <c r="Q48" s="4243"/>
      <c r="R48" s="4243"/>
      <c r="S48" s="4716" t="s">
        <v>545</v>
      </c>
      <c r="T48" s="4723">
        <v>16.760000000000002</v>
      </c>
      <c r="U48" s="4723">
        <v>379</v>
      </c>
      <c r="V48" s="4724">
        <f t="shared" si="3"/>
        <v>4.7600000000000016</v>
      </c>
      <c r="W48" s="4722">
        <v>12</v>
      </c>
      <c r="Y48" s="41"/>
      <c r="Z48" s="41"/>
      <c r="AA48" s="461" t="s">
        <v>545</v>
      </c>
      <c r="AB48" s="1510">
        <v>17.03</v>
      </c>
      <c r="AC48" s="2453">
        <v>530</v>
      </c>
      <c r="AD48" s="1989">
        <f t="shared" si="4"/>
        <v>5.0300000000000011</v>
      </c>
      <c r="AE48" s="1499">
        <v>12</v>
      </c>
      <c r="AF48" s="2548"/>
      <c r="AG48" s="107"/>
      <c r="AH48" s="107"/>
      <c r="AI48" s="461" t="s">
        <v>545</v>
      </c>
      <c r="AJ48" s="96">
        <v>16.649999999999999</v>
      </c>
      <c r="AK48" s="96">
        <v>559</v>
      </c>
      <c r="AL48" s="1989">
        <f t="shared" si="5"/>
        <v>4.6499999999999986</v>
      </c>
      <c r="AN48" s="105"/>
      <c r="AO48" s="105"/>
      <c r="AP48" s="461" t="s">
        <v>545</v>
      </c>
      <c r="AQ48" s="1510">
        <v>16.7</v>
      </c>
      <c r="AR48" s="96">
        <v>531</v>
      </c>
      <c r="AS48" s="1655">
        <f t="shared" si="12"/>
        <v>4.6999999999999993</v>
      </c>
      <c r="AU48" s="817"/>
      <c r="AV48" s="817"/>
      <c r="AW48" s="1500" t="s">
        <v>545</v>
      </c>
      <c r="AX48" s="1501">
        <v>17.242160278745629</v>
      </c>
      <c r="AY48" s="1502">
        <v>574</v>
      </c>
      <c r="AZ48" s="1485">
        <f t="shared" si="6"/>
        <v>5.2421602787456294</v>
      </c>
      <c r="BB48" s="1486"/>
      <c r="BC48" s="1486"/>
      <c r="BD48" s="1503" t="s">
        <v>545</v>
      </c>
      <c r="BE48" s="1504">
        <v>552</v>
      </c>
      <c r="BF48" s="1505">
        <v>16.88586956521738</v>
      </c>
      <c r="BG48" s="1431">
        <f t="shared" si="7"/>
        <v>4.88586956521738</v>
      </c>
      <c r="BI48" s="1490"/>
      <c r="BJ48" s="1490"/>
      <c r="BK48" s="1506" t="s">
        <v>545</v>
      </c>
      <c r="BL48" s="1507">
        <f>SUM(BL37:BL47)</f>
        <v>668</v>
      </c>
      <c r="BM48" s="462">
        <v>16.29</v>
      </c>
      <c r="BN48" s="1509">
        <f t="shared" si="8"/>
        <v>4.2899999999999991</v>
      </c>
      <c r="BO48" s="41"/>
      <c r="BP48" s="1490"/>
      <c r="BQ48" s="1490"/>
      <c r="BR48" s="1506" t="s">
        <v>545</v>
      </c>
      <c r="BS48" s="1507">
        <v>565</v>
      </c>
      <c r="BT48" s="1508">
        <v>16.295575221238938</v>
      </c>
      <c r="BU48" s="1509">
        <f t="shared" si="9"/>
        <v>4.2955752212389378</v>
      </c>
      <c r="BV48" s="41"/>
      <c r="BW48" s="105"/>
      <c r="BX48" s="105"/>
      <c r="BY48" s="461" t="s">
        <v>15</v>
      </c>
      <c r="BZ48" s="96">
        <v>482</v>
      </c>
      <c r="CA48" s="1510">
        <v>16.721991701244814</v>
      </c>
      <c r="CB48" s="1511">
        <f t="shared" si="10"/>
        <v>4.7219917012448143</v>
      </c>
      <c r="CC48" s="41"/>
      <c r="CD48" s="1497"/>
      <c r="CE48" s="1497"/>
      <c r="CF48" s="1512" t="s">
        <v>15</v>
      </c>
      <c r="CG48" s="1513">
        <v>547</v>
      </c>
      <c r="CH48" s="1514">
        <v>17.049360146252276</v>
      </c>
      <c r="CI48" s="1499">
        <v>12</v>
      </c>
      <c r="CJ48" s="1981">
        <f t="shared" si="11"/>
        <v>5.0493601462522761</v>
      </c>
    </row>
    <row r="49" spans="1:88">
      <c r="A49" s="105"/>
      <c r="B49" s="105" t="s">
        <v>41</v>
      </c>
      <c r="C49" s="41" t="s">
        <v>42</v>
      </c>
      <c r="D49" s="105">
        <v>19.2</v>
      </c>
      <c r="E49" s="105">
        <v>45</v>
      </c>
      <c r="F49" s="1431">
        <f t="shared" si="1"/>
        <v>7.1999999999999993</v>
      </c>
      <c r="G49" s="4591">
        <v>12</v>
      </c>
      <c r="I49" s="107"/>
      <c r="J49" s="107" t="s">
        <v>41</v>
      </c>
      <c r="K49" s="47" t="s">
        <v>42</v>
      </c>
      <c r="L49" s="107">
        <v>17.8</v>
      </c>
      <c r="M49" s="107">
        <v>114</v>
      </c>
      <c r="N49" s="1431">
        <f t="shared" si="2"/>
        <v>5.8000000000000007</v>
      </c>
      <c r="O49" s="4591">
        <v>12</v>
      </c>
      <c r="Q49" s="4243"/>
      <c r="R49" s="4243" t="s">
        <v>41</v>
      </c>
      <c r="S49" s="44" t="s">
        <v>42</v>
      </c>
      <c r="T49" s="4243">
        <v>17.649999999999999</v>
      </c>
      <c r="U49" s="4243">
        <v>79</v>
      </c>
      <c r="V49" s="4721">
        <f t="shared" si="3"/>
        <v>5.6499999999999986</v>
      </c>
      <c r="W49" s="4722">
        <v>12</v>
      </c>
      <c r="Y49" s="41"/>
      <c r="Z49" s="41" t="s">
        <v>41</v>
      </c>
      <c r="AA49" s="41" t="s">
        <v>42</v>
      </c>
      <c r="AB49" s="1495">
        <v>18.05</v>
      </c>
      <c r="AC49" s="105">
        <v>84</v>
      </c>
      <c r="AD49" s="1431">
        <f t="shared" si="4"/>
        <v>6.0500000000000007</v>
      </c>
      <c r="AE49" s="1499">
        <v>12</v>
      </c>
      <c r="AF49" s="2548"/>
      <c r="AG49" s="107"/>
      <c r="AH49" s="107" t="s">
        <v>41</v>
      </c>
      <c r="AI49" s="41" t="s">
        <v>42</v>
      </c>
      <c r="AJ49" s="105">
        <v>18.46</v>
      </c>
      <c r="AK49" s="105">
        <v>94</v>
      </c>
      <c r="AL49" s="1431">
        <f t="shared" si="5"/>
        <v>6.4600000000000009</v>
      </c>
      <c r="AN49" s="105"/>
      <c r="AO49" s="105" t="s">
        <v>41</v>
      </c>
      <c r="AP49" s="41" t="s">
        <v>42</v>
      </c>
      <c r="AQ49" s="1495">
        <v>19.28</v>
      </c>
      <c r="AR49" s="105">
        <v>110</v>
      </c>
      <c r="AS49" s="1485">
        <f t="shared" si="12"/>
        <v>7.2800000000000011</v>
      </c>
      <c r="AU49" s="817"/>
      <c r="AV49" s="817" t="s">
        <v>41</v>
      </c>
      <c r="AW49" s="1484" t="s">
        <v>42</v>
      </c>
      <c r="AX49" s="1415">
        <v>17.757894736842104</v>
      </c>
      <c r="AY49" s="1416">
        <v>95</v>
      </c>
      <c r="AZ49" s="1485">
        <f t="shared" si="6"/>
        <v>5.7578947368421041</v>
      </c>
      <c r="BB49" s="1486"/>
      <c r="BC49" s="1486" t="s">
        <v>41</v>
      </c>
      <c r="BD49" s="1487" t="s">
        <v>42</v>
      </c>
      <c r="BE49" s="1488">
        <v>83</v>
      </c>
      <c r="BF49" s="1489">
        <v>17.566265060240962</v>
      </c>
      <c r="BG49" s="1431">
        <f t="shared" si="7"/>
        <v>5.566265060240962</v>
      </c>
      <c r="BI49" s="1490"/>
      <c r="BJ49" s="1490" t="s">
        <v>41</v>
      </c>
      <c r="BK49" s="1492" t="s">
        <v>42</v>
      </c>
      <c r="BL49" s="1493">
        <v>92</v>
      </c>
      <c r="BM49" s="459">
        <v>17.923913043478265</v>
      </c>
      <c r="BN49" s="1491">
        <f t="shared" si="8"/>
        <v>5.9239130434782652</v>
      </c>
      <c r="BO49" s="41"/>
      <c r="BP49" s="1490"/>
      <c r="BQ49" s="1490" t="s">
        <v>41</v>
      </c>
      <c r="BR49" s="1492" t="s">
        <v>42</v>
      </c>
      <c r="BS49" s="1493">
        <v>72</v>
      </c>
      <c r="BT49" s="1494">
        <v>16.80555555555555</v>
      </c>
      <c r="BU49" s="1491">
        <f t="shared" si="9"/>
        <v>4.80555555555555</v>
      </c>
      <c r="BV49" s="41"/>
      <c r="BW49" s="105"/>
      <c r="BX49" s="105" t="s">
        <v>41</v>
      </c>
      <c r="BY49" s="41" t="s">
        <v>42</v>
      </c>
      <c r="BZ49" s="105">
        <v>47</v>
      </c>
      <c r="CA49" s="1495">
        <v>16.851063829787236</v>
      </c>
      <c r="CB49" s="1496">
        <f t="shared" si="10"/>
        <v>4.8510638297872362</v>
      </c>
      <c r="CC49" s="41"/>
      <c r="CD49" s="1497"/>
      <c r="CE49" s="1497" t="s">
        <v>41</v>
      </c>
      <c r="CF49" s="460" t="s">
        <v>42</v>
      </c>
      <c r="CG49" s="1497">
        <v>53</v>
      </c>
      <c r="CH49" s="1498">
        <v>17.132075471698112</v>
      </c>
      <c r="CI49" s="1499">
        <v>12</v>
      </c>
      <c r="CJ49" s="1980">
        <f t="shared" si="11"/>
        <v>5.1320754716981121</v>
      </c>
    </row>
    <row r="50" spans="1:88">
      <c r="A50" s="105"/>
      <c r="B50" s="105"/>
      <c r="C50" s="41" t="s">
        <v>43</v>
      </c>
      <c r="D50" s="105">
        <v>20.36</v>
      </c>
      <c r="E50" s="105">
        <v>55</v>
      </c>
      <c r="F50" s="1431">
        <f t="shared" si="1"/>
        <v>8.36</v>
      </c>
      <c r="G50" s="4591">
        <v>12</v>
      </c>
      <c r="I50" s="107"/>
      <c r="J50" s="107"/>
      <c r="K50" s="47" t="s">
        <v>43</v>
      </c>
      <c r="L50" s="107">
        <v>18.03</v>
      </c>
      <c r="M50" s="107">
        <v>60</v>
      </c>
      <c r="N50" s="1431">
        <f t="shared" si="2"/>
        <v>6.0300000000000011</v>
      </c>
      <c r="O50" s="4591">
        <v>12</v>
      </c>
      <c r="Q50" s="4243"/>
      <c r="R50" s="4243"/>
      <c r="S50" s="44" t="s">
        <v>43</v>
      </c>
      <c r="T50" s="4243">
        <v>18.36</v>
      </c>
      <c r="U50" s="4243">
        <v>42</v>
      </c>
      <c r="V50" s="4721">
        <f t="shared" si="3"/>
        <v>6.3599999999999994</v>
      </c>
      <c r="W50" s="4722">
        <v>12</v>
      </c>
      <c r="Y50" s="41"/>
      <c r="Z50" s="41"/>
      <c r="AA50" s="41" t="s">
        <v>43</v>
      </c>
      <c r="AB50" s="1495">
        <v>18.170000000000002</v>
      </c>
      <c r="AC50" s="105">
        <v>72</v>
      </c>
      <c r="AD50" s="1431">
        <f t="shared" si="4"/>
        <v>6.1700000000000017</v>
      </c>
      <c r="AE50" s="1499">
        <v>12</v>
      </c>
      <c r="AF50" s="2548"/>
      <c r="AG50" s="107"/>
      <c r="AH50" s="107"/>
      <c r="AI50" s="41" t="s">
        <v>43</v>
      </c>
      <c r="AJ50" s="105">
        <v>18.829999999999998</v>
      </c>
      <c r="AK50" s="105">
        <v>59</v>
      </c>
      <c r="AL50" s="1431">
        <f t="shared" si="5"/>
        <v>6.8299999999999983</v>
      </c>
      <c r="AN50" s="105"/>
      <c r="AO50" s="105"/>
      <c r="AP50" s="41" t="s">
        <v>43</v>
      </c>
      <c r="AQ50" s="1495">
        <v>17.46</v>
      </c>
      <c r="AR50" s="105">
        <v>63</v>
      </c>
      <c r="AS50" s="1485">
        <f t="shared" si="12"/>
        <v>5.4600000000000009</v>
      </c>
      <c r="AU50" s="817"/>
      <c r="AV50" s="817"/>
      <c r="AW50" s="1484" t="s">
        <v>43</v>
      </c>
      <c r="AX50" s="1415">
        <v>19.428571428571427</v>
      </c>
      <c r="AY50" s="1416">
        <v>56</v>
      </c>
      <c r="AZ50" s="1485">
        <f t="shared" si="6"/>
        <v>7.428571428571427</v>
      </c>
      <c r="BB50" s="1486"/>
      <c r="BC50" s="1486"/>
      <c r="BD50" s="1487" t="s">
        <v>43</v>
      </c>
      <c r="BE50" s="1488">
        <v>64</v>
      </c>
      <c r="BF50" s="1489">
        <v>19.781249999999989</v>
      </c>
      <c r="BG50" s="1431">
        <f t="shared" si="7"/>
        <v>7.7812499999999893</v>
      </c>
      <c r="BI50" s="1490"/>
      <c r="BJ50" s="1490"/>
      <c r="BK50" s="1492" t="s">
        <v>43</v>
      </c>
      <c r="BL50" s="1493">
        <v>52</v>
      </c>
      <c r="BM50" s="459">
        <v>19.17307692307693</v>
      </c>
      <c r="BN50" s="1491">
        <f t="shared" si="8"/>
        <v>7.1730769230769305</v>
      </c>
      <c r="BO50" s="41"/>
      <c r="BP50" s="1490"/>
      <c r="BQ50" s="1490"/>
      <c r="BR50" s="1492" t="s">
        <v>43</v>
      </c>
      <c r="BS50" s="1493">
        <v>41</v>
      </c>
      <c r="BT50" s="1494">
        <v>19.024390243902438</v>
      </c>
      <c r="BU50" s="1491">
        <f t="shared" si="9"/>
        <v>7.0243902439024382</v>
      </c>
      <c r="BV50" s="41"/>
      <c r="BW50" s="105"/>
      <c r="BX50" s="105"/>
      <c r="BY50" s="41" t="s">
        <v>43</v>
      </c>
      <c r="BZ50" s="105">
        <v>52</v>
      </c>
      <c r="CA50" s="1495">
        <v>18.769230769230766</v>
      </c>
      <c r="CB50" s="1496">
        <f t="shared" si="10"/>
        <v>6.7692307692307665</v>
      </c>
      <c r="CC50" s="41"/>
      <c r="CD50" s="1497"/>
      <c r="CE50" s="1497"/>
      <c r="CF50" s="460" t="s">
        <v>43</v>
      </c>
      <c r="CG50" s="1497">
        <v>48</v>
      </c>
      <c r="CH50" s="1498">
        <v>18.916666666666664</v>
      </c>
      <c r="CI50" s="1499">
        <v>12</v>
      </c>
      <c r="CJ50" s="1980">
        <f t="shared" si="11"/>
        <v>6.9166666666666643</v>
      </c>
    </row>
    <row r="51" spans="1:88">
      <c r="A51" s="105"/>
      <c r="B51" s="105"/>
      <c r="C51" s="41" t="s">
        <v>44</v>
      </c>
      <c r="D51" s="105">
        <v>19.600000000000001</v>
      </c>
      <c r="E51" s="105">
        <v>40</v>
      </c>
      <c r="F51" s="1431">
        <f t="shared" si="1"/>
        <v>7.6000000000000014</v>
      </c>
      <c r="G51" s="4591">
        <v>12</v>
      </c>
      <c r="I51" s="107"/>
      <c r="J51" s="107"/>
      <c r="K51" s="47" t="s">
        <v>44</v>
      </c>
      <c r="L51" s="107">
        <v>19.8</v>
      </c>
      <c r="M51" s="107">
        <v>46</v>
      </c>
      <c r="N51" s="1431">
        <f t="shared" si="2"/>
        <v>7.8000000000000007</v>
      </c>
      <c r="O51" s="4591">
        <v>12</v>
      </c>
      <c r="Q51" s="4243"/>
      <c r="R51" s="4243"/>
      <c r="S51" s="44" t="s">
        <v>44</v>
      </c>
      <c r="T51" s="4243">
        <v>19.84</v>
      </c>
      <c r="U51" s="4243">
        <v>37</v>
      </c>
      <c r="V51" s="4721">
        <f t="shared" si="3"/>
        <v>7.84</v>
      </c>
      <c r="W51" s="4722">
        <v>12</v>
      </c>
      <c r="Y51" s="41"/>
      <c r="Z51" s="41"/>
      <c r="AA51" s="41" t="s">
        <v>44</v>
      </c>
      <c r="AB51" s="1495">
        <v>17.899999999999999</v>
      </c>
      <c r="AC51" s="105">
        <v>58</v>
      </c>
      <c r="AD51" s="1431">
        <f t="shared" si="4"/>
        <v>5.8999999999999986</v>
      </c>
      <c r="AE51" s="1499">
        <v>12</v>
      </c>
      <c r="AF51" s="2548"/>
      <c r="AG51" s="107"/>
      <c r="AH51" s="107"/>
      <c r="AI51" s="41" t="s">
        <v>44</v>
      </c>
      <c r="AJ51" s="105">
        <v>17.989999999999998</v>
      </c>
      <c r="AK51" s="105">
        <v>78</v>
      </c>
      <c r="AL51" s="1431">
        <f t="shared" si="5"/>
        <v>5.9899999999999984</v>
      </c>
      <c r="AN51" s="105"/>
      <c r="AO51" s="105"/>
      <c r="AP51" s="41" t="s">
        <v>44</v>
      </c>
      <c r="AQ51" s="1495">
        <v>19.54</v>
      </c>
      <c r="AR51" s="105">
        <v>46</v>
      </c>
      <c r="AS51" s="1485">
        <f t="shared" si="12"/>
        <v>7.5399999999999991</v>
      </c>
      <c r="AU51" s="817"/>
      <c r="AV51" s="817"/>
      <c r="AW51" s="1484" t="s">
        <v>44</v>
      </c>
      <c r="AX51" s="1415">
        <v>18.829268292682922</v>
      </c>
      <c r="AY51" s="1416">
        <v>41</v>
      </c>
      <c r="AZ51" s="1485">
        <f t="shared" si="6"/>
        <v>6.8292682926829222</v>
      </c>
      <c r="BB51" s="1486"/>
      <c r="BC51" s="1486"/>
      <c r="BD51" s="1487" t="s">
        <v>44</v>
      </c>
      <c r="BE51" s="1488">
        <v>20</v>
      </c>
      <c r="BF51" s="1489">
        <v>16.700000000000003</v>
      </c>
      <c r="BG51" s="1431">
        <f t="shared" si="7"/>
        <v>4.7000000000000028</v>
      </c>
      <c r="BI51" s="1490"/>
      <c r="BJ51" s="1490"/>
      <c r="BK51" s="1492" t="s">
        <v>44</v>
      </c>
      <c r="BL51" s="1493">
        <v>35</v>
      </c>
      <c r="BM51" s="459">
        <v>19.714285714285712</v>
      </c>
      <c r="BN51" s="1491">
        <f t="shared" si="8"/>
        <v>7.7142857142857117</v>
      </c>
      <c r="BO51" s="41"/>
      <c r="BP51" s="1490"/>
      <c r="BQ51" s="1490"/>
      <c r="BR51" s="1492" t="s">
        <v>44</v>
      </c>
      <c r="BS51" s="1493">
        <v>31</v>
      </c>
      <c r="BT51" s="1494">
        <v>20.483870967741936</v>
      </c>
      <c r="BU51" s="1491">
        <f t="shared" si="9"/>
        <v>8.4838709677419359</v>
      </c>
      <c r="BV51" s="41"/>
      <c r="BW51" s="105"/>
      <c r="BX51" s="105"/>
      <c r="BY51" s="41" t="s">
        <v>44</v>
      </c>
      <c r="BZ51" s="105">
        <v>17</v>
      </c>
      <c r="CA51" s="1495">
        <v>18.176470588235293</v>
      </c>
      <c r="CB51" s="1496">
        <f t="shared" si="10"/>
        <v>6.1764705882352935</v>
      </c>
      <c r="CC51" s="41"/>
      <c r="CD51" s="1497"/>
      <c r="CE51" s="1497"/>
      <c r="CF51" s="460" t="s">
        <v>44</v>
      </c>
      <c r="CG51" s="1497">
        <v>23</v>
      </c>
      <c r="CH51" s="1498">
        <v>18.173913043478265</v>
      </c>
      <c r="CI51" s="1499">
        <v>12</v>
      </c>
      <c r="CJ51" s="1980">
        <f t="shared" si="11"/>
        <v>6.1739130434782652</v>
      </c>
    </row>
    <row r="52" spans="1:88">
      <c r="A52" s="105"/>
      <c r="B52" s="105"/>
      <c r="C52" s="41" t="s">
        <v>45</v>
      </c>
      <c r="D52" s="105">
        <v>18.079999999999998</v>
      </c>
      <c r="E52" s="105">
        <v>26</v>
      </c>
      <c r="F52" s="1431">
        <f t="shared" si="1"/>
        <v>6.0799999999999983</v>
      </c>
      <c r="G52" s="4591">
        <v>12</v>
      </c>
      <c r="I52" s="107"/>
      <c r="J52" s="107"/>
      <c r="K52" s="47" t="s">
        <v>45</v>
      </c>
      <c r="L52" s="107">
        <v>17.899999999999999</v>
      </c>
      <c r="M52" s="107">
        <v>58</v>
      </c>
      <c r="N52" s="1431">
        <f t="shared" si="2"/>
        <v>5.8999999999999986</v>
      </c>
      <c r="O52" s="4591">
        <v>12</v>
      </c>
      <c r="Q52" s="4243"/>
      <c r="R52" s="4243"/>
      <c r="S52" s="44" t="s">
        <v>45</v>
      </c>
      <c r="T52" s="4243">
        <v>17.53</v>
      </c>
      <c r="U52" s="4243">
        <v>40</v>
      </c>
      <c r="V52" s="4721">
        <f t="shared" si="3"/>
        <v>5.5300000000000011</v>
      </c>
      <c r="W52" s="4722">
        <v>12</v>
      </c>
      <c r="Y52" s="41"/>
      <c r="Z52" s="41"/>
      <c r="AA52" s="41" t="s">
        <v>45</v>
      </c>
      <c r="AB52" s="1495">
        <v>15.79</v>
      </c>
      <c r="AC52" s="105">
        <v>53</v>
      </c>
      <c r="AD52" s="1431">
        <f t="shared" si="4"/>
        <v>3.7899999999999991</v>
      </c>
      <c r="AE52" s="1499">
        <v>12</v>
      </c>
      <c r="AF52" s="2548"/>
      <c r="AG52" s="107"/>
      <c r="AH52" s="107"/>
      <c r="AI52" s="41" t="s">
        <v>45</v>
      </c>
      <c r="AJ52" s="105">
        <v>16.8</v>
      </c>
      <c r="AK52" s="105">
        <v>41</v>
      </c>
      <c r="AL52" s="1431">
        <f t="shared" si="5"/>
        <v>4.8000000000000007</v>
      </c>
      <c r="AN52" s="105"/>
      <c r="AO52" s="105"/>
      <c r="AP52" s="41" t="s">
        <v>45</v>
      </c>
      <c r="AQ52" s="1495">
        <v>16.670000000000002</v>
      </c>
      <c r="AR52" s="105">
        <v>24</v>
      </c>
      <c r="AS52" s="1485">
        <f t="shared" si="12"/>
        <v>4.6700000000000017</v>
      </c>
      <c r="AU52" s="817"/>
      <c r="AV52" s="817"/>
      <c r="AW52" s="1484" t="s">
        <v>45</v>
      </c>
      <c r="AX52" s="1415">
        <v>17.760000000000002</v>
      </c>
      <c r="AY52" s="1416">
        <v>25</v>
      </c>
      <c r="AZ52" s="1485">
        <f t="shared" si="6"/>
        <v>5.7600000000000016</v>
      </c>
      <c r="BB52" s="1486"/>
      <c r="BC52" s="1486"/>
      <c r="BD52" s="1487" t="s">
        <v>45</v>
      </c>
      <c r="BE52" s="1488">
        <v>14</v>
      </c>
      <c r="BF52" s="1489">
        <v>16.214285714285712</v>
      </c>
      <c r="BG52" s="1431">
        <f t="shared" si="7"/>
        <v>4.2142857142857117</v>
      </c>
      <c r="BI52" s="1490"/>
      <c r="BJ52" s="1490"/>
      <c r="BK52" s="1492" t="s">
        <v>45</v>
      </c>
      <c r="BL52" s="1493">
        <v>15</v>
      </c>
      <c r="BM52" s="459">
        <v>16.733333333333331</v>
      </c>
      <c r="BN52" s="1491">
        <f t="shared" si="8"/>
        <v>4.7333333333333307</v>
      </c>
      <c r="BO52" s="41"/>
      <c r="BP52" s="1490"/>
      <c r="BQ52" s="1490"/>
      <c r="BR52" s="1492" t="s">
        <v>45</v>
      </c>
      <c r="BS52" s="1493">
        <v>14</v>
      </c>
      <c r="BT52" s="1494">
        <v>18.642857142857146</v>
      </c>
      <c r="BU52" s="1491">
        <f t="shared" si="9"/>
        <v>6.6428571428571459</v>
      </c>
      <c r="BV52" s="41"/>
      <c r="BW52" s="105"/>
      <c r="BX52" s="105"/>
      <c r="BY52" s="41" t="s">
        <v>45</v>
      </c>
      <c r="BZ52" s="105">
        <v>8</v>
      </c>
      <c r="CA52" s="1495">
        <v>18.75</v>
      </c>
      <c r="CB52" s="1496">
        <f t="shared" si="10"/>
        <v>6.75</v>
      </c>
      <c r="CC52" s="41"/>
      <c r="CD52" s="1497"/>
      <c r="CE52" s="1497"/>
      <c r="CF52" s="460" t="s">
        <v>45</v>
      </c>
      <c r="CG52" s="1497">
        <v>11</v>
      </c>
      <c r="CH52" s="1498">
        <v>17</v>
      </c>
      <c r="CI52" s="1499">
        <v>12</v>
      </c>
      <c r="CJ52" s="1980">
        <f t="shared" si="11"/>
        <v>5</v>
      </c>
    </row>
    <row r="53" spans="1:88">
      <c r="A53" s="105"/>
      <c r="B53" s="105"/>
      <c r="C53" s="41" t="s">
        <v>46</v>
      </c>
      <c r="D53" s="105">
        <v>20.010000000000002</v>
      </c>
      <c r="E53" s="105">
        <v>72</v>
      </c>
      <c r="F53" s="1431">
        <f t="shared" si="1"/>
        <v>8.0100000000000016</v>
      </c>
      <c r="G53" s="4591">
        <v>12</v>
      </c>
      <c r="I53" s="107"/>
      <c r="J53" s="107"/>
      <c r="K53" s="47" t="s">
        <v>46</v>
      </c>
      <c r="L53" s="107">
        <v>19.5</v>
      </c>
      <c r="M53" s="107">
        <v>111</v>
      </c>
      <c r="N53" s="1431">
        <f t="shared" si="2"/>
        <v>7.5</v>
      </c>
      <c r="O53" s="4591">
        <v>12</v>
      </c>
      <c r="Q53" s="4243"/>
      <c r="R53" s="4243"/>
      <c r="S53" s="44" t="s">
        <v>46</v>
      </c>
      <c r="T53" s="4243">
        <v>19.329999999999998</v>
      </c>
      <c r="U53" s="4243">
        <v>81</v>
      </c>
      <c r="V53" s="4721">
        <f t="shared" si="3"/>
        <v>7.3299999999999983</v>
      </c>
      <c r="W53" s="4722">
        <v>12</v>
      </c>
      <c r="Y53" s="41"/>
      <c r="Z53" s="41"/>
      <c r="AA53" s="41" t="s">
        <v>46</v>
      </c>
      <c r="AB53" s="1495">
        <v>18.38</v>
      </c>
      <c r="AC53" s="105">
        <v>103</v>
      </c>
      <c r="AD53" s="1431">
        <f t="shared" si="4"/>
        <v>6.379999999999999</v>
      </c>
      <c r="AE53" s="1499">
        <v>12</v>
      </c>
      <c r="AF53" s="2548"/>
      <c r="AG53" s="107"/>
      <c r="AH53" s="107"/>
      <c r="AI53" s="41" t="s">
        <v>46</v>
      </c>
      <c r="AJ53" s="105">
        <v>19.420000000000002</v>
      </c>
      <c r="AK53" s="105">
        <v>104</v>
      </c>
      <c r="AL53" s="1431">
        <f t="shared" si="5"/>
        <v>7.4200000000000017</v>
      </c>
      <c r="AN53" s="105"/>
      <c r="AO53" s="105"/>
      <c r="AP53" s="41" t="s">
        <v>46</v>
      </c>
      <c r="AQ53" s="1495">
        <v>19.3</v>
      </c>
      <c r="AR53" s="105">
        <v>94</v>
      </c>
      <c r="AS53" s="1485">
        <f t="shared" si="12"/>
        <v>7.3000000000000007</v>
      </c>
      <c r="AU53" s="817"/>
      <c r="AV53" s="817"/>
      <c r="AW53" s="1484" t="s">
        <v>46</v>
      </c>
      <c r="AX53" s="1415">
        <v>19.411764705882348</v>
      </c>
      <c r="AY53" s="1416">
        <v>85</v>
      </c>
      <c r="AZ53" s="1485">
        <f t="shared" si="6"/>
        <v>7.4117647058823479</v>
      </c>
      <c r="BB53" s="1486"/>
      <c r="BC53" s="1486"/>
      <c r="BD53" s="1487" t="s">
        <v>46</v>
      </c>
      <c r="BE53" s="1488">
        <v>76</v>
      </c>
      <c r="BF53" s="1489">
        <v>18.026315789473685</v>
      </c>
      <c r="BG53" s="1431">
        <f t="shared" si="7"/>
        <v>6.026315789473685</v>
      </c>
      <c r="BI53" s="1490"/>
      <c r="BJ53" s="1490"/>
      <c r="BK53" s="1492" t="s">
        <v>46</v>
      </c>
      <c r="BL53" s="1493">
        <v>79</v>
      </c>
      <c r="BM53" s="459">
        <v>17.316455696202528</v>
      </c>
      <c r="BN53" s="1491">
        <f t="shared" si="8"/>
        <v>5.316455696202528</v>
      </c>
      <c r="BO53" s="41"/>
      <c r="BP53" s="1490"/>
      <c r="BQ53" s="1490"/>
      <c r="BR53" s="1492" t="s">
        <v>46</v>
      </c>
      <c r="BS53" s="1493">
        <v>66</v>
      </c>
      <c r="BT53" s="1494">
        <v>18.984848484848492</v>
      </c>
      <c r="BU53" s="1491">
        <f t="shared" si="9"/>
        <v>6.9848484848484915</v>
      </c>
      <c r="BV53" s="41"/>
      <c r="BW53" s="105"/>
      <c r="BX53" s="105"/>
      <c r="BY53" s="41" t="s">
        <v>46</v>
      </c>
      <c r="BZ53" s="105">
        <v>57</v>
      </c>
      <c r="CA53" s="1495">
        <v>18.508771929824565</v>
      </c>
      <c r="CB53" s="1496">
        <f t="shared" si="10"/>
        <v>6.5087719298245652</v>
      </c>
      <c r="CC53" s="41"/>
      <c r="CD53" s="1497"/>
      <c r="CE53" s="1497"/>
      <c r="CF53" s="460" t="s">
        <v>46</v>
      </c>
      <c r="CG53" s="1497">
        <v>101</v>
      </c>
      <c r="CH53" s="1498">
        <v>18.138613861386144</v>
      </c>
      <c r="CI53" s="1499">
        <v>12</v>
      </c>
      <c r="CJ53" s="1980">
        <f t="shared" si="11"/>
        <v>6.1386138613861441</v>
      </c>
    </row>
    <row r="54" spans="1:88">
      <c r="A54" s="105"/>
      <c r="B54" s="105"/>
      <c r="C54" s="41" t="s">
        <v>47</v>
      </c>
      <c r="D54" s="105">
        <v>21.08</v>
      </c>
      <c r="E54" s="105">
        <v>87</v>
      </c>
      <c r="F54" s="1431">
        <f t="shared" si="1"/>
        <v>9.0799999999999983</v>
      </c>
      <c r="G54" s="4591">
        <v>12</v>
      </c>
      <c r="I54" s="107"/>
      <c r="J54" s="107"/>
      <c r="K54" s="47" t="s">
        <v>47</v>
      </c>
      <c r="L54" s="107">
        <v>20.54</v>
      </c>
      <c r="M54" s="107">
        <v>92</v>
      </c>
      <c r="N54" s="1431">
        <f t="shared" si="2"/>
        <v>8.5399999999999991</v>
      </c>
      <c r="O54" s="4591">
        <v>12</v>
      </c>
      <c r="Q54" s="4243"/>
      <c r="R54" s="4243"/>
      <c r="S54" s="44" t="s">
        <v>47</v>
      </c>
      <c r="T54" s="4243">
        <v>20.98</v>
      </c>
      <c r="U54" s="4243">
        <v>60</v>
      </c>
      <c r="V54" s="4721">
        <f t="shared" si="3"/>
        <v>8.98</v>
      </c>
      <c r="W54" s="4722">
        <v>12</v>
      </c>
      <c r="Y54" s="41"/>
      <c r="Z54" s="41"/>
      <c r="AA54" s="41" t="s">
        <v>47</v>
      </c>
      <c r="AB54" s="1495">
        <v>19.260000000000002</v>
      </c>
      <c r="AC54" s="105">
        <v>78</v>
      </c>
      <c r="AD54" s="1431">
        <f t="shared" si="4"/>
        <v>7.2600000000000016</v>
      </c>
      <c r="AE54" s="1499">
        <v>12</v>
      </c>
      <c r="AF54" s="2548"/>
      <c r="AG54" s="107"/>
      <c r="AH54" s="107"/>
      <c r="AI54" s="41" t="s">
        <v>47</v>
      </c>
      <c r="AJ54" s="105">
        <v>19.350000000000001</v>
      </c>
      <c r="AK54" s="105">
        <v>79</v>
      </c>
      <c r="AL54" s="1431">
        <f t="shared" si="5"/>
        <v>7.3500000000000014</v>
      </c>
      <c r="AN54" s="105"/>
      <c r="AO54" s="105"/>
      <c r="AP54" s="41" t="s">
        <v>47</v>
      </c>
      <c r="AQ54" s="1495">
        <v>20.27</v>
      </c>
      <c r="AR54" s="105">
        <v>96</v>
      </c>
      <c r="AS54" s="1485">
        <f t="shared" si="12"/>
        <v>8.27</v>
      </c>
      <c r="AU54" s="817"/>
      <c r="AV54" s="817"/>
      <c r="AW54" s="1484" t="s">
        <v>47</v>
      </c>
      <c r="AX54" s="1415">
        <v>18.277108433734938</v>
      </c>
      <c r="AY54" s="1416">
        <v>83</v>
      </c>
      <c r="AZ54" s="1485">
        <f t="shared" si="6"/>
        <v>6.2771084337349379</v>
      </c>
      <c r="BB54" s="1486"/>
      <c r="BC54" s="1486"/>
      <c r="BD54" s="1487" t="s">
        <v>47</v>
      </c>
      <c r="BE54" s="1488">
        <v>88</v>
      </c>
      <c r="BF54" s="1489">
        <v>19.909090909090914</v>
      </c>
      <c r="BG54" s="1431">
        <f t="shared" si="7"/>
        <v>7.9090909090909136</v>
      </c>
      <c r="BI54" s="1490"/>
      <c r="BJ54" s="1490"/>
      <c r="BK54" s="1492" t="s">
        <v>47</v>
      </c>
      <c r="BL54" s="1493">
        <v>81</v>
      </c>
      <c r="BM54" s="459">
        <v>19.407407407407405</v>
      </c>
      <c r="BN54" s="1491">
        <f t="shared" si="8"/>
        <v>7.4074074074074048</v>
      </c>
      <c r="BO54" s="41"/>
      <c r="BP54" s="1490"/>
      <c r="BQ54" s="1490"/>
      <c r="BR54" s="1492" t="s">
        <v>47</v>
      </c>
      <c r="BS54" s="1493">
        <v>73</v>
      </c>
      <c r="BT54" s="1494">
        <v>19.534246575342461</v>
      </c>
      <c r="BU54" s="1491">
        <f t="shared" si="9"/>
        <v>7.5342465753424612</v>
      </c>
      <c r="BV54" s="41"/>
      <c r="BW54" s="105"/>
      <c r="BX54" s="105"/>
      <c r="BY54" s="41" t="s">
        <v>47</v>
      </c>
      <c r="BZ54" s="105">
        <v>74</v>
      </c>
      <c r="CA54" s="1495">
        <v>19.378378378378379</v>
      </c>
      <c r="CB54" s="1496">
        <f t="shared" si="10"/>
        <v>7.378378378378379</v>
      </c>
      <c r="CC54" s="41"/>
      <c r="CD54" s="1497"/>
      <c r="CE54" s="1497"/>
      <c r="CF54" s="460" t="s">
        <v>47</v>
      </c>
      <c r="CG54" s="1497">
        <v>67</v>
      </c>
      <c r="CH54" s="1498">
        <v>19.358208955223883</v>
      </c>
      <c r="CI54" s="1499">
        <v>12</v>
      </c>
      <c r="CJ54" s="1980">
        <f t="shared" si="11"/>
        <v>7.3582089552238834</v>
      </c>
    </row>
    <row r="55" spans="1:88">
      <c r="A55" s="105"/>
      <c r="B55" s="105"/>
      <c r="C55" s="461" t="s">
        <v>547</v>
      </c>
      <c r="D55" s="5483">
        <v>20.04</v>
      </c>
      <c r="E55" s="5483">
        <v>325</v>
      </c>
      <c r="F55" s="1989">
        <f t="shared" si="1"/>
        <v>8.0399999999999991</v>
      </c>
      <c r="G55" s="4591">
        <v>12</v>
      </c>
      <c r="I55" s="107"/>
      <c r="J55" s="107"/>
      <c r="K55" s="968" t="s">
        <v>547</v>
      </c>
      <c r="L55" s="145">
        <v>18.95</v>
      </c>
      <c r="M55" s="145">
        <v>481</v>
      </c>
      <c r="N55" s="1989">
        <f t="shared" si="2"/>
        <v>6.9499999999999993</v>
      </c>
      <c r="O55" s="4591">
        <v>12</v>
      </c>
      <c r="Q55" s="4243"/>
      <c r="R55" s="4243"/>
      <c r="S55" s="4716" t="s">
        <v>547</v>
      </c>
      <c r="T55" s="4723">
        <v>18.95</v>
      </c>
      <c r="U55" s="4723">
        <v>339</v>
      </c>
      <c r="V55" s="4724">
        <f t="shared" si="3"/>
        <v>6.9499999999999993</v>
      </c>
      <c r="W55" s="4722">
        <v>12</v>
      </c>
      <c r="Y55" s="41"/>
      <c r="Z55" s="41"/>
      <c r="AA55" s="461" t="s">
        <v>547</v>
      </c>
      <c r="AB55" s="1510">
        <v>18.07</v>
      </c>
      <c r="AC55" s="2453">
        <v>448</v>
      </c>
      <c r="AD55" s="1989">
        <f t="shared" si="4"/>
        <v>6.07</v>
      </c>
      <c r="AE55" s="1499">
        <v>12</v>
      </c>
      <c r="AF55" s="2548"/>
      <c r="AG55" s="107"/>
      <c r="AH55" s="107"/>
      <c r="AI55" s="461" t="s">
        <v>547</v>
      </c>
      <c r="AJ55" s="96">
        <v>18.649999999999999</v>
      </c>
      <c r="AK55" s="96">
        <v>455</v>
      </c>
      <c r="AL55" s="1989">
        <f t="shared" si="5"/>
        <v>6.6499999999999986</v>
      </c>
      <c r="AN55" s="105"/>
      <c r="AO55" s="105"/>
      <c r="AP55" s="461" t="s">
        <v>547</v>
      </c>
      <c r="AQ55" s="1510">
        <v>19.12</v>
      </c>
      <c r="AR55" s="96">
        <v>433</v>
      </c>
      <c r="AS55" s="1655">
        <f t="shared" si="12"/>
        <v>7.120000000000001</v>
      </c>
      <c r="AU55" s="817"/>
      <c r="AV55" s="817"/>
      <c r="AW55" s="1500" t="s">
        <v>547</v>
      </c>
      <c r="AX55" s="1501">
        <v>18.592207792207788</v>
      </c>
      <c r="AY55" s="1502">
        <v>385</v>
      </c>
      <c r="AZ55" s="1485">
        <f t="shared" si="6"/>
        <v>6.5922077922077875</v>
      </c>
      <c r="BB55" s="1486"/>
      <c r="BC55" s="1486"/>
      <c r="BD55" s="1503" t="s">
        <v>547</v>
      </c>
      <c r="BE55" s="1504">
        <v>345</v>
      </c>
      <c r="BF55" s="1505">
        <v>18.571014492753633</v>
      </c>
      <c r="BG55" s="1431">
        <f t="shared" si="7"/>
        <v>6.5710144927536334</v>
      </c>
      <c r="BI55" s="1490"/>
      <c r="BJ55" s="1490"/>
      <c r="BK55" s="1506" t="s">
        <v>547</v>
      </c>
      <c r="BL55" s="1507">
        <f>SUM(BL49:BL54)</f>
        <v>354</v>
      </c>
      <c r="BM55" s="462">
        <v>18.440000000000001</v>
      </c>
      <c r="BN55" s="1509">
        <f t="shared" si="8"/>
        <v>6.4400000000000013</v>
      </c>
      <c r="BO55" s="41"/>
      <c r="BP55" s="1490"/>
      <c r="BQ55" s="1490"/>
      <c r="BR55" s="1506" t="s">
        <v>547</v>
      </c>
      <c r="BS55" s="1507">
        <v>297</v>
      </c>
      <c r="BT55" s="1508">
        <v>18.737373737373733</v>
      </c>
      <c r="BU55" s="1509">
        <f t="shared" si="9"/>
        <v>6.7373737373737335</v>
      </c>
      <c r="BV55" s="41"/>
      <c r="BW55" s="105"/>
      <c r="BX55" s="105"/>
      <c r="BY55" s="461" t="s">
        <v>15</v>
      </c>
      <c r="BZ55" s="96">
        <v>255</v>
      </c>
      <c r="CA55" s="1510">
        <v>18.494117647058808</v>
      </c>
      <c r="CB55" s="1511">
        <f t="shared" si="10"/>
        <v>6.4941176470588076</v>
      </c>
      <c r="CC55" s="41"/>
      <c r="CD55" s="1497"/>
      <c r="CE55" s="1497"/>
      <c r="CF55" s="1512" t="s">
        <v>15</v>
      </c>
      <c r="CG55" s="1513">
        <v>303</v>
      </c>
      <c r="CH55" s="1514">
        <v>18.31683168316831</v>
      </c>
      <c r="CI55" s="1499">
        <v>12</v>
      </c>
      <c r="CJ55" s="1981">
        <f t="shared" si="11"/>
        <v>6.31683168316831</v>
      </c>
    </row>
    <row r="56" spans="1:88">
      <c r="A56" s="105"/>
      <c r="B56" s="105"/>
      <c r="C56" s="5488" t="s">
        <v>110</v>
      </c>
      <c r="D56" s="5489">
        <v>18.66</v>
      </c>
      <c r="E56" s="5489">
        <v>908</v>
      </c>
      <c r="F56" s="1990">
        <f t="shared" si="1"/>
        <v>6.66</v>
      </c>
      <c r="G56" s="4594">
        <v>12</v>
      </c>
      <c r="I56" s="107"/>
      <c r="J56" s="107"/>
      <c r="K56" s="4592" t="s">
        <v>110</v>
      </c>
      <c r="L56" s="4593">
        <v>18.45</v>
      </c>
      <c r="M56" s="4593">
        <v>1316</v>
      </c>
      <c r="N56" s="1990">
        <f t="shared" si="2"/>
        <v>6.4499999999999993</v>
      </c>
      <c r="O56" s="4594">
        <v>12</v>
      </c>
      <c r="Q56" s="4243"/>
      <c r="R56" s="4243"/>
      <c r="S56" s="4725" t="s">
        <v>110</v>
      </c>
      <c r="T56" s="4726">
        <v>18.29</v>
      </c>
      <c r="U56" s="4726">
        <v>934</v>
      </c>
      <c r="V56" s="4727">
        <f t="shared" si="3"/>
        <v>6.2899999999999991</v>
      </c>
      <c r="W56" s="4728">
        <v>12</v>
      </c>
      <c r="Y56" s="2460"/>
      <c r="Z56" s="2460"/>
      <c r="AA56" s="2461" t="s">
        <v>110</v>
      </c>
      <c r="AB56" s="2462">
        <v>17.989999999999998</v>
      </c>
      <c r="AC56" s="2463">
        <v>1276</v>
      </c>
      <c r="AD56" s="1990">
        <f t="shared" si="4"/>
        <v>5.9899999999999984</v>
      </c>
      <c r="AE56" s="1530">
        <v>12</v>
      </c>
      <c r="AF56" s="2548"/>
      <c r="AG56" s="1676"/>
      <c r="AH56" s="1676"/>
      <c r="AI56" s="1652" t="s">
        <v>110</v>
      </c>
      <c r="AJ56" s="1654">
        <v>17.989999999999998</v>
      </c>
      <c r="AK56" s="1654">
        <v>1256</v>
      </c>
      <c r="AL56" s="1990">
        <f t="shared" si="5"/>
        <v>5.9899999999999984</v>
      </c>
      <c r="AN56" s="1657"/>
      <c r="AO56" s="1657"/>
      <c r="AP56" s="1652" t="s">
        <v>110</v>
      </c>
      <c r="AQ56" s="1653">
        <v>18</v>
      </c>
      <c r="AR56" s="1654">
        <v>1192</v>
      </c>
      <c r="AS56" s="1656">
        <f t="shared" si="12"/>
        <v>6</v>
      </c>
      <c r="AU56" s="817"/>
      <c r="AV56" s="817"/>
      <c r="AW56" s="1500" t="s">
        <v>110</v>
      </c>
      <c r="AX56" s="1501">
        <v>18.018551236749143</v>
      </c>
      <c r="AY56" s="1502">
        <v>1132</v>
      </c>
      <c r="AZ56" s="1515">
        <f t="shared" si="6"/>
        <v>6.0185512367491434</v>
      </c>
      <c r="BB56" s="1516"/>
      <c r="BC56" s="1516"/>
      <c r="BD56" s="1517" t="s">
        <v>110</v>
      </c>
      <c r="BE56" s="1518">
        <v>1109</v>
      </c>
      <c r="BF56" s="1519">
        <v>17.979260595130754</v>
      </c>
      <c r="BG56" s="1520">
        <f t="shared" si="7"/>
        <v>5.9792605951307536</v>
      </c>
      <c r="BI56" s="1490"/>
      <c r="BJ56" s="1490"/>
      <c r="BK56" s="1506" t="s">
        <v>110</v>
      </c>
      <c r="BL56" s="1507">
        <f>SUM(BL55,BL48,BL36)</f>
        <v>1185</v>
      </c>
      <c r="BM56" s="462">
        <v>17.54</v>
      </c>
      <c r="BN56" s="1509">
        <f t="shared" si="8"/>
        <v>5.5399999999999991</v>
      </c>
      <c r="BO56" s="41"/>
      <c r="BP56" s="1490"/>
      <c r="BQ56" s="1490"/>
      <c r="BR56" s="1506" t="s">
        <v>110</v>
      </c>
      <c r="BS56" s="1507">
        <v>1064</v>
      </c>
      <c r="BT56" s="1508">
        <v>17.710526315789497</v>
      </c>
      <c r="BU56" s="1509">
        <f t="shared" si="9"/>
        <v>5.7105263157894974</v>
      </c>
      <c r="BV56" s="41"/>
      <c r="BW56" s="1521"/>
      <c r="BX56" s="1521"/>
      <c r="BY56" s="1522" t="s">
        <v>110</v>
      </c>
      <c r="BZ56" s="1523">
        <v>916</v>
      </c>
      <c r="CA56" s="1524">
        <v>17.68449781659389</v>
      </c>
      <c r="CB56" s="1525">
        <f t="shared" si="10"/>
        <v>5.6844978165938898</v>
      </c>
      <c r="CC56" s="41"/>
      <c r="CD56" s="1526"/>
      <c r="CE56" s="1526"/>
      <c r="CF56" s="1527" t="s">
        <v>110</v>
      </c>
      <c r="CG56" s="1528">
        <v>1089</v>
      </c>
      <c r="CH56" s="1529">
        <v>17.807162534435271</v>
      </c>
      <c r="CI56" s="1530">
        <v>12</v>
      </c>
      <c r="CJ56" s="1982">
        <f t="shared" si="11"/>
        <v>5.8071625344352711</v>
      </c>
    </row>
    <row r="57" spans="1:88">
      <c r="A57" s="105" t="s">
        <v>48</v>
      </c>
      <c r="B57" s="105" t="s">
        <v>16</v>
      </c>
      <c r="C57" s="41" t="s">
        <v>17</v>
      </c>
      <c r="D57" s="105">
        <v>13.63</v>
      </c>
      <c r="E57" s="105">
        <v>152</v>
      </c>
      <c r="F57" s="1431">
        <f t="shared" si="1"/>
        <v>1.6300000000000008</v>
      </c>
      <c r="G57" s="4591">
        <v>12</v>
      </c>
      <c r="I57" s="107" t="s">
        <v>48</v>
      </c>
      <c r="J57" s="107" t="s">
        <v>16</v>
      </c>
      <c r="K57" s="47" t="s">
        <v>17</v>
      </c>
      <c r="L57" s="107">
        <v>14.03</v>
      </c>
      <c r="M57" s="107">
        <v>145</v>
      </c>
      <c r="N57" s="1431">
        <f t="shared" si="2"/>
        <v>2.0299999999999994</v>
      </c>
      <c r="O57" s="4591">
        <v>12</v>
      </c>
      <c r="Q57" s="4243" t="s">
        <v>48</v>
      </c>
      <c r="R57" s="4243" t="s">
        <v>16</v>
      </c>
      <c r="S57" s="44" t="s">
        <v>17</v>
      </c>
      <c r="T57" s="4243">
        <v>14.11</v>
      </c>
      <c r="U57" s="4243">
        <v>143</v>
      </c>
      <c r="V57" s="4721">
        <f t="shared" si="3"/>
        <v>2.1099999999999994</v>
      </c>
      <c r="W57" s="4722">
        <v>12</v>
      </c>
      <c r="Y57" s="41" t="s">
        <v>48</v>
      </c>
      <c r="Z57" s="41" t="s">
        <v>16</v>
      </c>
      <c r="AA57" s="41" t="s">
        <v>17</v>
      </c>
      <c r="AB57" s="1495">
        <v>14.7</v>
      </c>
      <c r="AC57" s="105">
        <v>140</v>
      </c>
      <c r="AD57" s="1431">
        <f t="shared" si="4"/>
        <v>2.6999999999999993</v>
      </c>
      <c r="AE57" s="1499">
        <v>12</v>
      </c>
      <c r="AF57" s="2548"/>
      <c r="AG57" s="107" t="s">
        <v>48</v>
      </c>
      <c r="AH57" s="107" t="s">
        <v>16</v>
      </c>
      <c r="AI57" s="41" t="s">
        <v>17</v>
      </c>
      <c r="AJ57" s="105">
        <v>14.41</v>
      </c>
      <c r="AK57" s="105">
        <v>103</v>
      </c>
      <c r="AL57" s="1431">
        <f t="shared" si="5"/>
        <v>2.41</v>
      </c>
      <c r="AN57" s="105" t="s">
        <v>48</v>
      </c>
      <c r="AO57" s="105" t="s">
        <v>16</v>
      </c>
      <c r="AP57" s="41" t="s">
        <v>17</v>
      </c>
      <c r="AQ57" s="1495">
        <v>14.4</v>
      </c>
      <c r="AR57" s="105">
        <v>124</v>
      </c>
      <c r="AS57" s="1485">
        <f t="shared" si="12"/>
        <v>2.4000000000000004</v>
      </c>
      <c r="AU57" s="1404" t="s">
        <v>48</v>
      </c>
      <c r="AV57" s="1404" t="s">
        <v>16</v>
      </c>
      <c r="AW57" s="1531" t="s">
        <v>17</v>
      </c>
      <c r="AX57" s="1532">
        <v>14.330357142857144</v>
      </c>
      <c r="AY57" s="1533">
        <v>112</v>
      </c>
      <c r="AZ57" s="1485">
        <f t="shared" si="6"/>
        <v>2.3303571428571441</v>
      </c>
      <c r="BB57" s="1486" t="s">
        <v>48</v>
      </c>
      <c r="BC57" s="1486" t="s">
        <v>16</v>
      </c>
      <c r="BD57" s="1487" t="s">
        <v>17</v>
      </c>
      <c r="BE57" s="1488">
        <v>106</v>
      </c>
      <c r="BF57" s="1489">
        <v>14.433962264150949</v>
      </c>
      <c r="BG57" s="1431">
        <f t="shared" si="7"/>
        <v>2.4339622641509493</v>
      </c>
      <c r="BI57" s="1534" t="s">
        <v>48</v>
      </c>
      <c r="BJ57" s="1534" t="s">
        <v>16</v>
      </c>
      <c r="BK57" s="1535" t="s">
        <v>17</v>
      </c>
      <c r="BL57" s="1536">
        <v>149</v>
      </c>
      <c r="BM57" s="1537">
        <v>14.19463087248322</v>
      </c>
      <c r="BN57" s="1538">
        <f t="shared" si="8"/>
        <v>2.19463087248322</v>
      </c>
      <c r="BO57" s="41"/>
      <c r="BP57" s="1534" t="s">
        <v>48</v>
      </c>
      <c r="BQ57" s="1534" t="s">
        <v>16</v>
      </c>
      <c r="BR57" s="1535" t="s">
        <v>17</v>
      </c>
      <c r="BS57" s="1536">
        <v>130</v>
      </c>
      <c r="BT57" s="1537">
        <v>14.446153846153846</v>
      </c>
      <c r="BU57" s="1538">
        <f t="shared" si="9"/>
        <v>2.4461538461538463</v>
      </c>
      <c r="BV57" s="41"/>
      <c r="BW57" s="105" t="s">
        <v>48</v>
      </c>
      <c r="BX57" s="105" t="s">
        <v>16</v>
      </c>
      <c r="BY57" s="41" t="s">
        <v>17</v>
      </c>
      <c r="BZ57" s="105">
        <v>119</v>
      </c>
      <c r="CA57" s="1495">
        <v>14.277310924369747</v>
      </c>
      <c r="CB57" s="1496">
        <f t="shared" si="10"/>
        <v>2.2773109243697469</v>
      </c>
      <c r="CC57" s="41"/>
      <c r="CD57" s="1497" t="s">
        <v>48</v>
      </c>
      <c r="CE57" s="1497" t="s">
        <v>16</v>
      </c>
      <c r="CF57" s="460" t="s">
        <v>17</v>
      </c>
      <c r="CG57" s="1497">
        <v>113</v>
      </c>
      <c r="CH57" s="1498">
        <v>14</v>
      </c>
      <c r="CI57" s="1499">
        <v>12</v>
      </c>
      <c r="CJ57" s="1980">
        <f t="shared" si="11"/>
        <v>2</v>
      </c>
    </row>
    <row r="58" spans="1:88">
      <c r="A58" s="105"/>
      <c r="B58" s="105"/>
      <c r="C58" s="41" t="s">
        <v>49</v>
      </c>
      <c r="D58" s="105">
        <v>11.23</v>
      </c>
      <c r="E58" s="105">
        <v>176</v>
      </c>
      <c r="F58" s="1431">
        <f t="shared" si="1"/>
        <v>-0.76999999999999957</v>
      </c>
      <c r="G58" s="4591">
        <v>12</v>
      </c>
      <c r="I58" s="107"/>
      <c r="J58" s="107"/>
      <c r="K58" s="47" t="s">
        <v>49</v>
      </c>
      <c r="L58" s="107">
        <v>12.54</v>
      </c>
      <c r="M58" s="107">
        <v>153</v>
      </c>
      <c r="N58" s="1431">
        <f t="shared" si="2"/>
        <v>0.53999999999999915</v>
      </c>
      <c r="O58" s="4591">
        <v>12</v>
      </c>
      <c r="Q58" s="4243"/>
      <c r="R58" s="4243"/>
      <c r="S58" s="44" t="s">
        <v>49</v>
      </c>
      <c r="T58" s="4243">
        <v>12.96</v>
      </c>
      <c r="U58" s="4243">
        <v>153</v>
      </c>
      <c r="V58" s="4721">
        <f t="shared" si="3"/>
        <v>0.96000000000000085</v>
      </c>
      <c r="W58" s="4722">
        <v>12</v>
      </c>
      <c r="Y58" s="41"/>
      <c r="Z58" s="41"/>
      <c r="AA58" s="41" t="s">
        <v>49</v>
      </c>
      <c r="AB58" s="1495">
        <v>12.91</v>
      </c>
      <c r="AC58" s="105">
        <v>160</v>
      </c>
      <c r="AD58" s="1431">
        <f t="shared" si="4"/>
        <v>0.91000000000000014</v>
      </c>
      <c r="AE58" s="1499">
        <v>12</v>
      </c>
      <c r="AF58" s="2548"/>
      <c r="AG58" s="107"/>
      <c r="AH58" s="107"/>
      <c r="AI58" s="41" t="s">
        <v>49</v>
      </c>
      <c r="AJ58" s="105">
        <v>12.98</v>
      </c>
      <c r="AK58" s="105">
        <v>172</v>
      </c>
      <c r="AL58" s="1431">
        <f t="shared" si="5"/>
        <v>0.98000000000000043</v>
      </c>
      <c r="AN58" s="105"/>
      <c r="AO58" s="105"/>
      <c r="AP58" s="41" t="s">
        <v>49</v>
      </c>
      <c r="AQ58" s="1495">
        <v>12.98</v>
      </c>
      <c r="AR58" s="105">
        <v>182</v>
      </c>
      <c r="AS58" s="1485">
        <f t="shared" si="12"/>
        <v>0.98000000000000043</v>
      </c>
      <c r="AU58" s="817"/>
      <c r="AV58" s="817"/>
      <c r="AW58" s="1484" t="s">
        <v>49</v>
      </c>
      <c r="AX58" s="1415">
        <v>13.064327485380122</v>
      </c>
      <c r="AY58" s="1416">
        <v>171</v>
      </c>
      <c r="AZ58" s="1485">
        <f t="shared" si="6"/>
        <v>1.0643274853801223</v>
      </c>
      <c r="BB58" s="1486"/>
      <c r="BC58" s="1486"/>
      <c r="BD58" s="1487" t="s">
        <v>49</v>
      </c>
      <c r="BE58" s="1488">
        <v>174</v>
      </c>
      <c r="BF58" s="1489">
        <v>12.712643678160918</v>
      </c>
      <c r="BG58" s="1431">
        <f t="shared" si="7"/>
        <v>0.71264367816091756</v>
      </c>
      <c r="BI58" s="1490"/>
      <c r="BJ58" s="1490"/>
      <c r="BK58" s="1492" t="s">
        <v>49</v>
      </c>
      <c r="BL58" s="1493">
        <v>177</v>
      </c>
      <c r="BM58" s="1494">
        <v>12.824858757062147</v>
      </c>
      <c r="BN58" s="1491">
        <f t="shared" si="8"/>
        <v>0.82485875706214706</v>
      </c>
      <c r="BO58" s="41"/>
      <c r="BP58" s="1490"/>
      <c r="BQ58" s="1490"/>
      <c r="BR58" s="1492" t="s">
        <v>49</v>
      </c>
      <c r="BS58" s="1493">
        <v>170</v>
      </c>
      <c r="BT58" s="1494">
        <v>12.741176470588231</v>
      </c>
      <c r="BU58" s="1491">
        <f t="shared" si="9"/>
        <v>0.74117647058823088</v>
      </c>
      <c r="BV58" s="41"/>
      <c r="BW58" s="105"/>
      <c r="BX58" s="105"/>
      <c r="BY58" s="41" t="s">
        <v>49</v>
      </c>
      <c r="BZ58" s="105">
        <v>176</v>
      </c>
      <c r="CA58" s="1495">
        <v>12.97727272727273</v>
      </c>
      <c r="CB58" s="1496">
        <f t="shared" si="10"/>
        <v>0.97727272727273018</v>
      </c>
      <c r="CC58" s="41"/>
      <c r="CD58" s="1497"/>
      <c r="CE58" s="1497"/>
      <c r="CF58" s="460" t="s">
        <v>49</v>
      </c>
      <c r="CG58" s="1497">
        <v>193</v>
      </c>
      <c r="CH58" s="1498">
        <v>13.165803108808294</v>
      </c>
      <c r="CI58" s="1499">
        <v>12</v>
      </c>
      <c r="CJ58" s="1980">
        <f t="shared" si="11"/>
        <v>1.1658031088082943</v>
      </c>
    </row>
    <row r="59" spans="1:88">
      <c r="A59" s="105"/>
      <c r="B59" s="105"/>
      <c r="C59" s="41" t="s">
        <v>19</v>
      </c>
      <c r="D59" s="105">
        <v>15.14</v>
      </c>
      <c r="E59" s="105">
        <v>111</v>
      </c>
      <c r="F59" s="1431">
        <f t="shared" si="1"/>
        <v>3.1400000000000006</v>
      </c>
      <c r="G59" s="4591">
        <v>12</v>
      </c>
      <c r="I59" s="107"/>
      <c r="J59" s="107"/>
      <c r="K59" s="47" t="s">
        <v>19</v>
      </c>
      <c r="L59" s="107">
        <v>15.3</v>
      </c>
      <c r="M59" s="107">
        <v>74</v>
      </c>
      <c r="N59" s="1431">
        <f t="shared" si="2"/>
        <v>3.3000000000000007</v>
      </c>
      <c r="O59" s="4591">
        <v>12</v>
      </c>
      <c r="Q59" s="4243"/>
      <c r="R59" s="4243"/>
      <c r="S59" s="44" t="s">
        <v>19</v>
      </c>
      <c r="T59" s="4243">
        <v>15.2</v>
      </c>
      <c r="U59" s="4243">
        <v>70</v>
      </c>
      <c r="V59" s="4721">
        <f t="shared" si="3"/>
        <v>3.1999999999999993</v>
      </c>
      <c r="W59" s="4722">
        <v>12</v>
      </c>
      <c r="Y59" s="41"/>
      <c r="Z59" s="41"/>
      <c r="AA59" s="41" t="s">
        <v>19</v>
      </c>
      <c r="AB59" s="1495">
        <v>16.829999999999998</v>
      </c>
      <c r="AC59" s="105">
        <v>130</v>
      </c>
      <c r="AD59" s="1431">
        <f t="shared" si="4"/>
        <v>4.8299999999999983</v>
      </c>
      <c r="AE59" s="1499">
        <v>12</v>
      </c>
      <c r="AF59" s="2548"/>
      <c r="AG59" s="107"/>
      <c r="AH59" s="107"/>
      <c r="AI59" s="41" t="s">
        <v>19</v>
      </c>
      <c r="AJ59" s="105">
        <v>15.97</v>
      </c>
      <c r="AK59" s="105">
        <v>66</v>
      </c>
      <c r="AL59" s="1431">
        <f t="shared" si="5"/>
        <v>3.9700000000000006</v>
      </c>
      <c r="AN59" s="105"/>
      <c r="AO59" s="105"/>
      <c r="AP59" s="41" t="s">
        <v>19</v>
      </c>
      <c r="AQ59" s="1495">
        <v>15.42</v>
      </c>
      <c r="AR59" s="105">
        <v>95</v>
      </c>
      <c r="AS59" s="1485">
        <f t="shared" si="12"/>
        <v>3.42</v>
      </c>
      <c r="AU59" s="817"/>
      <c r="AV59" s="817"/>
      <c r="AW59" s="1484" t="s">
        <v>19</v>
      </c>
      <c r="AX59" s="1415">
        <v>16.012345679012338</v>
      </c>
      <c r="AY59" s="1416">
        <v>81</v>
      </c>
      <c r="AZ59" s="1485">
        <f t="shared" si="6"/>
        <v>4.0123456790123377</v>
      </c>
      <c r="BB59" s="1486"/>
      <c r="BC59" s="1486"/>
      <c r="BD59" s="1487" t="s">
        <v>19</v>
      </c>
      <c r="BE59" s="1488">
        <v>74</v>
      </c>
      <c r="BF59" s="1489">
        <v>15.783783783783784</v>
      </c>
      <c r="BG59" s="1431">
        <f t="shared" si="7"/>
        <v>3.7837837837837842</v>
      </c>
      <c r="BI59" s="1490"/>
      <c r="BJ59" s="1490"/>
      <c r="BK59" s="1492" t="s">
        <v>19</v>
      </c>
      <c r="BL59" s="1493">
        <v>62</v>
      </c>
      <c r="BM59" s="1494">
        <v>15.741935483870966</v>
      </c>
      <c r="BN59" s="1491">
        <f t="shared" si="8"/>
        <v>3.7419354838709662</v>
      </c>
      <c r="BO59" s="41"/>
      <c r="BP59" s="1490"/>
      <c r="BQ59" s="1490"/>
      <c r="BR59" s="1492" t="s">
        <v>19</v>
      </c>
      <c r="BS59" s="1493">
        <v>81</v>
      </c>
      <c r="BT59" s="1494">
        <v>14.839506172839505</v>
      </c>
      <c r="BU59" s="1491">
        <f t="shared" si="9"/>
        <v>2.8395061728395046</v>
      </c>
      <c r="BV59" s="41"/>
      <c r="BW59" s="105"/>
      <c r="BX59" s="105"/>
      <c r="BY59" s="41" t="s">
        <v>19</v>
      </c>
      <c r="BZ59" s="105">
        <v>78</v>
      </c>
      <c r="CA59" s="1495">
        <v>15.102564102564102</v>
      </c>
      <c r="CB59" s="1496">
        <f t="shared" si="10"/>
        <v>3.1025641025641022</v>
      </c>
      <c r="CC59" s="41"/>
      <c r="CD59" s="1497"/>
      <c r="CE59" s="1497"/>
      <c r="CF59" s="460" t="s">
        <v>19</v>
      </c>
      <c r="CG59" s="1497">
        <v>126</v>
      </c>
      <c r="CH59" s="1498">
        <v>15.285714285714278</v>
      </c>
      <c r="CI59" s="1499">
        <v>12</v>
      </c>
      <c r="CJ59" s="1980">
        <f t="shared" si="11"/>
        <v>3.2857142857142776</v>
      </c>
    </row>
    <row r="60" spans="1:88">
      <c r="A60" s="105"/>
      <c r="B60" s="105"/>
      <c r="C60" s="41" t="s">
        <v>50</v>
      </c>
      <c r="D60" s="105">
        <v>12.64</v>
      </c>
      <c r="E60" s="105">
        <v>269</v>
      </c>
      <c r="F60" s="1431">
        <f t="shared" si="1"/>
        <v>0.64000000000000057</v>
      </c>
      <c r="G60" s="4591">
        <v>12</v>
      </c>
      <c r="I60" s="107"/>
      <c r="J60" s="107"/>
      <c r="K60" s="47" t="s">
        <v>50</v>
      </c>
      <c r="L60" s="107">
        <v>12.75</v>
      </c>
      <c r="M60" s="107">
        <v>230</v>
      </c>
      <c r="N60" s="1431">
        <f t="shared" si="2"/>
        <v>0.75</v>
      </c>
      <c r="O60" s="4591">
        <v>12</v>
      </c>
      <c r="Q60" s="4243"/>
      <c r="R60" s="4243"/>
      <c r="S60" s="44" t="s">
        <v>50</v>
      </c>
      <c r="T60" s="4243">
        <v>12.75</v>
      </c>
      <c r="U60" s="4243">
        <v>229</v>
      </c>
      <c r="V60" s="4721">
        <f t="shared" si="3"/>
        <v>0.75</v>
      </c>
      <c r="W60" s="4722">
        <v>12</v>
      </c>
      <c r="Y60" s="41"/>
      <c r="Z60" s="41"/>
      <c r="AA60" s="41" t="s">
        <v>50</v>
      </c>
      <c r="AB60" s="1495">
        <v>12.78</v>
      </c>
      <c r="AC60" s="105">
        <v>258</v>
      </c>
      <c r="AD60" s="1431">
        <f t="shared" si="4"/>
        <v>0.77999999999999936</v>
      </c>
      <c r="AE60" s="1499">
        <v>12</v>
      </c>
      <c r="AF60" s="2548"/>
      <c r="AG60" s="107"/>
      <c r="AH60" s="107"/>
      <c r="AI60" s="41" t="s">
        <v>50</v>
      </c>
      <c r="AJ60" s="105">
        <v>12.95</v>
      </c>
      <c r="AK60" s="105">
        <v>282</v>
      </c>
      <c r="AL60" s="1431">
        <f t="shared" si="5"/>
        <v>0.94999999999999929</v>
      </c>
      <c r="AN60" s="105"/>
      <c r="AO60" s="105"/>
      <c r="AP60" s="41" t="s">
        <v>50</v>
      </c>
      <c r="AQ60" s="1495">
        <v>12.8</v>
      </c>
      <c r="AR60" s="105">
        <v>304</v>
      </c>
      <c r="AS60" s="1485">
        <f t="shared" si="12"/>
        <v>0.80000000000000071</v>
      </c>
      <c r="AU60" s="817"/>
      <c r="AV60" s="817"/>
      <c r="AW60" s="1484" t="s">
        <v>50</v>
      </c>
      <c r="AX60" s="1415">
        <v>12.810526315789465</v>
      </c>
      <c r="AY60" s="1416">
        <v>285</v>
      </c>
      <c r="AZ60" s="1485">
        <f t="shared" si="6"/>
        <v>0.8105263157894651</v>
      </c>
      <c r="BB60" s="1486"/>
      <c r="BC60" s="1486"/>
      <c r="BD60" s="1487" t="s">
        <v>50</v>
      </c>
      <c r="BE60" s="1488">
        <v>295</v>
      </c>
      <c r="BF60" s="1489">
        <v>12.64745762711865</v>
      </c>
      <c r="BG60" s="1431">
        <f t="shared" si="7"/>
        <v>0.64745762711864963</v>
      </c>
      <c r="BI60" s="1490"/>
      <c r="BJ60" s="1490"/>
      <c r="BK60" s="1492" t="s">
        <v>50</v>
      </c>
      <c r="BL60" s="1493">
        <v>333</v>
      </c>
      <c r="BM60" s="1494">
        <v>12.840840840840839</v>
      </c>
      <c r="BN60" s="1491">
        <f t="shared" si="8"/>
        <v>0.84084084084083877</v>
      </c>
      <c r="BO60" s="41"/>
      <c r="BP60" s="1490"/>
      <c r="BQ60" s="1490"/>
      <c r="BR60" s="1492" t="s">
        <v>50</v>
      </c>
      <c r="BS60" s="1493">
        <v>260</v>
      </c>
      <c r="BT60" s="1494">
        <v>12.734615384615385</v>
      </c>
      <c r="BU60" s="1491">
        <f t="shared" si="9"/>
        <v>0.73461538461538467</v>
      </c>
      <c r="BV60" s="41"/>
      <c r="BW60" s="105"/>
      <c r="BX60" s="105"/>
      <c r="BY60" s="41" t="s">
        <v>50</v>
      </c>
      <c r="BZ60" s="105">
        <v>274</v>
      </c>
      <c r="CA60" s="1495">
        <v>12.93795620437956</v>
      </c>
      <c r="CB60" s="1496">
        <f t="shared" si="10"/>
        <v>0.93795620437956018</v>
      </c>
      <c r="CC60" s="41"/>
      <c r="CD60" s="1497"/>
      <c r="CE60" s="1497"/>
      <c r="CF60" s="460" t="s">
        <v>50</v>
      </c>
      <c r="CG60" s="1497">
        <v>288</v>
      </c>
      <c r="CH60" s="1498">
        <v>12.875</v>
      </c>
      <c r="CI60" s="1499">
        <v>12</v>
      </c>
      <c r="CJ60" s="1980">
        <f t="shared" si="11"/>
        <v>0.875</v>
      </c>
    </row>
    <row r="61" spans="1:88">
      <c r="A61" s="105"/>
      <c r="B61" s="105"/>
      <c r="C61" s="41" t="s">
        <v>20</v>
      </c>
      <c r="D61" s="105">
        <v>12.45</v>
      </c>
      <c r="E61" s="105">
        <v>110</v>
      </c>
      <c r="F61" s="1431">
        <f t="shared" si="1"/>
        <v>0.44999999999999929</v>
      </c>
      <c r="G61" s="4591">
        <v>12</v>
      </c>
      <c r="I61" s="107"/>
      <c r="J61" s="107"/>
      <c r="K61" s="47" t="s">
        <v>20</v>
      </c>
      <c r="L61" s="107">
        <v>13.68</v>
      </c>
      <c r="M61" s="107">
        <v>98</v>
      </c>
      <c r="N61" s="1431">
        <f t="shared" si="2"/>
        <v>1.6799999999999997</v>
      </c>
      <c r="O61" s="4591">
        <v>12</v>
      </c>
      <c r="Q61" s="4243"/>
      <c r="R61" s="4243"/>
      <c r="S61" s="44" t="s">
        <v>20</v>
      </c>
      <c r="T61" s="4243">
        <v>13.88</v>
      </c>
      <c r="U61" s="4243">
        <v>97</v>
      </c>
      <c r="V61" s="4721">
        <f t="shared" si="3"/>
        <v>1.8800000000000008</v>
      </c>
      <c r="W61" s="4722">
        <v>12</v>
      </c>
      <c r="Y61" s="41"/>
      <c r="Z61" s="41"/>
      <c r="AA61" s="41" t="s">
        <v>20</v>
      </c>
      <c r="AB61" s="1495">
        <v>14.03</v>
      </c>
      <c r="AC61" s="105">
        <v>121</v>
      </c>
      <c r="AD61" s="1431">
        <f t="shared" si="4"/>
        <v>2.0299999999999994</v>
      </c>
      <c r="AE61" s="1499">
        <v>12</v>
      </c>
      <c r="AF61" s="2548"/>
      <c r="AG61" s="107"/>
      <c r="AH61" s="107"/>
      <c r="AI61" s="41" t="s">
        <v>20</v>
      </c>
      <c r="AJ61" s="105">
        <v>13.32</v>
      </c>
      <c r="AK61" s="105">
        <v>90</v>
      </c>
      <c r="AL61" s="1431">
        <f t="shared" si="5"/>
        <v>1.3200000000000003</v>
      </c>
      <c r="AN61" s="105"/>
      <c r="AO61" s="105"/>
      <c r="AP61" s="41" t="s">
        <v>20</v>
      </c>
      <c r="AQ61" s="1495">
        <v>13.78</v>
      </c>
      <c r="AR61" s="105">
        <v>115</v>
      </c>
      <c r="AS61" s="1485">
        <f t="shared" si="12"/>
        <v>1.7799999999999994</v>
      </c>
      <c r="AU61" s="817"/>
      <c r="AV61" s="817"/>
      <c r="AW61" s="1484" t="s">
        <v>20</v>
      </c>
      <c r="AX61" s="1415">
        <v>13.330708661417322</v>
      </c>
      <c r="AY61" s="1416">
        <v>127</v>
      </c>
      <c r="AZ61" s="1485">
        <f t="shared" si="6"/>
        <v>1.3307086614173222</v>
      </c>
      <c r="BB61" s="1486"/>
      <c r="BC61" s="1486"/>
      <c r="BD61" s="1487" t="s">
        <v>20</v>
      </c>
      <c r="BE61" s="1488">
        <v>117</v>
      </c>
      <c r="BF61" s="1489">
        <v>13.401709401709402</v>
      </c>
      <c r="BG61" s="1431">
        <f t="shared" si="7"/>
        <v>1.4017094017094021</v>
      </c>
      <c r="BI61" s="1490"/>
      <c r="BJ61" s="1490"/>
      <c r="BK61" s="1492" t="s">
        <v>20</v>
      </c>
      <c r="BL61" s="1493">
        <v>134</v>
      </c>
      <c r="BM61" s="1494">
        <v>13.522388059701496</v>
      </c>
      <c r="BN61" s="1491">
        <f t="shared" si="8"/>
        <v>1.5223880597014965</v>
      </c>
      <c r="BO61" s="41"/>
      <c r="BP61" s="1490"/>
      <c r="BQ61" s="1490"/>
      <c r="BR61" s="1492" t="s">
        <v>20</v>
      </c>
      <c r="BS61" s="1493">
        <v>107</v>
      </c>
      <c r="BT61" s="1494">
        <v>13.560747663551401</v>
      </c>
      <c r="BU61" s="1491">
        <f t="shared" si="9"/>
        <v>1.5607476635514015</v>
      </c>
      <c r="BV61" s="41"/>
      <c r="BW61" s="105"/>
      <c r="BX61" s="105"/>
      <c r="BY61" s="41" t="s">
        <v>20</v>
      </c>
      <c r="BZ61" s="105">
        <v>116</v>
      </c>
      <c r="CA61" s="1495">
        <v>13.232758620689658</v>
      </c>
      <c r="CB61" s="1496">
        <f t="shared" si="10"/>
        <v>1.2327586206896584</v>
      </c>
      <c r="CC61" s="41"/>
      <c r="CD61" s="1497"/>
      <c r="CE61" s="1497"/>
      <c r="CF61" s="460" t="s">
        <v>20</v>
      </c>
      <c r="CG61" s="1497">
        <v>119</v>
      </c>
      <c r="CH61" s="1498">
        <v>13.142857142857139</v>
      </c>
      <c r="CI61" s="1499">
        <v>12</v>
      </c>
      <c r="CJ61" s="1980">
        <f t="shared" si="11"/>
        <v>1.1428571428571388</v>
      </c>
    </row>
    <row r="62" spans="1:88">
      <c r="A62" s="105"/>
      <c r="B62" s="105"/>
      <c r="C62" s="41" t="s">
        <v>51</v>
      </c>
      <c r="D62" s="105">
        <v>12.2</v>
      </c>
      <c r="E62" s="105">
        <v>46</v>
      </c>
      <c r="F62" s="1431">
        <f t="shared" si="1"/>
        <v>0.19999999999999929</v>
      </c>
      <c r="G62" s="4591">
        <v>12</v>
      </c>
      <c r="I62" s="107"/>
      <c r="J62" s="107"/>
      <c r="K62" s="47" t="s">
        <v>51</v>
      </c>
      <c r="L62" s="107">
        <v>13.57</v>
      </c>
      <c r="M62" s="107">
        <v>60</v>
      </c>
      <c r="N62" s="1431">
        <f t="shared" si="2"/>
        <v>1.5700000000000003</v>
      </c>
      <c r="O62" s="4591">
        <v>12</v>
      </c>
      <c r="Q62" s="4243"/>
      <c r="R62" s="4243"/>
      <c r="S62" s="44" t="s">
        <v>51</v>
      </c>
      <c r="T62" s="4243">
        <v>13.58</v>
      </c>
      <c r="U62" s="4243">
        <v>59</v>
      </c>
      <c r="V62" s="4721">
        <f t="shared" si="3"/>
        <v>1.58</v>
      </c>
      <c r="W62" s="4722">
        <v>12</v>
      </c>
      <c r="Y62" s="41"/>
      <c r="Z62" s="41"/>
      <c r="AA62" s="41" t="s">
        <v>51</v>
      </c>
      <c r="AB62" s="1495">
        <v>12.77</v>
      </c>
      <c r="AC62" s="105">
        <v>44</v>
      </c>
      <c r="AD62" s="1431">
        <f t="shared" si="4"/>
        <v>0.76999999999999957</v>
      </c>
      <c r="AE62" s="1499">
        <v>12</v>
      </c>
      <c r="AF62" s="2548"/>
      <c r="AG62" s="107"/>
      <c r="AH62" s="107"/>
      <c r="AI62" s="41" t="s">
        <v>51</v>
      </c>
      <c r="AJ62" s="105">
        <v>14.11</v>
      </c>
      <c r="AK62" s="105">
        <v>47</v>
      </c>
      <c r="AL62" s="1431">
        <f t="shared" si="5"/>
        <v>2.1099999999999994</v>
      </c>
      <c r="AN62" s="105"/>
      <c r="AO62" s="105"/>
      <c r="AP62" s="41" t="s">
        <v>51</v>
      </c>
      <c r="AQ62" s="1495">
        <v>13.8</v>
      </c>
      <c r="AR62" s="105">
        <v>45</v>
      </c>
      <c r="AS62" s="1485">
        <f t="shared" si="12"/>
        <v>1.8000000000000007</v>
      </c>
      <c r="AU62" s="817"/>
      <c r="AV62" s="817"/>
      <c r="AW62" s="1484" t="s">
        <v>51</v>
      </c>
      <c r="AX62" s="1415">
        <v>13.575757575757576</v>
      </c>
      <c r="AY62" s="1416">
        <v>33</v>
      </c>
      <c r="AZ62" s="1485">
        <f t="shared" si="6"/>
        <v>1.5757575757575761</v>
      </c>
      <c r="BB62" s="1486"/>
      <c r="BC62" s="1486"/>
      <c r="BD62" s="1487" t="s">
        <v>51</v>
      </c>
      <c r="BE62" s="1488">
        <v>42</v>
      </c>
      <c r="BF62" s="1489">
        <v>13.404761904761902</v>
      </c>
      <c r="BG62" s="1431">
        <f t="shared" si="7"/>
        <v>1.4047619047619015</v>
      </c>
      <c r="BI62" s="1490"/>
      <c r="BJ62" s="1490"/>
      <c r="BK62" s="1492" t="s">
        <v>51</v>
      </c>
      <c r="BL62" s="1493">
        <v>55</v>
      </c>
      <c r="BM62" s="1494">
        <v>13.818181818181818</v>
      </c>
      <c r="BN62" s="1491">
        <f t="shared" si="8"/>
        <v>1.8181818181818183</v>
      </c>
      <c r="BO62" s="41"/>
      <c r="BP62" s="1490"/>
      <c r="BQ62" s="1490"/>
      <c r="BR62" s="1492" t="s">
        <v>51</v>
      </c>
      <c r="BS62" s="1493">
        <v>46</v>
      </c>
      <c r="BT62" s="1494">
        <v>13.978260869565215</v>
      </c>
      <c r="BU62" s="1491">
        <f t="shared" si="9"/>
        <v>1.9782608695652151</v>
      </c>
      <c r="BV62" s="41"/>
      <c r="BW62" s="105"/>
      <c r="BX62" s="105"/>
      <c r="BY62" s="41" t="s">
        <v>51</v>
      </c>
      <c r="BZ62" s="105">
        <v>53</v>
      </c>
      <c r="CA62" s="1495">
        <v>13.679245283018865</v>
      </c>
      <c r="CB62" s="1496">
        <f t="shared" si="10"/>
        <v>1.6792452830188651</v>
      </c>
      <c r="CC62" s="41"/>
      <c r="CD62" s="1497"/>
      <c r="CE62" s="1497"/>
      <c r="CF62" s="460" t="s">
        <v>51</v>
      </c>
      <c r="CG62" s="1497">
        <v>46</v>
      </c>
      <c r="CH62" s="1498">
        <v>13.695652173913041</v>
      </c>
      <c r="CI62" s="1499">
        <v>12</v>
      </c>
      <c r="CJ62" s="1980">
        <f t="shared" si="11"/>
        <v>1.6956521739130412</v>
      </c>
    </row>
    <row r="63" spans="1:88">
      <c r="A63" s="105"/>
      <c r="B63" s="105"/>
      <c r="C63" s="461" t="s">
        <v>545</v>
      </c>
      <c r="D63" s="5483">
        <v>12.8</v>
      </c>
      <c r="E63" s="5483">
        <v>864</v>
      </c>
      <c r="F63" s="1989">
        <f t="shared" si="1"/>
        <v>0.80000000000000071</v>
      </c>
      <c r="G63" s="4591">
        <v>12</v>
      </c>
      <c r="I63" s="107"/>
      <c r="J63" s="107"/>
      <c r="K63" s="968" t="s">
        <v>545</v>
      </c>
      <c r="L63" s="145">
        <v>13.38</v>
      </c>
      <c r="M63" s="145">
        <v>760</v>
      </c>
      <c r="N63" s="1989">
        <f t="shared" si="2"/>
        <v>1.3800000000000008</v>
      </c>
      <c r="O63" s="4591">
        <v>12</v>
      </c>
      <c r="Q63" s="4243"/>
      <c r="R63" s="4243"/>
      <c r="S63" s="4716" t="s">
        <v>545</v>
      </c>
      <c r="T63" s="4723">
        <v>13.49</v>
      </c>
      <c r="U63" s="4723">
        <v>751</v>
      </c>
      <c r="V63" s="4724">
        <f t="shared" si="3"/>
        <v>1.4900000000000002</v>
      </c>
      <c r="W63" s="4722">
        <v>12</v>
      </c>
      <c r="Y63" s="41"/>
      <c r="Z63" s="41"/>
      <c r="AA63" s="461" t="s">
        <v>545</v>
      </c>
      <c r="AB63" s="1510">
        <v>13.91</v>
      </c>
      <c r="AC63" s="2453">
        <v>853</v>
      </c>
      <c r="AD63" s="1989">
        <f t="shared" si="4"/>
        <v>1.9100000000000001</v>
      </c>
      <c r="AE63" s="1499">
        <v>12</v>
      </c>
      <c r="AF63" s="2548"/>
      <c r="AG63" s="107"/>
      <c r="AH63" s="107"/>
      <c r="AI63" s="461" t="s">
        <v>545</v>
      </c>
      <c r="AJ63" s="96">
        <v>13.53</v>
      </c>
      <c r="AK63" s="96">
        <v>760</v>
      </c>
      <c r="AL63" s="1989">
        <f t="shared" si="5"/>
        <v>1.5299999999999994</v>
      </c>
      <c r="AN63" s="105"/>
      <c r="AO63" s="105"/>
      <c r="AP63" s="461" t="s">
        <v>545</v>
      </c>
      <c r="AQ63" s="1510">
        <v>13.54</v>
      </c>
      <c r="AR63" s="96">
        <v>865</v>
      </c>
      <c r="AS63" s="1655">
        <f t="shared" si="12"/>
        <v>1.5399999999999991</v>
      </c>
      <c r="AU63" s="817"/>
      <c r="AV63" s="817"/>
      <c r="AW63" s="1500" t="s">
        <v>545</v>
      </c>
      <c r="AX63" s="1501">
        <v>13.508034610630425</v>
      </c>
      <c r="AY63" s="1502">
        <v>809</v>
      </c>
      <c r="AZ63" s="1485">
        <f t="shared" si="6"/>
        <v>1.5080346106304248</v>
      </c>
      <c r="BB63" s="1486"/>
      <c r="BC63" s="1486"/>
      <c r="BD63" s="1503" t="s">
        <v>545</v>
      </c>
      <c r="BE63" s="1504">
        <v>808</v>
      </c>
      <c r="BF63" s="1505">
        <v>13.331683168316831</v>
      </c>
      <c r="BG63" s="1431">
        <f t="shared" si="7"/>
        <v>1.3316831683168306</v>
      </c>
      <c r="BI63" s="1490"/>
      <c r="BJ63" s="1490"/>
      <c r="BK63" s="1506" t="s">
        <v>545</v>
      </c>
      <c r="BL63" s="1507">
        <f>SUM(BL57:BL62)</f>
        <v>910</v>
      </c>
      <c r="BM63" s="1508">
        <v>13.42</v>
      </c>
      <c r="BN63" s="1509">
        <f t="shared" si="8"/>
        <v>1.42</v>
      </c>
      <c r="BO63" s="41"/>
      <c r="BP63" s="1490"/>
      <c r="BQ63" s="1490"/>
      <c r="BR63" s="1506" t="s">
        <v>545</v>
      </c>
      <c r="BS63" s="1507">
        <v>794</v>
      </c>
      <c r="BT63" s="1508">
        <v>13.414357682619642</v>
      </c>
      <c r="BU63" s="1509">
        <f t="shared" si="9"/>
        <v>1.4143576826196416</v>
      </c>
      <c r="BV63" s="41"/>
      <c r="BW63" s="105"/>
      <c r="BX63" s="105"/>
      <c r="BY63" s="461" t="s">
        <v>15</v>
      </c>
      <c r="BZ63" s="96">
        <v>816</v>
      </c>
      <c r="CA63" s="1510">
        <v>13.438725490196065</v>
      </c>
      <c r="CB63" s="1511">
        <f t="shared" si="10"/>
        <v>1.4387254901960649</v>
      </c>
      <c r="CC63" s="41"/>
      <c r="CD63" s="1497"/>
      <c r="CE63" s="1497"/>
      <c r="CF63" s="1512" t="s">
        <v>15</v>
      </c>
      <c r="CG63" s="1513">
        <v>885</v>
      </c>
      <c r="CH63" s="1514">
        <v>13.503954802259878</v>
      </c>
      <c r="CI63" s="1499">
        <v>12</v>
      </c>
      <c r="CJ63" s="1981">
        <f t="shared" si="11"/>
        <v>1.5039548022598783</v>
      </c>
    </row>
    <row r="64" spans="1:88">
      <c r="A64" s="105"/>
      <c r="B64" s="105" t="s">
        <v>41</v>
      </c>
      <c r="C64" s="41" t="s">
        <v>42</v>
      </c>
      <c r="D64" s="105">
        <v>10.24</v>
      </c>
      <c r="E64" s="105">
        <v>106</v>
      </c>
      <c r="F64" s="1431">
        <f t="shared" si="1"/>
        <v>-1.7599999999999998</v>
      </c>
      <c r="G64" s="4591">
        <v>12</v>
      </c>
      <c r="I64" s="107"/>
      <c r="J64" s="107" t="s">
        <v>41</v>
      </c>
      <c r="K64" s="47" t="s">
        <v>42</v>
      </c>
      <c r="L64" s="107">
        <v>13.06</v>
      </c>
      <c r="M64" s="107">
        <v>130</v>
      </c>
      <c r="N64" s="1431">
        <f t="shared" si="2"/>
        <v>1.0600000000000005</v>
      </c>
      <c r="O64" s="4591">
        <v>12</v>
      </c>
      <c r="Q64" s="4243"/>
      <c r="R64" s="4243" t="s">
        <v>41</v>
      </c>
      <c r="S64" s="44" t="s">
        <v>42</v>
      </c>
      <c r="T64" s="4243">
        <v>13.17</v>
      </c>
      <c r="U64" s="4243">
        <v>98</v>
      </c>
      <c r="V64" s="4721">
        <f t="shared" si="3"/>
        <v>1.17</v>
      </c>
      <c r="W64" s="4722">
        <v>12</v>
      </c>
      <c r="Y64" s="41"/>
      <c r="Z64" s="41" t="s">
        <v>41</v>
      </c>
      <c r="AA64" s="41" t="s">
        <v>42</v>
      </c>
      <c r="AB64" s="1495">
        <v>13.56</v>
      </c>
      <c r="AC64" s="105">
        <v>166</v>
      </c>
      <c r="AD64" s="1431">
        <f t="shared" si="4"/>
        <v>1.5600000000000005</v>
      </c>
      <c r="AE64" s="1499">
        <v>12</v>
      </c>
      <c r="AF64" s="2548"/>
      <c r="AG64" s="107"/>
      <c r="AH64" s="107" t="s">
        <v>41</v>
      </c>
      <c r="AI64" s="41" t="s">
        <v>42</v>
      </c>
      <c r="AJ64" s="105">
        <v>13.64</v>
      </c>
      <c r="AK64" s="105">
        <v>160</v>
      </c>
      <c r="AL64" s="1431">
        <f t="shared" si="5"/>
        <v>1.6400000000000006</v>
      </c>
      <c r="AN64" s="105"/>
      <c r="AO64" s="105" t="s">
        <v>41</v>
      </c>
      <c r="AP64" s="41" t="s">
        <v>42</v>
      </c>
      <c r="AQ64" s="1495">
        <v>13.53</v>
      </c>
      <c r="AR64" s="105">
        <v>130</v>
      </c>
      <c r="AS64" s="1485">
        <f t="shared" si="12"/>
        <v>1.5299999999999994</v>
      </c>
      <c r="AU64" s="817"/>
      <c r="AV64" s="817" t="s">
        <v>41</v>
      </c>
      <c r="AW64" s="1484" t="s">
        <v>42</v>
      </c>
      <c r="AX64" s="1415">
        <v>13.090090090090088</v>
      </c>
      <c r="AY64" s="1416">
        <v>111</v>
      </c>
      <c r="AZ64" s="1485">
        <f t="shared" si="6"/>
        <v>1.0900900900900883</v>
      </c>
      <c r="BB64" s="1486"/>
      <c r="BC64" s="1486" t="s">
        <v>41</v>
      </c>
      <c r="BD64" s="1487" t="s">
        <v>42</v>
      </c>
      <c r="BE64" s="1488">
        <v>160</v>
      </c>
      <c r="BF64" s="1489">
        <v>13.387500000000001</v>
      </c>
      <c r="BG64" s="1431">
        <f t="shared" si="7"/>
        <v>1.3875000000000011</v>
      </c>
      <c r="BI64" s="1490"/>
      <c r="BJ64" s="1490" t="s">
        <v>41</v>
      </c>
      <c r="BK64" s="1492" t="s">
        <v>42</v>
      </c>
      <c r="BL64" s="1493">
        <v>145</v>
      </c>
      <c r="BM64" s="1494">
        <v>13.551724137931032</v>
      </c>
      <c r="BN64" s="1491">
        <f t="shared" si="8"/>
        <v>1.551724137931032</v>
      </c>
      <c r="BO64" s="41"/>
      <c r="BP64" s="1490"/>
      <c r="BQ64" s="1490" t="s">
        <v>41</v>
      </c>
      <c r="BR64" s="1492" t="s">
        <v>42</v>
      </c>
      <c r="BS64" s="1493">
        <v>151</v>
      </c>
      <c r="BT64" s="1494">
        <v>13.562913907284765</v>
      </c>
      <c r="BU64" s="1491">
        <f t="shared" si="9"/>
        <v>1.5629139072847646</v>
      </c>
      <c r="BV64" s="41"/>
      <c r="BW64" s="105"/>
      <c r="BX64" s="105" t="s">
        <v>41</v>
      </c>
      <c r="BY64" s="41" t="s">
        <v>42</v>
      </c>
      <c r="BZ64" s="105">
        <v>149</v>
      </c>
      <c r="CA64" s="1495">
        <v>13.919463087248319</v>
      </c>
      <c r="CB64" s="1496">
        <f t="shared" si="10"/>
        <v>1.9194630872483192</v>
      </c>
      <c r="CC64" s="41"/>
      <c r="CD64" s="1497"/>
      <c r="CE64" s="1497" t="s">
        <v>41</v>
      </c>
      <c r="CF64" s="460" t="s">
        <v>42</v>
      </c>
      <c r="CG64" s="1497">
        <v>145</v>
      </c>
      <c r="CH64" s="1498">
        <v>13.089655172413794</v>
      </c>
      <c r="CI64" s="1499">
        <v>12</v>
      </c>
      <c r="CJ64" s="1980">
        <f t="shared" si="11"/>
        <v>1.0896551724137939</v>
      </c>
    </row>
    <row r="65" spans="1:88">
      <c r="A65" s="105"/>
      <c r="B65" s="105"/>
      <c r="C65" s="41" t="s">
        <v>52</v>
      </c>
      <c r="D65" s="105">
        <v>11.91</v>
      </c>
      <c r="E65" s="105">
        <v>80</v>
      </c>
      <c r="F65" s="1431">
        <f t="shared" si="1"/>
        <v>-8.9999999999999858E-2</v>
      </c>
      <c r="G65" s="4591">
        <v>12</v>
      </c>
      <c r="I65" s="107"/>
      <c r="J65" s="107"/>
      <c r="K65" s="47" t="s">
        <v>52</v>
      </c>
      <c r="L65" s="107">
        <v>11.26</v>
      </c>
      <c r="M65" s="107">
        <v>93</v>
      </c>
      <c r="N65" s="1431">
        <f t="shared" si="2"/>
        <v>-0.74000000000000021</v>
      </c>
      <c r="O65" s="4591">
        <v>12</v>
      </c>
      <c r="Q65" s="4243"/>
      <c r="R65" s="4243"/>
      <c r="S65" s="44" t="s">
        <v>52</v>
      </c>
      <c r="T65" s="4243">
        <v>12.64</v>
      </c>
      <c r="U65" s="4243">
        <v>76</v>
      </c>
      <c r="V65" s="4721">
        <f t="shared" si="3"/>
        <v>0.64000000000000057</v>
      </c>
      <c r="W65" s="4722">
        <v>12</v>
      </c>
      <c r="Y65" s="41"/>
      <c r="Z65" s="41"/>
      <c r="AA65" s="41" t="s">
        <v>52</v>
      </c>
      <c r="AB65" s="1495">
        <v>12.65</v>
      </c>
      <c r="AC65" s="105">
        <v>92</v>
      </c>
      <c r="AD65" s="1431">
        <f t="shared" si="4"/>
        <v>0.65000000000000036</v>
      </c>
      <c r="AE65" s="1499">
        <v>12</v>
      </c>
      <c r="AF65" s="2548"/>
      <c r="AG65" s="107"/>
      <c r="AH65" s="107"/>
      <c r="AI65" s="41" t="s">
        <v>52</v>
      </c>
      <c r="AJ65" s="105">
        <v>12.73</v>
      </c>
      <c r="AK65" s="105">
        <v>101</v>
      </c>
      <c r="AL65" s="1431">
        <f t="shared" si="5"/>
        <v>0.73000000000000043</v>
      </c>
      <c r="AN65" s="105"/>
      <c r="AO65" s="105"/>
      <c r="AP65" s="41" t="s">
        <v>52</v>
      </c>
      <c r="AQ65" s="1495">
        <v>12.89</v>
      </c>
      <c r="AR65" s="105">
        <v>101</v>
      </c>
      <c r="AS65" s="1485">
        <f t="shared" si="12"/>
        <v>0.89000000000000057</v>
      </c>
      <c r="AU65" s="817"/>
      <c r="AV65" s="817"/>
      <c r="AW65" s="1484" t="s">
        <v>52</v>
      </c>
      <c r="AX65" s="1415">
        <v>13.064220183486242</v>
      </c>
      <c r="AY65" s="1416">
        <v>109</v>
      </c>
      <c r="AZ65" s="1485">
        <f t="shared" si="6"/>
        <v>1.0642201834862419</v>
      </c>
      <c r="BB65" s="1486"/>
      <c r="BC65" s="1486"/>
      <c r="BD65" s="1487" t="s">
        <v>52</v>
      </c>
      <c r="BE65" s="1488">
        <v>112</v>
      </c>
      <c r="BF65" s="1489">
        <v>12.732142857142859</v>
      </c>
      <c r="BG65" s="1431">
        <f t="shared" si="7"/>
        <v>0.73214285714285943</v>
      </c>
      <c r="BI65" s="1490"/>
      <c r="BJ65" s="1490"/>
      <c r="BK65" s="1492" t="s">
        <v>52</v>
      </c>
      <c r="BL65" s="1493">
        <v>126</v>
      </c>
      <c r="BM65" s="1494">
        <v>12.690476190476186</v>
      </c>
      <c r="BN65" s="1491">
        <f t="shared" si="8"/>
        <v>0.69047619047618625</v>
      </c>
      <c r="BO65" s="41"/>
      <c r="BP65" s="1490"/>
      <c r="BQ65" s="1490"/>
      <c r="BR65" s="1492" t="s">
        <v>52</v>
      </c>
      <c r="BS65" s="1493">
        <v>140</v>
      </c>
      <c r="BT65" s="1494">
        <v>13.25</v>
      </c>
      <c r="BU65" s="1491">
        <f t="shared" si="9"/>
        <v>1.25</v>
      </c>
      <c r="BV65" s="41"/>
      <c r="BW65" s="105"/>
      <c r="BX65" s="105"/>
      <c r="BY65" s="41" t="s">
        <v>52</v>
      </c>
      <c r="BZ65" s="105">
        <v>112</v>
      </c>
      <c r="CA65" s="1495">
        <v>13.392857142857137</v>
      </c>
      <c r="CB65" s="1496">
        <f t="shared" si="10"/>
        <v>1.392857142857137</v>
      </c>
      <c r="CC65" s="41"/>
      <c r="CD65" s="1497"/>
      <c r="CE65" s="1497"/>
      <c r="CF65" s="460" t="s">
        <v>52</v>
      </c>
      <c r="CG65" s="1497">
        <v>113</v>
      </c>
      <c r="CH65" s="1498">
        <v>12.805309734513271</v>
      </c>
      <c r="CI65" s="1499">
        <v>12</v>
      </c>
      <c r="CJ65" s="1980">
        <f t="shared" si="11"/>
        <v>0.80530973451327093</v>
      </c>
    </row>
    <row r="66" spans="1:88">
      <c r="A66" s="105"/>
      <c r="B66" s="105"/>
      <c r="C66" s="41" t="s">
        <v>53</v>
      </c>
      <c r="D66" s="105">
        <v>12.13</v>
      </c>
      <c r="E66" s="105">
        <v>133</v>
      </c>
      <c r="F66" s="1431">
        <f t="shared" si="1"/>
        <v>0.13000000000000078</v>
      </c>
      <c r="G66" s="4591">
        <v>12</v>
      </c>
      <c r="I66" s="107"/>
      <c r="J66" s="107"/>
      <c r="K66" s="47" t="s">
        <v>53</v>
      </c>
      <c r="L66" s="107">
        <v>12.93</v>
      </c>
      <c r="M66" s="107">
        <v>122</v>
      </c>
      <c r="N66" s="1431">
        <f t="shared" si="2"/>
        <v>0.92999999999999972</v>
      </c>
      <c r="O66" s="4591">
        <v>12</v>
      </c>
      <c r="Q66" s="4243"/>
      <c r="R66" s="4243"/>
      <c r="S66" s="44" t="s">
        <v>53</v>
      </c>
      <c r="T66" s="4243">
        <v>12.85</v>
      </c>
      <c r="U66" s="4243">
        <v>101</v>
      </c>
      <c r="V66" s="4721">
        <f t="shared" si="3"/>
        <v>0.84999999999999964</v>
      </c>
      <c r="W66" s="4722">
        <v>12</v>
      </c>
      <c r="Y66" s="41"/>
      <c r="Z66" s="41"/>
      <c r="AA66" s="41" t="s">
        <v>53</v>
      </c>
      <c r="AB66" s="1495">
        <v>13.15</v>
      </c>
      <c r="AC66" s="105">
        <v>171</v>
      </c>
      <c r="AD66" s="1431">
        <f t="shared" si="4"/>
        <v>1.1500000000000004</v>
      </c>
      <c r="AE66" s="1499">
        <v>12</v>
      </c>
      <c r="AF66" s="2548"/>
      <c r="AG66" s="107"/>
      <c r="AH66" s="107"/>
      <c r="AI66" s="41" t="s">
        <v>53</v>
      </c>
      <c r="AJ66" s="105">
        <v>12.99</v>
      </c>
      <c r="AK66" s="105">
        <v>137</v>
      </c>
      <c r="AL66" s="1431">
        <f t="shared" si="5"/>
        <v>0.99000000000000021</v>
      </c>
      <c r="AN66" s="105"/>
      <c r="AO66" s="105"/>
      <c r="AP66" s="41" t="s">
        <v>53</v>
      </c>
      <c r="AQ66" s="1495">
        <v>12.78</v>
      </c>
      <c r="AR66" s="105">
        <v>144</v>
      </c>
      <c r="AS66" s="1485">
        <f t="shared" si="12"/>
        <v>0.77999999999999936</v>
      </c>
      <c r="AU66" s="817"/>
      <c r="AV66" s="817"/>
      <c r="AW66" s="1484" t="s">
        <v>53</v>
      </c>
      <c r="AX66" s="1415">
        <v>12.955128205128206</v>
      </c>
      <c r="AY66" s="1416">
        <v>156</v>
      </c>
      <c r="AZ66" s="1485">
        <f t="shared" si="6"/>
        <v>0.95512820512820618</v>
      </c>
      <c r="BB66" s="1486"/>
      <c r="BC66" s="1486"/>
      <c r="BD66" s="1487" t="s">
        <v>53</v>
      </c>
      <c r="BE66" s="1488">
        <v>145</v>
      </c>
      <c r="BF66" s="1489">
        <v>12.61379310344827</v>
      </c>
      <c r="BG66" s="1431">
        <f t="shared" si="7"/>
        <v>0.61379310344826976</v>
      </c>
      <c r="BI66" s="1490"/>
      <c r="BJ66" s="1490"/>
      <c r="BK66" s="1492" t="s">
        <v>53</v>
      </c>
      <c r="BL66" s="1493">
        <v>133</v>
      </c>
      <c r="BM66" s="1494">
        <v>12.894736842105262</v>
      </c>
      <c r="BN66" s="1491">
        <f t="shared" si="8"/>
        <v>0.89473684210526194</v>
      </c>
      <c r="BO66" s="41"/>
      <c r="BP66" s="1490"/>
      <c r="BQ66" s="1490"/>
      <c r="BR66" s="1492" t="s">
        <v>53</v>
      </c>
      <c r="BS66" s="1493">
        <v>163</v>
      </c>
      <c r="BT66" s="1494">
        <v>12.76687116564417</v>
      </c>
      <c r="BU66" s="1491">
        <f t="shared" si="9"/>
        <v>0.76687116564417046</v>
      </c>
      <c r="BV66" s="41"/>
      <c r="BW66" s="105"/>
      <c r="BX66" s="105"/>
      <c r="BY66" s="41" t="s">
        <v>53</v>
      </c>
      <c r="BZ66" s="105">
        <v>153</v>
      </c>
      <c r="CA66" s="1495">
        <v>12.718954248366009</v>
      </c>
      <c r="CB66" s="1496">
        <f t="shared" si="10"/>
        <v>0.71895424836600874</v>
      </c>
      <c r="CC66" s="41"/>
      <c r="CD66" s="1497"/>
      <c r="CE66" s="1497"/>
      <c r="CF66" s="460" t="s">
        <v>53</v>
      </c>
      <c r="CG66" s="1497">
        <v>191</v>
      </c>
      <c r="CH66" s="1498">
        <v>13.052356020942407</v>
      </c>
      <c r="CI66" s="1499">
        <v>12</v>
      </c>
      <c r="CJ66" s="1980">
        <f t="shared" si="11"/>
        <v>1.0523560209424065</v>
      </c>
    </row>
    <row r="67" spans="1:88">
      <c r="A67" s="105"/>
      <c r="B67" s="105"/>
      <c r="C67" s="41" t="s">
        <v>54</v>
      </c>
      <c r="D67" s="105">
        <v>11.84</v>
      </c>
      <c r="E67" s="105">
        <v>123</v>
      </c>
      <c r="F67" s="1431">
        <f t="shared" si="1"/>
        <v>-0.16000000000000014</v>
      </c>
      <c r="G67" s="4591">
        <v>12</v>
      </c>
      <c r="I67" s="107"/>
      <c r="J67" s="107"/>
      <c r="K67" s="47" t="s">
        <v>54</v>
      </c>
      <c r="L67" s="107">
        <v>13.51</v>
      </c>
      <c r="M67" s="107">
        <v>198</v>
      </c>
      <c r="N67" s="1431">
        <f t="shared" si="2"/>
        <v>1.5099999999999998</v>
      </c>
      <c r="O67" s="4591">
        <v>12</v>
      </c>
      <c r="Q67" s="4243"/>
      <c r="R67" s="4243"/>
      <c r="S67" s="44" t="s">
        <v>54</v>
      </c>
      <c r="T67" s="4243">
        <v>13.73</v>
      </c>
      <c r="U67" s="4243">
        <v>135</v>
      </c>
      <c r="V67" s="4721">
        <f t="shared" si="3"/>
        <v>1.7300000000000004</v>
      </c>
      <c r="W67" s="4722">
        <v>12</v>
      </c>
      <c r="Y67" s="41"/>
      <c r="Z67" s="41"/>
      <c r="AA67" s="41" t="s">
        <v>54</v>
      </c>
      <c r="AB67" s="1495">
        <v>13.78</v>
      </c>
      <c r="AC67" s="105">
        <v>209</v>
      </c>
      <c r="AD67" s="1431">
        <f t="shared" si="4"/>
        <v>1.7799999999999994</v>
      </c>
      <c r="AE67" s="1499">
        <v>12</v>
      </c>
      <c r="AF67" s="2548"/>
      <c r="AG67" s="107"/>
      <c r="AH67" s="107"/>
      <c r="AI67" s="41" t="s">
        <v>54</v>
      </c>
      <c r="AJ67" s="105">
        <v>14.1</v>
      </c>
      <c r="AK67" s="105">
        <v>206</v>
      </c>
      <c r="AL67" s="1431">
        <f t="shared" si="5"/>
        <v>2.0999999999999996</v>
      </c>
      <c r="AN67" s="105"/>
      <c r="AO67" s="105"/>
      <c r="AP67" s="41" t="s">
        <v>54</v>
      </c>
      <c r="AQ67" s="1495">
        <v>14.43</v>
      </c>
      <c r="AR67" s="105">
        <v>151</v>
      </c>
      <c r="AS67" s="1485">
        <f t="shared" si="12"/>
        <v>2.4299999999999997</v>
      </c>
      <c r="AU67" s="817"/>
      <c r="AV67" s="817"/>
      <c r="AW67" s="1484" t="s">
        <v>54</v>
      </c>
      <c r="AX67" s="1415">
        <v>14.145348837209296</v>
      </c>
      <c r="AY67" s="1416">
        <v>172</v>
      </c>
      <c r="AZ67" s="1485">
        <f t="shared" si="6"/>
        <v>2.1453488372092959</v>
      </c>
      <c r="BB67" s="1486"/>
      <c r="BC67" s="1486"/>
      <c r="BD67" s="1487" t="s">
        <v>54</v>
      </c>
      <c r="BE67" s="1488">
        <v>158</v>
      </c>
      <c r="BF67" s="1489">
        <v>14.24683544303797</v>
      </c>
      <c r="BG67" s="1431">
        <f t="shared" si="7"/>
        <v>2.2468354430379698</v>
      </c>
      <c r="BI67" s="1490"/>
      <c r="BJ67" s="1490"/>
      <c r="BK67" s="1492" t="s">
        <v>54</v>
      </c>
      <c r="BL67" s="1493">
        <v>178</v>
      </c>
      <c r="BM67" s="1494">
        <v>14.174157303370796</v>
      </c>
      <c r="BN67" s="1491">
        <f t="shared" si="8"/>
        <v>2.1741573033707962</v>
      </c>
      <c r="BO67" s="41"/>
      <c r="BP67" s="1490"/>
      <c r="BQ67" s="1490"/>
      <c r="BR67" s="1492" t="s">
        <v>54</v>
      </c>
      <c r="BS67" s="1493">
        <v>228</v>
      </c>
      <c r="BT67" s="1494">
        <v>14.473684210526317</v>
      </c>
      <c r="BU67" s="1491">
        <f t="shared" si="9"/>
        <v>2.4736842105263168</v>
      </c>
      <c r="BV67" s="41"/>
      <c r="BW67" s="105"/>
      <c r="BX67" s="105"/>
      <c r="BY67" s="41" t="s">
        <v>54</v>
      </c>
      <c r="BZ67" s="105">
        <v>174</v>
      </c>
      <c r="CA67" s="1495">
        <v>14.568965517241391</v>
      </c>
      <c r="CB67" s="1496">
        <f t="shared" si="10"/>
        <v>2.5689655172413914</v>
      </c>
      <c r="CC67" s="41"/>
      <c r="CD67" s="1497"/>
      <c r="CE67" s="1497"/>
      <c r="CF67" s="460" t="s">
        <v>54</v>
      </c>
      <c r="CG67" s="1497">
        <v>204</v>
      </c>
      <c r="CH67" s="1498">
        <v>14.122549019607854</v>
      </c>
      <c r="CI67" s="1499">
        <v>12</v>
      </c>
      <c r="CJ67" s="1980">
        <f t="shared" si="11"/>
        <v>2.1225490196078542</v>
      </c>
    </row>
    <row r="68" spans="1:88">
      <c r="A68" s="105"/>
      <c r="B68" s="105"/>
      <c r="C68" s="41" t="s">
        <v>55</v>
      </c>
      <c r="D68" s="105">
        <v>16.55</v>
      </c>
      <c r="E68" s="105">
        <v>119</v>
      </c>
      <c r="F68" s="1431">
        <f t="shared" si="1"/>
        <v>4.5500000000000007</v>
      </c>
      <c r="G68" s="4591">
        <v>12</v>
      </c>
      <c r="I68" s="107"/>
      <c r="J68" s="107"/>
      <c r="K68" s="47" t="s">
        <v>55</v>
      </c>
      <c r="L68" s="107">
        <v>16.760000000000002</v>
      </c>
      <c r="M68" s="107">
        <v>161</v>
      </c>
      <c r="N68" s="1431">
        <f t="shared" si="2"/>
        <v>4.7600000000000016</v>
      </c>
      <c r="O68" s="4591">
        <v>12</v>
      </c>
      <c r="Q68" s="4243"/>
      <c r="R68" s="4243"/>
      <c r="S68" s="44" t="s">
        <v>55</v>
      </c>
      <c r="T68" s="4243">
        <v>16.350000000000001</v>
      </c>
      <c r="U68" s="4243">
        <v>108</v>
      </c>
      <c r="V68" s="4721">
        <f t="shared" si="3"/>
        <v>4.3500000000000014</v>
      </c>
      <c r="W68" s="4722">
        <v>12</v>
      </c>
      <c r="Y68" s="41"/>
      <c r="Z68" s="41"/>
      <c r="AA68" s="41" t="s">
        <v>55</v>
      </c>
      <c r="AB68" s="1495">
        <v>16.89</v>
      </c>
      <c r="AC68" s="105">
        <v>118</v>
      </c>
      <c r="AD68" s="1431">
        <f t="shared" si="4"/>
        <v>4.8900000000000006</v>
      </c>
      <c r="AE68" s="1499">
        <v>12</v>
      </c>
      <c r="AF68" s="2548"/>
      <c r="AG68" s="107"/>
      <c r="AH68" s="107"/>
      <c r="AI68" s="41" t="s">
        <v>55</v>
      </c>
      <c r="AJ68" s="105">
        <v>14.89</v>
      </c>
      <c r="AK68" s="105">
        <v>116</v>
      </c>
      <c r="AL68" s="1431">
        <f t="shared" si="5"/>
        <v>2.8900000000000006</v>
      </c>
      <c r="AN68" s="105"/>
      <c r="AO68" s="105"/>
      <c r="AP68" s="41" t="s">
        <v>55</v>
      </c>
      <c r="AQ68" s="1495">
        <v>13.85</v>
      </c>
      <c r="AR68" s="105">
        <v>182</v>
      </c>
      <c r="AS68" s="1485">
        <f t="shared" si="12"/>
        <v>1.8499999999999996</v>
      </c>
      <c r="AU68" s="817"/>
      <c r="AV68" s="817"/>
      <c r="AW68" s="1484" t="s">
        <v>55</v>
      </c>
      <c r="AX68" s="1415">
        <v>14.38255033557046</v>
      </c>
      <c r="AY68" s="1416">
        <v>149</v>
      </c>
      <c r="AZ68" s="1485">
        <f t="shared" si="6"/>
        <v>2.3825503355704605</v>
      </c>
      <c r="BB68" s="1486"/>
      <c r="BC68" s="1486"/>
      <c r="BD68" s="1487" t="s">
        <v>55</v>
      </c>
      <c r="BE68" s="1488">
        <v>159</v>
      </c>
      <c r="BF68" s="1489">
        <v>14.100628930817606</v>
      </c>
      <c r="BG68" s="1431">
        <f t="shared" si="7"/>
        <v>2.1006289308176065</v>
      </c>
      <c r="BI68" s="1490"/>
      <c r="BJ68" s="1490"/>
      <c r="BK68" s="1492" t="s">
        <v>55</v>
      </c>
      <c r="BL68" s="1493">
        <v>147</v>
      </c>
      <c r="BM68" s="1494">
        <v>14.761904761904772</v>
      </c>
      <c r="BN68" s="1491">
        <f t="shared" si="8"/>
        <v>2.7619047619047716</v>
      </c>
      <c r="BO68" s="41"/>
      <c r="BP68" s="1490"/>
      <c r="BQ68" s="1490"/>
      <c r="BR68" s="1492" t="s">
        <v>55</v>
      </c>
      <c r="BS68" s="1493">
        <v>151</v>
      </c>
      <c r="BT68" s="1494">
        <v>13.980132450331123</v>
      </c>
      <c r="BU68" s="1491">
        <f t="shared" si="9"/>
        <v>1.9801324503311228</v>
      </c>
      <c r="BV68" s="41"/>
      <c r="BW68" s="105"/>
      <c r="BX68" s="105"/>
      <c r="BY68" s="41" t="s">
        <v>55</v>
      </c>
      <c r="BZ68" s="105">
        <v>202</v>
      </c>
      <c r="CA68" s="1495">
        <v>14.346534653465348</v>
      </c>
      <c r="CB68" s="1496">
        <f t="shared" si="10"/>
        <v>2.3465346534653477</v>
      </c>
      <c r="CC68" s="41"/>
      <c r="CD68" s="1497"/>
      <c r="CE68" s="1497"/>
      <c r="CF68" s="460" t="s">
        <v>55</v>
      </c>
      <c r="CG68" s="1497">
        <v>193</v>
      </c>
      <c r="CH68" s="1498">
        <v>14.310880829015549</v>
      </c>
      <c r="CI68" s="1499">
        <v>12</v>
      </c>
      <c r="CJ68" s="1980">
        <f t="shared" si="11"/>
        <v>2.3108808290155487</v>
      </c>
    </row>
    <row r="69" spans="1:88">
      <c r="A69" s="105"/>
      <c r="B69" s="105"/>
      <c r="C69" s="41" t="s">
        <v>56</v>
      </c>
      <c r="D69" s="105">
        <v>11.61</v>
      </c>
      <c r="E69" s="105">
        <v>76</v>
      </c>
      <c r="F69" s="1431">
        <f t="shared" si="1"/>
        <v>-0.39000000000000057</v>
      </c>
      <c r="G69" s="4591">
        <v>12</v>
      </c>
      <c r="I69" s="107"/>
      <c r="J69" s="107"/>
      <c r="K69" s="47" t="s">
        <v>56</v>
      </c>
      <c r="L69" s="107">
        <v>12.86</v>
      </c>
      <c r="M69" s="107">
        <v>112</v>
      </c>
      <c r="N69" s="1431">
        <f t="shared" si="2"/>
        <v>0.85999999999999943</v>
      </c>
      <c r="O69" s="4591">
        <v>12</v>
      </c>
      <c r="Q69" s="4243"/>
      <c r="R69" s="4243"/>
      <c r="S69" s="44" t="s">
        <v>56</v>
      </c>
      <c r="T69" s="4243">
        <v>13.24</v>
      </c>
      <c r="U69" s="4243">
        <v>92</v>
      </c>
      <c r="V69" s="4721">
        <f t="shared" si="3"/>
        <v>1.2400000000000002</v>
      </c>
      <c r="W69" s="4722">
        <v>12</v>
      </c>
      <c r="Y69" s="41"/>
      <c r="Z69" s="41"/>
      <c r="AA69" s="41" t="s">
        <v>56</v>
      </c>
      <c r="AB69" s="1495">
        <v>13.16</v>
      </c>
      <c r="AC69" s="105">
        <v>94</v>
      </c>
      <c r="AD69" s="1431">
        <f t="shared" si="4"/>
        <v>1.1600000000000001</v>
      </c>
      <c r="AE69" s="1499">
        <v>12</v>
      </c>
      <c r="AF69" s="2548"/>
      <c r="AG69" s="107"/>
      <c r="AH69" s="107"/>
      <c r="AI69" s="41" t="s">
        <v>56</v>
      </c>
      <c r="AJ69" s="105">
        <v>13.45</v>
      </c>
      <c r="AK69" s="105">
        <v>104</v>
      </c>
      <c r="AL69" s="1431">
        <f t="shared" si="5"/>
        <v>1.4499999999999993</v>
      </c>
      <c r="AN69" s="105"/>
      <c r="AO69" s="105"/>
      <c r="AP69" s="41" t="s">
        <v>56</v>
      </c>
      <c r="AQ69" s="1495">
        <v>13.28</v>
      </c>
      <c r="AR69" s="105">
        <v>119</v>
      </c>
      <c r="AS69" s="1485">
        <f t="shared" si="12"/>
        <v>1.2799999999999994</v>
      </c>
      <c r="AU69" s="817"/>
      <c r="AV69" s="817"/>
      <c r="AW69" s="1484" t="s">
        <v>56</v>
      </c>
      <c r="AX69" s="1415">
        <v>13.09448818897638</v>
      </c>
      <c r="AY69" s="1416">
        <v>127</v>
      </c>
      <c r="AZ69" s="1485">
        <f t="shared" si="6"/>
        <v>1.0944881889763796</v>
      </c>
      <c r="BB69" s="1486"/>
      <c r="BC69" s="1486"/>
      <c r="BD69" s="1487" t="s">
        <v>56</v>
      </c>
      <c r="BE69" s="1488">
        <v>110</v>
      </c>
      <c r="BF69" s="1489">
        <v>13.127272727272727</v>
      </c>
      <c r="BG69" s="1431">
        <f t="shared" si="7"/>
        <v>1.127272727272727</v>
      </c>
      <c r="BI69" s="1490"/>
      <c r="BJ69" s="1490"/>
      <c r="BK69" s="1492" t="s">
        <v>56</v>
      </c>
      <c r="BL69" s="1493">
        <v>113</v>
      </c>
      <c r="BM69" s="1494">
        <v>13.690265486725663</v>
      </c>
      <c r="BN69" s="1491">
        <f t="shared" si="8"/>
        <v>1.6902654867256626</v>
      </c>
      <c r="BO69" s="41"/>
      <c r="BP69" s="1490"/>
      <c r="BQ69" s="1490"/>
      <c r="BR69" s="1492" t="s">
        <v>56</v>
      </c>
      <c r="BS69" s="1493">
        <v>111</v>
      </c>
      <c r="BT69" s="1494">
        <v>13.198198198198201</v>
      </c>
      <c r="BU69" s="1491">
        <f t="shared" si="9"/>
        <v>1.1981981981982006</v>
      </c>
      <c r="BV69" s="41"/>
      <c r="BW69" s="105"/>
      <c r="BX69" s="105"/>
      <c r="BY69" s="41" t="s">
        <v>56</v>
      </c>
      <c r="BZ69" s="105">
        <v>84</v>
      </c>
      <c r="CA69" s="1495">
        <v>13.16666666666667</v>
      </c>
      <c r="CB69" s="1496">
        <f t="shared" si="10"/>
        <v>1.1666666666666696</v>
      </c>
      <c r="CC69" s="41"/>
      <c r="CD69" s="1497"/>
      <c r="CE69" s="1497"/>
      <c r="CF69" s="460" t="s">
        <v>56</v>
      </c>
      <c r="CG69" s="1497">
        <v>69</v>
      </c>
      <c r="CH69" s="1498">
        <v>13.434782608695652</v>
      </c>
      <c r="CI69" s="1499">
        <v>12</v>
      </c>
      <c r="CJ69" s="1980">
        <f t="shared" si="11"/>
        <v>1.4347826086956523</v>
      </c>
    </row>
    <row r="70" spans="1:88">
      <c r="A70" s="105"/>
      <c r="B70" s="105"/>
      <c r="C70" s="41" t="s">
        <v>259</v>
      </c>
      <c r="D70" s="105">
        <v>15.52</v>
      </c>
      <c r="E70" s="105">
        <v>132</v>
      </c>
      <c r="F70" s="1431">
        <f t="shared" si="1"/>
        <v>0.51999999999999957</v>
      </c>
      <c r="G70" s="4591">
        <v>15</v>
      </c>
      <c r="I70" s="107"/>
      <c r="J70" s="107"/>
      <c r="K70" s="47" t="s">
        <v>259</v>
      </c>
      <c r="L70" s="107">
        <v>15.9</v>
      </c>
      <c r="M70" s="107">
        <v>120</v>
      </c>
      <c r="N70" s="1431">
        <f t="shared" si="2"/>
        <v>0.90000000000000036</v>
      </c>
      <c r="O70" s="4591">
        <v>15</v>
      </c>
      <c r="Q70" s="4243"/>
      <c r="R70" s="4243"/>
      <c r="S70" s="44" t="s">
        <v>259</v>
      </c>
      <c r="T70" s="4243">
        <v>15.9</v>
      </c>
      <c r="U70" s="4243">
        <v>120</v>
      </c>
      <c r="V70" s="4721">
        <f t="shared" si="3"/>
        <v>0.90000000000000036</v>
      </c>
      <c r="W70" s="4722">
        <v>15</v>
      </c>
      <c r="Y70" s="41"/>
      <c r="Z70" s="41"/>
      <c r="AA70" s="41" t="s">
        <v>259</v>
      </c>
      <c r="AB70" s="1495">
        <v>16.77</v>
      </c>
      <c r="AC70" s="105">
        <v>131</v>
      </c>
      <c r="AD70" s="1431">
        <f t="shared" si="4"/>
        <v>1.7699999999999996</v>
      </c>
      <c r="AE70" s="1499">
        <v>15</v>
      </c>
      <c r="AF70" s="2548"/>
      <c r="AG70" s="107"/>
      <c r="AH70" s="107"/>
      <c r="AI70" s="41" t="s">
        <v>259</v>
      </c>
      <c r="AJ70" s="105">
        <v>16.75</v>
      </c>
      <c r="AK70" s="105">
        <v>151</v>
      </c>
      <c r="AL70" s="1431">
        <f t="shared" si="5"/>
        <v>1.75</v>
      </c>
      <c r="AN70" s="105"/>
      <c r="AO70" s="105"/>
      <c r="AP70" s="41" t="s">
        <v>259</v>
      </c>
      <c r="AQ70" s="1495">
        <v>16.82</v>
      </c>
      <c r="AR70" s="105">
        <v>131</v>
      </c>
      <c r="AS70" s="1485">
        <f t="shared" ref="AS70:AS92" si="13">AQ70-CI70</f>
        <v>1.8200000000000003</v>
      </c>
      <c r="AU70" s="817"/>
      <c r="AV70" s="817"/>
      <c r="AW70" s="1484" t="s">
        <v>259</v>
      </c>
      <c r="AX70" s="1415">
        <v>16.569148936170201</v>
      </c>
      <c r="AY70" s="1416">
        <v>188</v>
      </c>
      <c r="AZ70" s="1485">
        <f t="shared" si="6"/>
        <v>1.5691489361702011</v>
      </c>
      <c r="BB70" s="1486"/>
      <c r="BC70" s="1486"/>
      <c r="BD70" s="1487" t="s">
        <v>259</v>
      </c>
      <c r="BE70" s="1488">
        <v>168</v>
      </c>
      <c r="BF70" s="1489">
        <v>16.976190476190471</v>
      </c>
      <c r="BG70" s="1431">
        <f>BF70-15</f>
        <v>1.9761904761904709</v>
      </c>
      <c r="BI70" s="1490"/>
      <c r="BJ70" s="1490"/>
      <c r="BK70" s="1492" t="s">
        <v>259</v>
      </c>
      <c r="BL70" s="1493">
        <v>180</v>
      </c>
      <c r="BM70" s="1494">
        <v>16.694444444444446</v>
      </c>
      <c r="BN70" s="1491">
        <f>+BM70-15</f>
        <v>1.6944444444444464</v>
      </c>
      <c r="BO70" s="41"/>
      <c r="BP70" s="1490"/>
      <c r="BQ70" s="1490"/>
      <c r="BR70" s="1492" t="s">
        <v>259</v>
      </c>
      <c r="BS70" s="1493">
        <v>134</v>
      </c>
      <c r="BT70" s="1494">
        <v>16.485074626865675</v>
      </c>
      <c r="BU70" s="1491">
        <f>+BT70-15</f>
        <v>1.4850746268656749</v>
      </c>
      <c r="BV70" s="41"/>
      <c r="BW70" s="105"/>
      <c r="BX70" s="105"/>
      <c r="BY70" s="41" t="s">
        <v>259</v>
      </c>
      <c r="BZ70" s="105">
        <v>164</v>
      </c>
      <c r="CA70" s="1495">
        <v>16.225609756097558</v>
      </c>
      <c r="CB70" s="1496">
        <f>+CA70-15</f>
        <v>1.2256097560975583</v>
      </c>
      <c r="CC70" s="41"/>
      <c r="CD70" s="1497"/>
      <c r="CE70" s="1497"/>
      <c r="CF70" s="460" t="s">
        <v>259</v>
      </c>
      <c r="CG70" s="1497">
        <v>190</v>
      </c>
      <c r="CH70" s="1498">
        <v>16.347368421052636</v>
      </c>
      <c r="CI70" s="1499">
        <v>15</v>
      </c>
      <c r="CJ70" s="1980">
        <f t="shared" si="11"/>
        <v>1.3473684210526358</v>
      </c>
    </row>
    <row r="71" spans="1:88">
      <c r="A71" s="105"/>
      <c r="B71" s="105"/>
      <c r="C71" s="41" t="s">
        <v>272</v>
      </c>
      <c r="D71" s="105">
        <v>11.53</v>
      </c>
      <c r="E71" s="105">
        <v>106</v>
      </c>
      <c r="F71" s="1431">
        <f t="shared" ref="F71:F79" si="14">D71-G71</f>
        <v>-0.47000000000000064</v>
      </c>
      <c r="G71" s="4591">
        <v>12</v>
      </c>
      <c r="I71" s="107"/>
      <c r="J71" s="107"/>
      <c r="K71" s="47" t="s">
        <v>272</v>
      </c>
      <c r="L71" s="107">
        <v>11.83</v>
      </c>
      <c r="M71" s="107">
        <v>120</v>
      </c>
      <c r="N71" s="1431">
        <f t="shared" ref="N71:N79" si="15">L71-O71</f>
        <v>-0.16999999999999993</v>
      </c>
      <c r="O71" s="4591">
        <v>12</v>
      </c>
      <c r="Q71" s="4243"/>
      <c r="R71" s="4243"/>
      <c r="S71" s="44" t="s">
        <v>272</v>
      </c>
      <c r="T71" s="4243">
        <v>12.76</v>
      </c>
      <c r="U71" s="4243">
        <v>99</v>
      </c>
      <c r="V71" s="4721">
        <f t="shared" ref="V71:V79" si="16">T71-W71</f>
        <v>0.75999999999999979</v>
      </c>
      <c r="W71" s="4722">
        <v>12</v>
      </c>
      <c r="Y71" s="41"/>
      <c r="Z71" s="41"/>
      <c r="AA71" s="41" t="s">
        <v>272</v>
      </c>
      <c r="AB71" s="1495">
        <v>12.73</v>
      </c>
      <c r="AC71" s="105">
        <v>123</v>
      </c>
      <c r="AD71" s="1431">
        <f t="shared" ref="AD71:AD101" si="17">AB71-AE71</f>
        <v>0.73000000000000043</v>
      </c>
      <c r="AE71" s="1499">
        <v>12</v>
      </c>
      <c r="AF71" s="2548"/>
      <c r="AG71" s="107"/>
      <c r="AH71" s="107"/>
      <c r="AI71" s="41" t="s">
        <v>272</v>
      </c>
      <c r="AJ71" s="105">
        <v>12.87</v>
      </c>
      <c r="AK71" s="105">
        <v>146</v>
      </c>
      <c r="AL71" s="1431">
        <f t="shared" ref="AL71:AL111" si="18">AJ71-CI71</f>
        <v>0.86999999999999922</v>
      </c>
      <c r="AN71" s="105"/>
      <c r="AO71" s="105"/>
      <c r="AP71" s="41" t="s">
        <v>272</v>
      </c>
      <c r="AQ71" s="1495">
        <v>12.71</v>
      </c>
      <c r="AR71" s="105">
        <v>112</v>
      </c>
      <c r="AS71" s="1485">
        <f t="shared" si="13"/>
        <v>0.71000000000000085</v>
      </c>
      <c r="AU71" s="817"/>
      <c r="AV71" s="817"/>
      <c r="AW71" s="1484" t="s">
        <v>272</v>
      </c>
      <c r="AX71" s="1415">
        <v>13.328244274809164</v>
      </c>
      <c r="AY71" s="1416">
        <v>131</v>
      </c>
      <c r="AZ71" s="1485">
        <f t="shared" ref="AZ71:AZ92" si="19">AX71-CI71</f>
        <v>1.3282442748091636</v>
      </c>
      <c r="BB71" s="1486"/>
      <c r="BC71" s="1486"/>
      <c r="BD71" s="1487" t="s">
        <v>272</v>
      </c>
      <c r="BE71" s="1488">
        <v>115</v>
      </c>
      <c r="BF71" s="1489">
        <v>12.834782608695651</v>
      </c>
      <c r="BG71" s="1431">
        <f t="shared" ref="BG71:BG92" si="20">BF71-12</f>
        <v>0.83478260869565091</v>
      </c>
      <c r="BI71" s="1490"/>
      <c r="BJ71" s="1490"/>
      <c r="BK71" s="1492" t="s">
        <v>272</v>
      </c>
      <c r="BL71" s="1493">
        <v>123</v>
      </c>
      <c r="BM71" s="1494">
        <v>12.934959349593493</v>
      </c>
      <c r="BN71" s="1491">
        <f t="shared" ref="BN71:BN91" si="21">+BM71-12</f>
        <v>0.93495934959349292</v>
      </c>
      <c r="BO71" s="41"/>
      <c r="BP71" s="1490"/>
      <c r="BQ71" s="1490"/>
      <c r="BR71" s="1492" t="s">
        <v>272</v>
      </c>
      <c r="BS71" s="1493">
        <v>107</v>
      </c>
      <c r="BT71" s="1494">
        <v>12.747663551401869</v>
      </c>
      <c r="BU71" s="1491">
        <f t="shared" ref="BU71:BU91" si="22">+BT71-12</f>
        <v>0.74766355140186924</v>
      </c>
      <c r="BV71" s="41"/>
      <c r="BW71" s="105"/>
      <c r="BX71" s="105"/>
      <c r="BY71" s="41" t="s">
        <v>272</v>
      </c>
      <c r="BZ71" s="105">
        <v>122</v>
      </c>
      <c r="CA71" s="1495">
        <v>13.081967213114753</v>
      </c>
      <c r="CB71" s="1496">
        <f t="shared" ref="CB71:CB90" si="23">+CA71-12</f>
        <v>1.0819672131147531</v>
      </c>
      <c r="CC71" s="41"/>
      <c r="CD71" s="1497"/>
      <c r="CE71" s="1497"/>
      <c r="CF71" s="460" t="s">
        <v>57</v>
      </c>
      <c r="CG71" s="1497">
        <v>85</v>
      </c>
      <c r="CH71" s="1498">
        <v>11.952941176470585</v>
      </c>
      <c r="CI71" s="1499">
        <v>12</v>
      </c>
      <c r="CJ71" s="1980">
        <f t="shared" ref="CJ71:CJ90" si="24">CH71-CI71</f>
        <v>-4.705882352941515E-2</v>
      </c>
    </row>
    <row r="72" spans="1:88">
      <c r="A72" s="105"/>
      <c r="B72" s="105"/>
      <c r="C72" s="461" t="s">
        <v>547</v>
      </c>
      <c r="D72" s="5483">
        <v>12.83</v>
      </c>
      <c r="E72" s="5483">
        <v>875</v>
      </c>
      <c r="F72" s="1989">
        <f t="shared" si="14"/>
        <v>0.83000000000000007</v>
      </c>
      <c r="G72" s="4591">
        <v>12</v>
      </c>
      <c r="I72" s="107"/>
      <c r="J72" s="107"/>
      <c r="K72" s="968" t="s">
        <v>547</v>
      </c>
      <c r="L72" s="145">
        <v>13.7</v>
      </c>
      <c r="M72" s="145">
        <v>1056</v>
      </c>
      <c r="N72" s="1989">
        <f t="shared" si="15"/>
        <v>1.6999999999999993</v>
      </c>
      <c r="O72" s="4591">
        <v>12</v>
      </c>
      <c r="Q72" s="4243"/>
      <c r="R72" s="4243"/>
      <c r="S72" s="4716" t="s">
        <v>547</v>
      </c>
      <c r="T72" s="4723">
        <v>13.94</v>
      </c>
      <c r="U72" s="4723">
        <v>829</v>
      </c>
      <c r="V72" s="4724">
        <f t="shared" si="16"/>
        <v>1.9399999999999995</v>
      </c>
      <c r="W72" s="4722">
        <v>12</v>
      </c>
      <c r="Y72" s="41"/>
      <c r="Z72" s="41"/>
      <c r="AA72" s="461" t="s">
        <v>547</v>
      </c>
      <c r="AB72" s="1510">
        <v>14.07</v>
      </c>
      <c r="AC72" s="2453">
        <v>1104</v>
      </c>
      <c r="AD72" s="1989">
        <f t="shared" si="17"/>
        <v>2.0700000000000003</v>
      </c>
      <c r="AE72" s="1499">
        <v>12</v>
      </c>
      <c r="AF72" s="2548"/>
      <c r="AG72" s="107"/>
      <c r="AH72" s="107"/>
      <c r="AI72" s="461" t="s">
        <v>547</v>
      </c>
      <c r="AJ72" s="96">
        <v>13.99</v>
      </c>
      <c r="AK72" s="96">
        <v>1121</v>
      </c>
      <c r="AL72" s="1989">
        <f t="shared" si="18"/>
        <v>1.9900000000000002</v>
      </c>
      <c r="AN72" s="105"/>
      <c r="AO72" s="105"/>
      <c r="AP72" s="461" t="s">
        <v>547</v>
      </c>
      <c r="AQ72" s="1510">
        <v>13.84</v>
      </c>
      <c r="AR72" s="96">
        <v>1070</v>
      </c>
      <c r="AS72" s="1655">
        <f t="shared" si="13"/>
        <v>1.8399999999999999</v>
      </c>
      <c r="AU72" s="817"/>
      <c r="AV72" s="817"/>
      <c r="AW72" s="1500" t="s">
        <v>547</v>
      </c>
      <c r="AX72" s="1501">
        <v>13.996500437445308</v>
      </c>
      <c r="AY72" s="1502">
        <v>1143</v>
      </c>
      <c r="AZ72" s="1485">
        <f t="shared" si="19"/>
        <v>1.9965004374453077</v>
      </c>
      <c r="BB72" s="1486"/>
      <c r="BC72" s="1486"/>
      <c r="BD72" s="1503" t="s">
        <v>547</v>
      </c>
      <c r="BE72" s="1504">
        <v>1127</v>
      </c>
      <c r="BF72" s="1505">
        <v>13.897071872227155</v>
      </c>
      <c r="BG72" s="1431">
        <f t="shared" si="20"/>
        <v>1.8970718722271549</v>
      </c>
      <c r="BI72" s="1490"/>
      <c r="BJ72" s="1490"/>
      <c r="BK72" s="1506" t="s">
        <v>547</v>
      </c>
      <c r="BL72" s="1507">
        <f>SUM(BL64:BL71)</f>
        <v>1145</v>
      </c>
      <c r="BM72" s="1508">
        <v>14.07</v>
      </c>
      <c r="BN72" s="1509">
        <f t="shared" si="21"/>
        <v>2.0700000000000003</v>
      </c>
      <c r="BO72" s="41"/>
      <c r="BP72" s="1490"/>
      <c r="BQ72" s="1490"/>
      <c r="BR72" s="1506" t="s">
        <v>547</v>
      </c>
      <c r="BS72" s="1507">
        <v>1185</v>
      </c>
      <c r="BT72" s="1508">
        <v>13.867510548523214</v>
      </c>
      <c r="BU72" s="1509">
        <f t="shared" si="22"/>
        <v>1.8675105485232137</v>
      </c>
      <c r="BV72" s="41"/>
      <c r="BW72" s="105"/>
      <c r="BX72" s="105"/>
      <c r="BY72" s="461" t="s">
        <v>15</v>
      </c>
      <c r="BZ72" s="96">
        <v>1160</v>
      </c>
      <c r="CA72" s="1510">
        <v>14.065517241379318</v>
      </c>
      <c r="CB72" s="1511">
        <f t="shared" si="23"/>
        <v>2.0655172413793181</v>
      </c>
      <c r="CC72" s="41"/>
      <c r="CD72" s="1497"/>
      <c r="CE72" s="1497"/>
      <c r="CF72" s="1512" t="s">
        <v>15</v>
      </c>
      <c r="CG72" s="1513">
        <v>1190</v>
      </c>
      <c r="CH72" s="1514">
        <v>13.890756302521012</v>
      </c>
      <c r="CI72" s="1499">
        <v>12</v>
      </c>
      <c r="CJ72" s="1981">
        <f t="shared" si="24"/>
        <v>1.8907563025210123</v>
      </c>
    </row>
    <row r="73" spans="1:88">
      <c r="A73" s="105"/>
      <c r="B73" s="105" t="s">
        <v>21</v>
      </c>
      <c r="C73" s="41" t="s">
        <v>22</v>
      </c>
      <c r="D73" s="105">
        <v>13.14</v>
      </c>
      <c r="E73" s="105">
        <v>175</v>
      </c>
      <c r="F73" s="1431">
        <f t="shared" si="14"/>
        <v>1.1400000000000006</v>
      </c>
      <c r="G73" s="4591">
        <v>12</v>
      </c>
      <c r="I73" s="107"/>
      <c r="J73" s="107" t="s">
        <v>21</v>
      </c>
      <c r="K73" s="47" t="s">
        <v>22</v>
      </c>
      <c r="L73" s="107">
        <v>13.9</v>
      </c>
      <c r="M73" s="107">
        <v>180</v>
      </c>
      <c r="N73" s="1431">
        <f t="shared" si="15"/>
        <v>1.9000000000000004</v>
      </c>
      <c r="O73" s="4591">
        <v>12</v>
      </c>
      <c r="Q73" s="4243"/>
      <c r="R73" s="4243" t="s">
        <v>21</v>
      </c>
      <c r="S73" s="44" t="s">
        <v>22</v>
      </c>
      <c r="T73" s="4243">
        <v>14.25</v>
      </c>
      <c r="U73" s="4243">
        <v>174</v>
      </c>
      <c r="V73" s="4721">
        <f t="shared" si="16"/>
        <v>2.25</v>
      </c>
      <c r="W73" s="4722">
        <v>12</v>
      </c>
      <c r="Y73" s="41"/>
      <c r="Z73" s="41" t="s">
        <v>21</v>
      </c>
      <c r="AA73" s="41" t="s">
        <v>22</v>
      </c>
      <c r="AB73" s="1495">
        <v>13.96</v>
      </c>
      <c r="AC73" s="105">
        <v>200</v>
      </c>
      <c r="AD73" s="1431">
        <f t="shared" si="17"/>
        <v>1.9600000000000009</v>
      </c>
      <c r="AE73" s="1499">
        <v>12</v>
      </c>
      <c r="AF73" s="2548"/>
      <c r="AG73" s="107"/>
      <c r="AH73" s="107" t="s">
        <v>21</v>
      </c>
      <c r="AI73" s="41" t="s">
        <v>22</v>
      </c>
      <c r="AJ73" s="105">
        <v>13.78</v>
      </c>
      <c r="AK73" s="105">
        <v>161</v>
      </c>
      <c r="AL73" s="1431">
        <f t="shared" si="18"/>
        <v>1.7799999999999994</v>
      </c>
      <c r="AN73" s="105"/>
      <c r="AO73" s="105" t="s">
        <v>21</v>
      </c>
      <c r="AP73" s="41" t="s">
        <v>22</v>
      </c>
      <c r="AQ73" s="1495">
        <v>14.06</v>
      </c>
      <c r="AR73" s="105">
        <v>145</v>
      </c>
      <c r="AS73" s="1485">
        <f t="shared" si="13"/>
        <v>2.0600000000000005</v>
      </c>
      <c r="AU73" s="817"/>
      <c r="AV73" s="817" t="s">
        <v>21</v>
      </c>
      <c r="AW73" s="1484" t="s">
        <v>22</v>
      </c>
      <c r="AX73" s="1415">
        <v>13.755952380952381</v>
      </c>
      <c r="AY73" s="1416">
        <v>168</v>
      </c>
      <c r="AZ73" s="1485">
        <f t="shared" si="19"/>
        <v>1.7559523809523814</v>
      </c>
      <c r="BB73" s="1486"/>
      <c r="BC73" s="1486" t="s">
        <v>21</v>
      </c>
      <c r="BD73" s="1487" t="s">
        <v>22</v>
      </c>
      <c r="BE73" s="1488">
        <v>209</v>
      </c>
      <c r="BF73" s="1489">
        <v>14.220095693779903</v>
      </c>
      <c r="BG73" s="1431">
        <f t="shared" si="20"/>
        <v>2.2200956937799035</v>
      </c>
      <c r="BI73" s="1490"/>
      <c r="BJ73" s="1490" t="s">
        <v>21</v>
      </c>
      <c r="BK73" s="1492" t="s">
        <v>22</v>
      </c>
      <c r="BL73" s="1493">
        <v>170</v>
      </c>
      <c r="BM73" s="1494">
        <v>14.182352941176463</v>
      </c>
      <c r="BN73" s="1491">
        <f t="shared" si="21"/>
        <v>2.1823529411764628</v>
      </c>
      <c r="BO73" s="41"/>
      <c r="BP73" s="1490"/>
      <c r="BQ73" s="1490" t="s">
        <v>21</v>
      </c>
      <c r="BR73" s="1492" t="s">
        <v>22</v>
      </c>
      <c r="BS73" s="1493">
        <v>181</v>
      </c>
      <c r="BT73" s="1494">
        <v>14.292817679558013</v>
      </c>
      <c r="BU73" s="1491">
        <f t="shared" si="22"/>
        <v>2.2928176795580129</v>
      </c>
      <c r="BV73" s="41"/>
      <c r="BW73" s="105"/>
      <c r="BX73" s="105" t="s">
        <v>21</v>
      </c>
      <c r="BY73" s="41" t="s">
        <v>22</v>
      </c>
      <c r="BZ73" s="105">
        <v>189</v>
      </c>
      <c r="CA73" s="1495">
        <v>14.693121693121681</v>
      </c>
      <c r="CB73" s="1496">
        <f t="shared" si="23"/>
        <v>2.6931216931216806</v>
      </c>
      <c r="CC73" s="41"/>
      <c r="CD73" s="1497"/>
      <c r="CE73" s="1497" t="s">
        <v>21</v>
      </c>
      <c r="CF73" s="460" t="s">
        <v>22</v>
      </c>
      <c r="CG73" s="1497">
        <v>208</v>
      </c>
      <c r="CH73" s="1498">
        <v>14.442307692307688</v>
      </c>
      <c r="CI73" s="1499">
        <v>12</v>
      </c>
      <c r="CJ73" s="1980">
        <f t="shared" si="24"/>
        <v>2.4423076923076881</v>
      </c>
    </row>
    <row r="74" spans="1:88">
      <c r="A74" s="105"/>
      <c r="B74" s="105"/>
      <c r="C74" s="41" t="s">
        <v>23</v>
      </c>
      <c r="D74" s="105">
        <v>12.21</v>
      </c>
      <c r="E74" s="105">
        <v>89</v>
      </c>
      <c r="F74" s="1431">
        <f t="shared" si="14"/>
        <v>0.21000000000000085</v>
      </c>
      <c r="G74" s="4591">
        <v>12</v>
      </c>
      <c r="I74" s="107"/>
      <c r="J74" s="107"/>
      <c r="K74" s="47" t="s">
        <v>23</v>
      </c>
      <c r="L74" s="107">
        <v>12.46</v>
      </c>
      <c r="M74" s="107">
        <v>84</v>
      </c>
      <c r="N74" s="1431">
        <f t="shared" si="15"/>
        <v>0.46000000000000085</v>
      </c>
      <c r="O74" s="4591">
        <v>12</v>
      </c>
      <c r="Q74" s="4243"/>
      <c r="R74" s="4243"/>
      <c r="S74" s="44" t="s">
        <v>23</v>
      </c>
      <c r="T74" s="4243">
        <v>12.9</v>
      </c>
      <c r="U74" s="4243">
        <v>82</v>
      </c>
      <c r="V74" s="4721">
        <f t="shared" si="16"/>
        <v>0.90000000000000036</v>
      </c>
      <c r="W74" s="4722">
        <v>12</v>
      </c>
      <c r="Y74" s="41"/>
      <c r="Z74" s="41"/>
      <c r="AA74" s="41" t="s">
        <v>23</v>
      </c>
      <c r="AB74" s="1495">
        <v>12.94</v>
      </c>
      <c r="AC74" s="105">
        <v>96</v>
      </c>
      <c r="AD74" s="1431">
        <f t="shared" si="17"/>
        <v>0.9399999999999995</v>
      </c>
      <c r="AE74" s="1499">
        <v>12</v>
      </c>
      <c r="AF74" s="2548"/>
      <c r="AG74" s="107"/>
      <c r="AH74" s="107"/>
      <c r="AI74" s="41" t="s">
        <v>23</v>
      </c>
      <c r="AJ74" s="105">
        <v>13.07</v>
      </c>
      <c r="AK74" s="105">
        <v>85</v>
      </c>
      <c r="AL74" s="1431">
        <f t="shared" si="18"/>
        <v>1.0700000000000003</v>
      </c>
      <c r="AN74" s="105"/>
      <c r="AO74" s="105"/>
      <c r="AP74" s="41" t="s">
        <v>23</v>
      </c>
      <c r="AQ74" s="1495">
        <v>12.95</v>
      </c>
      <c r="AR74" s="105">
        <v>124</v>
      </c>
      <c r="AS74" s="1485">
        <f t="shared" si="13"/>
        <v>0.94999999999999929</v>
      </c>
      <c r="AU74" s="817"/>
      <c r="AV74" s="817"/>
      <c r="AW74" s="1484" t="s">
        <v>23</v>
      </c>
      <c r="AX74" s="1415">
        <v>13.231578947368423</v>
      </c>
      <c r="AY74" s="1416">
        <v>95</v>
      </c>
      <c r="AZ74" s="1485">
        <f t="shared" si="19"/>
        <v>1.2315789473684227</v>
      </c>
      <c r="BB74" s="1486"/>
      <c r="BC74" s="1486"/>
      <c r="BD74" s="1487" t="s">
        <v>23</v>
      </c>
      <c r="BE74" s="1488">
        <v>121</v>
      </c>
      <c r="BF74" s="1489">
        <v>13.041322314049591</v>
      </c>
      <c r="BG74" s="1431">
        <f t="shared" si="20"/>
        <v>1.0413223140495909</v>
      </c>
      <c r="BI74" s="1490"/>
      <c r="BJ74" s="1490"/>
      <c r="BK74" s="1492" t="s">
        <v>23</v>
      </c>
      <c r="BL74" s="1493">
        <v>111</v>
      </c>
      <c r="BM74" s="1494">
        <v>13.549549549549541</v>
      </c>
      <c r="BN74" s="1491">
        <f t="shared" si="21"/>
        <v>1.5495495495495408</v>
      </c>
      <c r="BO74" s="41"/>
      <c r="BP74" s="1490"/>
      <c r="BQ74" s="1490"/>
      <c r="BR74" s="1492" t="s">
        <v>23</v>
      </c>
      <c r="BS74" s="1493">
        <v>94</v>
      </c>
      <c r="BT74" s="1494">
        <v>13.76595744680851</v>
      </c>
      <c r="BU74" s="1491">
        <f t="shared" si="22"/>
        <v>1.7659574468085104</v>
      </c>
      <c r="BV74" s="41"/>
      <c r="BW74" s="105"/>
      <c r="BX74" s="105"/>
      <c r="BY74" s="41" t="s">
        <v>23</v>
      </c>
      <c r="BZ74" s="105">
        <v>72</v>
      </c>
      <c r="CA74" s="1495">
        <v>13.541666666666666</v>
      </c>
      <c r="CB74" s="1496">
        <f t="shared" si="23"/>
        <v>1.5416666666666661</v>
      </c>
      <c r="CC74" s="41"/>
      <c r="CD74" s="1497"/>
      <c r="CE74" s="1497"/>
      <c r="CF74" s="460" t="s">
        <v>23</v>
      </c>
      <c r="CG74" s="1497">
        <v>92</v>
      </c>
      <c r="CH74" s="1498">
        <v>13.5</v>
      </c>
      <c r="CI74" s="1499">
        <v>12</v>
      </c>
      <c r="CJ74" s="1980">
        <f t="shared" si="24"/>
        <v>1.5</v>
      </c>
    </row>
    <row r="75" spans="1:88">
      <c r="A75" s="105"/>
      <c r="B75" s="105"/>
      <c r="C75" s="41" t="s">
        <v>24</v>
      </c>
      <c r="D75" s="105">
        <v>11.71</v>
      </c>
      <c r="E75" s="105">
        <v>69</v>
      </c>
      <c r="F75" s="1431">
        <f t="shared" si="14"/>
        <v>-0.28999999999999915</v>
      </c>
      <c r="G75" s="4591">
        <v>12</v>
      </c>
      <c r="I75" s="107"/>
      <c r="J75" s="107"/>
      <c r="K75" s="47" t="s">
        <v>24</v>
      </c>
      <c r="L75" s="107">
        <v>13.21</v>
      </c>
      <c r="M75" s="107">
        <v>94</v>
      </c>
      <c r="N75" s="1431">
        <f t="shared" si="15"/>
        <v>1.2100000000000009</v>
      </c>
      <c r="O75" s="4591">
        <v>12</v>
      </c>
      <c r="Q75" s="4243"/>
      <c r="R75" s="4243"/>
      <c r="S75" s="44" t="s">
        <v>24</v>
      </c>
      <c r="T75" s="4243">
        <v>13.63</v>
      </c>
      <c r="U75" s="4243">
        <v>94</v>
      </c>
      <c r="V75" s="4721">
        <f t="shared" si="16"/>
        <v>1.6300000000000008</v>
      </c>
      <c r="W75" s="4722">
        <v>12</v>
      </c>
      <c r="Y75" s="41"/>
      <c r="Z75" s="41"/>
      <c r="AA75" s="41" t="s">
        <v>24</v>
      </c>
      <c r="AB75" s="1495">
        <v>13.5</v>
      </c>
      <c r="AC75" s="105">
        <v>80</v>
      </c>
      <c r="AD75" s="1431">
        <f t="shared" si="17"/>
        <v>1.5</v>
      </c>
      <c r="AE75" s="1499">
        <v>12</v>
      </c>
      <c r="AF75" s="2548"/>
      <c r="AG75" s="107"/>
      <c r="AH75" s="107"/>
      <c r="AI75" s="41" t="s">
        <v>24</v>
      </c>
      <c r="AJ75" s="105">
        <v>13.93</v>
      </c>
      <c r="AK75" s="105">
        <v>91</v>
      </c>
      <c r="AL75" s="1431">
        <f t="shared" si="18"/>
        <v>1.9299999999999997</v>
      </c>
      <c r="AN75" s="105"/>
      <c r="AO75" s="105"/>
      <c r="AP75" s="41" t="s">
        <v>24</v>
      </c>
      <c r="AQ75" s="1495">
        <v>14.11</v>
      </c>
      <c r="AR75" s="105">
        <v>95</v>
      </c>
      <c r="AS75" s="1485">
        <f t="shared" si="13"/>
        <v>2.1099999999999994</v>
      </c>
      <c r="AU75" s="817"/>
      <c r="AV75" s="817"/>
      <c r="AW75" s="1484" t="s">
        <v>24</v>
      </c>
      <c r="AX75" s="1415">
        <v>13.694444444444443</v>
      </c>
      <c r="AY75" s="1416">
        <v>72</v>
      </c>
      <c r="AZ75" s="1485">
        <f t="shared" si="19"/>
        <v>1.6944444444444429</v>
      </c>
      <c r="BB75" s="1486"/>
      <c r="BC75" s="1486"/>
      <c r="BD75" s="1487" t="s">
        <v>24</v>
      </c>
      <c r="BE75" s="1488">
        <v>73</v>
      </c>
      <c r="BF75" s="1489">
        <v>13.602739726027401</v>
      </c>
      <c r="BG75" s="1431">
        <f t="shared" si="20"/>
        <v>1.6027397260274014</v>
      </c>
      <c r="BI75" s="1490"/>
      <c r="BJ75" s="1490"/>
      <c r="BK75" s="1492" t="s">
        <v>24</v>
      </c>
      <c r="BL75" s="1493">
        <v>76</v>
      </c>
      <c r="BM75" s="1494">
        <v>13.592105263157894</v>
      </c>
      <c r="BN75" s="1491">
        <f t="shared" si="21"/>
        <v>1.5921052631578938</v>
      </c>
      <c r="BO75" s="41"/>
      <c r="BP75" s="1490"/>
      <c r="BQ75" s="1490"/>
      <c r="BR75" s="1492" t="s">
        <v>24</v>
      </c>
      <c r="BS75" s="1493">
        <v>46</v>
      </c>
      <c r="BT75" s="1494">
        <v>13.978260869565217</v>
      </c>
      <c r="BU75" s="1491">
        <f t="shared" si="22"/>
        <v>1.9782608695652169</v>
      </c>
      <c r="BV75" s="41"/>
      <c r="BW75" s="105"/>
      <c r="BX75" s="105"/>
      <c r="BY75" s="41" t="s">
        <v>24</v>
      </c>
      <c r="BZ75" s="105">
        <v>75</v>
      </c>
      <c r="CA75" s="1495">
        <v>14.46666666666667</v>
      </c>
      <c r="CB75" s="1496">
        <f t="shared" si="23"/>
        <v>2.4666666666666703</v>
      </c>
      <c r="CC75" s="41"/>
      <c r="CD75" s="1497"/>
      <c r="CE75" s="1497"/>
      <c r="CF75" s="460" t="s">
        <v>24</v>
      </c>
      <c r="CG75" s="1497">
        <v>79</v>
      </c>
      <c r="CH75" s="1498">
        <v>14.050632911392409</v>
      </c>
      <c r="CI75" s="1499">
        <v>12</v>
      </c>
      <c r="CJ75" s="1980">
        <f t="shared" si="24"/>
        <v>2.0506329113924089</v>
      </c>
    </row>
    <row r="76" spans="1:88">
      <c r="A76" s="105"/>
      <c r="B76" s="105"/>
      <c r="C76" s="41" t="s">
        <v>58</v>
      </c>
      <c r="D76" s="105">
        <v>12.96</v>
      </c>
      <c r="E76" s="105">
        <v>70</v>
      </c>
      <c r="F76" s="1431">
        <f t="shared" si="14"/>
        <v>0.96000000000000085</v>
      </c>
      <c r="G76" s="4591">
        <v>12</v>
      </c>
      <c r="I76" s="107"/>
      <c r="J76" s="107"/>
      <c r="K76" s="47" t="s">
        <v>58</v>
      </c>
      <c r="L76" s="107">
        <v>13.22</v>
      </c>
      <c r="M76" s="107">
        <v>69</v>
      </c>
      <c r="N76" s="1431">
        <f t="shared" si="15"/>
        <v>1.2200000000000006</v>
      </c>
      <c r="O76" s="4591">
        <v>12</v>
      </c>
      <c r="Q76" s="4243"/>
      <c r="R76" s="4243"/>
      <c r="S76" s="44" t="s">
        <v>58</v>
      </c>
      <c r="T76" s="4243">
        <v>13.22</v>
      </c>
      <c r="U76" s="4243">
        <v>69</v>
      </c>
      <c r="V76" s="4721">
        <f t="shared" si="16"/>
        <v>1.2200000000000006</v>
      </c>
      <c r="W76" s="4722">
        <v>12</v>
      </c>
      <c r="Y76" s="41"/>
      <c r="Z76" s="41"/>
      <c r="AA76" s="41" t="s">
        <v>58</v>
      </c>
      <c r="AB76" s="1495">
        <v>13.3</v>
      </c>
      <c r="AC76" s="105">
        <v>61</v>
      </c>
      <c r="AD76" s="1431">
        <f t="shared" si="17"/>
        <v>1.3000000000000007</v>
      </c>
      <c r="AE76" s="1499">
        <v>12</v>
      </c>
      <c r="AF76" s="2548"/>
      <c r="AG76" s="107"/>
      <c r="AH76" s="107"/>
      <c r="AI76" s="41" t="s">
        <v>58</v>
      </c>
      <c r="AJ76" s="105">
        <v>12.92</v>
      </c>
      <c r="AK76" s="105">
        <v>63</v>
      </c>
      <c r="AL76" s="1431">
        <f t="shared" si="18"/>
        <v>0.91999999999999993</v>
      </c>
      <c r="AN76" s="105"/>
      <c r="AO76" s="105"/>
      <c r="AP76" s="41" t="s">
        <v>58</v>
      </c>
      <c r="AQ76" s="1495">
        <v>13.96</v>
      </c>
      <c r="AR76" s="105">
        <v>84</v>
      </c>
      <c r="AS76" s="1485">
        <f t="shared" si="13"/>
        <v>1.9600000000000009</v>
      </c>
      <c r="AU76" s="817"/>
      <c r="AV76" s="817"/>
      <c r="AW76" s="1484" t="s">
        <v>58</v>
      </c>
      <c r="AX76" s="1415">
        <v>14.109589041095889</v>
      </c>
      <c r="AY76" s="1416">
        <v>73</v>
      </c>
      <c r="AZ76" s="1485">
        <f t="shared" si="19"/>
        <v>2.1095890410958891</v>
      </c>
      <c r="BB76" s="1486"/>
      <c r="BC76" s="1486"/>
      <c r="BD76" s="1487" t="s">
        <v>58</v>
      </c>
      <c r="BE76" s="1488">
        <v>50</v>
      </c>
      <c r="BF76" s="1489">
        <v>12.960000000000003</v>
      </c>
      <c r="BG76" s="1431">
        <f t="shared" si="20"/>
        <v>0.96000000000000263</v>
      </c>
      <c r="BI76" s="1490"/>
      <c r="BJ76" s="1490"/>
      <c r="BK76" s="1492" t="s">
        <v>58</v>
      </c>
      <c r="BL76" s="1493">
        <v>79</v>
      </c>
      <c r="BM76" s="1494">
        <v>13.873417721518987</v>
      </c>
      <c r="BN76" s="1491">
        <f t="shared" si="21"/>
        <v>1.8734177215189867</v>
      </c>
      <c r="BO76" s="41"/>
      <c r="BP76" s="1490"/>
      <c r="BQ76" s="1490"/>
      <c r="BR76" s="1492" t="s">
        <v>58</v>
      </c>
      <c r="BS76" s="1493">
        <v>51</v>
      </c>
      <c r="BT76" s="1494">
        <v>14.019607843137257</v>
      </c>
      <c r="BU76" s="1491">
        <f t="shared" si="22"/>
        <v>2.0196078431372566</v>
      </c>
      <c r="BV76" s="41"/>
      <c r="BW76" s="105"/>
      <c r="BX76" s="105"/>
      <c r="BY76" s="41" t="s">
        <v>58</v>
      </c>
      <c r="BZ76" s="105">
        <v>41</v>
      </c>
      <c r="CA76" s="1495">
        <v>13.560975609756099</v>
      </c>
      <c r="CB76" s="1496">
        <f t="shared" si="23"/>
        <v>1.5609756097560989</v>
      </c>
      <c r="CC76" s="41"/>
      <c r="CD76" s="1497"/>
      <c r="CE76" s="1497"/>
      <c r="CF76" s="460" t="s">
        <v>58</v>
      </c>
      <c r="CG76" s="1497">
        <v>66</v>
      </c>
      <c r="CH76" s="1498">
        <v>13.515151515151514</v>
      </c>
      <c r="CI76" s="1499">
        <v>12</v>
      </c>
      <c r="CJ76" s="1980">
        <f t="shared" si="24"/>
        <v>1.5151515151515138</v>
      </c>
    </row>
    <row r="77" spans="1:88">
      <c r="A77" s="105"/>
      <c r="B77" s="105"/>
      <c r="C77" s="461" t="s">
        <v>546</v>
      </c>
      <c r="D77" s="5483">
        <v>12.66</v>
      </c>
      <c r="E77" s="5483">
        <v>403</v>
      </c>
      <c r="F77" s="1989">
        <f t="shared" si="14"/>
        <v>0.66000000000000014</v>
      </c>
      <c r="G77" s="4591">
        <v>12</v>
      </c>
      <c r="I77" s="107"/>
      <c r="J77" s="107"/>
      <c r="K77" s="968" t="s">
        <v>546</v>
      </c>
      <c r="L77" s="145">
        <v>13.36</v>
      </c>
      <c r="M77" s="145">
        <v>427</v>
      </c>
      <c r="N77" s="1989">
        <f t="shared" si="15"/>
        <v>1.3599999999999994</v>
      </c>
      <c r="O77" s="4591">
        <v>12</v>
      </c>
      <c r="Q77" s="4243"/>
      <c r="R77" s="4243"/>
      <c r="S77" s="4716" t="s">
        <v>546</v>
      </c>
      <c r="T77" s="4723">
        <v>13.68</v>
      </c>
      <c r="U77" s="4723">
        <v>419</v>
      </c>
      <c r="V77" s="4724">
        <f t="shared" si="16"/>
        <v>1.6799999999999997</v>
      </c>
      <c r="W77" s="4722">
        <v>12</v>
      </c>
      <c r="Y77" s="41"/>
      <c r="Z77" s="41"/>
      <c r="AA77" s="461" t="s">
        <v>546</v>
      </c>
      <c r="AB77" s="1510">
        <v>13.56</v>
      </c>
      <c r="AC77" s="2453">
        <v>437</v>
      </c>
      <c r="AD77" s="1989">
        <f t="shared" si="17"/>
        <v>1.5600000000000005</v>
      </c>
      <c r="AE77" s="1499">
        <v>12</v>
      </c>
      <c r="AF77" s="2548"/>
      <c r="AG77" s="107"/>
      <c r="AH77" s="107"/>
      <c r="AI77" s="461" t="s">
        <v>546</v>
      </c>
      <c r="AJ77" s="96">
        <v>13.53</v>
      </c>
      <c r="AK77" s="96">
        <v>400</v>
      </c>
      <c r="AL77" s="1989">
        <f t="shared" si="18"/>
        <v>1.5299999999999994</v>
      </c>
      <c r="AN77" s="105"/>
      <c r="AO77" s="105"/>
      <c r="AP77" s="461" t="s">
        <v>546</v>
      </c>
      <c r="AQ77" s="1510">
        <v>13.75</v>
      </c>
      <c r="AR77" s="96">
        <v>448</v>
      </c>
      <c r="AS77" s="1655">
        <f t="shared" si="13"/>
        <v>1.75</v>
      </c>
      <c r="AU77" s="817"/>
      <c r="AV77" s="817"/>
      <c r="AW77" s="1500" t="s">
        <v>546</v>
      </c>
      <c r="AX77" s="1501">
        <v>13.686274509803924</v>
      </c>
      <c r="AY77" s="1502">
        <v>408</v>
      </c>
      <c r="AZ77" s="1485">
        <f t="shared" si="19"/>
        <v>1.6862745098039245</v>
      </c>
      <c r="BB77" s="1486"/>
      <c r="BC77" s="1486"/>
      <c r="BD77" s="1503" t="s">
        <v>546</v>
      </c>
      <c r="BE77" s="1504">
        <v>453</v>
      </c>
      <c r="BF77" s="1505">
        <v>13.666666666666671</v>
      </c>
      <c r="BG77" s="1431">
        <f t="shared" si="20"/>
        <v>1.6666666666666714</v>
      </c>
      <c r="BI77" s="1490"/>
      <c r="BJ77" s="1490"/>
      <c r="BK77" s="1506" t="s">
        <v>546</v>
      </c>
      <c r="BL77" s="1507">
        <f>SUM(BL73:BL76)</f>
        <v>436</v>
      </c>
      <c r="BM77" s="1508">
        <v>13.862385321100916</v>
      </c>
      <c r="BN77" s="1509">
        <f t="shared" si="21"/>
        <v>1.8623853211009163</v>
      </c>
      <c r="BO77" s="41"/>
      <c r="BP77" s="1490"/>
      <c r="BQ77" s="1490"/>
      <c r="BR77" s="1506" t="s">
        <v>546</v>
      </c>
      <c r="BS77" s="1507">
        <v>372</v>
      </c>
      <c r="BT77" s="1508">
        <v>14.083333333333334</v>
      </c>
      <c r="BU77" s="1509">
        <f t="shared" si="22"/>
        <v>2.0833333333333339</v>
      </c>
      <c r="BV77" s="41"/>
      <c r="BW77" s="105"/>
      <c r="BX77" s="105"/>
      <c r="BY77" s="461" t="s">
        <v>15</v>
      </c>
      <c r="BZ77" s="96">
        <v>377</v>
      </c>
      <c r="CA77" s="1510">
        <v>14.305039787798409</v>
      </c>
      <c r="CB77" s="1511">
        <f t="shared" si="23"/>
        <v>2.3050397877984086</v>
      </c>
      <c r="CC77" s="41"/>
      <c r="CD77" s="1497"/>
      <c r="CE77" s="1497"/>
      <c r="CF77" s="1512" t="s">
        <v>15</v>
      </c>
      <c r="CG77" s="1513">
        <v>445</v>
      </c>
      <c r="CH77" s="1514">
        <v>14.040449438202241</v>
      </c>
      <c r="CI77" s="1499">
        <v>12</v>
      </c>
      <c r="CJ77" s="1981">
        <f t="shared" si="24"/>
        <v>2.0404494382022413</v>
      </c>
    </row>
    <row r="78" spans="1:88">
      <c r="A78" s="105"/>
      <c r="B78" s="105"/>
      <c r="C78" s="5488" t="s">
        <v>442</v>
      </c>
      <c r="D78" s="5489">
        <v>12.79</v>
      </c>
      <c r="E78" s="5489">
        <v>2142</v>
      </c>
      <c r="F78" s="1990">
        <f t="shared" si="14"/>
        <v>0.78999999999999915</v>
      </c>
      <c r="G78" s="4594">
        <v>12</v>
      </c>
      <c r="I78" s="107"/>
      <c r="J78" s="107"/>
      <c r="K78" s="4592" t="s">
        <v>442</v>
      </c>
      <c r="L78" s="4593">
        <v>13.53</v>
      </c>
      <c r="M78" s="4593">
        <v>2243</v>
      </c>
      <c r="N78" s="1990">
        <f t="shared" si="15"/>
        <v>1.5299999999999994</v>
      </c>
      <c r="O78" s="4594">
        <v>12</v>
      </c>
      <c r="Q78" s="4243"/>
      <c r="R78" s="4243"/>
      <c r="S78" s="4725" t="s">
        <v>442</v>
      </c>
      <c r="T78" s="4726">
        <v>13.72</v>
      </c>
      <c r="U78" s="4726">
        <v>1999</v>
      </c>
      <c r="V78" s="4727">
        <f t="shared" si="16"/>
        <v>1.7200000000000006</v>
      </c>
      <c r="W78" s="4728">
        <v>12</v>
      </c>
      <c r="Y78" s="2460"/>
      <c r="Z78" s="2460"/>
      <c r="AA78" s="2461" t="s">
        <v>442</v>
      </c>
      <c r="AB78" s="2462">
        <v>13.92</v>
      </c>
      <c r="AC78" s="2463">
        <v>2394</v>
      </c>
      <c r="AD78" s="1990">
        <f t="shared" si="17"/>
        <v>1.92</v>
      </c>
      <c r="AE78" s="1530">
        <v>12</v>
      </c>
      <c r="AF78" s="2548"/>
      <c r="AG78" s="1676"/>
      <c r="AH78" s="1676"/>
      <c r="AI78" s="1652" t="s">
        <v>442</v>
      </c>
      <c r="AJ78" s="1654">
        <v>13.76</v>
      </c>
      <c r="AK78" s="1654">
        <v>2281</v>
      </c>
      <c r="AL78" s="1990">
        <f t="shared" si="18"/>
        <v>1.7599999999999998</v>
      </c>
      <c r="AN78" s="1657"/>
      <c r="AO78" s="1657"/>
      <c r="AP78" s="1652" t="s">
        <v>442</v>
      </c>
      <c r="AQ78" s="1653">
        <v>13.71</v>
      </c>
      <c r="AR78" s="1654">
        <v>2383</v>
      </c>
      <c r="AS78" s="1656">
        <f t="shared" si="13"/>
        <v>1.7100000000000009</v>
      </c>
      <c r="AU78" s="817"/>
      <c r="AV78" s="817"/>
      <c r="AW78" s="1500" t="s">
        <v>442</v>
      </c>
      <c r="AX78" s="1501">
        <v>13.775423728813557</v>
      </c>
      <c r="AY78" s="1502">
        <v>2360</v>
      </c>
      <c r="AZ78" s="1515">
        <f t="shared" si="19"/>
        <v>1.775423728813557</v>
      </c>
      <c r="BB78" s="1516"/>
      <c r="BC78" s="1516"/>
      <c r="BD78" s="1517" t="s">
        <v>442</v>
      </c>
      <c r="BE78" s="1518">
        <v>2388</v>
      </c>
      <c r="BF78" s="1519">
        <v>13.662060301507545</v>
      </c>
      <c r="BG78" s="1520">
        <f t="shared" si="20"/>
        <v>1.6620603015075446</v>
      </c>
      <c r="BI78" s="1490"/>
      <c r="BJ78" s="1490"/>
      <c r="BK78" s="1506" t="s">
        <v>442</v>
      </c>
      <c r="BL78" s="1539">
        <f>SUM(BL77,BL72,BL63)</f>
        <v>2491</v>
      </c>
      <c r="BM78" s="1540">
        <v>13.8</v>
      </c>
      <c r="BN78" s="1509">
        <f t="shared" si="21"/>
        <v>1.8000000000000007</v>
      </c>
      <c r="BO78" s="41"/>
      <c r="BP78" s="1490"/>
      <c r="BQ78" s="1490"/>
      <c r="BR78" s="1506" t="s">
        <v>442</v>
      </c>
      <c r="BS78" s="1507">
        <v>2351</v>
      </c>
      <c r="BT78" s="1508">
        <v>13.748617609527864</v>
      </c>
      <c r="BU78" s="1509">
        <f t="shared" si="22"/>
        <v>1.748617609527864</v>
      </c>
      <c r="BV78" s="41"/>
      <c r="BW78" s="1521"/>
      <c r="BX78" s="1521"/>
      <c r="BY78" s="1522" t="s">
        <v>442</v>
      </c>
      <c r="BZ78" s="1523">
        <v>2353</v>
      </c>
      <c r="CA78" s="1524">
        <v>13.886527836804103</v>
      </c>
      <c r="CB78" s="1525">
        <f t="shared" si="23"/>
        <v>1.8865278368041025</v>
      </c>
      <c r="CC78" s="41"/>
      <c r="CD78" s="1526"/>
      <c r="CE78" s="1526"/>
      <c r="CF78" s="1527" t="s">
        <v>442</v>
      </c>
      <c r="CG78" s="1528">
        <v>2520</v>
      </c>
      <c r="CH78" s="1529">
        <v>13.781349206349185</v>
      </c>
      <c r="CI78" s="1530">
        <v>12</v>
      </c>
      <c r="CJ78" s="1982">
        <f t="shared" si="24"/>
        <v>1.7813492063491854</v>
      </c>
    </row>
    <row r="79" spans="1:88">
      <c r="A79" s="105" t="s">
        <v>59</v>
      </c>
      <c r="B79" s="105" t="s">
        <v>16</v>
      </c>
      <c r="C79" s="41" t="s">
        <v>17</v>
      </c>
      <c r="D79" s="105">
        <v>14.8</v>
      </c>
      <c r="E79" s="105">
        <v>5</v>
      </c>
      <c r="F79" s="1431">
        <f t="shared" si="14"/>
        <v>2.8000000000000007</v>
      </c>
      <c r="G79" s="4591">
        <v>12</v>
      </c>
      <c r="I79" s="107" t="s">
        <v>59</v>
      </c>
      <c r="J79" s="107" t="s">
        <v>16</v>
      </c>
      <c r="K79" s="47" t="s">
        <v>17</v>
      </c>
      <c r="L79" s="107">
        <v>13.28</v>
      </c>
      <c r="M79" s="107">
        <v>40</v>
      </c>
      <c r="N79" s="1431">
        <f t="shared" si="15"/>
        <v>1.2799999999999994</v>
      </c>
      <c r="O79" s="4591">
        <v>12</v>
      </c>
      <c r="Q79" s="4243" t="s">
        <v>59</v>
      </c>
      <c r="R79" s="4243" t="s">
        <v>16</v>
      </c>
      <c r="S79" s="44" t="s">
        <v>17</v>
      </c>
      <c r="T79" s="4243">
        <v>12.97</v>
      </c>
      <c r="U79" s="4243">
        <v>36</v>
      </c>
      <c r="V79" s="4721">
        <f t="shared" si="16"/>
        <v>0.97000000000000064</v>
      </c>
      <c r="W79" s="4722">
        <v>12</v>
      </c>
      <c r="Y79" s="41" t="s">
        <v>59</v>
      </c>
      <c r="Z79" s="41" t="s">
        <v>16</v>
      </c>
      <c r="AA79" s="41" t="s">
        <v>17</v>
      </c>
      <c r="AB79" s="1495">
        <v>13.05</v>
      </c>
      <c r="AC79" s="105">
        <v>40</v>
      </c>
      <c r="AD79" s="1431">
        <f t="shared" si="17"/>
        <v>1.0500000000000007</v>
      </c>
      <c r="AE79" s="1499">
        <v>12</v>
      </c>
      <c r="AF79" s="2548"/>
      <c r="AG79" s="107" t="s">
        <v>59</v>
      </c>
      <c r="AH79" s="107" t="s">
        <v>16</v>
      </c>
      <c r="AI79" s="41" t="s">
        <v>17</v>
      </c>
      <c r="AJ79" s="105">
        <v>14.22</v>
      </c>
      <c r="AK79" s="105">
        <v>18</v>
      </c>
      <c r="AL79" s="1431">
        <f t="shared" si="18"/>
        <v>2.2200000000000006</v>
      </c>
      <c r="AN79" s="105" t="s">
        <v>59</v>
      </c>
      <c r="AO79" s="105" t="s">
        <v>16</v>
      </c>
      <c r="AP79" s="41" t="s">
        <v>17</v>
      </c>
      <c r="AQ79" s="1495">
        <v>13.45</v>
      </c>
      <c r="AR79" s="105">
        <v>22</v>
      </c>
      <c r="AS79" s="1485">
        <f t="shared" si="13"/>
        <v>1.4499999999999993</v>
      </c>
      <c r="AU79" s="1404" t="s">
        <v>59</v>
      </c>
      <c r="AV79" s="1404" t="s">
        <v>16</v>
      </c>
      <c r="AW79" s="1531" t="s">
        <v>17</v>
      </c>
      <c r="AX79" s="1532">
        <v>14.733333333333333</v>
      </c>
      <c r="AY79" s="1533">
        <v>15</v>
      </c>
      <c r="AZ79" s="1485">
        <f t="shared" si="19"/>
        <v>2.7333333333333325</v>
      </c>
      <c r="BB79" s="1486" t="s">
        <v>59</v>
      </c>
      <c r="BC79" s="1486" t="s">
        <v>16</v>
      </c>
      <c r="BD79" s="1487" t="s">
        <v>17</v>
      </c>
      <c r="BE79" s="1488">
        <v>24</v>
      </c>
      <c r="BF79" s="1489">
        <v>14.958333333333334</v>
      </c>
      <c r="BG79" s="1431">
        <f t="shared" si="20"/>
        <v>2.9583333333333339</v>
      </c>
      <c r="BI79" s="1534" t="s">
        <v>59</v>
      </c>
      <c r="BJ79" s="1534" t="s">
        <v>16</v>
      </c>
      <c r="BK79" s="1535" t="s">
        <v>17</v>
      </c>
      <c r="BL79" s="458">
        <v>32</v>
      </c>
      <c r="BM79" s="459">
        <v>14.343749999999998</v>
      </c>
      <c r="BN79" s="1538">
        <f t="shared" si="21"/>
        <v>2.3437499999999982</v>
      </c>
      <c r="BO79" s="41"/>
      <c r="BP79" s="1534" t="s">
        <v>59</v>
      </c>
      <c r="BQ79" s="1534" t="s">
        <v>16</v>
      </c>
      <c r="BR79" s="1535" t="s">
        <v>17</v>
      </c>
      <c r="BS79" s="1536">
        <v>30</v>
      </c>
      <c r="BT79" s="1537">
        <v>12.933333333333335</v>
      </c>
      <c r="BU79" s="1538">
        <f t="shared" si="22"/>
        <v>0.93333333333333535</v>
      </c>
      <c r="BV79" s="41"/>
      <c r="BW79" s="105" t="s">
        <v>59</v>
      </c>
      <c r="BX79" s="105" t="s">
        <v>16</v>
      </c>
      <c r="BY79" s="41" t="s">
        <v>17</v>
      </c>
      <c r="BZ79" s="105">
        <v>40</v>
      </c>
      <c r="CA79" s="1495">
        <v>13.2</v>
      </c>
      <c r="CB79" s="1496">
        <f t="shared" si="23"/>
        <v>1.1999999999999993</v>
      </c>
      <c r="CC79" s="41"/>
      <c r="CD79" s="1497" t="s">
        <v>59</v>
      </c>
      <c r="CE79" s="1497" t="s">
        <v>16</v>
      </c>
      <c r="CF79" s="460" t="s">
        <v>17</v>
      </c>
      <c r="CG79" s="1497">
        <v>24</v>
      </c>
      <c r="CH79" s="1498">
        <v>13.333333333333336</v>
      </c>
      <c r="CI79" s="1499">
        <v>12</v>
      </c>
      <c r="CJ79" s="1980">
        <f t="shared" si="24"/>
        <v>1.3333333333333357</v>
      </c>
    </row>
    <row r="80" spans="1:88">
      <c r="A80" s="105"/>
      <c r="B80" s="105"/>
      <c r="C80" s="41" t="s">
        <v>18</v>
      </c>
      <c r="D80" s="105"/>
      <c r="E80" s="105"/>
      <c r="F80" s="1431"/>
      <c r="G80" s="4591">
        <v>12</v>
      </c>
      <c r="I80" s="107"/>
      <c r="J80" s="107"/>
      <c r="K80" s="4604" t="s">
        <v>18</v>
      </c>
      <c r="L80" s="107">
        <v>12.08</v>
      </c>
      <c r="M80" s="107">
        <v>13</v>
      </c>
      <c r="N80" s="1431">
        <f>L80-O80</f>
        <v>8.0000000000000071E-2</v>
      </c>
      <c r="O80" s="4591">
        <v>12</v>
      </c>
      <c r="Q80" s="4243"/>
      <c r="R80" s="4243"/>
      <c r="S80" s="4729" t="s">
        <v>18</v>
      </c>
      <c r="T80" s="4243">
        <v>12.11</v>
      </c>
      <c r="U80" s="4243">
        <v>9</v>
      </c>
      <c r="V80" s="4721">
        <f>T80-W80</f>
        <v>1.1099999999999994</v>
      </c>
      <c r="W80" s="4722">
        <v>11</v>
      </c>
      <c r="Y80" s="41"/>
      <c r="Z80" s="41"/>
      <c r="AA80" s="41" t="s">
        <v>60</v>
      </c>
      <c r="AB80" s="1495">
        <v>15.17</v>
      </c>
      <c r="AC80" s="105">
        <v>12</v>
      </c>
      <c r="AD80" s="1431">
        <f t="shared" si="17"/>
        <v>3.17</v>
      </c>
      <c r="AE80" s="1499">
        <v>12</v>
      </c>
      <c r="AF80" s="2548"/>
      <c r="AG80" s="107"/>
      <c r="AH80" s="107"/>
      <c r="AI80" s="41" t="s">
        <v>60</v>
      </c>
      <c r="AJ80" s="105">
        <v>14.45</v>
      </c>
      <c r="AK80" s="105">
        <v>11</v>
      </c>
      <c r="AL80" s="1431">
        <f t="shared" si="18"/>
        <v>2.4499999999999993</v>
      </c>
      <c r="AN80" s="105"/>
      <c r="AO80" s="105"/>
      <c r="AP80" s="41" t="s">
        <v>60</v>
      </c>
      <c r="AQ80" s="1495">
        <v>16.329999999999998</v>
      </c>
      <c r="AR80" s="105">
        <v>3</v>
      </c>
      <c r="AS80" s="1485">
        <f t="shared" si="13"/>
        <v>4.3299999999999983</v>
      </c>
      <c r="AU80" s="817"/>
      <c r="AV80" s="817"/>
      <c r="AW80" s="1484" t="s">
        <v>60</v>
      </c>
      <c r="AX80" s="1415">
        <v>13.5</v>
      </c>
      <c r="AY80" s="1416">
        <v>2</v>
      </c>
      <c r="AZ80" s="1485">
        <f t="shared" si="19"/>
        <v>1.5</v>
      </c>
      <c r="BB80" s="1486"/>
      <c r="BC80" s="1486"/>
      <c r="BD80" s="1487" t="s">
        <v>60</v>
      </c>
      <c r="BE80" s="1488">
        <v>4</v>
      </c>
      <c r="BF80" s="1489">
        <v>12.75</v>
      </c>
      <c r="BG80" s="1431">
        <f t="shared" si="20"/>
        <v>0.75</v>
      </c>
      <c r="BI80" s="1490"/>
      <c r="BJ80" s="1490"/>
      <c r="BK80" s="1492" t="s">
        <v>60</v>
      </c>
      <c r="BL80" s="458">
        <v>4</v>
      </c>
      <c r="BM80" s="459">
        <v>14.25</v>
      </c>
      <c r="BN80" s="1491">
        <f t="shared" si="21"/>
        <v>2.25</v>
      </c>
      <c r="BO80" s="41"/>
      <c r="BP80" s="1490"/>
      <c r="BQ80" s="1490"/>
      <c r="BR80" s="1492" t="s">
        <v>60</v>
      </c>
      <c r="BS80" s="1493">
        <v>17</v>
      </c>
      <c r="BT80" s="1494">
        <v>12.529411764705882</v>
      </c>
      <c r="BU80" s="1491">
        <f t="shared" si="22"/>
        <v>0.52941176470588225</v>
      </c>
      <c r="BV80" s="41"/>
      <c r="BW80" s="105"/>
      <c r="BX80" s="105"/>
      <c r="BY80" s="41" t="s">
        <v>60</v>
      </c>
      <c r="BZ80" s="105">
        <v>8</v>
      </c>
      <c r="CA80" s="1495">
        <v>12.125</v>
      </c>
      <c r="CB80" s="1496">
        <f t="shared" si="23"/>
        <v>0.125</v>
      </c>
      <c r="CC80" s="41"/>
      <c r="CD80" s="1497"/>
      <c r="CE80" s="1497"/>
      <c r="CF80" s="460" t="s">
        <v>18</v>
      </c>
      <c r="CG80" s="1497">
        <v>4</v>
      </c>
      <c r="CH80" s="1498">
        <v>14.75</v>
      </c>
      <c r="CI80" s="1499">
        <v>12</v>
      </c>
      <c r="CJ80" s="1980">
        <f t="shared" si="24"/>
        <v>2.75</v>
      </c>
    </row>
    <row r="81" spans="1:88">
      <c r="A81" s="105"/>
      <c r="B81" s="105"/>
      <c r="C81" s="41" t="s">
        <v>60</v>
      </c>
      <c r="D81" s="105">
        <v>16.079999999999998</v>
      </c>
      <c r="E81" s="105">
        <v>12</v>
      </c>
      <c r="F81" s="1431">
        <f>D81-G81</f>
        <v>4.0799999999999983</v>
      </c>
      <c r="G81" s="4591">
        <v>12</v>
      </c>
      <c r="I81" s="107"/>
      <c r="J81" s="107"/>
      <c r="K81" s="47" t="s">
        <v>60</v>
      </c>
      <c r="L81" s="107">
        <v>15.42</v>
      </c>
      <c r="M81" s="107">
        <v>24</v>
      </c>
      <c r="N81" s="1431">
        <f t="shared" ref="N81:N93" si="25">L81-O81</f>
        <v>3.42</v>
      </c>
      <c r="O81" s="4591">
        <v>12</v>
      </c>
      <c r="Q81" s="4243"/>
      <c r="R81" s="4243"/>
      <c r="S81" s="44" t="s">
        <v>60</v>
      </c>
      <c r="T81" s="4243">
        <v>14.93</v>
      </c>
      <c r="U81" s="4243">
        <v>14</v>
      </c>
      <c r="V81" s="4721">
        <f t="shared" ref="V81:V93" si="26">T81-W81</f>
        <v>2.9299999999999997</v>
      </c>
      <c r="W81" s="4722">
        <v>12</v>
      </c>
      <c r="Y81" s="41"/>
      <c r="Z81" s="41"/>
      <c r="AA81" s="41" t="s">
        <v>413</v>
      </c>
      <c r="AB81" s="1495">
        <v>17.29</v>
      </c>
      <c r="AC81" s="105">
        <v>7</v>
      </c>
      <c r="AD81" s="1431">
        <f t="shared" si="17"/>
        <v>5.2899999999999991</v>
      </c>
      <c r="AE81" s="1499">
        <v>12</v>
      </c>
      <c r="AG81" s="107"/>
      <c r="AH81" s="107"/>
      <c r="AI81" s="41" t="s">
        <v>413</v>
      </c>
      <c r="AJ81" s="105">
        <v>18.71</v>
      </c>
      <c r="AK81" s="105">
        <v>7</v>
      </c>
      <c r="AL81" s="1431">
        <f t="shared" si="18"/>
        <v>6.7100000000000009</v>
      </c>
      <c r="AN81" s="105"/>
      <c r="AO81" s="105"/>
      <c r="AP81" s="41" t="s">
        <v>413</v>
      </c>
      <c r="AQ81" s="1495">
        <v>16.86</v>
      </c>
      <c r="AR81" s="105">
        <v>7</v>
      </c>
      <c r="AS81" s="1485">
        <f t="shared" si="13"/>
        <v>4.8599999999999994</v>
      </c>
      <c r="AU81" s="817"/>
      <c r="AV81" s="817"/>
      <c r="AW81" s="1484" t="s">
        <v>413</v>
      </c>
      <c r="AX81" s="1415">
        <v>16.09090909090909</v>
      </c>
      <c r="AY81" s="1416">
        <v>11</v>
      </c>
      <c r="AZ81" s="1485">
        <f t="shared" si="19"/>
        <v>4.0909090909090899</v>
      </c>
      <c r="BB81" s="1486"/>
      <c r="BC81" s="1486"/>
      <c r="BD81" s="1487" t="s">
        <v>413</v>
      </c>
      <c r="BE81" s="1488">
        <v>3</v>
      </c>
      <c r="BF81" s="1489">
        <v>14</v>
      </c>
      <c r="BG81" s="1431">
        <f t="shared" si="20"/>
        <v>2</v>
      </c>
      <c r="BI81" s="1490"/>
      <c r="BJ81" s="1490"/>
      <c r="BK81" s="1492" t="s">
        <v>413</v>
      </c>
      <c r="BL81" s="458">
        <v>7</v>
      </c>
      <c r="BM81" s="459">
        <v>15.142857142857142</v>
      </c>
      <c r="BN81" s="1491">
        <f t="shared" si="21"/>
        <v>3.1428571428571423</v>
      </c>
      <c r="BO81" s="41"/>
      <c r="BP81" s="1490"/>
      <c r="BQ81" s="1490"/>
      <c r="BR81" s="1492" t="s">
        <v>413</v>
      </c>
      <c r="BS81" s="1493">
        <v>7</v>
      </c>
      <c r="BT81" s="1494">
        <v>14.285714285714286</v>
      </c>
      <c r="BU81" s="1491">
        <f t="shared" si="22"/>
        <v>2.2857142857142865</v>
      </c>
      <c r="BV81" s="41"/>
      <c r="BW81" s="105"/>
      <c r="BX81" s="105"/>
      <c r="BY81" s="41" t="s">
        <v>413</v>
      </c>
      <c r="BZ81" s="105">
        <v>3</v>
      </c>
      <c r="CA81" s="1495">
        <v>12.666666666666666</v>
      </c>
      <c r="CB81" s="1496">
        <f t="shared" si="23"/>
        <v>0.66666666666666607</v>
      </c>
      <c r="CC81" s="41"/>
      <c r="CD81" s="1497"/>
      <c r="CE81" s="1497"/>
      <c r="CF81" s="460"/>
      <c r="CG81" s="1497"/>
      <c r="CH81" s="1498"/>
      <c r="CI81" s="1499">
        <v>12</v>
      </c>
      <c r="CJ81" s="1980"/>
    </row>
    <row r="82" spans="1:88">
      <c r="A82" s="105"/>
      <c r="B82" s="105"/>
      <c r="C82" s="41" t="s">
        <v>413</v>
      </c>
      <c r="D82" s="105">
        <v>16.5</v>
      </c>
      <c r="E82" s="105">
        <v>6</v>
      </c>
      <c r="F82" s="1431">
        <f t="shared" ref="F82:F94" si="27">D82-G82</f>
        <v>4.5</v>
      </c>
      <c r="G82" s="4591">
        <v>12</v>
      </c>
      <c r="I82" s="107"/>
      <c r="J82" s="107"/>
      <c r="K82" s="47" t="s">
        <v>413</v>
      </c>
      <c r="L82" s="107">
        <v>17.170000000000002</v>
      </c>
      <c r="M82" s="107">
        <v>12</v>
      </c>
      <c r="N82" s="1431">
        <f t="shared" si="25"/>
        <v>5.1700000000000017</v>
      </c>
      <c r="O82" s="4591">
        <v>12</v>
      </c>
      <c r="Q82" s="4243"/>
      <c r="R82" s="4243"/>
      <c r="S82" s="44" t="s">
        <v>413</v>
      </c>
      <c r="T82" s="4243">
        <v>17.22</v>
      </c>
      <c r="U82" s="4243">
        <v>9</v>
      </c>
      <c r="V82" s="4721">
        <f t="shared" si="26"/>
        <v>5.2199999999999989</v>
      </c>
      <c r="W82" s="4722">
        <v>12</v>
      </c>
      <c r="Y82" s="41"/>
      <c r="Z82" s="41"/>
      <c r="AA82" s="461" t="s">
        <v>545</v>
      </c>
      <c r="AB82" s="1510">
        <v>13.98</v>
      </c>
      <c r="AC82" s="2453">
        <v>59</v>
      </c>
      <c r="AD82" s="1989">
        <f t="shared" si="17"/>
        <v>1.9800000000000004</v>
      </c>
      <c r="AE82" s="1499">
        <v>12</v>
      </c>
      <c r="AG82" s="107"/>
      <c r="AH82" s="107"/>
      <c r="AI82" s="461" t="s">
        <v>545</v>
      </c>
      <c r="AJ82" s="96">
        <v>15.17</v>
      </c>
      <c r="AK82" s="96">
        <v>36</v>
      </c>
      <c r="AL82" s="1989">
        <f t="shared" si="18"/>
        <v>3.17</v>
      </c>
      <c r="AN82" s="105"/>
      <c r="AO82" s="105"/>
      <c r="AP82" s="461" t="s">
        <v>545</v>
      </c>
      <c r="AQ82" s="1510">
        <v>14.47</v>
      </c>
      <c r="AR82" s="96">
        <v>32</v>
      </c>
      <c r="AS82" s="1655">
        <f t="shared" si="13"/>
        <v>2.4700000000000006</v>
      </c>
      <c r="AU82" s="817"/>
      <c r="AV82" s="817"/>
      <c r="AW82" s="1500" t="s">
        <v>545</v>
      </c>
      <c r="AX82" s="1501">
        <v>15.178571428571431</v>
      </c>
      <c r="AY82" s="1502">
        <v>28</v>
      </c>
      <c r="AZ82" s="1485">
        <f t="shared" si="19"/>
        <v>3.1785714285714306</v>
      </c>
      <c r="BB82" s="1486"/>
      <c r="BC82" s="1486"/>
      <c r="BD82" s="1503" t="s">
        <v>545</v>
      </c>
      <c r="BE82" s="1504">
        <v>33</v>
      </c>
      <c r="BF82" s="1505">
        <v>15</v>
      </c>
      <c r="BG82" s="1431">
        <f t="shared" si="20"/>
        <v>3</v>
      </c>
      <c r="BI82" s="1490"/>
      <c r="BJ82" s="1490"/>
      <c r="BK82" s="1506" t="s">
        <v>545</v>
      </c>
      <c r="BL82" s="463">
        <f>SUM(BL79:BL81)</f>
        <v>43</v>
      </c>
      <c r="BM82" s="462">
        <v>14.47</v>
      </c>
      <c r="BN82" s="1509">
        <f t="shared" si="21"/>
        <v>2.4700000000000006</v>
      </c>
      <c r="BO82" s="41"/>
      <c r="BP82" s="1490"/>
      <c r="BQ82" s="1490"/>
      <c r="BR82" s="1506" t="s">
        <v>545</v>
      </c>
      <c r="BS82" s="1507">
        <v>54</v>
      </c>
      <c r="BT82" s="1508">
        <v>12.981481481481481</v>
      </c>
      <c r="BU82" s="1509">
        <f t="shared" si="22"/>
        <v>0.98148148148148096</v>
      </c>
      <c r="BV82" s="41"/>
      <c r="BW82" s="105"/>
      <c r="BX82" s="105"/>
      <c r="BY82" s="461" t="s">
        <v>15</v>
      </c>
      <c r="BZ82" s="96">
        <v>51</v>
      </c>
      <c r="CA82" s="1510">
        <v>13</v>
      </c>
      <c r="CB82" s="1511">
        <f t="shared" si="23"/>
        <v>1</v>
      </c>
      <c r="CC82" s="41"/>
      <c r="CD82" s="1497"/>
      <c r="CE82" s="1497"/>
      <c r="CF82" s="1512" t="s">
        <v>15</v>
      </c>
      <c r="CG82" s="1513">
        <v>28</v>
      </c>
      <c r="CH82" s="1514">
        <v>13.535714285714286</v>
      </c>
      <c r="CI82" s="1499">
        <v>12</v>
      </c>
      <c r="CJ82" s="1981">
        <f t="shared" si="24"/>
        <v>1.5357142857142865</v>
      </c>
    </row>
    <row r="83" spans="1:88">
      <c r="A83" s="105"/>
      <c r="B83" s="105"/>
      <c r="C83" s="461" t="s">
        <v>545</v>
      </c>
      <c r="D83" s="5483">
        <v>15.91</v>
      </c>
      <c r="E83" s="5483">
        <v>23</v>
      </c>
      <c r="F83" s="1431">
        <f t="shared" si="27"/>
        <v>3.91</v>
      </c>
      <c r="G83" s="4591">
        <v>12</v>
      </c>
      <c r="I83" s="107"/>
      <c r="J83" s="107"/>
      <c r="K83" s="968" t="s">
        <v>545</v>
      </c>
      <c r="L83" s="145">
        <v>14.2</v>
      </c>
      <c r="M83" s="145">
        <v>89</v>
      </c>
      <c r="N83" s="1431">
        <f t="shared" si="25"/>
        <v>2.1999999999999993</v>
      </c>
      <c r="O83" s="4591">
        <v>12</v>
      </c>
      <c r="Q83" s="4243"/>
      <c r="R83" s="4243"/>
      <c r="S83" s="4716" t="s">
        <v>545</v>
      </c>
      <c r="T83" s="4723">
        <v>13.82</v>
      </c>
      <c r="U83" s="4723">
        <v>68</v>
      </c>
      <c r="V83" s="4721">
        <f t="shared" si="26"/>
        <v>1.8200000000000003</v>
      </c>
      <c r="W83" s="4722">
        <v>12</v>
      </c>
      <c r="Y83" s="41"/>
      <c r="Z83" s="41" t="s">
        <v>61</v>
      </c>
      <c r="AA83" s="41" t="s">
        <v>62</v>
      </c>
      <c r="AB83" s="1495">
        <v>19.14</v>
      </c>
      <c r="AC83" s="105">
        <v>21</v>
      </c>
      <c r="AD83" s="1431">
        <f t="shared" si="17"/>
        <v>7.1400000000000006</v>
      </c>
      <c r="AE83" s="1499">
        <v>12</v>
      </c>
      <c r="AG83" s="107"/>
      <c r="AH83" s="107" t="s">
        <v>61</v>
      </c>
      <c r="AI83" s="41" t="s">
        <v>62</v>
      </c>
      <c r="AJ83" s="105">
        <v>17.32</v>
      </c>
      <c r="AK83" s="105">
        <v>19</v>
      </c>
      <c r="AL83" s="1431">
        <f t="shared" si="18"/>
        <v>5.32</v>
      </c>
      <c r="AN83" s="105"/>
      <c r="AO83" s="105" t="s">
        <v>61</v>
      </c>
      <c r="AP83" s="41" t="s">
        <v>62</v>
      </c>
      <c r="AQ83" s="1495">
        <v>17.5</v>
      </c>
      <c r="AR83" s="105">
        <v>14</v>
      </c>
      <c r="AS83" s="1485">
        <f t="shared" si="13"/>
        <v>5.5</v>
      </c>
      <c r="AU83" s="817"/>
      <c r="AV83" s="817" t="s">
        <v>61</v>
      </c>
      <c r="AW83" s="1484" t="s">
        <v>62</v>
      </c>
      <c r="AX83" s="1415">
        <v>17.888888888888889</v>
      </c>
      <c r="AY83" s="1416">
        <v>9</v>
      </c>
      <c r="AZ83" s="1485">
        <f t="shared" si="19"/>
        <v>5.8888888888888893</v>
      </c>
      <c r="BB83" s="1486"/>
      <c r="BC83" s="1486" t="s">
        <v>61</v>
      </c>
      <c r="BD83" s="1487" t="s">
        <v>62</v>
      </c>
      <c r="BE83" s="1488">
        <v>11</v>
      </c>
      <c r="BF83" s="1489">
        <v>17.27272727272727</v>
      </c>
      <c r="BG83" s="1431">
        <f t="shared" si="20"/>
        <v>5.2727272727272698</v>
      </c>
      <c r="BI83" s="1490"/>
      <c r="BJ83" s="1490" t="s">
        <v>61</v>
      </c>
      <c r="BK83" s="1492" t="s">
        <v>62</v>
      </c>
      <c r="BL83" s="458">
        <v>6</v>
      </c>
      <c r="BM83" s="459">
        <v>16.5</v>
      </c>
      <c r="BN83" s="1491">
        <f t="shared" si="21"/>
        <v>4.5</v>
      </c>
      <c r="BO83" s="41"/>
      <c r="BP83" s="1490"/>
      <c r="BQ83" s="1490" t="s">
        <v>61</v>
      </c>
      <c r="BR83" s="1492" t="s">
        <v>62</v>
      </c>
      <c r="BS83" s="1493">
        <v>19</v>
      </c>
      <c r="BT83" s="1494">
        <v>14.947368421052634</v>
      </c>
      <c r="BU83" s="1491">
        <f t="shared" si="22"/>
        <v>2.9473684210526336</v>
      </c>
      <c r="BV83" s="41"/>
      <c r="BW83" s="105"/>
      <c r="BX83" s="105" t="s">
        <v>61</v>
      </c>
      <c r="BY83" s="41" t="s">
        <v>62</v>
      </c>
      <c r="BZ83" s="105">
        <v>15</v>
      </c>
      <c r="CA83" s="1495">
        <v>13.866666666666669</v>
      </c>
      <c r="CB83" s="1496">
        <f t="shared" si="23"/>
        <v>1.8666666666666689</v>
      </c>
      <c r="CC83" s="41"/>
      <c r="CD83" s="1497"/>
      <c r="CE83" s="1497" t="s">
        <v>61</v>
      </c>
      <c r="CF83" s="460" t="s">
        <v>62</v>
      </c>
      <c r="CG83" s="1497">
        <v>15</v>
      </c>
      <c r="CH83" s="1498">
        <v>13.6</v>
      </c>
      <c r="CI83" s="1499">
        <v>12</v>
      </c>
      <c r="CJ83" s="1980">
        <f t="shared" si="24"/>
        <v>1.5999999999999996</v>
      </c>
    </row>
    <row r="84" spans="1:88">
      <c r="A84" s="105"/>
      <c r="B84" s="105" t="s">
        <v>61</v>
      </c>
      <c r="C84" s="41" t="s">
        <v>62</v>
      </c>
      <c r="D84" s="105">
        <v>19.399999999999999</v>
      </c>
      <c r="E84" s="105">
        <v>10</v>
      </c>
      <c r="F84" s="1431">
        <f t="shared" si="27"/>
        <v>7.3999999999999986</v>
      </c>
      <c r="G84" s="4591">
        <v>12</v>
      </c>
      <c r="I84" s="107"/>
      <c r="J84" s="107" t="s">
        <v>61</v>
      </c>
      <c r="K84" s="47" t="s">
        <v>62</v>
      </c>
      <c r="L84" s="107">
        <v>15.61</v>
      </c>
      <c r="M84" s="107">
        <v>23</v>
      </c>
      <c r="N84" s="1431">
        <f t="shared" si="25"/>
        <v>3.6099999999999994</v>
      </c>
      <c r="O84" s="4591">
        <v>12</v>
      </c>
      <c r="Q84" s="4243"/>
      <c r="R84" s="4243" t="s">
        <v>61</v>
      </c>
      <c r="S84" s="44" t="s">
        <v>62</v>
      </c>
      <c r="T84" s="4243">
        <v>16.600000000000001</v>
      </c>
      <c r="U84" s="4243">
        <v>10</v>
      </c>
      <c r="V84" s="4721">
        <f t="shared" si="26"/>
        <v>4.6000000000000014</v>
      </c>
      <c r="W84" s="4722">
        <v>12</v>
      </c>
      <c r="Y84" s="41"/>
      <c r="Z84" s="41"/>
      <c r="AA84" s="41" t="s">
        <v>414</v>
      </c>
      <c r="AB84" s="1495">
        <v>19.079999999999998</v>
      </c>
      <c r="AC84" s="105">
        <v>13</v>
      </c>
      <c r="AD84" s="1431">
        <f t="shared" si="17"/>
        <v>7.0799999999999983</v>
      </c>
      <c r="AE84" s="1499">
        <v>12</v>
      </c>
      <c r="AG84" s="107"/>
      <c r="AH84" s="107"/>
      <c r="AI84" s="41" t="s">
        <v>414</v>
      </c>
      <c r="AJ84" s="105">
        <v>18.14</v>
      </c>
      <c r="AK84" s="105">
        <v>7</v>
      </c>
      <c r="AL84" s="1431">
        <f t="shared" si="18"/>
        <v>6.1400000000000006</v>
      </c>
      <c r="AN84" s="105"/>
      <c r="AO84" s="105"/>
      <c r="AP84" s="41" t="s">
        <v>414</v>
      </c>
      <c r="AQ84" s="1495">
        <v>19.29</v>
      </c>
      <c r="AR84" s="105">
        <v>7</v>
      </c>
      <c r="AS84" s="1485">
        <f t="shared" si="13"/>
        <v>7.2899999999999991</v>
      </c>
      <c r="AU84" s="817"/>
      <c r="AV84" s="817"/>
      <c r="AW84" s="1484" t="s">
        <v>414</v>
      </c>
      <c r="AX84" s="1415">
        <v>17.000000000000004</v>
      </c>
      <c r="AY84" s="1416">
        <v>7</v>
      </c>
      <c r="AZ84" s="1485">
        <f t="shared" si="19"/>
        <v>5.0000000000000036</v>
      </c>
      <c r="BB84" s="1486"/>
      <c r="BC84" s="1486"/>
      <c r="BD84" s="1487" t="s">
        <v>414</v>
      </c>
      <c r="BE84" s="1488">
        <v>2</v>
      </c>
      <c r="BF84" s="1489">
        <v>14.5</v>
      </c>
      <c r="BG84" s="1431">
        <f t="shared" si="20"/>
        <v>2.5</v>
      </c>
      <c r="BI84" s="1490"/>
      <c r="BJ84" s="1490"/>
      <c r="BK84" s="1492" t="s">
        <v>414</v>
      </c>
      <c r="BL84" s="458"/>
      <c r="BM84" s="459"/>
      <c r="BN84" s="1491"/>
      <c r="BO84" s="41"/>
      <c r="BP84" s="1490"/>
      <c r="BQ84" s="1490"/>
      <c r="BR84" s="1492" t="s">
        <v>414</v>
      </c>
      <c r="BS84" s="1493">
        <v>2</v>
      </c>
      <c r="BT84" s="1494">
        <v>15.5</v>
      </c>
      <c r="BU84" s="1491">
        <f t="shared" si="22"/>
        <v>3.5</v>
      </c>
      <c r="BV84" s="41"/>
      <c r="BW84" s="105"/>
      <c r="BX84" s="105"/>
      <c r="BY84" s="41" t="s">
        <v>414</v>
      </c>
      <c r="BZ84" s="105">
        <v>2</v>
      </c>
      <c r="CA84" s="1495">
        <v>12.5</v>
      </c>
      <c r="CB84" s="1496">
        <f t="shared" si="23"/>
        <v>0.5</v>
      </c>
      <c r="CC84" s="41"/>
      <c r="CD84" s="1497"/>
      <c r="CE84" s="1497"/>
      <c r="CF84" s="460"/>
      <c r="CG84" s="1497"/>
      <c r="CH84" s="1498"/>
      <c r="CI84" s="1499">
        <v>12</v>
      </c>
      <c r="CJ84" s="1980"/>
    </row>
    <row r="85" spans="1:88">
      <c r="A85" s="105"/>
      <c r="B85" s="105"/>
      <c r="C85" s="41" t="s">
        <v>414</v>
      </c>
      <c r="D85" s="105">
        <v>22</v>
      </c>
      <c r="E85" s="105">
        <v>2</v>
      </c>
      <c r="F85" s="1431">
        <f t="shared" si="27"/>
        <v>10</v>
      </c>
      <c r="G85" s="4591">
        <v>12</v>
      </c>
      <c r="I85" s="107"/>
      <c r="J85" s="107"/>
      <c r="K85" s="47" t="s">
        <v>414</v>
      </c>
      <c r="L85" s="107">
        <v>17.579999999999998</v>
      </c>
      <c r="M85" s="107">
        <v>12</v>
      </c>
      <c r="N85" s="1431">
        <f t="shared" si="25"/>
        <v>5.5799999999999983</v>
      </c>
      <c r="O85" s="4591">
        <v>12</v>
      </c>
      <c r="Q85" s="4243"/>
      <c r="R85" s="4243"/>
      <c r="S85" s="44" t="s">
        <v>414</v>
      </c>
      <c r="T85" s="4243">
        <v>17.5</v>
      </c>
      <c r="U85" s="4243">
        <v>2</v>
      </c>
      <c r="V85" s="4721">
        <f t="shared" si="26"/>
        <v>5.5</v>
      </c>
      <c r="W85" s="4722">
        <v>12</v>
      </c>
      <c r="Y85" s="41"/>
      <c r="Z85" s="41"/>
      <c r="AA85" s="41" t="s">
        <v>63</v>
      </c>
      <c r="AB85" s="1495">
        <v>14.33</v>
      </c>
      <c r="AC85" s="105">
        <v>30</v>
      </c>
      <c r="AD85" s="1431">
        <f t="shared" si="17"/>
        <v>2.33</v>
      </c>
      <c r="AE85" s="1499">
        <v>12</v>
      </c>
      <c r="AG85" s="107"/>
      <c r="AH85" s="107"/>
      <c r="AI85" s="41" t="s">
        <v>63</v>
      </c>
      <c r="AJ85" s="105">
        <v>15.45</v>
      </c>
      <c r="AK85" s="105">
        <v>29</v>
      </c>
      <c r="AL85" s="1431">
        <f t="shared" si="18"/>
        <v>3.4499999999999993</v>
      </c>
      <c r="AN85" s="105"/>
      <c r="AO85" s="105"/>
      <c r="AP85" s="41" t="s">
        <v>63</v>
      </c>
      <c r="AQ85" s="1495">
        <v>14.89</v>
      </c>
      <c r="AR85" s="105">
        <v>18</v>
      </c>
      <c r="AS85" s="1485">
        <f t="shared" si="13"/>
        <v>2.8900000000000006</v>
      </c>
      <c r="AU85" s="817"/>
      <c r="AV85" s="817"/>
      <c r="AW85" s="1484" t="s">
        <v>63</v>
      </c>
      <c r="AX85" s="1415">
        <v>15.384615384615387</v>
      </c>
      <c r="AY85" s="1416">
        <v>13</v>
      </c>
      <c r="AZ85" s="1485">
        <f t="shared" si="19"/>
        <v>3.3846153846153868</v>
      </c>
      <c r="BB85" s="1486"/>
      <c r="BC85" s="1486"/>
      <c r="BD85" s="1487" t="s">
        <v>63</v>
      </c>
      <c r="BE85" s="1488">
        <v>18</v>
      </c>
      <c r="BF85" s="1489">
        <v>13.27777777777778</v>
      </c>
      <c r="BG85" s="1431">
        <f t="shared" si="20"/>
        <v>1.2777777777777803</v>
      </c>
      <c r="BI85" s="1490"/>
      <c r="BJ85" s="1490"/>
      <c r="BK85" s="1492" t="s">
        <v>63</v>
      </c>
      <c r="BL85" s="458">
        <v>15</v>
      </c>
      <c r="BM85" s="459">
        <v>13.200000000000001</v>
      </c>
      <c r="BN85" s="1491">
        <f t="shared" si="21"/>
        <v>1.2000000000000011</v>
      </c>
      <c r="BO85" s="41"/>
      <c r="BP85" s="1490"/>
      <c r="BQ85" s="1490"/>
      <c r="BR85" s="1492" t="s">
        <v>63</v>
      </c>
      <c r="BS85" s="1493">
        <v>27</v>
      </c>
      <c r="BT85" s="1494">
        <v>13.148148148148149</v>
      </c>
      <c r="BU85" s="1491">
        <f t="shared" si="22"/>
        <v>1.1481481481481488</v>
      </c>
      <c r="BV85" s="41"/>
      <c r="BW85" s="105"/>
      <c r="BX85" s="105"/>
      <c r="BY85" s="41" t="s">
        <v>63</v>
      </c>
      <c r="BZ85" s="105">
        <v>15</v>
      </c>
      <c r="CA85" s="1495">
        <v>12.266666666666666</v>
      </c>
      <c r="CB85" s="1496">
        <f t="shared" si="23"/>
        <v>0.26666666666666572</v>
      </c>
      <c r="CC85" s="41"/>
      <c r="CD85" s="1497"/>
      <c r="CE85" s="1497"/>
      <c r="CF85" s="460"/>
      <c r="CG85" s="1497"/>
      <c r="CH85" s="1498"/>
      <c r="CI85" s="1499">
        <v>12</v>
      </c>
      <c r="CJ85" s="1980"/>
    </row>
    <row r="86" spans="1:88">
      <c r="A86" s="105"/>
      <c r="B86" s="105"/>
      <c r="C86" s="41" t="s">
        <v>63</v>
      </c>
      <c r="D86" s="105">
        <v>14.93</v>
      </c>
      <c r="E86" s="105">
        <v>29</v>
      </c>
      <c r="F86" s="1431">
        <f t="shared" si="27"/>
        <v>2.9299999999999997</v>
      </c>
      <c r="G86" s="4591">
        <v>12</v>
      </c>
      <c r="I86" s="107"/>
      <c r="J86" s="107"/>
      <c r="K86" s="47" t="s">
        <v>63</v>
      </c>
      <c r="L86" s="107">
        <v>14.6</v>
      </c>
      <c r="M86" s="107">
        <v>45</v>
      </c>
      <c r="N86" s="1431">
        <f t="shared" si="25"/>
        <v>2.5999999999999996</v>
      </c>
      <c r="O86" s="4591">
        <v>12</v>
      </c>
      <c r="Q86" s="4243"/>
      <c r="R86" s="4243"/>
      <c r="S86" s="44" t="s">
        <v>63</v>
      </c>
      <c r="T86" s="4243">
        <v>14.09</v>
      </c>
      <c r="U86" s="4243">
        <v>35</v>
      </c>
      <c r="V86" s="4721">
        <f t="shared" si="26"/>
        <v>2.09</v>
      </c>
      <c r="W86" s="4722">
        <v>12</v>
      </c>
      <c r="Y86" s="41"/>
      <c r="Z86" s="41"/>
      <c r="AA86" s="461" t="s">
        <v>548</v>
      </c>
      <c r="AB86" s="1510">
        <v>16.88</v>
      </c>
      <c r="AC86" s="2453">
        <v>64</v>
      </c>
      <c r="AD86" s="1989">
        <f t="shared" si="17"/>
        <v>4.879999999999999</v>
      </c>
      <c r="AE86" s="1499">
        <v>12</v>
      </c>
      <c r="AG86" s="107"/>
      <c r="AH86" s="107"/>
      <c r="AI86" s="461" t="s">
        <v>548</v>
      </c>
      <c r="AJ86" s="96">
        <v>16.440000000000001</v>
      </c>
      <c r="AK86" s="96">
        <v>55</v>
      </c>
      <c r="AL86" s="1989">
        <f t="shared" si="18"/>
        <v>4.4400000000000013</v>
      </c>
      <c r="AN86" s="105"/>
      <c r="AO86" s="105"/>
      <c r="AP86" s="461" t="s">
        <v>548</v>
      </c>
      <c r="AQ86" s="1510">
        <v>16.62</v>
      </c>
      <c r="AR86" s="96">
        <v>39</v>
      </c>
      <c r="AS86" s="1655">
        <f t="shared" si="13"/>
        <v>4.620000000000001</v>
      </c>
      <c r="AU86" s="817"/>
      <c r="AV86" s="817"/>
      <c r="AW86" s="1500" t="s">
        <v>548</v>
      </c>
      <c r="AX86" s="1501">
        <v>16.551724137931039</v>
      </c>
      <c r="AY86" s="1502">
        <v>29</v>
      </c>
      <c r="AZ86" s="1485">
        <f t="shared" si="19"/>
        <v>4.5517241379310391</v>
      </c>
      <c r="BB86" s="1486"/>
      <c r="BC86" s="1486"/>
      <c r="BD86" s="1503" t="s">
        <v>548</v>
      </c>
      <c r="BE86" s="1504">
        <v>31</v>
      </c>
      <c r="BF86" s="1505">
        <v>14.7741935483871</v>
      </c>
      <c r="BG86" s="1431">
        <f t="shared" si="20"/>
        <v>2.7741935483870996</v>
      </c>
      <c r="BI86" s="1490"/>
      <c r="BJ86" s="1490"/>
      <c r="BK86" s="1506" t="s">
        <v>548</v>
      </c>
      <c r="BL86" s="463">
        <f>SUM(BL83:BL85)</f>
        <v>21</v>
      </c>
      <c r="BM86" s="462">
        <v>14.14</v>
      </c>
      <c r="BN86" s="1509">
        <f t="shared" si="21"/>
        <v>2.1400000000000006</v>
      </c>
      <c r="BO86" s="41"/>
      <c r="BP86" s="1490"/>
      <c r="BQ86" s="1490"/>
      <c r="BR86" s="1506" t="s">
        <v>548</v>
      </c>
      <c r="BS86" s="1507">
        <v>48</v>
      </c>
      <c r="BT86" s="1508">
        <v>13.958333333333334</v>
      </c>
      <c r="BU86" s="1509">
        <f t="shared" si="22"/>
        <v>1.9583333333333339</v>
      </c>
      <c r="BV86" s="41"/>
      <c r="BW86" s="105"/>
      <c r="BX86" s="105"/>
      <c r="BY86" s="461" t="s">
        <v>15</v>
      </c>
      <c r="BZ86" s="96">
        <v>32</v>
      </c>
      <c r="CA86" s="1510">
        <v>13.031250000000002</v>
      </c>
      <c r="CB86" s="1511">
        <f t="shared" si="23"/>
        <v>1.0312500000000018</v>
      </c>
      <c r="CC86" s="41"/>
      <c r="CD86" s="1497"/>
      <c r="CE86" s="1497"/>
      <c r="CF86" s="1512" t="s">
        <v>15</v>
      </c>
      <c r="CG86" s="1513">
        <v>15</v>
      </c>
      <c r="CH86" s="1514">
        <v>13.6</v>
      </c>
      <c r="CI86" s="1499">
        <v>12</v>
      </c>
      <c r="CJ86" s="1981">
        <f t="shared" si="24"/>
        <v>1.5999999999999996</v>
      </c>
    </row>
    <row r="87" spans="1:88">
      <c r="A87" s="105"/>
      <c r="B87" s="105"/>
      <c r="C87" s="461" t="s">
        <v>548</v>
      </c>
      <c r="D87" s="5483">
        <v>16.37</v>
      </c>
      <c r="E87" s="5483">
        <v>41</v>
      </c>
      <c r="F87" s="1431">
        <f t="shared" si="27"/>
        <v>4.370000000000001</v>
      </c>
      <c r="G87" s="4591">
        <v>12</v>
      </c>
      <c r="I87" s="107"/>
      <c r="J87" s="107"/>
      <c r="K87" s="968" t="s">
        <v>548</v>
      </c>
      <c r="L87" s="145">
        <v>15.34</v>
      </c>
      <c r="M87" s="145">
        <v>80</v>
      </c>
      <c r="N87" s="1431">
        <f t="shared" si="25"/>
        <v>3.34</v>
      </c>
      <c r="O87" s="4591">
        <v>12</v>
      </c>
      <c r="Q87" s="4243"/>
      <c r="R87" s="4243"/>
      <c r="S87" s="4716" t="s">
        <v>548</v>
      </c>
      <c r="T87" s="4723">
        <v>14.77</v>
      </c>
      <c r="U87" s="4723">
        <v>47</v>
      </c>
      <c r="V87" s="4721">
        <f t="shared" si="26"/>
        <v>2.7699999999999996</v>
      </c>
      <c r="W87" s="4722">
        <v>12</v>
      </c>
      <c r="Y87" s="41"/>
      <c r="Z87" s="41" t="s">
        <v>64</v>
      </c>
      <c r="AA87" s="41" t="s">
        <v>14</v>
      </c>
      <c r="AB87" s="1495">
        <v>17.89</v>
      </c>
      <c r="AC87" s="105">
        <v>28</v>
      </c>
      <c r="AD87" s="1431">
        <f t="shared" si="17"/>
        <v>5.8900000000000006</v>
      </c>
      <c r="AE87" s="1499">
        <v>12</v>
      </c>
      <c r="AG87" s="107"/>
      <c r="AH87" s="107" t="s">
        <v>64</v>
      </c>
      <c r="AI87" s="41" t="s">
        <v>14</v>
      </c>
      <c r="AJ87" s="105">
        <v>20.399999999999999</v>
      </c>
      <c r="AK87" s="105">
        <v>5</v>
      </c>
      <c r="AL87" s="1431">
        <f t="shared" si="18"/>
        <v>8.3999999999999986</v>
      </c>
      <c r="AN87" s="105"/>
      <c r="AO87" s="105" t="s">
        <v>64</v>
      </c>
      <c r="AP87" s="41" t="s">
        <v>14</v>
      </c>
      <c r="AQ87" s="1495">
        <v>19.13</v>
      </c>
      <c r="AR87" s="105">
        <v>8</v>
      </c>
      <c r="AS87" s="1485">
        <f t="shared" si="13"/>
        <v>7.129999999999999</v>
      </c>
      <c r="AU87" s="817"/>
      <c r="AV87" s="817" t="s">
        <v>64</v>
      </c>
      <c r="AW87" s="1484" t="s">
        <v>14</v>
      </c>
      <c r="AX87" s="1415">
        <v>14.666666666666666</v>
      </c>
      <c r="AY87" s="1416">
        <v>6</v>
      </c>
      <c r="AZ87" s="1485">
        <f t="shared" si="19"/>
        <v>2.6666666666666661</v>
      </c>
      <c r="BB87" s="1486"/>
      <c r="BC87" s="1486" t="s">
        <v>64</v>
      </c>
      <c r="BD87" s="1487" t="s">
        <v>14</v>
      </c>
      <c r="BE87" s="1488">
        <v>10</v>
      </c>
      <c r="BF87" s="1489">
        <v>18.100000000000001</v>
      </c>
      <c r="BG87" s="1431">
        <f t="shared" si="20"/>
        <v>6.1000000000000014</v>
      </c>
      <c r="BI87" s="1490"/>
      <c r="BJ87" s="1490" t="s">
        <v>64</v>
      </c>
      <c r="BK87" s="1492" t="s">
        <v>14</v>
      </c>
      <c r="BL87" s="458">
        <v>10</v>
      </c>
      <c r="BM87" s="459">
        <v>16.3</v>
      </c>
      <c r="BN87" s="1491">
        <f t="shared" si="21"/>
        <v>4.3000000000000007</v>
      </c>
      <c r="BO87" s="41"/>
      <c r="BP87" s="1490"/>
      <c r="BQ87" s="1490" t="s">
        <v>64</v>
      </c>
      <c r="BR87" s="1492" t="s">
        <v>14</v>
      </c>
      <c r="BS87" s="1493">
        <v>13</v>
      </c>
      <c r="BT87" s="1494">
        <v>14.153846153846153</v>
      </c>
      <c r="BU87" s="1491">
        <f t="shared" si="22"/>
        <v>2.1538461538461533</v>
      </c>
      <c r="BV87" s="41"/>
      <c r="BW87" s="105"/>
      <c r="BX87" s="105" t="s">
        <v>64</v>
      </c>
      <c r="BY87" s="41" t="s">
        <v>14</v>
      </c>
      <c r="BZ87" s="105">
        <v>10</v>
      </c>
      <c r="CA87" s="1495">
        <v>13.600000000000001</v>
      </c>
      <c r="CB87" s="1496">
        <f t="shared" si="23"/>
        <v>1.6000000000000014</v>
      </c>
      <c r="CC87" s="41"/>
      <c r="CD87" s="1497"/>
      <c r="CE87" s="1497" t="s">
        <v>64</v>
      </c>
      <c r="CF87" s="460" t="s">
        <v>14</v>
      </c>
      <c r="CG87" s="1497">
        <v>9</v>
      </c>
      <c r="CH87" s="1498">
        <v>13.888888888888889</v>
      </c>
      <c r="CI87" s="1499">
        <v>12</v>
      </c>
      <c r="CJ87" s="1980">
        <f t="shared" si="24"/>
        <v>1.8888888888888893</v>
      </c>
    </row>
    <row r="88" spans="1:88">
      <c r="A88" s="105"/>
      <c r="B88" s="105" t="s">
        <v>64</v>
      </c>
      <c r="C88" s="41" t="s">
        <v>14</v>
      </c>
      <c r="D88" s="105">
        <v>23.67</v>
      </c>
      <c r="E88" s="105">
        <v>3</v>
      </c>
      <c r="F88" s="1431">
        <f t="shared" si="27"/>
        <v>11.670000000000002</v>
      </c>
      <c r="G88" s="4591">
        <v>12</v>
      </c>
      <c r="I88" s="107"/>
      <c r="J88" s="107" t="s">
        <v>64</v>
      </c>
      <c r="K88" s="47" t="s">
        <v>14</v>
      </c>
      <c r="L88" s="107">
        <v>15.6</v>
      </c>
      <c r="M88" s="107">
        <v>10</v>
      </c>
      <c r="N88" s="1431">
        <f t="shared" si="25"/>
        <v>3.5999999999999996</v>
      </c>
      <c r="O88" s="4591">
        <v>12</v>
      </c>
      <c r="Q88" s="4243"/>
      <c r="R88" s="4243" t="s">
        <v>64</v>
      </c>
      <c r="S88" s="44" t="s">
        <v>14</v>
      </c>
      <c r="T88" s="4243">
        <v>15.43</v>
      </c>
      <c r="U88" s="4243">
        <v>7</v>
      </c>
      <c r="V88" s="4721">
        <f t="shared" si="26"/>
        <v>3.4299999999999997</v>
      </c>
      <c r="W88" s="4722">
        <v>12</v>
      </c>
      <c r="Y88" s="41"/>
      <c r="Z88" s="41"/>
      <c r="AA88" s="41" t="s">
        <v>65</v>
      </c>
      <c r="AB88" s="1495">
        <v>18</v>
      </c>
      <c r="AC88" s="105">
        <v>7</v>
      </c>
      <c r="AD88" s="1431">
        <f t="shared" si="17"/>
        <v>6</v>
      </c>
      <c r="AE88" s="1499">
        <v>12</v>
      </c>
      <c r="AG88" s="107"/>
      <c r="AH88" s="107"/>
      <c r="AI88" s="41" t="s">
        <v>65</v>
      </c>
      <c r="AJ88" s="105">
        <v>18.11</v>
      </c>
      <c r="AK88" s="105">
        <v>9</v>
      </c>
      <c r="AL88" s="1431">
        <f t="shared" si="18"/>
        <v>6.1099999999999994</v>
      </c>
      <c r="AN88" s="105"/>
      <c r="AO88" s="105"/>
      <c r="AP88" s="41" t="s">
        <v>65</v>
      </c>
      <c r="AQ88" s="1495">
        <v>20.5</v>
      </c>
      <c r="AR88" s="105">
        <v>6</v>
      </c>
      <c r="AS88" s="1485">
        <f t="shared" si="13"/>
        <v>8.5</v>
      </c>
      <c r="AU88" s="817"/>
      <c r="AV88" s="817"/>
      <c r="AW88" s="1484" t="s">
        <v>65</v>
      </c>
      <c r="AX88" s="1415">
        <v>19.285714285714285</v>
      </c>
      <c r="AY88" s="1416">
        <v>7</v>
      </c>
      <c r="AZ88" s="1485">
        <f t="shared" si="19"/>
        <v>7.2857142857142847</v>
      </c>
      <c r="BB88" s="1486"/>
      <c r="BC88" s="1486"/>
      <c r="BD88" s="1487" t="s">
        <v>65</v>
      </c>
      <c r="BE88" s="1488">
        <v>3</v>
      </c>
      <c r="BF88" s="1489">
        <v>18.333333333333332</v>
      </c>
      <c r="BG88" s="1431">
        <f t="shared" si="20"/>
        <v>6.3333333333333321</v>
      </c>
      <c r="BI88" s="1490"/>
      <c r="BJ88" s="1490"/>
      <c r="BK88" s="1492" t="s">
        <v>65</v>
      </c>
      <c r="BL88" s="458">
        <v>3</v>
      </c>
      <c r="BM88" s="459">
        <v>15.333333333333334</v>
      </c>
      <c r="BN88" s="1491">
        <f t="shared" si="21"/>
        <v>3.3333333333333339</v>
      </c>
      <c r="BO88" s="41"/>
      <c r="BP88" s="1490"/>
      <c r="BQ88" s="1490"/>
      <c r="BR88" s="1492" t="s">
        <v>65</v>
      </c>
      <c r="BS88" s="1493">
        <v>4</v>
      </c>
      <c r="BT88" s="1494">
        <v>14.75</v>
      </c>
      <c r="BU88" s="1491">
        <f t="shared" si="22"/>
        <v>2.75</v>
      </c>
      <c r="BV88" s="41"/>
      <c r="BW88" s="105"/>
      <c r="BX88" s="105"/>
      <c r="BY88" s="41" t="s">
        <v>65</v>
      </c>
      <c r="BZ88" s="105">
        <v>1</v>
      </c>
      <c r="CA88" s="1495">
        <v>19</v>
      </c>
      <c r="CB88" s="1496">
        <f t="shared" si="23"/>
        <v>7</v>
      </c>
      <c r="CC88" s="41"/>
      <c r="CD88" s="1497"/>
      <c r="CE88" s="1497"/>
      <c r="CF88" s="460" t="s">
        <v>65</v>
      </c>
      <c r="CG88" s="1497">
        <v>1</v>
      </c>
      <c r="CH88" s="1498">
        <v>12</v>
      </c>
      <c r="CI88" s="1499">
        <v>12</v>
      </c>
      <c r="CJ88" s="1980">
        <f t="shared" si="24"/>
        <v>0</v>
      </c>
    </row>
    <row r="89" spans="1:88">
      <c r="A89" s="105"/>
      <c r="B89" s="105"/>
      <c r="C89" s="41" t="s">
        <v>65</v>
      </c>
      <c r="D89" s="105">
        <v>25.33</v>
      </c>
      <c r="E89" s="105">
        <v>3</v>
      </c>
      <c r="F89" s="1431">
        <f t="shared" si="27"/>
        <v>13.329999999999998</v>
      </c>
      <c r="G89" s="4591">
        <v>12</v>
      </c>
      <c r="I89" s="107"/>
      <c r="J89" s="107"/>
      <c r="K89" s="47" t="s">
        <v>65</v>
      </c>
      <c r="L89" s="107">
        <v>18.18</v>
      </c>
      <c r="M89" s="107">
        <v>11</v>
      </c>
      <c r="N89" s="1431">
        <f t="shared" si="25"/>
        <v>6.18</v>
      </c>
      <c r="O89" s="4591">
        <v>12</v>
      </c>
      <c r="Q89" s="4243"/>
      <c r="R89" s="4243"/>
      <c r="S89" s="44" t="s">
        <v>65</v>
      </c>
      <c r="T89" s="4243">
        <v>18.5</v>
      </c>
      <c r="U89" s="4243">
        <v>6</v>
      </c>
      <c r="V89" s="4721">
        <f t="shared" si="26"/>
        <v>6.5</v>
      </c>
      <c r="W89" s="4722">
        <v>12</v>
      </c>
      <c r="Y89" s="41"/>
      <c r="Z89" s="41"/>
      <c r="AA89" s="41" t="s">
        <v>415</v>
      </c>
      <c r="AB89" s="1495">
        <v>14.86</v>
      </c>
      <c r="AC89" s="105">
        <v>14</v>
      </c>
      <c r="AD89" s="1431">
        <f t="shared" si="17"/>
        <v>2.8599999999999994</v>
      </c>
      <c r="AE89" s="1499">
        <v>12</v>
      </c>
      <c r="AG89" s="107"/>
      <c r="AH89" s="107"/>
      <c r="AI89" s="41" t="s">
        <v>415</v>
      </c>
      <c r="AJ89" s="105">
        <v>18.75</v>
      </c>
      <c r="AK89" s="105">
        <v>8</v>
      </c>
      <c r="AL89" s="1431">
        <f t="shared" si="18"/>
        <v>6.75</v>
      </c>
      <c r="AN89" s="105"/>
      <c r="AO89" s="105"/>
      <c r="AP89" s="41" t="s">
        <v>415</v>
      </c>
      <c r="AQ89" s="1495">
        <v>18.22</v>
      </c>
      <c r="AR89" s="105">
        <v>9</v>
      </c>
      <c r="AS89" s="1485">
        <f t="shared" si="13"/>
        <v>6.2199999999999989</v>
      </c>
      <c r="AU89" s="817"/>
      <c r="AV89" s="817"/>
      <c r="AW89" s="1484" t="s">
        <v>415</v>
      </c>
      <c r="AX89" s="1415">
        <v>16.142857142857142</v>
      </c>
      <c r="AY89" s="1416">
        <v>7</v>
      </c>
      <c r="AZ89" s="1485">
        <f t="shared" si="19"/>
        <v>4.1428571428571423</v>
      </c>
      <c r="BB89" s="1486"/>
      <c r="BC89" s="1486"/>
      <c r="BD89" s="1487" t="s">
        <v>415</v>
      </c>
      <c r="BE89" s="1488">
        <v>5</v>
      </c>
      <c r="BF89" s="1489">
        <v>17.399999999999999</v>
      </c>
      <c r="BG89" s="1431">
        <f t="shared" si="20"/>
        <v>5.3999999999999986</v>
      </c>
      <c r="BI89" s="1490"/>
      <c r="BJ89" s="1490"/>
      <c r="BK89" s="1492" t="s">
        <v>415</v>
      </c>
      <c r="BL89" s="458">
        <v>2</v>
      </c>
      <c r="BM89" s="459">
        <v>13.5</v>
      </c>
      <c r="BN89" s="1491">
        <f t="shared" si="21"/>
        <v>1.5</v>
      </c>
      <c r="BO89" s="41"/>
      <c r="BP89" s="1490"/>
      <c r="BQ89" s="1490"/>
      <c r="BR89" s="1492" t="s">
        <v>415</v>
      </c>
      <c r="BS89" s="1493">
        <v>1</v>
      </c>
      <c r="BT89" s="1494">
        <v>13</v>
      </c>
      <c r="BU89" s="1491">
        <f t="shared" si="22"/>
        <v>1</v>
      </c>
      <c r="BV89" s="41"/>
      <c r="BW89" s="105"/>
      <c r="BX89" s="105"/>
      <c r="BY89" s="461" t="s">
        <v>15</v>
      </c>
      <c r="BZ89" s="96">
        <v>11</v>
      </c>
      <c r="CA89" s="1510">
        <v>14.090909090909092</v>
      </c>
      <c r="CB89" s="1511">
        <f t="shared" si="23"/>
        <v>2.0909090909090917</v>
      </c>
      <c r="CC89" s="41"/>
      <c r="CD89" s="1497"/>
      <c r="CE89" s="1497"/>
      <c r="CF89" s="1512" t="s">
        <v>15</v>
      </c>
      <c r="CG89" s="1513">
        <v>10</v>
      </c>
      <c r="CH89" s="1514">
        <v>13.7</v>
      </c>
      <c r="CI89" s="1499">
        <v>12</v>
      </c>
      <c r="CJ89" s="1981">
        <f t="shared" si="24"/>
        <v>1.6999999999999993</v>
      </c>
    </row>
    <row r="90" spans="1:88" ht="15" thickBot="1">
      <c r="A90" s="105"/>
      <c r="B90" s="105"/>
      <c r="C90" s="41" t="s">
        <v>415</v>
      </c>
      <c r="D90" s="105">
        <v>18.670000000000002</v>
      </c>
      <c r="E90" s="105">
        <v>12</v>
      </c>
      <c r="F90" s="1431">
        <f t="shared" si="27"/>
        <v>6.6700000000000017</v>
      </c>
      <c r="G90" s="4591">
        <v>12</v>
      </c>
      <c r="I90" s="107"/>
      <c r="J90" s="107"/>
      <c r="K90" s="47" t="s">
        <v>415</v>
      </c>
      <c r="L90" s="107">
        <v>18.43</v>
      </c>
      <c r="M90" s="107">
        <v>14</v>
      </c>
      <c r="N90" s="1431">
        <f t="shared" si="25"/>
        <v>6.43</v>
      </c>
      <c r="O90" s="4591">
        <v>12</v>
      </c>
      <c r="Q90" s="4243"/>
      <c r="R90" s="4243"/>
      <c r="S90" s="44" t="s">
        <v>415</v>
      </c>
      <c r="T90" s="4243">
        <v>18.899999999999999</v>
      </c>
      <c r="U90" s="4243">
        <v>10</v>
      </c>
      <c r="V90" s="4721">
        <f t="shared" si="26"/>
        <v>6.8999999999999986</v>
      </c>
      <c r="W90" s="4722">
        <v>12</v>
      </c>
      <c r="Y90" s="41"/>
      <c r="Z90" s="41"/>
      <c r="AA90" s="41" t="s">
        <v>81</v>
      </c>
      <c r="AB90" s="1495">
        <v>14.78</v>
      </c>
      <c r="AC90" s="105">
        <v>27</v>
      </c>
      <c r="AD90" s="1431">
        <f t="shared" si="17"/>
        <v>2.7799999999999994</v>
      </c>
      <c r="AE90" s="2467">
        <v>12</v>
      </c>
      <c r="AG90" s="107"/>
      <c r="AH90" s="107"/>
      <c r="AI90" s="41" t="s">
        <v>81</v>
      </c>
      <c r="AJ90" s="105">
        <v>15.29</v>
      </c>
      <c r="AK90" s="105">
        <v>21</v>
      </c>
      <c r="AL90" s="1431">
        <f t="shared" si="18"/>
        <v>3.2899999999999991</v>
      </c>
      <c r="AN90" s="105"/>
      <c r="AO90" s="105"/>
      <c r="AP90" s="41" t="s">
        <v>81</v>
      </c>
      <c r="AQ90" s="1495">
        <v>14.53</v>
      </c>
      <c r="AR90" s="105">
        <v>19</v>
      </c>
      <c r="AS90" s="1485">
        <f t="shared" si="13"/>
        <v>2.5299999999999994</v>
      </c>
      <c r="AU90" s="817"/>
      <c r="AV90" s="817"/>
      <c r="AW90" s="1484" t="s">
        <v>81</v>
      </c>
      <c r="AX90" s="1415">
        <v>13.25</v>
      </c>
      <c r="AY90" s="1416">
        <v>4</v>
      </c>
      <c r="AZ90" s="1485">
        <f t="shared" si="19"/>
        <v>1.25</v>
      </c>
      <c r="BB90" s="1486"/>
      <c r="BC90" s="1486"/>
      <c r="BD90" s="1487" t="s">
        <v>81</v>
      </c>
      <c r="BE90" s="1488">
        <v>4</v>
      </c>
      <c r="BF90" s="1489">
        <v>13</v>
      </c>
      <c r="BG90" s="1431">
        <f t="shared" si="20"/>
        <v>1</v>
      </c>
      <c r="BI90" s="1490"/>
      <c r="BJ90" s="1490"/>
      <c r="BK90" s="1506" t="s">
        <v>549</v>
      </c>
      <c r="BL90" s="463">
        <f>SUM(BL87:BL89)</f>
        <v>15</v>
      </c>
      <c r="BM90" s="462">
        <v>15.73</v>
      </c>
      <c r="BN90" s="1509">
        <f t="shared" si="21"/>
        <v>3.7300000000000004</v>
      </c>
      <c r="BO90" s="41"/>
      <c r="BP90" s="1490"/>
      <c r="BQ90" s="1490"/>
      <c r="BR90" s="1506" t="s">
        <v>549</v>
      </c>
      <c r="BS90" s="1507">
        <v>18</v>
      </c>
      <c r="BT90" s="1508">
        <v>14.222222222222223</v>
      </c>
      <c r="BU90" s="1509">
        <f t="shared" si="22"/>
        <v>2.2222222222222232</v>
      </c>
      <c r="BV90" s="41"/>
      <c r="BW90" s="464"/>
      <c r="BX90" s="464"/>
      <c r="BY90" s="465" t="s">
        <v>260</v>
      </c>
      <c r="BZ90" s="466">
        <v>94</v>
      </c>
      <c r="CA90" s="1541">
        <v>13.13829787234042</v>
      </c>
      <c r="CB90" s="1542">
        <f t="shared" si="23"/>
        <v>1.13829787234042</v>
      </c>
      <c r="CC90" s="41"/>
      <c r="CD90" s="1526"/>
      <c r="CE90" s="1526"/>
      <c r="CF90" s="1527" t="s">
        <v>260</v>
      </c>
      <c r="CG90" s="1528">
        <v>53</v>
      </c>
      <c r="CH90" s="1529">
        <v>13.584905660377357</v>
      </c>
      <c r="CI90" s="1979">
        <v>12</v>
      </c>
      <c r="CJ90" s="1983">
        <f t="shared" si="24"/>
        <v>1.5849056603773573</v>
      </c>
    </row>
    <row r="91" spans="1:88" ht="15" thickBot="1">
      <c r="A91" s="105"/>
      <c r="B91" s="105"/>
      <c r="C91" s="41" t="s">
        <v>81</v>
      </c>
      <c r="D91" s="105">
        <v>16.27</v>
      </c>
      <c r="E91" s="105">
        <v>11</v>
      </c>
      <c r="F91" s="1431">
        <f t="shared" si="27"/>
        <v>4.2699999999999996</v>
      </c>
      <c r="G91" s="4591">
        <v>12</v>
      </c>
      <c r="I91" s="107"/>
      <c r="J91" s="107"/>
      <c r="K91" s="47" t="s">
        <v>81</v>
      </c>
      <c r="L91" s="107">
        <v>15.11</v>
      </c>
      <c r="M91" s="107">
        <v>27</v>
      </c>
      <c r="N91" s="1431">
        <f t="shared" si="25"/>
        <v>3.1099999999999994</v>
      </c>
      <c r="O91" s="4595">
        <v>12</v>
      </c>
      <c r="Q91" s="4243"/>
      <c r="R91" s="4243"/>
      <c r="S91" s="44" t="s">
        <v>81</v>
      </c>
      <c r="T91" s="4243">
        <v>15.92</v>
      </c>
      <c r="U91" s="4243">
        <v>13</v>
      </c>
      <c r="V91" s="4721">
        <f t="shared" si="26"/>
        <v>3.92</v>
      </c>
      <c r="W91" s="4730">
        <v>12</v>
      </c>
      <c r="Y91" s="41"/>
      <c r="Z91" s="41"/>
      <c r="AA91" s="461" t="s">
        <v>549</v>
      </c>
      <c r="AB91" s="1510">
        <v>16.239999999999998</v>
      </c>
      <c r="AC91" s="2453">
        <v>76</v>
      </c>
      <c r="AD91" s="1989">
        <f t="shared" si="17"/>
        <v>4.2399999999999984</v>
      </c>
      <c r="AE91" s="2467">
        <v>12</v>
      </c>
      <c r="AG91" s="107"/>
      <c r="AH91" s="107"/>
      <c r="AI91" s="461" t="s">
        <v>549</v>
      </c>
      <c r="AJ91" s="96">
        <v>17.12</v>
      </c>
      <c r="AK91" s="96">
        <v>43</v>
      </c>
      <c r="AL91" s="1989">
        <f t="shared" si="18"/>
        <v>5.120000000000001</v>
      </c>
      <c r="AN91" s="105"/>
      <c r="AO91" s="105"/>
      <c r="AP91" s="461" t="s">
        <v>549</v>
      </c>
      <c r="AQ91" s="1510">
        <v>17.05</v>
      </c>
      <c r="AR91" s="96">
        <v>42</v>
      </c>
      <c r="AS91" s="1655">
        <f t="shared" si="13"/>
        <v>5.0500000000000007</v>
      </c>
      <c r="AU91" s="817"/>
      <c r="AV91" s="817"/>
      <c r="AW91" s="1500" t="s">
        <v>549</v>
      </c>
      <c r="AX91" s="1501">
        <v>16.208333333333339</v>
      </c>
      <c r="AY91" s="1502">
        <v>24</v>
      </c>
      <c r="AZ91" s="1485">
        <f t="shared" si="19"/>
        <v>4.2083333333333393</v>
      </c>
      <c r="BB91" s="1486"/>
      <c r="BC91" s="1486"/>
      <c r="BD91" s="1503" t="s">
        <v>549</v>
      </c>
      <c r="BE91" s="1504">
        <v>22</v>
      </c>
      <c r="BF91" s="1505">
        <v>17.045454545454543</v>
      </c>
      <c r="BG91" s="1431">
        <f t="shared" si="20"/>
        <v>5.0454545454545432</v>
      </c>
      <c r="BI91" s="1543"/>
      <c r="BJ91" s="1543"/>
      <c r="BK91" s="1544" t="s">
        <v>260</v>
      </c>
      <c r="BL91" s="467">
        <f>SUM(BL90,BL86,BL82)</f>
        <v>79</v>
      </c>
      <c r="BM91" s="468">
        <v>14.62</v>
      </c>
      <c r="BN91" s="1545">
        <f t="shared" si="21"/>
        <v>2.6199999999999992</v>
      </c>
      <c r="BO91" s="41"/>
      <c r="BP91" s="1543"/>
      <c r="BQ91" s="1543"/>
      <c r="BR91" s="1544" t="s">
        <v>260</v>
      </c>
      <c r="BS91" s="1546">
        <v>120</v>
      </c>
      <c r="BT91" s="1547">
        <v>13.558333333333332</v>
      </c>
      <c r="BU91" s="1545">
        <f t="shared" si="22"/>
        <v>1.5583333333333318</v>
      </c>
      <c r="BV91" s="41"/>
      <c r="BW91" s="105"/>
      <c r="BX91" s="105"/>
      <c r="BY91" s="461"/>
      <c r="BZ91" s="96"/>
      <c r="CA91" s="1510"/>
      <c r="CB91" s="1511"/>
      <c r="CC91" s="41"/>
      <c r="CD91" s="1497"/>
      <c r="CE91" s="1497"/>
      <c r="CF91" s="460"/>
      <c r="CG91" s="460"/>
      <c r="CH91" s="1548"/>
      <c r="CI91" s="1499">
        <v>12</v>
      </c>
      <c r="CJ91" s="1984"/>
    </row>
    <row r="92" spans="1:88" ht="15" thickBot="1">
      <c r="A92" s="105"/>
      <c r="B92" s="105"/>
      <c r="C92" s="461" t="s">
        <v>549</v>
      </c>
      <c r="D92" s="5483">
        <v>18.97</v>
      </c>
      <c r="E92" s="5483">
        <v>29</v>
      </c>
      <c r="F92" s="1431">
        <f t="shared" si="27"/>
        <v>6.9699999999999989</v>
      </c>
      <c r="G92" s="4595">
        <v>12</v>
      </c>
      <c r="I92" s="107"/>
      <c r="J92" s="107"/>
      <c r="K92" s="968" t="s">
        <v>549</v>
      </c>
      <c r="L92" s="145">
        <v>16.48</v>
      </c>
      <c r="M92" s="145">
        <v>62</v>
      </c>
      <c r="N92" s="4588">
        <f t="shared" si="25"/>
        <v>4.4800000000000004</v>
      </c>
      <c r="O92" s="4596">
        <v>12</v>
      </c>
      <c r="Q92" s="4243"/>
      <c r="R92" s="4243"/>
      <c r="S92" s="4716" t="s">
        <v>549</v>
      </c>
      <c r="T92" s="4723">
        <v>17.079999999999998</v>
      </c>
      <c r="U92" s="4723">
        <v>36</v>
      </c>
      <c r="V92" s="4731">
        <f t="shared" si="26"/>
        <v>5.0799999999999983</v>
      </c>
      <c r="W92" s="4732">
        <v>12</v>
      </c>
      <c r="Y92" s="2460"/>
      <c r="Z92" s="2460"/>
      <c r="AA92" s="2461" t="s">
        <v>260</v>
      </c>
      <c r="AB92" s="2462">
        <v>15.77</v>
      </c>
      <c r="AC92" s="2463">
        <v>199</v>
      </c>
      <c r="AD92" s="1990">
        <f t="shared" si="17"/>
        <v>3.7699999999999996</v>
      </c>
      <c r="AE92" s="2468">
        <v>12</v>
      </c>
      <c r="AG92" s="1676"/>
      <c r="AH92" s="1676"/>
      <c r="AI92" s="1652" t="s">
        <v>260</v>
      </c>
      <c r="AJ92" s="1654">
        <v>16.309999999999999</v>
      </c>
      <c r="AK92" s="1654">
        <v>134</v>
      </c>
      <c r="AL92" s="1990">
        <f t="shared" si="18"/>
        <v>4.3099999999999987</v>
      </c>
      <c r="AN92" s="1657"/>
      <c r="AO92" s="1657"/>
      <c r="AP92" s="1652" t="s">
        <v>260</v>
      </c>
      <c r="AQ92" s="1653">
        <v>16.170000000000002</v>
      </c>
      <c r="AR92" s="1654">
        <v>113</v>
      </c>
      <c r="AS92" s="1656">
        <f t="shared" si="13"/>
        <v>4.1700000000000017</v>
      </c>
      <c r="AU92" s="817"/>
      <c r="AV92" s="817"/>
      <c r="AW92" s="1500" t="s">
        <v>260</v>
      </c>
      <c r="AX92" s="1501">
        <v>15.975308641975314</v>
      </c>
      <c r="AY92" s="1502">
        <v>81</v>
      </c>
      <c r="AZ92" s="1515">
        <f t="shared" si="19"/>
        <v>3.9753086419753139</v>
      </c>
      <c r="BB92" s="1549"/>
      <c r="BC92" s="1549"/>
      <c r="BD92" s="1550" t="s">
        <v>260</v>
      </c>
      <c r="BE92" s="1551">
        <v>86</v>
      </c>
      <c r="BF92" s="1552">
        <v>15.441860465116276</v>
      </c>
      <c r="BG92" s="1553">
        <f t="shared" si="20"/>
        <v>3.4418604651162763</v>
      </c>
      <c r="BI92" s="107"/>
      <c r="BJ92" s="107"/>
      <c r="BK92" s="41"/>
      <c r="BL92" s="41"/>
      <c r="BM92" s="41"/>
      <c r="BN92" s="1554"/>
      <c r="BO92" s="41"/>
      <c r="BP92" s="107"/>
      <c r="BQ92" s="107"/>
      <c r="BR92" s="41"/>
      <c r="BS92" s="41"/>
      <c r="BT92" s="41"/>
      <c r="BU92" s="1554"/>
      <c r="BV92" s="41"/>
      <c r="BW92" s="105"/>
      <c r="BX92" s="105"/>
      <c r="BY92" s="461"/>
      <c r="BZ92" s="96"/>
      <c r="CA92" s="1510"/>
      <c r="CB92" s="1511"/>
      <c r="CC92" s="41"/>
      <c r="CD92" s="1497"/>
      <c r="CE92" s="1497"/>
      <c r="CF92" s="460"/>
      <c r="CG92" s="460"/>
      <c r="CH92" s="1548"/>
      <c r="CI92" s="1499">
        <v>12</v>
      </c>
      <c r="CJ92" s="1984"/>
    </row>
    <row r="93" spans="1:88">
      <c r="A93" s="105"/>
      <c r="B93" s="105"/>
      <c r="C93" s="5488" t="s">
        <v>260</v>
      </c>
      <c r="D93" s="5489">
        <v>17.059999999999999</v>
      </c>
      <c r="E93" s="5489">
        <v>93</v>
      </c>
      <c r="F93" s="5490">
        <f t="shared" si="27"/>
        <v>5.0599999999999987</v>
      </c>
      <c r="G93" s="5491">
        <v>12</v>
      </c>
      <c r="I93" s="107"/>
      <c r="J93" s="107"/>
      <c r="K93" s="4592" t="s">
        <v>260</v>
      </c>
      <c r="L93" s="4593">
        <v>15.21</v>
      </c>
      <c r="M93" s="4593">
        <v>231</v>
      </c>
      <c r="N93" s="4589">
        <f t="shared" si="25"/>
        <v>3.2100000000000009</v>
      </c>
      <c r="O93" s="4597">
        <v>12</v>
      </c>
      <c r="Q93" s="4243"/>
      <c r="R93" s="4243"/>
      <c r="S93" s="4725" t="s">
        <v>260</v>
      </c>
      <c r="T93" s="4726">
        <v>14.89</v>
      </c>
      <c r="U93" s="4726">
        <v>151</v>
      </c>
      <c r="V93" s="4733">
        <f t="shared" si="26"/>
        <v>2.8900000000000006</v>
      </c>
      <c r="W93" s="4734">
        <v>12</v>
      </c>
      <c r="Y93" s="41" t="s">
        <v>244</v>
      </c>
      <c r="Z93" s="41" t="s">
        <v>4</v>
      </c>
      <c r="AA93" s="41" t="s">
        <v>1633</v>
      </c>
      <c r="AB93" s="1495">
        <v>15</v>
      </c>
      <c r="AC93" s="105">
        <v>11</v>
      </c>
      <c r="AD93" s="1431">
        <f t="shared" si="17"/>
        <v>3</v>
      </c>
      <c r="AE93" s="2467">
        <v>12</v>
      </c>
      <c r="AG93" s="107" t="s">
        <v>244</v>
      </c>
      <c r="AH93" s="107" t="s">
        <v>4</v>
      </c>
      <c r="AI93" s="41" t="s">
        <v>1633</v>
      </c>
      <c r="AJ93" s="105">
        <v>13.31</v>
      </c>
      <c r="AK93" s="105">
        <v>13</v>
      </c>
      <c r="AL93" s="1431">
        <f t="shared" si="18"/>
        <v>1.3100000000000005</v>
      </c>
      <c r="AN93" s="105" t="s">
        <v>244</v>
      </c>
      <c r="AO93" s="105" t="s">
        <v>4</v>
      </c>
      <c r="AP93" s="41" t="s">
        <v>1633</v>
      </c>
      <c r="AQ93" s="1495">
        <v>12.6</v>
      </c>
      <c r="AR93" s="105">
        <v>5</v>
      </c>
      <c r="AS93" s="1485">
        <f>AQ93-CI105</f>
        <v>0.59999999999999964</v>
      </c>
      <c r="AU93" s="1404" t="s">
        <v>244</v>
      </c>
      <c r="AV93" s="1404" t="s">
        <v>4</v>
      </c>
      <c r="AW93" s="1531" t="s">
        <v>1633</v>
      </c>
      <c r="AX93" s="1532">
        <v>12.35</v>
      </c>
      <c r="AY93" s="1533">
        <v>20</v>
      </c>
      <c r="AZ93" s="1485">
        <f>AX93-CI105</f>
        <v>0.34999999999999964</v>
      </c>
      <c r="BB93" s="1486"/>
      <c r="BC93" s="1486"/>
      <c r="BD93" s="1487"/>
      <c r="BE93" s="1488"/>
      <c r="BF93" s="1489"/>
      <c r="BG93" s="1431"/>
      <c r="BO93" s="41"/>
      <c r="BV93" s="41"/>
      <c r="BW93" s="105"/>
      <c r="BX93" s="105"/>
      <c r="CI93" s="1499">
        <v>12</v>
      </c>
    </row>
    <row r="94" spans="1:88">
      <c r="A94" s="105" t="s">
        <v>244</v>
      </c>
      <c r="B94" s="105" t="s">
        <v>4</v>
      </c>
      <c r="C94" s="41" t="s">
        <v>1633</v>
      </c>
      <c r="D94" s="105">
        <v>15.8</v>
      </c>
      <c r="E94" s="105">
        <v>15</v>
      </c>
      <c r="F94" s="4588">
        <f t="shared" si="27"/>
        <v>3.8000000000000007</v>
      </c>
      <c r="G94" s="4596">
        <v>12</v>
      </c>
      <c r="I94" s="107" t="s">
        <v>244</v>
      </c>
      <c r="J94" s="107" t="s">
        <v>4</v>
      </c>
      <c r="K94" s="47" t="s">
        <v>1633</v>
      </c>
      <c r="L94" s="107">
        <v>15.2</v>
      </c>
      <c r="M94" s="107">
        <v>15</v>
      </c>
      <c r="N94" s="1431">
        <f>L94-O94</f>
        <v>3.1999999999999993</v>
      </c>
      <c r="O94" s="4595">
        <v>12</v>
      </c>
      <c r="Q94" s="4243" t="s">
        <v>244</v>
      </c>
      <c r="R94" s="4243" t="s">
        <v>4</v>
      </c>
      <c r="S94" s="44" t="s">
        <v>1633</v>
      </c>
      <c r="T94" s="4243">
        <v>15.45</v>
      </c>
      <c r="U94" s="4243">
        <v>11</v>
      </c>
      <c r="V94" s="4721">
        <f>T94-W94</f>
        <v>3.4499999999999993</v>
      </c>
      <c r="W94" s="4730">
        <v>12</v>
      </c>
      <c r="Y94" s="41"/>
      <c r="Z94" s="41"/>
      <c r="AA94" s="461" t="s">
        <v>544</v>
      </c>
      <c r="AB94" s="1510">
        <v>15</v>
      </c>
      <c r="AC94" s="2453">
        <v>11</v>
      </c>
      <c r="AD94" s="1989">
        <f t="shared" si="17"/>
        <v>3</v>
      </c>
      <c r="AE94" s="2467">
        <v>12</v>
      </c>
      <c r="AG94" s="107"/>
      <c r="AH94" s="107"/>
      <c r="AI94" s="461" t="s">
        <v>544</v>
      </c>
      <c r="AJ94" s="96">
        <v>13.31</v>
      </c>
      <c r="AK94" s="96">
        <v>13</v>
      </c>
      <c r="AL94" s="1989">
        <f t="shared" si="18"/>
        <v>1.3100000000000005</v>
      </c>
      <c r="AN94" s="105"/>
      <c r="AO94" s="105"/>
      <c r="AP94" s="461" t="s">
        <v>544</v>
      </c>
      <c r="AQ94" s="1510">
        <v>12.6</v>
      </c>
      <c r="AR94" s="96">
        <v>5</v>
      </c>
      <c r="AS94" s="1655">
        <f>AQ94-CI106</f>
        <v>0.59999999999999964</v>
      </c>
      <c r="AU94" s="817"/>
      <c r="AV94" s="817"/>
      <c r="AW94" s="1500" t="s">
        <v>544</v>
      </c>
      <c r="AX94" s="1501">
        <v>12.35</v>
      </c>
      <c r="AY94" s="1502">
        <v>20</v>
      </c>
      <c r="AZ94" s="1485">
        <f>AX94-CI106</f>
        <v>0.34999999999999964</v>
      </c>
      <c r="BO94" s="41"/>
      <c r="BV94" s="41"/>
      <c r="BW94" s="105"/>
      <c r="BX94" s="105"/>
      <c r="CI94" s="1499">
        <v>12</v>
      </c>
    </row>
    <row r="95" spans="1:88">
      <c r="A95" s="105"/>
      <c r="B95" s="105"/>
      <c r="C95" s="461" t="s">
        <v>544</v>
      </c>
      <c r="D95" s="5483">
        <v>15.8</v>
      </c>
      <c r="E95" s="5483">
        <v>15</v>
      </c>
      <c r="F95" s="4749">
        <f>D95-G95</f>
        <v>3.8000000000000007</v>
      </c>
      <c r="G95" s="4595">
        <v>12</v>
      </c>
      <c r="I95" s="107"/>
      <c r="J95" s="107"/>
      <c r="K95" s="968" t="s">
        <v>544</v>
      </c>
      <c r="L95" s="145">
        <v>15.2</v>
      </c>
      <c r="M95" s="145">
        <v>15</v>
      </c>
      <c r="N95" s="1989">
        <f t="shared" ref="N95:N102" si="28">L95-O95</f>
        <v>3.1999999999999993</v>
      </c>
      <c r="O95" s="4595">
        <v>12</v>
      </c>
      <c r="Q95" s="4243"/>
      <c r="R95" s="4243"/>
      <c r="S95" s="4716" t="s">
        <v>544</v>
      </c>
      <c r="T95" s="4723">
        <v>15.45</v>
      </c>
      <c r="U95" s="4723">
        <v>11</v>
      </c>
      <c r="V95" s="4724">
        <f t="shared" ref="V95:V102" si="29">T95-W95</f>
        <v>3.4499999999999993</v>
      </c>
      <c r="W95" s="4730">
        <v>12</v>
      </c>
      <c r="Y95" s="41"/>
      <c r="Z95" s="41" t="s">
        <v>16</v>
      </c>
      <c r="AA95" s="41" t="s">
        <v>791</v>
      </c>
      <c r="AB95" s="1495">
        <v>13.88</v>
      </c>
      <c r="AC95" s="105">
        <v>16</v>
      </c>
      <c r="AD95" s="1431">
        <f t="shared" si="17"/>
        <v>1.8800000000000008</v>
      </c>
      <c r="AE95" s="2467">
        <v>12</v>
      </c>
      <c r="AG95" s="107"/>
      <c r="AH95" s="107" t="s">
        <v>16</v>
      </c>
      <c r="AI95" s="41" t="s">
        <v>791</v>
      </c>
      <c r="AJ95" s="105">
        <v>12.87</v>
      </c>
      <c r="AK95" s="105">
        <v>31</v>
      </c>
      <c r="AL95" s="1431">
        <f t="shared" si="18"/>
        <v>0.86999999999999922</v>
      </c>
      <c r="AN95" s="105"/>
      <c r="AO95" s="105" t="s">
        <v>16</v>
      </c>
      <c r="AP95" s="41" t="s">
        <v>791</v>
      </c>
      <c r="AQ95" s="1495">
        <v>12.5</v>
      </c>
      <c r="AR95" s="105">
        <v>10</v>
      </c>
      <c r="AS95" s="1485">
        <f>AQ95-CI107</f>
        <v>0.5</v>
      </c>
      <c r="AU95" s="817"/>
      <c r="AV95" s="817" t="s">
        <v>16</v>
      </c>
      <c r="AW95" s="1484" t="s">
        <v>791</v>
      </c>
      <c r="AX95" s="1415">
        <v>12.218749999999996</v>
      </c>
      <c r="AY95" s="1416">
        <v>32</v>
      </c>
      <c r="AZ95" s="1485">
        <f>AX95-CI107</f>
        <v>0.21874999999999645</v>
      </c>
      <c r="BO95" s="41"/>
      <c r="BV95" s="41"/>
      <c r="BW95" s="105"/>
      <c r="BX95" s="105"/>
      <c r="CI95" s="1499">
        <v>12</v>
      </c>
    </row>
    <row r="96" spans="1:88">
      <c r="A96" s="105"/>
      <c r="B96" s="105" t="s">
        <v>16</v>
      </c>
      <c r="C96" s="41" t="s">
        <v>791</v>
      </c>
      <c r="D96" s="105">
        <v>13.31</v>
      </c>
      <c r="E96" s="105">
        <v>26</v>
      </c>
      <c r="F96" s="1989">
        <f t="shared" ref="F96:F102" si="30">D96-G96</f>
        <v>1.3100000000000005</v>
      </c>
      <c r="G96" s="4595">
        <v>12</v>
      </c>
      <c r="I96" s="107"/>
      <c r="J96" s="107" t="s">
        <v>16</v>
      </c>
      <c r="K96" s="47" t="s">
        <v>791</v>
      </c>
      <c r="L96" s="107">
        <v>14.38</v>
      </c>
      <c r="M96" s="107">
        <v>8</v>
      </c>
      <c r="N96" s="1431">
        <f t="shared" si="28"/>
        <v>2.3800000000000008</v>
      </c>
      <c r="O96" s="4595">
        <v>12</v>
      </c>
      <c r="Q96" s="4243"/>
      <c r="R96" s="4243" t="s">
        <v>16</v>
      </c>
      <c r="S96" s="44" t="s">
        <v>791</v>
      </c>
      <c r="T96" s="4243">
        <v>14.38</v>
      </c>
      <c r="U96" s="4243">
        <v>8</v>
      </c>
      <c r="V96" s="4721">
        <f t="shared" si="29"/>
        <v>2.3800000000000008</v>
      </c>
      <c r="W96" s="4730">
        <v>12</v>
      </c>
      <c r="Y96" s="41"/>
      <c r="Z96" s="41"/>
      <c r="AA96" s="41" t="s">
        <v>551</v>
      </c>
      <c r="AB96" s="1495">
        <v>13</v>
      </c>
      <c r="AC96" s="105">
        <v>6</v>
      </c>
      <c r="AD96" s="1431">
        <f t="shared" si="17"/>
        <v>1</v>
      </c>
      <c r="AE96" s="2467">
        <v>12</v>
      </c>
      <c r="AG96" s="107"/>
      <c r="AH96" s="107"/>
      <c r="AI96" s="41" t="s">
        <v>551</v>
      </c>
      <c r="AJ96" s="105">
        <v>13</v>
      </c>
      <c r="AK96" s="105">
        <v>7</v>
      </c>
      <c r="AL96" s="1431">
        <f t="shared" si="18"/>
        <v>1</v>
      </c>
      <c r="AN96" s="105"/>
      <c r="AO96" s="105"/>
      <c r="AQ96" s="1495"/>
      <c r="AR96" s="105"/>
      <c r="AS96" s="1485"/>
      <c r="AU96" s="817"/>
      <c r="AV96" s="817"/>
      <c r="AW96" s="1484"/>
      <c r="AX96" s="1415"/>
      <c r="AY96" s="1416"/>
      <c r="AZ96" s="1485"/>
      <c r="BO96" s="41"/>
      <c r="BV96" s="41"/>
      <c r="BW96" s="105"/>
      <c r="BX96" s="105"/>
      <c r="CI96" s="1499">
        <v>12</v>
      </c>
    </row>
    <row r="97" spans="1:88">
      <c r="A97" s="105"/>
      <c r="B97" s="105"/>
      <c r="C97" s="41" t="s">
        <v>551</v>
      </c>
      <c r="D97" s="105">
        <v>12.87</v>
      </c>
      <c r="E97" s="105">
        <v>15</v>
      </c>
      <c r="F97" s="1431">
        <f t="shared" si="30"/>
        <v>0.86999999999999922</v>
      </c>
      <c r="G97" s="4595">
        <v>12</v>
      </c>
      <c r="I97" s="107"/>
      <c r="J97" s="107"/>
      <c r="K97" s="47" t="s">
        <v>551</v>
      </c>
      <c r="L97" s="107">
        <v>13</v>
      </c>
      <c r="M97" s="107">
        <v>12</v>
      </c>
      <c r="N97" s="1431">
        <f t="shared" si="28"/>
        <v>1</v>
      </c>
      <c r="O97" s="4595">
        <v>12</v>
      </c>
      <c r="Q97" s="4243"/>
      <c r="R97" s="4243"/>
      <c r="S97" s="44" t="s">
        <v>551</v>
      </c>
      <c r="T97" s="4243">
        <v>13</v>
      </c>
      <c r="U97" s="4243">
        <v>12</v>
      </c>
      <c r="V97" s="4721">
        <f t="shared" si="29"/>
        <v>1</v>
      </c>
      <c r="W97" s="4730">
        <v>12</v>
      </c>
      <c r="Y97" s="41"/>
      <c r="Z97" s="41"/>
      <c r="AA97" s="461" t="s">
        <v>545</v>
      </c>
      <c r="AB97" s="1510">
        <v>13.64</v>
      </c>
      <c r="AC97" s="2453">
        <v>22</v>
      </c>
      <c r="AD97" s="1989">
        <f t="shared" si="17"/>
        <v>1.6400000000000006</v>
      </c>
      <c r="AE97" s="2467">
        <v>12</v>
      </c>
      <c r="AG97" s="107"/>
      <c r="AH97" s="107"/>
      <c r="AI97" s="461" t="s">
        <v>545</v>
      </c>
      <c r="AJ97" s="96">
        <v>12.89</v>
      </c>
      <c r="AK97" s="96">
        <v>38</v>
      </c>
      <c r="AL97" s="1989">
        <f t="shared" si="18"/>
        <v>0.89000000000000057</v>
      </c>
      <c r="AN97" s="105"/>
      <c r="AO97" s="105"/>
      <c r="AP97" s="461" t="s">
        <v>545</v>
      </c>
      <c r="AQ97" s="1510">
        <v>12.5</v>
      </c>
      <c r="AR97" s="96">
        <v>10</v>
      </c>
      <c r="AS97" s="1655">
        <f>AQ97-CI108</f>
        <v>0.5</v>
      </c>
      <c r="AU97" s="817"/>
      <c r="AV97" s="817"/>
      <c r="AW97" s="1500" t="s">
        <v>545</v>
      </c>
      <c r="AX97" s="1501">
        <v>12.218749999999996</v>
      </c>
      <c r="AY97" s="1502">
        <v>32</v>
      </c>
      <c r="AZ97" s="1485">
        <f>AX97-CI108</f>
        <v>0.21874999999999645</v>
      </c>
      <c r="BO97" s="41"/>
      <c r="BV97" s="41"/>
      <c r="BW97" s="105"/>
      <c r="BX97" s="105"/>
      <c r="CI97" s="1499">
        <v>12</v>
      </c>
    </row>
    <row r="98" spans="1:88">
      <c r="A98" s="105"/>
      <c r="B98" s="105"/>
      <c r="C98" s="461" t="s">
        <v>545</v>
      </c>
      <c r="D98" s="5483">
        <v>13.15</v>
      </c>
      <c r="E98" s="5483">
        <v>41</v>
      </c>
      <c r="F98" s="1431">
        <f t="shared" si="30"/>
        <v>1.1500000000000004</v>
      </c>
      <c r="G98" s="4595">
        <v>12</v>
      </c>
      <c r="I98" s="107"/>
      <c r="J98" s="107"/>
      <c r="K98" s="968" t="s">
        <v>545</v>
      </c>
      <c r="L98" s="145">
        <v>13.55</v>
      </c>
      <c r="M98" s="145">
        <v>20</v>
      </c>
      <c r="N98" s="1989">
        <f t="shared" si="28"/>
        <v>1.5500000000000007</v>
      </c>
      <c r="O98" s="4595">
        <v>12</v>
      </c>
      <c r="Q98" s="4243"/>
      <c r="R98" s="4243"/>
      <c r="S98" s="4716" t="s">
        <v>545</v>
      </c>
      <c r="T98" s="4723">
        <v>13.55</v>
      </c>
      <c r="U98" s="4723">
        <v>20</v>
      </c>
      <c r="V98" s="4724">
        <f t="shared" si="29"/>
        <v>1.5500000000000007</v>
      </c>
      <c r="W98" s="4730">
        <v>12</v>
      </c>
      <c r="Y98" s="41"/>
      <c r="Z98" s="41" t="s">
        <v>41</v>
      </c>
      <c r="AA98" s="41" t="s">
        <v>792</v>
      </c>
      <c r="AB98" s="1495">
        <v>13.79</v>
      </c>
      <c r="AC98" s="105">
        <v>19</v>
      </c>
      <c r="AD98" s="1431">
        <f t="shared" si="17"/>
        <v>1.7899999999999991</v>
      </c>
      <c r="AE98" s="2467">
        <v>12</v>
      </c>
      <c r="AG98" s="107"/>
      <c r="AH98" s="107" t="s">
        <v>41</v>
      </c>
      <c r="AI98" s="41" t="s">
        <v>792</v>
      </c>
      <c r="AJ98" s="105">
        <v>13.13</v>
      </c>
      <c r="AK98" s="105">
        <v>30</v>
      </c>
      <c r="AL98" s="1431">
        <f t="shared" si="18"/>
        <v>1.1300000000000008</v>
      </c>
      <c r="AN98" s="105"/>
      <c r="AO98" s="105" t="s">
        <v>41</v>
      </c>
      <c r="AP98" s="41" t="s">
        <v>792</v>
      </c>
      <c r="AQ98" s="1495">
        <v>13.14</v>
      </c>
      <c r="AR98" s="105">
        <v>14</v>
      </c>
      <c r="AS98" s="1485">
        <f>AQ98-CI109</f>
        <v>1.1400000000000006</v>
      </c>
      <c r="AU98" s="817"/>
      <c r="AV98" s="817" t="s">
        <v>41</v>
      </c>
      <c r="AW98" s="1484" t="s">
        <v>792</v>
      </c>
      <c r="AX98" s="1415">
        <v>12.130434782608695</v>
      </c>
      <c r="AY98" s="1416">
        <v>23</v>
      </c>
      <c r="AZ98" s="1485">
        <f>AX98-CI109</f>
        <v>0.13043478260869534</v>
      </c>
      <c r="BO98" s="41"/>
      <c r="BV98" s="41"/>
      <c r="BW98" s="105"/>
      <c r="BX98" s="105"/>
      <c r="CI98" s="1499">
        <v>12</v>
      </c>
    </row>
    <row r="99" spans="1:88">
      <c r="A99" s="105"/>
      <c r="B99" s="105" t="s">
        <v>41</v>
      </c>
      <c r="C99" s="41" t="s">
        <v>792</v>
      </c>
      <c r="D99" s="105">
        <v>14.13</v>
      </c>
      <c r="E99" s="105">
        <v>16</v>
      </c>
      <c r="F99" s="1989">
        <f t="shared" si="30"/>
        <v>2.1300000000000008</v>
      </c>
      <c r="G99" s="4595">
        <v>12</v>
      </c>
      <c r="I99" s="107"/>
      <c r="J99" s="107" t="s">
        <v>41</v>
      </c>
      <c r="K99" s="47" t="s">
        <v>792</v>
      </c>
      <c r="L99" s="107">
        <v>14.43</v>
      </c>
      <c r="M99" s="107">
        <v>7</v>
      </c>
      <c r="N99" s="1431">
        <f t="shared" si="28"/>
        <v>2.4299999999999997</v>
      </c>
      <c r="O99" s="4595">
        <v>12</v>
      </c>
      <c r="Q99" s="4243"/>
      <c r="R99" s="4243" t="s">
        <v>41</v>
      </c>
      <c r="S99" s="44" t="s">
        <v>792</v>
      </c>
      <c r="T99" s="4243">
        <v>14.6</v>
      </c>
      <c r="U99" s="4243">
        <v>5</v>
      </c>
      <c r="V99" s="4721">
        <f t="shared" si="29"/>
        <v>2.5999999999999996</v>
      </c>
      <c r="W99" s="4730">
        <v>12</v>
      </c>
      <c r="Y99" s="41"/>
      <c r="Z99" s="41"/>
      <c r="AA99" s="2457" t="s">
        <v>547</v>
      </c>
      <c r="AB99" s="2458">
        <v>13.79</v>
      </c>
      <c r="AC99" s="2459">
        <v>19</v>
      </c>
      <c r="AD99" s="1989">
        <f t="shared" si="17"/>
        <v>1.7899999999999991</v>
      </c>
      <c r="AE99" s="1499">
        <v>12</v>
      </c>
      <c r="AG99" s="107"/>
      <c r="AH99" s="107"/>
      <c r="AI99" s="461" t="s">
        <v>547</v>
      </c>
      <c r="AJ99" s="96">
        <v>13.13</v>
      </c>
      <c r="AK99" s="96">
        <v>30</v>
      </c>
      <c r="AL99" s="1989">
        <f t="shared" si="18"/>
        <v>1.1300000000000008</v>
      </c>
      <c r="AN99" s="105"/>
      <c r="AO99" s="105"/>
      <c r="AP99" s="461" t="s">
        <v>547</v>
      </c>
      <c r="AQ99" s="1510">
        <v>13.14</v>
      </c>
      <c r="AR99" s="96">
        <v>14</v>
      </c>
      <c r="AS99" s="1655">
        <f>AQ99-CI110</f>
        <v>1.1400000000000006</v>
      </c>
      <c r="AU99" s="817"/>
      <c r="AV99" s="817"/>
      <c r="AW99" s="1500" t="s">
        <v>547</v>
      </c>
      <c r="AX99" s="1501">
        <v>12.130434782608695</v>
      </c>
      <c r="AY99" s="1502">
        <v>23</v>
      </c>
      <c r="AZ99" s="1485">
        <f>AX99-CI110</f>
        <v>0.13043478260869534</v>
      </c>
      <c r="BO99" s="41"/>
      <c r="BV99" s="41"/>
      <c r="BW99" s="105"/>
      <c r="BX99" s="105"/>
      <c r="CI99" s="1499">
        <v>12</v>
      </c>
    </row>
    <row r="100" spans="1:88">
      <c r="A100" s="105"/>
      <c r="B100" s="105"/>
      <c r="C100" s="461" t="s">
        <v>547</v>
      </c>
      <c r="D100" s="5483">
        <v>14.13</v>
      </c>
      <c r="E100" s="5483">
        <v>16</v>
      </c>
      <c r="F100" s="1431">
        <f t="shared" si="30"/>
        <v>2.1300000000000008</v>
      </c>
      <c r="G100" s="4595">
        <v>12</v>
      </c>
      <c r="I100" s="107"/>
      <c r="J100" s="107"/>
      <c r="K100" s="4598" t="s">
        <v>547</v>
      </c>
      <c r="L100" s="4599">
        <v>14.43</v>
      </c>
      <c r="M100" s="4599">
        <v>7</v>
      </c>
      <c r="N100" s="1989">
        <f t="shared" si="28"/>
        <v>2.4299999999999997</v>
      </c>
      <c r="O100" s="4591">
        <v>12</v>
      </c>
      <c r="Q100" s="4243"/>
      <c r="R100" s="4243"/>
      <c r="S100" s="4735" t="s">
        <v>547</v>
      </c>
      <c r="T100" s="4736">
        <v>14.6</v>
      </c>
      <c r="U100" s="4736">
        <v>5</v>
      </c>
      <c r="V100" s="4724">
        <f t="shared" si="29"/>
        <v>2.5999999999999996</v>
      </c>
      <c r="W100" s="4722">
        <v>12</v>
      </c>
      <c r="Y100" s="2460"/>
      <c r="Z100" s="2460"/>
      <c r="AA100" s="2461" t="s">
        <v>1158</v>
      </c>
      <c r="AB100" s="2462">
        <v>13.98</v>
      </c>
      <c r="AC100" s="2463">
        <v>52</v>
      </c>
      <c r="AD100" s="1990">
        <f t="shared" si="17"/>
        <v>1.9800000000000004</v>
      </c>
      <c r="AE100" s="2468">
        <v>12</v>
      </c>
      <c r="AG100" s="1676"/>
      <c r="AH100" s="1676"/>
      <c r="AI100" s="1652" t="s">
        <v>1158</v>
      </c>
      <c r="AJ100" s="1654">
        <v>13.05</v>
      </c>
      <c r="AK100" s="1654">
        <v>81</v>
      </c>
      <c r="AL100" s="1990">
        <f t="shared" si="18"/>
        <v>1.0500000000000007</v>
      </c>
      <c r="AN100" s="105"/>
      <c r="AO100" s="105"/>
      <c r="AP100" s="461" t="s">
        <v>1158</v>
      </c>
      <c r="AQ100" s="1510">
        <v>12.83</v>
      </c>
      <c r="AR100" s="96">
        <v>29</v>
      </c>
      <c r="AS100" s="1655">
        <f>AQ100-CI111</f>
        <v>0.83000000000000007</v>
      </c>
      <c r="AU100" s="817"/>
      <c r="AV100" s="817"/>
      <c r="AW100" s="1500" t="s">
        <v>1158</v>
      </c>
      <c r="AX100" s="1501">
        <v>12.226666666666667</v>
      </c>
      <c r="AY100" s="1502">
        <v>75</v>
      </c>
      <c r="AZ100" s="1485">
        <f>AX100-CI111</f>
        <v>0.22666666666666657</v>
      </c>
      <c r="BO100" s="41"/>
      <c r="BV100" s="41"/>
      <c r="BW100" s="105"/>
      <c r="BX100" s="105"/>
      <c r="CI100" s="1499">
        <v>12</v>
      </c>
    </row>
    <row r="101" spans="1:88" ht="15" thickBot="1">
      <c r="A101" s="105"/>
      <c r="B101" s="105"/>
      <c r="C101" s="5488" t="s">
        <v>1158</v>
      </c>
      <c r="D101" s="5489">
        <v>13.92</v>
      </c>
      <c r="E101" s="5489">
        <v>72</v>
      </c>
      <c r="F101" s="5490">
        <f t="shared" si="30"/>
        <v>1.92</v>
      </c>
      <c r="G101" s="5492">
        <v>12</v>
      </c>
      <c r="I101" s="107"/>
      <c r="J101" s="107"/>
      <c r="K101" s="4592" t="s">
        <v>1158</v>
      </c>
      <c r="L101" s="4593">
        <v>14.29</v>
      </c>
      <c r="M101" s="4593">
        <v>42</v>
      </c>
      <c r="N101" s="1990">
        <f t="shared" si="28"/>
        <v>2.2899999999999991</v>
      </c>
      <c r="O101" s="4600">
        <v>12</v>
      </c>
      <c r="Q101" s="4243"/>
      <c r="R101" s="4243"/>
      <c r="S101" s="4725" t="s">
        <v>1158</v>
      </c>
      <c r="T101" s="4726">
        <v>14.28</v>
      </c>
      <c r="U101" s="4726">
        <v>36</v>
      </c>
      <c r="V101" s="4727">
        <f t="shared" si="29"/>
        <v>2.2799999999999994</v>
      </c>
      <c r="W101" s="4737">
        <v>12</v>
      </c>
      <c r="Y101" s="469"/>
      <c r="Z101" s="469"/>
      <c r="AA101" s="465" t="s">
        <v>113</v>
      </c>
      <c r="AB101" s="1541">
        <v>15.93</v>
      </c>
      <c r="AC101" s="466">
        <v>5450</v>
      </c>
      <c r="AD101" s="1988">
        <f t="shared" si="17"/>
        <v>3.9299999999999997</v>
      </c>
      <c r="AE101" s="2469">
        <v>12</v>
      </c>
      <c r="AG101" s="1099"/>
      <c r="AH101" s="1099"/>
      <c r="AI101" s="465" t="s">
        <v>113</v>
      </c>
      <c r="AJ101" s="466">
        <v>16.11</v>
      </c>
      <c r="AK101" s="466">
        <v>5427</v>
      </c>
      <c r="AL101" s="1988">
        <f t="shared" si="18"/>
        <v>4.1099999999999994</v>
      </c>
      <c r="AN101" s="464"/>
      <c r="AO101" s="464"/>
      <c r="AP101" s="465" t="s">
        <v>113</v>
      </c>
      <c r="AQ101" s="1541">
        <v>15.86</v>
      </c>
      <c r="AR101" s="466">
        <v>5145</v>
      </c>
      <c r="AS101" s="1651">
        <f>AQ101-CI111</f>
        <v>3.8599999999999994</v>
      </c>
      <c r="AU101" s="1095"/>
      <c r="AV101" s="1095"/>
      <c r="AW101" s="1566"/>
      <c r="AX101" s="911"/>
      <c r="AY101" s="911"/>
      <c r="AZ101" s="911"/>
      <c r="BI101" s="41"/>
      <c r="BJ101" s="41"/>
      <c r="BK101" s="41"/>
      <c r="BL101" s="41"/>
      <c r="BM101" s="41"/>
      <c r="BN101" s="41"/>
      <c r="BO101" s="41"/>
      <c r="BV101" s="41"/>
      <c r="BW101" s="105"/>
      <c r="BX101" s="105"/>
      <c r="CI101" s="1499">
        <v>12</v>
      </c>
    </row>
    <row r="102" spans="1:88" ht="15" thickBot="1">
      <c r="A102" s="464"/>
      <c r="B102" s="464"/>
      <c r="C102" s="465" t="s">
        <v>113</v>
      </c>
      <c r="D102" s="466">
        <v>15.06</v>
      </c>
      <c r="E102" s="466">
        <v>4209</v>
      </c>
      <c r="F102" s="5493">
        <f t="shared" si="30"/>
        <v>3.0600000000000005</v>
      </c>
      <c r="G102" s="4601">
        <v>12</v>
      </c>
      <c r="I102" s="1099"/>
      <c r="J102" s="1099"/>
      <c r="K102" s="941" t="s">
        <v>113</v>
      </c>
      <c r="L102" s="456">
        <v>15.97</v>
      </c>
      <c r="M102" s="456">
        <v>5336</v>
      </c>
      <c r="N102" s="1568">
        <f t="shared" si="28"/>
        <v>3.9700000000000006</v>
      </c>
      <c r="O102" s="4601">
        <v>12</v>
      </c>
      <c r="Q102" s="4738"/>
      <c r="R102" s="4738"/>
      <c r="S102" s="4739" t="s">
        <v>113</v>
      </c>
      <c r="T102" s="4718">
        <v>15.74</v>
      </c>
      <c r="U102" s="4718">
        <v>4256</v>
      </c>
      <c r="V102" s="4740">
        <f t="shared" si="29"/>
        <v>3.74</v>
      </c>
      <c r="W102" s="4741">
        <v>12</v>
      </c>
      <c r="AG102" s="41"/>
      <c r="AH102" s="41"/>
      <c r="AI102" s="41"/>
      <c r="AJ102" s="105"/>
      <c r="AK102" s="105"/>
      <c r="AL102" s="41"/>
      <c r="AQ102" s="1495"/>
      <c r="AR102" s="105"/>
      <c r="AS102" s="1485"/>
      <c r="BI102" s="41"/>
      <c r="BJ102" s="41"/>
      <c r="BK102" s="41"/>
      <c r="BL102" s="41"/>
      <c r="BM102" s="41"/>
      <c r="BN102" s="41"/>
      <c r="BO102" s="41"/>
      <c r="BP102" s="107"/>
      <c r="BQ102" s="107"/>
      <c r="BR102" s="41"/>
      <c r="BS102" s="41"/>
      <c r="BT102" s="41"/>
      <c r="BU102" s="41"/>
      <c r="BV102" s="41"/>
      <c r="BW102" s="105"/>
      <c r="BX102" s="105"/>
    </row>
    <row r="103" spans="1:88">
      <c r="A103" s="105"/>
      <c r="B103" s="105"/>
      <c r="C103" s="41"/>
      <c r="D103" s="105"/>
      <c r="E103" s="105"/>
      <c r="F103" s="105"/>
      <c r="G103" s="105"/>
      <c r="I103" s="47"/>
      <c r="J103" s="47"/>
      <c r="K103" s="47"/>
      <c r="L103" s="47"/>
      <c r="M103" s="47"/>
      <c r="N103" s="47"/>
      <c r="O103" s="47"/>
      <c r="AG103" s="41"/>
      <c r="AH103" s="41"/>
      <c r="AI103" s="41"/>
      <c r="AJ103" s="105"/>
      <c r="AK103" s="105"/>
      <c r="AL103" s="41"/>
      <c r="BI103" s="41"/>
      <c r="BJ103" s="41"/>
      <c r="BK103" s="41"/>
      <c r="BL103" s="41"/>
      <c r="BM103" s="41"/>
      <c r="BN103" s="41"/>
      <c r="BO103" s="41"/>
      <c r="BP103" s="107"/>
      <c r="BQ103" s="107"/>
      <c r="BR103" s="41"/>
      <c r="BS103" s="41"/>
      <c r="BT103" s="41"/>
      <c r="BU103" s="41"/>
      <c r="BV103" s="41"/>
      <c r="BW103" s="105"/>
      <c r="BX103" s="105"/>
      <c r="BY103" s="41"/>
      <c r="BZ103" s="41"/>
      <c r="CA103" s="41"/>
      <c r="CB103" s="41"/>
      <c r="CC103" s="41"/>
      <c r="CD103" s="41"/>
      <c r="CE103" s="41"/>
      <c r="CF103" s="41"/>
      <c r="CG103" s="41"/>
      <c r="CH103" s="41"/>
      <c r="CI103" s="41"/>
      <c r="CJ103" s="107"/>
    </row>
    <row r="104" spans="1:88" ht="37.200000000000003" thickBot="1">
      <c r="A104" s="105"/>
      <c r="B104" s="105"/>
      <c r="C104" s="466" t="s">
        <v>1</v>
      </c>
      <c r="D104" s="466"/>
      <c r="E104" s="466"/>
      <c r="F104" s="1480" t="s">
        <v>1302</v>
      </c>
      <c r="G104" s="4603" t="s">
        <v>1303</v>
      </c>
      <c r="I104" s="47"/>
      <c r="J104" s="47"/>
      <c r="K104" s="456" t="s">
        <v>1</v>
      </c>
      <c r="L104" s="456" t="s">
        <v>1319</v>
      </c>
      <c r="M104" s="456" t="s">
        <v>1366</v>
      </c>
      <c r="N104" s="1480" t="s">
        <v>1302</v>
      </c>
      <c r="O104" s="4603" t="s">
        <v>1303</v>
      </c>
      <c r="S104" s="4718" t="s">
        <v>1</v>
      </c>
      <c r="T104" s="4718" t="s">
        <v>1319</v>
      </c>
      <c r="U104" s="4718" t="s">
        <v>1366</v>
      </c>
      <c r="V104" s="4719" t="s">
        <v>1302</v>
      </c>
      <c r="W104" s="4742" t="s">
        <v>1303</v>
      </c>
      <c r="AA104" s="466" t="s">
        <v>1</v>
      </c>
      <c r="AB104" s="1643" t="s">
        <v>2522</v>
      </c>
      <c r="AC104" s="466" t="s">
        <v>2523</v>
      </c>
      <c r="AD104" s="1650" t="s">
        <v>1302</v>
      </c>
      <c r="AE104" s="2470" t="s">
        <v>1303</v>
      </c>
      <c r="AG104" s="41"/>
      <c r="AH104" s="41"/>
      <c r="AI104" s="466" t="s">
        <v>1</v>
      </c>
      <c r="AJ104" s="1643" t="s">
        <v>2522</v>
      </c>
      <c r="AK104" s="466" t="s">
        <v>2523</v>
      </c>
      <c r="AL104" s="1650" t="s">
        <v>1302</v>
      </c>
      <c r="BI104" s="41"/>
      <c r="BJ104" s="41"/>
      <c r="BK104" s="41"/>
      <c r="BL104" s="41"/>
      <c r="BM104" s="41"/>
      <c r="BN104" s="41"/>
      <c r="BO104" s="41"/>
      <c r="BP104" s="107"/>
      <c r="BQ104" s="107"/>
      <c r="BR104" s="41"/>
      <c r="BS104" s="41"/>
      <c r="BT104" s="41"/>
      <c r="BU104" s="41"/>
      <c r="BV104" s="41"/>
      <c r="BW104" s="105"/>
      <c r="BX104" s="105"/>
      <c r="BY104" s="41"/>
      <c r="BZ104" s="41"/>
      <c r="CA104" s="41"/>
      <c r="CB104" s="41"/>
      <c r="CC104" s="41"/>
      <c r="CD104" s="41"/>
      <c r="CE104" s="41"/>
      <c r="CF104" s="41"/>
      <c r="CG104" s="41"/>
      <c r="CH104" s="41"/>
      <c r="CI104" s="41"/>
      <c r="CJ104" s="107"/>
    </row>
    <row r="105" spans="1:88">
      <c r="A105" s="105"/>
      <c r="C105" s="5494" t="s">
        <v>4</v>
      </c>
      <c r="D105" s="5494">
        <v>20.57</v>
      </c>
      <c r="E105" s="5494">
        <v>389</v>
      </c>
      <c r="F105" s="1431">
        <f t="shared" ref="F105:F111" si="31">D105-G105</f>
        <v>8.57</v>
      </c>
      <c r="G105" s="4595">
        <v>12</v>
      </c>
      <c r="I105" s="47"/>
      <c r="J105" s="47"/>
      <c r="K105" s="107" t="s">
        <v>4</v>
      </c>
      <c r="L105" s="107">
        <v>20.62</v>
      </c>
      <c r="M105" s="107">
        <v>807</v>
      </c>
      <c r="N105" s="1431">
        <f t="shared" ref="N105:N111" si="32">L105-O105</f>
        <v>8.620000000000001</v>
      </c>
      <c r="O105" s="4595">
        <v>12</v>
      </c>
      <c r="S105" s="4243" t="s">
        <v>4</v>
      </c>
      <c r="T105" s="4243">
        <v>20.54</v>
      </c>
      <c r="U105" s="4243">
        <v>590</v>
      </c>
      <c r="V105" s="4743">
        <f t="shared" ref="V105:V111" si="33">T105-W105</f>
        <v>8.5399999999999991</v>
      </c>
      <c r="W105" s="4744">
        <v>12</v>
      </c>
      <c r="AA105" s="107" t="s">
        <v>4</v>
      </c>
      <c r="AB105" s="105">
        <v>20</v>
      </c>
      <c r="AC105" s="105">
        <v>829</v>
      </c>
      <c r="AD105" s="1495">
        <f>AB105-AE105</f>
        <v>8</v>
      </c>
      <c r="AE105" s="1563">
        <v>12</v>
      </c>
      <c r="AG105" s="41"/>
      <c r="AH105" s="41"/>
      <c r="AI105" s="107" t="s">
        <v>4</v>
      </c>
      <c r="AJ105" s="105">
        <v>20.69</v>
      </c>
      <c r="AK105" s="105">
        <v>865</v>
      </c>
      <c r="AL105" s="105">
        <f t="shared" si="18"/>
        <v>8.6900000000000013</v>
      </c>
      <c r="AP105" s="105" t="s">
        <v>4</v>
      </c>
      <c r="AQ105" s="1495">
        <v>20.23</v>
      </c>
      <c r="AR105" s="105">
        <v>755</v>
      </c>
      <c r="AS105" s="1485">
        <f>AQ105-12</f>
        <v>8.23</v>
      </c>
      <c r="AW105" s="1575" t="s">
        <v>4</v>
      </c>
      <c r="AX105" s="1576">
        <v>20.151388888888864</v>
      </c>
      <c r="AY105" s="1577">
        <v>720</v>
      </c>
      <c r="AZ105" s="1578">
        <f>AX105-12</f>
        <v>8.1513888888888637</v>
      </c>
      <c r="BB105" s="1486"/>
      <c r="BC105" s="41"/>
      <c r="BD105" s="1486" t="s">
        <v>4</v>
      </c>
      <c r="BE105" s="1488">
        <v>786</v>
      </c>
      <c r="BF105" s="1489">
        <v>20.636132315521618</v>
      </c>
      <c r="BG105" s="1431">
        <f t="shared" ref="BG105:BG111" si="34">BF105-12</f>
        <v>8.6361323155216176</v>
      </c>
      <c r="BI105" s="107"/>
      <c r="BJ105" s="107"/>
      <c r="BK105" s="1555" t="s">
        <v>4</v>
      </c>
      <c r="BL105" s="1556">
        <f>SUM(BL16,BL36)</f>
        <v>685</v>
      </c>
      <c r="BM105" s="1557">
        <v>20.621897810218968</v>
      </c>
      <c r="BN105" s="1538">
        <f t="shared" ref="BN105:BN110" si="35">+BM105-12</f>
        <v>8.6218978102189681</v>
      </c>
      <c r="BO105" s="41"/>
      <c r="BP105" s="107"/>
      <c r="BQ105" s="107"/>
      <c r="BR105" s="1555" t="s">
        <v>4</v>
      </c>
      <c r="BS105" s="1558">
        <v>564</v>
      </c>
      <c r="BT105" s="1557">
        <v>20.177304964539012</v>
      </c>
      <c r="BU105" s="1538">
        <f t="shared" ref="BU105:BU111" si="36">+BT105-12</f>
        <v>8.1773049645390117</v>
      </c>
      <c r="BV105" s="41"/>
      <c r="BW105" s="105"/>
      <c r="BX105" s="105"/>
      <c r="BY105" s="1555" t="s">
        <v>4</v>
      </c>
      <c r="BZ105" s="1555">
        <v>583</v>
      </c>
      <c r="CA105" s="1559">
        <v>20.238421955403101</v>
      </c>
      <c r="CB105" s="1560">
        <f t="shared" ref="CB105:CB110" si="37">+CA105-12</f>
        <v>8.2384219554031013</v>
      </c>
      <c r="CC105" s="41"/>
      <c r="CD105" s="1497"/>
      <c r="CE105" s="1497"/>
      <c r="CF105" s="1561" t="s">
        <v>4</v>
      </c>
      <c r="CG105" s="1561">
        <v>607</v>
      </c>
      <c r="CH105" s="1562">
        <v>19.774299835255352</v>
      </c>
      <c r="CI105" s="1563">
        <v>12</v>
      </c>
      <c r="CJ105" s="1985">
        <f t="shared" ref="CJ105:CJ111" si="38">CH105-CI105</f>
        <v>7.7742998352553521</v>
      </c>
    </row>
    <row r="106" spans="1:88">
      <c r="A106" s="105"/>
      <c r="C106" s="5494" t="s">
        <v>16</v>
      </c>
      <c r="D106" s="5494">
        <v>14.42</v>
      </c>
      <c r="E106" s="5494">
        <v>1780</v>
      </c>
      <c r="F106" s="4749">
        <f t="shared" si="31"/>
        <v>2.42</v>
      </c>
      <c r="G106" s="4591">
        <v>12</v>
      </c>
      <c r="I106" s="47"/>
      <c r="J106" s="47"/>
      <c r="K106" s="107" t="s">
        <v>16</v>
      </c>
      <c r="L106" s="107">
        <v>15.2</v>
      </c>
      <c r="M106" s="107">
        <v>2018</v>
      </c>
      <c r="N106" s="4749">
        <f t="shared" si="32"/>
        <v>3.1999999999999993</v>
      </c>
      <c r="O106" s="4591">
        <v>12</v>
      </c>
      <c r="S106" s="4243" t="s">
        <v>16</v>
      </c>
      <c r="T106" s="4243">
        <v>14.91</v>
      </c>
      <c r="U106" s="4243">
        <v>1669</v>
      </c>
      <c r="V106" s="4745">
        <f t="shared" si="33"/>
        <v>2.91</v>
      </c>
      <c r="W106" s="4722">
        <v>12</v>
      </c>
      <c r="AA106" s="107" t="s">
        <v>16</v>
      </c>
      <c r="AB106" s="105">
        <v>15.35</v>
      </c>
      <c r="AC106" s="105">
        <v>2142</v>
      </c>
      <c r="AD106" s="1495">
        <f t="shared" ref="AD106:AD111" si="39">AB106-AE106</f>
        <v>3.3499999999999996</v>
      </c>
      <c r="AE106" s="1499">
        <v>12</v>
      </c>
      <c r="AG106" s="41"/>
      <c r="AH106" s="41"/>
      <c r="AI106" s="107" t="s">
        <v>16</v>
      </c>
      <c r="AJ106" s="105">
        <v>15.21</v>
      </c>
      <c r="AK106" s="105">
        <v>2049</v>
      </c>
      <c r="AL106" s="105">
        <f t="shared" si="18"/>
        <v>3.2100000000000009</v>
      </c>
      <c r="AP106" s="105" t="s">
        <v>16</v>
      </c>
      <c r="AQ106" s="1495">
        <v>14.98</v>
      </c>
      <c r="AR106" s="105">
        <v>2016</v>
      </c>
      <c r="AS106" s="1485">
        <f t="shared" ref="AS106:AS111" si="40">AQ106-12</f>
        <v>2.9800000000000004</v>
      </c>
      <c r="AW106" s="1575" t="s">
        <v>16</v>
      </c>
      <c r="AX106" s="1576">
        <v>15.370656370656359</v>
      </c>
      <c r="AY106" s="1577">
        <v>2072</v>
      </c>
      <c r="AZ106" s="1578">
        <f t="shared" ref="AZ106:AZ111" si="41">AX106-12</f>
        <v>3.3706563706563593</v>
      </c>
      <c r="BB106" s="1486"/>
      <c r="BC106" s="41"/>
      <c r="BD106" s="1486" t="s">
        <v>16</v>
      </c>
      <c r="BE106" s="1488">
        <v>1954</v>
      </c>
      <c r="BF106" s="1489">
        <v>15.036847492323407</v>
      </c>
      <c r="BG106" s="1431">
        <f t="shared" si="34"/>
        <v>3.0368474923234068</v>
      </c>
      <c r="BI106" s="107"/>
      <c r="BJ106" s="107"/>
      <c r="BK106" s="105" t="s">
        <v>16</v>
      </c>
      <c r="BL106" s="1564">
        <f>SUM(BL21,BL48,BL63,BL82)</f>
        <v>2345</v>
      </c>
      <c r="BM106" s="1418">
        <v>15.063113006396613</v>
      </c>
      <c r="BN106" s="1491">
        <f t="shared" si="35"/>
        <v>3.0631130063966125</v>
      </c>
      <c r="BO106" s="41"/>
      <c r="BP106" s="107"/>
      <c r="BQ106" s="107"/>
      <c r="BR106" s="105" t="s">
        <v>16</v>
      </c>
      <c r="BS106" s="107">
        <v>1937</v>
      </c>
      <c r="BT106" s="1418">
        <v>14.944759938048525</v>
      </c>
      <c r="BU106" s="1491">
        <f t="shared" si="36"/>
        <v>2.9447599380485254</v>
      </c>
      <c r="BV106" s="41"/>
      <c r="BW106" s="105"/>
      <c r="BX106" s="105"/>
      <c r="BY106" s="105" t="s">
        <v>16</v>
      </c>
      <c r="BZ106" s="105">
        <v>1788</v>
      </c>
      <c r="CA106" s="1495">
        <v>15.041387024608484</v>
      </c>
      <c r="CB106" s="1496">
        <f t="shared" si="37"/>
        <v>3.0413870246084844</v>
      </c>
      <c r="CC106" s="41"/>
      <c r="CD106" s="1497"/>
      <c r="CE106" s="1497"/>
      <c r="CF106" s="1497" t="s">
        <v>16</v>
      </c>
      <c r="CG106" s="1497">
        <v>1963</v>
      </c>
      <c r="CH106" s="1498">
        <v>15.22924095771773</v>
      </c>
      <c r="CI106" s="1499">
        <v>12</v>
      </c>
      <c r="CJ106" s="1980">
        <f t="shared" si="38"/>
        <v>3.2292409577177299</v>
      </c>
    </row>
    <row r="107" spans="1:88">
      <c r="A107" s="105"/>
      <c r="C107" s="5494" t="s">
        <v>41</v>
      </c>
      <c r="D107" s="5494">
        <v>14.78</v>
      </c>
      <c r="E107" s="5494">
        <v>1216</v>
      </c>
      <c r="F107" s="4749">
        <f t="shared" si="31"/>
        <v>2.7799999999999994</v>
      </c>
      <c r="G107" s="4591">
        <v>12</v>
      </c>
      <c r="I107" s="47"/>
      <c r="J107" s="47"/>
      <c r="K107" s="107" t="s">
        <v>41</v>
      </c>
      <c r="L107" s="107">
        <v>15.34</v>
      </c>
      <c r="M107" s="107">
        <v>1544</v>
      </c>
      <c r="N107" s="4749">
        <f t="shared" si="32"/>
        <v>3.34</v>
      </c>
      <c r="O107" s="4591">
        <v>12</v>
      </c>
      <c r="S107" s="4243" t="s">
        <v>41</v>
      </c>
      <c r="T107" s="4243">
        <v>15.39</v>
      </c>
      <c r="U107" s="4243">
        <v>1173</v>
      </c>
      <c r="V107" s="4745">
        <f t="shared" si="33"/>
        <v>3.3900000000000006</v>
      </c>
      <c r="W107" s="4722">
        <v>12</v>
      </c>
      <c r="AA107" s="107" t="s">
        <v>41</v>
      </c>
      <c r="AB107" s="105">
        <v>15.21</v>
      </c>
      <c r="AC107" s="105">
        <v>1571</v>
      </c>
      <c r="AD107" s="1495">
        <f t="shared" si="39"/>
        <v>3.2100000000000009</v>
      </c>
      <c r="AE107" s="1499">
        <v>12</v>
      </c>
      <c r="AG107" s="41"/>
      <c r="AH107" s="41"/>
      <c r="AI107" s="107" t="s">
        <v>41</v>
      </c>
      <c r="AJ107" s="105">
        <v>15.3</v>
      </c>
      <c r="AK107" s="105">
        <v>1606</v>
      </c>
      <c r="AL107" s="105">
        <f t="shared" si="18"/>
        <v>3.3000000000000007</v>
      </c>
      <c r="AP107" s="105" t="s">
        <v>41</v>
      </c>
      <c r="AQ107" s="1495">
        <v>15.34</v>
      </c>
      <c r="AR107" s="105">
        <v>1517</v>
      </c>
      <c r="AS107" s="1485">
        <f t="shared" si="40"/>
        <v>3.34</v>
      </c>
      <c r="AW107" s="1575" t="s">
        <v>41</v>
      </c>
      <c r="AX107" s="1576">
        <v>15.10960670535138</v>
      </c>
      <c r="AY107" s="1577">
        <v>1551</v>
      </c>
      <c r="AZ107" s="1578">
        <f t="shared" si="41"/>
        <v>3.1096067053513803</v>
      </c>
      <c r="BB107" s="1486"/>
      <c r="BC107" s="41"/>
      <c r="BD107" s="1486" t="s">
        <v>41</v>
      </c>
      <c r="BE107" s="1488">
        <v>1472</v>
      </c>
      <c r="BF107" s="1489">
        <v>14.992527173913057</v>
      </c>
      <c r="BG107" s="1431">
        <f t="shared" si="34"/>
        <v>2.9925271739130572</v>
      </c>
      <c r="BI107" s="107"/>
      <c r="BJ107" s="107"/>
      <c r="BK107" s="105" t="s">
        <v>41</v>
      </c>
      <c r="BL107" s="1564">
        <f>SUM(BL55,BL72)</f>
        <v>1499</v>
      </c>
      <c r="BM107" s="1418">
        <v>15.104736490994004</v>
      </c>
      <c r="BN107" s="1491">
        <f t="shared" si="35"/>
        <v>3.1047364909940036</v>
      </c>
      <c r="BO107" s="41"/>
      <c r="BP107" s="107"/>
      <c r="BQ107" s="107"/>
      <c r="BR107" s="105" t="s">
        <v>41</v>
      </c>
      <c r="BS107" s="107">
        <v>1482</v>
      </c>
      <c r="BT107" s="1418">
        <v>14.843454790823222</v>
      </c>
      <c r="BU107" s="1491">
        <f t="shared" si="36"/>
        <v>2.8434547908232215</v>
      </c>
      <c r="BV107" s="41"/>
      <c r="BW107" s="105"/>
      <c r="BX107" s="105"/>
      <c r="BY107" s="105" t="s">
        <v>41</v>
      </c>
      <c r="BZ107" s="105">
        <v>1415</v>
      </c>
      <c r="CA107" s="1495">
        <v>14.863604240282683</v>
      </c>
      <c r="CB107" s="1496">
        <f t="shared" si="37"/>
        <v>2.8636042402826831</v>
      </c>
      <c r="CC107" s="41"/>
      <c r="CD107" s="1497"/>
      <c r="CE107" s="1497"/>
      <c r="CF107" s="1497" t="s">
        <v>41</v>
      </c>
      <c r="CG107" s="1497">
        <v>1493</v>
      </c>
      <c r="CH107" s="1498">
        <v>14.789015405224372</v>
      </c>
      <c r="CI107" s="1499">
        <v>12</v>
      </c>
      <c r="CJ107" s="1980">
        <f t="shared" si="38"/>
        <v>2.7890154052243723</v>
      </c>
    </row>
    <row r="108" spans="1:88">
      <c r="A108" s="105"/>
      <c r="C108" s="5494" t="s">
        <v>21</v>
      </c>
      <c r="D108" s="5494">
        <v>13.95</v>
      </c>
      <c r="E108" s="5494">
        <v>754</v>
      </c>
      <c r="F108" s="4749">
        <f t="shared" si="31"/>
        <v>1.9499999999999993</v>
      </c>
      <c r="G108" s="4591">
        <v>12</v>
      </c>
      <c r="I108" s="47"/>
      <c r="J108" s="47"/>
      <c r="K108" s="107" t="s">
        <v>21</v>
      </c>
      <c r="L108" s="107">
        <v>14.48</v>
      </c>
      <c r="M108" s="107">
        <v>825</v>
      </c>
      <c r="N108" s="4749">
        <f t="shared" si="32"/>
        <v>2.4800000000000004</v>
      </c>
      <c r="O108" s="4591">
        <v>12</v>
      </c>
      <c r="S108" s="4243" t="s">
        <v>21</v>
      </c>
      <c r="T108" s="4243">
        <v>14.31</v>
      </c>
      <c r="U108" s="4243">
        <v>741</v>
      </c>
      <c r="V108" s="4745">
        <f t="shared" si="33"/>
        <v>2.3100000000000005</v>
      </c>
      <c r="W108" s="4722">
        <v>12</v>
      </c>
      <c r="AA108" s="107" t="s">
        <v>21</v>
      </c>
      <c r="AB108" s="105">
        <v>14.54</v>
      </c>
      <c r="AC108" s="105">
        <v>768</v>
      </c>
      <c r="AD108" s="1495">
        <f t="shared" si="39"/>
        <v>2.5399999999999991</v>
      </c>
      <c r="AE108" s="1499">
        <v>12</v>
      </c>
      <c r="AG108" s="41"/>
      <c r="AH108" s="41"/>
      <c r="AI108" s="107" t="s">
        <v>21</v>
      </c>
      <c r="AJ108" s="105">
        <v>15.03</v>
      </c>
      <c r="AK108" s="105">
        <v>809</v>
      </c>
      <c r="AL108" s="105">
        <f t="shared" si="18"/>
        <v>3.0299999999999994</v>
      </c>
      <c r="AP108" s="105" t="s">
        <v>21</v>
      </c>
      <c r="AQ108" s="1495">
        <v>14.78</v>
      </c>
      <c r="AR108" s="105">
        <v>776</v>
      </c>
      <c r="AS108" s="1485">
        <f t="shared" si="40"/>
        <v>2.7799999999999994</v>
      </c>
      <c r="AW108" s="1575" t="s">
        <v>21</v>
      </c>
      <c r="AX108" s="1576">
        <v>15.215712383488661</v>
      </c>
      <c r="AY108" s="1577">
        <v>751</v>
      </c>
      <c r="AZ108" s="1578">
        <f t="shared" si="41"/>
        <v>3.2157123834886612</v>
      </c>
      <c r="BB108" s="1486"/>
      <c r="BC108" s="41"/>
      <c r="BD108" s="1486" t="s">
        <v>21</v>
      </c>
      <c r="BE108" s="1488">
        <v>798</v>
      </c>
      <c r="BF108" s="1489">
        <v>14.770676691729317</v>
      </c>
      <c r="BG108" s="1431">
        <f t="shared" si="34"/>
        <v>2.7706766917293173</v>
      </c>
      <c r="BI108" s="107"/>
      <c r="BJ108" s="107"/>
      <c r="BK108" s="105" t="s">
        <v>21</v>
      </c>
      <c r="BL108" s="1564">
        <f>SUM(BL25,BL77)</f>
        <v>769</v>
      </c>
      <c r="BM108" s="1418">
        <v>14.819245773732113</v>
      </c>
      <c r="BN108" s="1491">
        <f t="shared" si="35"/>
        <v>2.8192457737321135</v>
      </c>
      <c r="BO108" s="41"/>
      <c r="BP108" s="107"/>
      <c r="BQ108" s="107"/>
      <c r="BR108" s="105" t="s">
        <v>21</v>
      </c>
      <c r="BS108" s="107">
        <v>625</v>
      </c>
      <c r="BT108" s="1418">
        <v>15.233599999999983</v>
      </c>
      <c r="BU108" s="1491">
        <f t="shared" si="36"/>
        <v>3.2335999999999832</v>
      </c>
      <c r="BV108" s="41"/>
      <c r="BW108" s="105"/>
      <c r="BX108" s="105"/>
      <c r="BY108" s="105" t="s">
        <v>21</v>
      </c>
      <c r="BZ108" s="105">
        <v>619</v>
      </c>
      <c r="CA108" s="1495">
        <v>15.035541195476599</v>
      </c>
      <c r="CB108" s="1496">
        <f t="shared" si="37"/>
        <v>3.0355411954765987</v>
      </c>
      <c r="CC108" s="41"/>
      <c r="CD108" s="1497"/>
      <c r="CE108" s="1497"/>
      <c r="CF108" s="1497" t="s">
        <v>21</v>
      </c>
      <c r="CG108" s="1497">
        <v>766</v>
      </c>
      <c r="CH108" s="1498">
        <v>15.06135770234987</v>
      </c>
      <c r="CI108" s="1499">
        <v>12</v>
      </c>
      <c r="CJ108" s="1980">
        <f t="shared" si="38"/>
        <v>3.0613577023498699</v>
      </c>
    </row>
    <row r="109" spans="1:88">
      <c r="A109" s="105"/>
      <c r="C109" s="5494" t="s">
        <v>61</v>
      </c>
      <c r="D109" s="5494">
        <v>16.37</v>
      </c>
      <c r="E109" s="5494">
        <v>41</v>
      </c>
      <c r="F109" s="4749">
        <f t="shared" si="31"/>
        <v>4.370000000000001</v>
      </c>
      <c r="G109" s="4591">
        <v>12</v>
      </c>
      <c r="I109" s="47"/>
      <c r="J109" s="47"/>
      <c r="K109" s="107" t="s">
        <v>61</v>
      </c>
      <c r="L109" s="107">
        <v>15.34</v>
      </c>
      <c r="M109" s="107">
        <v>80</v>
      </c>
      <c r="N109" s="4749">
        <f t="shared" si="32"/>
        <v>3.34</v>
      </c>
      <c r="O109" s="4591">
        <v>12</v>
      </c>
      <c r="S109" s="4243" t="s">
        <v>61</v>
      </c>
      <c r="T109" s="4243">
        <v>14.77</v>
      </c>
      <c r="U109" s="4243">
        <v>47</v>
      </c>
      <c r="V109" s="4745">
        <f t="shared" si="33"/>
        <v>2.7699999999999996</v>
      </c>
      <c r="W109" s="4722">
        <v>12</v>
      </c>
      <c r="AA109" s="107" t="s">
        <v>61</v>
      </c>
      <c r="AB109" s="105">
        <v>16.88</v>
      </c>
      <c r="AC109" s="105">
        <v>64</v>
      </c>
      <c r="AD109" s="1495">
        <f t="shared" si="39"/>
        <v>4.879999999999999</v>
      </c>
      <c r="AE109" s="1499">
        <v>12</v>
      </c>
      <c r="AG109" s="41"/>
      <c r="AH109" s="41"/>
      <c r="AI109" s="107" t="s">
        <v>61</v>
      </c>
      <c r="AJ109" s="105">
        <v>16.440000000000001</v>
      </c>
      <c r="AK109" s="105">
        <v>55</v>
      </c>
      <c r="AL109" s="105">
        <f t="shared" si="18"/>
        <v>4.4400000000000013</v>
      </c>
      <c r="AP109" s="105" t="s">
        <v>61</v>
      </c>
      <c r="AQ109" s="1495">
        <v>16.62</v>
      </c>
      <c r="AR109" s="105">
        <v>39</v>
      </c>
      <c r="AS109" s="1485">
        <f t="shared" si="40"/>
        <v>4.620000000000001</v>
      </c>
      <c r="AW109" s="1575" t="s">
        <v>61</v>
      </c>
      <c r="AX109" s="1576">
        <v>16.551724137931039</v>
      </c>
      <c r="AY109" s="1577">
        <v>29</v>
      </c>
      <c r="AZ109" s="1578">
        <f t="shared" si="41"/>
        <v>4.5517241379310391</v>
      </c>
      <c r="BB109" s="1486"/>
      <c r="BC109" s="41"/>
      <c r="BD109" s="1486" t="s">
        <v>61</v>
      </c>
      <c r="BE109" s="1488">
        <v>31</v>
      </c>
      <c r="BF109" s="1489">
        <v>14.7741935483871</v>
      </c>
      <c r="BG109" s="1431">
        <f t="shared" si="34"/>
        <v>2.7741935483870996</v>
      </c>
      <c r="BI109" s="107"/>
      <c r="BJ109" s="107"/>
      <c r="BK109" s="105" t="s">
        <v>61</v>
      </c>
      <c r="BL109" s="1565">
        <f>SUM(BL86)</f>
        <v>21</v>
      </c>
      <c r="BM109" s="1418">
        <v>14.142857142857142</v>
      </c>
      <c r="BN109" s="1491">
        <f t="shared" si="35"/>
        <v>2.1428571428571423</v>
      </c>
      <c r="BO109" s="41"/>
      <c r="BP109" s="107"/>
      <c r="BQ109" s="107"/>
      <c r="BR109" s="105" t="s">
        <v>61</v>
      </c>
      <c r="BS109" s="107">
        <v>48</v>
      </c>
      <c r="BT109" s="1418">
        <v>13.958333333333334</v>
      </c>
      <c r="BU109" s="1491">
        <f t="shared" si="36"/>
        <v>1.9583333333333339</v>
      </c>
      <c r="BV109" s="41"/>
      <c r="BW109" s="105"/>
      <c r="BX109" s="105"/>
      <c r="BY109" s="105" t="s">
        <v>61</v>
      </c>
      <c r="BZ109" s="105">
        <v>32</v>
      </c>
      <c r="CA109" s="1495">
        <v>13.031250000000002</v>
      </c>
      <c r="CB109" s="1496">
        <f t="shared" si="37"/>
        <v>1.0312500000000018</v>
      </c>
      <c r="CC109" s="41"/>
      <c r="CD109" s="1497"/>
      <c r="CE109" s="1497"/>
      <c r="CF109" s="1497" t="s">
        <v>61</v>
      </c>
      <c r="CG109" s="1497">
        <v>15</v>
      </c>
      <c r="CH109" s="1498">
        <v>13.6</v>
      </c>
      <c r="CI109" s="1499">
        <v>12</v>
      </c>
      <c r="CJ109" s="1980">
        <f t="shared" si="38"/>
        <v>1.5999999999999996</v>
      </c>
    </row>
    <row r="110" spans="1:88">
      <c r="A110" s="105"/>
      <c r="C110" s="5494" t="s">
        <v>64</v>
      </c>
      <c r="D110" s="5494">
        <v>18.97</v>
      </c>
      <c r="E110" s="5494">
        <v>29</v>
      </c>
      <c r="F110" s="4749">
        <f t="shared" si="31"/>
        <v>6.9699999999999989</v>
      </c>
      <c r="G110" s="4591">
        <v>12</v>
      </c>
      <c r="I110" s="47"/>
      <c r="J110" s="47"/>
      <c r="K110" s="107" t="s">
        <v>64</v>
      </c>
      <c r="L110" s="107">
        <v>16.48</v>
      </c>
      <c r="M110" s="107">
        <v>62</v>
      </c>
      <c r="N110" s="4749">
        <f t="shared" si="32"/>
        <v>4.4800000000000004</v>
      </c>
      <c r="O110" s="4591">
        <v>12</v>
      </c>
      <c r="S110" s="4243" t="s">
        <v>64</v>
      </c>
      <c r="T110" s="4243">
        <v>17.079999999999998</v>
      </c>
      <c r="U110" s="4243">
        <v>36</v>
      </c>
      <c r="V110" s="4745">
        <f t="shared" si="33"/>
        <v>5.0799999999999983</v>
      </c>
      <c r="W110" s="4722">
        <v>12</v>
      </c>
      <c r="AA110" s="107" t="s">
        <v>64</v>
      </c>
      <c r="AB110" s="105">
        <v>16.239999999999998</v>
      </c>
      <c r="AC110" s="105">
        <v>76</v>
      </c>
      <c r="AD110" s="1495">
        <f t="shared" si="39"/>
        <v>4.2399999999999984</v>
      </c>
      <c r="AE110" s="1499">
        <v>12</v>
      </c>
      <c r="AG110" s="41"/>
      <c r="AH110" s="41"/>
      <c r="AI110" s="107" t="s">
        <v>64</v>
      </c>
      <c r="AJ110" s="105">
        <v>17.12</v>
      </c>
      <c r="AK110" s="105">
        <v>43</v>
      </c>
      <c r="AL110" s="105">
        <f t="shared" si="18"/>
        <v>5.120000000000001</v>
      </c>
      <c r="AP110" s="105" t="s">
        <v>64</v>
      </c>
      <c r="AQ110" s="1495">
        <v>17.05</v>
      </c>
      <c r="AR110" s="105">
        <v>42</v>
      </c>
      <c r="AS110" s="1485">
        <f t="shared" si="40"/>
        <v>5.0500000000000007</v>
      </c>
      <c r="AW110" s="1575" t="s">
        <v>64</v>
      </c>
      <c r="AX110" s="1576">
        <v>16.208333333333339</v>
      </c>
      <c r="AY110" s="1577">
        <v>24</v>
      </c>
      <c r="AZ110" s="1578">
        <f t="shared" si="41"/>
        <v>4.2083333333333393</v>
      </c>
      <c r="BB110" s="1486"/>
      <c r="BC110" s="41"/>
      <c r="BD110" s="1486" t="s">
        <v>64</v>
      </c>
      <c r="BE110" s="1488">
        <v>22</v>
      </c>
      <c r="BF110" s="1489">
        <v>17.045454545454543</v>
      </c>
      <c r="BG110" s="1431">
        <f t="shared" si="34"/>
        <v>5.0454545454545432</v>
      </c>
      <c r="BI110" s="107"/>
      <c r="BJ110" s="107"/>
      <c r="BK110" s="105" t="s">
        <v>64</v>
      </c>
      <c r="BL110" s="1565">
        <f>SUM(BL90)</f>
        <v>15</v>
      </c>
      <c r="BM110" s="1418">
        <v>15.733333333333334</v>
      </c>
      <c r="BN110" s="1491">
        <f t="shared" si="35"/>
        <v>3.7333333333333343</v>
      </c>
      <c r="BO110" s="41"/>
      <c r="BP110" s="107"/>
      <c r="BQ110" s="107"/>
      <c r="BR110" s="105" t="s">
        <v>64</v>
      </c>
      <c r="BS110" s="107">
        <v>18</v>
      </c>
      <c r="BT110" s="1418">
        <v>14.222222222222223</v>
      </c>
      <c r="BU110" s="1491">
        <f t="shared" si="36"/>
        <v>2.2222222222222232</v>
      </c>
      <c r="BV110" s="41"/>
      <c r="BW110" s="105"/>
      <c r="BX110" s="105"/>
      <c r="BY110" s="105" t="s">
        <v>64</v>
      </c>
      <c r="BZ110" s="105">
        <v>11</v>
      </c>
      <c r="CA110" s="1495">
        <v>14.090909090909092</v>
      </c>
      <c r="CB110" s="1496">
        <f t="shared" si="37"/>
        <v>2.0909090909090917</v>
      </c>
      <c r="CC110" s="41"/>
      <c r="CD110" s="1497"/>
      <c r="CE110" s="1497"/>
      <c r="CF110" s="1497" t="s">
        <v>64</v>
      </c>
      <c r="CG110" s="1497">
        <v>10</v>
      </c>
      <c r="CH110" s="1498">
        <v>13.7</v>
      </c>
      <c r="CI110" s="1499">
        <v>12</v>
      </c>
      <c r="CJ110" s="1980">
        <f t="shared" si="38"/>
        <v>1.6999999999999993</v>
      </c>
    </row>
    <row r="111" spans="1:88" ht="15" thickBot="1">
      <c r="A111" s="105"/>
      <c r="C111" s="466" t="s">
        <v>75</v>
      </c>
      <c r="D111" s="466">
        <v>15.06</v>
      </c>
      <c r="E111" s="466">
        <v>4209</v>
      </c>
      <c r="F111" s="1988">
        <f t="shared" si="31"/>
        <v>3.0600000000000005</v>
      </c>
      <c r="G111" s="4602">
        <v>12</v>
      </c>
      <c r="I111" s="47"/>
      <c r="J111" s="47"/>
      <c r="K111" s="456" t="s">
        <v>15</v>
      </c>
      <c r="L111" s="456">
        <v>15.97</v>
      </c>
      <c r="M111" s="456">
        <v>5336</v>
      </c>
      <c r="N111" s="1988">
        <f t="shared" si="32"/>
        <v>3.9700000000000006</v>
      </c>
      <c r="O111" s="4602">
        <v>12</v>
      </c>
      <c r="S111" s="4718" t="s">
        <v>15</v>
      </c>
      <c r="T111" s="4718">
        <v>15.74</v>
      </c>
      <c r="U111" s="4718">
        <v>4256</v>
      </c>
      <c r="V111" s="4746">
        <f t="shared" si="33"/>
        <v>3.74</v>
      </c>
      <c r="W111" s="4747">
        <v>12</v>
      </c>
      <c r="AA111" s="456" t="s">
        <v>113</v>
      </c>
      <c r="AB111" s="466">
        <v>15.93</v>
      </c>
      <c r="AC111" s="466">
        <v>5450</v>
      </c>
      <c r="AD111" s="2471">
        <f t="shared" si="39"/>
        <v>3.9299999999999997</v>
      </c>
      <c r="AE111" s="2472">
        <v>12</v>
      </c>
      <c r="AG111" s="41"/>
      <c r="AH111" s="41"/>
      <c r="AI111" s="456" t="s">
        <v>113</v>
      </c>
      <c r="AJ111" s="466">
        <v>16.11</v>
      </c>
      <c r="AK111" s="466">
        <v>5427</v>
      </c>
      <c r="AL111" s="466">
        <f t="shared" si="18"/>
        <v>4.1099999999999994</v>
      </c>
      <c r="AP111" s="466" t="s">
        <v>75</v>
      </c>
      <c r="AQ111" s="1541">
        <v>15.86</v>
      </c>
      <c r="AR111" s="466">
        <v>5145</v>
      </c>
      <c r="AS111" s="1581">
        <f t="shared" si="40"/>
        <v>3.8599999999999994</v>
      </c>
      <c r="AW111" s="938" t="s">
        <v>113</v>
      </c>
      <c r="AX111" s="1579">
        <v>15.948707985234114</v>
      </c>
      <c r="AY111" s="1580">
        <v>5147</v>
      </c>
      <c r="AZ111" s="1581">
        <f t="shared" si="41"/>
        <v>3.9487079852341136</v>
      </c>
      <c r="BB111" s="1549"/>
      <c r="BC111" s="469"/>
      <c r="BD111" s="1567" t="s">
        <v>75</v>
      </c>
      <c r="BE111" s="1551">
        <v>5063</v>
      </c>
      <c r="BF111" s="1552">
        <v>15.858384357100615</v>
      </c>
      <c r="BG111" s="1568">
        <f t="shared" si="34"/>
        <v>3.8583843571006149</v>
      </c>
      <c r="BI111" s="1543"/>
      <c r="BJ111" s="1543"/>
      <c r="BK111" s="1569" t="s">
        <v>113</v>
      </c>
      <c r="BL111" s="1546">
        <f>SUM(BL105:BL110)</f>
        <v>5334</v>
      </c>
      <c r="BM111" s="1547">
        <v>15.751781027371603</v>
      </c>
      <c r="BN111" s="1570">
        <f>+BM111-12</f>
        <v>3.751781027371603</v>
      </c>
      <c r="BO111" s="41"/>
      <c r="BP111" s="1543"/>
      <c r="BQ111" s="1543"/>
      <c r="BR111" s="1569" t="s">
        <v>113</v>
      </c>
      <c r="BS111" s="1546">
        <v>4674</v>
      </c>
      <c r="BT111" s="1547">
        <v>15.569747539580661</v>
      </c>
      <c r="BU111" s="1571">
        <f t="shared" si="36"/>
        <v>3.5697475395806606</v>
      </c>
      <c r="BV111" s="41"/>
      <c r="BW111" s="105"/>
      <c r="BX111" s="105"/>
      <c r="BY111" s="466" t="s">
        <v>113</v>
      </c>
      <c r="BZ111" s="466">
        <v>4448</v>
      </c>
      <c r="CA111" s="1541">
        <v>15.648381294964095</v>
      </c>
      <c r="CB111" s="1542">
        <f>+CA111-12</f>
        <v>3.6483812949640946</v>
      </c>
      <c r="CC111" s="41"/>
      <c r="CD111" s="1497"/>
      <c r="CE111" s="1497"/>
      <c r="CF111" s="1528" t="s">
        <v>75</v>
      </c>
      <c r="CG111" s="1572">
        <v>4854</v>
      </c>
      <c r="CH111" s="1529">
        <v>15.627523691800636</v>
      </c>
      <c r="CI111" s="1573">
        <v>12</v>
      </c>
      <c r="CJ111" s="1986">
        <f t="shared" si="38"/>
        <v>3.6275236918006364</v>
      </c>
    </row>
    <row r="112" spans="1:88">
      <c r="A112" s="105"/>
      <c r="AG112" s="41"/>
      <c r="AH112" s="41"/>
      <c r="AI112" s="41"/>
      <c r="AJ112" s="41"/>
      <c r="AK112" s="41"/>
      <c r="BB112" s="461" t="s">
        <v>1886</v>
      </c>
      <c r="BI112" s="41"/>
      <c r="BJ112" s="41"/>
      <c r="BK112" s="41"/>
      <c r="BL112" s="41"/>
      <c r="BM112" s="41"/>
      <c r="BN112" s="41"/>
      <c r="BO112" s="41"/>
      <c r="BP112" s="107"/>
      <c r="BQ112" s="107"/>
      <c r="BR112" s="41"/>
      <c r="BS112" s="41"/>
      <c r="BT112" s="41"/>
      <c r="BU112" s="41"/>
      <c r="BV112" s="41"/>
      <c r="BW112" s="105"/>
      <c r="BX112" s="105"/>
      <c r="BY112" s="41" t="s">
        <v>1305</v>
      </c>
      <c r="BZ112" s="41"/>
      <c r="CA112" s="41"/>
      <c r="CB112" s="1554"/>
      <c r="CC112" s="41"/>
      <c r="CD112" s="1497"/>
      <c r="CE112" s="1497"/>
      <c r="CF112" s="1574" t="s">
        <v>1306</v>
      </c>
      <c r="CG112" s="1497"/>
      <c r="CH112" s="460"/>
      <c r="CI112" s="460"/>
      <c r="CJ112" s="1987"/>
    </row>
    <row r="113" spans="1:88">
      <c r="A113" s="105"/>
      <c r="AG113" s="461" t="s">
        <v>2520</v>
      </c>
      <c r="AH113" s="41"/>
      <c r="AI113" s="41"/>
      <c r="AJ113" s="41"/>
      <c r="AK113" s="41"/>
      <c r="BI113" s="41"/>
      <c r="BJ113" s="41"/>
      <c r="BK113" s="41"/>
      <c r="BL113" s="41"/>
      <c r="BM113" s="41"/>
      <c r="BN113" s="41"/>
      <c r="BO113" s="41"/>
      <c r="BP113" s="107"/>
      <c r="BQ113" s="107"/>
      <c r="BR113" s="41"/>
      <c r="BS113" s="41"/>
      <c r="BT113" s="41"/>
      <c r="BU113" s="41"/>
      <c r="BV113" s="41"/>
      <c r="BW113" s="105"/>
      <c r="BX113" s="105"/>
      <c r="BY113" s="41"/>
      <c r="BZ113" s="41"/>
      <c r="CA113" s="41"/>
      <c r="CB113" s="41"/>
      <c r="CC113" s="41"/>
      <c r="CD113" s="41"/>
      <c r="CE113" s="41"/>
      <c r="CF113" s="41"/>
      <c r="CG113" s="41"/>
      <c r="CH113" s="41"/>
      <c r="CI113" s="41"/>
      <c r="CJ113" s="107"/>
    </row>
    <row r="114" spans="1:88">
      <c r="A114" s="105"/>
      <c r="BI114" s="41"/>
      <c r="BJ114" s="41"/>
      <c r="BK114" s="41"/>
      <c r="BL114" s="41"/>
      <c r="BM114" s="41"/>
      <c r="BN114" s="41"/>
      <c r="BO114" s="41"/>
      <c r="BP114" s="107"/>
      <c r="BQ114" s="107"/>
      <c r="BR114" s="41"/>
      <c r="BS114" s="41"/>
      <c r="BT114" s="41"/>
      <c r="BU114" s="41"/>
      <c r="BV114" s="41"/>
      <c r="BW114" s="105"/>
      <c r="BX114" s="105"/>
      <c r="BY114" s="41"/>
      <c r="BZ114" s="41"/>
      <c r="CA114" s="41"/>
      <c r="CB114" s="41"/>
      <c r="CC114" s="41"/>
      <c r="CD114" s="41"/>
      <c r="CE114" s="41"/>
      <c r="CF114" s="41"/>
      <c r="CG114" s="41"/>
      <c r="CH114" s="41"/>
      <c r="CI114" s="41"/>
      <c r="CJ114" s="107"/>
    </row>
    <row r="115" spans="1:88">
      <c r="A115" s="105"/>
      <c r="BI115" s="41"/>
      <c r="BJ115" s="41"/>
      <c r="BK115" s="41"/>
      <c r="BL115" s="41"/>
      <c r="BM115" s="41"/>
      <c r="BN115" s="41"/>
      <c r="BO115" s="41"/>
      <c r="BP115" s="107"/>
      <c r="BQ115" s="107"/>
      <c r="BR115" s="41"/>
      <c r="BS115" s="41"/>
      <c r="BT115" s="41"/>
      <c r="BU115" s="41"/>
      <c r="BV115" s="41"/>
      <c r="BW115" s="105"/>
      <c r="BX115" s="105"/>
      <c r="BY115" s="41"/>
      <c r="BZ115" s="41"/>
      <c r="CA115" s="41"/>
      <c r="CB115" s="41"/>
      <c r="CC115" s="41"/>
      <c r="CD115" s="41"/>
      <c r="CE115" s="41"/>
      <c r="CF115" s="41"/>
      <c r="CG115" s="41"/>
      <c r="CH115" s="41"/>
      <c r="CI115" s="41"/>
      <c r="CJ115" s="107"/>
    </row>
    <row r="116" spans="1:88">
      <c r="BI116" s="41"/>
      <c r="BJ116" s="41"/>
      <c r="BK116" s="41"/>
      <c r="BL116" s="41"/>
      <c r="BM116" s="41"/>
      <c r="BN116" s="41"/>
      <c r="BO116" s="41"/>
      <c r="BP116" s="107"/>
      <c r="BQ116" s="107"/>
      <c r="BR116" s="41"/>
      <c r="BS116" s="41"/>
      <c r="BT116" s="41"/>
      <c r="BU116" s="41"/>
      <c r="BV116" s="41"/>
      <c r="BW116" s="105"/>
      <c r="BX116" s="105"/>
      <c r="BY116" s="41"/>
      <c r="BZ116" s="41"/>
      <c r="CA116" s="41"/>
      <c r="CB116" s="41"/>
      <c r="CC116" s="41"/>
      <c r="CD116" s="41"/>
      <c r="CE116" s="41"/>
      <c r="CF116" s="41"/>
      <c r="CG116" s="41"/>
      <c r="CH116" s="41"/>
      <c r="CI116" s="41"/>
      <c r="CJ116" s="107"/>
    </row>
    <row r="117" spans="1:88">
      <c r="BI117" s="41"/>
      <c r="BJ117" s="41"/>
      <c r="BK117" s="41"/>
      <c r="BL117" s="41"/>
      <c r="BM117" s="41"/>
      <c r="BN117" s="41"/>
      <c r="BO117" s="41"/>
      <c r="BP117" s="107"/>
      <c r="BQ117" s="107"/>
      <c r="BR117" s="41"/>
      <c r="BS117" s="41"/>
      <c r="BT117" s="41"/>
      <c r="BU117" s="41"/>
      <c r="BV117" s="41"/>
      <c r="BW117" s="105"/>
      <c r="BX117" s="105"/>
      <c r="BY117" s="41"/>
      <c r="BZ117" s="41"/>
      <c r="CA117" s="41"/>
      <c r="CB117" s="41"/>
      <c r="CC117" s="41"/>
      <c r="CD117" s="41"/>
      <c r="CE117" s="41"/>
      <c r="CF117" s="41"/>
      <c r="CG117" s="41"/>
      <c r="CH117" s="41"/>
      <c r="CI117" s="41"/>
      <c r="CJ117" s="107"/>
    </row>
    <row r="118" spans="1:88">
      <c r="BI118" s="41"/>
      <c r="BJ118" s="41"/>
      <c r="BK118" s="41"/>
      <c r="BL118" s="41"/>
      <c r="BM118" s="41"/>
      <c r="BN118" s="41"/>
      <c r="BO118" s="41"/>
      <c r="BP118" s="107"/>
      <c r="BQ118" s="107"/>
      <c r="BR118" s="41"/>
      <c r="BS118" s="41"/>
      <c r="BT118" s="41"/>
      <c r="BU118" s="41"/>
      <c r="BV118" s="41"/>
      <c r="BW118" s="105"/>
      <c r="BX118" s="105"/>
      <c r="BY118" s="41"/>
      <c r="BZ118" s="41"/>
      <c r="CA118" s="41"/>
      <c r="CB118" s="41"/>
      <c r="CC118" s="41"/>
      <c r="CD118" s="41"/>
      <c r="CE118" s="41"/>
      <c r="CF118" s="41"/>
      <c r="CG118" s="41"/>
      <c r="CH118" s="41"/>
      <c r="CI118" s="41"/>
      <c r="CJ118" s="107"/>
    </row>
    <row r="119" spans="1:88">
      <c r="BI119" s="41"/>
      <c r="BJ119" s="41"/>
      <c r="BK119" s="41"/>
      <c r="BL119" s="41"/>
      <c r="BM119" s="41"/>
      <c r="BN119" s="41"/>
      <c r="BO119" s="41"/>
      <c r="BP119" s="107"/>
      <c r="BQ119" s="107"/>
      <c r="BR119" s="41"/>
      <c r="BS119" s="41"/>
      <c r="BT119" s="41"/>
      <c r="BU119" s="41"/>
      <c r="BV119" s="41"/>
      <c r="BW119" s="105"/>
      <c r="BX119" s="105"/>
      <c r="BY119" s="41"/>
      <c r="BZ119" s="41"/>
      <c r="CA119" s="41"/>
      <c r="CB119" s="41"/>
      <c r="CC119" s="41"/>
      <c r="CD119" s="41"/>
      <c r="CE119" s="41"/>
      <c r="CF119" s="41"/>
      <c r="CG119" s="41"/>
      <c r="CH119" s="41"/>
      <c r="CI119" s="41"/>
      <c r="CJ119" s="107"/>
    </row>
    <row r="120" spans="1:88">
      <c r="BI120" s="41"/>
      <c r="BJ120" s="41"/>
      <c r="BK120" s="41"/>
      <c r="BL120" s="41"/>
      <c r="BM120" s="41"/>
      <c r="BN120" s="41"/>
      <c r="BO120" s="41"/>
      <c r="BP120" s="107"/>
      <c r="BQ120" s="107"/>
      <c r="BR120" s="41"/>
      <c r="BS120" s="41"/>
      <c r="BT120" s="41"/>
      <c r="BU120" s="41"/>
      <c r="BV120" s="41"/>
      <c r="BW120" s="105"/>
      <c r="BX120" s="105"/>
      <c r="BY120" s="41"/>
      <c r="BZ120" s="41"/>
      <c r="CA120" s="41"/>
      <c r="CB120" s="41"/>
      <c r="CC120" s="41"/>
      <c r="CD120" s="41"/>
      <c r="CE120" s="41"/>
      <c r="CF120" s="41"/>
      <c r="CG120" s="41"/>
      <c r="CH120" s="41"/>
      <c r="CI120" s="41"/>
      <c r="CJ120" s="107"/>
    </row>
    <row r="121" spans="1:88">
      <c r="BI121" s="41"/>
      <c r="BJ121" s="41"/>
      <c r="BK121" s="41"/>
      <c r="BL121" s="41"/>
      <c r="BM121" s="41"/>
      <c r="BN121" s="41"/>
      <c r="BO121" s="41"/>
      <c r="BP121" s="107"/>
      <c r="BQ121" s="107"/>
      <c r="BR121" s="41"/>
      <c r="BS121" s="41"/>
      <c r="BT121" s="41"/>
      <c r="BU121" s="41"/>
      <c r="BV121" s="41"/>
      <c r="BW121" s="105"/>
      <c r="BX121" s="105"/>
      <c r="BY121" s="41"/>
      <c r="BZ121" s="41"/>
      <c r="CA121" s="41"/>
      <c r="CB121" s="41"/>
      <c r="CC121" s="41"/>
      <c r="CD121" s="41"/>
      <c r="CE121" s="41"/>
      <c r="CF121" s="41"/>
      <c r="CG121" s="41"/>
      <c r="CH121" s="41"/>
      <c r="CI121" s="41"/>
      <c r="CJ121" s="107"/>
    </row>
    <row r="122" spans="1:88">
      <c r="BI122" s="41"/>
      <c r="BJ122" s="41"/>
      <c r="BK122" s="41"/>
      <c r="BL122" s="41"/>
      <c r="BM122" s="41"/>
      <c r="BN122" s="41"/>
      <c r="BO122" s="41"/>
      <c r="BP122" s="107"/>
      <c r="BQ122" s="107"/>
      <c r="BR122" s="41"/>
      <c r="BS122" s="41"/>
      <c r="BT122" s="41"/>
      <c r="BU122" s="41"/>
      <c r="BV122" s="41"/>
      <c r="BW122" s="105"/>
      <c r="BX122" s="105"/>
      <c r="BY122" s="41"/>
      <c r="BZ122" s="41"/>
      <c r="CA122" s="41"/>
      <c r="CB122" s="41"/>
      <c r="CC122" s="41"/>
      <c r="CD122" s="41"/>
      <c r="CE122" s="41"/>
      <c r="CF122" s="41"/>
      <c r="CG122" s="41"/>
      <c r="CH122" s="41"/>
      <c r="CI122" s="41"/>
      <c r="CJ122" s="107"/>
    </row>
    <row r="123" spans="1:88">
      <c r="BI123" s="41"/>
      <c r="BJ123" s="41"/>
      <c r="BK123" s="41"/>
      <c r="BL123" s="41"/>
      <c r="BM123" s="41"/>
      <c r="BN123" s="41"/>
      <c r="BO123" s="41"/>
      <c r="BP123" s="107"/>
      <c r="BQ123" s="107"/>
      <c r="BR123" s="41"/>
      <c r="BS123" s="41"/>
      <c r="BT123" s="41"/>
      <c r="BU123" s="41"/>
      <c r="BV123" s="41"/>
      <c r="BW123" s="105"/>
      <c r="BX123" s="105"/>
      <c r="BY123" s="41"/>
      <c r="BZ123" s="41"/>
      <c r="CA123" s="41"/>
      <c r="CB123" s="41"/>
      <c r="CC123" s="41"/>
      <c r="CD123" s="41"/>
      <c r="CE123" s="41"/>
      <c r="CF123" s="41"/>
      <c r="CG123" s="41"/>
      <c r="CH123" s="41"/>
      <c r="CI123" s="41"/>
      <c r="CJ123" s="107"/>
    </row>
    <row r="124" spans="1:88">
      <c r="BI124" s="41"/>
      <c r="BJ124" s="41"/>
      <c r="BK124" s="41"/>
      <c r="BL124" s="41"/>
      <c r="BM124" s="41"/>
      <c r="BN124" s="41"/>
      <c r="BO124" s="41"/>
      <c r="BP124" s="107"/>
      <c r="BQ124" s="107"/>
      <c r="BR124" s="41"/>
      <c r="BS124" s="41"/>
      <c r="BT124" s="41"/>
      <c r="BU124" s="41"/>
      <c r="BV124" s="41"/>
      <c r="BW124" s="105"/>
      <c r="BX124" s="105"/>
      <c r="BY124" s="41"/>
      <c r="BZ124" s="41"/>
      <c r="CA124" s="41"/>
      <c r="CB124" s="41"/>
      <c r="CC124" s="41"/>
      <c r="CD124" s="41"/>
      <c r="CE124" s="41"/>
      <c r="CF124" s="41"/>
      <c r="CG124" s="41"/>
      <c r="CH124" s="41"/>
      <c r="CI124" s="41"/>
      <c r="CJ124" s="107"/>
    </row>
    <row r="125" spans="1:88">
      <c r="BI125" s="41"/>
      <c r="BJ125" s="41"/>
      <c r="BK125" s="41"/>
      <c r="BL125" s="41"/>
      <c r="BM125" s="41"/>
      <c r="BN125" s="41"/>
      <c r="BO125" s="41"/>
      <c r="BP125" s="107"/>
      <c r="BQ125" s="107"/>
      <c r="BR125" s="41"/>
      <c r="BS125" s="41"/>
      <c r="BT125" s="41"/>
      <c r="BU125" s="41"/>
      <c r="BV125" s="41"/>
      <c r="BW125" s="105"/>
      <c r="BX125" s="105"/>
      <c r="BY125" s="41"/>
      <c r="BZ125" s="41"/>
      <c r="CA125" s="41"/>
      <c r="CB125" s="41"/>
      <c r="CC125" s="41"/>
      <c r="CD125" s="41"/>
      <c r="CE125" s="41"/>
      <c r="CF125" s="41"/>
      <c r="CG125" s="41"/>
      <c r="CH125" s="41"/>
      <c r="CI125" s="41"/>
      <c r="CJ125" s="107"/>
    </row>
    <row r="126" spans="1:88">
      <c r="BI126" s="41"/>
      <c r="BJ126" s="41"/>
      <c r="BK126" s="41"/>
      <c r="BL126" s="41"/>
      <c r="BM126" s="41"/>
      <c r="BN126" s="41"/>
      <c r="BO126" s="41"/>
      <c r="BP126" s="107"/>
      <c r="BQ126" s="107"/>
      <c r="BR126" s="41"/>
      <c r="BS126" s="41"/>
      <c r="BT126" s="41"/>
      <c r="BU126" s="41"/>
      <c r="BV126" s="41"/>
      <c r="BW126" s="105"/>
      <c r="BX126" s="105"/>
      <c r="BY126" s="41"/>
      <c r="BZ126" s="41"/>
      <c r="CA126" s="41"/>
      <c r="CB126" s="41"/>
      <c r="CC126" s="41"/>
      <c r="CD126" s="41"/>
      <c r="CE126" s="41"/>
      <c r="CF126" s="41"/>
      <c r="CG126" s="41"/>
      <c r="CH126" s="41"/>
      <c r="CI126" s="41"/>
      <c r="CJ126" s="107"/>
    </row>
    <row r="127" spans="1:88">
      <c r="BI127" s="41"/>
      <c r="BJ127" s="41"/>
      <c r="BK127" s="41"/>
      <c r="BL127" s="41"/>
      <c r="BM127" s="41"/>
      <c r="BN127" s="41"/>
      <c r="BO127" s="41"/>
      <c r="BP127" s="107"/>
      <c r="BQ127" s="107"/>
      <c r="BR127" s="41"/>
      <c r="BS127" s="41"/>
      <c r="BT127" s="41"/>
      <c r="BU127" s="41"/>
      <c r="BV127" s="41"/>
      <c r="BW127" s="105"/>
      <c r="BX127" s="105"/>
      <c r="BY127" s="41"/>
      <c r="BZ127" s="41"/>
      <c r="CA127" s="41"/>
      <c r="CB127" s="41"/>
      <c r="CC127" s="41"/>
      <c r="CD127" s="41"/>
      <c r="CE127" s="41"/>
      <c r="CF127" s="41"/>
      <c r="CG127" s="41"/>
      <c r="CH127" s="41"/>
      <c r="CI127" s="41"/>
      <c r="CJ127" s="107"/>
    </row>
    <row r="128" spans="1:88">
      <c r="BI128" s="41"/>
      <c r="BJ128" s="41"/>
      <c r="BK128" s="41"/>
      <c r="BL128" s="41"/>
      <c r="BM128" s="41"/>
      <c r="BN128" s="41"/>
      <c r="BO128" s="41"/>
      <c r="BP128" s="107"/>
      <c r="BQ128" s="107"/>
      <c r="BR128" s="41"/>
      <c r="BS128" s="41"/>
      <c r="BT128" s="41"/>
      <c r="BU128" s="41"/>
      <c r="BV128" s="41"/>
      <c r="BW128" s="105"/>
      <c r="BX128" s="105"/>
      <c r="BY128" s="41"/>
      <c r="BZ128" s="41"/>
      <c r="CA128" s="41"/>
      <c r="CB128" s="41"/>
      <c r="CC128" s="41"/>
      <c r="CD128" s="41"/>
      <c r="CE128" s="41"/>
      <c r="CF128" s="41"/>
      <c r="CG128" s="41"/>
      <c r="CH128" s="41"/>
      <c r="CI128" s="41"/>
      <c r="CJ128" s="107"/>
    </row>
    <row r="129" spans="61:88">
      <c r="BI129" s="41"/>
      <c r="BJ129" s="41"/>
      <c r="BK129" s="41"/>
      <c r="BL129" s="41"/>
      <c r="BM129" s="41"/>
      <c r="BN129" s="41"/>
      <c r="BO129" s="41"/>
      <c r="BP129" s="107"/>
      <c r="BQ129" s="107"/>
      <c r="BR129" s="41"/>
      <c r="BS129" s="41"/>
      <c r="BT129" s="41"/>
      <c r="BU129" s="41"/>
      <c r="BV129" s="41"/>
      <c r="BW129" s="105"/>
      <c r="BX129" s="105"/>
      <c r="BY129" s="41"/>
      <c r="BZ129" s="41"/>
      <c r="CA129" s="41"/>
      <c r="CB129" s="41"/>
      <c r="CC129" s="41"/>
      <c r="CD129" s="41"/>
      <c r="CE129" s="41"/>
      <c r="CF129" s="41"/>
      <c r="CG129" s="41"/>
      <c r="CH129" s="41"/>
      <c r="CI129" s="41"/>
      <c r="CJ129" s="107"/>
    </row>
    <row r="130" spans="61:88">
      <c r="BI130" s="41"/>
      <c r="BJ130" s="41"/>
      <c r="BK130" s="41"/>
      <c r="BL130" s="41"/>
      <c r="BM130" s="41"/>
      <c r="BN130" s="41"/>
      <c r="BO130" s="41"/>
      <c r="BP130" s="107"/>
      <c r="BQ130" s="107"/>
      <c r="BR130" s="41"/>
      <c r="BS130" s="41"/>
      <c r="BT130" s="41"/>
      <c r="BU130" s="41"/>
      <c r="BV130" s="41"/>
      <c r="BW130" s="105"/>
      <c r="BX130" s="105"/>
      <c r="BY130" s="41"/>
      <c r="BZ130" s="41"/>
      <c r="CA130" s="41"/>
      <c r="CB130" s="41"/>
      <c r="CC130" s="41"/>
      <c r="CD130" s="41"/>
      <c r="CE130" s="41"/>
      <c r="CF130" s="41"/>
      <c r="CG130" s="41"/>
      <c r="CH130" s="41"/>
      <c r="CI130" s="41"/>
      <c r="CJ130" s="107"/>
    </row>
    <row r="131" spans="61:88">
      <c r="BI131" s="41"/>
      <c r="BJ131" s="41"/>
      <c r="BK131" s="41"/>
      <c r="BL131" s="41"/>
      <c r="BM131" s="41"/>
      <c r="BN131" s="41"/>
      <c r="BO131" s="41"/>
      <c r="BP131" s="107"/>
      <c r="BQ131" s="107"/>
      <c r="BR131" s="41"/>
      <c r="BS131" s="41"/>
      <c r="BT131" s="41"/>
      <c r="BU131" s="41"/>
      <c r="BV131" s="41"/>
      <c r="BW131" s="105"/>
      <c r="BX131" s="105"/>
      <c r="BY131" s="41"/>
      <c r="BZ131" s="41"/>
      <c r="CA131" s="41"/>
      <c r="CB131" s="41"/>
      <c r="CC131" s="41"/>
      <c r="CD131" s="41"/>
      <c r="CE131" s="41"/>
      <c r="CF131" s="41"/>
      <c r="CG131" s="41"/>
      <c r="CH131" s="41"/>
      <c r="CI131" s="41"/>
      <c r="CJ131" s="107"/>
    </row>
    <row r="132" spans="61:88">
      <c r="BI132" s="41"/>
      <c r="BJ132" s="41"/>
      <c r="BK132" s="41"/>
      <c r="BL132" s="41"/>
      <c r="BM132" s="41"/>
      <c r="BN132" s="41"/>
      <c r="BO132" s="41"/>
      <c r="BP132" s="107"/>
      <c r="BQ132" s="107"/>
      <c r="BR132" s="41"/>
      <c r="BS132" s="41"/>
      <c r="BT132" s="41"/>
      <c r="BU132" s="41"/>
      <c r="BV132" s="41"/>
      <c r="BW132" s="105"/>
      <c r="BX132" s="105"/>
      <c r="BY132" s="41"/>
      <c r="BZ132" s="41"/>
      <c r="CA132" s="41"/>
      <c r="CB132" s="41"/>
      <c r="CC132" s="41"/>
      <c r="CD132" s="41"/>
      <c r="CE132" s="41"/>
      <c r="CF132" s="41"/>
      <c r="CG132" s="41"/>
      <c r="CH132" s="41"/>
      <c r="CI132" s="41"/>
      <c r="CJ132" s="107"/>
    </row>
    <row r="133" spans="61:88">
      <c r="BI133" s="41"/>
      <c r="BJ133" s="41"/>
      <c r="BK133" s="41"/>
      <c r="BL133" s="41"/>
      <c r="BM133" s="41"/>
      <c r="BN133" s="41"/>
      <c r="BO133" s="41"/>
      <c r="BP133" s="107"/>
      <c r="BQ133" s="107"/>
      <c r="BR133" s="41"/>
      <c r="BS133" s="41"/>
      <c r="BT133" s="41"/>
      <c r="BU133" s="41"/>
      <c r="BV133" s="41"/>
      <c r="BW133" s="105"/>
      <c r="BX133" s="105"/>
      <c r="BY133" s="41"/>
      <c r="BZ133" s="41"/>
      <c r="CA133" s="41"/>
      <c r="CB133" s="41"/>
      <c r="CC133" s="41"/>
      <c r="CD133" s="41"/>
      <c r="CE133" s="41"/>
      <c r="CF133" s="41"/>
      <c r="CG133" s="41"/>
      <c r="CH133" s="41"/>
      <c r="CI133" s="41"/>
      <c r="CJ133" s="107"/>
    </row>
    <row r="134" spans="61:88">
      <c r="BI134" s="41"/>
      <c r="BJ134" s="41"/>
      <c r="BK134" s="41"/>
      <c r="BL134" s="41"/>
      <c r="BM134" s="41"/>
      <c r="BN134" s="41"/>
      <c r="BO134" s="41"/>
      <c r="BP134" s="107"/>
      <c r="BQ134" s="107"/>
      <c r="BR134" s="41"/>
      <c r="BS134" s="41"/>
      <c r="BT134" s="41"/>
      <c r="BU134" s="41"/>
      <c r="BV134" s="41"/>
      <c r="BW134" s="105"/>
      <c r="BX134" s="105"/>
      <c r="BY134" s="41"/>
      <c r="BZ134" s="41"/>
      <c r="CA134" s="41"/>
      <c r="CB134" s="41"/>
      <c r="CC134" s="41"/>
      <c r="CD134" s="41"/>
      <c r="CE134" s="41"/>
      <c r="CF134" s="41"/>
      <c r="CG134" s="41"/>
      <c r="CH134" s="41"/>
      <c r="CI134" s="41"/>
      <c r="CJ134" s="107"/>
    </row>
    <row r="135" spans="61:88">
      <c r="BI135" s="41"/>
      <c r="BJ135" s="41"/>
      <c r="BK135" s="41"/>
      <c r="BL135" s="41"/>
      <c r="BM135" s="41"/>
      <c r="BN135" s="41"/>
      <c r="BO135" s="41"/>
      <c r="BP135" s="107"/>
      <c r="BQ135" s="107"/>
      <c r="BR135" s="41"/>
      <c r="BS135" s="41"/>
      <c r="BT135" s="41"/>
      <c r="BU135" s="41"/>
      <c r="BV135" s="41"/>
      <c r="BW135" s="105"/>
      <c r="BX135" s="105"/>
      <c r="BY135" s="41"/>
      <c r="BZ135" s="41"/>
      <c r="CA135" s="41"/>
      <c r="CB135" s="41"/>
      <c r="CC135" s="41"/>
      <c r="CD135" s="41"/>
      <c r="CE135" s="41"/>
      <c r="CF135" s="41"/>
      <c r="CG135" s="41"/>
      <c r="CH135" s="41"/>
      <c r="CI135" s="41"/>
      <c r="CJ135" s="107"/>
    </row>
    <row r="136" spans="61:88">
      <c r="BI136" s="41"/>
      <c r="BJ136" s="41"/>
      <c r="BK136" s="41"/>
      <c r="BL136" s="41"/>
      <c r="BM136" s="41"/>
      <c r="BN136" s="41"/>
      <c r="BO136" s="41"/>
      <c r="BP136" s="107"/>
      <c r="BQ136" s="107"/>
      <c r="BR136" s="41"/>
      <c r="BS136" s="41"/>
      <c r="BT136" s="41"/>
      <c r="BU136" s="41"/>
      <c r="BV136" s="41"/>
      <c r="BW136" s="105"/>
      <c r="BX136" s="105"/>
      <c r="BY136" s="41"/>
      <c r="BZ136" s="41"/>
      <c r="CA136" s="41"/>
      <c r="CB136" s="41"/>
      <c r="CC136" s="41"/>
      <c r="CD136" s="41"/>
      <c r="CE136" s="41"/>
      <c r="CF136" s="41"/>
      <c r="CG136" s="41"/>
      <c r="CH136" s="41"/>
      <c r="CI136" s="41"/>
      <c r="CJ136" s="107"/>
    </row>
    <row r="137" spans="61:88">
      <c r="BI137" s="41"/>
      <c r="BJ137" s="41"/>
      <c r="BK137" s="41"/>
      <c r="BL137" s="41"/>
      <c r="BM137" s="41"/>
      <c r="BN137" s="41"/>
      <c r="BO137" s="41"/>
      <c r="BP137" s="107"/>
      <c r="BQ137" s="107"/>
      <c r="BR137" s="41"/>
      <c r="BS137" s="41"/>
      <c r="BT137" s="41"/>
      <c r="BU137" s="41"/>
      <c r="BV137" s="41"/>
      <c r="BW137" s="105"/>
      <c r="BX137" s="105"/>
      <c r="BY137" s="41"/>
      <c r="BZ137" s="41"/>
      <c r="CA137" s="41"/>
      <c r="CB137" s="41"/>
      <c r="CC137" s="41"/>
      <c r="CD137" s="41"/>
      <c r="CE137" s="41"/>
      <c r="CF137" s="41"/>
      <c r="CG137" s="41"/>
      <c r="CH137" s="41"/>
      <c r="CI137" s="41"/>
      <c r="CJ137" s="107"/>
    </row>
    <row r="138" spans="61:88">
      <c r="BI138" s="41"/>
      <c r="BJ138" s="41"/>
      <c r="BK138" s="41"/>
      <c r="BL138" s="41"/>
      <c r="BM138" s="41"/>
      <c r="BN138" s="41"/>
      <c r="BO138" s="41"/>
      <c r="BP138" s="107"/>
      <c r="BQ138" s="107"/>
      <c r="BR138" s="41"/>
      <c r="BS138" s="41"/>
      <c r="BT138" s="41"/>
      <c r="BU138" s="41"/>
      <c r="BV138" s="41"/>
      <c r="BW138" s="105"/>
      <c r="BX138" s="105"/>
      <c r="BY138" s="41"/>
      <c r="BZ138" s="41"/>
      <c r="CA138" s="41"/>
      <c r="CB138" s="41"/>
      <c r="CC138" s="41"/>
      <c r="CD138" s="41"/>
      <c r="CE138" s="41"/>
      <c r="CF138" s="41"/>
      <c r="CG138" s="41"/>
      <c r="CH138" s="41"/>
      <c r="CI138" s="41"/>
      <c r="CJ138" s="107"/>
    </row>
    <row r="139" spans="61:88">
      <c r="BI139" s="41"/>
      <c r="BJ139" s="41"/>
      <c r="BK139" s="41"/>
      <c r="BL139" s="41"/>
      <c r="BM139" s="41"/>
      <c r="BN139" s="41"/>
      <c r="BO139" s="41"/>
      <c r="BP139" s="107"/>
      <c r="BQ139" s="107"/>
      <c r="BR139" s="41"/>
      <c r="BS139" s="41"/>
      <c r="BT139" s="41"/>
      <c r="BU139" s="41"/>
      <c r="BV139" s="41"/>
      <c r="BW139" s="105"/>
      <c r="BX139" s="105"/>
      <c r="BY139" s="41"/>
      <c r="BZ139" s="41"/>
      <c r="CA139" s="41"/>
      <c r="CB139" s="41"/>
      <c r="CC139" s="41"/>
      <c r="CD139" s="41"/>
      <c r="CE139" s="41"/>
      <c r="CF139" s="41"/>
      <c r="CG139" s="41"/>
      <c r="CH139" s="41"/>
      <c r="CI139" s="41"/>
      <c r="CJ139" s="107"/>
    </row>
    <row r="140" spans="61:88">
      <c r="BI140" s="41"/>
      <c r="BJ140" s="41"/>
      <c r="BK140" s="41"/>
      <c r="BL140" s="41"/>
      <c r="BM140" s="41"/>
      <c r="BN140" s="41"/>
      <c r="BO140" s="41"/>
      <c r="BP140" s="107"/>
      <c r="BQ140" s="107"/>
      <c r="BR140" s="41"/>
      <c r="BS140" s="41"/>
      <c r="BT140" s="41"/>
      <c r="BU140" s="41"/>
      <c r="BV140" s="41"/>
      <c r="BW140" s="105"/>
      <c r="BX140" s="105"/>
      <c r="BY140" s="41"/>
      <c r="BZ140" s="41"/>
      <c r="CA140" s="41"/>
      <c r="CB140" s="41"/>
      <c r="CC140" s="41"/>
      <c r="CD140" s="41"/>
      <c r="CE140" s="41"/>
      <c r="CF140" s="41"/>
      <c r="CG140" s="41"/>
      <c r="CH140" s="41"/>
      <c r="CI140" s="41"/>
      <c r="CJ140" s="107"/>
    </row>
    <row r="141" spans="61:88">
      <c r="BI141" s="41"/>
      <c r="BJ141" s="41"/>
      <c r="BK141" s="41"/>
      <c r="BL141" s="41"/>
      <c r="BM141" s="41"/>
      <c r="BN141" s="41"/>
      <c r="BO141" s="41"/>
      <c r="BP141" s="107"/>
      <c r="BQ141" s="107"/>
      <c r="BR141" s="41"/>
      <c r="BS141" s="41"/>
      <c r="BT141" s="41"/>
      <c r="BU141" s="41"/>
      <c r="BV141" s="41"/>
      <c r="BW141" s="105"/>
      <c r="BX141" s="105"/>
      <c r="BY141" s="41"/>
      <c r="BZ141" s="41"/>
      <c r="CA141" s="41"/>
      <c r="CB141" s="41"/>
      <c r="CC141" s="41"/>
      <c r="CD141" s="41"/>
      <c r="CE141" s="41"/>
      <c r="CF141" s="41"/>
      <c r="CG141" s="41"/>
      <c r="CH141" s="41"/>
      <c r="CI141" s="41"/>
      <c r="CJ141" s="107"/>
    </row>
    <row r="142" spans="61:88">
      <c r="BI142" s="41"/>
      <c r="BJ142" s="41"/>
      <c r="BK142" s="41"/>
      <c r="BL142" s="41"/>
      <c r="BM142" s="41"/>
      <c r="BN142" s="41"/>
      <c r="BO142" s="41"/>
      <c r="BP142" s="107"/>
      <c r="BQ142" s="107"/>
      <c r="BR142" s="41"/>
      <c r="BS142" s="41"/>
      <c r="BT142" s="41"/>
      <c r="BU142" s="41"/>
      <c r="BV142" s="41"/>
      <c r="BW142" s="105"/>
      <c r="BX142" s="105"/>
      <c r="BY142" s="41"/>
      <c r="BZ142" s="41"/>
      <c r="CA142" s="41"/>
      <c r="CB142" s="41"/>
      <c r="CC142" s="41"/>
      <c r="CD142" s="41"/>
      <c r="CE142" s="41"/>
      <c r="CF142" s="41"/>
      <c r="CG142" s="41"/>
      <c r="CH142" s="41"/>
      <c r="CI142" s="41"/>
      <c r="CJ142" s="107"/>
    </row>
    <row r="143" spans="61:88">
      <c r="BI143" s="41"/>
      <c r="BJ143" s="41"/>
      <c r="BK143" s="41"/>
      <c r="BL143" s="41"/>
      <c r="BM143" s="41"/>
      <c r="BN143" s="41"/>
      <c r="BO143" s="41"/>
      <c r="BP143" s="107"/>
      <c r="BQ143" s="107"/>
      <c r="BR143" s="41"/>
      <c r="BS143" s="41"/>
      <c r="BT143" s="41"/>
      <c r="BU143" s="41"/>
      <c r="BV143" s="41"/>
      <c r="BW143" s="105"/>
      <c r="BX143" s="105"/>
      <c r="BY143" s="41"/>
      <c r="BZ143" s="41"/>
      <c r="CA143" s="41"/>
      <c r="CB143" s="41"/>
      <c r="CC143" s="41"/>
      <c r="CD143" s="41"/>
      <c r="CE143" s="41"/>
      <c r="CF143" s="41"/>
      <c r="CG143" s="41"/>
      <c r="CH143" s="41"/>
      <c r="CI143" s="41"/>
      <c r="CJ143" s="107"/>
    </row>
    <row r="144" spans="61:88">
      <c r="BI144" s="41"/>
      <c r="BJ144" s="41"/>
      <c r="BK144" s="41"/>
      <c r="BL144" s="41"/>
      <c r="BM144" s="41"/>
      <c r="BN144" s="41"/>
      <c r="BO144" s="41"/>
      <c r="BP144" s="107"/>
      <c r="BQ144" s="107"/>
      <c r="BR144" s="41"/>
      <c r="BS144" s="41"/>
      <c r="BT144" s="41"/>
      <c r="BU144" s="41"/>
      <c r="BV144" s="41"/>
      <c r="BW144" s="105"/>
      <c r="BX144" s="105"/>
      <c r="BY144" s="41"/>
      <c r="BZ144" s="41"/>
      <c r="CA144" s="41"/>
      <c r="CB144" s="41"/>
      <c r="CC144" s="41"/>
      <c r="CD144" s="41"/>
      <c r="CE144" s="41"/>
      <c r="CF144" s="41"/>
      <c r="CG144" s="41"/>
      <c r="CH144" s="41"/>
      <c r="CI144" s="41"/>
      <c r="CJ144" s="107"/>
    </row>
    <row r="145" spans="61:88">
      <c r="BI145" s="41"/>
      <c r="BJ145" s="41"/>
      <c r="BK145" s="41"/>
      <c r="BL145" s="41"/>
      <c r="BM145" s="41"/>
      <c r="BN145" s="41"/>
      <c r="BO145" s="41"/>
      <c r="BP145" s="107"/>
      <c r="BQ145" s="107"/>
      <c r="BR145" s="41"/>
      <c r="BS145" s="41"/>
      <c r="BT145" s="41"/>
      <c r="BU145" s="41"/>
      <c r="BV145" s="41"/>
      <c r="BW145" s="105"/>
      <c r="BX145" s="105"/>
      <c r="BY145" s="41"/>
      <c r="BZ145" s="41"/>
      <c r="CA145" s="41"/>
      <c r="CB145" s="41"/>
      <c r="CC145" s="41"/>
      <c r="CD145" s="41"/>
      <c r="CE145" s="41"/>
      <c r="CF145" s="41"/>
      <c r="CG145" s="41"/>
      <c r="CH145" s="41"/>
      <c r="CI145" s="41"/>
      <c r="CJ145" s="107"/>
    </row>
    <row r="146" spans="61:88">
      <c r="BI146" s="41"/>
      <c r="BJ146" s="41"/>
      <c r="BK146" s="41"/>
      <c r="BL146" s="41"/>
      <c r="BM146" s="41"/>
      <c r="BN146" s="41"/>
      <c r="BO146" s="41"/>
      <c r="BP146" s="107"/>
      <c r="BQ146" s="107"/>
      <c r="BR146" s="41"/>
      <c r="BS146" s="41"/>
      <c r="BT146" s="41"/>
      <c r="BU146" s="41"/>
      <c r="BV146" s="41"/>
      <c r="BW146" s="105"/>
      <c r="BX146" s="105"/>
      <c r="BY146" s="41"/>
      <c r="BZ146" s="41"/>
      <c r="CA146" s="41"/>
      <c r="CB146" s="41"/>
      <c r="CC146" s="41"/>
      <c r="CD146" s="41"/>
      <c r="CE146" s="41"/>
      <c r="CF146" s="41"/>
      <c r="CG146" s="41"/>
      <c r="CH146" s="41"/>
      <c r="CI146" s="41"/>
      <c r="CJ146" s="107"/>
    </row>
    <row r="147" spans="61:88">
      <c r="BI147" s="41"/>
      <c r="BJ147" s="41"/>
      <c r="BK147" s="41"/>
      <c r="BL147" s="41"/>
      <c r="BM147" s="41"/>
      <c r="BN147" s="41"/>
      <c r="BO147" s="41"/>
      <c r="BP147" s="107"/>
      <c r="BQ147" s="107"/>
      <c r="BR147" s="41"/>
      <c r="BS147" s="41"/>
      <c r="BT147" s="41"/>
      <c r="BU147" s="41"/>
      <c r="BV147" s="41"/>
      <c r="BW147" s="105"/>
      <c r="BX147" s="105"/>
      <c r="BY147" s="41"/>
      <c r="BZ147" s="41"/>
      <c r="CA147" s="41"/>
      <c r="CB147" s="41"/>
      <c r="CC147" s="41"/>
      <c r="CD147" s="41"/>
      <c r="CE147" s="41"/>
      <c r="CF147" s="41"/>
      <c r="CG147" s="41"/>
      <c r="CH147" s="41"/>
      <c r="CI147" s="41"/>
      <c r="CJ147" s="107"/>
    </row>
    <row r="148" spans="61:88">
      <c r="BI148" s="41"/>
      <c r="BJ148" s="41"/>
      <c r="BK148" s="41"/>
      <c r="BL148" s="41"/>
      <c r="BM148" s="41"/>
      <c r="BN148" s="41"/>
      <c r="BO148" s="41"/>
      <c r="BP148" s="107"/>
      <c r="BQ148" s="107"/>
      <c r="BR148" s="41"/>
      <c r="BS148" s="41"/>
      <c r="BT148" s="41"/>
      <c r="BU148" s="41"/>
      <c r="BV148" s="41"/>
      <c r="BW148" s="105"/>
      <c r="BX148" s="105"/>
      <c r="BY148" s="41"/>
      <c r="BZ148" s="41"/>
      <c r="CA148" s="41"/>
      <c r="CB148" s="41"/>
      <c r="CC148" s="41"/>
      <c r="CD148" s="41"/>
      <c r="CE148" s="41"/>
      <c r="CF148" s="41"/>
      <c r="CG148" s="41"/>
      <c r="CH148" s="41"/>
      <c r="CI148" s="41"/>
      <c r="CJ148" s="107"/>
    </row>
    <row r="149" spans="61:88">
      <c r="BI149" s="41"/>
      <c r="BJ149" s="41"/>
      <c r="BK149" s="41"/>
      <c r="BL149" s="41"/>
      <c r="BM149" s="41"/>
      <c r="BN149" s="41"/>
      <c r="BO149" s="41"/>
      <c r="BP149" s="107"/>
      <c r="BQ149" s="107"/>
      <c r="BR149" s="41"/>
      <c r="BS149" s="41"/>
      <c r="BT149" s="41"/>
      <c r="BU149" s="41"/>
      <c r="BV149" s="41"/>
      <c r="BW149" s="105"/>
      <c r="BX149" s="105"/>
      <c r="BY149" s="41"/>
      <c r="BZ149" s="41"/>
      <c r="CA149" s="41"/>
      <c r="CB149" s="41"/>
      <c r="CC149" s="41"/>
      <c r="CD149" s="41"/>
      <c r="CE149" s="41"/>
      <c r="CF149" s="41"/>
      <c r="CG149" s="41"/>
      <c r="CH149" s="41"/>
      <c r="CI149" s="41"/>
      <c r="CJ149" s="107"/>
    </row>
    <row r="150" spans="61:88">
      <c r="BI150" s="41"/>
      <c r="BJ150" s="41"/>
      <c r="BK150" s="41"/>
      <c r="BL150" s="41"/>
      <c r="BM150" s="41"/>
      <c r="BN150" s="41"/>
      <c r="BO150" s="41"/>
      <c r="BP150" s="107"/>
      <c r="BQ150" s="107"/>
      <c r="BR150" s="41"/>
      <c r="BS150" s="41"/>
      <c r="BT150" s="41"/>
      <c r="BU150" s="41"/>
      <c r="BV150" s="41"/>
      <c r="BW150" s="105"/>
      <c r="BX150" s="105"/>
      <c r="BY150" s="41"/>
      <c r="BZ150" s="41"/>
      <c r="CA150" s="41"/>
      <c r="CB150" s="41"/>
      <c r="CC150" s="41"/>
      <c r="CD150" s="41"/>
      <c r="CE150" s="41"/>
      <c r="CF150" s="41"/>
      <c r="CG150" s="41"/>
      <c r="CH150" s="41"/>
      <c r="CI150" s="41"/>
      <c r="CJ150" s="107"/>
    </row>
    <row r="151" spans="61:88">
      <c r="BI151" s="41"/>
      <c r="BJ151" s="41"/>
      <c r="BK151" s="41"/>
      <c r="BL151" s="41"/>
      <c r="BM151" s="41"/>
      <c r="BN151" s="41"/>
      <c r="BO151" s="41"/>
      <c r="BP151" s="107"/>
      <c r="BQ151" s="107"/>
      <c r="BR151" s="41"/>
      <c r="BS151" s="41"/>
      <c r="BT151" s="41"/>
      <c r="BU151" s="41"/>
      <c r="BV151" s="41"/>
      <c r="BW151" s="105"/>
      <c r="BX151" s="105"/>
      <c r="BY151" s="41"/>
      <c r="BZ151" s="41"/>
      <c r="CA151" s="41"/>
      <c r="CB151" s="41"/>
      <c r="CC151" s="41"/>
      <c r="CD151" s="41"/>
      <c r="CE151" s="41"/>
      <c r="CF151" s="41"/>
      <c r="CG151" s="41"/>
      <c r="CH151" s="41"/>
      <c r="CI151" s="41"/>
      <c r="CJ151" s="107"/>
    </row>
    <row r="152" spans="61:88">
      <c r="BI152" s="41"/>
      <c r="BJ152" s="41"/>
      <c r="BK152" s="41"/>
      <c r="BL152" s="41"/>
      <c r="BM152" s="41"/>
      <c r="BN152" s="41"/>
      <c r="BO152" s="41"/>
      <c r="BP152" s="107"/>
      <c r="BQ152" s="107"/>
      <c r="BR152" s="41"/>
      <c r="BS152" s="41"/>
      <c r="BT152" s="41"/>
      <c r="BU152" s="41"/>
      <c r="BV152" s="41"/>
      <c r="BW152" s="105"/>
      <c r="BX152" s="105"/>
      <c r="BY152" s="41"/>
      <c r="BZ152" s="41"/>
      <c r="CA152" s="41"/>
      <c r="CB152" s="41"/>
      <c r="CC152" s="41"/>
      <c r="CD152" s="41"/>
      <c r="CE152" s="41"/>
      <c r="CF152" s="41"/>
      <c r="CG152" s="41"/>
      <c r="CH152" s="41"/>
      <c r="CI152" s="41"/>
      <c r="CJ152" s="107"/>
    </row>
    <row r="153" spans="61:88">
      <c r="BI153" s="41"/>
      <c r="BJ153" s="41"/>
      <c r="BK153" s="41"/>
      <c r="BL153" s="41"/>
      <c r="BM153" s="41"/>
      <c r="BN153" s="41"/>
      <c r="BO153" s="41"/>
      <c r="BP153" s="107"/>
      <c r="BQ153" s="107"/>
      <c r="BR153" s="41"/>
      <c r="BS153" s="41"/>
      <c r="BT153" s="41"/>
      <c r="BU153" s="41"/>
      <c r="BV153" s="41"/>
      <c r="BW153" s="105"/>
      <c r="BX153" s="105"/>
      <c r="BY153" s="41"/>
      <c r="BZ153" s="41"/>
      <c r="CA153" s="41"/>
      <c r="CB153" s="41"/>
      <c r="CC153" s="41"/>
      <c r="CD153" s="41"/>
      <c r="CE153" s="41"/>
      <c r="CF153" s="41"/>
      <c r="CG153" s="41"/>
      <c r="CH153" s="41"/>
      <c r="CI153" s="41"/>
      <c r="CJ153" s="107"/>
    </row>
    <row r="154" spans="61:88">
      <c r="BI154" s="41"/>
      <c r="BJ154" s="41"/>
      <c r="BK154" s="41"/>
      <c r="BL154" s="41"/>
      <c r="BM154" s="41"/>
      <c r="BN154" s="41"/>
      <c r="BO154" s="41"/>
      <c r="BP154" s="107"/>
      <c r="BQ154" s="107"/>
      <c r="BR154" s="41"/>
      <c r="BS154" s="41"/>
      <c r="BT154" s="41"/>
      <c r="BU154" s="41"/>
      <c r="BV154" s="41"/>
      <c r="BW154" s="105"/>
      <c r="BX154" s="105"/>
      <c r="BY154" s="41"/>
      <c r="BZ154" s="41"/>
      <c r="CA154" s="41"/>
      <c r="CB154" s="41"/>
      <c r="CC154" s="41"/>
      <c r="CD154" s="41"/>
      <c r="CE154" s="41"/>
      <c r="CF154" s="41"/>
      <c r="CG154" s="41"/>
      <c r="CH154" s="41"/>
      <c r="CI154" s="41"/>
      <c r="CJ154" s="107"/>
    </row>
    <row r="155" spans="61:88">
      <c r="BI155" s="41"/>
      <c r="BJ155" s="41"/>
      <c r="BK155" s="41"/>
      <c r="BL155" s="41"/>
      <c r="BM155" s="41"/>
      <c r="BN155" s="41"/>
      <c r="BO155" s="41"/>
      <c r="BP155" s="107"/>
      <c r="BQ155" s="107"/>
      <c r="BR155" s="41"/>
      <c r="BS155" s="41"/>
      <c r="BT155" s="41"/>
      <c r="BU155" s="41"/>
      <c r="BV155" s="41"/>
      <c r="BW155" s="105"/>
      <c r="BX155" s="105"/>
      <c r="BY155" s="41"/>
      <c r="BZ155" s="41"/>
      <c r="CA155" s="41"/>
      <c r="CB155" s="41"/>
      <c r="CC155" s="41"/>
      <c r="CD155" s="41"/>
      <c r="CE155" s="41"/>
      <c r="CF155" s="41"/>
      <c r="CG155" s="41"/>
      <c r="CH155" s="41"/>
      <c r="CI155" s="41"/>
      <c r="CJ155" s="107"/>
    </row>
    <row r="156" spans="61:88">
      <c r="BI156" s="41"/>
      <c r="BJ156" s="41"/>
      <c r="BK156" s="41"/>
      <c r="BL156" s="41"/>
      <c r="BM156" s="41"/>
      <c r="BN156" s="41"/>
      <c r="BO156" s="41"/>
      <c r="BP156" s="107"/>
      <c r="BQ156" s="107"/>
      <c r="BR156" s="41"/>
      <c r="BS156" s="41"/>
      <c r="BT156" s="41"/>
      <c r="BU156" s="41"/>
      <c r="BV156" s="41"/>
      <c r="BW156" s="105"/>
      <c r="BX156" s="105"/>
      <c r="BY156" s="41"/>
      <c r="BZ156" s="41"/>
      <c r="CA156" s="41"/>
      <c r="CB156" s="41"/>
      <c r="CC156" s="41"/>
      <c r="CD156" s="41"/>
      <c r="CE156" s="41"/>
      <c r="CF156" s="41"/>
      <c r="CG156" s="41"/>
      <c r="CH156" s="41"/>
      <c r="CI156" s="41"/>
      <c r="CJ156" s="107"/>
    </row>
    <row r="157" spans="61:88">
      <c r="BI157" s="41"/>
      <c r="BJ157" s="41"/>
      <c r="BK157" s="41"/>
      <c r="BL157" s="41"/>
      <c r="BM157" s="41"/>
      <c r="BN157" s="41"/>
      <c r="BO157" s="41"/>
      <c r="BP157" s="107"/>
      <c r="BQ157" s="107"/>
      <c r="BR157" s="41"/>
      <c r="BS157" s="41"/>
      <c r="BT157" s="41"/>
      <c r="BU157" s="41"/>
      <c r="BV157" s="41"/>
      <c r="BW157" s="105"/>
      <c r="BX157" s="105"/>
      <c r="BY157" s="41"/>
      <c r="BZ157" s="41"/>
      <c r="CA157" s="41"/>
      <c r="CB157" s="41"/>
      <c r="CC157" s="41"/>
      <c r="CD157" s="41"/>
      <c r="CE157" s="41"/>
      <c r="CF157" s="41"/>
      <c r="CG157" s="41"/>
      <c r="CH157" s="41"/>
      <c r="CI157" s="41"/>
      <c r="CJ157" s="107"/>
    </row>
    <row r="158" spans="61:88">
      <c r="BI158" s="41"/>
      <c r="BJ158" s="41"/>
      <c r="BK158" s="41"/>
      <c r="BL158" s="41"/>
      <c r="BM158" s="41"/>
      <c r="BN158" s="41"/>
      <c r="BO158" s="41"/>
      <c r="BP158" s="107"/>
      <c r="BQ158" s="107"/>
      <c r="BR158" s="41"/>
      <c r="BS158" s="41"/>
      <c r="BT158" s="41"/>
      <c r="BU158" s="41"/>
      <c r="BV158" s="41"/>
      <c r="BW158" s="105"/>
      <c r="BX158" s="105"/>
      <c r="BY158" s="41"/>
      <c r="BZ158" s="41"/>
      <c r="CA158" s="41"/>
      <c r="CB158" s="41"/>
      <c r="CC158" s="41"/>
      <c r="CD158" s="41"/>
      <c r="CE158" s="41"/>
      <c r="CF158" s="41"/>
      <c r="CG158" s="41"/>
      <c r="CH158" s="41"/>
      <c r="CI158" s="41"/>
      <c r="CJ158" s="107"/>
    </row>
    <row r="159" spans="61:88">
      <c r="BI159" s="41"/>
      <c r="BJ159" s="41"/>
      <c r="BK159" s="41"/>
      <c r="BL159" s="41"/>
      <c r="BM159" s="41"/>
      <c r="BN159" s="41"/>
      <c r="BO159" s="41"/>
      <c r="BP159" s="107"/>
      <c r="BQ159" s="107"/>
      <c r="BR159" s="41"/>
      <c r="BS159" s="41"/>
      <c r="BT159" s="41"/>
      <c r="BU159" s="41"/>
      <c r="BV159" s="41"/>
      <c r="BW159" s="105"/>
      <c r="BX159" s="105"/>
      <c r="BY159" s="41"/>
      <c r="BZ159" s="41"/>
      <c r="CA159" s="41"/>
      <c r="CB159" s="41"/>
      <c r="CC159" s="41"/>
      <c r="CD159" s="41"/>
      <c r="CE159" s="41"/>
      <c r="CF159" s="41"/>
      <c r="CG159" s="41"/>
      <c r="CH159" s="41"/>
      <c r="CI159" s="41"/>
      <c r="CJ159" s="107"/>
    </row>
    <row r="160" spans="61:88">
      <c r="BI160" s="41"/>
      <c r="BJ160" s="41"/>
      <c r="BK160" s="41"/>
      <c r="BL160" s="41"/>
      <c r="BM160" s="41"/>
      <c r="BN160" s="41"/>
      <c r="BO160" s="41"/>
      <c r="BP160" s="107"/>
      <c r="BQ160" s="107"/>
      <c r="BR160" s="41"/>
      <c r="BS160" s="41"/>
      <c r="BT160" s="41"/>
      <c r="BU160" s="41"/>
      <c r="BV160" s="41"/>
      <c r="BW160" s="105"/>
      <c r="BX160" s="105"/>
      <c r="BY160" s="41"/>
      <c r="BZ160" s="41"/>
      <c r="CA160" s="41"/>
      <c r="CB160" s="41"/>
      <c r="CC160" s="41"/>
      <c r="CD160" s="41"/>
      <c r="CE160" s="41"/>
      <c r="CF160" s="41"/>
      <c r="CG160" s="41"/>
      <c r="CH160" s="41"/>
      <c r="CI160" s="41"/>
      <c r="CJ160" s="107"/>
    </row>
    <row r="161" spans="61:88">
      <c r="BI161" s="41"/>
      <c r="BJ161" s="41"/>
      <c r="BK161" s="41"/>
      <c r="BL161" s="41"/>
      <c r="BM161" s="41"/>
      <c r="BN161" s="41"/>
      <c r="BO161" s="41"/>
      <c r="BP161" s="107"/>
      <c r="BQ161" s="107"/>
      <c r="BR161" s="41"/>
      <c r="BS161" s="41"/>
      <c r="BT161" s="41"/>
      <c r="BU161" s="41"/>
      <c r="BV161" s="41"/>
      <c r="BW161" s="105"/>
      <c r="BX161" s="105"/>
      <c r="BY161" s="41"/>
      <c r="BZ161" s="41"/>
      <c r="CA161" s="41"/>
      <c r="CB161" s="41"/>
      <c r="CC161" s="41"/>
      <c r="CD161" s="41"/>
      <c r="CE161" s="41"/>
      <c r="CF161" s="41"/>
      <c r="CG161" s="41"/>
      <c r="CH161" s="41"/>
      <c r="CI161" s="41"/>
      <c r="CJ161" s="107"/>
    </row>
    <row r="162" spans="61:88">
      <c r="BI162" s="41"/>
      <c r="BJ162" s="41"/>
      <c r="BK162" s="41"/>
      <c r="BL162" s="41"/>
      <c r="BM162" s="41"/>
      <c r="BN162" s="41"/>
      <c r="BO162" s="41"/>
      <c r="BP162" s="107"/>
      <c r="BQ162" s="107"/>
      <c r="BR162" s="41"/>
      <c r="BS162" s="41"/>
      <c r="BT162" s="41"/>
      <c r="BU162" s="41"/>
      <c r="BV162" s="41"/>
      <c r="BW162" s="105"/>
      <c r="BX162" s="105"/>
      <c r="BY162" s="41"/>
      <c r="BZ162" s="41"/>
      <c r="CA162" s="41"/>
      <c r="CB162" s="41"/>
      <c r="CC162" s="41"/>
      <c r="CD162" s="41"/>
      <c r="CE162" s="41"/>
      <c r="CF162" s="41"/>
      <c r="CG162" s="41"/>
      <c r="CH162" s="41"/>
      <c r="CI162" s="41"/>
      <c r="CJ162" s="107"/>
    </row>
    <row r="163" spans="61:88">
      <c r="BI163" s="41"/>
      <c r="BJ163" s="41"/>
      <c r="BK163" s="41"/>
      <c r="BL163" s="41"/>
      <c r="BM163" s="41"/>
      <c r="BN163" s="41"/>
      <c r="BO163" s="41"/>
      <c r="BP163" s="107"/>
      <c r="BQ163" s="107"/>
      <c r="BR163" s="41"/>
      <c r="BS163" s="41"/>
      <c r="BT163" s="41"/>
      <c r="BU163" s="41"/>
      <c r="BV163" s="41"/>
      <c r="BW163" s="105"/>
      <c r="BX163" s="105"/>
      <c r="BY163" s="41"/>
      <c r="BZ163" s="41"/>
      <c r="CA163" s="41"/>
      <c r="CB163" s="41"/>
      <c r="CC163" s="41"/>
      <c r="CD163" s="41"/>
      <c r="CE163" s="41"/>
      <c r="CF163" s="41"/>
      <c r="CG163" s="41"/>
      <c r="CH163" s="41"/>
      <c r="CI163" s="41"/>
      <c r="CJ163" s="107"/>
    </row>
    <row r="164" spans="61:88">
      <c r="BI164" s="41"/>
      <c r="BJ164" s="41"/>
      <c r="BK164" s="41"/>
      <c r="BL164" s="41"/>
      <c r="BM164" s="41"/>
      <c r="BN164" s="41"/>
      <c r="BO164" s="41"/>
      <c r="BP164" s="107"/>
      <c r="BQ164" s="107"/>
      <c r="BR164" s="41"/>
      <c r="BS164" s="41"/>
      <c r="BT164" s="41"/>
      <c r="BU164" s="41"/>
      <c r="BV164" s="41"/>
      <c r="BW164" s="105"/>
      <c r="BX164" s="105"/>
      <c r="BY164" s="41"/>
      <c r="BZ164" s="41"/>
      <c r="CA164" s="41"/>
      <c r="CB164" s="41"/>
      <c r="CC164" s="41"/>
      <c r="CD164" s="41"/>
      <c r="CE164" s="41"/>
      <c r="CF164" s="41"/>
      <c r="CG164" s="41"/>
      <c r="CH164" s="41"/>
      <c r="CI164" s="41"/>
      <c r="CJ164" s="107"/>
    </row>
    <row r="165" spans="61:88">
      <c r="BI165" s="41"/>
      <c r="BJ165" s="41"/>
      <c r="BK165" s="41"/>
      <c r="BL165" s="41"/>
      <c r="BM165" s="41"/>
      <c r="BN165" s="41"/>
      <c r="BO165" s="41"/>
      <c r="BP165" s="107"/>
      <c r="BQ165" s="107"/>
      <c r="BR165" s="41"/>
      <c r="BS165" s="41"/>
      <c r="BT165" s="41"/>
      <c r="BU165" s="41"/>
      <c r="BV165" s="41"/>
      <c r="BW165" s="105"/>
      <c r="BX165" s="105"/>
      <c r="BY165" s="41"/>
      <c r="BZ165" s="41"/>
      <c r="CA165" s="41"/>
      <c r="CB165" s="41"/>
      <c r="CC165" s="41"/>
      <c r="CD165" s="41"/>
      <c r="CE165" s="41"/>
      <c r="CF165" s="41"/>
      <c r="CG165" s="41"/>
      <c r="CH165" s="41"/>
      <c r="CI165" s="41"/>
      <c r="CJ165" s="107"/>
    </row>
    <row r="166" spans="61:88">
      <c r="BI166" s="41"/>
      <c r="BJ166" s="41"/>
      <c r="BK166" s="41"/>
      <c r="BL166" s="41"/>
      <c r="BM166" s="41"/>
      <c r="BN166" s="41"/>
      <c r="BO166" s="41"/>
      <c r="BP166" s="107"/>
      <c r="BQ166" s="107"/>
      <c r="BR166" s="41"/>
      <c r="BS166" s="41"/>
      <c r="BT166" s="41"/>
      <c r="BU166" s="41"/>
      <c r="BV166" s="41"/>
      <c r="BW166" s="105"/>
      <c r="BX166" s="105"/>
      <c r="BY166" s="41"/>
      <c r="BZ166" s="41"/>
      <c r="CA166" s="41"/>
      <c r="CB166" s="41"/>
      <c r="CC166" s="41"/>
      <c r="CD166" s="41"/>
      <c r="CE166" s="41"/>
      <c r="CF166" s="41"/>
      <c r="CG166" s="41"/>
      <c r="CH166" s="41"/>
      <c r="CI166" s="41"/>
      <c r="CJ166" s="107"/>
    </row>
    <row r="167" spans="61:88">
      <c r="BI167" s="41"/>
      <c r="BJ167" s="41"/>
      <c r="BK167" s="41"/>
      <c r="BL167" s="41"/>
      <c r="BM167" s="41"/>
      <c r="BN167" s="41"/>
      <c r="BO167" s="41"/>
      <c r="BP167" s="107"/>
      <c r="BQ167" s="107"/>
      <c r="BR167" s="41"/>
      <c r="BS167" s="41"/>
      <c r="BT167" s="41"/>
      <c r="BU167" s="41"/>
      <c r="BV167" s="41"/>
      <c r="BW167" s="105"/>
      <c r="BX167" s="105"/>
      <c r="BY167" s="41"/>
      <c r="BZ167" s="41"/>
      <c r="CA167" s="41"/>
      <c r="CB167" s="41"/>
      <c r="CC167" s="41"/>
      <c r="CD167" s="41"/>
      <c r="CE167" s="41"/>
      <c r="CF167" s="41"/>
      <c r="CG167" s="41"/>
      <c r="CH167" s="41"/>
      <c r="CI167" s="41"/>
      <c r="CJ167" s="107"/>
    </row>
    <row r="168" spans="61:88">
      <c r="BI168" s="41"/>
      <c r="BJ168" s="41"/>
      <c r="BK168" s="41"/>
      <c r="BL168" s="41"/>
      <c r="BM168" s="41"/>
      <c r="BN168" s="41"/>
      <c r="BO168" s="41"/>
      <c r="BP168" s="107"/>
      <c r="BQ168" s="107"/>
      <c r="BR168" s="41"/>
      <c r="BS168" s="41"/>
      <c r="BT168" s="41"/>
      <c r="BU168" s="41"/>
      <c r="BV168" s="41"/>
      <c r="BW168" s="105"/>
      <c r="BX168" s="105"/>
      <c r="BY168" s="41"/>
      <c r="BZ168" s="41"/>
      <c r="CA168" s="41"/>
      <c r="CB168" s="41"/>
      <c r="CC168" s="41"/>
      <c r="CD168" s="41"/>
      <c r="CE168" s="41"/>
      <c r="CF168" s="41"/>
      <c r="CG168" s="41"/>
      <c r="CH168" s="41"/>
      <c r="CI168" s="41"/>
      <c r="CJ168" s="107"/>
    </row>
    <row r="169" spans="61:88">
      <c r="BI169" s="41"/>
      <c r="BJ169" s="41"/>
      <c r="BK169" s="41"/>
      <c r="BL169" s="41"/>
      <c r="BM169" s="41"/>
      <c r="BN169" s="41"/>
      <c r="BO169" s="41"/>
      <c r="BP169" s="107"/>
      <c r="BQ169" s="107"/>
      <c r="BR169" s="41"/>
      <c r="BS169" s="41"/>
      <c r="BT169" s="41"/>
      <c r="BU169" s="41"/>
      <c r="BV169" s="41"/>
      <c r="BW169" s="105"/>
      <c r="BX169" s="105"/>
      <c r="BY169" s="41"/>
      <c r="BZ169" s="41"/>
      <c r="CA169" s="41"/>
      <c r="CB169" s="41"/>
      <c r="CC169" s="41"/>
      <c r="CD169" s="41"/>
      <c r="CE169" s="41"/>
      <c r="CF169" s="41"/>
      <c r="CG169" s="41"/>
      <c r="CH169" s="41"/>
      <c r="CI169" s="41"/>
      <c r="CJ169" s="107"/>
    </row>
    <row r="170" spans="61:88">
      <c r="BI170" s="41"/>
      <c r="BJ170" s="41"/>
      <c r="BK170" s="41"/>
      <c r="BL170" s="41"/>
      <c r="BM170" s="41"/>
      <c r="BN170" s="41"/>
      <c r="BO170" s="41"/>
      <c r="BP170" s="107"/>
      <c r="BQ170" s="107"/>
      <c r="BR170" s="41"/>
      <c r="BS170" s="41"/>
      <c r="BT170" s="41"/>
      <c r="BU170" s="41"/>
      <c r="BV170" s="41"/>
      <c r="BW170" s="105"/>
      <c r="BX170" s="105"/>
      <c r="BY170" s="41"/>
      <c r="BZ170" s="41"/>
      <c r="CA170" s="41"/>
      <c r="CB170" s="41"/>
      <c r="CC170" s="41"/>
      <c r="CD170" s="41"/>
      <c r="CE170" s="41"/>
      <c r="CF170" s="41"/>
      <c r="CG170" s="41"/>
      <c r="CH170" s="41"/>
      <c r="CI170" s="41"/>
      <c r="CJ170" s="107"/>
    </row>
    <row r="171" spans="61:88">
      <c r="BI171" s="41"/>
      <c r="BJ171" s="41"/>
      <c r="BK171" s="41"/>
      <c r="BL171" s="41"/>
      <c r="BM171" s="41"/>
      <c r="BN171" s="41"/>
      <c r="BO171" s="41"/>
      <c r="BP171" s="107"/>
      <c r="BQ171" s="107"/>
      <c r="BR171" s="41"/>
      <c r="BS171" s="41"/>
      <c r="BT171" s="41"/>
      <c r="BU171" s="41"/>
      <c r="BV171" s="41"/>
      <c r="BW171" s="105"/>
      <c r="BX171" s="105"/>
      <c r="BY171" s="41"/>
      <c r="BZ171" s="41"/>
      <c r="CA171" s="41"/>
      <c r="CB171" s="41"/>
      <c r="CC171" s="41"/>
      <c r="CD171" s="41"/>
      <c r="CE171" s="41"/>
      <c r="CF171" s="41"/>
      <c r="CG171" s="41"/>
      <c r="CH171" s="41"/>
      <c r="CI171" s="41"/>
      <c r="CJ171" s="107"/>
    </row>
    <row r="172" spans="61:88">
      <c r="BI172" s="41"/>
      <c r="BJ172" s="41"/>
      <c r="BK172" s="41"/>
      <c r="BL172" s="41"/>
      <c r="BM172" s="41"/>
      <c r="BN172" s="41"/>
      <c r="BO172" s="41"/>
      <c r="BP172" s="107"/>
      <c r="BQ172" s="107"/>
      <c r="BR172" s="41"/>
      <c r="BS172" s="41"/>
      <c r="BT172" s="41"/>
      <c r="BU172" s="41"/>
      <c r="BV172" s="41"/>
      <c r="BW172" s="105"/>
      <c r="BX172" s="105"/>
      <c r="BY172" s="41"/>
      <c r="BZ172" s="41"/>
      <c r="CA172" s="41"/>
      <c r="CB172" s="41"/>
      <c r="CC172" s="41"/>
      <c r="CD172" s="41"/>
      <c r="CE172" s="41"/>
      <c r="CF172" s="41"/>
      <c r="CG172" s="41"/>
      <c r="CH172" s="41"/>
      <c r="CI172" s="41"/>
      <c r="CJ172" s="107"/>
    </row>
    <row r="173" spans="61:88">
      <c r="BI173" s="41"/>
      <c r="BJ173" s="41"/>
      <c r="BK173" s="41"/>
      <c r="BL173" s="41"/>
      <c r="BM173" s="41"/>
      <c r="BN173" s="41"/>
      <c r="BO173" s="41"/>
      <c r="BP173" s="107"/>
      <c r="BQ173" s="107"/>
      <c r="BR173" s="41"/>
      <c r="BS173" s="41"/>
      <c r="BT173" s="41"/>
      <c r="BU173" s="41"/>
      <c r="BV173" s="41"/>
      <c r="BW173" s="105"/>
      <c r="BX173" s="105"/>
      <c r="BY173" s="41"/>
      <c r="BZ173" s="41"/>
      <c r="CA173" s="41"/>
      <c r="CB173" s="41"/>
      <c r="CC173" s="41"/>
      <c r="CD173" s="41"/>
      <c r="CE173" s="41"/>
      <c r="CF173" s="41"/>
      <c r="CG173" s="41"/>
      <c r="CH173" s="41"/>
      <c r="CI173" s="41"/>
      <c r="CJ173" s="107"/>
    </row>
    <row r="174" spans="61:88">
      <c r="BI174" s="41"/>
      <c r="BJ174" s="41"/>
      <c r="BK174" s="41"/>
      <c r="BL174" s="41"/>
      <c r="BM174" s="41"/>
      <c r="BN174" s="41"/>
      <c r="BO174" s="41"/>
      <c r="BP174" s="107"/>
      <c r="BQ174" s="107"/>
      <c r="BR174" s="41"/>
      <c r="BS174" s="41"/>
      <c r="BT174" s="41"/>
      <c r="BU174" s="41"/>
      <c r="BV174" s="41"/>
      <c r="BW174" s="105"/>
      <c r="BX174" s="105"/>
      <c r="BY174" s="41"/>
      <c r="BZ174" s="41"/>
      <c r="CA174" s="41"/>
      <c r="CB174" s="41"/>
      <c r="CC174" s="41"/>
      <c r="CD174" s="41"/>
      <c r="CE174" s="41"/>
      <c r="CF174" s="41"/>
      <c r="CG174" s="41"/>
      <c r="CH174" s="41"/>
      <c r="CI174" s="41"/>
      <c r="CJ174" s="107"/>
    </row>
    <row r="175" spans="61:88">
      <c r="BI175" s="41"/>
      <c r="BJ175" s="41"/>
      <c r="BK175" s="41"/>
      <c r="BL175" s="41"/>
      <c r="BM175" s="41"/>
      <c r="BN175" s="41"/>
      <c r="BO175" s="41"/>
      <c r="BP175" s="107"/>
      <c r="BQ175" s="107"/>
      <c r="BR175" s="41"/>
      <c r="BS175" s="41"/>
      <c r="BT175" s="41"/>
      <c r="BU175" s="41"/>
      <c r="BV175" s="41"/>
      <c r="BW175" s="105"/>
      <c r="BX175" s="105"/>
      <c r="BY175" s="41"/>
      <c r="BZ175" s="41"/>
      <c r="CA175" s="41"/>
      <c r="CB175" s="41"/>
      <c r="CC175" s="41"/>
      <c r="CD175" s="41"/>
      <c r="CE175" s="41"/>
      <c r="CF175" s="41"/>
      <c r="CG175" s="41"/>
      <c r="CH175" s="41"/>
      <c r="CI175" s="41"/>
      <c r="CJ175" s="107"/>
    </row>
    <row r="176" spans="61:88">
      <c r="BI176" s="41"/>
      <c r="BJ176" s="41"/>
      <c r="BK176" s="41"/>
      <c r="BL176" s="41"/>
      <c r="BM176" s="41"/>
      <c r="BN176" s="41"/>
      <c r="BO176" s="41"/>
      <c r="BP176" s="107"/>
      <c r="BQ176" s="107"/>
      <c r="BR176" s="41"/>
      <c r="BS176" s="41"/>
      <c r="BT176" s="41"/>
      <c r="BU176" s="41"/>
      <c r="BV176" s="41"/>
      <c r="BW176" s="105"/>
      <c r="BX176" s="105"/>
      <c r="BY176" s="41"/>
      <c r="BZ176" s="41"/>
      <c r="CA176" s="41"/>
      <c r="CB176" s="41"/>
      <c r="CC176" s="41"/>
      <c r="CD176" s="41"/>
      <c r="CE176" s="41"/>
      <c r="CF176" s="41"/>
      <c r="CG176" s="41"/>
      <c r="CH176" s="41"/>
      <c r="CI176" s="41"/>
      <c r="CJ176" s="107"/>
    </row>
    <row r="177" spans="61:88">
      <c r="BI177" s="41"/>
      <c r="BJ177" s="41"/>
      <c r="BK177" s="41"/>
      <c r="BL177" s="41"/>
      <c r="BM177" s="41"/>
      <c r="BN177" s="41"/>
      <c r="BO177" s="41"/>
      <c r="BP177" s="107"/>
      <c r="BQ177" s="107"/>
      <c r="BR177" s="41"/>
      <c r="BS177" s="41"/>
      <c r="BT177" s="41"/>
      <c r="BU177" s="41"/>
      <c r="BV177" s="41"/>
      <c r="BW177" s="105"/>
      <c r="BX177" s="105"/>
      <c r="BY177" s="41"/>
      <c r="BZ177" s="41"/>
      <c r="CA177" s="41"/>
      <c r="CB177" s="41"/>
      <c r="CC177" s="41"/>
      <c r="CD177" s="41"/>
      <c r="CE177" s="41"/>
      <c r="CF177" s="41"/>
      <c r="CG177" s="41"/>
      <c r="CH177" s="41"/>
      <c r="CI177" s="41"/>
      <c r="CJ177" s="107"/>
    </row>
    <row r="178" spans="61:88">
      <c r="BI178" s="41"/>
      <c r="BJ178" s="41"/>
      <c r="BK178" s="41"/>
      <c r="BL178" s="41"/>
      <c r="BM178" s="41"/>
      <c r="BN178" s="41"/>
      <c r="BO178" s="41"/>
      <c r="BP178" s="107"/>
      <c r="BQ178" s="107"/>
      <c r="BR178" s="41"/>
      <c r="BS178" s="41"/>
      <c r="BT178" s="41"/>
      <c r="BU178" s="41"/>
      <c r="BV178" s="41"/>
      <c r="BW178" s="105"/>
      <c r="BX178" s="105"/>
      <c r="BY178" s="41"/>
      <c r="BZ178" s="41"/>
      <c r="CA178" s="41"/>
      <c r="CB178" s="41"/>
      <c r="CC178" s="41"/>
      <c r="CD178" s="41"/>
      <c r="CE178" s="41"/>
      <c r="CF178" s="41"/>
      <c r="CG178" s="41"/>
      <c r="CH178" s="41"/>
      <c r="CI178" s="41"/>
      <c r="CJ178" s="107"/>
    </row>
    <row r="179" spans="61:88">
      <c r="BI179" s="41"/>
      <c r="BJ179" s="41"/>
      <c r="BK179" s="41"/>
      <c r="BL179" s="41"/>
      <c r="BM179" s="41"/>
      <c r="BN179" s="41"/>
      <c r="BO179" s="41"/>
      <c r="BP179" s="107"/>
      <c r="BQ179" s="107"/>
      <c r="BR179" s="41"/>
      <c r="BS179" s="41"/>
      <c r="BT179" s="41"/>
      <c r="BU179" s="41"/>
      <c r="BV179" s="41"/>
      <c r="BW179" s="105"/>
      <c r="BX179" s="105"/>
      <c r="BY179" s="41"/>
      <c r="BZ179" s="41"/>
      <c r="CA179" s="41"/>
      <c r="CB179" s="41"/>
      <c r="CC179" s="41"/>
      <c r="CD179" s="41"/>
      <c r="CE179" s="41"/>
      <c r="CF179" s="41"/>
      <c r="CG179" s="41"/>
      <c r="CH179" s="41"/>
      <c r="CI179" s="41"/>
      <c r="CJ179" s="107"/>
    </row>
    <row r="180" spans="61:88">
      <c r="BI180" s="41"/>
      <c r="BJ180" s="41"/>
      <c r="BK180" s="41"/>
      <c r="BL180" s="41"/>
      <c r="BM180" s="41"/>
      <c r="BN180" s="41"/>
      <c r="BO180" s="41"/>
      <c r="BP180" s="107"/>
      <c r="BQ180" s="107"/>
      <c r="BR180" s="41"/>
      <c r="BS180" s="41"/>
      <c r="BT180" s="41"/>
      <c r="BU180" s="41"/>
      <c r="BV180" s="41"/>
      <c r="BW180" s="105"/>
      <c r="BX180" s="105"/>
      <c r="BY180" s="41"/>
      <c r="BZ180" s="41"/>
      <c r="CA180" s="41"/>
      <c r="CB180" s="41"/>
      <c r="CC180" s="41"/>
      <c r="CD180" s="41"/>
      <c r="CE180" s="41"/>
      <c r="CF180" s="41"/>
      <c r="CG180" s="41"/>
      <c r="CH180" s="41"/>
      <c r="CI180" s="41"/>
      <c r="CJ180" s="107"/>
    </row>
    <row r="181" spans="61:88">
      <c r="BI181" s="41"/>
      <c r="BJ181" s="41"/>
      <c r="BK181" s="41"/>
      <c r="BL181" s="41"/>
      <c r="BM181" s="41"/>
      <c r="BN181" s="41"/>
      <c r="BO181" s="41"/>
      <c r="BP181" s="107"/>
      <c r="BQ181" s="107"/>
      <c r="BR181" s="41"/>
      <c r="BS181" s="41"/>
      <c r="BT181" s="41"/>
      <c r="BU181" s="41"/>
      <c r="BV181" s="41"/>
      <c r="BW181" s="105"/>
      <c r="BX181" s="105"/>
      <c r="BY181" s="41"/>
      <c r="BZ181" s="41"/>
      <c r="CA181" s="41"/>
      <c r="CB181" s="41"/>
      <c r="CC181" s="41"/>
      <c r="CD181" s="41"/>
      <c r="CE181" s="41"/>
      <c r="CF181" s="41"/>
      <c r="CG181" s="41"/>
      <c r="CH181" s="41"/>
      <c r="CI181" s="41"/>
      <c r="CJ181" s="107"/>
    </row>
    <row r="182" spans="61:88">
      <c r="BI182" s="41"/>
      <c r="BJ182" s="41"/>
      <c r="BK182" s="41"/>
      <c r="BL182" s="41"/>
      <c r="BM182" s="41"/>
      <c r="BN182" s="41"/>
      <c r="BO182" s="41"/>
      <c r="BP182" s="107"/>
      <c r="BQ182" s="107"/>
      <c r="BR182" s="41"/>
      <c r="BS182" s="41"/>
      <c r="BT182" s="41"/>
      <c r="BU182" s="41"/>
      <c r="BV182" s="41"/>
      <c r="BW182" s="105"/>
      <c r="BX182" s="105"/>
      <c r="BY182" s="41"/>
      <c r="BZ182" s="41"/>
      <c r="CA182" s="41"/>
      <c r="CB182" s="41"/>
      <c r="CC182" s="41"/>
      <c r="CD182" s="41"/>
      <c r="CE182" s="41"/>
      <c r="CF182" s="41"/>
      <c r="CG182" s="41"/>
      <c r="CH182" s="41"/>
      <c r="CI182" s="41"/>
      <c r="CJ182" s="107"/>
    </row>
    <row r="183" spans="61:88">
      <c r="BI183" s="41"/>
      <c r="BJ183" s="41"/>
      <c r="BK183" s="41"/>
      <c r="BL183" s="41"/>
      <c r="BM183" s="41"/>
      <c r="BN183" s="41"/>
      <c r="BO183" s="41"/>
      <c r="BP183" s="107"/>
      <c r="BQ183" s="107"/>
      <c r="BR183" s="41"/>
      <c r="BS183" s="41"/>
      <c r="BT183" s="41"/>
      <c r="BU183" s="41"/>
      <c r="BV183" s="41"/>
      <c r="BW183" s="105"/>
      <c r="BX183" s="105"/>
      <c r="BY183" s="41"/>
      <c r="BZ183" s="41"/>
      <c r="CA183" s="41"/>
      <c r="CB183" s="41"/>
      <c r="CC183" s="41"/>
      <c r="CD183" s="41"/>
      <c r="CE183" s="41"/>
      <c r="CF183" s="41"/>
      <c r="CG183" s="41"/>
      <c r="CH183" s="41"/>
      <c r="CI183" s="41"/>
      <c r="CJ183" s="107"/>
    </row>
    <row r="184" spans="61:88">
      <c r="BI184" s="41"/>
      <c r="BJ184" s="41"/>
      <c r="BK184" s="41"/>
      <c r="BL184" s="41"/>
      <c r="BM184" s="41"/>
      <c r="BN184" s="41"/>
      <c r="BO184" s="41"/>
      <c r="BP184" s="107"/>
      <c r="BQ184" s="107"/>
      <c r="BR184" s="41"/>
      <c r="BS184" s="41"/>
      <c r="BT184" s="41"/>
      <c r="BU184" s="41"/>
      <c r="BV184" s="41"/>
      <c r="BW184" s="105"/>
      <c r="BX184" s="105"/>
      <c r="BY184" s="41"/>
      <c r="BZ184" s="41"/>
      <c r="CA184" s="41"/>
      <c r="CB184" s="41"/>
      <c r="CC184" s="41"/>
      <c r="CD184" s="41"/>
      <c r="CE184" s="41"/>
      <c r="CF184" s="41"/>
      <c r="CG184" s="41"/>
      <c r="CH184" s="41"/>
      <c r="CI184" s="41"/>
      <c r="CJ184" s="107"/>
    </row>
    <row r="185" spans="61:88">
      <c r="BI185" s="41"/>
      <c r="BJ185" s="41"/>
      <c r="BK185" s="41"/>
      <c r="BL185" s="41"/>
      <c r="BM185" s="41"/>
      <c r="BN185" s="41"/>
      <c r="BO185" s="41"/>
      <c r="BP185" s="107"/>
      <c r="BQ185" s="107"/>
      <c r="BR185" s="41"/>
      <c r="BS185" s="41"/>
      <c r="BT185" s="41"/>
      <c r="BU185" s="41"/>
      <c r="BV185" s="41"/>
      <c r="BW185" s="105"/>
      <c r="BX185" s="105"/>
      <c r="BY185" s="41"/>
      <c r="BZ185" s="41"/>
      <c r="CA185" s="41"/>
      <c r="CB185" s="41"/>
      <c r="CC185" s="41"/>
      <c r="CD185" s="41"/>
      <c r="CE185" s="41"/>
      <c r="CF185" s="41"/>
      <c r="CG185" s="41"/>
      <c r="CH185" s="41"/>
      <c r="CI185" s="41"/>
      <c r="CJ185" s="107"/>
    </row>
    <row r="186" spans="61:88">
      <c r="BI186" s="41"/>
      <c r="BJ186" s="41"/>
      <c r="BK186" s="41"/>
      <c r="BL186" s="41"/>
      <c r="BM186" s="41"/>
      <c r="BN186" s="41"/>
      <c r="BO186" s="41"/>
      <c r="BP186" s="107"/>
      <c r="BQ186" s="107"/>
      <c r="BR186" s="41"/>
      <c r="BS186" s="41"/>
      <c r="BT186" s="41"/>
      <c r="BU186" s="41"/>
      <c r="BV186" s="41"/>
      <c r="BW186" s="105"/>
      <c r="BX186" s="105"/>
      <c r="BY186" s="41"/>
      <c r="BZ186" s="41"/>
      <c r="CA186" s="41"/>
      <c r="CB186" s="41"/>
      <c r="CC186" s="41"/>
      <c r="CD186" s="41"/>
      <c r="CE186" s="41"/>
      <c r="CF186" s="41"/>
      <c r="CG186" s="41"/>
      <c r="CH186" s="41"/>
      <c r="CI186" s="41"/>
      <c r="CJ186" s="107"/>
    </row>
    <row r="187" spans="61:88">
      <c r="BI187" s="41"/>
      <c r="BJ187" s="41"/>
      <c r="BK187" s="41"/>
      <c r="BL187" s="41"/>
      <c r="BM187" s="41"/>
      <c r="BN187" s="41"/>
      <c r="BO187" s="41"/>
      <c r="BP187" s="107"/>
      <c r="BQ187" s="107"/>
      <c r="BR187" s="41"/>
      <c r="BS187" s="41"/>
      <c r="BT187" s="41"/>
      <c r="BU187" s="41"/>
      <c r="BV187" s="41"/>
      <c r="BW187" s="105"/>
      <c r="BX187" s="105"/>
      <c r="BY187" s="41"/>
      <c r="BZ187" s="41"/>
      <c r="CA187" s="41"/>
      <c r="CB187" s="41"/>
      <c r="CC187" s="41"/>
      <c r="CD187" s="41"/>
      <c r="CE187" s="41"/>
      <c r="CF187" s="41"/>
      <c r="CG187" s="41"/>
      <c r="CH187" s="41"/>
      <c r="CI187" s="41"/>
      <c r="CJ187" s="107"/>
    </row>
    <row r="188" spans="61:88">
      <c r="BI188" s="41"/>
      <c r="BJ188" s="41"/>
      <c r="BK188" s="41"/>
      <c r="BL188" s="41"/>
      <c r="BM188" s="41"/>
      <c r="BN188" s="41"/>
      <c r="BO188" s="41"/>
      <c r="BP188" s="107"/>
      <c r="BQ188" s="107"/>
      <c r="BR188" s="41"/>
      <c r="BS188" s="41"/>
      <c r="BT188" s="41"/>
      <c r="BU188" s="41"/>
      <c r="BV188" s="41"/>
      <c r="BW188" s="105"/>
      <c r="BX188" s="105"/>
      <c r="BY188" s="41"/>
      <c r="BZ188" s="41"/>
      <c r="CA188" s="41"/>
      <c r="CB188" s="41"/>
      <c r="CC188" s="41"/>
      <c r="CD188" s="41"/>
      <c r="CE188" s="41"/>
      <c r="CF188" s="41"/>
      <c r="CG188" s="41"/>
      <c r="CH188" s="41"/>
      <c r="CI188" s="41"/>
      <c r="CJ188" s="107"/>
    </row>
    <row r="189" spans="61:88">
      <c r="BI189" s="41"/>
      <c r="BJ189" s="41"/>
      <c r="BK189" s="41"/>
      <c r="BL189" s="41"/>
      <c r="BM189" s="41"/>
      <c r="BN189" s="41"/>
      <c r="BO189" s="41"/>
      <c r="BP189" s="107"/>
      <c r="BQ189" s="107"/>
      <c r="BR189" s="41"/>
      <c r="BS189" s="41"/>
      <c r="BT189" s="41"/>
      <c r="BU189" s="41"/>
      <c r="BV189" s="41"/>
      <c r="BW189" s="105"/>
      <c r="BX189" s="105"/>
      <c r="BY189" s="41"/>
      <c r="BZ189" s="41"/>
      <c r="CA189" s="41"/>
      <c r="CB189" s="41"/>
      <c r="CC189" s="41"/>
      <c r="CD189" s="41"/>
      <c r="CE189" s="41"/>
      <c r="CF189" s="41"/>
      <c r="CG189" s="41"/>
      <c r="CH189" s="41"/>
      <c r="CI189" s="41"/>
      <c r="CJ189" s="107"/>
    </row>
    <row r="190" spans="61:88">
      <c r="BI190" s="41"/>
      <c r="BJ190" s="41"/>
      <c r="BK190" s="41"/>
      <c r="BL190" s="41"/>
      <c r="BM190" s="41"/>
      <c r="BN190" s="41"/>
      <c r="BO190" s="41"/>
      <c r="BP190" s="107"/>
      <c r="BQ190" s="107"/>
      <c r="BR190" s="41"/>
      <c r="BS190" s="41"/>
      <c r="BT190" s="41"/>
      <c r="BU190" s="41"/>
      <c r="BV190" s="41"/>
      <c r="BW190" s="105"/>
      <c r="BX190" s="105"/>
      <c r="BY190" s="41"/>
      <c r="BZ190" s="41"/>
      <c r="CA190" s="41"/>
      <c r="CB190" s="41"/>
      <c r="CC190" s="41"/>
      <c r="CD190" s="41"/>
      <c r="CE190" s="41"/>
      <c r="CF190" s="41"/>
      <c r="CG190" s="41"/>
      <c r="CH190" s="41"/>
      <c r="CI190" s="41"/>
      <c r="CJ190" s="107"/>
    </row>
    <row r="191" spans="61:88">
      <c r="BI191" s="41"/>
      <c r="BJ191" s="41"/>
      <c r="BK191" s="41"/>
      <c r="BL191" s="41"/>
      <c r="BM191" s="41"/>
      <c r="BN191" s="41"/>
      <c r="BO191" s="41"/>
      <c r="BP191" s="107"/>
      <c r="BQ191" s="107"/>
      <c r="BR191" s="41"/>
      <c r="BS191" s="41"/>
      <c r="BT191" s="41"/>
      <c r="BU191" s="41"/>
      <c r="BV191" s="41"/>
      <c r="BW191" s="105"/>
      <c r="BX191" s="105"/>
      <c r="BY191" s="41"/>
      <c r="BZ191" s="41"/>
      <c r="CA191" s="41"/>
      <c r="CB191" s="41"/>
      <c r="CC191" s="41"/>
      <c r="CD191" s="41"/>
      <c r="CE191" s="41"/>
      <c r="CF191" s="41"/>
      <c r="CG191" s="41"/>
      <c r="CH191" s="41"/>
      <c r="CI191" s="41"/>
      <c r="CJ191" s="107"/>
    </row>
    <row r="192" spans="61:88">
      <c r="BI192" s="41"/>
      <c r="BJ192" s="41"/>
      <c r="BK192" s="41"/>
      <c r="BL192" s="41"/>
      <c r="BM192" s="41"/>
      <c r="BN192" s="41"/>
      <c r="BO192" s="41"/>
      <c r="BP192" s="107"/>
      <c r="BQ192" s="107"/>
      <c r="BR192" s="41"/>
      <c r="BS192" s="41"/>
      <c r="BT192" s="41"/>
      <c r="BU192" s="41"/>
      <c r="BV192" s="41"/>
      <c r="BW192" s="105"/>
      <c r="BX192" s="105"/>
      <c r="BY192" s="41"/>
      <c r="BZ192" s="41"/>
      <c r="CA192" s="41"/>
      <c r="CB192" s="41"/>
      <c r="CC192" s="41"/>
      <c r="CD192" s="41"/>
      <c r="CE192" s="41"/>
      <c r="CF192" s="41"/>
      <c r="CG192" s="41"/>
      <c r="CH192" s="41"/>
      <c r="CI192" s="41"/>
      <c r="CJ192" s="107"/>
    </row>
    <row r="193" spans="61:88">
      <c r="BI193" s="41"/>
      <c r="BJ193" s="41"/>
      <c r="BK193" s="41"/>
      <c r="BL193" s="41"/>
      <c r="BM193" s="41"/>
      <c r="BN193" s="41"/>
      <c r="BO193" s="41"/>
      <c r="BP193" s="107"/>
      <c r="BQ193" s="107"/>
      <c r="BR193" s="41"/>
      <c r="BS193" s="41"/>
      <c r="BT193" s="41"/>
      <c r="BU193" s="41"/>
      <c r="BV193" s="41"/>
      <c r="BW193" s="105"/>
      <c r="BX193" s="105"/>
      <c r="BY193" s="41"/>
      <c r="BZ193" s="41"/>
      <c r="CA193" s="41"/>
      <c r="CB193" s="41"/>
      <c r="CC193" s="41"/>
      <c r="CD193" s="41"/>
      <c r="CE193" s="41"/>
      <c r="CF193" s="41"/>
      <c r="CG193" s="41"/>
      <c r="CH193" s="41"/>
      <c r="CI193" s="41"/>
      <c r="CJ193" s="107"/>
    </row>
    <row r="194" spans="61:88">
      <c r="BI194" s="41"/>
      <c r="BJ194" s="41"/>
      <c r="BK194" s="41"/>
      <c r="BL194" s="41"/>
      <c r="BM194" s="41"/>
      <c r="BN194" s="41"/>
      <c r="BO194" s="41"/>
      <c r="BP194" s="107"/>
      <c r="BQ194" s="107"/>
      <c r="BR194" s="41"/>
      <c r="BS194" s="41"/>
      <c r="BT194" s="41"/>
      <c r="BU194" s="41"/>
      <c r="BV194" s="41"/>
      <c r="BW194" s="105"/>
      <c r="BX194" s="105"/>
      <c r="BY194" s="41"/>
      <c r="BZ194" s="41"/>
      <c r="CA194" s="41"/>
      <c r="CB194" s="41"/>
      <c r="CC194" s="41"/>
      <c r="CD194" s="41"/>
      <c r="CE194" s="41"/>
      <c r="CF194" s="41"/>
      <c r="CG194" s="41"/>
      <c r="CH194" s="41"/>
      <c r="CI194" s="41"/>
      <c r="CJ194" s="107"/>
    </row>
    <row r="195" spans="61:88">
      <c r="BI195" s="41"/>
      <c r="BJ195" s="41"/>
      <c r="BK195" s="41"/>
      <c r="BL195" s="41"/>
      <c r="BM195" s="41"/>
      <c r="BN195" s="41"/>
      <c r="BO195" s="41"/>
      <c r="BP195" s="107"/>
      <c r="BQ195" s="107"/>
      <c r="BR195" s="41"/>
      <c r="BS195" s="41"/>
      <c r="BT195" s="41"/>
      <c r="BU195" s="41"/>
      <c r="BV195" s="41"/>
      <c r="BW195" s="105"/>
      <c r="BX195" s="105"/>
      <c r="BY195" s="41"/>
      <c r="BZ195" s="41"/>
      <c r="CA195" s="41"/>
      <c r="CB195" s="41"/>
      <c r="CC195" s="41"/>
      <c r="CD195" s="41"/>
      <c r="CE195" s="41"/>
      <c r="CF195" s="41"/>
      <c r="CG195" s="41"/>
      <c r="CH195" s="41"/>
      <c r="CI195" s="41"/>
      <c r="CJ195" s="107"/>
    </row>
    <row r="196" spans="61:88">
      <c r="BI196" s="41"/>
      <c r="BJ196" s="41"/>
      <c r="BK196" s="41"/>
      <c r="BL196" s="41"/>
      <c r="BM196" s="41"/>
      <c r="BN196" s="41"/>
      <c r="BO196" s="41"/>
      <c r="BP196" s="107"/>
      <c r="BQ196" s="107"/>
      <c r="BR196" s="41"/>
      <c r="BS196" s="41"/>
      <c r="BT196" s="41"/>
      <c r="BU196" s="41"/>
      <c r="BV196" s="41"/>
      <c r="BW196" s="105"/>
      <c r="BX196" s="105"/>
      <c r="BY196" s="41"/>
      <c r="BZ196" s="41"/>
      <c r="CA196" s="41"/>
      <c r="CB196" s="41"/>
      <c r="CC196" s="41"/>
      <c r="CD196" s="41"/>
      <c r="CE196" s="41"/>
      <c r="CF196" s="41"/>
      <c r="CG196" s="41"/>
      <c r="CH196" s="41"/>
      <c r="CI196" s="41"/>
      <c r="CJ196" s="107"/>
    </row>
    <row r="197" spans="61:88">
      <c r="BI197" s="41"/>
      <c r="BJ197" s="41"/>
      <c r="BK197" s="41"/>
      <c r="BL197" s="41"/>
      <c r="BM197" s="41"/>
      <c r="BN197" s="41"/>
      <c r="BO197" s="41"/>
      <c r="BP197" s="107"/>
      <c r="BQ197" s="107"/>
      <c r="BR197" s="41"/>
      <c r="BS197" s="41"/>
      <c r="BT197" s="41"/>
      <c r="BU197" s="41"/>
      <c r="BV197" s="41"/>
      <c r="BW197" s="105"/>
      <c r="BX197" s="105"/>
      <c r="BY197" s="41"/>
      <c r="BZ197" s="41"/>
      <c r="CA197" s="41"/>
      <c r="CB197" s="41"/>
      <c r="CC197" s="41"/>
      <c r="CD197" s="41"/>
      <c r="CE197" s="41"/>
      <c r="CF197" s="41"/>
      <c r="CG197" s="41"/>
      <c r="CH197" s="41"/>
      <c r="CI197" s="41"/>
      <c r="CJ197" s="107"/>
    </row>
    <row r="198" spans="61:88">
      <c r="BI198" s="41"/>
      <c r="BJ198" s="41"/>
      <c r="BK198" s="41"/>
      <c r="BL198" s="41"/>
      <c r="BM198" s="41"/>
      <c r="BN198" s="41"/>
      <c r="BO198" s="41"/>
      <c r="BP198" s="107"/>
      <c r="BQ198" s="107"/>
      <c r="BR198" s="41"/>
      <c r="BS198" s="41"/>
      <c r="BT198" s="41"/>
      <c r="BU198" s="41"/>
      <c r="BV198" s="41"/>
      <c r="BW198" s="105"/>
      <c r="BX198" s="105"/>
      <c r="BY198" s="41"/>
      <c r="BZ198" s="41"/>
      <c r="CA198" s="41"/>
      <c r="CB198" s="41"/>
      <c r="CC198" s="41"/>
      <c r="CD198" s="41"/>
      <c r="CE198" s="41"/>
      <c r="CF198" s="41"/>
      <c r="CG198" s="41"/>
      <c r="CH198" s="41"/>
      <c r="CI198" s="41"/>
      <c r="CJ198" s="107"/>
    </row>
    <row r="199" spans="61:88">
      <c r="BI199" s="41"/>
      <c r="BJ199" s="41"/>
      <c r="BK199" s="41"/>
      <c r="BL199" s="41"/>
      <c r="BM199" s="41"/>
      <c r="BN199" s="41"/>
      <c r="BO199" s="41"/>
      <c r="BP199" s="107"/>
      <c r="BQ199" s="107"/>
      <c r="BR199" s="41"/>
      <c r="BS199" s="41"/>
      <c r="BT199" s="41"/>
      <c r="BU199" s="41"/>
      <c r="BV199" s="41"/>
      <c r="BW199" s="105"/>
      <c r="BX199" s="105"/>
      <c r="BY199" s="41"/>
      <c r="BZ199" s="41"/>
      <c r="CA199" s="41"/>
      <c r="CB199" s="41"/>
      <c r="CC199" s="41"/>
      <c r="CD199" s="41"/>
      <c r="CE199" s="41"/>
      <c r="CF199" s="41"/>
      <c r="CG199" s="41"/>
      <c r="CH199" s="41"/>
      <c r="CI199" s="41"/>
      <c r="CJ199" s="107"/>
    </row>
    <row r="200" spans="61:88">
      <c r="BO200" s="41"/>
      <c r="BV200" s="41"/>
      <c r="BW200" s="105"/>
      <c r="BX200" s="105"/>
    </row>
    <row r="201" spans="61:88">
      <c r="BO201" s="41"/>
      <c r="BV201" s="41"/>
      <c r="BW201" s="105"/>
      <c r="BX201" s="105"/>
    </row>
  </sheetData>
  <mergeCells count="11">
    <mergeCell ref="CG4:CJ4"/>
    <mergeCell ref="AX4:AZ4"/>
    <mergeCell ref="BE4:BG4"/>
    <mergeCell ref="BL4:BN4"/>
    <mergeCell ref="BS4:BU4"/>
    <mergeCell ref="BZ4:CB4"/>
    <mergeCell ref="L4:M4"/>
    <mergeCell ref="T4:U4"/>
    <mergeCell ref="AB4:AD4"/>
    <mergeCell ref="AJ4:AL4"/>
    <mergeCell ref="AQ4:AS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P140"/>
  <sheetViews>
    <sheetView workbookViewId="0">
      <selection activeCell="J96" sqref="J96"/>
    </sheetView>
  </sheetViews>
  <sheetFormatPr baseColWidth="10" defaultRowHeight="14.4"/>
  <cols>
    <col min="1" max="1" width="12.44140625" style="4798" bestFit="1" customWidth="1"/>
    <col min="2" max="2" width="11.44140625" style="4798"/>
    <col min="3" max="3" width="65.21875" style="4798" bestFit="1" customWidth="1"/>
    <col min="4" max="4" width="20.44140625" style="4798" bestFit="1" customWidth="1"/>
    <col min="5" max="5" width="3" style="4798" bestFit="1" customWidth="1"/>
    <col min="6" max="7" width="2" style="4798" bestFit="1" customWidth="1"/>
    <col min="8" max="8" width="3" style="4798" bestFit="1" customWidth="1"/>
    <col min="9" max="13" width="2" style="4798" bestFit="1" customWidth="1"/>
    <col min="14" max="14" width="5.44140625" style="4798" bestFit="1" customWidth="1"/>
    <col min="15" max="15" width="11.44140625" style="4798"/>
    <col min="16" max="16" width="11.44140625" style="4577"/>
    <col min="17" max="17" width="11" style="37" customWidth="1"/>
    <col min="18" max="18" width="6.21875" style="37" bestFit="1" customWidth="1"/>
    <col min="19" max="19" width="50.21875" style="37" bestFit="1" customWidth="1"/>
    <col min="20" max="20" width="15.5546875" style="37" bestFit="1" customWidth="1"/>
    <col min="21" max="22" width="1.77734375" style="37" bestFit="1" customWidth="1"/>
    <col min="23" max="23" width="2.77734375" style="37" bestFit="1" customWidth="1"/>
    <col min="24" max="26" width="1.77734375" style="37" bestFit="1" customWidth="1"/>
    <col min="27" max="27" width="4.21875" style="37" bestFit="1" customWidth="1"/>
    <col min="28" max="28" width="7.5546875" style="37" bestFit="1" customWidth="1"/>
    <col min="29" max="29" width="11.44140625" style="4577"/>
    <col min="30" max="30" width="11.44140625" style="2481"/>
    <col min="31" max="31" width="6.77734375" style="2481" bestFit="1" customWidth="1"/>
    <col min="32" max="32" width="58.21875" style="2481" bestFit="1" customWidth="1"/>
    <col min="33" max="33" width="20" style="2481" bestFit="1" customWidth="1"/>
    <col min="34" max="34" width="4.44140625" style="2481" bestFit="1" customWidth="1"/>
    <col min="35" max="36" width="2" style="2481" bestFit="1" customWidth="1"/>
    <col min="37" max="39" width="3" style="2481" bestFit="1" customWidth="1"/>
    <col min="40" max="41" width="2" style="2481" bestFit="1" customWidth="1"/>
    <col min="42" max="42" width="5.44140625" style="2481" bestFit="1" customWidth="1"/>
    <col min="43" max="43" width="8.21875" style="2481" bestFit="1" customWidth="1"/>
    <col min="44" max="44" width="11.44140625" style="2481"/>
    <col min="47" max="47" width="59.44140625" bestFit="1" customWidth="1"/>
    <col min="48" max="48" width="33.5546875" bestFit="1" customWidth="1"/>
    <col min="49" max="49" width="4.21875" bestFit="1" customWidth="1"/>
    <col min="50" max="50" width="2" bestFit="1" customWidth="1"/>
    <col min="51" max="52" width="3" bestFit="1" customWidth="1"/>
    <col min="53" max="54" width="2" bestFit="1" customWidth="1"/>
    <col min="55" max="55" width="4.77734375" bestFit="1" customWidth="1"/>
    <col min="58" max="58" width="11.44140625" style="41"/>
    <col min="59" max="59" width="7.21875" style="105" bestFit="1" customWidth="1"/>
    <col min="60" max="60" width="37.21875" style="41" bestFit="1" customWidth="1"/>
    <col min="61" max="61" width="18.5546875" style="41" bestFit="1" customWidth="1"/>
    <col min="62" max="62" width="4.21875" style="41" bestFit="1" customWidth="1"/>
    <col min="63" max="63" width="2" style="41" bestFit="1" customWidth="1"/>
    <col min="64" max="66" width="3" style="41" bestFit="1" customWidth="1"/>
    <col min="67" max="67" width="2" style="41" bestFit="1" customWidth="1"/>
    <col min="68" max="68" width="4.5546875" style="41" bestFit="1" customWidth="1"/>
    <col min="69" max="69" width="9.44140625" style="41" bestFit="1" customWidth="1"/>
    <col min="73" max="73" width="58.21875" bestFit="1" customWidth="1"/>
    <col min="74" max="74" width="20" bestFit="1" customWidth="1"/>
    <col min="75" max="77" width="1.77734375" bestFit="1" customWidth="1"/>
    <col min="78" max="79" width="2.77734375" bestFit="1" customWidth="1"/>
    <col min="80" max="80" width="1.77734375" bestFit="1" customWidth="1"/>
    <col min="81" max="81" width="4.5546875" bestFit="1" customWidth="1"/>
    <col min="83" max="83" width="7.77734375" customWidth="1"/>
    <col min="84" max="85" width="10.77734375" customWidth="1"/>
    <col min="86" max="86" width="37.21875" bestFit="1" customWidth="1"/>
    <col min="87" max="87" width="18.5546875" bestFit="1" customWidth="1"/>
    <col min="88" max="92" width="2.77734375" customWidth="1"/>
    <col min="93" max="93" width="5" bestFit="1" customWidth="1"/>
    <col min="94" max="94" width="9.21875" bestFit="1" customWidth="1"/>
    <col min="95" max="95" width="10.77734375" customWidth="1"/>
    <col min="96" max="96" width="11.5546875" customWidth="1"/>
    <col min="97" max="97" width="7.21875" bestFit="1" customWidth="1"/>
    <col min="98" max="98" width="36.21875" bestFit="1" customWidth="1"/>
    <col min="99" max="99" width="18.5546875" bestFit="1" customWidth="1"/>
    <col min="100" max="101" width="2" bestFit="1" customWidth="1"/>
    <col min="102" max="104" width="3" bestFit="1" customWidth="1"/>
    <col min="105" max="105" width="2" bestFit="1" customWidth="1"/>
    <col min="106" max="106" width="5" bestFit="1" customWidth="1"/>
    <col min="107" max="107" width="8.77734375" bestFit="1" customWidth="1"/>
    <col min="108" max="108" width="11.77734375" customWidth="1"/>
    <col min="109" max="109" width="12.21875" customWidth="1"/>
    <col min="110" max="110" width="8.77734375" customWidth="1"/>
    <col min="111" max="111" width="34.77734375" bestFit="1" customWidth="1"/>
    <col min="112" max="112" width="18.21875" bestFit="1" customWidth="1"/>
    <col min="113" max="113" width="2.77734375" bestFit="1" customWidth="1"/>
    <col min="114" max="114" width="1.77734375" bestFit="1" customWidth="1"/>
    <col min="115" max="115" width="3.5546875" bestFit="1" customWidth="1"/>
    <col min="116" max="117" width="2.77734375" bestFit="1" customWidth="1"/>
    <col min="118" max="118" width="4.5546875" bestFit="1" customWidth="1"/>
    <col min="119" max="120" width="8.77734375" customWidth="1"/>
    <col min="121" max="121" width="11.44140625" customWidth="1"/>
    <col min="122" max="122" width="11.21875" bestFit="1" customWidth="1"/>
    <col min="123" max="123" width="35.21875" bestFit="1" customWidth="1"/>
    <col min="124" max="124" width="18.44140625" bestFit="1" customWidth="1"/>
    <col min="125" max="126" width="3" bestFit="1" customWidth="1"/>
    <col min="127" max="127" width="4" bestFit="1" customWidth="1"/>
    <col min="128" max="129" width="3" bestFit="1" customWidth="1"/>
    <col min="130" max="130" width="4.77734375" bestFit="1" customWidth="1"/>
    <col min="131" max="131" width="10" customWidth="1"/>
    <col min="133" max="133" width="13.21875" customWidth="1"/>
    <col min="134" max="134" width="7.5546875" style="167" bestFit="1" customWidth="1"/>
    <col min="135" max="135" width="34.5546875" bestFit="1" customWidth="1"/>
    <col min="136" max="136" width="24.44140625" bestFit="1" customWidth="1"/>
    <col min="137" max="138" width="2.5546875" bestFit="1" customWidth="1"/>
    <col min="139" max="139" width="3.5546875" bestFit="1" customWidth="1"/>
    <col min="140" max="140" width="4.5546875" bestFit="1" customWidth="1"/>
    <col min="141" max="142" width="3.5546875" bestFit="1" customWidth="1"/>
    <col min="143" max="143" width="5.5546875" bestFit="1" customWidth="1"/>
    <col min="145" max="145" width="30.77734375" customWidth="1"/>
    <col min="375" max="375" width="4.21875" customWidth="1"/>
    <col min="376" max="377" width="14.77734375" customWidth="1"/>
    <col min="378" max="378" width="43.77734375" bestFit="1" customWidth="1"/>
    <col min="379" max="379" width="23" bestFit="1" customWidth="1"/>
    <col min="380" max="384" width="4.77734375" customWidth="1"/>
    <col min="386" max="386" width="18.21875" bestFit="1" customWidth="1"/>
    <col min="631" max="631" width="4.21875" customWidth="1"/>
    <col min="632" max="633" width="14.77734375" customWidth="1"/>
    <col min="634" max="634" width="43.77734375" bestFit="1" customWidth="1"/>
    <col min="635" max="635" width="23" bestFit="1" customWidth="1"/>
    <col min="636" max="640" width="4.77734375" customWidth="1"/>
    <col min="642" max="642" width="18.21875" bestFit="1" customWidth="1"/>
    <col min="887" max="887" width="4.21875" customWidth="1"/>
    <col min="888" max="889" width="14.77734375" customWidth="1"/>
    <col min="890" max="890" width="43.77734375" bestFit="1" customWidth="1"/>
    <col min="891" max="891" width="23" bestFit="1" customWidth="1"/>
    <col min="892" max="896" width="4.77734375" customWidth="1"/>
    <col min="898" max="898" width="18.21875" bestFit="1" customWidth="1"/>
    <col min="1143" max="1143" width="4.21875" customWidth="1"/>
    <col min="1144" max="1145" width="14.77734375" customWidth="1"/>
    <col min="1146" max="1146" width="43.77734375" bestFit="1" customWidth="1"/>
    <col min="1147" max="1147" width="23" bestFit="1" customWidth="1"/>
    <col min="1148" max="1152" width="4.77734375" customWidth="1"/>
    <col min="1154" max="1154" width="18.21875" bestFit="1" customWidth="1"/>
    <col min="1399" max="1399" width="4.21875" customWidth="1"/>
    <col min="1400" max="1401" width="14.77734375" customWidth="1"/>
    <col min="1402" max="1402" width="43.77734375" bestFit="1" customWidth="1"/>
    <col min="1403" max="1403" width="23" bestFit="1" customWidth="1"/>
    <col min="1404" max="1408" width="4.77734375" customWidth="1"/>
    <col min="1410" max="1410" width="18.21875" bestFit="1" customWidth="1"/>
    <col min="1655" max="1655" width="4.21875" customWidth="1"/>
    <col min="1656" max="1657" width="14.77734375" customWidth="1"/>
    <col min="1658" max="1658" width="43.77734375" bestFit="1" customWidth="1"/>
    <col min="1659" max="1659" width="23" bestFit="1" customWidth="1"/>
    <col min="1660" max="1664" width="4.77734375" customWidth="1"/>
    <col min="1666" max="1666" width="18.21875" bestFit="1" customWidth="1"/>
    <col min="1911" max="1911" width="4.21875" customWidth="1"/>
    <col min="1912" max="1913" width="14.77734375" customWidth="1"/>
    <col min="1914" max="1914" width="43.77734375" bestFit="1" customWidth="1"/>
    <col min="1915" max="1915" width="23" bestFit="1" customWidth="1"/>
    <col min="1916" max="1920" width="4.77734375" customWidth="1"/>
    <col min="1922" max="1922" width="18.21875" bestFit="1" customWidth="1"/>
    <col min="2167" max="2167" width="4.21875" customWidth="1"/>
    <col min="2168" max="2169" width="14.77734375" customWidth="1"/>
    <col min="2170" max="2170" width="43.77734375" bestFit="1" customWidth="1"/>
    <col min="2171" max="2171" width="23" bestFit="1" customWidth="1"/>
    <col min="2172" max="2176" width="4.77734375" customWidth="1"/>
    <col min="2178" max="2178" width="18.21875" bestFit="1" customWidth="1"/>
    <col min="2423" max="2423" width="4.21875" customWidth="1"/>
    <col min="2424" max="2425" width="14.77734375" customWidth="1"/>
    <col min="2426" max="2426" width="43.77734375" bestFit="1" customWidth="1"/>
    <col min="2427" max="2427" width="23" bestFit="1" customWidth="1"/>
    <col min="2428" max="2432" width="4.77734375" customWidth="1"/>
    <col min="2434" max="2434" width="18.21875" bestFit="1" customWidth="1"/>
    <col min="2679" max="2679" width="4.21875" customWidth="1"/>
    <col min="2680" max="2681" width="14.77734375" customWidth="1"/>
    <col min="2682" max="2682" width="43.77734375" bestFit="1" customWidth="1"/>
    <col min="2683" max="2683" width="23" bestFit="1" customWidth="1"/>
    <col min="2684" max="2688" width="4.77734375" customWidth="1"/>
    <col min="2690" max="2690" width="18.21875" bestFit="1" customWidth="1"/>
    <col min="2935" max="2935" width="4.21875" customWidth="1"/>
    <col min="2936" max="2937" width="14.77734375" customWidth="1"/>
    <col min="2938" max="2938" width="43.77734375" bestFit="1" customWidth="1"/>
    <col min="2939" max="2939" width="23" bestFit="1" customWidth="1"/>
    <col min="2940" max="2944" width="4.77734375" customWidth="1"/>
    <col min="2946" max="2946" width="18.21875" bestFit="1" customWidth="1"/>
    <col min="3191" max="3191" width="4.21875" customWidth="1"/>
    <col min="3192" max="3193" width="14.77734375" customWidth="1"/>
    <col min="3194" max="3194" width="43.77734375" bestFit="1" customWidth="1"/>
    <col min="3195" max="3195" width="23" bestFit="1" customWidth="1"/>
    <col min="3196" max="3200" width="4.77734375" customWidth="1"/>
    <col min="3202" max="3202" width="18.21875" bestFit="1" customWidth="1"/>
    <col min="3447" max="3447" width="4.21875" customWidth="1"/>
    <col min="3448" max="3449" width="14.77734375" customWidth="1"/>
    <col min="3450" max="3450" width="43.77734375" bestFit="1" customWidth="1"/>
    <col min="3451" max="3451" width="23" bestFit="1" customWidth="1"/>
    <col min="3452" max="3456" width="4.77734375" customWidth="1"/>
    <col min="3458" max="3458" width="18.21875" bestFit="1" customWidth="1"/>
    <col min="3703" max="3703" width="4.21875" customWidth="1"/>
    <col min="3704" max="3705" width="14.77734375" customWidth="1"/>
    <col min="3706" max="3706" width="43.77734375" bestFit="1" customWidth="1"/>
    <col min="3707" max="3707" width="23" bestFit="1" customWidth="1"/>
    <col min="3708" max="3712" width="4.77734375" customWidth="1"/>
    <col min="3714" max="3714" width="18.21875" bestFit="1" customWidth="1"/>
    <col min="3959" max="3959" width="4.21875" customWidth="1"/>
    <col min="3960" max="3961" width="14.77734375" customWidth="1"/>
    <col min="3962" max="3962" width="43.77734375" bestFit="1" customWidth="1"/>
    <col min="3963" max="3963" width="23" bestFit="1" customWidth="1"/>
    <col min="3964" max="3968" width="4.77734375" customWidth="1"/>
    <col min="3970" max="3970" width="18.21875" bestFit="1" customWidth="1"/>
    <col min="4215" max="4215" width="4.21875" customWidth="1"/>
    <col min="4216" max="4217" width="14.77734375" customWidth="1"/>
    <col min="4218" max="4218" width="43.77734375" bestFit="1" customWidth="1"/>
    <col min="4219" max="4219" width="23" bestFit="1" customWidth="1"/>
    <col min="4220" max="4224" width="4.77734375" customWidth="1"/>
    <col min="4226" max="4226" width="18.21875" bestFit="1" customWidth="1"/>
    <col min="4471" max="4471" width="4.21875" customWidth="1"/>
    <col min="4472" max="4473" width="14.77734375" customWidth="1"/>
    <col min="4474" max="4474" width="43.77734375" bestFit="1" customWidth="1"/>
    <col min="4475" max="4475" width="23" bestFit="1" customWidth="1"/>
    <col min="4476" max="4480" width="4.77734375" customWidth="1"/>
    <col min="4482" max="4482" width="18.21875" bestFit="1" customWidth="1"/>
    <col min="4727" max="4727" width="4.21875" customWidth="1"/>
    <col min="4728" max="4729" width="14.77734375" customWidth="1"/>
    <col min="4730" max="4730" width="43.77734375" bestFit="1" customWidth="1"/>
    <col min="4731" max="4731" width="23" bestFit="1" customWidth="1"/>
    <col min="4732" max="4736" width="4.77734375" customWidth="1"/>
    <col min="4738" max="4738" width="18.21875" bestFit="1" customWidth="1"/>
    <col min="4983" max="4983" width="4.21875" customWidth="1"/>
    <col min="4984" max="4985" width="14.77734375" customWidth="1"/>
    <col min="4986" max="4986" width="43.77734375" bestFit="1" customWidth="1"/>
    <col min="4987" max="4987" width="23" bestFit="1" customWidth="1"/>
    <col min="4988" max="4992" width="4.77734375" customWidth="1"/>
    <col min="4994" max="4994" width="18.21875" bestFit="1" customWidth="1"/>
    <col min="5239" max="5239" width="4.21875" customWidth="1"/>
    <col min="5240" max="5241" width="14.77734375" customWidth="1"/>
    <col min="5242" max="5242" width="43.77734375" bestFit="1" customWidth="1"/>
    <col min="5243" max="5243" width="23" bestFit="1" customWidth="1"/>
    <col min="5244" max="5248" width="4.77734375" customWidth="1"/>
    <col min="5250" max="5250" width="18.21875" bestFit="1" customWidth="1"/>
    <col min="5495" max="5495" width="4.21875" customWidth="1"/>
    <col min="5496" max="5497" width="14.77734375" customWidth="1"/>
    <col min="5498" max="5498" width="43.77734375" bestFit="1" customWidth="1"/>
    <col min="5499" max="5499" width="23" bestFit="1" customWidth="1"/>
    <col min="5500" max="5504" width="4.77734375" customWidth="1"/>
    <col min="5506" max="5506" width="18.21875" bestFit="1" customWidth="1"/>
    <col min="5751" max="5751" width="4.21875" customWidth="1"/>
    <col min="5752" max="5753" width="14.77734375" customWidth="1"/>
    <col min="5754" max="5754" width="43.77734375" bestFit="1" customWidth="1"/>
    <col min="5755" max="5755" width="23" bestFit="1" customWidth="1"/>
    <col min="5756" max="5760" width="4.77734375" customWidth="1"/>
    <col min="5762" max="5762" width="18.21875" bestFit="1" customWidth="1"/>
    <col min="6007" max="6007" width="4.21875" customWidth="1"/>
    <col min="6008" max="6009" width="14.77734375" customWidth="1"/>
    <col min="6010" max="6010" width="43.77734375" bestFit="1" customWidth="1"/>
    <col min="6011" max="6011" width="23" bestFit="1" customWidth="1"/>
    <col min="6012" max="6016" width="4.77734375" customWidth="1"/>
    <col min="6018" max="6018" width="18.21875" bestFit="1" customWidth="1"/>
    <col min="6263" max="6263" width="4.21875" customWidth="1"/>
    <col min="6264" max="6265" width="14.77734375" customWidth="1"/>
    <col min="6266" max="6266" width="43.77734375" bestFit="1" customWidth="1"/>
    <col min="6267" max="6267" width="23" bestFit="1" customWidth="1"/>
    <col min="6268" max="6272" width="4.77734375" customWidth="1"/>
    <col min="6274" max="6274" width="18.21875" bestFit="1" customWidth="1"/>
    <col min="6519" max="6519" width="4.21875" customWidth="1"/>
    <col min="6520" max="6521" width="14.77734375" customWidth="1"/>
    <col min="6522" max="6522" width="43.77734375" bestFit="1" customWidth="1"/>
    <col min="6523" max="6523" width="23" bestFit="1" customWidth="1"/>
    <col min="6524" max="6528" width="4.77734375" customWidth="1"/>
    <col min="6530" max="6530" width="18.21875" bestFit="1" customWidth="1"/>
    <col min="6775" max="6775" width="4.21875" customWidth="1"/>
    <col min="6776" max="6777" width="14.77734375" customWidth="1"/>
    <col min="6778" max="6778" width="43.77734375" bestFit="1" customWidth="1"/>
    <col min="6779" max="6779" width="23" bestFit="1" customWidth="1"/>
    <col min="6780" max="6784" width="4.77734375" customWidth="1"/>
    <col min="6786" max="6786" width="18.21875" bestFit="1" customWidth="1"/>
    <col min="7031" max="7031" width="4.21875" customWidth="1"/>
    <col min="7032" max="7033" width="14.77734375" customWidth="1"/>
    <col min="7034" max="7034" width="43.77734375" bestFit="1" customWidth="1"/>
    <col min="7035" max="7035" width="23" bestFit="1" customWidth="1"/>
    <col min="7036" max="7040" width="4.77734375" customWidth="1"/>
    <col min="7042" max="7042" width="18.21875" bestFit="1" customWidth="1"/>
    <col min="7287" max="7287" width="4.21875" customWidth="1"/>
    <col min="7288" max="7289" width="14.77734375" customWidth="1"/>
    <col min="7290" max="7290" width="43.77734375" bestFit="1" customWidth="1"/>
    <col min="7291" max="7291" width="23" bestFit="1" customWidth="1"/>
    <col min="7292" max="7296" width="4.77734375" customWidth="1"/>
    <col min="7298" max="7298" width="18.21875" bestFit="1" customWidth="1"/>
    <col min="7543" max="7543" width="4.21875" customWidth="1"/>
    <col min="7544" max="7545" width="14.77734375" customWidth="1"/>
    <col min="7546" max="7546" width="43.77734375" bestFit="1" customWidth="1"/>
    <col min="7547" max="7547" width="23" bestFit="1" customWidth="1"/>
    <col min="7548" max="7552" width="4.77734375" customWidth="1"/>
    <col min="7554" max="7554" width="18.21875" bestFit="1" customWidth="1"/>
    <col min="7799" max="7799" width="4.21875" customWidth="1"/>
    <col min="7800" max="7801" width="14.77734375" customWidth="1"/>
    <col min="7802" max="7802" width="43.77734375" bestFit="1" customWidth="1"/>
    <col min="7803" max="7803" width="23" bestFit="1" customWidth="1"/>
    <col min="7804" max="7808" width="4.77734375" customWidth="1"/>
    <col min="7810" max="7810" width="18.21875" bestFit="1" customWidth="1"/>
    <col min="8055" max="8055" width="4.21875" customWidth="1"/>
    <col min="8056" max="8057" width="14.77734375" customWidth="1"/>
    <col min="8058" max="8058" width="43.77734375" bestFit="1" customWidth="1"/>
    <col min="8059" max="8059" width="23" bestFit="1" customWidth="1"/>
    <col min="8060" max="8064" width="4.77734375" customWidth="1"/>
    <col min="8066" max="8066" width="18.21875" bestFit="1" customWidth="1"/>
    <col min="8311" max="8311" width="4.21875" customWidth="1"/>
    <col min="8312" max="8313" width="14.77734375" customWidth="1"/>
    <col min="8314" max="8314" width="43.77734375" bestFit="1" customWidth="1"/>
    <col min="8315" max="8315" width="23" bestFit="1" customWidth="1"/>
    <col min="8316" max="8320" width="4.77734375" customWidth="1"/>
    <col min="8322" max="8322" width="18.21875" bestFit="1" customWidth="1"/>
    <col min="8567" max="8567" width="4.21875" customWidth="1"/>
    <col min="8568" max="8569" width="14.77734375" customWidth="1"/>
    <col min="8570" max="8570" width="43.77734375" bestFit="1" customWidth="1"/>
    <col min="8571" max="8571" width="23" bestFit="1" customWidth="1"/>
    <col min="8572" max="8576" width="4.77734375" customWidth="1"/>
    <col min="8578" max="8578" width="18.21875" bestFit="1" customWidth="1"/>
    <col min="8823" max="8823" width="4.21875" customWidth="1"/>
    <col min="8824" max="8825" width="14.77734375" customWidth="1"/>
    <col min="8826" max="8826" width="43.77734375" bestFit="1" customWidth="1"/>
    <col min="8827" max="8827" width="23" bestFit="1" customWidth="1"/>
    <col min="8828" max="8832" width="4.77734375" customWidth="1"/>
    <col min="8834" max="8834" width="18.21875" bestFit="1" customWidth="1"/>
    <col min="9079" max="9079" width="4.21875" customWidth="1"/>
    <col min="9080" max="9081" width="14.77734375" customWidth="1"/>
    <col min="9082" max="9082" width="43.77734375" bestFit="1" customWidth="1"/>
    <col min="9083" max="9083" width="23" bestFit="1" customWidth="1"/>
    <col min="9084" max="9088" width="4.77734375" customWidth="1"/>
    <col min="9090" max="9090" width="18.21875" bestFit="1" customWidth="1"/>
    <col min="9335" max="9335" width="4.21875" customWidth="1"/>
    <col min="9336" max="9337" width="14.77734375" customWidth="1"/>
    <col min="9338" max="9338" width="43.77734375" bestFit="1" customWidth="1"/>
    <col min="9339" max="9339" width="23" bestFit="1" customWidth="1"/>
    <col min="9340" max="9344" width="4.77734375" customWidth="1"/>
    <col min="9346" max="9346" width="18.21875" bestFit="1" customWidth="1"/>
    <col min="9591" max="9591" width="4.21875" customWidth="1"/>
    <col min="9592" max="9593" width="14.77734375" customWidth="1"/>
    <col min="9594" max="9594" width="43.77734375" bestFit="1" customWidth="1"/>
    <col min="9595" max="9595" width="23" bestFit="1" customWidth="1"/>
    <col min="9596" max="9600" width="4.77734375" customWidth="1"/>
    <col min="9602" max="9602" width="18.21875" bestFit="1" customWidth="1"/>
    <col min="9847" max="9847" width="4.21875" customWidth="1"/>
    <col min="9848" max="9849" width="14.77734375" customWidth="1"/>
    <col min="9850" max="9850" width="43.77734375" bestFit="1" customWidth="1"/>
    <col min="9851" max="9851" width="23" bestFit="1" customWidth="1"/>
    <col min="9852" max="9856" width="4.77734375" customWidth="1"/>
    <col min="9858" max="9858" width="18.21875" bestFit="1" customWidth="1"/>
    <col min="10103" max="10103" width="4.21875" customWidth="1"/>
    <col min="10104" max="10105" width="14.77734375" customWidth="1"/>
    <col min="10106" max="10106" width="43.77734375" bestFit="1" customWidth="1"/>
    <col min="10107" max="10107" width="23" bestFit="1" customWidth="1"/>
    <col min="10108" max="10112" width="4.77734375" customWidth="1"/>
    <col min="10114" max="10114" width="18.21875" bestFit="1" customWidth="1"/>
    <col min="10359" max="10359" width="4.21875" customWidth="1"/>
    <col min="10360" max="10361" width="14.77734375" customWidth="1"/>
    <col min="10362" max="10362" width="43.77734375" bestFit="1" customWidth="1"/>
    <col min="10363" max="10363" width="23" bestFit="1" customWidth="1"/>
    <col min="10364" max="10368" width="4.77734375" customWidth="1"/>
    <col min="10370" max="10370" width="18.21875" bestFit="1" customWidth="1"/>
    <col min="10615" max="10615" width="4.21875" customWidth="1"/>
    <col min="10616" max="10617" width="14.77734375" customWidth="1"/>
    <col min="10618" max="10618" width="43.77734375" bestFit="1" customWidth="1"/>
    <col min="10619" max="10619" width="23" bestFit="1" customWidth="1"/>
    <col min="10620" max="10624" width="4.77734375" customWidth="1"/>
    <col min="10626" max="10626" width="18.21875" bestFit="1" customWidth="1"/>
    <col min="10871" max="10871" width="4.21875" customWidth="1"/>
    <col min="10872" max="10873" width="14.77734375" customWidth="1"/>
    <col min="10874" max="10874" width="43.77734375" bestFit="1" customWidth="1"/>
    <col min="10875" max="10875" width="23" bestFit="1" customWidth="1"/>
    <col min="10876" max="10880" width="4.77734375" customWidth="1"/>
    <col min="10882" max="10882" width="18.21875" bestFit="1" customWidth="1"/>
    <col min="11127" max="11127" width="4.21875" customWidth="1"/>
    <col min="11128" max="11129" width="14.77734375" customWidth="1"/>
    <col min="11130" max="11130" width="43.77734375" bestFit="1" customWidth="1"/>
    <col min="11131" max="11131" width="23" bestFit="1" customWidth="1"/>
    <col min="11132" max="11136" width="4.77734375" customWidth="1"/>
    <col min="11138" max="11138" width="18.21875" bestFit="1" customWidth="1"/>
    <col min="11383" max="11383" width="4.21875" customWidth="1"/>
    <col min="11384" max="11385" width="14.77734375" customWidth="1"/>
    <col min="11386" max="11386" width="43.77734375" bestFit="1" customWidth="1"/>
    <col min="11387" max="11387" width="23" bestFit="1" customWidth="1"/>
    <col min="11388" max="11392" width="4.77734375" customWidth="1"/>
    <col min="11394" max="11394" width="18.21875" bestFit="1" customWidth="1"/>
    <col min="11639" max="11639" width="4.21875" customWidth="1"/>
    <col min="11640" max="11641" width="14.77734375" customWidth="1"/>
    <col min="11642" max="11642" width="43.77734375" bestFit="1" customWidth="1"/>
    <col min="11643" max="11643" width="23" bestFit="1" customWidth="1"/>
    <col min="11644" max="11648" width="4.77734375" customWidth="1"/>
    <col min="11650" max="11650" width="18.21875" bestFit="1" customWidth="1"/>
    <col min="11895" max="11895" width="4.21875" customWidth="1"/>
    <col min="11896" max="11897" width="14.77734375" customWidth="1"/>
    <col min="11898" max="11898" width="43.77734375" bestFit="1" customWidth="1"/>
    <col min="11899" max="11899" width="23" bestFit="1" customWidth="1"/>
    <col min="11900" max="11904" width="4.77734375" customWidth="1"/>
    <col min="11906" max="11906" width="18.21875" bestFit="1" customWidth="1"/>
    <col min="12151" max="12151" width="4.21875" customWidth="1"/>
    <col min="12152" max="12153" width="14.77734375" customWidth="1"/>
    <col min="12154" max="12154" width="43.77734375" bestFit="1" customWidth="1"/>
    <col min="12155" max="12155" width="23" bestFit="1" customWidth="1"/>
    <col min="12156" max="12160" width="4.77734375" customWidth="1"/>
    <col min="12162" max="12162" width="18.21875" bestFit="1" customWidth="1"/>
    <col min="12407" max="12407" width="4.21875" customWidth="1"/>
    <col min="12408" max="12409" width="14.77734375" customWidth="1"/>
    <col min="12410" max="12410" width="43.77734375" bestFit="1" customWidth="1"/>
    <col min="12411" max="12411" width="23" bestFit="1" customWidth="1"/>
    <col min="12412" max="12416" width="4.77734375" customWidth="1"/>
    <col min="12418" max="12418" width="18.21875" bestFit="1" customWidth="1"/>
    <col min="12663" max="12663" width="4.21875" customWidth="1"/>
    <col min="12664" max="12665" width="14.77734375" customWidth="1"/>
    <col min="12666" max="12666" width="43.77734375" bestFit="1" customWidth="1"/>
    <col min="12667" max="12667" width="23" bestFit="1" customWidth="1"/>
    <col min="12668" max="12672" width="4.77734375" customWidth="1"/>
    <col min="12674" max="12674" width="18.21875" bestFit="1" customWidth="1"/>
    <col min="12919" max="12919" width="4.21875" customWidth="1"/>
    <col min="12920" max="12921" width="14.77734375" customWidth="1"/>
    <col min="12922" max="12922" width="43.77734375" bestFit="1" customWidth="1"/>
    <col min="12923" max="12923" width="23" bestFit="1" customWidth="1"/>
    <col min="12924" max="12928" width="4.77734375" customWidth="1"/>
    <col min="12930" max="12930" width="18.21875" bestFit="1" customWidth="1"/>
    <col min="13175" max="13175" width="4.21875" customWidth="1"/>
    <col min="13176" max="13177" width="14.77734375" customWidth="1"/>
    <col min="13178" max="13178" width="43.77734375" bestFit="1" customWidth="1"/>
    <col min="13179" max="13179" width="23" bestFit="1" customWidth="1"/>
    <col min="13180" max="13184" width="4.77734375" customWidth="1"/>
    <col min="13186" max="13186" width="18.21875" bestFit="1" customWidth="1"/>
    <col min="13431" max="13431" width="4.21875" customWidth="1"/>
    <col min="13432" max="13433" width="14.77734375" customWidth="1"/>
    <col min="13434" max="13434" width="43.77734375" bestFit="1" customWidth="1"/>
    <col min="13435" max="13435" width="23" bestFit="1" customWidth="1"/>
    <col min="13436" max="13440" width="4.77734375" customWidth="1"/>
    <col min="13442" max="13442" width="18.21875" bestFit="1" customWidth="1"/>
    <col min="13687" max="13687" width="4.21875" customWidth="1"/>
    <col min="13688" max="13689" width="14.77734375" customWidth="1"/>
    <col min="13690" max="13690" width="43.77734375" bestFit="1" customWidth="1"/>
    <col min="13691" max="13691" width="23" bestFit="1" customWidth="1"/>
    <col min="13692" max="13696" width="4.77734375" customWidth="1"/>
    <col min="13698" max="13698" width="18.21875" bestFit="1" customWidth="1"/>
    <col min="13943" max="13943" width="4.21875" customWidth="1"/>
    <col min="13944" max="13945" width="14.77734375" customWidth="1"/>
    <col min="13946" max="13946" width="43.77734375" bestFit="1" customWidth="1"/>
    <col min="13947" max="13947" width="23" bestFit="1" customWidth="1"/>
    <col min="13948" max="13952" width="4.77734375" customWidth="1"/>
    <col min="13954" max="13954" width="18.21875" bestFit="1" customWidth="1"/>
    <col min="14199" max="14199" width="4.21875" customWidth="1"/>
    <col min="14200" max="14201" width="14.77734375" customWidth="1"/>
    <col min="14202" max="14202" width="43.77734375" bestFit="1" customWidth="1"/>
    <col min="14203" max="14203" width="23" bestFit="1" customWidth="1"/>
    <col min="14204" max="14208" width="4.77734375" customWidth="1"/>
    <col min="14210" max="14210" width="18.21875" bestFit="1" customWidth="1"/>
    <col min="14455" max="14455" width="4.21875" customWidth="1"/>
    <col min="14456" max="14457" width="14.77734375" customWidth="1"/>
    <col min="14458" max="14458" width="43.77734375" bestFit="1" customWidth="1"/>
    <col min="14459" max="14459" width="23" bestFit="1" customWidth="1"/>
    <col min="14460" max="14464" width="4.77734375" customWidth="1"/>
    <col min="14466" max="14466" width="18.21875" bestFit="1" customWidth="1"/>
    <col min="14711" max="14711" width="4.21875" customWidth="1"/>
    <col min="14712" max="14713" width="14.77734375" customWidth="1"/>
    <col min="14714" max="14714" width="43.77734375" bestFit="1" customWidth="1"/>
    <col min="14715" max="14715" width="23" bestFit="1" customWidth="1"/>
    <col min="14716" max="14720" width="4.77734375" customWidth="1"/>
    <col min="14722" max="14722" width="18.21875" bestFit="1" customWidth="1"/>
    <col min="14967" max="14967" width="4.21875" customWidth="1"/>
    <col min="14968" max="14969" width="14.77734375" customWidth="1"/>
    <col min="14970" max="14970" width="43.77734375" bestFit="1" customWidth="1"/>
    <col min="14971" max="14971" width="23" bestFit="1" customWidth="1"/>
    <col min="14972" max="14976" width="4.77734375" customWidth="1"/>
    <col min="14978" max="14978" width="18.21875" bestFit="1" customWidth="1"/>
    <col min="15223" max="15223" width="4.21875" customWidth="1"/>
    <col min="15224" max="15225" width="14.77734375" customWidth="1"/>
    <col min="15226" max="15226" width="43.77734375" bestFit="1" customWidth="1"/>
    <col min="15227" max="15227" width="23" bestFit="1" customWidth="1"/>
    <col min="15228" max="15232" width="4.77734375" customWidth="1"/>
    <col min="15234" max="15234" width="18.21875" bestFit="1" customWidth="1"/>
    <col min="15479" max="15479" width="4.21875" customWidth="1"/>
    <col min="15480" max="15481" width="14.77734375" customWidth="1"/>
    <col min="15482" max="15482" width="43.77734375" bestFit="1" customWidth="1"/>
    <col min="15483" max="15483" width="23" bestFit="1" customWidth="1"/>
    <col min="15484" max="15488" width="4.77734375" customWidth="1"/>
    <col min="15490" max="15490" width="18.21875" bestFit="1" customWidth="1"/>
    <col min="15735" max="15735" width="4.21875" customWidth="1"/>
    <col min="15736" max="15737" width="14.77734375" customWidth="1"/>
    <col min="15738" max="15738" width="43.77734375" bestFit="1" customWidth="1"/>
    <col min="15739" max="15739" width="23" bestFit="1" customWidth="1"/>
    <col min="15740" max="15744" width="4.77734375" customWidth="1"/>
    <col min="15746" max="15746" width="18.21875" bestFit="1" customWidth="1"/>
    <col min="15991" max="15991" width="4.21875" customWidth="1"/>
    <col min="15992" max="15993" width="14.77734375" customWidth="1"/>
    <col min="15994" max="15994" width="43.77734375" bestFit="1" customWidth="1"/>
    <col min="15995" max="15995" width="23" bestFit="1" customWidth="1"/>
    <col min="15996" max="16000" width="4.77734375" customWidth="1"/>
    <col min="16002" max="16002" width="18.21875" bestFit="1" customWidth="1"/>
    <col min="16247" max="16247" width="4.21875" customWidth="1"/>
    <col min="16248" max="16249" width="14.77734375" customWidth="1"/>
    <col min="16250" max="16250" width="43.77734375" bestFit="1" customWidth="1"/>
    <col min="16251" max="16251" width="23" bestFit="1" customWidth="1"/>
    <col min="16252" max="16256" width="4.77734375" customWidth="1"/>
    <col min="16258" max="16258" width="18.21875" bestFit="1" customWidth="1"/>
  </cols>
  <sheetData>
    <row r="1" spans="1:146" ht="15.6">
      <c r="A1" s="588" t="s">
        <v>2965</v>
      </c>
      <c r="Q1" s="1793" t="s">
        <v>2920</v>
      </c>
      <c r="AD1" s="588" t="s">
        <v>2697</v>
      </c>
      <c r="AS1" s="588" t="s">
        <v>1932</v>
      </c>
      <c r="CH1" s="1"/>
      <c r="CI1" s="1"/>
      <c r="CJ1" s="1"/>
      <c r="CK1" s="1"/>
      <c r="CL1" s="1"/>
      <c r="CM1" s="1"/>
      <c r="CN1" s="1"/>
      <c r="CO1" s="1"/>
      <c r="CP1" s="1"/>
      <c r="CQ1" s="1"/>
      <c r="DH1" s="470"/>
      <c r="DI1" s="470"/>
      <c r="DJ1" s="470"/>
      <c r="DK1" s="470"/>
      <c r="DL1" s="470"/>
      <c r="DM1" s="470"/>
      <c r="DN1" s="470"/>
      <c r="DO1" s="470"/>
      <c r="DP1" s="470"/>
      <c r="DS1" s="5645" t="s">
        <v>1307</v>
      </c>
      <c r="DT1" s="5645"/>
      <c r="DU1" s="5645"/>
      <c r="DV1" s="5645"/>
      <c r="DW1" s="5645"/>
      <c r="DX1" s="5645"/>
      <c r="DY1" s="5645"/>
      <c r="DZ1" s="5645"/>
      <c r="EA1" s="5645"/>
      <c r="EB1" s="5645"/>
      <c r="EC1" s="5645"/>
      <c r="ED1" s="471"/>
      <c r="EF1" s="167"/>
    </row>
    <row r="2" spans="1:146" ht="15.6">
      <c r="A2" s="588" t="s">
        <v>2966</v>
      </c>
      <c r="Q2" s="1793" t="s">
        <v>2967</v>
      </c>
      <c r="AD2" s="22" t="s">
        <v>2698</v>
      </c>
      <c r="AS2" s="588" t="s">
        <v>2528</v>
      </c>
      <c r="BF2" s="588" t="s">
        <v>1932</v>
      </c>
      <c r="BS2" s="588" t="s">
        <v>1866</v>
      </c>
      <c r="CF2" s="194" t="s">
        <v>1390</v>
      </c>
      <c r="CG2" s="1"/>
      <c r="CH2" s="1"/>
      <c r="CI2" s="1"/>
      <c r="CJ2" s="1"/>
      <c r="CK2" s="1"/>
      <c r="CL2" s="1"/>
      <c r="CM2" s="1"/>
      <c r="CN2" s="1"/>
      <c r="CO2" s="1"/>
      <c r="CR2" s="32" t="s">
        <v>1308</v>
      </c>
      <c r="DE2" s="196" t="s">
        <v>1309</v>
      </c>
      <c r="DF2" s="472"/>
      <c r="DG2" s="472"/>
      <c r="DH2" s="472"/>
      <c r="DI2" s="472"/>
      <c r="DJ2" s="472"/>
      <c r="DK2" s="472"/>
      <c r="DL2" s="472"/>
      <c r="DM2" s="472"/>
      <c r="DN2" s="472"/>
      <c r="DQ2" s="5645" t="s">
        <v>1310</v>
      </c>
      <c r="DR2" s="5645"/>
      <c r="DS2" s="5645"/>
      <c r="DT2" s="5645"/>
      <c r="DU2" s="5645"/>
      <c r="DV2" s="5645"/>
      <c r="DW2" s="5645"/>
      <c r="DX2" s="5645"/>
      <c r="DY2" s="5645"/>
      <c r="DZ2" s="5645"/>
      <c r="EA2" s="5645"/>
      <c r="EB2" s="471"/>
    </row>
    <row r="3" spans="1:146" ht="15.75" customHeight="1">
      <c r="A3" s="32" t="s">
        <v>2921</v>
      </c>
      <c r="Q3" s="1793" t="s">
        <v>2921</v>
      </c>
      <c r="AD3" s="1010" t="s">
        <v>2699</v>
      </c>
      <c r="AS3" s="1010" t="s">
        <v>2529</v>
      </c>
      <c r="AT3" s="42"/>
      <c r="AU3" s="42"/>
      <c r="AV3" s="42"/>
      <c r="AW3" s="42"/>
      <c r="AX3" s="42"/>
      <c r="AY3" s="42"/>
      <c r="AZ3" s="42"/>
      <c r="BA3" s="42"/>
      <c r="BB3" s="42"/>
      <c r="BC3" s="42"/>
      <c r="BF3" s="32" t="s">
        <v>1930</v>
      </c>
      <c r="BS3" s="1333" t="s">
        <v>1863</v>
      </c>
      <c r="BT3" s="1334"/>
      <c r="BU3" s="1334"/>
      <c r="BV3" s="1334"/>
      <c r="BW3" s="1334"/>
      <c r="BX3" s="1334"/>
      <c r="BY3" s="1334"/>
      <c r="BZ3" s="1334"/>
      <c r="CA3" s="1334"/>
      <c r="CB3" s="1334"/>
      <c r="CC3" s="1334"/>
      <c r="CD3" s="1335"/>
      <c r="CF3" s="194" t="s">
        <v>824</v>
      </c>
      <c r="CG3" s="473"/>
      <c r="CH3" s="473"/>
      <c r="CI3" s="473"/>
      <c r="CJ3" s="473"/>
      <c r="CK3" s="473"/>
      <c r="CL3" s="473"/>
      <c r="CM3" s="473"/>
      <c r="CN3" s="473"/>
      <c r="CO3" s="473"/>
      <c r="CR3" s="32" t="s">
        <v>1311</v>
      </c>
      <c r="CS3" s="474"/>
      <c r="CT3" s="474"/>
      <c r="CU3" s="474"/>
      <c r="CV3" s="474"/>
      <c r="CW3" s="474"/>
      <c r="CX3" s="474"/>
      <c r="CY3" s="474"/>
      <c r="CZ3" s="474"/>
      <c r="DA3" s="474"/>
      <c r="DB3" s="474"/>
      <c r="DC3" s="475"/>
      <c r="DE3" s="472" t="s">
        <v>1312</v>
      </c>
      <c r="DQ3" s="5646" t="s">
        <v>1313</v>
      </c>
      <c r="DR3" s="5646"/>
      <c r="DS3" s="5646"/>
      <c r="DT3" s="5646"/>
      <c r="DU3" s="5646"/>
      <c r="DV3" s="5646"/>
      <c r="DW3" s="5646"/>
      <c r="DX3" s="5646"/>
      <c r="DY3" s="5646"/>
      <c r="DZ3" s="5646"/>
      <c r="EA3" s="5646"/>
      <c r="EC3" s="5647" t="s">
        <v>1314</v>
      </c>
      <c r="ED3" s="5647"/>
      <c r="EE3" s="5647"/>
      <c r="EF3" s="5647"/>
      <c r="EG3" s="5647"/>
      <c r="EH3" s="5647"/>
      <c r="EI3" s="5647"/>
      <c r="EJ3" s="5647"/>
      <c r="EK3" s="5647"/>
      <c r="EL3" s="5647"/>
      <c r="EM3" s="5647"/>
      <c r="EN3" s="5647"/>
      <c r="EO3" s="5647"/>
    </row>
    <row r="4" spans="1:146">
      <c r="A4" s="1010" t="s">
        <v>2968</v>
      </c>
      <c r="Q4" s="43" t="s">
        <v>2949</v>
      </c>
      <c r="AD4" s="42" t="s">
        <v>2530</v>
      </c>
      <c r="AS4" s="42" t="s">
        <v>2530</v>
      </c>
      <c r="AT4" s="42"/>
      <c r="AU4" s="42"/>
      <c r="AV4" s="42"/>
      <c r="AW4" s="42"/>
      <c r="AX4" s="42"/>
      <c r="AY4" s="42"/>
      <c r="AZ4" s="42"/>
      <c r="BA4" s="42"/>
      <c r="BB4" s="42"/>
      <c r="BC4" s="42"/>
      <c r="BF4" t="s">
        <v>1931</v>
      </c>
      <c r="BG4" s="1642"/>
      <c r="BH4" s="1010"/>
      <c r="BI4" s="1010"/>
      <c r="BJ4" s="1010"/>
      <c r="BK4" s="1010"/>
      <c r="BL4" s="1010"/>
      <c r="BM4" s="1010"/>
      <c r="BN4" s="1010"/>
      <c r="BO4" s="1010"/>
      <c r="BP4" s="1010"/>
      <c r="BS4" s="1010" t="s">
        <v>1864</v>
      </c>
      <c r="BT4" s="1335"/>
      <c r="BU4" s="1335"/>
      <c r="BV4" s="1335"/>
      <c r="BW4" s="1335"/>
      <c r="BX4" s="1335"/>
      <c r="BY4" s="1335"/>
      <c r="BZ4" s="1335"/>
      <c r="CA4" s="1335"/>
      <c r="CB4" s="1335"/>
      <c r="CC4" s="1335"/>
      <c r="CD4" s="1335"/>
      <c r="CF4" s="194" t="s">
        <v>1315</v>
      </c>
      <c r="CG4" s="476"/>
      <c r="CH4" s="476"/>
      <c r="CI4" s="476"/>
      <c r="CJ4" s="476"/>
      <c r="CK4" s="476"/>
      <c r="CL4" s="476"/>
      <c r="CM4" s="476"/>
      <c r="CN4" s="476"/>
      <c r="CO4" s="476"/>
      <c r="CR4" s="477" t="s">
        <v>1316</v>
      </c>
      <c r="CS4" s="478"/>
      <c r="CT4" s="478"/>
      <c r="CU4" s="478"/>
      <c r="CV4" s="478"/>
      <c r="CW4" s="478"/>
      <c r="CX4" s="478"/>
      <c r="CY4" s="478"/>
      <c r="CZ4" s="478"/>
      <c r="DA4" s="478"/>
      <c r="DB4" s="478"/>
      <c r="DC4" s="475"/>
      <c r="EA4" s="68"/>
    </row>
    <row r="5" spans="1:146">
      <c r="A5" s="42" t="s">
        <v>2530</v>
      </c>
      <c r="B5" s="2486"/>
      <c r="C5" s="2486"/>
      <c r="D5" s="2486"/>
      <c r="E5" s="5644" t="s">
        <v>1317</v>
      </c>
      <c r="F5" s="5644"/>
      <c r="G5" s="5644"/>
      <c r="H5" s="5644"/>
      <c r="I5" s="5644"/>
      <c r="J5" s="5644"/>
      <c r="K5" s="5644"/>
      <c r="L5" s="4797"/>
      <c r="M5" s="4797"/>
      <c r="N5" s="2486"/>
      <c r="Q5" s="37" t="s">
        <v>2530</v>
      </c>
      <c r="R5" s="4696"/>
      <c r="S5" s="4696"/>
      <c r="T5" s="4696"/>
      <c r="U5" s="5651" t="s">
        <v>1317</v>
      </c>
      <c r="V5" s="5651"/>
      <c r="W5" s="5651"/>
      <c r="X5" s="5651"/>
      <c r="Y5" s="5651"/>
      <c r="Z5" s="4707"/>
      <c r="AA5" s="4696"/>
      <c r="AD5" s="2483"/>
      <c r="AE5" s="2483"/>
      <c r="AF5" s="2483"/>
      <c r="AG5" s="2483"/>
      <c r="AH5" s="5652" t="s">
        <v>1317</v>
      </c>
      <c r="AI5" s="5652"/>
      <c r="AJ5" s="5652"/>
      <c r="AK5" s="5652"/>
      <c r="AL5" s="5652"/>
      <c r="AM5" s="5652"/>
      <c r="AN5" s="5652"/>
      <c r="AO5" s="5652"/>
      <c r="AP5" s="2483"/>
      <c r="AQ5" s="2483"/>
      <c r="AS5" s="32"/>
      <c r="AT5" s="32"/>
      <c r="AU5" s="32"/>
      <c r="AV5" s="484"/>
      <c r="AW5" s="5653" t="s">
        <v>1317</v>
      </c>
      <c r="AX5" s="5653"/>
      <c r="AY5" s="5653"/>
      <c r="AZ5" s="5653"/>
      <c r="BA5" s="5653"/>
      <c r="BB5" s="5653"/>
      <c r="BC5" s="32"/>
      <c r="BF5" s="1010"/>
      <c r="BG5" s="1642"/>
      <c r="BH5" s="1010"/>
      <c r="BI5" s="1010"/>
      <c r="BJ5" s="1010"/>
      <c r="BK5" s="1010"/>
      <c r="BL5" s="1010"/>
      <c r="BM5" s="1010"/>
      <c r="BN5" s="1010"/>
      <c r="BO5" s="1010"/>
      <c r="BP5" s="1010"/>
      <c r="BS5" s="461"/>
      <c r="BT5" s="1336"/>
      <c r="BU5" s="1336"/>
      <c r="BV5" s="5654" t="s">
        <v>1317</v>
      </c>
      <c r="BW5" s="5655"/>
      <c r="BX5" s="5655"/>
      <c r="BY5" s="5655"/>
      <c r="BZ5" s="5655"/>
      <c r="CA5" s="5655"/>
      <c r="CB5" s="5655"/>
      <c r="CC5" s="5656"/>
      <c r="CD5" s="1337"/>
      <c r="CF5" s="194"/>
      <c r="CG5" s="479"/>
      <c r="CH5" s="479"/>
      <c r="CI5" s="479"/>
      <c r="CJ5" s="5648" t="s">
        <v>1317</v>
      </c>
      <c r="CK5" s="5648"/>
      <c r="CL5" s="5648"/>
      <c r="CM5" s="5648"/>
      <c r="CN5" s="5648"/>
      <c r="CO5" s="194"/>
      <c r="CR5" s="32"/>
      <c r="CS5" s="480"/>
      <c r="CT5" s="480"/>
      <c r="CU5" s="480"/>
      <c r="CV5" s="5649" t="s">
        <v>1317</v>
      </c>
      <c r="CW5" s="5649"/>
      <c r="CX5" s="5649"/>
      <c r="CY5" s="5649"/>
      <c r="CZ5" s="5649"/>
      <c r="DA5" s="5649"/>
      <c r="DB5" s="32"/>
      <c r="DC5" s="481"/>
      <c r="DE5" s="482"/>
      <c r="DF5" s="483"/>
      <c r="DG5" s="483"/>
      <c r="DH5" s="483"/>
      <c r="DI5" s="5641" t="s">
        <v>1318</v>
      </c>
      <c r="DJ5" s="5641"/>
      <c r="DK5" s="5641"/>
      <c r="DL5" s="5641"/>
      <c r="DM5" s="5641"/>
      <c r="DQ5" s="484"/>
      <c r="DR5" s="484"/>
      <c r="DS5" s="484"/>
      <c r="DT5" s="484" t="s">
        <v>327</v>
      </c>
      <c r="DU5" s="5642" t="s">
        <v>1319</v>
      </c>
      <c r="DV5" s="5642"/>
      <c r="DW5" s="5642"/>
      <c r="DX5" s="5642"/>
      <c r="DY5" s="5642"/>
      <c r="DZ5" s="484"/>
      <c r="EA5" s="42"/>
      <c r="EB5" s="42"/>
      <c r="EC5" s="42"/>
      <c r="ED5" s="95"/>
      <c r="EE5" s="42"/>
      <c r="EF5" s="42"/>
      <c r="EG5" s="5650" t="s">
        <v>1319</v>
      </c>
      <c r="EH5" s="5650"/>
      <c r="EI5" s="5650"/>
      <c r="EJ5" s="5650"/>
      <c r="EK5" s="5650"/>
      <c r="EL5" s="5650"/>
      <c r="EM5" s="42"/>
      <c r="EN5" s="42"/>
      <c r="EO5" s="42"/>
      <c r="EP5" s="42"/>
    </row>
    <row r="6" spans="1:146" ht="29.4" thickBot="1">
      <c r="A6" s="4581" t="s">
        <v>0</v>
      </c>
      <c r="B6" s="4581" t="s">
        <v>1</v>
      </c>
      <c r="C6" s="4581" t="s">
        <v>2</v>
      </c>
      <c r="D6" s="4581" t="s">
        <v>1229</v>
      </c>
      <c r="E6" s="4605">
        <v>0</v>
      </c>
      <c r="F6" s="4605">
        <v>1</v>
      </c>
      <c r="G6" s="4605">
        <v>2</v>
      </c>
      <c r="H6" s="4605">
        <v>3</v>
      </c>
      <c r="I6" s="4605">
        <v>4</v>
      </c>
      <c r="J6" s="4582">
        <v>5</v>
      </c>
      <c r="K6" s="4582">
        <v>6</v>
      </c>
      <c r="L6" s="4582">
        <v>7</v>
      </c>
      <c r="M6" s="4582">
        <v>8</v>
      </c>
      <c r="N6" s="4582" t="s">
        <v>15</v>
      </c>
      <c r="O6" s="4799" t="s">
        <v>66</v>
      </c>
      <c r="Q6" s="4698" t="s">
        <v>0</v>
      </c>
      <c r="R6" s="4698" t="s">
        <v>1</v>
      </c>
      <c r="S6" s="4698" t="s">
        <v>2</v>
      </c>
      <c r="T6" s="4698" t="s">
        <v>1229</v>
      </c>
      <c r="U6" s="4802">
        <v>1</v>
      </c>
      <c r="V6" s="4802">
        <v>2</v>
      </c>
      <c r="W6" s="4802">
        <v>3</v>
      </c>
      <c r="X6" s="4802">
        <v>4</v>
      </c>
      <c r="Y6" s="4697">
        <v>5</v>
      </c>
      <c r="Z6" s="4697">
        <v>7</v>
      </c>
      <c r="AA6" s="4697" t="s">
        <v>15</v>
      </c>
      <c r="AB6" s="4699" t="s">
        <v>66</v>
      </c>
      <c r="AD6" s="466" t="s">
        <v>0</v>
      </c>
      <c r="AE6" s="466" t="s">
        <v>1</v>
      </c>
      <c r="AF6" s="466" t="s">
        <v>2</v>
      </c>
      <c r="AG6" s="466" t="s">
        <v>1229</v>
      </c>
      <c r="AH6" s="2000">
        <v>0</v>
      </c>
      <c r="AI6" s="2000">
        <v>1</v>
      </c>
      <c r="AJ6" s="2000">
        <v>2</v>
      </c>
      <c r="AK6" s="2000">
        <v>3</v>
      </c>
      <c r="AL6" s="2000">
        <v>4</v>
      </c>
      <c r="AM6" s="466">
        <v>5</v>
      </c>
      <c r="AN6" s="466">
        <v>6</v>
      </c>
      <c r="AO6" s="466">
        <v>7</v>
      </c>
      <c r="AP6" s="466" t="s">
        <v>15</v>
      </c>
      <c r="AQ6" s="1643" t="s">
        <v>66</v>
      </c>
      <c r="AS6" s="491" t="s">
        <v>0</v>
      </c>
      <c r="AT6" s="491" t="s">
        <v>1</v>
      </c>
      <c r="AU6" s="491" t="s">
        <v>2</v>
      </c>
      <c r="AV6" s="491" t="s">
        <v>1229</v>
      </c>
      <c r="AW6" s="1991">
        <v>1</v>
      </c>
      <c r="AX6" s="1991">
        <v>2</v>
      </c>
      <c r="AY6" s="1991">
        <v>3</v>
      </c>
      <c r="AZ6" s="1991">
        <v>4</v>
      </c>
      <c r="BA6" s="491">
        <v>5</v>
      </c>
      <c r="BB6" s="491">
        <v>6</v>
      </c>
      <c r="BC6" s="491" t="s">
        <v>15</v>
      </c>
      <c r="BD6" s="1992" t="s">
        <v>66</v>
      </c>
      <c r="BF6" s="466" t="s">
        <v>0</v>
      </c>
      <c r="BG6" s="466" t="s">
        <v>1</v>
      </c>
      <c r="BH6" s="466" t="s">
        <v>2</v>
      </c>
      <c r="BI6" s="466" t="s">
        <v>1229</v>
      </c>
      <c r="BJ6" s="1658">
        <v>1</v>
      </c>
      <c r="BK6" s="1658">
        <v>2</v>
      </c>
      <c r="BL6" s="1658">
        <v>3</v>
      </c>
      <c r="BM6" s="1658">
        <v>4</v>
      </c>
      <c r="BN6" s="466">
        <v>5</v>
      </c>
      <c r="BO6" s="466">
        <v>6</v>
      </c>
      <c r="BP6" s="466" t="s">
        <v>15</v>
      </c>
      <c r="BQ6" s="1661" t="s">
        <v>66</v>
      </c>
      <c r="BS6" s="1338" t="s">
        <v>0</v>
      </c>
      <c r="BT6" s="1338" t="s">
        <v>1</v>
      </c>
      <c r="BU6" s="1338" t="s">
        <v>2</v>
      </c>
      <c r="BV6" s="1338" t="s">
        <v>1229</v>
      </c>
      <c r="BW6" s="1338">
        <v>0</v>
      </c>
      <c r="BX6" s="1338">
        <v>1</v>
      </c>
      <c r="BY6" s="1338">
        <v>2</v>
      </c>
      <c r="BZ6" s="1338">
        <v>3</v>
      </c>
      <c r="CA6" s="1338">
        <v>4</v>
      </c>
      <c r="CB6" s="1338">
        <v>5</v>
      </c>
      <c r="CC6" s="1339" t="s">
        <v>15</v>
      </c>
      <c r="CD6" s="1340" t="s">
        <v>66</v>
      </c>
      <c r="CF6" s="485" t="s">
        <v>0</v>
      </c>
      <c r="CG6" s="485" t="s">
        <v>1</v>
      </c>
      <c r="CH6" s="485"/>
      <c r="CI6" s="485" t="s">
        <v>1229</v>
      </c>
      <c r="CJ6" s="485">
        <v>1</v>
      </c>
      <c r="CK6" s="485">
        <v>2</v>
      </c>
      <c r="CL6" s="485">
        <v>3</v>
      </c>
      <c r="CM6" s="485">
        <v>4</v>
      </c>
      <c r="CN6" s="485">
        <v>5</v>
      </c>
      <c r="CO6" s="485" t="s">
        <v>15</v>
      </c>
      <c r="CP6" s="486" t="s">
        <v>66</v>
      </c>
      <c r="CR6" s="487" t="s">
        <v>0</v>
      </c>
      <c r="CS6" s="487" t="s">
        <v>1</v>
      </c>
      <c r="CT6" s="487" t="s">
        <v>2</v>
      </c>
      <c r="CU6" s="487" t="s">
        <v>1229</v>
      </c>
      <c r="CV6" s="487">
        <v>1</v>
      </c>
      <c r="CW6" s="487">
        <v>2</v>
      </c>
      <c r="CX6" s="487">
        <v>3</v>
      </c>
      <c r="CY6" s="487">
        <v>4</v>
      </c>
      <c r="CZ6" s="487">
        <v>5</v>
      </c>
      <c r="DA6" s="487">
        <v>6</v>
      </c>
      <c r="DB6" s="487" t="s">
        <v>15</v>
      </c>
      <c r="DC6" s="488" t="s">
        <v>1320</v>
      </c>
      <c r="DE6" s="489" t="s">
        <v>0</v>
      </c>
      <c r="DF6" s="489" t="s">
        <v>1</v>
      </c>
      <c r="DG6" s="489" t="s">
        <v>2</v>
      </c>
      <c r="DH6" s="489" t="s">
        <v>1229</v>
      </c>
      <c r="DI6" s="489">
        <v>1</v>
      </c>
      <c r="DJ6" s="489">
        <v>2</v>
      </c>
      <c r="DK6" s="489">
        <v>3</v>
      </c>
      <c r="DL6" s="489">
        <v>4</v>
      </c>
      <c r="DM6" s="489">
        <v>5</v>
      </c>
      <c r="DN6" s="489" t="s">
        <v>15</v>
      </c>
      <c r="DO6" s="490" t="s">
        <v>66</v>
      </c>
      <c r="DQ6" s="491" t="s">
        <v>0</v>
      </c>
      <c r="DR6" s="491" t="s">
        <v>1</v>
      </c>
      <c r="DS6" s="491" t="s">
        <v>2</v>
      </c>
      <c r="DT6" s="491" t="s">
        <v>1229</v>
      </c>
      <c r="DU6" s="491">
        <v>1</v>
      </c>
      <c r="DV6" s="491">
        <v>2</v>
      </c>
      <c r="DW6" s="491">
        <v>3</v>
      </c>
      <c r="DX6" s="491">
        <v>4</v>
      </c>
      <c r="DY6" s="491">
        <v>5</v>
      </c>
      <c r="DZ6" s="491" t="s">
        <v>15</v>
      </c>
      <c r="EA6" s="492" t="s">
        <v>66</v>
      </c>
      <c r="EB6" s="42"/>
      <c r="EC6" s="493" t="s">
        <v>0</v>
      </c>
      <c r="ED6" s="493" t="s">
        <v>1</v>
      </c>
      <c r="EE6" s="493" t="s">
        <v>2</v>
      </c>
      <c r="EF6" s="494" t="s">
        <v>1321</v>
      </c>
      <c r="EG6" s="494">
        <v>0</v>
      </c>
      <c r="EH6" s="494">
        <v>1</v>
      </c>
      <c r="EI6" s="494">
        <v>2</v>
      </c>
      <c r="EJ6" s="494">
        <v>3</v>
      </c>
      <c r="EK6" s="494">
        <v>4</v>
      </c>
      <c r="EL6" s="494">
        <v>5</v>
      </c>
      <c r="EM6" s="494" t="s">
        <v>15</v>
      </c>
      <c r="EN6" s="495" t="s">
        <v>66</v>
      </c>
      <c r="EO6" s="496" t="s">
        <v>1322</v>
      </c>
      <c r="EP6" s="42"/>
    </row>
    <row r="7" spans="1:146">
      <c r="A7" s="4798" t="s">
        <v>3</v>
      </c>
      <c r="B7" s="4798" t="s">
        <v>16</v>
      </c>
      <c r="C7" s="4798" t="s">
        <v>103</v>
      </c>
      <c r="D7" s="4798" t="s">
        <v>1231</v>
      </c>
      <c r="E7" s="4606">
        <v>0</v>
      </c>
      <c r="F7" s="4606"/>
      <c r="G7" s="4606"/>
      <c r="H7" s="4606">
        <v>1</v>
      </c>
      <c r="I7" s="4606"/>
      <c r="J7" s="2552"/>
      <c r="K7" s="2552"/>
      <c r="L7" s="2552"/>
      <c r="M7" s="2552"/>
      <c r="N7" s="2552">
        <v>1</v>
      </c>
      <c r="Q7" s="37" t="s">
        <v>3</v>
      </c>
      <c r="R7" s="37" t="s">
        <v>16</v>
      </c>
      <c r="S7" s="37" t="s">
        <v>103</v>
      </c>
      <c r="T7" s="37" t="s">
        <v>1231</v>
      </c>
      <c r="U7" s="4803"/>
      <c r="V7" s="4803"/>
      <c r="W7" s="4803">
        <v>1</v>
      </c>
      <c r="X7" s="4803"/>
      <c r="Y7" s="1788"/>
      <c r="Z7" s="1788"/>
      <c r="AA7" s="1788">
        <v>1</v>
      </c>
      <c r="AD7" s="41" t="s">
        <v>3</v>
      </c>
      <c r="AE7" s="41" t="s">
        <v>16</v>
      </c>
      <c r="AF7" s="41" t="s">
        <v>103</v>
      </c>
      <c r="AG7" s="41" t="s">
        <v>1230</v>
      </c>
      <c r="AH7" s="2001"/>
      <c r="AI7" s="2001"/>
      <c r="AJ7" s="2001">
        <v>1</v>
      </c>
      <c r="AK7" s="2001">
        <v>0</v>
      </c>
      <c r="AL7" s="2001"/>
      <c r="AM7" s="105"/>
      <c r="AN7" s="105"/>
      <c r="AO7" s="105"/>
      <c r="AP7" s="105">
        <v>1</v>
      </c>
      <c r="AQ7" s="41"/>
      <c r="AS7" s="42" t="s">
        <v>3</v>
      </c>
      <c r="AT7" s="42" t="s">
        <v>16</v>
      </c>
      <c r="AU7" s="42" t="s">
        <v>103</v>
      </c>
      <c r="AV7" s="42" t="s">
        <v>1231</v>
      </c>
      <c r="AW7" s="1993"/>
      <c r="AX7" s="1993"/>
      <c r="AY7" s="1993">
        <v>1</v>
      </c>
      <c r="AZ7" s="1993">
        <v>0</v>
      </c>
      <c r="BA7" s="70"/>
      <c r="BB7" s="70"/>
      <c r="BC7" s="70">
        <v>1</v>
      </c>
      <c r="BF7" s="105" t="s">
        <v>3</v>
      </c>
      <c r="BG7" s="105" t="s">
        <v>16</v>
      </c>
      <c r="BH7" s="41" t="s">
        <v>103</v>
      </c>
      <c r="BI7" s="41" t="s">
        <v>1231</v>
      </c>
      <c r="BJ7" s="1659">
        <v>1</v>
      </c>
      <c r="BK7" s="1659"/>
      <c r="BL7" s="1659">
        <v>2</v>
      </c>
      <c r="BM7" s="1659"/>
      <c r="BN7" s="105"/>
      <c r="BO7" s="105"/>
      <c r="BP7" s="105">
        <v>3</v>
      </c>
      <c r="BS7" s="1341" t="s">
        <v>3</v>
      </c>
      <c r="BT7" s="1341" t="s">
        <v>16</v>
      </c>
      <c r="BU7" s="1341" t="s">
        <v>103</v>
      </c>
      <c r="BV7" s="1342" t="s">
        <v>1230</v>
      </c>
      <c r="BW7" s="1343"/>
      <c r="BX7" s="1343"/>
      <c r="BY7" s="1343"/>
      <c r="BZ7" s="1344">
        <v>1</v>
      </c>
      <c r="CA7" s="1343"/>
      <c r="CB7" s="1345"/>
      <c r="CC7" s="1346">
        <v>1</v>
      </c>
      <c r="CD7" s="1337"/>
      <c r="CF7" s="497" t="s">
        <v>3</v>
      </c>
      <c r="CG7" s="497" t="s">
        <v>16</v>
      </c>
      <c r="CH7" s="498" t="s">
        <v>103</v>
      </c>
      <c r="CI7" s="499" t="s">
        <v>1231</v>
      </c>
      <c r="CJ7" s="500">
        <v>1</v>
      </c>
      <c r="CK7" s="501"/>
      <c r="CL7" s="500">
        <v>1</v>
      </c>
      <c r="CM7" s="501"/>
      <c r="CN7" s="497"/>
      <c r="CO7" s="502">
        <v>2</v>
      </c>
      <c r="CP7" s="41"/>
      <c r="CR7" s="503" t="s">
        <v>3</v>
      </c>
      <c r="CS7" s="503" t="s">
        <v>16</v>
      </c>
      <c r="CT7" s="504" t="s">
        <v>103</v>
      </c>
      <c r="CU7" s="505" t="s">
        <v>1231</v>
      </c>
      <c r="CV7" s="506">
        <v>1</v>
      </c>
      <c r="CW7" s="507"/>
      <c r="CX7" s="506">
        <v>4</v>
      </c>
      <c r="CY7" s="507"/>
      <c r="CZ7" s="508"/>
      <c r="DA7" s="508"/>
      <c r="DB7" s="509">
        <v>5</v>
      </c>
      <c r="DC7" s="510"/>
      <c r="DE7" s="511" t="s">
        <v>3</v>
      </c>
      <c r="DF7" s="511" t="s">
        <v>16</v>
      </c>
      <c r="DG7" s="511" t="s">
        <v>103</v>
      </c>
      <c r="DH7" s="512" t="s">
        <v>1231</v>
      </c>
      <c r="DI7" s="513"/>
      <c r="DJ7" s="513"/>
      <c r="DK7" s="514">
        <v>2</v>
      </c>
      <c r="DL7" s="513"/>
      <c r="DM7" s="513"/>
      <c r="DN7" s="514">
        <v>2</v>
      </c>
      <c r="DO7" s="515"/>
      <c r="DQ7" s="70" t="s">
        <v>3</v>
      </c>
      <c r="DR7" s="70" t="s">
        <v>16</v>
      </c>
      <c r="DS7" s="42" t="s">
        <v>103</v>
      </c>
      <c r="DT7" s="42" t="s">
        <v>1231</v>
      </c>
      <c r="DU7" s="70"/>
      <c r="DV7" s="70">
        <v>1</v>
      </c>
      <c r="DW7" s="70">
        <v>1</v>
      </c>
      <c r="DX7" s="70">
        <v>0</v>
      </c>
      <c r="DY7" s="70"/>
      <c r="DZ7" s="70">
        <v>2</v>
      </c>
      <c r="EA7" s="42"/>
      <c r="EB7" s="42"/>
      <c r="EC7" s="516" t="s">
        <v>3</v>
      </c>
      <c r="ED7" s="517" t="s">
        <v>16</v>
      </c>
      <c r="EE7" s="516" t="s">
        <v>103</v>
      </c>
      <c r="EF7" s="516" t="s">
        <v>1231</v>
      </c>
      <c r="EG7" s="516">
        <v>0</v>
      </c>
      <c r="EH7" s="516">
        <v>1</v>
      </c>
      <c r="EI7" s="516">
        <v>0</v>
      </c>
      <c r="EJ7" s="516">
        <v>6</v>
      </c>
      <c r="EK7" s="516">
        <v>1</v>
      </c>
      <c r="EL7" s="516">
        <v>0</v>
      </c>
      <c r="EM7" s="516">
        <v>8</v>
      </c>
      <c r="EN7" s="516"/>
      <c r="EO7" s="518"/>
      <c r="EP7" s="42"/>
    </row>
    <row r="8" spans="1:146">
      <c r="D8" s="4798" t="s">
        <v>1235</v>
      </c>
      <c r="E8" s="4606">
        <v>0</v>
      </c>
      <c r="F8" s="4606"/>
      <c r="G8" s="4606"/>
      <c r="H8" s="4606">
        <v>4</v>
      </c>
      <c r="I8" s="4606"/>
      <c r="J8" s="2552"/>
      <c r="K8" s="2552"/>
      <c r="L8" s="2552"/>
      <c r="M8" s="2552"/>
      <c r="N8" s="2552">
        <v>4</v>
      </c>
      <c r="T8" s="37" t="s">
        <v>1235</v>
      </c>
      <c r="U8" s="4803"/>
      <c r="V8" s="4803"/>
      <c r="W8" s="4803">
        <v>2</v>
      </c>
      <c r="X8" s="4803"/>
      <c r="Y8" s="1788"/>
      <c r="Z8" s="1788"/>
      <c r="AA8" s="1788">
        <v>2</v>
      </c>
      <c r="AD8" s="41"/>
      <c r="AE8" s="41"/>
      <c r="AF8" s="41"/>
      <c r="AG8" s="41" t="s">
        <v>1231</v>
      </c>
      <c r="AH8" s="2001"/>
      <c r="AI8" s="2001"/>
      <c r="AJ8" s="2001">
        <v>1</v>
      </c>
      <c r="AK8" s="2001">
        <v>0</v>
      </c>
      <c r="AL8" s="2001"/>
      <c r="AM8" s="105"/>
      <c r="AN8" s="105"/>
      <c r="AO8" s="105"/>
      <c r="AP8" s="105">
        <v>1</v>
      </c>
      <c r="AQ8" s="41"/>
      <c r="AS8" s="42"/>
      <c r="AT8" s="42"/>
      <c r="AU8" s="42"/>
      <c r="AV8" s="42" t="s">
        <v>1235</v>
      </c>
      <c r="AW8" s="1993"/>
      <c r="AX8" s="1993"/>
      <c r="AY8" s="1993">
        <v>11</v>
      </c>
      <c r="AZ8" s="1993">
        <v>0</v>
      </c>
      <c r="BA8" s="70"/>
      <c r="BB8" s="70"/>
      <c r="BC8" s="70">
        <v>11</v>
      </c>
      <c r="BF8" s="105"/>
      <c r="BI8" s="41" t="s">
        <v>1235</v>
      </c>
      <c r="BJ8" s="1659">
        <v>0</v>
      </c>
      <c r="BK8" s="1659"/>
      <c r="BL8" s="1659">
        <v>2</v>
      </c>
      <c r="BM8" s="1659"/>
      <c r="BN8" s="105"/>
      <c r="BO8" s="105"/>
      <c r="BP8" s="105">
        <v>2</v>
      </c>
      <c r="BS8" s="1341"/>
      <c r="BT8" s="1341"/>
      <c r="BU8" s="1341"/>
      <c r="BV8" s="1342" t="s">
        <v>1231</v>
      </c>
      <c r="BW8" s="1343"/>
      <c r="BX8" s="1343"/>
      <c r="BY8" s="1343"/>
      <c r="BZ8" s="1344">
        <v>4</v>
      </c>
      <c r="CA8" s="1343"/>
      <c r="CB8" s="1345"/>
      <c r="CC8" s="1346">
        <v>4</v>
      </c>
      <c r="CD8" s="1337"/>
      <c r="CF8" s="497"/>
      <c r="CG8" s="497"/>
      <c r="CH8" s="498"/>
      <c r="CI8" s="499" t="s">
        <v>1235</v>
      </c>
      <c r="CJ8" s="500">
        <v>0</v>
      </c>
      <c r="CK8" s="501"/>
      <c r="CL8" s="500">
        <v>1</v>
      </c>
      <c r="CM8" s="501"/>
      <c r="CN8" s="497"/>
      <c r="CO8" s="502">
        <v>1</v>
      </c>
      <c r="CP8" s="41"/>
      <c r="CR8" s="503"/>
      <c r="CS8" s="503"/>
      <c r="CT8" s="504"/>
      <c r="CU8" s="505" t="s">
        <v>1235</v>
      </c>
      <c r="CV8" s="506">
        <v>0</v>
      </c>
      <c r="CW8" s="507"/>
      <c r="CX8" s="506">
        <v>3</v>
      </c>
      <c r="CY8" s="507"/>
      <c r="CZ8" s="508"/>
      <c r="DA8" s="508"/>
      <c r="DB8" s="509">
        <v>3</v>
      </c>
      <c r="DC8" s="510"/>
      <c r="DE8" s="511"/>
      <c r="DF8" s="511"/>
      <c r="DG8" s="511"/>
      <c r="DH8" s="512" t="s">
        <v>1235</v>
      </c>
      <c r="DI8" s="513"/>
      <c r="DJ8" s="513"/>
      <c r="DK8" s="514">
        <v>2</v>
      </c>
      <c r="DL8" s="513"/>
      <c r="DM8" s="513"/>
      <c r="DN8" s="514">
        <v>2</v>
      </c>
      <c r="DO8" s="515"/>
      <c r="DQ8" s="70"/>
      <c r="DR8" s="70"/>
      <c r="DS8" s="42"/>
      <c r="DT8" s="42" t="s">
        <v>1235</v>
      </c>
      <c r="DU8" s="70"/>
      <c r="DV8" s="70">
        <v>0</v>
      </c>
      <c r="DW8" s="70">
        <v>2</v>
      </c>
      <c r="DX8" s="70">
        <v>0</v>
      </c>
      <c r="DY8" s="70"/>
      <c r="DZ8" s="70">
        <v>2</v>
      </c>
      <c r="EA8" s="42"/>
      <c r="EB8" s="42"/>
      <c r="EC8" s="516"/>
      <c r="ED8" s="517"/>
      <c r="EE8" s="516"/>
      <c r="EF8" s="516" t="s">
        <v>1235</v>
      </c>
      <c r="EG8" s="516">
        <v>0</v>
      </c>
      <c r="EH8" s="516">
        <v>0</v>
      </c>
      <c r="EI8" s="516">
        <v>0</v>
      </c>
      <c r="EJ8" s="516">
        <v>2</v>
      </c>
      <c r="EK8" s="516">
        <v>0</v>
      </c>
      <c r="EL8" s="516">
        <v>0</v>
      </c>
      <c r="EM8" s="516">
        <v>2</v>
      </c>
      <c r="EN8" s="516"/>
      <c r="EO8" s="518"/>
      <c r="EP8" s="42"/>
    </row>
    <row r="9" spans="1:146">
      <c r="D9" s="4798" t="s">
        <v>1240</v>
      </c>
      <c r="E9" s="4606">
        <v>0</v>
      </c>
      <c r="F9" s="4606"/>
      <c r="G9" s="4606"/>
      <c r="H9" s="4606">
        <v>9</v>
      </c>
      <c r="I9" s="4606"/>
      <c r="J9" s="2552"/>
      <c r="K9" s="2552"/>
      <c r="L9" s="2552"/>
      <c r="M9" s="2552"/>
      <c r="N9" s="2552">
        <v>9</v>
      </c>
      <c r="T9" s="37" t="s">
        <v>1240</v>
      </c>
      <c r="U9" s="4803"/>
      <c r="V9" s="4803"/>
      <c r="W9" s="4803">
        <v>11</v>
      </c>
      <c r="X9" s="4803"/>
      <c r="Y9" s="1788"/>
      <c r="Z9" s="1788"/>
      <c r="AA9" s="1788">
        <v>11</v>
      </c>
      <c r="AD9" s="41"/>
      <c r="AE9" s="41"/>
      <c r="AF9" s="41"/>
      <c r="AG9" s="41" t="s">
        <v>1235</v>
      </c>
      <c r="AH9" s="2001"/>
      <c r="AI9" s="2001"/>
      <c r="AJ9" s="2001">
        <v>0</v>
      </c>
      <c r="AK9" s="2001">
        <v>1</v>
      </c>
      <c r="AL9" s="2001"/>
      <c r="AM9" s="105"/>
      <c r="AN9" s="105"/>
      <c r="AO9" s="105"/>
      <c r="AP9" s="105">
        <v>1</v>
      </c>
      <c r="AQ9" s="41"/>
      <c r="AS9" s="42"/>
      <c r="AT9" s="42"/>
      <c r="AU9" s="42"/>
      <c r="AV9" s="42" t="s">
        <v>1240</v>
      </c>
      <c r="AW9" s="1993"/>
      <c r="AX9" s="1993"/>
      <c r="AY9" s="1993">
        <v>7</v>
      </c>
      <c r="AZ9" s="1993">
        <v>1</v>
      </c>
      <c r="BA9" s="70"/>
      <c r="BB9" s="70"/>
      <c r="BC9" s="70">
        <v>8</v>
      </c>
      <c r="BF9" s="105"/>
      <c r="BI9" s="41" t="s">
        <v>1240</v>
      </c>
      <c r="BJ9" s="1659">
        <v>0</v>
      </c>
      <c r="BK9" s="1659"/>
      <c r="BL9" s="1659">
        <v>9</v>
      </c>
      <c r="BM9" s="1659"/>
      <c r="BN9" s="105"/>
      <c r="BO9" s="105"/>
      <c r="BP9" s="105">
        <v>9</v>
      </c>
      <c r="BS9" s="1341"/>
      <c r="BT9" s="1341"/>
      <c r="BU9" s="1341"/>
      <c r="BV9" s="1342" t="s">
        <v>1235</v>
      </c>
      <c r="BW9" s="1343"/>
      <c r="BX9" s="1343"/>
      <c r="BY9" s="1343"/>
      <c r="BZ9" s="1344">
        <v>4</v>
      </c>
      <c r="CA9" s="1343"/>
      <c r="CB9" s="1345"/>
      <c r="CC9" s="1346">
        <v>4</v>
      </c>
      <c r="CD9" s="1337"/>
      <c r="CF9" s="497"/>
      <c r="CG9" s="497"/>
      <c r="CH9" s="498"/>
      <c r="CI9" s="499" t="s">
        <v>1240</v>
      </c>
      <c r="CJ9" s="500">
        <v>0</v>
      </c>
      <c r="CK9" s="501"/>
      <c r="CL9" s="500">
        <v>12</v>
      </c>
      <c r="CM9" s="501"/>
      <c r="CN9" s="497"/>
      <c r="CO9" s="502">
        <v>12</v>
      </c>
      <c r="CP9" s="41"/>
      <c r="CR9" s="503"/>
      <c r="CS9" s="503"/>
      <c r="CT9" s="504"/>
      <c r="CU9" s="505" t="s">
        <v>1240</v>
      </c>
      <c r="CV9" s="506">
        <v>0</v>
      </c>
      <c r="CW9" s="507"/>
      <c r="CX9" s="506">
        <v>3</v>
      </c>
      <c r="CY9" s="507"/>
      <c r="CZ9" s="508"/>
      <c r="DA9" s="508"/>
      <c r="DB9" s="509">
        <v>3</v>
      </c>
      <c r="DC9" s="510"/>
      <c r="DE9" s="511"/>
      <c r="DF9" s="511"/>
      <c r="DG9" s="511"/>
      <c r="DH9" s="512" t="s">
        <v>1240</v>
      </c>
      <c r="DI9" s="513"/>
      <c r="DJ9" s="513"/>
      <c r="DK9" s="514">
        <v>7</v>
      </c>
      <c r="DL9" s="513"/>
      <c r="DM9" s="513"/>
      <c r="DN9" s="514">
        <v>7</v>
      </c>
      <c r="DO9" s="515"/>
      <c r="DQ9" s="70"/>
      <c r="DR9" s="70"/>
      <c r="DS9" s="42"/>
      <c r="DT9" s="42" t="s">
        <v>1236</v>
      </c>
      <c r="DU9" s="70"/>
      <c r="DV9" s="70">
        <v>0</v>
      </c>
      <c r="DW9" s="70">
        <v>0</v>
      </c>
      <c r="DX9" s="70">
        <v>1</v>
      </c>
      <c r="DY9" s="70"/>
      <c r="DZ9" s="70">
        <v>1</v>
      </c>
      <c r="EA9" s="42"/>
      <c r="EB9" s="42"/>
      <c r="EC9" s="516"/>
      <c r="ED9" s="517"/>
      <c r="EE9" s="516"/>
      <c r="EF9" s="516" t="s">
        <v>1323</v>
      </c>
      <c r="EG9" s="516">
        <v>0</v>
      </c>
      <c r="EH9" s="516">
        <v>0</v>
      </c>
      <c r="EI9" s="516">
        <v>0</v>
      </c>
      <c r="EJ9" s="516">
        <v>5</v>
      </c>
      <c r="EK9" s="516">
        <v>0</v>
      </c>
      <c r="EL9" s="516">
        <v>0</v>
      </c>
      <c r="EM9" s="516">
        <v>5</v>
      </c>
      <c r="EN9" s="516"/>
      <c r="EO9" s="518"/>
      <c r="EP9" s="42"/>
    </row>
    <row r="10" spans="1:146">
      <c r="D10" s="4798" t="s">
        <v>2963</v>
      </c>
      <c r="E10" s="4606">
        <v>1</v>
      </c>
      <c r="F10" s="4606"/>
      <c r="G10" s="4606"/>
      <c r="H10" s="4606">
        <v>0</v>
      </c>
      <c r="I10" s="4606"/>
      <c r="J10" s="2552"/>
      <c r="K10" s="2552"/>
      <c r="L10" s="2552"/>
      <c r="M10" s="2552"/>
      <c r="N10" s="2552">
        <v>1</v>
      </c>
      <c r="T10" s="1793" t="s">
        <v>15</v>
      </c>
      <c r="U10" s="4804"/>
      <c r="V10" s="4804"/>
      <c r="W10" s="4804">
        <v>14</v>
      </c>
      <c r="X10" s="4804"/>
      <c r="Y10" s="4702"/>
      <c r="Z10" s="4702"/>
      <c r="AA10" s="4702">
        <v>14</v>
      </c>
      <c r="AB10" s="4703">
        <f>+(AA8+AA9)/AA10</f>
        <v>0.9285714285714286</v>
      </c>
      <c r="AD10" s="41"/>
      <c r="AE10" s="41"/>
      <c r="AF10" s="41"/>
      <c r="AG10" s="41" t="s">
        <v>1240</v>
      </c>
      <c r="AH10" s="2001"/>
      <c r="AI10" s="2001"/>
      <c r="AJ10" s="2001">
        <v>0</v>
      </c>
      <c r="AK10" s="2001">
        <v>15</v>
      </c>
      <c r="AL10" s="2001"/>
      <c r="AM10" s="105"/>
      <c r="AN10" s="105"/>
      <c r="AO10" s="105"/>
      <c r="AP10" s="105">
        <v>15</v>
      </c>
      <c r="AQ10" s="41"/>
      <c r="AS10" s="42"/>
      <c r="AT10" s="42"/>
      <c r="AU10" s="42"/>
      <c r="AV10" s="484" t="s">
        <v>15</v>
      </c>
      <c r="AW10" s="1994"/>
      <c r="AX10" s="1994"/>
      <c r="AY10" s="1994">
        <v>19</v>
      </c>
      <c r="AZ10" s="1994">
        <v>1</v>
      </c>
      <c r="BA10" s="454"/>
      <c r="BB10" s="454"/>
      <c r="BC10" s="454">
        <v>20</v>
      </c>
      <c r="BD10" s="1977">
        <f>+(BC8+BC9)/BC10</f>
        <v>0.95</v>
      </c>
      <c r="BF10" s="105"/>
      <c r="BI10" s="41" t="s">
        <v>1323</v>
      </c>
      <c r="BJ10" s="1659">
        <v>0</v>
      </c>
      <c r="BK10" s="1659"/>
      <c r="BL10" s="1659">
        <v>7</v>
      </c>
      <c r="BM10" s="1659"/>
      <c r="BN10" s="105"/>
      <c r="BO10" s="105"/>
      <c r="BP10" s="105">
        <v>7</v>
      </c>
      <c r="BS10" s="1341"/>
      <c r="BT10" s="1341"/>
      <c r="BU10" s="1341"/>
      <c r="BV10" s="1342" t="s">
        <v>1240</v>
      </c>
      <c r="BW10" s="1343"/>
      <c r="BX10" s="1343"/>
      <c r="BY10" s="1343"/>
      <c r="BZ10" s="1344">
        <v>6</v>
      </c>
      <c r="CA10" s="1343"/>
      <c r="CB10" s="1345"/>
      <c r="CC10" s="1346">
        <v>6</v>
      </c>
      <c r="CD10" s="1337"/>
      <c r="CF10" s="497"/>
      <c r="CG10" s="497"/>
      <c r="CH10" s="498"/>
      <c r="CI10" s="499" t="s">
        <v>1323</v>
      </c>
      <c r="CJ10" s="500">
        <v>0</v>
      </c>
      <c r="CK10" s="501"/>
      <c r="CL10" s="500">
        <v>4</v>
      </c>
      <c r="CM10" s="501"/>
      <c r="CN10" s="497"/>
      <c r="CO10" s="502">
        <v>4</v>
      </c>
      <c r="CP10" s="41"/>
      <c r="CR10" s="503"/>
      <c r="CS10" s="503"/>
      <c r="CT10" s="504"/>
      <c r="CU10" s="505" t="s">
        <v>1323</v>
      </c>
      <c r="CV10" s="506">
        <v>0</v>
      </c>
      <c r="CW10" s="507"/>
      <c r="CX10" s="506">
        <v>5</v>
      </c>
      <c r="CY10" s="507"/>
      <c r="CZ10" s="508"/>
      <c r="DA10" s="508"/>
      <c r="DB10" s="509">
        <v>5</v>
      </c>
      <c r="DC10" s="510"/>
      <c r="DE10" s="511"/>
      <c r="DF10" s="511"/>
      <c r="DG10" s="511"/>
      <c r="DH10" s="512" t="s">
        <v>1323</v>
      </c>
      <c r="DI10" s="513"/>
      <c r="DJ10" s="513"/>
      <c r="DK10" s="514">
        <v>5</v>
      </c>
      <c r="DL10" s="513"/>
      <c r="DM10" s="513"/>
      <c r="DN10" s="514">
        <v>5</v>
      </c>
      <c r="DO10" s="515"/>
      <c r="DQ10" s="70"/>
      <c r="DR10" s="70"/>
      <c r="DS10" s="42"/>
      <c r="DT10" s="42" t="s">
        <v>1240</v>
      </c>
      <c r="DU10" s="70"/>
      <c r="DV10" s="70">
        <v>0</v>
      </c>
      <c r="DW10" s="70">
        <v>4</v>
      </c>
      <c r="DX10" s="70">
        <v>0</v>
      </c>
      <c r="DY10" s="70"/>
      <c r="DZ10" s="70">
        <v>4</v>
      </c>
      <c r="EA10" s="42"/>
      <c r="EB10" s="42"/>
      <c r="EC10" s="516"/>
      <c r="ED10" s="517"/>
      <c r="EE10" s="516"/>
      <c r="EF10" s="519" t="s">
        <v>15</v>
      </c>
      <c r="EG10" s="519">
        <v>0</v>
      </c>
      <c r="EH10" s="519">
        <v>1</v>
      </c>
      <c r="EI10" s="519">
        <v>0</v>
      </c>
      <c r="EJ10" s="519">
        <v>13</v>
      </c>
      <c r="EK10" s="519">
        <v>1</v>
      </c>
      <c r="EL10" s="519">
        <v>0</v>
      </c>
      <c r="EM10" s="519">
        <v>15</v>
      </c>
      <c r="EN10" s="520">
        <f>+(EM9+EM8)/EM10</f>
        <v>0.46666666666666667</v>
      </c>
      <c r="EO10" s="518">
        <f>+EM8+EM9</f>
        <v>7</v>
      </c>
      <c r="EP10" s="42"/>
    </row>
    <row r="11" spans="1:146">
      <c r="D11" s="32" t="s">
        <v>15</v>
      </c>
      <c r="E11" s="4607">
        <v>1</v>
      </c>
      <c r="F11" s="4607"/>
      <c r="G11" s="4607"/>
      <c r="H11" s="4607">
        <v>14</v>
      </c>
      <c r="I11" s="4607"/>
      <c r="J11" s="4583"/>
      <c r="K11" s="4583"/>
      <c r="L11" s="4583"/>
      <c r="M11" s="4583"/>
      <c r="N11" s="4583">
        <v>15</v>
      </c>
      <c r="O11" s="1977">
        <f>+(N8+N9)/(N11-N10)</f>
        <v>0.9285714285714286</v>
      </c>
      <c r="S11" s="1793" t="s">
        <v>545</v>
      </c>
      <c r="T11" s="1793" t="s">
        <v>1231</v>
      </c>
      <c r="U11" s="4804"/>
      <c r="V11" s="4804"/>
      <c r="W11" s="4804">
        <v>1</v>
      </c>
      <c r="X11" s="4804"/>
      <c r="Y11" s="4702"/>
      <c r="Z11" s="4702"/>
      <c r="AA11" s="4702">
        <v>1</v>
      </c>
      <c r="AB11" s="4703"/>
      <c r="AD11" s="41"/>
      <c r="AE11" s="41"/>
      <c r="AF11" s="41"/>
      <c r="AG11" s="41" t="s">
        <v>1323</v>
      </c>
      <c r="AH11" s="2001"/>
      <c r="AI11" s="2001"/>
      <c r="AJ11" s="2001">
        <v>0</v>
      </c>
      <c r="AK11" s="2001">
        <v>2</v>
      </c>
      <c r="AL11" s="2001"/>
      <c r="AM11" s="105"/>
      <c r="AN11" s="105"/>
      <c r="AO11" s="105"/>
      <c r="AP11" s="105">
        <v>2</v>
      </c>
      <c r="AQ11" s="41"/>
      <c r="AS11" s="42"/>
      <c r="AT11" s="42"/>
      <c r="AU11" s="42" t="s">
        <v>545</v>
      </c>
      <c r="AV11" s="42" t="s">
        <v>1231</v>
      </c>
      <c r="AW11" s="1993"/>
      <c r="AX11" s="1993"/>
      <c r="AY11" s="1993">
        <v>1</v>
      </c>
      <c r="AZ11" s="1993">
        <v>0</v>
      </c>
      <c r="BA11" s="70"/>
      <c r="BB11" s="70"/>
      <c r="BC11" s="70">
        <v>1</v>
      </c>
      <c r="BF11" s="105"/>
      <c r="BI11" s="461" t="s">
        <v>15</v>
      </c>
      <c r="BJ11" s="1660">
        <v>1</v>
      </c>
      <c r="BK11" s="1660"/>
      <c r="BL11" s="1660">
        <v>20</v>
      </c>
      <c r="BM11" s="1660"/>
      <c r="BN11" s="96"/>
      <c r="BO11" s="96"/>
      <c r="BP11" s="96">
        <v>21</v>
      </c>
      <c r="BQ11" s="635">
        <f>+(BP8+BP9+BP10)/(BP11)</f>
        <v>0.8571428571428571</v>
      </c>
      <c r="BS11" s="1341"/>
      <c r="BT11" s="1341"/>
      <c r="BU11" s="1341"/>
      <c r="BV11" s="1342" t="s">
        <v>1323</v>
      </c>
      <c r="BW11" s="1343"/>
      <c r="BX11" s="1343"/>
      <c r="BY11" s="1343"/>
      <c r="BZ11" s="1344">
        <v>3</v>
      </c>
      <c r="CA11" s="1343"/>
      <c r="CB11" s="1345"/>
      <c r="CC11" s="1346">
        <v>3</v>
      </c>
      <c r="CD11" s="1337"/>
      <c r="CF11" s="497"/>
      <c r="CG11" s="497"/>
      <c r="CH11" s="498"/>
      <c r="CI11" s="521" t="s">
        <v>15</v>
      </c>
      <c r="CJ11" s="522">
        <v>1</v>
      </c>
      <c r="CK11" s="523"/>
      <c r="CL11" s="522">
        <v>18</v>
      </c>
      <c r="CM11" s="523"/>
      <c r="CN11" s="524"/>
      <c r="CO11" s="525">
        <v>19</v>
      </c>
      <c r="CP11" s="526">
        <f>+(CO8+CO9+CO10)/CO11</f>
        <v>0.89473684210526316</v>
      </c>
      <c r="CR11" s="503"/>
      <c r="CS11" s="503"/>
      <c r="CT11" s="504"/>
      <c r="CU11" s="527" t="s">
        <v>15</v>
      </c>
      <c r="CV11" s="528">
        <v>1</v>
      </c>
      <c r="CW11" s="529"/>
      <c r="CX11" s="528">
        <v>15</v>
      </c>
      <c r="CY11" s="529"/>
      <c r="CZ11" s="530"/>
      <c r="DA11" s="530"/>
      <c r="DB11" s="531">
        <v>16</v>
      </c>
      <c r="DC11" s="510">
        <f>+(DB10+DB9+DB8)/DB11</f>
        <v>0.6875</v>
      </c>
      <c r="DE11" s="511"/>
      <c r="DF11" s="511"/>
      <c r="DG11" s="511"/>
      <c r="DH11" s="532" t="s">
        <v>15</v>
      </c>
      <c r="DI11" s="533"/>
      <c r="DJ11" s="533"/>
      <c r="DK11" s="534">
        <v>16</v>
      </c>
      <c r="DL11" s="533"/>
      <c r="DM11" s="533"/>
      <c r="DN11" s="534">
        <v>16</v>
      </c>
      <c r="DO11" s="535">
        <f>+(DN10+DN9+DN8)/DN11</f>
        <v>0.875</v>
      </c>
      <c r="DQ11" s="70"/>
      <c r="DR11" s="70"/>
      <c r="DS11" s="42"/>
      <c r="DT11" s="42" t="s">
        <v>1323</v>
      </c>
      <c r="DU11" s="70"/>
      <c r="DV11" s="70">
        <v>0</v>
      </c>
      <c r="DW11" s="70">
        <v>4</v>
      </c>
      <c r="DX11" s="70">
        <v>0</v>
      </c>
      <c r="DY11" s="70"/>
      <c r="DZ11" s="70">
        <v>4</v>
      </c>
      <c r="EA11" s="42"/>
      <c r="EB11" s="42"/>
      <c r="EC11" s="516"/>
      <c r="ED11" s="517" t="s">
        <v>104</v>
      </c>
      <c r="EE11" s="516" t="s">
        <v>105</v>
      </c>
      <c r="EF11" s="516" t="s">
        <v>1230</v>
      </c>
      <c r="EG11" s="516">
        <v>0</v>
      </c>
      <c r="EH11" s="516">
        <v>0</v>
      </c>
      <c r="EI11" s="516">
        <v>0</v>
      </c>
      <c r="EJ11" s="516">
        <v>1</v>
      </c>
      <c r="EK11" s="516">
        <v>2</v>
      </c>
      <c r="EL11" s="516">
        <v>9</v>
      </c>
      <c r="EM11" s="516">
        <v>12</v>
      </c>
      <c r="EN11" s="516"/>
      <c r="EO11" s="518"/>
      <c r="EP11" s="42"/>
    </row>
    <row r="12" spans="1:146">
      <c r="C12" s="4798" t="s">
        <v>545</v>
      </c>
      <c r="D12" s="4798" t="s">
        <v>1231</v>
      </c>
      <c r="E12" s="4606">
        <v>0</v>
      </c>
      <c r="F12" s="4606"/>
      <c r="G12" s="4606"/>
      <c r="H12" s="4606">
        <v>1</v>
      </c>
      <c r="I12" s="4606"/>
      <c r="J12" s="2552"/>
      <c r="K12" s="2552"/>
      <c r="L12" s="2552"/>
      <c r="M12" s="2552"/>
      <c r="N12" s="2552">
        <v>1</v>
      </c>
      <c r="T12" s="1793" t="s">
        <v>1235</v>
      </c>
      <c r="U12" s="4804"/>
      <c r="V12" s="4804"/>
      <c r="W12" s="4804">
        <v>2</v>
      </c>
      <c r="X12" s="4804"/>
      <c r="Y12" s="4702"/>
      <c r="Z12" s="4702"/>
      <c r="AA12" s="4702">
        <v>2</v>
      </c>
      <c r="AB12" s="4703"/>
      <c r="AD12" s="41"/>
      <c r="AE12" s="41"/>
      <c r="AF12" s="41"/>
      <c r="AG12" s="461" t="s">
        <v>15</v>
      </c>
      <c r="AH12" s="2002"/>
      <c r="AI12" s="2002"/>
      <c r="AJ12" s="2002">
        <v>2</v>
      </c>
      <c r="AK12" s="2002">
        <v>18</v>
      </c>
      <c r="AL12" s="2002"/>
      <c r="AM12" s="2480"/>
      <c r="AN12" s="2480"/>
      <c r="AO12" s="2480"/>
      <c r="AP12" s="2480">
        <v>20</v>
      </c>
      <c r="AQ12" s="635">
        <f>+(AP11+AP10+AP9)/AP12</f>
        <v>0.9</v>
      </c>
      <c r="AS12" s="42"/>
      <c r="AT12" s="42"/>
      <c r="AU12" s="42"/>
      <c r="AV12" s="42" t="s">
        <v>1235</v>
      </c>
      <c r="AW12" s="1993"/>
      <c r="AX12" s="1993"/>
      <c r="AY12" s="1993">
        <v>11</v>
      </c>
      <c r="AZ12" s="1993">
        <v>0</v>
      </c>
      <c r="BA12" s="70"/>
      <c r="BB12" s="70"/>
      <c r="BC12" s="70">
        <v>11</v>
      </c>
      <c r="BF12" s="105"/>
      <c r="BH12" s="41" t="s">
        <v>416</v>
      </c>
      <c r="BI12" s="41" t="s">
        <v>1231</v>
      </c>
      <c r="BJ12" s="1659">
        <v>3</v>
      </c>
      <c r="BK12" s="1659">
        <v>1</v>
      </c>
      <c r="BL12" s="1659">
        <v>0</v>
      </c>
      <c r="BM12" s="1659"/>
      <c r="BN12" s="105"/>
      <c r="BO12" s="105"/>
      <c r="BP12" s="105">
        <v>4</v>
      </c>
      <c r="BS12" s="1341"/>
      <c r="BT12" s="1341"/>
      <c r="BU12" s="1341"/>
      <c r="BV12" s="1336" t="s">
        <v>15</v>
      </c>
      <c r="BW12" s="1347"/>
      <c r="BX12" s="1347"/>
      <c r="BY12" s="1347"/>
      <c r="BZ12" s="1348">
        <v>18</v>
      </c>
      <c r="CA12" s="1347"/>
      <c r="CB12" s="1349"/>
      <c r="CC12" s="1350">
        <v>18</v>
      </c>
      <c r="CD12" s="1325">
        <f>+(CC9+CC10+CC11)/CC12</f>
        <v>0.72222222222222221</v>
      </c>
      <c r="CF12" s="497"/>
      <c r="CG12" s="497"/>
      <c r="CH12" s="498" t="s">
        <v>416</v>
      </c>
      <c r="CI12" s="499" t="s">
        <v>1231</v>
      </c>
      <c r="CJ12" s="500">
        <v>1</v>
      </c>
      <c r="CK12" s="500">
        <v>2</v>
      </c>
      <c r="CL12" s="500">
        <v>3</v>
      </c>
      <c r="CM12" s="501"/>
      <c r="CN12" s="497"/>
      <c r="CO12" s="502">
        <v>6</v>
      </c>
      <c r="CP12" s="41"/>
      <c r="CR12" s="503"/>
      <c r="CS12" s="503"/>
      <c r="CT12" s="504" t="s">
        <v>119</v>
      </c>
      <c r="CU12" s="505" t="s">
        <v>1231</v>
      </c>
      <c r="CV12" s="507"/>
      <c r="CW12" s="507"/>
      <c r="CX12" s="507"/>
      <c r="CY12" s="506">
        <v>1</v>
      </c>
      <c r="CZ12" s="508"/>
      <c r="DA12" s="508"/>
      <c r="DB12" s="509">
        <v>1</v>
      </c>
      <c r="DC12" s="510"/>
      <c r="DE12" s="511"/>
      <c r="DF12" s="511"/>
      <c r="DQ12" s="70"/>
      <c r="DR12" s="70"/>
      <c r="DS12" s="42"/>
      <c r="DT12" s="484" t="s">
        <v>15</v>
      </c>
      <c r="DU12" s="454"/>
      <c r="DV12" s="454">
        <v>1</v>
      </c>
      <c r="DW12" s="454">
        <v>11</v>
      </c>
      <c r="DX12" s="454">
        <v>1</v>
      </c>
      <c r="DY12" s="454"/>
      <c r="DZ12" s="454">
        <v>13</v>
      </c>
      <c r="EA12" s="536">
        <f>+(DZ8+DZ10+DZ11)/DZ12</f>
        <v>0.76923076923076927</v>
      </c>
      <c r="EB12" s="42"/>
      <c r="EC12" s="516"/>
      <c r="ED12" s="517"/>
      <c r="EE12" s="516"/>
      <c r="EF12" s="516" t="s">
        <v>1231</v>
      </c>
      <c r="EG12" s="516">
        <v>0</v>
      </c>
      <c r="EH12" s="516">
        <v>2</v>
      </c>
      <c r="EI12" s="516">
        <v>4</v>
      </c>
      <c r="EJ12" s="516">
        <v>7</v>
      </c>
      <c r="EK12" s="516">
        <v>0</v>
      </c>
      <c r="EL12" s="516">
        <v>0</v>
      </c>
      <c r="EM12" s="516">
        <v>13</v>
      </c>
      <c r="EN12" s="516"/>
      <c r="EO12" s="518"/>
      <c r="EP12" s="42"/>
    </row>
    <row r="13" spans="1:146">
      <c r="D13" s="4798" t="s">
        <v>1235</v>
      </c>
      <c r="E13" s="4606">
        <v>0</v>
      </c>
      <c r="F13" s="4606"/>
      <c r="G13" s="4606"/>
      <c r="H13" s="4606">
        <v>4</v>
      </c>
      <c r="I13" s="4606"/>
      <c r="J13" s="2552"/>
      <c r="K13" s="2552"/>
      <c r="L13" s="2552"/>
      <c r="M13" s="2552"/>
      <c r="N13" s="2552">
        <v>4</v>
      </c>
      <c r="T13" s="1793" t="s">
        <v>1240</v>
      </c>
      <c r="U13" s="4804"/>
      <c r="V13" s="4804"/>
      <c r="W13" s="4804">
        <v>11</v>
      </c>
      <c r="X13" s="4804"/>
      <c r="Y13" s="4702"/>
      <c r="Z13" s="4702"/>
      <c r="AA13" s="4702">
        <v>11</v>
      </c>
      <c r="AB13" s="4703"/>
      <c r="AD13" s="41"/>
      <c r="AE13" s="41"/>
      <c r="AF13" s="461" t="s">
        <v>545</v>
      </c>
      <c r="AG13" s="461" t="s">
        <v>1230</v>
      </c>
      <c r="AH13" s="2002"/>
      <c r="AI13" s="2002"/>
      <c r="AJ13" s="2002">
        <v>1</v>
      </c>
      <c r="AK13" s="2002">
        <v>0</v>
      </c>
      <c r="AL13" s="2002"/>
      <c r="AM13" s="2480"/>
      <c r="AN13" s="2480"/>
      <c r="AO13" s="2480"/>
      <c r="AP13" s="2480">
        <v>1</v>
      </c>
      <c r="AQ13" s="41"/>
      <c r="AS13" s="42"/>
      <c r="AT13" s="42"/>
      <c r="AU13" s="42"/>
      <c r="AV13" s="42" t="s">
        <v>1240</v>
      </c>
      <c r="AW13" s="1993"/>
      <c r="AX13" s="1993"/>
      <c r="AY13" s="1993">
        <v>7</v>
      </c>
      <c r="AZ13" s="1993">
        <v>1</v>
      </c>
      <c r="BA13" s="70"/>
      <c r="BB13" s="70"/>
      <c r="BC13" s="70">
        <v>8</v>
      </c>
      <c r="BF13" s="105"/>
      <c r="BI13" s="41" t="s">
        <v>1240</v>
      </c>
      <c r="BJ13" s="1659">
        <v>0</v>
      </c>
      <c r="BK13" s="1659">
        <v>0</v>
      </c>
      <c r="BL13" s="1659">
        <v>5</v>
      </c>
      <c r="BM13" s="1659"/>
      <c r="BN13" s="105"/>
      <c r="BO13" s="105"/>
      <c r="BP13" s="105">
        <v>5</v>
      </c>
      <c r="BS13" s="1341"/>
      <c r="BT13" s="1341"/>
      <c r="BU13" s="1341" t="s">
        <v>545</v>
      </c>
      <c r="BV13" s="1342" t="s">
        <v>1230</v>
      </c>
      <c r="BW13" s="1343"/>
      <c r="BX13" s="1343"/>
      <c r="BY13" s="1343"/>
      <c r="BZ13" s="1344">
        <v>1</v>
      </c>
      <c r="CA13" s="1343"/>
      <c r="CB13" s="1345"/>
      <c r="CC13" s="1346">
        <v>1</v>
      </c>
      <c r="CD13" s="1337"/>
      <c r="CF13" s="497"/>
      <c r="CG13" s="497"/>
      <c r="CH13" s="498"/>
      <c r="CI13" s="499" t="s">
        <v>1240</v>
      </c>
      <c r="CJ13" s="500">
        <v>0</v>
      </c>
      <c r="CK13" s="500">
        <v>0</v>
      </c>
      <c r="CL13" s="500">
        <v>4</v>
      </c>
      <c r="CM13" s="501"/>
      <c r="CN13" s="497"/>
      <c r="CO13" s="502">
        <v>4</v>
      </c>
      <c r="CP13" s="41"/>
      <c r="CR13" s="503"/>
      <c r="CS13" s="503"/>
      <c r="CT13" s="504"/>
      <c r="CU13" s="505"/>
      <c r="CV13" s="507"/>
      <c r="CW13" s="507"/>
      <c r="CX13" s="507"/>
      <c r="CY13" s="506"/>
      <c r="CZ13" s="508"/>
      <c r="DA13" s="508"/>
      <c r="DB13" s="509"/>
      <c r="DC13" s="510"/>
      <c r="DE13" s="511"/>
      <c r="DF13" s="511"/>
      <c r="DG13" s="511" t="s">
        <v>416</v>
      </c>
      <c r="DH13" s="512" t="s">
        <v>1231</v>
      </c>
      <c r="DI13" s="514">
        <v>1</v>
      </c>
      <c r="DJ13" s="513"/>
      <c r="DK13" s="514">
        <v>1</v>
      </c>
      <c r="DL13" s="513"/>
      <c r="DM13" s="513"/>
      <c r="DN13" s="514">
        <v>2</v>
      </c>
      <c r="DO13" s="515"/>
      <c r="DQ13" s="70"/>
      <c r="DR13" s="70"/>
      <c r="DS13" s="42" t="s">
        <v>416</v>
      </c>
      <c r="DT13" s="42" t="s">
        <v>1231</v>
      </c>
      <c r="DU13" s="70"/>
      <c r="DV13" s="70">
        <v>2</v>
      </c>
      <c r="DW13" s="70">
        <v>2</v>
      </c>
      <c r="DX13" s="70"/>
      <c r="DY13" s="70"/>
      <c r="DZ13" s="70">
        <v>4</v>
      </c>
      <c r="EA13" s="42"/>
      <c r="EB13" s="42"/>
      <c r="EC13" s="516"/>
      <c r="ED13" s="517"/>
      <c r="EE13" s="516"/>
      <c r="EF13" s="516" t="s">
        <v>1235</v>
      </c>
      <c r="EG13" s="516">
        <v>0</v>
      </c>
      <c r="EH13" s="516">
        <v>0</v>
      </c>
      <c r="EI13" s="516">
        <v>0</v>
      </c>
      <c r="EJ13" s="516">
        <v>0</v>
      </c>
      <c r="EK13" s="516">
        <v>1</v>
      </c>
      <c r="EL13" s="516">
        <v>0</v>
      </c>
      <c r="EM13" s="516">
        <v>1</v>
      </c>
      <c r="EN13" s="516"/>
      <c r="EO13" s="518"/>
      <c r="EP13" s="42"/>
    </row>
    <row r="14" spans="1:146">
      <c r="D14" s="4798" t="s">
        <v>1240</v>
      </c>
      <c r="E14" s="4606">
        <v>0</v>
      </c>
      <c r="F14" s="4606"/>
      <c r="G14" s="4606"/>
      <c r="H14" s="4606">
        <v>9</v>
      </c>
      <c r="I14" s="4606"/>
      <c r="J14" s="2552"/>
      <c r="K14" s="2552"/>
      <c r="L14" s="2552"/>
      <c r="M14" s="2552"/>
      <c r="N14" s="2552">
        <v>9</v>
      </c>
      <c r="T14" s="1793" t="s">
        <v>545</v>
      </c>
      <c r="U14" s="4804"/>
      <c r="V14" s="4804"/>
      <c r="W14" s="4804">
        <v>14</v>
      </c>
      <c r="X14" s="4804"/>
      <c r="Y14" s="4702"/>
      <c r="Z14" s="4702"/>
      <c r="AA14" s="4702">
        <v>14</v>
      </c>
      <c r="AB14" s="4703">
        <f>+(AA12+AA13)/AA14</f>
        <v>0.9285714285714286</v>
      </c>
      <c r="AD14" s="41"/>
      <c r="AE14" s="41"/>
      <c r="AF14" s="461"/>
      <c r="AG14" s="461" t="s">
        <v>1231</v>
      </c>
      <c r="AH14" s="2002"/>
      <c r="AI14" s="2002"/>
      <c r="AJ14" s="2002">
        <v>1</v>
      </c>
      <c r="AK14" s="2002">
        <v>0</v>
      </c>
      <c r="AL14" s="2002"/>
      <c r="AM14" s="2480"/>
      <c r="AN14" s="2480"/>
      <c r="AO14" s="2480"/>
      <c r="AP14" s="2480">
        <v>1</v>
      </c>
      <c r="AQ14" s="41"/>
      <c r="AS14" s="42"/>
      <c r="AT14" s="42"/>
      <c r="AU14" s="42"/>
      <c r="AV14" s="484" t="s">
        <v>545</v>
      </c>
      <c r="AW14" s="1994"/>
      <c r="AX14" s="1994"/>
      <c r="AY14" s="1994">
        <v>19</v>
      </c>
      <c r="AZ14" s="1994">
        <v>1</v>
      </c>
      <c r="BA14" s="454"/>
      <c r="BB14" s="454"/>
      <c r="BC14" s="454">
        <v>20</v>
      </c>
      <c r="BD14" s="1977">
        <f>+(BC12+BC13)/BC14</f>
        <v>0.95</v>
      </c>
      <c r="BF14" s="105"/>
      <c r="BI14" s="461" t="s">
        <v>15</v>
      </c>
      <c r="BJ14" s="1660">
        <v>3</v>
      </c>
      <c r="BK14" s="1660">
        <v>1</v>
      </c>
      <c r="BL14" s="1660">
        <v>5</v>
      </c>
      <c r="BM14" s="1660"/>
      <c r="BN14" s="96"/>
      <c r="BO14" s="96"/>
      <c r="BP14" s="96">
        <v>9</v>
      </c>
      <c r="BQ14" s="635">
        <f>+BP13/BP14</f>
        <v>0.55555555555555558</v>
      </c>
      <c r="BS14" s="1341"/>
      <c r="BT14" s="1341"/>
      <c r="BU14" s="1341"/>
      <c r="BV14" s="1342" t="s">
        <v>1231</v>
      </c>
      <c r="BW14" s="1343"/>
      <c r="BX14" s="1343"/>
      <c r="BY14" s="1343"/>
      <c r="BZ14" s="1344">
        <v>4</v>
      </c>
      <c r="CA14" s="1343"/>
      <c r="CB14" s="1345"/>
      <c r="CC14" s="1346">
        <v>4</v>
      </c>
      <c r="CD14" s="1337"/>
      <c r="CF14" s="497"/>
      <c r="CG14" s="497"/>
      <c r="CH14" s="498"/>
      <c r="CI14" s="521" t="s">
        <v>15</v>
      </c>
      <c r="CJ14" s="522">
        <v>1</v>
      </c>
      <c r="CK14" s="522">
        <v>2</v>
      </c>
      <c r="CL14" s="522">
        <v>7</v>
      </c>
      <c r="CM14" s="523"/>
      <c r="CN14" s="524"/>
      <c r="CO14" s="525">
        <v>10</v>
      </c>
      <c r="CP14" s="526">
        <f>+CO13/CO14</f>
        <v>0.4</v>
      </c>
      <c r="CR14" s="503"/>
      <c r="CS14" s="503"/>
      <c r="CT14" s="504"/>
      <c r="CU14" s="527" t="s">
        <v>15</v>
      </c>
      <c r="CV14" s="529"/>
      <c r="CW14" s="529"/>
      <c r="CX14" s="529"/>
      <c r="CY14" s="528">
        <v>1</v>
      </c>
      <c r="CZ14" s="530"/>
      <c r="DA14" s="530"/>
      <c r="DB14" s="531">
        <v>1</v>
      </c>
      <c r="DC14" s="510">
        <v>0</v>
      </c>
      <c r="DE14" s="511"/>
      <c r="DF14" s="511"/>
      <c r="DG14" s="511"/>
      <c r="DH14" s="512" t="s">
        <v>1235</v>
      </c>
      <c r="DI14" s="514">
        <v>0</v>
      </c>
      <c r="DJ14" s="513"/>
      <c r="DK14" s="514">
        <v>5</v>
      </c>
      <c r="DL14" s="513"/>
      <c r="DM14" s="513"/>
      <c r="DN14" s="514">
        <v>5</v>
      </c>
      <c r="DO14" s="515"/>
      <c r="DQ14" s="70"/>
      <c r="DR14" s="70"/>
      <c r="DS14" s="42"/>
      <c r="DT14" s="42" t="s">
        <v>1240</v>
      </c>
      <c r="DU14" s="70"/>
      <c r="DV14" s="70">
        <v>0</v>
      </c>
      <c r="DW14" s="70">
        <v>7</v>
      </c>
      <c r="DX14" s="70"/>
      <c r="DY14" s="70"/>
      <c r="DZ14" s="70">
        <v>7</v>
      </c>
      <c r="EA14" s="42"/>
      <c r="EB14" s="42"/>
      <c r="EC14" s="516"/>
      <c r="ED14" s="517"/>
      <c r="EE14" s="516"/>
      <c r="EF14" s="516" t="s">
        <v>1236</v>
      </c>
      <c r="EG14" s="516">
        <v>0</v>
      </c>
      <c r="EH14" s="516">
        <v>0</v>
      </c>
      <c r="EI14" s="516">
        <v>1</v>
      </c>
      <c r="EJ14" s="516">
        <v>0</v>
      </c>
      <c r="EK14" s="516">
        <v>0</v>
      </c>
      <c r="EL14" s="516">
        <v>0</v>
      </c>
      <c r="EM14" s="516">
        <v>1</v>
      </c>
      <c r="EN14" s="516"/>
      <c r="EO14" s="518"/>
      <c r="EP14" s="42"/>
    </row>
    <row r="15" spans="1:146">
      <c r="D15" s="4798" t="s">
        <v>2963</v>
      </c>
      <c r="E15" s="4606">
        <v>1</v>
      </c>
      <c r="F15" s="4606"/>
      <c r="G15" s="4606"/>
      <c r="H15" s="4606">
        <v>0</v>
      </c>
      <c r="I15" s="4606"/>
      <c r="J15" s="2552"/>
      <c r="K15" s="2552"/>
      <c r="L15" s="2552"/>
      <c r="M15" s="2552"/>
      <c r="N15" s="2552">
        <v>1</v>
      </c>
      <c r="R15" s="37" t="s">
        <v>21</v>
      </c>
      <c r="S15" s="37" t="s">
        <v>847</v>
      </c>
      <c r="T15" s="37" t="s">
        <v>1231</v>
      </c>
      <c r="U15" s="4803"/>
      <c r="V15" s="4803">
        <v>1</v>
      </c>
      <c r="W15" s="4803">
        <v>1</v>
      </c>
      <c r="X15" s="4803"/>
      <c r="Y15" s="1788"/>
      <c r="Z15" s="1788"/>
      <c r="AA15" s="1788">
        <v>2</v>
      </c>
      <c r="AD15" s="41"/>
      <c r="AE15" s="41"/>
      <c r="AF15" s="461"/>
      <c r="AG15" s="461" t="s">
        <v>1235</v>
      </c>
      <c r="AH15" s="2002"/>
      <c r="AI15" s="2002"/>
      <c r="AJ15" s="2002">
        <v>0</v>
      </c>
      <c r="AK15" s="2002">
        <v>1</v>
      </c>
      <c r="AL15" s="2002"/>
      <c r="AM15" s="2480"/>
      <c r="AN15" s="2480"/>
      <c r="AO15" s="2480"/>
      <c r="AP15" s="2480">
        <v>1</v>
      </c>
      <c r="AQ15" s="41"/>
      <c r="AS15" s="42"/>
      <c r="AT15" s="42" t="s">
        <v>21</v>
      </c>
      <c r="AU15" s="42" t="s">
        <v>1637</v>
      </c>
      <c r="AV15" s="42" t="s">
        <v>1233</v>
      </c>
      <c r="AW15" s="1993">
        <v>1</v>
      </c>
      <c r="AX15" s="1993"/>
      <c r="AY15" s="1993">
        <v>0</v>
      </c>
      <c r="AZ15" s="1993">
        <v>0</v>
      </c>
      <c r="BA15" s="70"/>
      <c r="BB15" s="70"/>
      <c r="BC15" s="70">
        <v>1</v>
      </c>
      <c r="BF15" s="105"/>
      <c r="BH15" s="41" t="s">
        <v>545</v>
      </c>
      <c r="BI15" s="41" t="s">
        <v>1231</v>
      </c>
      <c r="BJ15" s="1659">
        <v>4</v>
      </c>
      <c r="BK15" s="1659">
        <v>1</v>
      </c>
      <c r="BL15" s="1659">
        <v>2</v>
      </c>
      <c r="BM15" s="1659"/>
      <c r="BN15" s="105"/>
      <c r="BO15" s="105"/>
      <c r="BP15" s="105">
        <v>7</v>
      </c>
      <c r="BS15" s="1341"/>
      <c r="BT15" s="1341"/>
      <c r="BU15" s="1341"/>
      <c r="BV15" s="1342" t="s">
        <v>1235</v>
      </c>
      <c r="BW15" s="1343"/>
      <c r="BX15" s="1343"/>
      <c r="BY15" s="1343"/>
      <c r="BZ15" s="1344">
        <v>4</v>
      </c>
      <c r="CA15" s="1343"/>
      <c r="CB15" s="1345"/>
      <c r="CC15" s="1346">
        <v>4</v>
      </c>
      <c r="CD15" s="1337"/>
      <c r="CF15" s="497"/>
      <c r="CG15" s="497"/>
      <c r="CH15" s="498" t="s">
        <v>545</v>
      </c>
      <c r="CI15" s="499" t="s">
        <v>1231</v>
      </c>
      <c r="CJ15" s="500">
        <v>2</v>
      </c>
      <c r="CK15" s="500">
        <v>2</v>
      </c>
      <c r="CL15" s="500">
        <v>4</v>
      </c>
      <c r="CM15" s="501"/>
      <c r="CN15" s="497"/>
      <c r="CO15" s="502">
        <v>8</v>
      </c>
      <c r="CP15" s="537"/>
      <c r="CR15" s="503"/>
      <c r="CS15" s="503"/>
      <c r="CT15" s="527" t="s">
        <v>545</v>
      </c>
      <c r="CU15" s="505" t="s">
        <v>1231</v>
      </c>
      <c r="CV15" s="506">
        <v>1</v>
      </c>
      <c r="CW15" s="507"/>
      <c r="CX15" s="506">
        <v>4</v>
      </c>
      <c r="CY15" s="506">
        <v>1</v>
      </c>
      <c r="CZ15" s="508"/>
      <c r="DA15" s="508"/>
      <c r="DB15" s="509">
        <v>6</v>
      </c>
      <c r="DC15" s="510"/>
      <c r="DE15" s="511"/>
      <c r="DF15" s="511"/>
      <c r="DG15" s="511"/>
      <c r="DH15" s="512" t="s">
        <v>1240</v>
      </c>
      <c r="DI15" s="514">
        <v>0</v>
      </c>
      <c r="DJ15" s="513"/>
      <c r="DK15" s="514">
        <v>3</v>
      </c>
      <c r="DL15" s="513"/>
      <c r="DM15" s="513"/>
      <c r="DN15" s="514">
        <v>3</v>
      </c>
      <c r="DO15" s="515"/>
      <c r="DQ15" s="70"/>
      <c r="DR15" s="70"/>
      <c r="DS15" s="42"/>
      <c r="DT15" s="484" t="s">
        <v>15</v>
      </c>
      <c r="DU15" s="454"/>
      <c r="DV15" s="454">
        <v>2</v>
      </c>
      <c r="DW15" s="454">
        <v>9</v>
      </c>
      <c r="DX15" s="454"/>
      <c r="DY15" s="454"/>
      <c r="DZ15" s="454">
        <v>11</v>
      </c>
      <c r="EA15" s="536">
        <f>+DZ14/DZ15</f>
        <v>0.63636363636363635</v>
      </c>
      <c r="EB15" s="42"/>
      <c r="EC15" s="516"/>
      <c r="ED15" s="517"/>
      <c r="EE15" s="516"/>
      <c r="EF15" s="516" t="s">
        <v>1239</v>
      </c>
      <c r="EG15" s="516">
        <v>0</v>
      </c>
      <c r="EH15" s="516">
        <v>0</v>
      </c>
      <c r="EI15" s="516">
        <v>0</v>
      </c>
      <c r="EJ15" s="516">
        <v>0</v>
      </c>
      <c r="EK15" s="516">
        <v>1</v>
      </c>
      <c r="EL15" s="516">
        <v>1</v>
      </c>
      <c r="EM15" s="516">
        <v>2</v>
      </c>
      <c r="EN15" s="516"/>
      <c r="EO15" s="518"/>
      <c r="EP15" s="42"/>
    </row>
    <row r="16" spans="1:146">
      <c r="D16" s="32" t="s">
        <v>15</v>
      </c>
      <c r="E16" s="4607">
        <v>1</v>
      </c>
      <c r="F16" s="4607"/>
      <c r="G16" s="4607"/>
      <c r="H16" s="4607">
        <v>14</v>
      </c>
      <c r="I16" s="4607"/>
      <c r="J16" s="4583"/>
      <c r="K16" s="4583"/>
      <c r="L16" s="4583"/>
      <c r="M16" s="4583"/>
      <c r="N16" s="4583">
        <v>15</v>
      </c>
      <c r="O16" s="1977">
        <f>+(N13+N14)/(N16-N15)</f>
        <v>0.9285714285714286</v>
      </c>
      <c r="T16" s="37" t="s">
        <v>1240</v>
      </c>
      <c r="U16" s="4803"/>
      <c r="V16" s="4803">
        <v>0</v>
      </c>
      <c r="W16" s="4803">
        <v>4</v>
      </c>
      <c r="X16" s="4803"/>
      <c r="Y16" s="1788"/>
      <c r="Z16" s="1788"/>
      <c r="AA16" s="1788">
        <v>4</v>
      </c>
      <c r="AD16" s="41"/>
      <c r="AE16" s="41"/>
      <c r="AF16" s="461"/>
      <c r="AG16" s="461" t="s">
        <v>1240</v>
      </c>
      <c r="AH16" s="2002"/>
      <c r="AI16" s="2002"/>
      <c r="AJ16" s="2002">
        <v>0</v>
      </c>
      <c r="AK16" s="2002">
        <v>15</v>
      </c>
      <c r="AL16" s="2002"/>
      <c r="AM16" s="2480"/>
      <c r="AN16" s="2480"/>
      <c r="AO16" s="2480"/>
      <c r="AP16" s="2480">
        <v>15</v>
      </c>
      <c r="AQ16" s="41"/>
      <c r="AS16" s="42"/>
      <c r="AT16" s="42"/>
      <c r="AU16" s="42"/>
      <c r="AV16" s="42" t="s">
        <v>1235</v>
      </c>
      <c r="AW16" s="1993">
        <v>0</v>
      </c>
      <c r="AX16" s="1993"/>
      <c r="AY16" s="1993">
        <v>0</v>
      </c>
      <c r="AZ16" s="1993">
        <v>2</v>
      </c>
      <c r="BA16" s="70"/>
      <c r="BB16" s="70"/>
      <c r="BC16" s="70">
        <v>2</v>
      </c>
      <c r="BF16" s="105"/>
      <c r="BI16" s="41" t="s">
        <v>1235</v>
      </c>
      <c r="BJ16" s="1659">
        <v>0</v>
      </c>
      <c r="BK16" s="1659">
        <v>0</v>
      </c>
      <c r="BL16" s="1659">
        <v>2</v>
      </c>
      <c r="BM16" s="1659"/>
      <c r="BN16" s="105"/>
      <c r="BO16" s="105"/>
      <c r="BP16" s="105">
        <v>2</v>
      </c>
      <c r="BS16" s="1341"/>
      <c r="BT16" s="1341"/>
      <c r="BU16" s="1341"/>
      <c r="BV16" s="1342" t="s">
        <v>1240</v>
      </c>
      <c r="BW16" s="1343"/>
      <c r="BX16" s="1343"/>
      <c r="BY16" s="1343"/>
      <c r="BZ16" s="1344">
        <v>6</v>
      </c>
      <c r="CA16" s="1343"/>
      <c r="CB16" s="1345"/>
      <c r="CC16" s="1346">
        <v>6</v>
      </c>
      <c r="CD16" s="1337"/>
      <c r="CF16" s="497"/>
      <c r="CG16" s="497"/>
      <c r="CH16" s="498"/>
      <c r="CI16" s="499" t="s">
        <v>1235</v>
      </c>
      <c r="CJ16" s="500">
        <v>0</v>
      </c>
      <c r="CK16" s="500">
        <v>0</v>
      </c>
      <c r="CL16" s="500">
        <v>1</v>
      </c>
      <c r="CM16" s="501"/>
      <c r="CN16" s="497"/>
      <c r="CO16" s="502">
        <v>1</v>
      </c>
      <c r="CP16" s="41"/>
      <c r="CR16" s="503"/>
      <c r="CS16" s="503"/>
      <c r="CT16" s="504"/>
      <c r="CU16" s="505" t="s">
        <v>1235</v>
      </c>
      <c r="CV16" s="506">
        <v>0</v>
      </c>
      <c r="CW16" s="507"/>
      <c r="CX16" s="506">
        <v>3</v>
      </c>
      <c r="CY16" s="506">
        <v>0</v>
      </c>
      <c r="CZ16" s="508"/>
      <c r="DA16" s="508"/>
      <c r="DB16" s="509">
        <v>3</v>
      </c>
      <c r="DC16" s="510"/>
      <c r="DE16" s="511"/>
      <c r="DF16" s="511"/>
      <c r="DG16" s="511"/>
      <c r="DH16" s="532" t="s">
        <v>15</v>
      </c>
      <c r="DI16" s="534">
        <v>1</v>
      </c>
      <c r="DJ16" s="533"/>
      <c r="DK16" s="534">
        <v>9</v>
      </c>
      <c r="DL16" s="533"/>
      <c r="DM16" s="533"/>
      <c r="DN16" s="534">
        <v>10</v>
      </c>
      <c r="DO16" s="535">
        <f>+(DN15+DN14)/DN16</f>
        <v>0.8</v>
      </c>
      <c r="DQ16" s="70"/>
      <c r="DR16" s="70" t="s">
        <v>104</v>
      </c>
      <c r="DS16" s="42" t="s">
        <v>105</v>
      </c>
      <c r="DT16" s="42" t="s">
        <v>1230</v>
      </c>
      <c r="DU16" s="70">
        <v>0</v>
      </c>
      <c r="DV16" s="70">
        <v>0</v>
      </c>
      <c r="DW16" s="70">
        <v>0</v>
      </c>
      <c r="DX16" s="70">
        <v>0</v>
      </c>
      <c r="DY16" s="70">
        <v>29</v>
      </c>
      <c r="DZ16" s="70">
        <v>29</v>
      </c>
      <c r="EA16" s="42"/>
      <c r="EB16" s="42"/>
      <c r="EC16" s="516"/>
      <c r="ED16" s="517"/>
      <c r="EE16" s="516"/>
      <c r="EF16" s="516" t="s">
        <v>1240</v>
      </c>
      <c r="EG16" s="516">
        <v>0</v>
      </c>
      <c r="EH16" s="516">
        <v>0</v>
      </c>
      <c r="EI16" s="516">
        <v>0</v>
      </c>
      <c r="EJ16" s="516">
        <v>1</v>
      </c>
      <c r="EK16" s="516">
        <v>20</v>
      </c>
      <c r="EL16" s="516">
        <v>0</v>
      </c>
      <c r="EM16" s="516">
        <v>21</v>
      </c>
      <c r="EN16" s="516"/>
      <c r="EO16" s="518"/>
      <c r="EP16" s="42"/>
    </row>
    <row r="17" spans="2:146">
      <c r="B17" s="4798" t="s">
        <v>21</v>
      </c>
      <c r="C17" s="4798" t="s">
        <v>847</v>
      </c>
      <c r="D17" s="4798" t="s">
        <v>1231</v>
      </c>
      <c r="E17" s="4606"/>
      <c r="F17" s="4606"/>
      <c r="G17" s="4606">
        <v>1</v>
      </c>
      <c r="H17" s="4606">
        <v>1</v>
      </c>
      <c r="I17" s="4606"/>
      <c r="J17" s="2552"/>
      <c r="K17" s="2552"/>
      <c r="L17" s="2552"/>
      <c r="M17" s="2552"/>
      <c r="N17" s="2552">
        <v>2</v>
      </c>
      <c r="T17" s="1793" t="s">
        <v>15</v>
      </c>
      <c r="U17" s="4804"/>
      <c r="V17" s="4804">
        <v>1</v>
      </c>
      <c r="W17" s="4804">
        <v>5</v>
      </c>
      <c r="X17" s="4804"/>
      <c r="Y17" s="4702"/>
      <c r="Z17" s="4702"/>
      <c r="AA17" s="4702">
        <v>6</v>
      </c>
      <c r="AB17" s="4703">
        <f>+AA16/AA17</f>
        <v>0.66666666666666663</v>
      </c>
      <c r="AD17" s="41"/>
      <c r="AE17" s="41"/>
      <c r="AF17" s="461"/>
      <c r="AG17" s="461" t="s">
        <v>1323</v>
      </c>
      <c r="AH17" s="2002"/>
      <c r="AI17" s="2002"/>
      <c r="AJ17" s="2002">
        <v>0</v>
      </c>
      <c r="AK17" s="2002">
        <v>2</v>
      </c>
      <c r="AL17" s="2002"/>
      <c r="AM17" s="2480"/>
      <c r="AN17" s="2480"/>
      <c r="AO17" s="2480"/>
      <c r="AP17" s="2480">
        <v>2</v>
      </c>
      <c r="AQ17" s="41"/>
      <c r="AS17" s="42"/>
      <c r="AT17" s="42"/>
      <c r="AU17" s="42"/>
      <c r="AV17" s="42" t="s">
        <v>1240</v>
      </c>
      <c r="AW17" s="1993">
        <v>0</v>
      </c>
      <c r="AX17" s="1993"/>
      <c r="AY17" s="1993">
        <v>1</v>
      </c>
      <c r="AZ17" s="1993">
        <v>5</v>
      </c>
      <c r="BA17" s="70"/>
      <c r="BB17" s="70"/>
      <c r="BC17" s="70">
        <v>6</v>
      </c>
      <c r="BF17" s="105"/>
      <c r="BI17" s="41" t="s">
        <v>1240</v>
      </c>
      <c r="BJ17" s="1659">
        <v>0</v>
      </c>
      <c r="BK17" s="1659">
        <v>0</v>
      </c>
      <c r="BL17" s="1659">
        <v>14</v>
      </c>
      <c r="BM17" s="1659"/>
      <c r="BN17" s="105"/>
      <c r="BO17" s="105"/>
      <c r="BP17" s="105">
        <v>14</v>
      </c>
      <c r="BS17" s="1341"/>
      <c r="BT17" s="1341"/>
      <c r="BU17" s="1341"/>
      <c r="BV17" s="1342" t="s">
        <v>1323</v>
      </c>
      <c r="BW17" s="1343"/>
      <c r="BX17" s="1343"/>
      <c r="BY17" s="1343"/>
      <c r="BZ17" s="1344">
        <v>3</v>
      </c>
      <c r="CA17" s="1343"/>
      <c r="CB17" s="1345"/>
      <c r="CC17" s="1346">
        <v>3</v>
      </c>
      <c r="CD17" s="1337"/>
      <c r="CF17" s="497"/>
      <c r="CG17" s="497"/>
      <c r="CH17" s="498"/>
      <c r="CI17" s="499" t="s">
        <v>1240</v>
      </c>
      <c r="CJ17" s="500">
        <v>0</v>
      </c>
      <c r="CK17" s="500">
        <v>0</v>
      </c>
      <c r="CL17" s="500">
        <v>16</v>
      </c>
      <c r="CM17" s="501"/>
      <c r="CN17" s="497"/>
      <c r="CO17" s="502">
        <v>16</v>
      </c>
      <c r="CP17" s="41"/>
      <c r="CR17" s="503"/>
      <c r="CS17" s="503"/>
      <c r="CT17" s="504"/>
      <c r="CU17" s="505" t="s">
        <v>1240</v>
      </c>
      <c r="CV17" s="506">
        <v>0</v>
      </c>
      <c r="CW17" s="507"/>
      <c r="CX17" s="506">
        <v>3</v>
      </c>
      <c r="CY17" s="506">
        <v>0</v>
      </c>
      <c r="CZ17" s="508"/>
      <c r="DA17" s="508"/>
      <c r="DB17" s="509">
        <v>3</v>
      </c>
      <c r="DC17" s="510"/>
      <c r="DE17" s="511"/>
      <c r="DF17" s="511"/>
      <c r="DQ17" s="70"/>
      <c r="DR17" s="70"/>
      <c r="DS17" s="42"/>
      <c r="DT17" s="42" t="s">
        <v>1231</v>
      </c>
      <c r="DU17" s="70">
        <v>2</v>
      </c>
      <c r="DV17" s="70">
        <v>3</v>
      </c>
      <c r="DW17" s="70">
        <v>5</v>
      </c>
      <c r="DX17" s="70">
        <v>0</v>
      </c>
      <c r="DY17" s="70">
        <v>0</v>
      </c>
      <c r="DZ17" s="70">
        <v>10</v>
      </c>
      <c r="EA17" s="42"/>
      <c r="EB17" s="42"/>
      <c r="EC17" s="516"/>
      <c r="ED17" s="517"/>
      <c r="EE17" s="516"/>
      <c r="EF17" s="519" t="s">
        <v>15</v>
      </c>
      <c r="EG17" s="519">
        <v>0</v>
      </c>
      <c r="EH17" s="519">
        <v>2</v>
      </c>
      <c r="EI17" s="519">
        <v>5</v>
      </c>
      <c r="EJ17" s="519">
        <v>9</v>
      </c>
      <c r="EK17" s="519">
        <v>24</v>
      </c>
      <c r="EL17" s="519">
        <v>10</v>
      </c>
      <c r="EM17" s="519">
        <v>50</v>
      </c>
      <c r="EN17" s="520">
        <f>+(EM16+EM13)/EM17</f>
        <v>0.44</v>
      </c>
      <c r="EO17" s="518">
        <f>+EM13+EM16</f>
        <v>22</v>
      </c>
      <c r="EP17" s="42"/>
    </row>
    <row r="18" spans="2:146">
      <c r="D18" s="4798" t="s">
        <v>1235</v>
      </c>
      <c r="E18" s="4606"/>
      <c r="F18" s="4606"/>
      <c r="G18" s="4606">
        <v>0</v>
      </c>
      <c r="H18" s="4606">
        <v>1</v>
      </c>
      <c r="I18" s="4606"/>
      <c r="J18" s="2552"/>
      <c r="K18" s="2552"/>
      <c r="L18" s="2552"/>
      <c r="M18" s="2552"/>
      <c r="N18" s="2552">
        <v>1</v>
      </c>
      <c r="S18" s="37" t="s">
        <v>1637</v>
      </c>
      <c r="T18" s="37" t="s">
        <v>1231</v>
      </c>
      <c r="U18" s="4803"/>
      <c r="V18" s="4803"/>
      <c r="W18" s="4803">
        <v>7</v>
      </c>
      <c r="X18" s="4803"/>
      <c r="Y18" s="1788"/>
      <c r="Z18" s="1788"/>
      <c r="AA18" s="1788">
        <v>7</v>
      </c>
      <c r="AD18" s="41"/>
      <c r="AE18" s="41"/>
      <c r="AF18" s="461"/>
      <c r="AG18" s="461" t="s">
        <v>545</v>
      </c>
      <c r="AH18" s="2002"/>
      <c r="AI18" s="2002"/>
      <c r="AJ18" s="2002">
        <v>2</v>
      </c>
      <c r="AK18" s="2002">
        <v>18</v>
      </c>
      <c r="AL18" s="2002"/>
      <c r="AM18" s="2480"/>
      <c r="AN18" s="2480"/>
      <c r="AO18" s="2480"/>
      <c r="AP18" s="2480">
        <v>20</v>
      </c>
      <c r="AQ18" s="635">
        <f>+(AP17+AP16+AP15)/AP18</f>
        <v>0.9</v>
      </c>
      <c r="AS18" s="42"/>
      <c r="AT18" s="42"/>
      <c r="AU18" s="42"/>
      <c r="AV18" s="42" t="s">
        <v>2531</v>
      </c>
      <c r="AW18" s="1993">
        <v>0</v>
      </c>
      <c r="AX18" s="1993"/>
      <c r="AY18" s="1993">
        <v>0</v>
      </c>
      <c r="AZ18" s="1993">
        <v>1</v>
      </c>
      <c r="BA18" s="70"/>
      <c r="BB18" s="70"/>
      <c r="BC18" s="70">
        <v>1</v>
      </c>
      <c r="BF18" s="105"/>
      <c r="BI18" s="41" t="s">
        <v>1323</v>
      </c>
      <c r="BJ18" s="1659">
        <v>0</v>
      </c>
      <c r="BK18" s="1659">
        <v>0</v>
      </c>
      <c r="BL18" s="1659">
        <v>7</v>
      </c>
      <c r="BM18" s="1659"/>
      <c r="BN18" s="105"/>
      <c r="BO18" s="105"/>
      <c r="BP18" s="105">
        <v>7</v>
      </c>
      <c r="BS18" s="1341"/>
      <c r="BT18" s="1341"/>
      <c r="BU18" s="1341"/>
      <c r="BV18" s="1336" t="s">
        <v>545</v>
      </c>
      <c r="BW18" s="1347"/>
      <c r="BX18" s="1347"/>
      <c r="BY18" s="1347"/>
      <c r="BZ18" s="1348">
        <v>18</v>
      </c>
      <c r="CA18" s="1347"/>
      <c r="CB18" s="1349"/>
      <c r="CC18" s="1350">
        <v>18</v>
      </c>
      <c r="CD18" s="1325">
        <f>+(CC15+CC16+CC17)/CC18</f>
        <v>0.72222222222222221</v>
      </c>
      <c r="CF18" s="497"/>
      <c r="CG18" s="497"/>
      <c r="CH18" s="498"/>
      <c r="CI18" s="499" t="s">
        <v>1323</v>
      </c>
      <c r="CJ18" s="500">
        <v>0</v>
      </c>
      <c r="CK18" s="500">
        <v>0</v>
      </c>
      <c r="CL18" s="500">
        <v>4</v>
      </c>
      <c r="CM18" s="501"/>
      <c r="CN18" s="497"/>
      <c r="CO18" s="502">
        <v>4</v>
      </c>
      <c r="CP18" s="41"/>
      <c r="CR18" s="503"/>
      <c r="CS18" s="503"/>
      <c r="CT18" s="504"/>
      <c r="CU18" s="505" t="s">
        <v>1323</v>
      </c>
      <c r="CV18" s="506">
        <v>0</v>
      </c>
      <c r="CW18" s="507"/>
      <c r="CX18" s="506">
        <v>5</v>
      </c>
      <c r="CY18" s="506">
        <v>0</v>
      </c>
      <c r="CZ18" s="508"/>
      <c r="DA18" s="508"/>
      <c r="DB18" s="509">
        <v>5</v>
      </c>
      <c r="DC18" s="510"/>
      <c r="DE18" s="511"/>
      <c r="DF18" s="511"/>
      <c r="DQ18" s="70"/>
      <c r="DR18" s="70"/>
      <c r="DS18" s="42"/>
      <c r="DT18" s="42" t="s">
        <v>1233</v>
      </c>
      <c r="DU18" s="70">
        <v>0</v>
      </c>
      <c r="DV18" s="70">
        <v>1</v>
      </c>
      <c r="DW18" s="70">
        <v>0</v>
      </c>
      <c r="DX18" s="70">
        <v>0</v>
      </c>
      <c r="DY18" s="70">
        <v>0</v>
      </c>
      <c r="DZ18" s="70">
        <v>1</v>
      </c>
      <c r="EA18" s="42"/>
      <c r="EB18" s="42"/>
      <c r="EC18" s="516" t="s">
        <v>25</v>
      </c>
      <c r="ED18" s="517" t="s">
        <v>16</v>
      </c>
      <c r="EE18" s="516" t="s">
        <v>107</v>
      </c>
      <c r="EF18" s="516" t="s">
        <v>1231</v>
      </c>
      <c r="EG18" s="516">
        <v>0</v>
      </c>
      <c r="EH18" s="516">
        <v>3</v>
      </c>
      <c r="EI18" s="516">
        <v>28</v>
      </c>
      <c r="EJ18" s="516">
        <v>66</v>
      </c>
      <c r="EK18" s="516">
        <v>0</v>
      </c>
      <c r="EL18" s="516">
        <v>0</v>
      </c>
      <c r="EM18" s="516">
        <v>97</v>
      </c>
      <c r="EN18" s="516"/>
      <c r="EO18" s="518"/>
      <c r="EP18" s="42"/>
    </row>
    <row r="19" spans="2:146">
      <c r="D19" s="4798" t="s">
        <v>1240</v>
      </c>
      <c r="E19" s="4606"/>
      <c r="F19" s="4606"/>
      <c r="G19" s="4606">
        <v>0</v>
      </c>
      <c r="H19" s="4606">
        <v>3</v>
      </c>
      <c r="I19" s="4606"/>
      <c r="J19" s="2552"/>
      <c r="K19" s="2552"/>
      <c r="L19" s="2552"/>
      <c r="M19" s="2552"/>
      <c r="N19" s="2552">
        <v>3</v>
      </c>
      <c r="T19" s="1793" t="s">
        <v>15</v>
      </c>
      <c r="U19" s="4804"/>
      <c r="V19" s="4804"/>
      <c r="W19" s="4804">
        <v>7</v>
      </c>
      <c r="X19" s="4804"/>
      <c r="Y19" s="4702"/>
      <c r="Z19" s="4702"/>
      <c r="AA19" s="4702">
        <v>7</v>
      </c>
      <c r="AB19" s="4703">
        <v>0</v>
      </c>
      <c r="AD19" s="41"/>
      <c r="AE19" s="41" t="s">
        <v>21</v>
      </c>
      <c r="AF19" s="41" t="s">
        <v>847</v>
      </c>
      <c r="AG19" s="41" t="s">
        <v>1231</v>
      </c>
      <c r="AH19" s="2001"/>
      <c r="AI19" s="2001"/>
      <c r="AJ19" s="2001"/>
      <c r="AK19" s="2001">
        <v>3</v>
      </c>
      <c r="AL19" s="2001"/>
      <c r="AM19" s="105"/>
      <c r="AN19" s="105"/>
      <c r="AO19" s="105"/>
      <c r="AP19" s="105">
        <v>3</v>
      </c>
      <c r="AQ19" s="41"/>
      <c r="AS19" s="42"/>
      <c r="AT19" s="42"/>
      <c r="AU19" s="42"/>
      <c r="AV19" s="484" t="s">
        <v>15</v>
      </c>
      <c r="AW19" s="1994">
        <v>1</v>
      </c>
      <c r="AX19" s="1994"/>
      <c r="AY19" s="1994">
        <v>1</v>
      </c>
      <c r="AZ19" s="1994">
        <v>8</v>
      </c>
      <c r="BA19" s="454"/>
      <c r="BB19" s="454"/>
      <c r="BC19" s="454">
        <v>10</v>
      </c>
      <c r="BD19" s="1977">
        <f>+(BC16+BC17)/BC19</f>
        <v>0.8</v>
      </c>
      <c r="BF19" s="105"/>
      <c r="BI19" s="461" t="s">
        <v>545</v>
      </c>
      <c r="BJ19" s="1660">
        <v>4</v>
      </c>
      <c r="BK19" s="1660">
        <v>1</v>
      </c>
      <c r="BL19" s="1660">
        <v>25</v>
      </c>
      <c r="BM19" s="1660"/>
      <c r="BN19" s="96"/>
      <c r="BO19" s="96"/>
      <c r="BP19" s="96">
        <v>30</v>
      </c>
      <c r="BQ19" s="635">
        <f>+(BP16+BP17+BP18)/BP19</f>
        <v>0.76666666666666672</v>
      </c>
      <c r="BS19" s="1341"/>
      <c r="BT19" s="1341" t="s">
        <v>104</v>
      </c>
      <c r="BU19" s="1341" t="s">
        <v>105</v>
      </c>
      <c r="BV19" s="1342" t="s">
        <v>1231</v>
      </c>
      <c r="BW19" s="1344">
        <v>0</v>
      </c>
      <c r="BX19" s="1343"/>
      <c r="BY19" s="1343"/>
      <c r="BZ19" s="1344">
        <v>10</v>
      </c>
      <c r="CA19" s="1343"/>
      <c r="CB19" s="1345"/>
      <c r="CC19" s="1346">
        <v>10</v>
      </c>
      <c r="CD19" s="1337"/>
      <c r="CF19" s="497"/>
      <c r="CG19" s="497"/>
      <c r="CH19" s="498"/>
      <c r="CI19" s="521" t="s">
        <v>545</v>
      </c>
      <c r="CJ19" s="522">
        <v>2</v>
      </c>
      <c r="CK19" s="522">
        <v>2</v>
      </c>
      <c r="CL19" s="522">
        <v>25</v>
      </c>
      <c r="CM19" s="523"/>
      <c r="CN19" s="524"/>
      <c r="CO19" s="525">
        <v>29</v>
      </c>
      <c r="CP19" s="526">
        <f>+(CO16+CO17+CO18)/CO19</f>
        <v>0.72413793103448276</v>
      </c>
      <c r="CR19" s="503"/>
      <c r="CS19" s="503"/>
      <c r="CT19" s="504"/>
      <c r="CU19" s="527" t="s">
        <v>545</v>
      </c>
      <c r="CV19" s="528">
        <v>1</v>
      </c>
      <c r="CW19" s="529"/>
      <c r="CX19" s="528">
        <v>15</v>
      </c>
      <c r="CY19" s="528">
        <v>1</v>
      </c>
      <c r="CZ19" s="530"/>
      <c r="DA19" s="530"/>
      <c r="DB19" s="531">
        <v>17</v>
      </c>
      <c r="DC19" s="510">
        <f>+(DB18+DB17+DB16)/DB19</f>
        <v>0.6470588235294118</v>
      </c>
      <c r="DE19" s="511"/>
      <c r="DF19" s="511"/>
      <c r="DQ19" s="70"/>
      <c r="DR19" s="70"/>
      <c r="DS19" s="42"/>
      <c r="DT19" s="42" t="s">
        <v>1235</v>
      </c>
      <c r="DU19" s="70">
        <v>0</v>
      </c>
      <c r="DV19" s="70">
        <v>0</v>
      </c>
      <c r="DW19" s="70">
        <v>1</v>
      </c>
      <c r="DX19" s="70">
        <v>7</v>
      </c>
      <c r="DY19" s="70">
        <v>0</v>
      </c>
      <c r="DZ19" s="70">
        <v>8</v>
      </c>
      <c r="EA19" s="42"/>
      <c r="EB19" s="42"/>
      <c r="EC19" s="516"/>
      <c r="ED19" s="517"/>
      <c r="EE19" s="516"/>
      <c r="EF19" s="516" t="s">
        <v>1235</v>
      </c>
      <c r="EG19" s="516">
        <v>0</v>
      </c>
      <c r="EH19" s="516">
        <v>0</v>
      </c>
      <c r="EI19" s="516">
        <v>0</v>
      </c>
      <c r="EJ19" s="516">
        <v>2</v>
      </c>
      <c r="EK19" s="516">
        <v>1</v>
      </c>
      <c r="EL19" s="516">
        <v>0</v>
      </c>
      <c r="EM19" s="516">
        <v>3</v>
      </c>
      <c r="EN19" s="516"/>
      <c r="EO19" s="518"/>
      <c r="EP19" s="42"/>
    </row>
    <row r="20" spans="2:146">
      <c r="D20" s="32" t="s">
        <v>15</v>
      </c>
      <c r="E20" s="4607"/>
      <c r="F20" s="4607"/>
      <c r="G20" s="4607">
        <v>1</v>
      </c>
      <c r="H20" s="4607">
        <v>5</v>
      </c>
      <c r="I20" s="4607"/>
      <c r="J20" s="4583"/>
      <c r="K20" s="4583"/>
      <c r="L20" s="4583"/>
      <c r="M20" s="4583"/>
      <c r="N20" s="4583">
        <v>6</v>
      </c>
      <c r="O20" s="1977">
        <f>+(N18+N19)/N20</f>
        <v>0.66666666666666663</v>
      </c>
      <c r="S20" s="1793" t="s">
        <v>546</v>
      </c>
      <c r="T20" s="1793" t="s">
        <v>1231</v>
      </c>
      <c r="U20" s="4804"/>
      <c r="V20" s="4804">
        <v>1</v>
      </c>
      <c r="W20" s="4804">
        <v>8</v>
      </c>
      <c r="X20" s="4804"/>
      <c r="Y20" s="4702"/>
      <c r="Z20" s="4702"/>
      <c r="AA20" s="4702">
        <v>9</v>
      </c>
      <c r="AB20" s="4703"/>
      <c r="AD20" s="41"/>
      <c r="AE20" s="41"/>
      <c r="AF20" s="41"/>
      <c r="AG20" s="41" t="s">
        <v>1235</v>
      </c>
      <c r="AH20" s="2001"/>
      <c r="AI20" s="2001"/>
      <c r="AJ20" s="2001"/>
      <c r="AK20" s="2001">
        <v>2</v>
      </c>
      <c r="AL20" s="2001"/>
      <c r="AM20" s="105"/>
      <c r="AN20" s="105"/>
      <c r="AO20" s="105"/>
      <c r="AP20" s="105">
        <v>2</v>
      </c>
      <c r="AQ20" s="41"/>
      <c r="AS20" s="42"/>
      <c r="AT20" s="42"/>
      <c r="AU20" s="42" t="s">
        <v>546</v>
      </c>
      <c r="AV20" s="42" t="s">
        <v>1233</v>
      </c>
      <c r="AW20" s="1993">
        <v>1</v>
      </c>
      <c r="AX20" s="1993"/>
      <c r="AY20" s="1993">
        <v>0</v>
      </c>
      <c r="AZ20" s="1993">
        <v>0</v>
      </c>
      <c r="BA20" s="70"/>
      <c r="BB20" s="70"/>
      <c r="BC20" s="70">
        <v>1</v>
      </c>
      <c r="BF20" s="105"/>
      <c r="BH20" s="41" t="s">
        <v>106</v>
      </c>
      <c r="BI20" s="41" t="s">
        <v>1231</v>
      </c>
      <c r="BJ20" s="1659">
        <v>4</v>
      </c>
      <c r="BK20" s="1659">
        <v>1</v>
      </c>
      <c r="BL20" s="1659">
        <v>2</v>
      </c>
      <c r="BM20" s="1659"/>
      <c r="BN20" s="105"/>
      <c r="BO20" s="105"/>
      <c r="BP20" s="105">
        <v>7</v>
      </c>
      <c r="BS20" s="1341"/>
      <c r="BT20" s="1341"/>
      <c r="BU20" s="1341"/>
      <c r="BV20" s="1342" t="s">
        <v>1865</v>
      </c>
      <c r="BW20" s="1344">
        <v>4</v>
      </c>
      <c r="BX20" s="1343"/>
      <c r="BY20" s="1343"/>
      <c r="BZ20" s="1344">
        <v>0</v>
      </c>
      <c r="CA20" s="1343"/>
      <c r="CB20" s="1345"/>
      <c r="CC20" s="1346">
        <v>4</v>
      </c>
      <c r="CD20" s="1337"/>
      <c r="CF20" s="497"/>
      <c r="CG20" s="497"/>
      <c r="CH20" s="498" t="s">
        <v>106</v>
      </c>
      <c r="CI20" s="499" t="s">
        <v>1231</v>
      </c>
      <c r="CJ20" s="500">
        <v>2</v>
      </c>
      <c r="CK20" s="500">
        <v>2</v>
      </c>
      <c r="CL20" s="500">
        <v>4</v>
      </c>
      <c r="CM20" s="501"/>
      <c r="CN20" s="497"/>
      <c r="CO20" s="502">
        <v>8</v>
      </c>
      <c r="CP20" s="41"/>
      <c r="CR20" s="503"/>
      <c r="CS20" s="503" t="s">
        <v>104</v>
      </c>
      <c r="CT20" s="504" t="s">
        <v>105</v>
      </c>
      <c r="CU20" s="505" t="s">
        <v>1230</v>
      </c>
      <c r="CV20" s="506">
        <v>0</v>
      </c>
      <c r="CW20" s="506">
        <v>0</v>
      </c>
      <c r="CX20" s="506">
        <v>0</v>
      </c>
      <c r="CY20" s="506">
        <v>0</v>
      </c>
      <c r="CZ20" s="509">
        <v>29</v>
      </c>
      <c r="DA20" s="508"/>
      <c r="DB20" s="509">
        <v>29</v>
      </c>
      <c r="DC20" s="510"/>
      <c r="DE20" s="511"/>
      <c r="DF20" s="511"/>
      <c r="DQ20" s="70"/>
      <c r="DR20" s="70"/>
      <c r="DS20" s="42"/>
      <c r="DT20" s="42" t="s">
        <v>1239</v>
      </c>
      <c r="DU20" s="70">
        <v>0</v>
      </c>
      <c r="DV20" s="70">
        <v>0</v>
      </c>
      <c r="DW20" s="70">
        <v>0</v>
      </c>
      <c r="DX20" s="70">
        <v>0</v>
      </c>
      <c r="DY20" s="70">
        <v>1</v>
      </c>
      <c r="DZ20" s="70">
        <v>1</v>
      </c>
      <c r="EA20" s="42"/>
      <c r="EB20" s="42"/>
      <c r="EC20" s="516"/>
      <c r="ED20" s="517"/>
      <c r="EE20" s="516"/>
      <c r="EF20" s="516" t="s">
        <v>1236</v>
      </c>
      <c r="EG20" s="516">
        <v>0</v>
      </c>
      <c r="EH20" s="516">
        <v>0</v>
      </c>
      <c r="EI20" s="516">
        <v>3</v>
      </c>
      <c r="EJ20" s="516">
        <v>1</v>
      </c>
      <c r="EK20" s="516">
        <v>0</v>
      </c>
      <c r="EL20" s="516">
        <v>0</v>
      </c>
      <c r="EM20" s="516">
        <v>4</v>
      </c>
      <c r="EN20" s="516"/>
      <c r="EO20" s="518"/>
      <c r="EP20" s="42"/>
    </row>
    <row r="21" spans="2:146">
      <c r="C21" s="4798" t="s">
        <v>1637</v>
      </c>
      <c r="D21" s="4798" t="s">
        <v>1235</v>
      </c>
      <c r="E21" s="4606">
        <v>0</v>
      </c>
      <c r="F21" s="4606"/>
      <c r="G21" s="4606"/>
      <c r="H21" s="4606">
        <v>3</v>
      </c>
      <c r="I21" s="4606"/>
      <c r="J21" s="2552"/>
      <c r="K21" s="2552"/>
      <c r="L21" s="2552"/>
      <c r="M21" s="2552"/>
      <c r="N21" s="2552">
        <v>3</v>
      </c>
      <c r="S21" s="1793"/>
      <c r="T21" s="1793" t="s">
        <v>1240</v>
      </c>
      <c r="U21" s="4804"/>
      <c r="V21" s="4804">
        <v>0</v>
      </c>
      <c r="W21" s="4804">
        <v>4</v>
      </c>
      <c r="X21" s="4804"/>
      <c r="Y21" s="4702"/>
      <c r="Z21" s="4702"/>
      <c r="AA21" s="4702">
        <v>4</v>
      </c>
      <c r="AB21" s="4703"/>
      <c r="AD21" s="41"/>
      <c r="AE21" s="41"/>
      <c r="AF21" s="41"/>
      <c r="AG21" s="461" t="s">
        <v>15</v>
      </c>
      <c r="AH21" s="2002"/>
      <c r="AI21" s="2002"/>
      <c r="AJ21" s="2002"/>
      <c r="AK21" s="2002">
        <v>5</v>
      </c>
      <c r="AL21" s="2002"/>
      <c r="AM21" s="2480"/>
      <c r="AN21" s="2480"/>
      <c r="AO21" s="2480"/>
      <c r="AP21" s="2480">
        <v>5</v>
      </c>
      <c r="AQ21" s="635">
        <f>+AP20/AP21</f>
        <v>0.4</v>
      </c>
      <c r="AS21" s="42"/>
      <c r="AT21" s="42"/>
      <c r="AU21" s="42"/>
      <c r="AV21" s="42" t="s">
        <v>1235</v>
      </c>
      <c r="AW21" s="1993">
        <v>0</v>
      </c>
      <c r="AX21" s="1993"/>
      <c r="AY21" s="1993">
        <v>0</v>
      </c>
      <c r="AZ21" s="1993">
        <v>2</v>
      </c>
      <c r="BA21" s="70"/>
      <c r="BB21" s="70"/>
      <c r="BC21" s="70">
        <v>2</v>
      </c>
      <c r="BF21" s="105"/>
      <c r="BI21" s="41" t="s">
        <v>1235</v>
      </c>
      <c r="BJ21" s="1659">
        <v>0</v>
      </c>
      <c r="BK21" s="1659">
        <v>0</v>
      </c>
      <c r="BL21" s="1659">
        <v>2</v>
      </c>
      <c r="BM21" s="1659"/>
      <c r="BN21" s="105"/>
      <c r="BO21" s="105"/>
      <c r="BP21" s="105">
        <v>2</v>
      </c>
      <c r="BS21" s="1341"/>
      <c r="BT21" s="1341"/>
      <c r="BU21" s="1341"/>
      <c r="BV21" s="1336" t="s">
        <v>15</v>
      </c>
      <c r="BW21" s="1348">
        <v>4</v>
      </c>
      <c r="BX21" s="1347"/>
      <c r="BY21" s="1347"/>
      <c r="BZ21" s="1348">
        <v>10</v>
      </c>
      <c r="CA21" s="1347"/>
      <c r="CB21" s="1349"/>
      <c r="CC21" s="1350">
        <v>14</v>
      </c>
      <c r="CD21" s="1325">
        <v>0</v>
      </c>
      <c r="CF21" s="497"/>
      <c r="CG21" s="497"/>
      <c r="CH21" s="498"/>
      <c r="CI21" s="499" t="s">
        <v>1235</v>
      </c>
      <c r="CJ21" s="500">
        <v>0</v>
      </c>
      <c r="CK21" s="500">
        <v>0</v>
      </c>
      <c r="CL21" s="500">
        <v>1</v>
      </c>
      <c r="CM21" s="501"/>
      <c r="CN21" s="497"/>
      <c r="CO21" s="502">
        <v>1</v>
      </c>
      <c r="CP21" s="41"/>
      <c r="CR21" s="503"/>
      <c r="CS21" s="503"/>
      <c r="CT21" s="504"/>
      <c r="CU21" s="505" t="s">
        <v>1231</v>
      </c>
      <c r="CV21" s="506">
        <v>6</v>
      </c>
      <c r="CW21" s="506">
        <v>2</v>
      </c>
      <c r="CX21" s="506">
        <v>6</v>
      </c>
      <c r="CY21" s="506">
        <v>1</v>
      </c>
      <c r="CZ21" s="509">
        <v>0</v>
      </c>
      <c r="DA21" s="508"/>
      <c r="DB21" s="509">
        <v>15</v>
      </c>
      <c r="DC21" s="510"/>
      <c r="DE21" s="511"/>
      <c r="DF21" s="511"/>
      <c r="DQ21" s="70"/>
      <c r="DR21" s="70"/>
      <c r="DS21" s="42"/>
      <c r="DT21" s="42" t="s">
        <v>1240</v>
      </c>
      <c r="DU21" s="70">
        <v>0</v>
      </c>
      <c r="DV21" s="70">
        <v>0</v>
      </c>
      <c r="DW21" s="70">
        <v>1</v>
      </c>
      <c r="DX21" s="70">
        <v>20</v>
      </c>
      <c r="DY21" s="70">
        <v>0</v>
      </c>
      <c r="DZ21" s="70">
        <v>21</v>
      </c>
      <c r="EA21" s="42"/>
      <c r="EB21" s="42"/>
      <c r="EC21" s="516"/>
      <c r="ED21" s="517"/>
      <c r="EE21" s="516"/>
      <c r="EF21" s="516" t="s">
        <v>1240</v>
      </c>
      <c r="EG21" s="516">
        <v>0</v>
      </c>
      <c r="EH21" s="516">
        <v>0</v>
      </c>
      <c r="EI21" s="516">
        <v>0</v>
      </c>
      <c r="EJ21" s="516">
        <v>5</v>
      </c>
      <c r="EK21" s="516">
        <v>7</v>
      </c>
      <c r="EL21" s="516">
        <v>0</v>
      </c>
      <c r="EM21" s="516">
        <v>12</v>
      </c>
      <c r="EN21" s="516"/>
      <c r="EO21" s="518"/>
      <c r="EP21" s="42"/>
    </row>
    <row r="22" spans="2:146">
      <c r="D22" s="4798" t="s">
        <v>1240</v>
      </c>
      <c r="E22" s="4606">
        <v>0</v>
      </c>
      <c r="F22" s="4606"/>
      <c r="G22" s="4606"/>
      <c r="H22" s="4606">
        <v>4</v>
      </c>
      <c r="I22" s="4606"/>
      <c r="J22" s="2552"/>
      <c r="K22" s="2552"/>
      <c r="L22" s="2552"/>
      <c r="M22" s="2552"/>
      <c r="N22" s="2552">
        <v>4</v>
      </c>
      <c r="T22" s="1793" t="s">
        <v>546</v>
      </c>
      <c r="U22" s="4804"/>
      <c r="V22" s="4804">
        <v>1</v>
      </c>
      <c r="W22" s="4804">
        <v>12</v>
      </c>
      <c r="X22" s="4804"/>
      <c r="Y22" s="4702"/>
      <c r="Z22" s="4702"/>
      <c r="AA22" s="4702">
        <v>13</v>
      </c>
      <c r="AB22" s="4703">
        <v>0</v>
      </c>
      <c r="AD22" s="41"/>
      <c r="AE22" s="41"/>
      <c r="AF22" s="41" t="s">
        <v>1637</v>
      </c>
      <c r="AG22" s="41" t="s">
        <v>1231</v>
      </c>
      <c r="AH22" s="2001">
        <v>0</v>
      </c>
      <c r="AI22" s="2001"/>
      <c r="AJ22" s="2001"/>
      <c r="AK22" s="2001">
        <v>5</v>
      </c>
      <c r="AL22" s="2001">
        <v>2</v>
      </c>
      <c r="AM22" s="105"/>
      <c r="AN22" s="105"/>
      <c r="AO22" s="105"/>
      <c r="AP22" s="105">
        <v>7</v>
      </c>
      <c r="AQ22" s="41"/>
      <c r="AS22" s="42"/>
      <c r="AT22" s="42"/>
      <c r="AU22" s="42"/>
      <c r="AV22" s="42" t="s">
        <v>1240</v>
      </c>
      <c r="AW22" s="1993">
        <v>0</v>
      </c>
      <c r="AX22" s="1993"/>
      <c r="AY22" s="1993">
        <v>1</v>
      </c>
      <c r="AZ22" s="1993">
        <v>5</v>
      </c>
      <c r="BA22" s="70"/>
      <c r="BB22" s="70"/>
      <c r="BC22" s="70">
        <v>6</v>
      </c>
      <c r="BF22" s="105"/>
      <c r="BI22" s="41" t="s">
        <v>1240</v>
      </c>
      <c r="BJ22" s="1659">
        <v>0</v>
      </c>
      <c r="BK22" s="1659">
        <v>0</v>
      </c>
      <c r="BL22" s="1659">
        <v>14</v>
      </c>
      <c r="BM22" s="1659"/>
      <c r="BN22" s="105"/>
      <c r="BO22" s="105"/>
      <c r="BP22" s="105">
        <v>14</v>
      </c>
      <c r="BS22" s="1341"/>
      <c r="BT22" s="1341"/>
      <c r="BU22" s="1341" t="s">
        <v>1637</v>
      </c>
      <c r="BV22" s="1342" t="s">
        <v>1231</v>
      </c>
      <c r="BW22" s="1343"/>
      <c r="BX22" s="1344">
        <v>1</v>
      </c>
      <c r="BY22" s="1343"/>
      <c r="BZ22" s="1343"/>
      <c r="CA22" s="1343"/>
      <c r="CB22" s="1345"/>
      <c r="CC22" s="1346">
        <v>1</v>
      </c>
      <c r="CD22" s="1337"/>
      <c r="CF22" s="497"/>
      <c r="CG22" s="497"/>
      <c r="CH22" s="498"/>
      <c r="CI22" s="499" t="s">
        <v>1240</v>
      </c>
      <c r="CJ22" s="500">
        <v>0</v>
      </c>
      <c r="CK22" s="500">
        <v>0</v>
      </c>
      <c r="CL22" s="500">
        <v>16</v>
      </c>
      <c r="CM22" s="501"/>
      <c r="CN22" s="497"/>
      <c r="CO22" s="502">
        <v>16</v>
      </c>
      <c r="CP22" s="41"/>
      <c r="CR22" s="503"/>
      <c r="CS22" s="503"/>
      <c r="CT22" s="504"/>
      <c r="CU22" s="505" t="s">
        <v>1233</v>
      </c>
      <c r="CV22" s="506">
        <v>1</v>
      </c>
      <c r="CW22" s="506">
        <v>0</v>
      </c>
      <c r="CX22" s="506">
        <v>1</v>
      </c>
      <c r="CY22" s="506">
        <v>0</v>
      </c>
      <c r="CZ22" s="509">
        <v>0</v>
      </c>
      <c r="DA22" s="508"/>
      <c r="DB22" s="509">
        <v>2</v>
      </c>
      <c r="DC22" s="510"/>
      <c r="DQ22" s="70"/>
      <c r="DR22" s="70"/>
      <c r="DS22" s="42"/>
      <c r="DT22" s="42" t="s">
        <v>1323</v>
      </c>
      <c r="DU22" s="70">
        <v>0</v>
      </c>
      <c r="DV22" s="70">
        <v>0</v>
      </c>
      <c r="DW22" s="70">
        <v>1</v>
      </c>
      <c r="DX22" s="70">
        <v>1</v>
      </c>
      <c r="DY22" s="70">
        <v>0</v>
      </c>
      <c r="DZ22" s="70">
        <v>2</v>
      </c>
      <c r="EA22" s="42"/>
      <c r="EB22" s="42"/>
      <c r="EC22" s="516"/>
      <c r="ED22" s="517"/>
      <c r="EE22" s="516"/>
      <c r="EF22" s="519" t="s">
        <v>15</v>
      </c>
      <c r="EG22" s="519">
        <v>0</v>
      </c>
      <c r="EH22" s="519">
        <v>3</v>
      </c>
      <c r="EI22" s="519">
        <v>31</v>
      </c>
      <c r="EJ22" s="519">
        <v>74</v>
      </c>
      <c r="EK22" s="519">
        <v>8</v>
      </c>
      <c r="EL22" s="519">
        <v>0</v>
      </c>
      <c r="EM22" s="519">
        <v>116</v>
      </c>
      <c r="EN22" s="520">
        <f>+(EM21+EM19)/EM22</f>
        <v>0.12931034482758622</v>
      </c>
      <c r="EO22" s="518">
        <f>+EM19+EM21</f>
        <v>15</v>
      </c>
      <c r="EP22" s="42"/>
    </row>
    <row r="23" spans="2:146">
      <c r="D23" s="4798" t="s">
        <v>2963</v>
      </c>
      <c r="E23" s="4606">
        <v>1</v>
      </c>
      <c r="F23" s="4606"/>
      <c r="G23" s="4606"/>
      <c r="H23" s="4606">
        <v>0</v>
      </c>
      <c r="I23" s="4606"/>
      <c r="J23" s="2552"/>
      <c r="K23" s="2552"/>
      <c r="L23" s="2552"/>
      <c r="M23" s="2552"/>
      <c r="N23" s="2552">
        <v>1</v>
      </c>
      <c r="S23" s="1793" t="s">
        <v>106</v>
      </c>
      <c r="T23" s="37" t="s">
        <v>1231</v>
      </c>
      <c r="U23" s="4803"/>
      <c r="V23" s="4803">
        <v>1</v>
      </c>
      <c r="W23" s="4803">
        <v>9</v>
      </c>
      <c r="X23" s="4803"/>
      <c r="Y23" s="1788"/>
      <c r="Z23" s="1788"/>
      <c r="AA23" s="1788">
        <v>10</v>
      </c>
      <c r="AD23" s="41"/>
      <c r="AE23" s="41"/>
      <c r="AF23" s="41"/>
      <c r="AG23" s="41" t="s">
        <v>1865</v>
      </c>
      <c r="AH23" s="2001">
        <v>1</v>
      </c>
      <c r="AI23" s="2001"/>
      <c r="AJ23" s="2001"/>
      <c r="AK23" s="2001">
        <v>0</v>
      </c>
      <c r="AL23" s="2001">
        <v>0</v>
      </c>
      <c r="AM23" s="105"/>
      <c r="AN23" s="105"/>
      <c r="AO23" s="105"/>
      <c r="AP23" s="105">
        <v>1</v>
      </c>
      <c r="AQ23" s="41"/>
      <c r="AS23" s="42"/>
      <c r="AT23" s="42"/>
      <c r="AU23" s="42"/>
      <c r="AV23" s="42" t="s">
        <v>2531</v>
      </c>
      <c r="AW23" s="1993">
        <v>0</v>
      </c>
      <c r="AX23" s="1993"/>
      <c r="AY23" s="1993">
        <v>0</v>
      </c>
      <c r="AZ23" s="1993">
        <v>1</v>
      </c>
      <c r="BA23" s="70"/>
      <c r="BB23" s="70"/>
      <c r="BC23" s="70">
        <v>1</v>
      </c>
      <c r="BF23" s="105"/>
      <c r="BI23" s="41" t="s">
        <v>1323</v>
      </c>
      <c r="BJ23" s="1659">
        <v>0</v>
      </c>
      <c r="BK23" s="1659">
        <v>0</v>
      </c>
      <c r="BL23" s="1659">
        <v>7</v>
      </c>
      <c r="BM23" s="1659"/>
      <c r="BN23" s="105"/>
      <c r="BO23" s="105"/>
      <c r="BP23" s="105">
        <v>7</v>
      </c>
      <c r="BS23" s="1341"/>
      <c r="BT23" s="1341"/>
      <c r="BU23" s="1341"/>
      <c r="BV23" s="1336" t="s">
        <v>15</v>
      </c>
      <c r="BW23" s="1347"/>
      <c r="BX23" s="1348">
        <v>1</v>
      </c>
      <c r="BY23" s="1347"/>
      <c r="BZ23" s="1347"/>
      <c r="CA23" s="1347"/>
      <c r="CB23" s="1349"/>
      <c r="CC23" s="1350">
        <v>1</v>
      </c>
      <c r="CD23" s="1325">
        <v>0</v>
      </c>
      <c r="CF23" s="497"/>
      <c r="CG23" s="497"/>
      <c r="CH23" s="498"/>
      <c r="CI23" s="499" t="s">
        <v>1323</v>
      </c>
      <c r="CJ23" s="500">
        <v>0</v>
      </c>
      <c r="CK23" s="500">
        <v>0</v>
      </c>
      <c r="CL23" s="500">
        <v>4</v>
      </c>
      <c r="CM23" s="501"/>
      <c r="CN23" s="497"/>
      <c r="CO23" s="502">
        <v>4</v>
      </c>
      <c r="CP23" s="41"/>
      <c r="CR23" s="503"/>
      <c r="CS23" s="503"/>
      <c r="CT23" s="504"/>
      <c r="CU23" s="505" t="s">
        <v>1235</v>
      </c>
      <c r="CV23" s="506">
        <v>0</v>
      </c>
      <c r="CW23" s="506">
        <v>0</v>
      </c>
      <c r="CX23" s="506">
        <v>17</v>
      </c>
      <c r="CY23" s="506">
        <v>0</v>
      </c>
      <c r="CZ23" s="509">
        <v>0</v>
      </c>
      <c r="DA23" s="508"/>
      <c r="DB23" s="509">
        <v>17</v>
      </c>
      <c r="DC23" s="510"/>
      <c r="DQ23" s="70"/>
      <c r="DR23" s="70"/>
      <c r="DS23" s="42"/>
      <c r="DT23" s="484" t="s">
        <v>15</v>
      </c>
      <c r="DU23" s="454">
        <v>2</v>
      </c>
      <c r="DV23" s="454">
        <v>4</v>
      </c>
      <c r="DW23" s="454">
        <v>8</v>
      </c>
      <c r="DX23" s="454">
        <v>28</v>
      </c>
      <c r="DY23" s="454">
        <v>30</v>
      </c>
      <c r="DZ23" s="454">
        <v>72</v>
      </c>
      <c r="EA23" s="536">
        <f>+(DZ19+DZ21+DZ22)/DZ23</f>
        <v>0.43055555555555558</v>
      </c>
      <c r="EB23" s="42"/>
      <c r="EC23" s="516"/>
      <c r="ED23" s="517" t="s">
        <v>41</v>
      </c>
      <c r="EE23" s="516" t="s">
        <v>108</v>
      </c>
      <c r="EF23" s="516" t="s">
        <v>1231</v>
      </c>
      <c r="EG23" s="516">
        <v>0</v>
      </c>
      <c r="EH23" s="516">
        <v>0</v>
      </c>
      <c r="EI23" s="516">
        <v>0</v>
      </c>
      <c r="EJ23" s="516">
        <v>1</v>
      </c>
      <c r="EK23" s="516">
        <v>0</v>
      </c>
      <c r="EL23" s="516">
        <v>0</v>
      </c>
      <c r="EM23" s="516">
        <v>1</v>
      </c>
      <c r="EN23" s="516"/>
      <c r="EO23" s="518"/>
      <c r="EP23" s="42"/>
    </row>
    <row r="24" spans="2:146">
      <c r="D24" s="32" t="s">
        <v>15</v>
      </c>
      <c r="E24" s="4607">
        <v>1</v>
      </c>
      <c r="F24" s="4607"/>
      <c r="G24" s="4607"/>
      <c r="H24" s="4607">
        <v>7</v>
      </c>
      <c r="I24" s="4607"/>
      <c r="J24" s="4583"/>
      <c r="K24" s="4583"/>
      <c r="L24" s="4583"/>
      <c r="M24" s="4583"/>
      <c r="N24" s="4583">
        <v>8</v>
      </c>
      <c r="O24" s="1977">
        <f>+(N21+N22)/(N24-N23)</f>
        <v>1</v>
      </c>
      <c r="T24" s="37" t="s">
        <v>1235</v>
      </c>
      <c r="U24" s="4803"/>
      <c r="V24" s="4803">
        <v>0</v>
      </c>
      <c r="W24" s="4803">
        <v>2</v>
      </c>
      <c r="X24" s="4803"/>
      <c r="Y24" s="1788"/>
      <c r="Z24" s="1788"/>
      <c r="AA24" s="1788">
        <v>2</v>
      </c>
      <c r="AD24" s="41"/>
      <c r="AE24" s="41"/>
      <c r="AF24" s="41"/>
      <c r="AG24" s="461" t="s">
        <v>15</v>
      </c>
      <c r="AH24" s="2002">
        <v>1</v>
      </c>
      <c r="AI24" s="2002"/>
      <c r="AJ24" s="2002"/>
      <c r="AK24" s="2002">
        <v>5</v>
      </c>
      <c r="AL24" s="2002">
        <v>2</v>
      </c>
      <c r="AM24" s="2480"/>
      <c r="AN24" s="2480"/>
      <c r="AO24" s="2480"/>
      <c r="AP24" s="2480">
        <v>8</v>
      </c>
      <c r="AQ24" s="635">
        <v>0</v>
      </c>
      <c r="AS24" s="42"/>
      <c r="AT24" s="42"/>
      <c r="AU24" s="42"/>
      <c r="AV24" s="484" t="s">
        <v>546</v>
      </c>
      <c r="AW24" s="1994">
        <v>1</v>
      </c>
      <c r="AX24" s="1994"/>
      <c r="AY24" s="1994">
        <v>1</v>
      </c>
      <c r="AZ24" s="1994">
        <v>8</v>
      </c>
      <c r="BA24" s="454"/>
      <c r="BB24" s="454"/>
      <c r="BC24" s="454">
        <v>10</v>
      </c>
      <c r="BD24" s="1977">
        <f>+(BC21+BC22)/BC24</f>
        <v>0.8</v>
      </c>
      <c r="BF24" s="105"/>
      <c r="BI24" s="461" t="s">
        <v>106</v>
      </c>
      <c r="BJ24" s="1660">
        <v>4</v>
      </c>
      <c r="BK24" s="1660">
        <v>1</v>
      </c>
      <c r="BL24" s="1660">
        <v>25</v>
      </c>
      <c r="BM24" s="1660"/>
      <c r="BN24" s="96"/>
      <c r="BO24" s="96"/>
      <c r="BP24" s="96">
        <v>30</v>
      </c>
      <c r="BQ24" s="635">
        <f>+(BP21+BP22+BP23)/BP24</f>
        <v>0.76666666666666672</v>
      </c>
      <c r="BS24" s="1341"/>
      <c r="BT24" s="1341"/>
      <c r="BU24" s="1341" t="s">
        <v>844</v>
      </c>
      <c r="BV24" s="1342" t="s">
        <v>1231</v>
      </c>
      <c r="BW24" s="1344">
        <v>0</v>
      </c>
      <c r="BX24" s="1344">
        <v>1</v>
      </c>
      <c r="BY24" s="1343"/>
      <c r="BZ24" s="1344">
        <v>10</v>
      </c>
      <c r="CA24" s="1343"/>
      <c r="CB24" s="1345"/>
      <c r="CC24" s="1346">
        <v>11</v>
      </c>
      <c r="CD24" s="1337"/>
      <c r="CF24" s="497"/>
      <c r="CG24" s="497"/>
      <c r="CH24" s="498"/>
      <c r="CI24" s="521" t="s">
        <v>106</v>
      </c>
      <c r="CJ24" s="522">
        <v>2</v>
      </c>
      <c r="CK24" s="522">
        <v>2</v>
      </c>
      <c r="CL24" s="522">
        <v>25</v>
      </c>
      <c r="CM24" s="523"/>
      <c r="CN24" s="524"/>
      <c r="CO24" s="525">
        <v>29</v>
      </c>
      <c r="CP24" s="526">
        <f>+(CO21+CO22+CO23)/CO24</f>
        <v>0.72413793103448276</v>
      </c>
      <c r="CR24" s="503"/>
      <c r="CS24" s="503"/>
      <c r="CT24" s="504"/>
      <c r="CU24" s="505" t="s">
        <v>1240</v>
      </c>
      <c r="CV24" s="506">
        <v>0</v>
      </c>
      <c r="CW24" s="506">
        <v>0</v>
      </c>
      <c r="CX24" s="506">
        <v>11</v>
      </c>
      <c r="CY24" s="506">
        <v>0</v>
      </c>
      <c r="CZ24" s="509">
        <v>0</v>
      </c>
      <c r="DA24" s="508"/>
      <c r="DB24" s="509">
        <v>11</v>
      </c>
      <c r="DC24" s="510"/>
      <c r="DE24" s="511" t="s">
        <v>25</v>
      </c>
      <c r="DF24" s="511" t="s">
        <v>16</v>
      </c>
      <c r="DG24" s="511" t="s">
        <v>107</v>
      </c>
      <c r="DH24" s="512" t="s">
        <v>1231</v>
      </c>
      <c r="DI24" s="514">
        <v>3</v>
      </c>
      <c r="DJ24" s="514">
        <v>1</v>
      </c>
      <c r="DK24" s="514">
        <v>6</v>
      </c>
      <c r="DL24" s="513"/>
      <c r="DM24" s="513"/>
      <c r="DN24" s="514">
        <v>10</v>
      </c>
      <c r="DO24" s="515"/>
      <c r="DQ24" s="70" t="s">
        <v>25</v>
      </c>
      <c r="DR24" s="70" t="s">
        <v>16</v>
      </c>
      <c r="DS24" s="42" t="s">
        <v>107</v>
      </c>
      <c r="DT24" s="42" t="s">
        <v>1230</v>
      </c>
      <c r="DU24" s="70">
        <v>0</v>
      </c>
      <c r="DV24" s="70">
        <v>1</v>
      </c>
      <c r="DW24" s="70">
        <v>9</v>
      </c>
      <c r="DX24" s="70"/>
      <c r="DY24" s="70"/>
      <c r="DZ24" s="70">
        <v>10</v>
      </c>
      <c r="EA24" s="42"/>
      <c r="EB24" s="42"/>
      <c r="EC24" s="516"/>
      <c r="ED24" s="517"/>
      <c r="EE24" s="516"/>
      <c r="EF24" s="516" t="s">
        <v>1235</v>
      </c>
      <c r="EG24" s="516">
        <v>0</v>
      </c>
      <c r="EH24" s="516">
        <v>0</v>
      </c>
      <c r="EI24" s="516">
        <v>0</v>
      </c>
      <c r="EJ24" s="516">
        <v>6</v>
      </c>
      <c r="EK24" s="516">
        <v>7</v>
      </c>
      <c r="EL24" s="516">
        <v>0</v>
      </c>
      <c r="EM24" s="516">
        <v>13</v>
      </c>
      <c r="EN24" s="516"/>
      <c r="EO24" s="518"/>
      <c r="EP24" s="42"/>
    </row>
    <row r="25" spans="2:146">
      <c r="C25" s="4798" t="s">
        <v>546</v>
      </c>
      <c r="D25" s="4798" t="s">
        <v>1231</v>
      </c>
      <c r="E25" s="4606">
        <v>0</v>
      </c>
      <c r="F25" s="4606"/>
      <c r="G25" s="4606">
        <v>1</v>
      </c>
      <c r="H25" s="4606">
        <v>1</v>
      </c>
      <c r="I25" s="4606"/>
      <c r="J25" s="2552"/>
      <c r="K25" s="2552"/>
      <c r="L25" s="2552"/>
      <c r="M25" s="2552"/>
      <c r="N25" s="2552">
        <v>2</v>
      </c>
      <c r="T25" s="37" t="s">
        <v>1240</v>
      </c>
      <c r="U25" s="4803"/>
      <c r="V25" s="4803">
        <v>0</v>
      </c>
      <c r="W25" s="4803">
        <v>15</v>
      </c>
      <c r="X25" s="4803"/>
      <c r="Y25" s="1788"/>
      <c r="Z25" s="1788"/>
      <c r="AA25" s="1788">
        <v>15</v>
      </c>
      <c r="AD25" s="41"/>
      <c r="AE25" s="41"/>
      <c r="AF25" s="461" t="s">
        <v>546</v>
      </c>
      <c r="AG25" s="461" t="s">
        <v>1231</v>
      </c>
      <c r="AH25" s="2002">
        <v>0</v>
      </c>
      <c r="AI25" s="2002"/>
      <c r="AJ25" s="2002"/>
      <c r="AK25" s="2002">
        <v>8</v>
      </c>
      <c r="AL25" s="2002">
        <v>2</v>
      </c>
      <c r="AM25" s="2480"/>
      <c r="AN25" s="2480"/>
      <c r="AO25" s="2480"/>
      <c r="AP25" s="2480">
        <v>10</v>
      </c>
      <c r="AQ25" s="41"/>
      <c r="AS25" s="42"/>
      <c r="AT25" s="42"/>
      <c r="AU25" s="484" t="s">
        <v>106</v>
      </c>
      <c r="AV25" s="484" t="s">
        <v>1231</v>
      </c>
      <c r="AW25" s="1994">
        <v>0</v>
      </c>
      <c r="AX25" s="1994"/>
      <c r="AY25" s="1994">
        <v>1</v>
      </c>
      <c r="AZ25" s="1994">
        <v>0</v>
      </c>
      <c r="BA25" s="454"/>
      <c r="BB25" s="454"/>
      <c r="BC25" s="454">
        <v>1</v>
      </c>
      <c r="BF25" s="105" t="s">
        <v>25</v>
      </c>
      <c r="BG25" s="105" t="s">
        <v>16</v>
      </c>
      <c r="BH25" s="41" t="s">
        <v>107</v>
      </c>
      <c r="BI25" s="41" t="s">
        <v>1231</v>
      </c>
      <c r="BJ25" s="1659">
        <v>3</v>
      </c>
      <c r="BK25" s="1659">
        <v>1</v>
      </c>
      <c r="BL25" s="1659">
        <v>3</v>
      </c>
      <c r="BM25" s="1659">
        <v>1</v>
      </c>
      <c r="BN25" s="105"/>
      <c r="BO25" s="105"/>
      <c r="BP25" s="105">
        <v>8</v>
      </c>
      <c r="BS25" s="1341"/>
      <c r="BT25" s="1341"/>
      <c r="BU25" s="1341"/>
      <c r="BV25" s="1342" t="s">
        <v>1865</v>
      </c>
      <c r="BW25" s="1344">
        <v>4</v>
      </c>
      <c r="BX25" s="1344">
        <v>0</v>
      </c>
      <c r="BY25" s="1343"/>
      <c r="BZ25" s="1344">
        <v>0</v>
      </c>
      <c r="CA25" s="1343"/>
      <c r="CB25" s="1345"/>
      <c r="CC25" s="1346">
        <v>4</v>
      </c>
      <c r="CD25" s="1337"/>
      <c r="CF25" s="497" t="s">
        <v>25</v>
      </c>
      <c r="CG25" s="497" t="s">
        <v>16</v>
      </c>
      <c r="CH25" s="498" t="s">
        <v>107</v>
      </c>
      <c r="CI25" s="499" t="s">
        <v>1230</v>
      </c>
      <c r="CJ25" s="500">
        <v>0</v>
      </c>
      <c r="CK25" s="500">
        <v>0</v>
      </c>
      <c r="CL25" s="500">
        <v>0</v>
      </c>
      <c r="CM25" s="500">
        <v>1</v>
      </c>
      <c r="CN25" s="497"/>
      <c r="CO25" s="502">
        <v>1</v>
      </c>
      <c r="CP25" s="41"/>
      <c r="CR25" s="503"/>
      <c r="CS25" s="503"/>
      <c r="CT25" s="504"/>
      <c r="CU25" s="505" t="s">
        <v>1323</v>
      </c>
      <c r="CV25" s="506">
        <v>0</v>
      </c>
      <c r="CW25" s="506">
        <v>0</v>
      </c>
      <c r="CX25" s="506">
        <v>2</v>
      </c>
      <c r="CY25" s="506">
        <v>0</v>
      </c>
      <c r="CZ25" s="509">
        <v>0</v>
      </c>
      <c r="DA25" s="508"/>
      <c r="DB25" s="509">
        <v>2</v>
      </c>
      <c r="DC25" s="510"/>
      <c r="DE25" s="511"/>
      <c r="DF25" s="511"/>
      <c r="DG25" s="511"/>
      <c r="DH25" s="512" t="s">
        <v>1235</v>
      </c>
      <c r="DI25" s="514">
        <v>0</v>
      </c>
      <c r="DJ25" s="514">
        <v>0</v>
      </c>
      <c r="DK25" s="514">
        <v>51</v>
      </c>
      <c r="DL25" s="513"/>
      <c r="DM25" s="513"/>
      <c r="DN25" s="514">
        <v>51</v>
      </c>
      <c r="DO25" s="515"/>
      <c r="DQ25" s="70"/>
      <c r="DR25" s="70"/>
      <c r="DS25" s="42"/>
      <c r="DT25" s="42" t="s">
        <v>1231</v>
      </c>
      <c r="DU25" s="70">
        <v>11</v>
      </c>
      <c r="DV25" s="70">
        <v>1</v>
      </c>
      <c r="DW25" s="70">
        <v>32</v>
      </c>
      <c r="DX25" s="70"/>
      <c r="DY25" s="70"/>
      <c r="DZ25" s="70">
        <v>44</v>
      </c>
      <c r="EA25" s="42"/>
      <c r="EB25" s="42"/>
      <c r="EC25" s="516"/>
      <c r="ED25" s="517"/>
      <c r="EE25" s="516"/>
      <c r="EF25" s="516" t="s">
        <v>1239</v>
      </c>
      <c r="EG25" s="516">
        <v>0</v>
      </c>
      <c r="EH25" s="516">
        <v>0</v>
      </c>
      <c r="EI25" s="516">
        <v>0</v>
      </c>
      <c r="EJ25" s="516">
        <v>0</v>
      </c>
      <c r="EK25" s="516">
        <v>0</v>
      </c>
      <c r="EL25" s="516">
        <v>1</v>
      </c>
      <c r="EM25" s="516">
        <v>1</v>
      </c>
      <c r="EN25" s="516"/>
      <c r="EO25" s="518"/>
      <c r="EP25" s="42"/>
    </row>
    <row r="26" spans="2:146">
      <c r="D26" s="4798" t="s">
        <v>1235</v>
      </c>
      <c r="E26" s="4606">
        <v>0</v>
      </c>
      <c r="F26" s="4606"/>
      <c r="G26" s="4606">
        <v>0</v>
      </c>
      <c r="H26" s="4606">
        <v>4</v>
      </c>
      <c r="I26" s="4606"/>
      <c r="J26" s="2552"/>
      <c r="K26" s="2552"/>
      <c r="L26" s="2552"/>
      <c r="M26" s="2552"/>
      <c r="N26" s="2552">
        <v>4</v>
      </c>
      <c r="R26" s="4805"/>
      <c r="S26" s="4805"/>
      <c r="T26" s="4704" t="s">
        <v>106</v>
      </c>
      <c r="U26" s="4806"/>
      <c r="V26" s="4806">
        <v>1</v>
      </c>
      <c r="W26" s="4806">
        <v>26</v>
      </c>
      <c r="X26" s="4806"/>
      <c r="Y26" s="4796"/>
      <c r="Z26" s="4796"/>
      <c r="AA26" s="4796">
        <v>27</v>
      </c>
      <c r="AB26" s="4706">
        <f>+(AA24+AA25)/AA26</f>
        <v>0.62962962962962965</v>
      </c>
      <c r="AD26" s="41"/>
      <c r="AE26" s="41"/>
      <c r="AF26" s="461"/>
      <c r="AG26" s="461" t="s">
        <v>1235</v>
      </c>
      <c r="AH26" s="2002">
        <v>0</v>
      </c>
      <c r="AI26" s="2002"/>
      <c r="AJ26" s="2002"/>
      <c r="AK26" s="2002">
        <v>2</v>
      </c>
      <c r="AL26" s="2002">
        <v>0</v>
      </c>
      <c r="AM26" s="2480"/>
      <c r="AN26" s="2480"/>
      <c r="AO26" s="2480"/>
      <c r="AP26" s="2480">
        <v>2</v>
      </c>
      <c r="AQ26" s="41"/>
      <c r="AS26" s="42"/>
      <c r="AT26" s="42"/>
      <c r="AU26" s="484"/>
      <c r="AV26" s="484" t="s">
        <v>1233</v>
      </c>
      <c r="AW26" s="1994">
        <v>1</v>
      </c>
      <c r="AX26" s="1994"/>
      <c r="AY26" s="1994">
        <v>0</v>
      </c>
      <c r="AZ26" s="1994">
        <v>0</v>
      </c>
      <c r="BA26" s="454"/>
      <c r="BB26" s="454"/>
      <c r="BC26" s="454">
        <v>1</v>
      </c>
      <c r="BF26" s="105"/>
      <c r="BI26" s="41" t="s">
        <v>1235</v>
      </c>
      <c r="BJ26" s="1659">
        <v>0</v>
      </c>
      <c r="BK26" s="1659">
        <v>0</v>
      </c>
      <c r="BL26" s="1659">
        <v>2</v>
      </c>
      <c r="BM26" s="1659">
        <v>0</v>
      </c>
      <c r="BN26" s="105"/>
      <c r="BO26" s="105"/>
      <c r="BP26" s="105">
        <v>2</v>
      </c>
      <c r="BS26" s="1341"/>
      <c r="BT26" s="1341"/>
      <c r="BU26" s="1341"/>
      <c r="BV26" s="1336" t="s">
        <v>844</v>
      </c>
      <c r="BW26" s="1348">
        <v>4</v>
      </c>
      <c r="BX26" s="1348">
        <v>1</v>
      </c>
      <c r="BY26" s="1347"/>
      <c r="BZ26" s="1348">
        <v>10</v>
      </c>
      <c r="CA26" s="1347"/>
      <c r="CB26" s="1349"/>
      <c r="CC26" s="1350">
        <v>15</v>
      </c>
      <c r="CD26" s="1325">
        <v>0</v>
      </c>
      <c r="CF26" s="497"/>
      <c r="CG26" s="497"/>
      <c r="CH26" s="498"/>
      <c r="CI26" s="499" t="s">
        <v>1231</v>
      </c>
      <c r="CJ26" s="500">
        <v>0</v>
      </c>
      <c r="CK26" s="500">
        <v>1</v>
      </c>
      <c r="CL26" s="500">
        <v>0</v>
      </c>
      <c r="CM26" s="500">
        <v>0</v>
      </c>
      <c r="CN26" s="497"/>
      <c r="CO26" s="502">
        <v>1</v>
      </c>
      <c r="CP26" s="41"/>
      <c r="CR26" s="503"/>
      <c r="CS26" s="503"/>
      <c r="CT26" s="504"/>
      <c r="CU26" s="527" t="s">
        <v>15</v>
      </c>
      <c r="CV26" s="528">
        <v>7</v>
      </c>
      <c r="CW26" s="528">
        <v>2</v>
      </c>
      <c r="CX26" s="528">
        <v>37</v>
      </c>
      <c r="CY26" s="528">
        <v>1</v>
      </c>
      <c r="CZ26" s="531">
        <v>29</v>
      </c>
      <c r="DA26" s="530"/>
      <c r="DB26" s="531">
        <v>76</v>
      </c>
      <c r="DC26" s="510">
        <f>+(DB25+DB24+DB23)/DB26</f>
        <v>0.39473684210526316</v>
      </c>
      <c r="DE26" s="511"/>
      <c r="DF26" s="511"/>
      <c r="DG26" s="511"/>
      <c r="DH26" s="512" t="s">
        <v>1236</v>
      </c>
      <c r="DI26" s="514">
        <v>5</v>
      </c>
      <c r="DJ26" s="514">
        <v>1</v>
      </c>
      <c r="DK26" s="514">
        <v>4</v>
      </c>
      <c r="DL26" s="513"/>
      <c r="DM26" s="513"/>
      <c r="DN26" s="514">
        <v>10</v>
      </c>
      <c r="DO26" s="515"/>
      <c r="DQ26" s="70"/>
      <c r="DR26" s="70"/>
      <c r="DS26" s="42"/>
      <c r="DT26" s="42" t="s">
        <v>1235</v>
      </c>
      <c r="DU26" s="70">
        <v>0</v>
      </c>
      <c r="DV26" s="70">
        <v>0</v>
      </c>
      <c r="DW26" s="70">
        <v>32</v>
      </c>
      <c r="DX26" s="70"/>
      <c r="DY26" s="70"/>
      <c r="DZ26" s="70">
        <v>32</v>
      </c>
      <c r="EA26" s="42"/>
      <c r="EB26" s="42"/>
      <c r="EC26" s="516"/>
      <c r="ED26" s="517"/>
      <c r="EE26" s="516"/>
      <c r="EF26" s="516" t="s">
        <v>1323</v>
      </c>
      <c r="EG26" s="516">
        <v>0</v>
      </c>
      <c r="EH26" s="516">
        <v>0</v>
      </c>
      <c r="EI26" s="516">
        <v>0</v>
      </c>
      <c r="EJ26" s="516">
        <v>0</v>
      </c>
      <c r="EK26" s="516">
        <v>2</v>
      </c>
      <c r="EL26" s="516">
        <v>0</v>
      </c>
      <c r="EM26" s="516">
        <v>2</v>
      </c>
      <c r="EN26" s="516"/>
      <c r="EO26" s="518"/>
      <c r="EP26" s="42"/>
    </row>
    <row r="27" spans="2:146">
      <c r="D27" s="4798" t="s">
        <v>1240</v>
      </c>
      <c r="E27" s="4606">
        <v>0</v>
      </c>
      <c r="F27" s="4606"/>
      <c r="G27" s="4606">
        <v>0</v>
      </c>
      <c r="H27" s="4606">
        <v>7</v>
      </c>
      <c r="I27" s="4606"/>
      <c r="J27" s="2552"/>
      <c r="K27" s="2552"/>
      <c r="L27" s="2552"/>
      <c r="M27" s="2552"/>
      <c r="N27" s="2552">
        <v>7</v>
      </c>
      <c r="Q27" s="37" t="s">
        <v>25</v>
      </c>
      <c r="R27" s="37" t="s">
        <v>4</v>
      </c>
      <c r="S27" s="4807" t="s">
        <v>2532</v>
      </c>
      <c r="T27" s="4808" t="s">
        <v>1239</v>
      </c>
      <c r="U27" s="4803"/>
      <c r="V27" s="4803"/>
      <c r="W27" s="4803"/>
      <c r="X27" s="4803"/>
      <c r="Y27" s="4809"/>
      <c r="Z27" s="4810">
        <v>2</v>
      </c>
      <c r="AA27" s="4809">
        <v>2</v>
      </c>
      <c r="AD27" s="41"/>
      <c r="AE27" s="41"/>
      <c r="AF27" s="461"/>
      <c r="AG27" s="461" t="s">
        <v>1865</v>
      </c>
      <c r="AH27" s="2002">
        <v>1</v>
      </c>
      <c r="AI27" s="2002"/>
      <c r="AJ27" s="2002"/>
      <c r="AK27" s="2002">
        <v>0</v>
      </c>
      <c r="AL27" s="2002">
        <v>0</v>
      </c>
      <c r="AM27" s="2480"/>
      <c r="AN27" s="2480"/>
      <c r="AO27" s="2480"/>
      <c r="AP27" s="2480">
        <v>1</v>
      </c>
      <c r="AQ27" s="41"/>
      <c r="AS27" s="42"/>
      <c r="AT27" s="42"/>
      <c r="AU27" s="484"/>
      <c r="AV27" s="484" t="s">
        <v>1235</v>
      </c>
      <c r="AW27" s="1994">
        <v>0</v>
      </c>
      <c r="AX27" s="1994"/>
      <c r="AY27" s="1994">
        <v>11</v>
      </c>
      <c r="AZ27" s="1994">
        <v>2</v>
      </c>
      <c r="BA27" s="454"/>
      <c r="BB27" s="454"/>
      <c r="BC27" s="454">
        <v>13</v>
      </c>
      <c r="BF27" s="105"/>
      <c r="BI27" s="41" t="s">
        <v>1236</v>
      </c>
      <c r="BJ27" s="1659">
        <v>1</v>
      </c>
      <c r="BK27" s="1659">
        <v>1</v>
      </c>
      <c r="BL27" s="1659">
        <v>0</v>
      </c>
      <c r="BM27" s="1659">
        <v>0</v>
      </c>
      <c r="BN27" s="105"/>
      <c r="BO27" s="105"/>
      <c r="BP27" s="105">
        <v>2</v>
      </c>
      <c r="BS27" s="1341"/>
      <c r="BT27" s="1341"/>
      <c r="BU27" s="1341" t="s">
        <v>106</v>
      </c>
      <c r="BV27" s="1342" t="s">
        <v>1230</v>
      </c>
      <c r="BW27" s="1344">
        <v>0</v>
      </c>
      <c r="BX27" s="1344">
        <v>0</v>
      </c>
      <c r="BY27" s="1343"/>
      <c r="BZ27" s="1344">
        <v>1</v>
      </c>
      <c r="CA27" s="1343"/>
      <c r="CB27" s="1345"/>
      <c r="CC27" s="1346">
        <v>1</v>
      </c>
      <c r="CD27" s="1337"/>
      <c r="CF27" s="497"/>
      <c r="CG27" s="497"/>
      <c r="CH27" s="498"/>
      <c r="CI27" s="499" t="s">
        <v>1235</v>
      </c>
      <c r="CJ27" s="500">
        <v>0</v>
      </c>
      <c r="CK27" s="500">
        <v>0</v>
      </c>
      <c r="CL27" s="500">
        <v>2</v>
      </c>
      <c r="CM27" s="500">
        <v>0</v>
      </c>
      <c r="CN27" s="497"/>
      <c r="CO27" s="502">
        <v>2</v>
      </c>
      <c r="CP27" s="41"/>
      <c r="CR27" s="503"/>
      <c r="CS27" s="503"/>
      <c r="CT27" s="527" t="s">
        <v>844</v>
      </c>
      <c r="CU27" s="505" t="s">
        <v>1230</v>
      </c>
      <c r="CV27" s="506">
        <v>0</v>
      </c>
      <c r="CW27" s="506">
        <v>0</v>
      </c>
      <c r="CX27" s="506">
        <v>0</v>
      </c>
      <c r="CY27" s="506">
        <v>0</v>
      </c>
      <c r="CZ27" s="509">
        <v>29</v>
      </c>
      <c r="DA27" s="508"/>
      <c r="DB27" s="509">
        <v>29</v>
      </c>
      <c r="DC27" s="510"/>
      <c r="DE27" s="511"/>
      <c r="DF27" s="511"/>
      <c r="DG27" s="511"/>
      <c r="DH27" s="512" t="s">
        <v>1240</v>
      </c>
      <c r="DI27" s="514">
        <v>0</v>
      </c>
      <c r="DJ27" s="514">
        <v>0</v>
      </c>
      <c r="DK27" s="514">
        <v>1</v>
      </c>
      <c r="DL27" s="513"/>
      <c r="DM27" s="513"/>
      <c r="DN27" s="514">
        <v>1</v>
      </c>
      <c r="DO27" s="515"/>
      <c r="DQ27" s="70"/>
      <c r="DR27" s="70"/>
      <c r="DS27" s="42"/>
      <c r="DT27" s="42" t="s">
        <v>1236</v>
      </c>
      <c r="DU27" s="70">
        <v>0</v>
      </c>
      <c r="DV27" s="70">
        <v>4</v>
      </c>
      <c r="DW27" s="70">
        <v>0</v>
      </c>
      <c r="DX27" s="70"/>
      <c r="DY27" s="70"/>
      <c r="DZ27" s="70">
        <v>4</v>
      </c>
      <c r="EA27" s="42"/>
      <c r="EB27" s="42"/>
      <c r="EC27" s="516"/>
      <c r="ED27" s="517"/>
      <c r="EE27" s="516"/>
      <c r="EF27" s="519" t="s">
        <v>15</v>
      </c>
      <c r="EG27" s="519">
        <v>0</v>
      </c>
      <c r="EH27" s="519">
        <v>0</v>
      </c>
      <c r="EI27" s="519">
        <v>0</v>
      </c>
      <c r="EJ27" s="519">
        <v>7</v>
      </c>
      <c r="EK27" s="519">
        <v>9</v>
      </c>
      <c r="EL27" s="519">
        <v>1</v>
      </c>
      <c r="EM27" s="519">
        <v>17</v>
      </c>
      <c r="EN27" s="520">
        <f>+(EM26+EM24)/EM27</f>
        <v>0.88235294117647056</v>
      </c>
      <c r="EO27" s="518">
        <f>+EM24+EM26</f>
        <v>15</v>
      </c>
      <c r="EP27" s="42"/>
    </row>
    <row r="28" spans="2:146">
      <c r="D28" s="4798" t="s">
        <v>2963</v>
      </c>
      <c r="E28" s="4606">
        <v>1</v>
      </c>
      <c r="F28" s="4606"/>
      <c r="G28" s="4606">
        <v>0</v>
      </c>
      <c r="H28" s="4606">
        <v>0</v>
      </c>
      <c r="I28" s="4606"/>
      <c r="J28" s="2552"/>
      <c r="K28" s="2552"/>
      <c r="L28" s="2552"/>
      <c r="M28" s="2552"/>
      <c r="N28" s="2552">
        <v>1</v>
      </c>
      <c r="S28" s="4807"/>
      <c r="T28" s="4811" t="s">
        <v>15</v>
      </c>
      <c r="U28" s="4803"/>
      <c r="V28" s="4803"/>
      <c r="W28" s="4803"/>
      <c r="X28" s="4803"/>
      <c r="Y28" s="4812"/>
      <c r="Z28" s="4810">
        <v>2</v>
      </c>
      <c r="AA28" s="4812">
        <v>2</v>
      </c>
      <c r="AB28" s="4703">
        <v>0</v>
      </c>
      <c r="AD28" s="41"/>
      <c r="AE28" s="41"/>
      <c r="AF28" s="461"/>
      <c r="AG28" s="461" t="s">
        <v>546</v>
      </c>
      <c r="AH28" s="2002">
        <v>1</v>
      </c>
      <c r="AI28" s="2002"/>
      <c r="AJ28" s="2002"/>
      <c r="AK28" s="2002">
        <v>10</v>
      </c>
      <c r="AL28" s="2002">
        <v>2</v>
      </c>
      <c r="AM28" s="2480"/>
      <c r="AN28" s="2480"/>
      <c r="AO28" s="2480"/>
      <c r="AP28" s="2480">
        <v>13</v>
      </c>
      <c r="AQ28" s="635">
        <f>+AP26/AP28</f>
        <v>0.15384615384615385</v>
      </c>
      <c r="AS28" s="42"/>
      <c r="AT28" s="42"/>
      <c r="AU28" s="484"/>
      <c r="AV28" s="484" t="s">
        <v>1240</v>
      </c>
      <c r="AW28" s="1994">
        <v>0</v>
      </c>
      <c r="AX28" s="1994"/>
      <c r="AY28" s="1994">
        <v>8</v>
      </c>
      <c r="AZ28" s="1994">
        <v>6</v>
      </c>
      <c r="BA28" s="454"/>
      <c r="BB28" s="454"/>
      <c r="BC28" s="454">
        <v>14</v>
      </c>
      <c r="BF28" s="105"/>
      <c r="BI28" s="41" t="s">
        <v>1323</v>
      </c>
      <c r="BJ28" s="1659">
        <v>0</v>
      </c>
      <c r="BK28" s="1659">
        <v>0</v>
      </c>
      <c r="BL28" s="1659">
        <v>45</v>
      </c>
      <c r="BM28" s="1659">
        <v>0</v>
      </c>
      <c r="BN28" s="105"/>
      <c r="BO28" s="105"/>
      <c r="BP28" s="105">
        <v>45</v>
      </c>
      <c r="BS28" s="1341"/>
      <c r="BT28" s="1341"/>
      <c r="BU28" s="1341"/>
      <c r="BV28" s="1342" t="s">
        <v>1231</v>
      </c>
      <c r="BW28" s="1344">
        <v>0</v>
      </c>
      <c r="BX28" s="1344">
        <v>1</v>
      </c>
      <c r="BY28" s="1343"/>
      <c r="BZ28" s="1344">
        <v>14</v>
      </c>
      <c r="CA28" s="1343"/>
      <c r="CB28" s="1345"/>
      <c r="CC28" s="1346">
        <v>15</v>
      </c>
      <c r="CD28" s="1337"/>
      <c r="CF28" s="497"/>
      <c r="CG28" s="497"/>
      <c r="CH28" s="498"/>
      <c r="CI28" s="499" t="s">
        <v>1236</v>
      </c>
      <c r="CJ28" s="500">
        <v>4</v>
      </c>
      <c r="CK28" s="500">
        <v>1</v>
      </c>
      <c r="CL28" s="500">
        <v>3</v>
      </c>
      <c r="CM28" s="500">
        <v>0</v>
      </c>
      <c r="CN28" s="497"/>
      <c r="CO28" s="502">
        <v>8</v>
      </c>
      <c r="CP28" s="41"/>
      <c r="CR28" s="503"/>
      <c r="CS28" s="503"/>
      <c r="CT28" s="504"/>
      <c r="CU28" s="505" t="s">
        <v>1231</v>
      </c>
      <c r="CV28" s="506">
        <v>6</v>
      </c>
      <c r="CW28" s="506">
        <v>2</v>
      </c>
      <c r="CX28" s="506">
        <v>6</v>
      </c>
      <c r="CY28" s="506">
        <v>1</v>
      </c>
      <c r="CZ28" s="509">
        <v>0</v>
      </c>
      <c r="DA28" s="508"/>
      <c r="DB28" s="509">
        <v>15</v>
      </c>
      <c r="DC28" s="510"/>
      <c r="DE28" s="511"/>
      <c r="DF28" s="511"/>
      <c r="DG28" s="511"/>
      <c r="DH28" s="532" t="s">
        <v>15</v>
      </c>
      <c r="DI28" s="534">
        <v>8</v>
      </c>
      <c r="DJ28" s="534">
        <v>2</v>
      </c>
      <c r="DK28" s="534">
        <v>62</v>
      </c>
      <c r="DL28" s="533"/>
      <c r="DM28" s="533"/>
      <c r="DN28" s="534">
        <v>72</v>
      </c>
      <c r="DO28" s="535">
        <f>+(DN27+DN25)/DN28</f>
        <v>0.72222222222222221</v>
      </c>
      <c r="DQ28" s="70"/>
      <c r="DR28" s="70"/>
      <c r="DS28" s="42"/>
      <c r="DT28" s="42" t="s">
        <v>1240</v>
      </c>
      <c r="DU28" s="70">
        <v>0</v>
      </c>
      <c r="DV28" s="70">
        <v>0</v>
      </c>
      <c r="DW28" s="70">
        <v>1</v>
      </c>
      <c r="DX28" s="70"/>
      <c r="DY28" s="70"/>
      <c r="DZ28" s="70">
        <v>1</v>
      </c>
      <c r="EA28" s="42"/>
      <c r="EB28" s="42"/>
      <c r="EC28" s="516"/>
      <c r="ED28" s="517"/>
      <c r="EE28" s="516" t="s">
        <v>109</v>
      </c>
      <c r="EF28" s="516" t="s">
        <v>1230</v>
      </c>
      <c r="EG28" s="516">
        <v>0</v>
      </c>
      <c r="EH28" s="516">
        <v>0</v>
      </c>
      <c r="EI28" s="516">
        <v>0</v>
      </c>
      <c r="EJ28" s="516">
        <v>0</v>
      </c>
      <c r="EK28" s="516">
        <v>0</v>
      </c>
      <c r="EL28" s="516">
        <v>6</v>
      </c>
      <c r="EM28" s="516">
        <v>6</v>
      </c>
      <c r="EN28" s="516"/>
      <c r="EO28" s="518"/>
      <c r="EP28" s="42"/>
    </row>
    <row r="29" spans="2:146">
      <c r="D29" s="32" t="s">
        <v>15</v>
      </c>
      <c r="E29" s="4607">
        <v>1</v>
      </c>
      <c r="F29" s="4607"/>
      <c r="G29" s="4607">
        <v>1</v>
      </c>
      <c r="H29" s="4607">
        <v>12</v>
      </c>
      <c r="I29" s="4607"/>
      <c r="J29" s="4583"/>
      <c r="K29" s="4583"/>
      <c r="L29" s="4583"/>
      <c r="M29" s="4583"/>
      <c r="N29" s="4583">
        <v>14</v>
      </c>
      <c r="O29" s="1977">
        <f>+(N26+N27)/(N29-N28)</f>
        <v>0.84615384615384615</v>
      </c>
      <c r="S29" s="4811" t="s">
        <v>544</v>
      </c>
      <c r="T29" s="4813" t="s">
        <v>1239</v>
      </c>
      <c r="U29" s="4804"/>
      <c r="V29" s="4804"/>
      <c r="W29" s="4804"/>
      <c r="X29" s="4804"/>
      <c r="Y29" s="4812"/>
      <c r="Z29" s="4814">
        <v>2</v>
      </c>
      <c r="AA29" s="4812">
        <v>2</v>
      </c>
      <c r="AB29" s="4703"/>
      <c r="AD29" s="41"/>
      <c r="AE29" s="41"/>
      <c r="AF29" s="461" t="s">
        <v>106</v>
      </c>
      <c r="AG29" s="461" t="s">
        <v>1230</v>
      </c>
      <c r="AH29" s="2002">
        <v>0</v>
      </c>
      <c r="AI29" s="2002"/>
      <c r="AJ29" s="2002">
        <v>1</v>
      </c>
      <c r="AK29" s="2002">
        <v>0</v>
      </c>
      <c r="AL29" s="2002">
        <v>0</v>
      </c>
      <c r="AM29" s="2480"/>
      <c r="AN29" s="2480"/>
      <c r="AO29" s="2480"/>
      <c r="AP29" s="2480">
        <v>1</v>
      </c>
      <c r="AQ29" s="41"/>
      <c r="AS29" s="42"/>
      <c r="AT29" s="42"/>
      <c r="AU29" s="484"/>
      <c r="AV29" s="484" t="s">
        <v>2531</v>
      </c>
      <c r="AW29" s="1994">
        <v>0</v>
      </c>
      <c r="AX29" s="1994"/>
      <c r="AY29" s="1994">
        <v>0</v>
      </c>
      <c r="AZ29" s="1994">
        <v>1</v>
      </c>
      <c r="BA29" s="454"/>
      <c r="BB29" s="454"/>
      <c r="BC29" s="454">
        <v>1</v>
      </c>
      <c r="BF29" s="105"/>
      <c r="BI29" s="461" t="s">
        <v>15</v>
      </c>
      <c r="BJ29" s="1660">
        <v>4</v>
      </c>
      <c r="BK29" s="1660">
        <v>2</v>
      </c>
      <c r="BL29" s="1660">
        <v>50</v>
      </c>
      <c r="BM29" s="1660">
        <v>1</v>
      </c>
      <c r="BN29" s="96"/>
      <c r="BO29" s="96"/>
      <c r="BP29" s="96">
        <v>57</v>
      </c>
      <c r="BQ29" s="635">
        <f>+(BP26+BP28)/BP29</f>
        <v>0.82456140350877194</v>
      </c>
      <c r="BS29" s="1341"/>
      <c r="BT29" s="1341"/>
      <c r="BU29" s="1341"/>
      <c r="BV29" s="1342" t="s">
        <v>1235</v>
      </c>
      <c r="BW29" s="1344">
        <v>0</v>
      </c>
      <c r="BX29" s="1344">
        <v>0</v>
      </c>
      <c r="BY29" s="1343"/>
      <c r="BZ29" s="1344">
        <v>4</v>
      </c>
      <c r="CA29" s="1343"/>
      <c r="CB29" s="1345"/>
      <c r="CC29" s="1346">
        <v>4</v>
      </c>
      <c r="CD29" s="1337"/>
      <c r="CF29" s="497"/>
      <c r="CG29" s="497"/>
      <c r="CH29" s="498"/>
      <c r="CI29" s="499" t="s">
        <v>1240</v>
      </c>
      <c r="CJ29" s="500">
        <v>0</v>
      </c>
      <c r="CK29" s="500">
        <v>0</v>
      </c>
      <c r="CL29" s="500">
        <v>1</v>
      </c>
      <c r="CM29" s="500">
        <v>0</v>
      </c>
      <c r="CN29" s="497"/>
      <c r="CO29" s="502">
        <v>1</v>
      </c>
      <c r="CP29" s="41"/>
      <c r="CR29" s="503"/>
      <c r="CS29" s="503"/>
      <c r="CT29" s="504"/>
      <c r="CU29" s="505" t="s">
        <v>1233</v>
      </c>
      <c r="CV29" s="506">
        <v>1</v>
      </c>
      <c r="CW29" s="506">
        <v>0</v>
      </c>
      <c r="CX29" s="506">
        <v>1</v>
      </c>
      <c r="CY29" s="506">
        <v>0</v>
      </c>
      <c r="CZ29" s="509">
        <v>0</v>
      </c>
      <c r="DA29" s="508"/>
      <c r="DB29" s="509">
        <v>2</v>
      </c>
      <c r="DC29" s="510"/>
      <c r="DQ29" s="70"/>
      <c r="DR29" s="70"/>
      <c r="DS29" s="42"/>
      <c r="DT29" s="484" t="s">
        <v>15</v>
      </c>
      <c r="DU29" s="454">
        <v>11</v>
      </c>
      <c r="DV29" s="454">
        <v>6</v>
      </c>
      <c r="DW29" s="454">
        <v>74</v>
      </c>
      <c r="DX29" s="454"/>
      <c r="DY29" s="454"/>
      <c r="DZ29" s="454">
        <v>91</v>
      </c>
      <c r="EA29" s="536">
        <f>+(DZ26+DZ28)/DZ29</f>
        <v>0.36263736263736263</v>
      </c>
      <c r="EB29" s="42"/>
      <c r="EC29" s="516"/>
      <c r="ED29" s="517"/>
      <c r="EE29" s="516"/>
      <c r="EF29" s="519" t="s">
        <v>15</v>
      </c>
      <c r="EG29" s="519">
        <v>0</v>
      </c>
      <c r="EH29" s="519">
        <v>0</v>
      </c>
      <c r="EI29" s="519">
        <v>0</v>
      </c>
      <c r="EJ29" s="519">
        <v>0</v>
      </c>
      <c r="EK29" s="519">
        <v>0</v>
      </c>
      <c r="EL29" s="519">
        <v>6</v>
      </c>
      <c r="EM29" s="519">
        <v>6</v>
      </c>
      <c r="EN29" s="520">
        <f>0/EM29</f>
        <v>0</v>
      </c>
      <c r="EO29" s="518">
        <v>0</v>
      </c>
      <c r="EP29" s="42"/>
    </row>
    <row r="30" spans="2:146">
      <c r="C30" s="4798" t="s">
        <v>106</v>
      </c>
      <c r="D30" s="4798" t="s">
        <v>1231</v>
      </c>
      <c r="E30" s="4606">
        <v>0</v>
      </c>
      <c r="F30" s="4606"/>
      <c r="G30" s="4606">
        <v>1</v>
      </c>
      <c r="H30" s="4606">
        <v>2</v>
      </c>
      <c r="I30" s="4606"/>
      <c r="J30" s="2552"/>
      <c r="K30" s="2552"/>
      <c r="L30" s="2552"/>
      <c r="M30" s="2552"/>
      <c r="N30" s="2552">
        <v>3</v>
      </c>
      <c r="S30" s="4807"/>
      <c r="T30" s="4811" t="s">
        <v>544</v>
      </c>
      <c r="U30" s="4804"/>
      <c r="V30" s="4804"/>
      <c r="W30" s="4804"/>
      <c r="X30" s="4804"/>
      <c r="Y30" s="4812"/>
      <c r="Z30" s="4814">
        <v>2</v>
      </c>
      <c r="AA30" s="4812">
        <v>2</v>
      </c>
      <c r="AB30" s="4703">
        <v>0</v>
      </c>
      <c r="AD30" s="41"/>
      <c r="AE30" s="41"/>
      <c r="AF30" s="461"/>
      <c r="AG30" s="461" t="s">
        <v>1231</v>
      </c>
      <c r="AH30" s="2002">
        <v>0</v>
      </c>
      <c r="AI30" s="2002"/>
      <c r="AJ30" s="2002">
        <v>1</v>
      </c>
      <c r="AK30" s="2002">
        <v>8</v>
      </c>
      <c r="AL30" s="2002">
        <v>2</v>
      </c>
      <c r="AM30" s="2480"/>
      <c r="AN30" s="2480"/>
      <c r="AO30" s="2480"/>
      <c r="AP30" s="2480">
        <v>11</v>
      </c>
      <c r="AQ30" s="41"/>
      <c r="AS30" s="42"/>
      <c r="AT30" s="42"/>
      <c r="AU30" s="484"/>
      <c r="AV30" s="484" t="s">
        <v>106</v>
      </c>
      <c r="AW30" s="1994">
        <v>1</v>
      </c>
      <c r="AX30" s="1994"/>
      <c r="AY30" s="1994">
        <v>20</v>
      </c>
      <c r="AZ30" s="1994">
        <v>9</v>
      </c>
      <c r="BA30" s="454"/>
      <c r="BB30" s="454"/>
      <c r="BC30" s="454">
        <v>30</v>
      </c>
      <c r="BD30" s="1977">
        <f>+(BC27+BC28)/BC30</f>
        <v>0.9</v>
      </c>
      <c r="BF30" s="105"/>
      <c r="BH30" s="41" t="s">
        <v>545</v>
      </c>
      <c r="BI30" s="41" t="s">
        <v>1231</v>
      </c>
      <c r="BJ30" s="1659">
        <v>3</v>
      </c>
      <c r="BK30" s="1659">
        <v>1</v>
      </c>
      <c r="BL30" s="1659">
        <v>3</v>
      </c>
      <c r="BM30" s="1659">
        <v>1</v>
      </c>
      <c r="BN30" s="105"/>
      <c r="BO30" s="105"/>
      <c r="BP30" s="105">
        <v>8</v>
      </c>
      <c r="BS30" s="1341"/>
      <c r="BT30" s="1341"/>
      <c r="BU30" s="1341"/>
      <c r="BV30" s="1342" t="s">
        <v>1865</v>
      </c>
      <c r="BW30" s="1344">
        <v>4</v>
      </c>
      <c r="BX30" s="1344">
        <v>0</v>
      </c>
      <c r="BY30" s="1343"/>
      <c r="BZ30" s="1344">
        <v>0</v>
      </c>
      <c r="CA30" s="1343"/>
      <c r="CB30" s="1345"/>
      <c r="CC30" s="1346">
        <v>4</v>
      </c>
      <c r="CD30" s="1337"/>
      <c r="CF30" s="497"/>
      <c r="CG30" s="497"/>
      <c r="CH30" s="498"/>
      <c r="CI30" s="499" t="s">
        <v>1323</v>
      </c>
      <c r="CJ30" s="500">
        <v>0</v>
      </c>
      <c r="CK30" s="500">
        <v>0</v>
      </c>
      <c r="CL30" s="500">
        <v>20</v>
      </c>
      <c r="CM30" s="500">
        <v>0</v>
      </c>
      <c r="CN30" s="497"/>
      <c r="CO30" s="502">
        <v>20</v>
      </c>
      <c r="CP30" s="41"/>
      <c r="CR30" s="503"/>
      <c r="CS30" s="503"/>
      <c r="CT30" s="504"/>
      <c r="CU30" s="505" t="s">
        <v>1235</v>
      </c>
      <c r="CV30" s="506">
        <v>0</v>
      </c>
      <c r="CW30" s="506">
        <v>0</v>
      </c>
      <c r="CX30" s="506">
        <v>17</v>
      </c>
      <c r="CY30" s="506">
        <v>0</v>
      </c>
      <c r="CZ30" s="509">
        <v>0</v>
      </c>
      <c r="DA30" s="508"/>
      <c r="DB30" s="509">
        <v>17</v>
      </c>
      <c r="DC30" s="510"/>
      <c r="DE30" s="511"/>
      <c r="DF30" s="511" t="s">
        <v>41</v>
      </c>
      <c r="DG30" s="511" t="s">
        <v>108</v>
      </c>
      <c r="DH30" s="512" t="s">
        <v>1231</v>
      </c>
      <c r="DI30" s="513"/>
      <c r="DJ30" s="514">
        <v>0</v>
      </c>
      <c r="DK30" s="514">
        <v>2</v>
      </c>
      <c r="DL30" s="514">
        <v>4</v>
      </c>
      <c r="DM30" s="513"/>
      <c r="DN30" s="514">
        <v>6</v>
      </c>
      <c r="DO30" s="515"/>
      <c r="DQ30" s="70"/>
      <c r="DR30" s="70" t="s">
        <v>41</v>
      </c>
      <c r="DS30" s="42" t="s">
        <v>108</v>
      </c>
      <c r="DT30" s="42" t="s">
        <v>1231</v>
      </c>
      <c r="DU30" s="70"/>
      <c r="DV30" s="70">
        <v>1</v>
      </c>
      <c r="DW30" s="70">
        <v>2</v>
      </c>
      <c r="DX30" s="70">
        <v>0</v>
      </c>
      <c r="DY30" s="70">
        <v>0</v>
      </c>
      <c r="DZ30" s="70">
        <v>3</v>
      </c>
      <c r="EA30" s="42"/>
      <c r="EB30" s="42"/>
      <c r="EC30" s="516" t="s">
        <v>48</v>
      </c>
      <c r="ED30" s="517" t="s">
        <v>16</v>
      </c>
      <c r="EE30" s="516" t="s">
        <v>111</v>
      </c>
      <c r="EF30" s="516" t="s">
        <v>1230</v>
      </c>
      <c r="EG30" s="516">
        <v>0</v>
      </c>
      <c r="EH30" s="516">
        <v>0</v>
      </c>
      <c r="EI30" s="516">
        <v>0</v>
      </c>
      <c r="EJ30" s="516">
        <v>0</v>
      </c>
      <c r="EK30" s="516">
        <v>0</v>
      </c>
      <c r="EL30" s="516">
        <v>1</v>
      </c>
      <c r="EM30" s="516">
        <v>1</v>
      </c>
      <c r="EN30" s="516"/>
      <c r="EO30" s="518"/>
      <c r="EP30" s="42"/>
    </row>
    <row r="31" spans="2:146">
      <c r="D31" s="4798" t="s">
        <v>1235</v>
      </c>
      <c r="E31" s="4606">
        <v>0</v>
      </c>
      <c r="F31" s="4606"/>
      <c r="G31" s="4606">
        <v>0</v>
      </c>
      <c r="H31" s="4606">
        <v>8</v>
      </c>
      <c r="I31" s="4606"/>
      <c r="J31" s="2552"/>
      <c r="K31" s="2552"/>
      <c r="L31" s="2552"/>
      <c r="M31" s="2552"/>
      <c r="N31" s="2552">
        <v>8</v>
      </c>
      <c r="R31" s="37" t="s">
        <v>16</v>
      </c>
      <c r="S31" s="37" t="s">
        <v>107</v>
      </c>
      <c r="T31" s="37" t="s">
        <v>1231</v>
      </c>
      <c r="U31" s="4803">
        <v>2</v>
      </c>
      <c r="V31" s="4803">
        <v>2</v>
      </c>
      <c r="W31" s="4803">
        <v>7</v>
      </c>
      <c r="X31" s="4803"/>
      <c r="Y31" s="1788"/>
      <c r="Z31" s="1788"/>
      <c r="AA31" s="1788">
        <v>11</v>
      </c>
      <c r="AD31" s="41"/>
      <c r="AE31" s="41"/>
      <c r="AF31" s="461"/>
      <c r="AG31" s="461" t="s">
        <v>1235</v>
      </c>
      <c r="AH31" s="2002">
        <v>0</v>
      </c>
      <c r="AI31" s="2002"/>
      <c r="AJ31" s="2002">
        <v>0</v>
      </c>
      <c r="AK31" s="2002">
        <v>3</v>
      </c>
      <c r="AL31" s="2002">
        <v>0</v>
      </c>
      <c r="AM31" s="2480"/>
      <c r="AN31" s="2480"/>
      <c r="AO31" s="2480"/>
      <c r="AP31" s="2480">
        <v>3</v>
      </c>
      <c r="AQ31" s="41"/>
      <c r="AS31" s="42" t="s">
        <v>25</v>
      </c>
      <c r="AT31" s="42" t="s">
        <v>4</v>
      </c>
      <c r="AU31" s="1995" t="s">
        <v>2532</v>
      </c>
      <c r="AV31" s="1995" t="s">
        <v>1230</v>
      </c>
      <c r="AW31" s="1993">
        <v>0</v>
      </c>
      <c r="AX31" s="1993"/>
      <c r="AY31" s="1993"/>
      <c r="AZ31" s="1993"/>
      <c r="BA31" s="1996"/>
      <c r="BB31" s="1996">
        <v>2</v>
      </c>
      <c r="BC31" s="1996">
        <v>2</v>
      </c>
      <c r="BF31" s="105"/>
      <c r="BI31" s="41" t="s">
        <v>1235</v>
      </c>
      <c r="BJ31" s="1659">
        <v>0</v>
      </c>
      <c r="BK31" s="1659">
        <v>0</v>
      </c>
      <c r="BL31" s="1659">
        <v>2</v>
      </c>
      <c r="BM31" s="1659">
        <v>0</v>
      </c>
      <c r="BN31" s="105"/>
      <c r="BO31" s="105"/>
      <c r="BP31" s="105">
        <v>2</v>
      </c>
      <c r="BS31" s="1341"/>
      <c r="BT31" s="1341"/>
      <c r="BU31" s="1341"/>
      <c r="BV31" s="1342" t="s">
        <v>1240</v>
      </c>
      <c r="BW31" s="1344">
        <v>0</v>
      </c>
      <c r="BX31" s="1344">
        <v>0</v>
      </c>
      <c r="BY31" s="1343"/>
      <c r="BZ31" s="1344">
        <v>6</v>
      </c>
      <c r="CA31" s="1343"/>
      <c r="CB31" s="1345"/>
      <c r="CC31" s="1346">
        <v>6</v>
      </c>
      <c r="CD31" s="1337"/>
      <c r="CF31" s="497"/>
      <c r="CG31" s="497"/>
      <c r="CH31" s="498"/>
      <c r="CI31" s="521" t="s">
        <v>15</v>
      </c>
      <c r="CJ31" s="522">
        <v>4</v>
      </c>
      <c r="CK31" s="522">
        <v>2</v>
      </c>
      <c r="CL31" s="522">
        <v>26</v>
      </c>
      <c r="CM31" s="522">
        <v>1</v>
      </c>
      <c r="CN31" s="524"/>
      <c r="CO31" s="525">
        <v>33</v>
      </c>
      <c r="CP31" s="526">
        <f>+(CO27+CO29+CO30)/CO31</f>
        <v>0.69696969696969702</v>
      </c>
      <c r="CR31" s="503"/>
      <c r="CS31" s="503"/>
      <c r="CT31" s="504"/>
      <c r="CU31" s="505" t="s">
        <v>1240</v>
      </c>
      <c r="CV31" s="506">
        <v>0</v>
      </c>
      <c r="CW31" s="506">
        <v>0</v>
      </c>
      <c r="CX31" s="506">
        <v>11</v>
      </c>
      <c r="CY31" s="506">
        <v>0</v>
      </c>
      <c r="CZ31" s="509">
        <v>0</v>
      </c>
      <c r="DA31" s="508"/>
      <c r="DB31" s="509">
        <v>11</v>
      </c>
      <c r="DC31" s="510"/>
      <c r="DE31" s="511"/>
      <c r="DF31" s="511"/>
      <c r="DG31" s="511"/>
      <c r="DH31" s="512" t="s">
        <v>1235</v>
      </c>
      <c r="DI31" s="513"/>
      <c r="DJ31" s="514">
        <v>0</v>
      </c>
      <c r="DK31" s="514">
        <v>7</v>
      </c>
      <c r="DL31" s="514">
        <v>5</v>
      </c>
      <c r="DM31" s="513"/>
      <c r="DN31" s="514">
        <v>12</v>
      </c>
      <c r="DO31" s="515"/>
      <c r="DQ31" s="70"/>
      <c r="DR31" s="70"/>
      <c r="DS31" s="42"/>
      <c r="DT31" s="42" t="s">
        <v>1233</v>
      </c>
      <c r="DU31" s="70"/>
      <c r="DV31" s="70">
        <v>1</v>
      </c>
      <c r="DW31" s="70">
        <v>0</v>
      </c>
      <c r="DX31" s="70">
        <v>0</v>
      </c>
      <c r="DY31" s="70">
        <v>0</v>
      </c>
      <c r="DZ31" s="70">
        <v>1</v>
      </c>
      <c r="EA31" s="42"/>
      <c r="EB31" s="42"/>
      <c r="EC31" s="516"/>
      <c r="ED31" s="517"/>
      <c r="EE31" s="516"/>
      <c r="EF31" s="516" t="s">
        <v>1231</v>
      </c>
      <c r="EG31" s="516">
        <v>2</v>
      </c>
      <c r="EH31" s="516">
        <v>0</v>
      </c>
      <c r="EI31" s="516">
        <v>0</v>
      </c>
      <c r="EJ31" s="516">
        <v>0</v>
      </c>
      <c r="EK31" s="516">
        <v>0</v>
      </c>
      <c r="EL31" s="516">
        <v>0</v>
      </c>
      <c r="EM31" s="516">
        <v>2</v>
      </c>
      <c r="EN31" s="516"/>
      <c r="EO31" s="518"/>
      <c r="EP31" s="42"/>
    </row>
    <row r="32" spans="2:146">
      <c r="D32" s="4798" t="s">
        <v>1240</v>
      </c>
      <c r="E32" s="4606">
        <v>0</v>
      </c>
      <c r="F32" s="4606"/>
      <c r="G32" s="4606">
        <v>0</v>
      </c>
      <c r="H32" s="4606">
        <v>16</v>
      </c>
      <c r="I32" s="4606"/>
      <c r="J32" s="2552"/>
      <c r="K32" s="2552"/>
      <c r="L32" s="2552"/>
      <c r="M32" s="2552"/>
      <c r="N32" s="2552">
        <v>16</v>
      </c>
      <c r="T32" s="37" t="s">
        <v>1233</v>
      </c>
      <c r="U32" s="4803">
        <v>2</v>
      </c>
      <c r="V32" s="4803">
        <v>1</v>
      </c>
      <c r="W32" s="4803">
        <v>0</v>
      </c>
      <c r="X32" s="4803"/>
      <c r="Y32" s="1788"/>
      <c r="Z32" s="1788"/>
      <c r="AA32" s="1788">
        <v>3</v>
      </c>
      <c r="AD32" s="41"/>
      <c r="AE32" s="41"/>
      <c r="AF32" s="461"/>
      <c r="AG32" s="461" t="s">
        <v>1865</v>
      </c>
      <c r="AH32" s="2002">
        <v>1</v>
      </c>
      <c r="AI32" s="2002"/>
      <c r="AJ32" s="2002">
        <v>0</v>
      </c>
      <c r="AK32" s="2002">
        <v>0</v>
      </c>
      <c r="AL32" s="2002">
        <v>0</v>
      </c>
      <c r="AM32" s="2480"/>
      <c r="AN32" s="2480"/>
      <c r="AO32" s="2480"/>
      <c r="AP32" s="2480">
        <v>1</v>
      </c>
      <c r="AQ32" s="41"/>
      <c r="AS32" s="42"/>
      <c r="AT32" s="42"/>
      <c r="AU32" s="1995"/>
      <c r="AV32" s="1995" t="s">
        <v>1236</v>
      </c>
      <c r="AW32" s="1993">
        <v>1</v>
      </c>
      <c r="AX32" s="1993"/>
      <c r="AY32" s="1993"/>
      <c r="AZ32" s="1993"/>
      <c r="BA32" s="1996"/>
      <c r="BB32" s="1996">
        <v>0</v>
      </c>
      <c r="BC32" s="1996">
        <v>1</v>
      </c>
      <c r="BF32" s="105"/>
      <c r="BI32" s="41" t="s">
        <v>1236</v>
      </c>
      <c r="BJ32" s="1659">
        <v>1</v>
      </c>
      <c r="BK32" s="1659">
        <v>1</v>
      </c>
      <c r="BL32" s="1659">
        <v>0</v>
      </c>
      <c r="BM32" s="1659">
        <v>0</v>
      </c>
      <c r="BN32" s="105"/>
      <c r="BO32" s="105"/>
      <c r="BP32" s="105">
        <v>2</v>
      </c>
      <c r="BS32" s="1341"/>
      <c r="BT32" s="1341"/>
      <c r="BU32" s="1341"/>
      <c r="BV32" s="1342" t="s">
        <v>1323</v>
      </c>
      <c r="BW32" s="1344">
        <v>0</v>
      </c>
      <c r="BX32" s="1344">
        <v>0</v>
      </c>
      <c r="BY32" s="1343"/>
      <c r="BZ32" s="1344">
        <v>3</v>
      </c>
      <c r="CA32" s="1343"/>
      <c r="CB32" s="1345"/>
      <c r="CC32" s="1346">
        <v>3</v>
      </c>
      <c r="CD32" s="1337"/>
      <c r="CF32" s="497"/>
      <c r="CG32" s="497"/>
      <c r="CH32" s="498" t="s">
        <v>545</v>
      </c>
      <c r="CI32" s="499" t="s">
        <v>1230</v>
      </c>
      <c r="CJ32" s="500">
        <v>0</v>
      </c>
      <c r="CK32" s="500">
        <v>0</v>
      </c>
      <c r="CL32" s="500">
        <v>0</v>
      </c>
      <c r="CM32" s="500">
        <v>1</v>
      </c>
      <c r="CN32" s="497"/>
      <c r="CO32" s="502">
        <v>1</v>
      </c>
      <c r="CP32" s="41"/>
      <c r="CR32" s="503"/>
      <c r="CS32" s="503"/>
      <c r="CT32" s="504"/>
      <c r="CU32" s="505" t="s">
        <v>1323</v>
      </c>
      <c r="CV32" s="506">
        <v>0</v>
      </c>
      <c r="CW32" s="506">
        <v>0</v>
      </c>
      <c r="CX32" s="506">
        <v>2</v>
      </c>
      <c r="CY32" s="506">
        <v>0</v>
      </c>
      <c r="CZ32" s="509">
        <v>0</v>
      </c>
      <c r="DA32" s="508"/>
      <c r="DB32" s="509">
        <v>2</v>
      </c>
      <c r="DC32" s="510"/>
      <c r="DE32" s="511"/>
      <c r="DF32" s="511"/>
      <c r="DG32" s="511"/>
      <c r="DH32" s="512" t="s">
        <v>1236</v>
      </c>
      <c r="DI32" s="513"/>
      <c r="DJ32" s="514">
        <v>2</v>
      </c>
      <c r="DK32" s="514">
        <v>1</v>
      </c>
      <c r="DL32" s="514">
        <v>0</v>
      </c>
      <c r="DM32" s="513"/>
      <c r="DN32" s="514">
        <v>3</v>
      </c>
      <c r="DO32" s="515"/>
      <c r="DQ32" s="70"/>
      <c r="DR32" s="70"/>
      <c r="DS32" s="42"/>
      <c r="DT32" s="42" t="s">
        <v>1235</v>
      </c>
      <c r="DU32" s="70"/>
      <c r="DV32" s="70">
        <v>0</v>
      </c>
      <c r="DW32" s="70">
        <v>6</v>
      </c>
      <c r="DX32" s="70">
        <v>8</v>
      </c>
      <c r="DY32" s="70">
        <v>0</v>
      </c>
      <c r="DZ32" s="70">
        <v>14</v>
      </c>
      <c r="EA32" s="42"/>
      <c r="EB32" s="42"/>
      <c r="EC32" s="516"/>
      <c r="ED32" s="517"/>
      <c r="EE32" s="516"/>
      <c r="EF32" s="516" t="s">
        <v>1235</v>
      </c>
      <c r="EG32" s="516">
        <v>1</v>
      </c>
      <c r="EH32" s="516">
        <v>0</v>
      </c>
      <c r="EI32" s="516">
        <v>0</v>
      </c>
      <c r="EJ32" s="516">
        <v>0</v>
      </c>
      <c r="EK32" s="516">
        <v>2</v>
      </c>
      <c r="EL32" s="516">
        <v>0</v>
      </c>
      <c r="EM32" s="516">
        <v>3</v>
      </c>
      <c r="EN32" s="516"/>
      <c r="EO32" s="518"/>
      <c r="EP32" s="42"/>
    </row>
    <row r="33" spans="1:146">
      <c r="D33" s="4798" t="s">
        <v>2963</v>
      </c>
      <c r="E33" s="4606">
        <v>2</v>
      </c>
      <c r="F33" s="4606"/>
      <c r="G33" s="4606">
        <v>0</v>
      </c>
      <c r="H33" s="4606">
        <v>0</v>
      </c>
      <c r="I33" s="4606"/>
      <c r="J33" s="2552"/>
      <c r="K33" s="2552"/>
      <c r="L33" s="2552"/>
      <c r="M33" s="2552"/>
      <c r="N33" s="2552">
        <v>2</v>
      </c>
      <c r="T33" s="37" t="s">
        <v>1235</v>
      </c>
      <c r="U33" s="4803">
        <v>0</v>
      </c>
      <c r="V33" s="4803">
        <v>0</v>
      </c>
      <c r="W33" s="4803">
        <v>39</v>
      </c>
      <c r="X33" s="4803"/>
      <c r="Y33" s="1788"/>
      <c r="Z33" s="1788"/>
      <c r="AA33" s="1788">
        <v>39</v>
      </c>
      <c r="AD33" s="41"/>
      <c r="AE33" s="41"/>
      <c r="AF33" s="461"/>
      <c r="AG33" s="461" t="s">
        <v>1240</v>
      </c>
      <c r="AH33" s="2002">
        <v>0</v>
      </c>
      <c r="AI33" s="2002"/>
      <c r="AJ33" s="2002">
        <v>0</v>
      </c>
      <c r="AK33" s="2002">
        <v>15</v>
      </c>
      <c r="AL33" s="2002">
        <v>0</v>
      </c>
      <c r="AM33" s="2480"/>
      <c r="AN33" s="2480"/>
      <c r="AO33" s="2480"/>
      <c r="AP33" s="2480">
        <v>15</v>
      </c>
      <c r="AQ33" s="41"/>
      <c r="AS33" s="42"/>
      <c r="AT33" s="42"/>
      <c r="AU33" s="1995"/>
      <c r="AV33" s="1997" t="s">
        <v>15</v>
      </c>
      <c r="AW33" s="1994">
        <v>1</v>
      </c>
      <c r="AX33" s="1994"/>
      <c r="AY33" s="1994"/>
      <c r="AZ33" s="1994"/>
      <c r="BA33" s="1998"/>
      <c r="BB33" s="1998">
        <v>2</v>
      </c>
      <c r="BC33" s="1998">
        <v>3</v>
      </c>
      <c r="BD33" s="129" t="s">
        <v>618</v>
      </c>
      <c r="BF33" s="105"/>
      <c r="BI33" s="41" t="s">
        <v>1323</v>
      </c>
      <c r="BJ33" s="1659">
        <v>0</v>
      </c>
      <c r="BK33" s="1659">
        <v>0</v>
      </c>
      <c r="BL33" s="1659">
        <v>45</v>
      </c>
      <c r="BM33" s="1659">
        <v>0</v>
      </c>
      <c r="BN33" s="105"/>
      <c r="BO33" s="105"/>
      <c r="BP33" s="105">
        <v>45</v>
      </c>
      <c r="BS33" s="1341"/>
      <c r="BT33" s="1341"/>
      <c r="BU33" s="1341"/>
      <c r="BV33" s="1336" t="s">
        <v>106</v>
      </c>
      <c r="BW33" s="1348">
        <v>4</v>
      </c>
      <c r="BX33" s="1348">
        <v>1</v>
      </c>
      <c r="BY33" s="1347"/>
      <c r="BZ33" s="1348">
        <v>28</v>
      </c>
      <c r="CA33" s="1347"/>
      <c r="CB33" s="1349"/>
      <c r="CC33" s="1350">
        <v>33</v>
      </c>
      <c r="CD33" s="1325">
        <f>+(CC29+CC31+CC32)/CC33</f>
        <v>0.39393939393939392</v>
      </c>
      <c r="CF33" s="497"/>
      <c r="CG33" s="497"/>
      <c r="CH33" s="498"/>
      <c r="CI33" s="499" t="s">
        <v>1231</v>
      </c>
      <c r="CJ33" s="500">
        <v>0</v>
      </c>
      <c r="CK33" s="500">
        <v>1</v>
      </c>
      <c r="CL33" s="500">
        <v>0</v>
      </c>
      <c r="CM33" s="500">
        <v>0</v>
      </c>
      <c r="CN33" s="497"/>
      <c r="CO33" s="502">
        <v>1</v>
      </c>
      <c r="CP33" s="41"/>
      <c r="CR33" s="503"/>
      <c r="CS33" s="503"/>
      <c r="CT33" s="504"/>
      <c r="CU33" s="527" t="s">
        <v>844</v>
      </c>
      <c r="CV33" s="528">
        <v>7</v>
      </c>
      <c r="CW33" s="528">
        <v>2</v>
      </c>
      <c r="CX33" s="528">
        <v>37</v>
      </c>
      <c r="CY33" s="528">
        <v>1</v>
      </c>
      <c r="CZ33" s="531">
        <v>29</v>
      </c>
      <c r="DA33" s="530"/>
      <c r="DB33" s="531">
        <v>76</v>
      </c>
      <c r="DC33" s="510">
        <f>+(DB32+DB31+DB30)/DB33</f>
        <v>0.39473684210526316</v>
      </c>
      <c r="DE33" s="511"/>
      <c r="DF33" s="511"/>
      <c r="DG33" s="511"/>
      <c r="DH33" s="512" t="s">
        <v>1323</v>
      </c>
      <c r="DI33" s="513"/>
      <c r="DJ33" s="514">
        <v>0</v>
      </c>
      <c r="DK33" s="514">
        <v>2</v>
      </c>
      <c r="DL33" s="514">
        <v>1</v>
      </c>
      <c r="DM33" s="513"/>
      <c r="DN33" s="514">
        <v>3</v>
      </c>
      <c r="DO33" s="515"/>
      <c r="DQ33" s="70"/>
      <c r="DR33" s="70"/>
      <c r="DS33" s="42"/>
      <c r="DT33" s="42" t="s">
        <v>1236</v>
      </c>
      <c r="DU33" s="70"/>
      <c r="DV33" s="70">
        <v>0</v>
      </c>
      <c r="DW33" s="70">
        <v>1</v>
      </c>
      <c r="DX33" s="70">
        <v>0</v>
      </c>
      <c r="DY33" s="70">
        <v>0</v>
      </c>
      <c r="DZ33" s="70">
        <v>1</v>
      </c>
      <c r="EA33" s="42"/>
      <c r="EB33" s="42"/>
      <c r="EC33" s="516"/>
      <c r="ED33" s="517"/>
      <c r="EE33" s="516"/>
      <c r="EF33" s="516" t="s">
        <v>1236</v>
      </c>
      <c r="EG33" s="516">
        <v>3</v>
      </c>
      <c r="EH33" s="516">
        <v>0</v>
      </c>
      <c r="EI33" s="516">
        <v>0</v>
      </c>
      <c r="EJ33" s="516">
        <v>0</v>
      </c>
      <c r="EK33" s="516">
        <v>0</v>
      </c>
      <c r="EL33" s="516">
        <v>0</v>
      </c>
      <c r="EM33" s="516">
        <v>3</v>
      </c>
      <c r="EN33" s="516"/>
      <c r="EO33" s="518"/>
      <c r="EP33" s="42"/>
    </row>
    <row r="34" spans="1:146">
      <c r="A34" s="4608"/>
      <c r="B34" s="4608"/>
      <c r="C34" s="4608"/>
      <c r="D34" s="4586" t="s">
        <v>15</v>
      </c>
      <c r="E34" s="4609">
        <v>2</v>
      </c>
      <c r="F34" s="4609"/>
      <c r="G34" s="4609">
        <v>1</v>
      </c>
      <c r="H34" s="4609">
        <v>26</v>
      </c>
      <c r="I34" s="4609"/>
      <c r="J34" s="4587"/>
      <c r="K34" s="4587"/>
      <c r="L34" s="4587"/>
      <c r="M34" s="4587"/>
      <c r="N34" s="4587">
        <v>29</v>
      </c>
      <c r="O34" s="4610">
        <f>+(N31+N32)/(N34-N33)</f>
        <v>0.88888888888888884</v>
      </c>
      <c r="T34" s="37" t="s">
        <v>1236</v>
      </c>
      <c r="U34" s="4803">
        <v>0</v>
      </c>
      <c r="V34" s="4803">
        <v>0</v>
      </c>
      <c r="W34" s="4803">
        <v>1</v>
      </c>
      <c r="X34" s="4803"/>
      <c r="Y34" s="1788"/>
      <c r="Z34" s="1788"/>
      <c r="AA34" s="1788">
        <v>1</v>
      </c>
      <c r="AD34" s="41"/>
      <c r="AE34" s="41"/>
      <c r="AF34" s="461"/>
      <c r="AG34" s="461" t="s">
        <v>1323</v>
      </c>
      <c r="AH34" s="2002">
        <v>0</v>
      </c>
      <c r="AI34" s="2002"/>
      <c r="AJ34" s="2002">
        <v>0</v>
      </c>
      <c r="AK34" s="2002">
        <v>2</v>
      </c>
      <c r="AL34" s="2002">
        <v>0</v>
      </c>
      <c r="AM34" s="2480"/>
      <c r="AN34" s="2480"/>
      <c r="AO34" s="2480"/>
      <c r="AP34" s="2480">
        <v>2</v>
      </c>
      <c r="AQ34" s="41"/>
      <c r="AS34" s="42"/>
      <c r="AT34" s="42" t="s">
        <v>16</v>
      </c>
      <c r="AU34" s="42" t="s">
        <v>107</v>
      </c>
      <c r="AV34" s="42" t="s">
        <v>1235</v>
      </c>
      <c r="AW34" s="1993"/>
      <c r="AX34" s="1993"/>
      <c r="AY34" s="1993">
        <v>11</v>
      </c>
      <c r="AZ34" s="1993">
        <v>1</v>
      </c>
      <c r="BA34" s="70"/>
      <c r="BB34" s="70"/>
      <c r="BC34" s="70">
        <v>12</v>
      </c>
      <c r="BF34" s="105"/>
      <c r="BI34" s="461" t="s">
        <v>545</v>
      </c>
      <c r="BJ34" s="1660">
        <v>4</v>
      </c>
      <c r="BK34" s="1660">
        <v>2</v>
      </c>
      <c r="BL34" s="1660">
        <v>50</v>
      </c>
      <c r="BM34" s="1660">
        <v>1</v>
      </c>
      <c r="BN34" s="96"/>
      <c r="BO34" s="96"/>
      <c r="BP34" s="96">
        <v>57</v>
      </c>
      <c r="BQ34" s="635">
        <f>+(BP31+BP33)/BP34</f>
        <v>0.82456140350877194</v>
      </c>
      <c r="BS34" s="1341" t="s">
        <v>25</v>
      </c>
      <c r="BT34" s="1341" t="s">
        <v>16</v>
      </c>
      <c r="BU34" s="1341" t="s">
        <v>107</v>
      </c>
      <c r="BV34" s="1342" t="s">
        <v>1235</v>
      </c>
      <c r="BW34" s="1343"/>
      <c r="BX34" s="1343"/>
      <c r="BY34" s="1343"/>
      <c r="BZ34" s="1344">
        <v>12</v>
      </c>
      <c r="CA34" s="1343"/>
      <c r="CB34" s="1345"/>
      <c r="CC34" s="1346">
        <v>12</v>
      </c>
      <c r="CD34" s="1337"/>
      <c r="CF34" s="497"/>
      <c r="CG34" s="497"/>
      <c r="CH34" s="498"/>
      <c r="CI34" s="499" t="s">
        <v>1235</v>
      </c>
      <c r="CJ34" s="500">
        <v>0</v>
      </c>
      <c r="CK34" s="500">
        <v>0</v>
      </c>
      <c r="CL34" s="500">
        <v>2</v>
      </c>
      <c r="CM34" s="500">
        <v>0</v>
      </c>
      <c r="CN34" s="497"/>
      <c r="CO34" s="502">
        <v>2</v>
      </c>
      <c r="CP34" s="41"/>
      <c r="CR34" s="503"/>
      <c r="CS34" s="503"/>
      <c r="CT34" s="527" t="s">
        <v>106</v>
      </c>
      <c r="CU34" s="505" t="s">
        <v>1230</v>
      </c>
      <c r="CV34" s="506">
        <v>0</v>
      </c>
      <c r="CW34" s="506">
        <v>0</v>
      </c>
      <c r="CX34" s="506">
        <v>0</v>
      </c>
      <c r="CY34" s="506">
        <v>0</v>
      </c>
      <c r="CZ34" s="509">
        <v>29</v>
      </c>
      <c r="DA34" s="508"/>
      <c r="DB34" s="509">
        <v>29</v>
      </c>
      <c r="DC34" s="510"/>
      <c r="DE34" s="511"/>
      <c r="DF34" s="511"/>
      <c r="DG34" s="511"/>
      <c r="DH34" s="532" t="s">
        <v>15</v>
      </c>
      <c r="DI34" s="533"/>
      <c r="DJ34" s="534">
        <v>2</v>
      </c>
      <c r="DK34" s="534">
        <v>12</v>
      </c>
      <c r="DL34" s="534">
        <v>10</v>
      </c>
      <c r="DM34" s="533"/>
      <c r="DN34" s="534">
        <v>24</v>
      </c>
      <c r="DO34" s="535">
        <f>+(DN33+DN31)/DN34</f>
        <v>0.625</v>
      </c>
      <c r="DQ34" s="70"/>
      <c r="DR34" s="70"/>
      <c r="DS34" s="42"/>
      <c r="DT34" s="42" t="s">
        <v>1323</v>
      </c>
      <c r="DU34" s="70"/>
      <c r="DV34" s="70">
        <v>0</v>
      </c>
      <c r="DW34" s="70">
        <v>0</v>
      </c>
      <c r="DX34" s="70">
        <v>1</v>
      </c>
      <c r="DY34" s="70">
        <v>1</v>
      </c>
      <c r="DZ34" s="70">
        <v>2</v>
      </c>
      <c r="EA34" s="42"/>
      <c r="EB34" s="42"/>
      <c r="EC34" s="516"/>
      <c r="ED34" s="517"/>
      <c r="EE34" s="516"/>
      <c r="EF34" s="516" t="s">
        <v>1240</v>
      </c>
      <c r="EG34" s="516">
        <v>0</v>
      </c>
      <c r="EH34" s="516">
        <v>0</v>
      </c>
      <c r="EI34" s="516">
        <v>0</v>
      </c>
      <c r="EJ34" s="516">
        <v>1</v>
      </c>
      <c r="EK34" s="516">
        <v>35</v>
      </c>
      <c r="EL34" s="516">
        <v>1</v>
      </c>
      <c r="EM34" s="516">
        <v>37</v>
      </c>
      <c r="EN34" s="516"/>
      <c r="EO34" s="518"/>
      <c r="EP34" s="42"/>
    </row>
    <row r="35" spans="1:146">
      <c r="A35" s="4798" t="s">
        <v>25</v>
      </c>
      <c r="B35" s="4798" t="s">
        <v>4</v>
      </c>
      <c r="C35" s="4798" t="s">
        <v>2964</v>
      </c>
      <c r="D35" s="4798" t="s">
        <v>1239</v>
      </c>
      <c r="E35" s="4606"/>
      <c r="F35" s="4606"/>
      <c r="G35" s="4606"/>
      <c r="H35" s="4606"/>
      <c r="I35" s="4606"/>
      <c r="J35" s="4606"/>
      <c r="K35" s="4606"/>
      <c r="L35" s="4606">
        <v>0</v>
      </c>
      <c r="M35" s="4606">
        <v>1</v>
      </c>
      <c r="N35" s="4606">
        <v>1</v>
      </c>
      <c r="T35" s="37" t="s">
        <v>1240</v>
      </c>
      <c r="U35" s="4803">
        <v>0</v>
      </c>
      <c r="V35" s="4803">
        <v>0</v>
      </c>
      <c r="W35" s="4803">
        <v>1</v>
      </c>
      <c r="X35" s="4803"/>
      <c r="Y35" s="1788"/>
      <c r="Z35" s="1788"/>
      <c r="AA35" s="1788">
        <v>1</v>
      </c>
      <c r="AD35" s="41"/>
      <c r="AE35" s="41"/>
      <c r="AF35" s="461"/>
      <c r="AG35" s="461" t="s">
        <v>106</v>
      </c>
      <c r="AH35" s="2002">
        <v>1</v>
      </c>
      <c r="AI35" s="2002"/>
      <c r="AJ35" s="2002">
        <v>2</v>
      </c>
      <c r="AK35" s="2002">
        <v>28</v>
      </c>
      <c r="AL35" s="2002">
        <v>2</v>
      </c>
      <c r="AM35" s="2480"/>
      <c r="AN35" s="2480"/>
      <c r="AO35" s="2480"/>
      <c r="AP35" s="2480">
        <v>33</v>
      </c>
      <c r="AQ35" s="635">
        <f>+(AP34+AP33+AP31)/AP35</f>
        <v>0.60606060606060608</v>
      </c>
      <c r="AS35" s="42"/>
      <c r="AT35" s="42"/>
      <c r="AU35" s="42"/>
      <c r="AV35" s="484" t="s">
        <v>15</v>
      </c>
      <c r="AW35" s="1994"/>
      <c r="AX35" s="1994"/>
      <c r="AY35" s="1994">
        <v>11</v>
      </c>
      <c r="AZ35" s="1994">
        <v>1</v>
      </c>
      <c r="BA35" s="454"/>
      <c r="BB35" s="454"/>
      <c r="BC35" s="454">
        <v>12</v>
      </c>
      <c r="BD35" s="1977">
        <f>+BC34/BC35</f>
        <v>1</v>
      </c>
      <c r="BF35" s="105"/>
      <c r="BG35" s="105" t="s">
        <v>41</v>
      </c>
      <c r="BH35" s="41" t="s">
        <v>108</v>
      </c>
      <c r="BI35" s="41" t="s">
        <v>1231</v>
      </c>
      <c r="BJ35" s="1659">
        <v>0</v>
      </c>
      <c r="BK35" s="1659"/>
      <c r="BL35" s="1659">
        <v>3</v>
      </c>
      <c r="BM35" s="1659">
        <v>2</v>
      </c>
      <c r="BN35" s="105">
        <v>0</v>
      </c>
      <c r="BO35" s="105">
        <v>0</v>
      </c>
      <c r="BP35" s="105">
        <v>5</v>
      </c>
      <c r="BS35" s="1341"/>
      <c r="BT35" s="1341"/>
      <c r="BU35" s="1341"/>
      <c r="BV35" s="1342" t="s">
        <v>1240</v>
      </c>
      <c r="BW35" s="1343"/>
      <c r="BX35" s="1343"/>
      <c r="BY35" s="1343"/>
      <c r="BZ35" s="1344">
        <v>2</v>
      </c>
      <c r="CA35" s="1343"/>
      <c r="CB35" s="1345"/>
      <c r="CC35" s="1346">
        <v>2</v>
      </c>
      <c r="CD35" s="1337"/>
      <c r="CF35" s="497"/>
      <c r="CG35" s="497"/>
      <c r="CH35" s="498"/>
      <c r="CI35" s="499" t="s">
        <v>1236</v>
      </c>
      <c r="CJ35" s="500">
        <v>4</v>
      </c>
      <c r="CK35" s="500">
        <v>1</v>
      </c>
      <c r="CL35" s="500">
        <v>3</v>
      </c>
      <c r="CM35" s="500">
        <v>0</v>
      </c>
      <c r="CN35" s="497"/>
      <c r="CO35" s="502">
        <v>8</v>
      </c>
      <c r="CP35" s="41"/>
      <c r="CR35" s="503"/>
      <c r="CS35" s="503"/>
      <c r="CT35" s="504"/>
      <c r="CU35" s="505" t="s">
        <v>1231</v>
      </c>
      <c r="CV35" s="506">
        <v>7</v>
      </c>
      <c r="CW35" s="506">
        <v>2</v>
      </c>
      <c r="CX35" s="506">
        <v>10</v>
      </c>
      <c r="CY35" s="506">
        <v>2</v>
      </c>
      <c r="CZ35" s="509">
        <v>0</v>
      </c>
      <c r="DA35" s="508"/>
      <c r="DB35" s="509">
        <v>21</v>
      </c>
      <c r="DC35" s="510"/>
      <c r="DE35" s="511"/>
      <c r="DF35" s="511"/>
      <c r="DG35" s="511" t="s">
        <v>1324</v>
      </c>
      <c r="DH35" s="512" t="s">
        <v>1230</v>
      </c>
      <c r="DI35" s="514">
        <v>0</v>
      </c>
      <c r="DJ35" s="513"/>
      <c r="DK35" s="513"/>
      <c r="DL35" s="513"/>
      <c r="DM35" s="514">
        <v>8</v>
      </c>
      <c r="DN35" s="514">
        <v>8</v>
      </c>
      <c r="DO35" s="515"/>
      <c r="DQ35" s="70"/>
      <c r="DR35" s="70"/>
      <c r="DS35" s="42"/>
      <c r="DT35" s="484" t="s">
        <v>15</v>
      </c>
      <c r="DU35" s="454"/>
      <c r="DV35" s="454">
        <v>2</v>
      </c>
      <c r="DW35" s="454">
        <v>9</v>
      </c>
      <c r="DX35" s="454">
        <v>9</v>
      </c>
      <c r="DY35" s="454">
        <v>1</v>
      </c>
      <c r="DZ35" s="454">
        <v>21</v>
      </c>
      <c r="EA35" s="536">
        <f>+(DZ32+DZ34-DY34)/DZ35</f>
        <v>0.7142857142857143</v>
      </c>
      <c r="EB35" s="42"/>
      <c r="EC35" s="516"/>
      <c r="ED35" s="517"/>
      <c r="EE35" s="516"/>
      <c r="EF35" s="519" t="s">
        <v>15</v>
      </c>
      <c r="EG35" s="519">
        <v>6</v>
      </c>
      <c r="EH35" s="519">
        <v>0</v>
      </c>
      <c r="EI35" s="519">
        <v>0</v>
      </c>
      <c r="EJ35" s="519">
        <v>1</v>
      </c>
      <c r="EK35" s="519">
        <v>37</v>
      </c>
      <c r="EL35" s="519">
        <v>2</v>
      </c>
      <c r="EM35" s="519">
        <v>46</v>
      </c>
      <c r="EN35" s="520">
        <f>+(EM34+EM32-EL34)/EM35</f>
        <v>0.84782608695652173</v>
      </c>
      <c r="EO35" s="518">
        <f>+EM32+EM34-EL34</f>
        <v>39</v>
      </c>
      <c r="EP35" s="42"/>
    </row>
    <row r="36" spans="1:146">
      <c r="D36" s="4798" t="s">
        <v>1323</v>
      </c>
      <c r="E36" s="4606"/>
      <c r="F36" s="4606"/>
      <c r="G36" s="4606"/>
      <c r="H36" s="4606"/>
      <c r="I36" s="4606"/>
      <c r="J36" s="4606"/>
      <c r="K36" s="4606"/>
      <c r="L36" s="4606">
        <v>1</v>
      </c>
      <c r="M36" s="4606">
        <v>0</v>
      </c>
      <c r="N36" s="4606">
        <v>1</v>
      </c>
      <c r="T36" s="1793" t="s">
        <v>15</v>
      </c>
      <c r="U36" s="4804">
        <v>4</v>
      </c>
      <c r="V36" s="4804">
        <v>3</v>
      </c>
      <c r="W36" s="4804">
        <v>48</v>
      </c>
      <c r="X36" s="4804"/>
      <c r="Y36" s="4702"/>
      <c r="Z36" s="4702"/>
      <c r="AA36" s="4702">
        <v>55</v>
      </c>
      <c r="AB36" s="4703">
        <f>+(AA33+AA35)/AA36</f>
        <v>0.72727272727272729</v>
      </c>
      <c r="AD36" s="41" t="s">
        <v>25</v>
      </c>
      <c r="AE36" s="41" t="s">
        <v>16</v>
      </c>
      <c r="AF36" s="41" t="s">
        <v>107</v>
      </c>
      <c r="AG36" s="41" t="s">
        <v>1230</v>
      </c>
      <c r="AH36" s="2001"/>
      <c r="AI36" s="2001">
        <v>0</v>
      </c>
      <c r="AJ36" s="2001">
        <v>0</v>
      </c>
      <c r="AK36" s="2001">
        <v>0</v>
      </c>
      <c r="AL36" s="2001">
        <v>1</v>
      </c>
      <c r="AM36" s="105"/>
      <c r="AN36" s="105"/>
      <c r="AO36" s="105"/>
      <c r="AP36" s="105">
        <v>1</v>
      </c>
      <c r="AQ36" s="41"/>
      <c r="AS36" s="42"/>
      <c r="AT36" s="42"/>
      <c r="AU36" s="42" t="s">
        <v>545</v>
      </c>
      <c r="AV36" s="42" t="s">
        <v>1235</v>
      </c>
      <c r="AW36" s="1993"/>
      <c r="AX36" s="1993"/>
      <c r="AY36" s="1993">
        <v>11</v>
      </c>
      <c r="AZ36" s="1993">
        <v>1</v>
      </c>
      <c r="BA36" s="70"/>
      <c r="BB36" s="70"/>
      <c r="BC36" s="70">
        <v>12</v>
      </c>
      <c r="BF36" s="105"/>
      <c r="BI36" s="41" t="s">
        <v>1235</v>
      </c>
      <c r="BJ36" s="1659">
        <v>0</v>
      </c>
      <c r="BK36" s="1659"/>
      <c r="BL36" s="1659">
        <v>2</v>
      </c>
      <c r="BM36" s="1659">
        <v>1</v>
      </c>
      <c r="BN36" s="105">
        <v>2</v>
      </c>
      <c r="BO36" s="105">
        <v>1</v>
      </c>
      <c r="BP36" s="105">
        <v>6</v>
      </c>
      <c r="BS36" s="1341"/>
      <c r="BT36" s="1341"/>
      <c r="BU36" s="1341"/>
      <c r="BV36" s="1342" t="s">
        <v>1323</v>
      </c>
      <c r="BW36" s="1343"/>
      <c r="BX36" s="1343"/>
      <c r="BY36" s="1343"/>
      <c r="BZ36" s="1344">
        <v>1</v>
      </c>
      <c r="CA36" s="1343"/>
      <c r="CB36" s="1345"/>
      <c r="CC36" s="1346">
        <v>1</v>
      </c>
      <c r="CD36" s="1337"/>
      <c r="CF36" s="497"/>
      <c r="CG36" s="497"/>
      <c r="CH36" s="498"/>
      <c r="CI36" s="499" t="s">
        <v>1240</v>
      </c>
      <c r="CJ36" s="500">
        <v>0</v>
      </c>
      <c r="CK36" s="500">
        <v>0</v>
      </c>
      <c r="CL36" s="500">
        <v>1</v>
      </c>
      <c r="CM36" s="500">
        <v>0</v>
      </c>
      <c r="CN36" s="497"/>
      <c r="CO36" s="502">
        <v>1</v>
      </c>
      <c r="CP36" s="41"/>
      <c r="CR36" s="503"/>
      <c r="CS36" s="503"/>
      <c r="CT36" s="504"/>
      <c r="CU36" s="505" t="s">
        <v>1233</v>
      </c>
      <c r="CV36" s="506">
        <v>1</v>
      </c>
      <c r="CW36" s="506">
        <v>0</v>
      </c>
      <c r="CX36" s="506">
        <v>1</v>
      </c>
      <c r="CY36" s="506">
        <v>0</v>
      </c>
      <c r="CZ36" s="509">
        <v>0</v>
      </c>
      <c r="DA36" s="508"/>
      <c r="DB36" s="509">
        <v>2</v>
      </c>
      <c r="DC36" s="510"/>
      <c r="DE36" s="511"/>
      <c r="DF36" s="511"/>
      <c r="DG36" s="511"/>
      <c r="DH36" s="512" t="s">
        <v>1231</v>
      </c>
      <c r="DI36" s="514">
        <v>3</v>
      </c>
      <c r="DJ36" s="513"/>
      <c r="DK36" s="513"/>
      <c r="DL36" s="513"/>
      <c r="DM36" s="514">
        <v>0</v>
      </c>
      <c r="DN36" s="514">
        <v>3</v>
      </c>
      <c r="DO36" s="515"/>
      <c r="DQ36" s="70"/>
      <c r="DR36" s="70"/>
      <c r="DS36" s="42" t="s">
        <v>109</v>
      </c>
      <c r="DT36" s="42" t="s">
        <v>1230</v>
      </c>
      <c r="DU36" s="70"/>
      <c r="DV36" s="70"/>
      <c r="DW36" s="70"/>
      <c r="DX36" s="70"/>
      <c r="DY36" s="70">
        <v>4</v>
      </c>
      <c r="DZ36" s="70">
        <v>4</v>
      </c>
      <c r="EA36" s="42"/>
      <c r="EB36" s="42"/>
      <c r="EC36" s="516"/>
      <c r="ED36" s="517" t="s">
        <v>41</v>
      </c>
      <c r="EE36" s="516" t="s">
        <v>138</v>
      </c>
      <c r="EF36" s="516" t="s">
        <v>1230</v>
      </c>
      <c r="EG36" s="516">
        <v>0</v>
      </c>
      <c r="EH36" s="516">
        <v>0</v>
      </c>
      <c r="EI36" s="516">
        <v>0</v>
      </c>
      <c r="EJ36" s="516">
        <v>0</v>
      </c>
      <c r="EK36" s="516">
        <v>3</v>
      </c>
      <c r="EL36" s="516">
        <v>10</v>
      </c>
      <c r="EM36" s="516">
        <v>13</v>
      </c>
      <c r="EN36" s="516"/>
      <c r="EO36" s="518"/>
      <c r="EP36" s="42"/>
    </row>
    <row r="37" spans="1:146">
      <c r="D37" s="4798" t="s">
        <v>15</v>
      </c>
      <c r="E37" s="4606"/>
      <c r="F37" s="4606"/>
      <c r="G37" s="4606"/>
      <c r="H37" s="4606"/>
      <c r="I37" s="4606"/>
      <c r="J37" s="4606"/>
      <c r="K37" s="4606"/>
      <c r="L37" s="4606">
        <v>1</v>
      </c>
      <c r="M37" s="4606">
        <v>1</v>
      </c>
      <c r="N37" s="4606">
        <v>2</v>
      </c>
      <c r="O37" s="1977">
        <v>0</v>
      </c>
      <c r="S37" s="1793" t="s">
        <v>545</v>
      </c>
      <c r="T37" s="1793" t="s">
        <v>1231</v>
      </c>
      <c r="U37" s="4804">
        <v>2</v>
      </c>
      <c r="V37" s="4804">
        <v>2</v>
      </c>
      <c r="W37" s="4804">
        <v>7</v>
      </c>
      <c r="X37" s="4804"/>
      <c r="Y37" s="4702"/>
      <c r="Z37" s="4702"/>
      <c r="AA37" s="4702">
        <v>11</v>
      </c>
      <c r="AB37" s="4703"/>
      <c r="AD37" s="41"/>
      <c r="AE37" s="41"/>
      <c r="AF37" s="41"/>
      <c r="AG37" s="41" t="s">
        <v>1233</v>
      </c>
      <c r="AH37" s="2001"/>
      <c r="AI37" s="2001">
        <v>2</v>
      </c>
      <c r="AJ37" s="2001">
        <v>0</v>
      </c>
      <c r="AK37" s="2001">
        <v>0</v>
      </c>
      <c r="AL37" s="2001">
        <v>0</v>
      </c>
      <c r="AM37" s="105"/>
      <c r="AN37" s="105"/>
      <c r="AO37" s="105"/>
      <c r="AP37" s="105">
        <v>2</v>
      </c>
      <c r="AQ37" s="41"/>
      <c r="AS37" s="42"/>
      <c r="AT37" s="42"/>
      <c r="AU37" s="42"/>
      <c r="AV37" s="484" t="s">
        <v>545</v>
      </c>
      <c r="AW37" s="1994"/>
      <c r="AX37" s="1994"/>
      <c r="AY37" s="1994">
        <v>11</v>
      </c>
      <c r="AZ37" s="1994">
        <v>1</v>
      </c>
      <c r="BA37" s="454"/>
      <c r="BB37" s="454"/>
      <c r="BC37" s="454">
        <v>12</v>
      </c>
      <c r="BD37" s="1977">
        <f>+BC36/BC37</f>
        <v>1</v>
      </c>
      <c r="BF37" s="105"/>
      <c r="BI37" s="41" t="s">
        <v>1236</v>
      </c>
      <c r="BJ37" s="1659">
        <v>1</v>
      </c>
      <c r="BK37" s="1659"/>
      <c r="BL37" s="1659">
        <v>1</v>
      </c>
      <c r="BM37" s="1659">
        <v>0</v>
      </c>
      <c r="BN37" s="105">
        <v>0</v>
      </c>
      <c r="BO37" s="105">
        <v>0</v>
      </c>
      <c r="BP37" s="105">
        <v>2</v>
      </c>
      <c r="BS37" s="1341"/>
      <c r="BT37" s="1341"/>
      <c r="BU37" s="1341"/>
      <c r="BV37" s="1336" t="s">
        <v>15</v>
      </c>
      <c r="BW37" s="1347"/>
      <c r="BX37" s="1347"/>
      <c r="BY37" s="1347"/>
      <c r="BZ37" s="1348">
        <v>15</v>
      </c>
      <c r="CA37" s="1347"/>
      <c r="CB37" s="1349"/>
      <c r="CC37" s="1350">
        <v>15</v>
      </c>
      <c r="CD37" s="1325">
        <f>+(CC34+CC35+CC36)/CC37</f>
        <v>1</v>
      </c>
      <c r="CF37" s="497"/>
      <c r="CG37" s="497"/>
      <c r="CH37" s="498"/>
      <c r="CI37" s="499" t="s">
        <v>1323</v>
      </c>
      <c r="CJ37" s="500">
        <v>0</v>
      </c>
      <c r="CK37" s="500">
        <v>0</v>
      </c>
      <c r="CL37" s="500">
        <v>20</v>
      </c>
      <c r="CM37" s="500">
        <v>0</v>
      </c>
      <c r="CN37" s="497"/>
      <c r="CO37" s="502">
        <v>20</v>
      </c>
      <c r="CP37" s="41"/>
      <c r="CR37" s="503"/>
      <c r="CS37" s="503"/>
      <c r="CT37" s="504"/>
      <c r="CU37" s="505" t="s">
        <v>1235</v>
      </c>
      <c r="CV37" s="506">
        <v>0</v>
      </c>
      <c r="CW37" s="506">
        <v>0</v>
      </c>
      <c r="CX37" s="506">
        <v>20</v>
      </c>
      <c r="CY37" s="506">
        <v>0</v>
      </c>
      <c r="CZ37" s="509">
        <v>0</v>
      </c>
      <c r="DA37" s="508"/>
      <c r="DB37" s="509">
        <v>20</v>
      </c>
      <c r="DC37" s="510"/>
      <c r="DE37" s="511"/>
      <c r="DF37" s="511"/>
      <c r="DG37" s="511"/>
      <c r="DH37" s="532" t="s">
        <v>15</v>
      </c>
      <c r="DI37" s="534">
        <v>3</v>
      </c>
      <c r="DJ37" s="533"/>
      <c r="DK37" s="533"/>
      <c r="DL37" s="533"/>
      <c r="DM37" s="534">
        <v>8</v>
      </c>
      <c r="DN37" s="534">
        <v>11</v>
      </c>
      <c r="DO37" s="535">
        <v>0</v>
      </c>
      <c r="DQ37" s="70"/>
      <c r="DR37" s="70"/>
      <c r="DS37" s="42"/>
      <c r="DT37" s="484" t="s">
        <v>15</v>
      </c>
      <c r="DU37" s="454"/>
      <c r="DV37" s="454"/>
      <c r="DW37" s="454"/>
      <c r="DX37" s="454"/>
      <c r="DY37" s="454">
        <v>4</v>
      </c>
      <c r="DZ37" s="454">
        <v>4</v>
      </c>
      <c r="EA37" s="538">
        <v>0</v>
      </c>
      <c r="EB37" s="42"/>
      <c r="EC37" s="516"/>
      <c r="ED37" s="517"/>
      <c r="EE37" s="516"/>
      <c r="EF37" s="519" t="s">
        <v>15</v>
      </c>
      <c r="EG37" s="519">
        <v>0</v>
      </c>
      <c r="EH37" s="519">
        <v>0</v>
      </c>
      <c r="EI37" s="519">
        <v>0</v>
      </c>
      <c r="EJ37" s="519">
        <v>0</v>
      </c>
      <c r="EK37" s="519">
        <v>3</v>
      </c>
      <c r="EL37" s="519">
        <v>10</v>
      </c>
      <c r="EM37" s="519">
        <v>13</v>
      </c>
      <c r="EN37" s="520">
        <f>0/EM37</f>
        <v>0</v>
      </c>
      <c r="EO37" s="518">
        <v>0</v>
      </c>
      <c r="EP37" s="42"/>
    </row>
    <row r="38" spans="1:146">
      <c r="C38" s="4798" t="s">
        <v>544</v>
      </c>
      <c r="D38" s="4798" t="s">
        <v>1239</v>
      </c>
      <c r="E38" s="4606"/>
      <c r="F38" s="4606"/>
      <c r="G38" s="4606"/>
      <c r="H38" s="4606"/>
      <c r="I38" s="4606"/>
      <c r="J38" s="4606"/>
      <c r="K38" s="4606"/>
      <c r="L38" s="4606">
        <v>0</v>
      </c>
      <c r="M38" s="4606">
        <v>1</v>
      </c>
      <c r="N38" s="4606">
        <v>1</v>
      </c>
      <c r="S38" s="1793"/>
      <c r="T38" s="1793" t="s">
        <v>1233</v>
      </c>
      <c r="U38" s="4804">
        <v>2</v>
      </c>
      <c r="V38" s="4804">
        <v>1</v>
      </c>
      <c r="W38" s="4804">
        <v>0</v>
      </c>
      <c r="X38" s="4804"/>
      <c r="Y38" s="4702"/>
      <c r="Z38" s="4702"/>
      <c r="AA38" s="4702">
        <v>3</v>
      </c>
      <c r="AB38" s="4703"/>
      <c r="AD38" s="41"/>
      <c r="AE38" s="41"/>
      <c r="AF38" s="41"/>
      <c r="AG38" s="41" t="s">
        <v>1235</v>
      </c>
      <c r="AH38" s="2001"/>
      <c r="AI38" s="2001">
        <v>0</v>
      </c>
      <c r="AJ38" s="2001">
        <v>0</v>
      </c>
      <c r="AK38" s="2001">
        <v>1</v>
      </c>
      <c r="AL38" s="2001">
        <v>1</v>
      </c>
      <c r="AM38" s="105"/>
      <c r="AN38" s="105"/>
      <c r="AO38" s="105"/>
      <c r="AP38" s="105">
        <v>2</v>
      </c>
      <c r="AQ38" s="41"/>
      <c r="AS38" s="42"/>
      <c r="AT38" s="42" t="s">
        <v>41</v>
      </c>
      <c r="AU38" s="42" t="s">
        <v>108</v>
      </c>
      <c r="AV38" s="42" t="s">
        <v>1231</v>
      </c>
      <c r="AW38" s="1993"/>
      <c r="AX38" s="1993"/>
      <c r="AY38" s="1993">
        <v>0</v>
      </c>
      <c r="AZ38" s="1993">
        <v>1</v>
      </c>
      <c r="BA38" s="70">
        <v>0</v>
      </c>
      <c r="BB38" s="70">
        <v>1</v>
      </c>
      <c r="BC38" s="70">
        <v>2</v>
      </c>
      <c r="BF38" s="105"/>
      <c r="BI38" s="41" t="s">
        <v>1239</v>
      </c>
      <c r="BJ38" s="1659">
        <v>0</v>
      </c>
      <c r="BK38" s="1659"/>
      <c r="BL38" s="1659">
        <v>0</v>
      </c>
      <c r="BM38" s="1659">
        <v>0</v>
      </c>
      <c r="BN38" s="105">
        <v>1</v>
      </c>
      <c r="BO38" s="105">
        <v>1</v>
      </c>
      <c r="BP38" s="105">
        <v>2</v>
      </c>
      <c r="BS38" s="1341"/>
      <c r="BT38" s="1341"/>
      <c r="BU38" s="1341" t="s">
        <v>545</v>
      </c>
      <c r="BV38" s="1342" t="s">
        <v>1235</v>
      </c>
      <c r="BW38" s="1343"/>
      <c r="BX38" s="1343"/>
      <c r="BY38" s="1343"/>
      <c r="BZ38" s="1344">
        <v>12</v>
      </c>
      <c r="CA38" s="1343"/>
      <c r="CB38" s="1345"/>
      <c r="CC38" s="1346">
        <v>12</v>
      </c>
      <c r="CD38" s="1337"/>
      <c r="CF38" s="497"/>
      <c r="CG38" s="497"/>
      <c r="CH38" s="498"/>
      <c r="CI38" s="521" t="s">
        <v>545</v>
      </c>
      <c r="CJ38" s="522">
        <v>4</v>
      </c>
      <c r="CK38" s="522">
        <v>2</v>
      </c>
      <c r="CL38" s="522">
        <v>26</v>
      </c>
      <c r="CM38" s="522">
        <v>1</v>
      </c>
      <c r="CN38" s="524"/>
      <c r="CO38" s="525">
        <v>33</v>
      </c>
      <c r="CP38" s="526">
        <f>+(CO34+CO36+CO37)/CO38</f>
        <v>0.69696969696969702</v>
      </c>
      <c r="CR38" s="503"/>
      <c r="CS38" s="503"/>
      <c r="CT38" s="504"/>
      <c r="CU38" s="505" t="s">
        <v>1240</v>
      </c>
      <c r="CV38" s="506">
        <v>0</v>
      </c>
      <c r="CW38" s="506">
        <v>0</v>
      </c>
      <c r="CX38" s="506">
        <v>14</v>
      </c>
      <c r="CY38" s="506">
        <v>0</v>
      </c>
      <c r="CZ38" s="509">
        <v>0</v>
      </c>
      <c r="DA38" s="508"/>
      <c r="DB38" s="509">
        <v>14</v>
      </c>
      <c r="DC38" s="510"/>
      <c r="DE38" s="511" t="s">
        <v>48</v>
      </c>
      <c r="DF38" s="511" t="s">
        <v>16</v>
      </c>
      <c r="DG38" s="511" t="s">
        <v>111</v>
      </c>
      <c r="DH38" s="512" t="s">
        <v>1230</v>
      </c>
      <c r="DI38" s="514">
        <v>0</v>
      </c>
      <c r="DJ38" s="513"/>
      <c r="DK38" s="514">
        <v>0</v>
      </c>
      <c r="DL38" s="514">
        <v>0</v>
      </c>
      <c r="DM38" s="514">
        <v>27</v>
      </c>
      <c r="DN38" s="514">
        <v>27</v>
      </c>
      <c r="DO38" s="515"/>
      <c r="DQ38" s="70" t="s">
        <v>48</v>
      </c>
      <c r="DR38" s="70" t="s">
        <v>16</v>
      </c>
      <c r="DS38" s="42" t="s">
        <v>134</v>
      </c>
      <c r="DT38" s="42" t="s">
        <v>1231</v>
      </c>
      <c r="DU38" s="70"/>
      <c r="DV38" s="70"/>
      <c r="DW38" s="70">
        <v>2</v>
      </c>
      <c r="DX38" s="70">
        <v>0</v>
      </c>
      <c r="DY38" s="70"/>
      <c r="DZ38" s="70">
        <v>2</v>
      </c>
      <c r="EA38" s="42"/>
      <c r="EB38" s="42"/>
      <c r="EC38" s="516"/>
      <c r="ED38" s="517"/>
      <c r="EE38" s="516" t="s">
        <v>112</v>
      </c>
      <c r="EF38" s="516" t="s">
        <v>1233</v>
      </c>
      <c r="EG38" s="516">
        <v>0</v>
      </c>
      <c r="EH38" s="516">
        <v>0</v>
      </c>
      <c r="EI38" s="516">
        <v>1</v>
      </c>
      <c r="EJ38" s="516">
        <v>0</v>
      </c>
      <c r="EK38" s="516">
        <v>0</v>
      </c>
      <c r="EL38" s="516">
        <v>0</v>
      </c>
      <c r="EM38" s="516">
        <v>1</v>
      </c>
      <c r="EN38" s="516"/>
      <c r="EO38" s="518"/>
      <c r="EP38" s="42"/>
    </row>
    <row r="39" spans="1:146">
      <c r="D39" s="4798" t="s">
        <v>1323</v>
      </c>
      <c r="E39" s="4606"/>
      <c r="F39" s="4606"/>
      <c r="G39" s="4606"/>
      <c r="H39" s="4606"/>
      <c r="I39" s="4606"/>
      <c r="J39" s="4606"/>
      <c r="K39" s="4606"/>
      <c r="L39" s="4606">
        <v>1</v>
      </c>
      <c r="M39" s="4606">
        <v>0</v>
      </c>
      <c r="N39" s="4606">
        <v>1</v>
      </c>
      <c r="S39" s="1793"/>
      <c r="T39" s="1793" t="s">
        <v>1235</v>
      </c>
      <c r="U39" s="4804">
        <v>0</v>
      </c>
      <c r="V39" s="4804">
        <v>0</v>
      </c>
      <c r="W39" s="4804">
        <v>39</v>
      </c>
      <c r="X39" s="4804"/>
      <c r="Y39" s="4702"/>
      <c r="Z39" s="4702"/>
      <c r="AA39" s="4702">
        <v>39</v>
      </c>
      <c r="AB39" s="4703"/>
      <c r="AD39" s="41"/>
      <c r="AE39" s="41"/>
      <c r="AF39" s="41"/>
      <c r="AG39" s="41" t="s">
        <v>1236</v>
      </c>
      <c r="AH39" s="2001"/>
      <c r="AI39" s="2001">
        <v>0</v>
      </c>
      <c r="AJ39" s="2001">
        <v>4</v>
      </c>
      <c r="AK39" s="2001">
        <v>2</v>
      </c>
      <c r="AL39" s="2001">
        <v>0</v>
      </c>
      <c r="AM39" s="105"/>
      <c r="AN39" s="105"/>
      <c r="AO39" s="105"/>
      <c r="AP39" s="105">
        <v>6</v>
      </c>
      <c r="AQ39" s="41"/>
      <c r="AS39" s="42"/>
      <c r="AT39" s="42"/>
      <c r="AU39" s="42"/>
      <c r="AV39" s="42" t="s">
        <v>1235</v>
      </c>
      <c r="AW39" s="1993"/>
      <c r="AX39" s="1993"/>
      <c r="AY39" s="1993">
        <v>2</v>
      </c>
      <c r="AZ39" s="1993">
        <v>1</v>
      </c>
      <c r="BA39" s="70">
        <v>1</v>
      </c>
      <c r="BB39" s="70">
        <v>0</v>
      </c>
      <c r="BC39" s="70">
        <v>4</v>
      </c>
      <c r="BF39" s="105"/>
      <c r="BI39" s="41" t="s">
        <v>1323</v>
      </c>
      <c r="BJ39" s="1659">
        <v>0</v>
      </c>
      <c r="BK39" s="1659"/>
      <c r="BL39" s="1659">
        <v>1</v>
      </c>
      <c r="BM39" s="1659">
        <v>1</v>
      </c>
      <c r="BN39" s="105">
        <v>1</v>
      </c>
      <c r="BO39" s="105">
        <v>0</v>
      </c>
      <c r="BP39" s="105">
        <v>3</v>
      </c>
      <c r="BS39" s="1341"/>
      <c r="BT39" s="1341"/>
      <c r="BU39" s="1341"/>
      <c r="BV39" s="1342" t="s">
        <v>1240</v>
      </c>
      <c r="BW39" s="1343"/>
      <c r="BX39" s="1343"/>
      <c r="BY39" s="1343"/>
      <c r="BZ39" s="1344">
        <v>2</v>
      </c>
      <c r="CA39" s="1343"/>
      <c r="CB39" s="1345"/>
      <c r="CC39" s="1346">
        <v>2</v>
      </c>
      <c r="CD39" s="1337"/>
      <c r="CF39" s="497"/>
      <c r="CG39" s="497" t="s">
        <v>41</v>
      </c>
      <c r="CH39" s="498" t="s">
        <v>108</v>
      </c>
      <c r="CI39" s="499" t="s">
        <v>1231</v>
      </c>
      <c r="CJ39" s="500">
        <v>1</v>
      </c>
      <c r="CK39" s="501"/>
      <c r="CL39" s="500">
        <v>3</v>
      </c>
      <c r="CM39" s="500">
        <v>1</v>
      </c>
      <c r="CN39" s="502">
        <v>0</v>
      </c>
      <c r="CO39" s="502">
        <v>5</v>
      </c>
      <c r="CP39" s="41"/>
      <c r="CR39" s="503"/>
      <c r="CS39" s="503"/>
      <c r="CT39" s="504"/>
      <c r="CU39" s="505" t="s">
        <v>1323</v>
      </c>
      <c r="CV39" s="506">
        <v>0</v>
      </c>
      <c r="CW39" s="506">
        <v>0</v>
      </c>
      <c r="CX39" s="506">
        <v>7</v>
      </c>
      <c r="CY39" s="506">
        <v>0</v>
      </c>
      <c r="CZ39" s="509">
        <v>0</v>
      </c>
      <c r="DA39" s="508"/>
      <c r="DB39" s="509">
        <v>7</v>
      </c>
      <c r="DC39" s="510"/>
      <c r="DE39" s="511"/>
      <c r="DF39" s="511"/>
      <c r="DG39" s="511"/>
      <c r="DH39" s="512" t="s">
        <v>1231</v>
      </c>
      <c r="DI39" s="514">
        <v>1</v>
      </c>
      <c r="DJ39" s="513"/>
      <c r="DK39" s="514">
        <v>1</v>
      </c>
      <c r="DL39" s="514">
        <v>9</v>
      </c>
      <c r="DM39" s="514">
        <v>0</v>
      </c>
      <c r="DN39" s="514">
        <v>11</v>
      </c>
      <c r="DO39" s="515"/>
      <c r="DQ39" s="70"/>
      <c r="DR39" s="70"/>
      <c r="DS39" s="42"/>
      <c r="DT39" s="42" t="s">
        <v>1235</v>
      </c>
      <c r="DU39" s="70"/>
      <c r="DV39" s="70"/>
      <c r="DW39" s="70">
        <v>0</v>
      </c>
      <c r="DX39" s="70">
        <v>2</v>
      </c>
      <c r="DY39" s="70"/>
      <c r="DZ39" s="70">
        <v>2</v>
      </c>
      <c r="EA39" s="42"/>
      <c r="EB39" s="42"/>
      <c r="EC39" s="516"/>
      <c r="ED39" s="517"/>
      <c r="EE39" s="516"/>
      <c r="EF39" s="516" t="s">
        <v>1236</v>
      </c>
      <c r="EG39" s="516">
        <v>0</v>
      </c>
      <c r="EH39" s="516">
        <v>0</v>
      </c>
      <c r="EI39" s="516">
        <v>1</v>
      </c>
      <c r="EJ39" s="516">
        <v>1</v>
      </c>
      <c r="EK39" s="516">
        <v>0</v>
      </c>
      <c r="EL39" s="516">
        <v>0</v>
      </c>
      <c r="EM39" s="516">
        <v>2</v>
      </c>
      <c r="EN39" s="516"/>
      <c r="EO39" s="518"/>
      <c r="EP39" s="42"/>
    </row>
    <row r="40" spans="1:146">
      <c r="D40" s="4798" t="s">
        <v>15</v>
      </c>
      <c r="E40" s="4606"/>
      <c r="F40" s="4606"/>
      <c r="G40" s="4606"/>
      <c r="H40" s="4606"/>
      <c r="I40" s="4606"/>
      <c r="J40" s="4606"/>
      <c r="K40" s="4606"/>
      <c r="L40" s="4606">
        <v>1</v>
      </c>
      <c r="M40" s="4606">
        <v>1</v>
      </c>
      <c r="N40" s="4606">
        <v>2</v>
      </c>
      <c r="O40" s="1977">
        <v>0</v>
      </c>
      <c r="S40" s="1793"/>
      <c r="T40" s="1793" t="s">
        <v>1236</v>
      </c>
      <c r="U40" s="4804">
        <v>0</v>
      </c>
      <c r="V40" s="4804">
        <v>0</v>
      </c>
      <c r="W40" s="4804">
        <v>1</v>
      </c>
      <c r="X40" s="4804"/>
      <c r="Y40" s="4702"/>
      <c r="Z40" s="4702"/>
      <c r="AA40" s="4702">
        <v>1</v>
      </c>
      <c r="AB40" s="4703"/>
      <c r="AD40" s="41"/>
      <c r="AE40" s="41"/>
      <c r="AF40" s="41"/>
      <c r="AG40" s="41" t="s">
        <v>1323</v>
      </c>
      <c r="AH40" s="2001"/>
      <c r="AI40" s="2001">
        <v>0</v>
      </c>
      <c r="AJ40" s="2001">
        <v>0</v>
      </c>
      <c r="AK40" s="2001">
        <v>44</v>
      </c>
      <c r="AL40" s="2001">
        <v>6</v>
      </c>
      <c r="AM40" s="105"/>
      <c r="AN40" s="105"/>
      <c r="AO40" s="105"/>
      <c r="AP40" s="105">
        <v>50</v>
      </c>
      <c r="AQ40" s="41"/>
      <c r="AS40" s="42"/>
      <c r="AT40" s="42"/>
      <c r="AU40" s="42"/>
      <c r="AV40" s="42" t="s">
        <v>1239</v>
      </c>
      <c r="AW40" s="1993"/>
      <c r="AX40" s="1993"/>
      <c r="AY40" s="1993">
        <v>0</v>
      </c>
      <c r="AZ40" s="1993">
        <v>0</v>
      </c>
      <c r="BA40" s="70">
        <v>2</v>
      </c>
      <c r="BB40" s="70">
        <v>1</v>
      </c>
      <c r="BC40" s="70">
        <v>3</v>
      </c>
      <c r="BF40" s="105"/>
      <c r="BI40" s="461" t="s">
        <v>15</v>
      </c>
      <c r="BJ40" s="1660">
        <v>1</v>
      </c>
      <c r="BK40" s="1660"/>
      <c r="BL40" s="1660">
        <v>7</v>
      </c>
      <c r="BM40" s="1660">
        <v>4</v>
      </c>
      <c r="BN40" s="96">
        <v>4</v>
      </c>
      <c r="BO40" s="96">
        <v>2</v>
      </c>
      <c r="BP40" s="96">
        <v>18</v>
      </c>
      <c r="BQ40" s="635">
        <f>+(BP36+BP39-BN36-BO36-BN39)/BP40</f>
        <v>0.27777777777777779</v>
      </c>
      <c r="BS40" s="1341"/>
      <c r="BT40" s="1341"/>
      <c r="BU40" s="1341"/>
      <c r="BV40" s="1342" t="s">
        <v>1323</v>
      </c>
      <c r="BW40" s="1343"/>
      <c r="BX40" s="1343"/>
      <c r="BY40" s="1343"/>
      <c r="BZ40" s="1344">
        <v>1</v>
      </c>
      <c r="CA40" s="1343"/>
      <c r="CB40" s="1345"/>
      <c r="CC40" s="1346">
        <v>1</v>
      </c>
      <c r="CD40" s="1337"/>
      <c r="CF40" s="497"/>
      <c r="CG40" s="497"/>
      <c r="CH40" s="498"/>
      <c r="CI40" s="499" t="s">
        <v>1235</v>
      </c>
      <c r="CJ40" s="500">
        <v>0</v>
      </c>
      <c r="CK40" s="501"/>
      <c r="CL40" s="500">
        <v>1</v>
      </c>
      <c r="CM40" s="500">
        <v>0</v>
      </c>
      <c r="CN40" s="502">
        <v>0</v>
      </c>
      <c r="CO40" s="502">
        <v>1</v>
      </c>
      <c r="CP40" s="41"/>
      <c r="CR40" s="503"/>
      <c r="CS40" s="503"/>
      <c r="CT40" s="504"/>
      <c r="CU40" s="527" t="s">
        <v>106</v>
      </c>
      <c r="CV40" s="528">
        <v>8</v>
      </c>
      <c r="CW40" s="528">
        <v>2</v>
      </c>
      <c r="CX40" s="528">
        <v>52</v>
      </c>
      <c r="CY40" s="528">
        <v>2</v>
      </c>
      <c r="CZ40" s="531">
        <v>29</v>
      </c>
      <c r="DA40" s="530"/>
      <c r="DB40" s="531">
        <v>93</v>
      </c>
      <c r="DC40" s="510">
        <f>+(DB39+DB38+DB37)/DB40</f>
        <v>0.44086021505376344</v>
      </c>
      <c r="DE40" s="511"/>
      <c r="DF40" s="511"/>
      <c r="DG40" s="511"/>
      <c r="DH40" s="532" t="s">
        <v>15</v>
      </c>
      <c r="DI40" s="534">
        <v>1</v>
      </c>
      <c r="DJ40" s="533"/>
      <c r="DK40" s="534">
        <v>1</v>
      </c>
      <c r="DL40" s="534">
        <v>9</v>
      </c>
      <c r="DM40" s="534">
        <v>27</v>
      </c>
      <c r="DN40" s="534">
        <v>38</v>
      </c>
      <c r="DO40" s="535">
        <v>0</v>
      </c>
      <c r="DQ40" s="70"/>
      <c r="DR40" s="70"/>
      <c r="DS40" s="42"/>
      <c r="DT40" s="42" t="s">
        <v>1240</v>
      </c>
      <c r="DU40" s="70"/>
      <c r="DV40" s="70"/>
      <c r="DW40" s="70">
        <v>0</v>
      </c>
      <c r="DX40" s="70">
        <v>15</v>
      </c>
      <c r="DY40" s="70"/>
      <c r="DZ40" s="70">
        <v>15</v>
      </c>
      <c r="EA40" s="42"/>
      <c r="EB40" s="42"/>
      <c r="EC40" s="516"/>
      <c r="ED40" s="517"/>
      <c r="EE40" s="516"/>
      <c r="EF40" s="516" t="s">
        <v>1323</v>
      </c>
      <c r="EG40" s="516">
        <v>0</v>
      </c>
      <c r="EH40" s="516">
        <v>0</v>
      </c>
      <c r="EI40" s="516">
        <v>0</v>
      </c>
      <c r="EJ40" s="516">
        <v>4</v>
      </c>
      <c r="EK40" s="516">
        <v>1</v>
      </c>
      <c r="EL40" s="516">
        <v>0</v>
      </c>
      <c r="EM40" s="516">
        <v>5</v>
      </c>
      <c r="EN40" s="516"/>
      <c r="EO40" s="518"/>
      <c r="EP40" s="42"/>
    </row>
    <row r="41" spans="1:146" ht="15" thickBot="1">
      <c r="B41" s="4798" t="s">
        <v>16</v>
      </c>
      <c r="C41" s="4798" t="s">
        <v>107</v>
      </c>
      <c r="D41" s="4798" t="s">
        <v>1231</v>
      </c>
      <c r="E41" s="4606">
        <v>0</v>
      </c>
      <c r="F41" s="4606">
        <v>2</v>
      </c>
      <c r="G41" s="4606">
        <v>2</v>
      </c>
      <c r="H41" s="4606">
        <v>7</v>
      </c>
      <c r="I41" s="4606"/>
      <c r="J41" s="2552"/>
      <c r="K41" s="2552"/>
      <c r="L41" s="2552"/>
      <c r="M41" s="2552"/>
      <c r="N41" s="2552">
        <v>11</v>
      </c>
      <c r="O41" s="1977"/>
      <c r="S41" s="1793"/>
      <c r="T41" s="1793" t="s">
        <v>1240</v>
      </c>
      <c r="U41" s="4804">
        <v>0</v>
      </c>
      <c r="V41" s="4804">
        <v>0</v>
      </c>
      <c r="W41" s="4804">
        <v>1</v>
      </c>
      <c r="X41" s="4804"/>
      <c r="Y41" s="4702"/>
      <c r="Z41" s="4702"/>
      <c r="AA41" s="4702">
        <v>1</v>
      </c>
      <c r="AB41" s="4703"/>
      <c r="AD41" s="41"/>
      <c r="AE41" s="41"/>
      <c r="AF41" s="41"/>
      <c r="AG41" s="461" t="s">
        <v>15</v>
      </c>
      <c r="AH41" s="2002"/>
      <c r="AI41" s="2002">
        <v>2</v>
      </c>
      <c r="AJ41" s="2002">
        <v>4</v>
      </c>
      <c r="AK41" s="2002">
        <v>47</v>
      </c>
      <c r="AL41" s="2002">
        <v>8</v>
      </c>
      <c r="AM41" s="2480"/>
      <c r="AN41" s="2480"/>
      <c r="AO41" s="2480"/>
      <c r="AP41" s="2480">
        <v>61</v>
      </c>
      <c r="AQ41" s="635">
        <f>+(AP40+AP38)/AP41</f>
        <v>0.85245901639344257</v>
      </c>
      <c r="AS41" s="42"/>
      <c r="AT41" s="42"/>
      <c r="AU41" s="42"/>
      <c r="AV41" s="42" t="s">
        <v>1323</v>
      </c>
      <c r="AW41" s="1993"/>
      <c r="AX41" s="1993"/>
      <c r="AY41" s="1993">
        <v>1</v>
      </c>
      <c r="AZ41" s="1993">
        <v>1</v>
      </c>
      <c r="BA41" s="70">
        <v>1</v>
      </c>
      <c r="BB41" s="70">
        <v>0</v>
      </c>
      <c r="BC41" s="70">
        <v>3</v>
      </c>
      <c r="BF41" s="105"/>
      <c r="BH41" s="41" t="s">
        <v>547</v>
      </c>
      <c r="BI41" s="41" t="s">
        <v>1231</v>
      </c>
      <c r="BJ41" s="1659">
        <v>0</v>
      </c>
      <c r="BK41" s="1659"/>
      <c r="BL41" s="1659">
        <v>3</v>
      </c>
      <c r="BM41" s="1659">
        <v>2</v>
      </c>
      <c r="BN41" s="105">
        <v>0</v>
      </c>
      <c r="BO41" s="105">
        <v>0</v>
      </c>
      <c r="BP41" s="105">
        <v>5</v>
      </c>
      <c r="BS41" s="1341"/>
      <c r="BT41" s="1341"/>
      <c r="BU41" s="1341"/>
      <c r="BV41" s="1336" t="s">
        <v>545</v>
      </c>
      <c r="BW41" s="1347"/>
      <c r="BX41" s="1347"/>
      <c r="BY41" s="1347"/>
      <c r="BZ41" s="1348">
        <v>15</v>
      </c>
      <c r="CA41" s="1347"/>
      <c r="CB41" s="1349"/>
      <c r="CC41" s="1350">
        <v>15</v>
      </c>
      <c r="CD41" s="1325">
        <f>+(CC38+CC39+CC40)/CC41</f>
        <v>1</v>
      </c>
      <c r="CF41" s="497"/>
      <c r="CG41" s="497"/>
      <c r="CH41" s="498"/>
      <c r="CI41" s="499" t="s">
        <v>1236</v>
      </c>
      <c r="CJ41" s="500">
        <v>0</v>
      </c>
      <c r="CK41" s="501"/>
      <c r="CL41" s="500">
        <v>1</v>
      </c>
      <c r="CM41" s="500">
        <v>0</v>
      </c>
      <c r="CN41" s="502">
        <v>1</v>
      </c>
      <c r="CO41" s="502">
        <v>2</v>
      </c>
      <c r="CP41" s="41"/>
      <c r="CR41" s="503" t="s">
        <v>25</v>
      </c>
      <c r="CS41" s="503" t="s">
        <v>16</v>
      </c>
      <c r="CT41" s="504" t="s">
        <v>107</v>
      </c>
      <c r="CU41" s="505" t="s">
        <v>1235</v>
      </c>
      <c r="CV41" s="507"/>
      <c r="CW41" s="507"/>
      <c r="CX41" s="506">
        <v>13</v>
      </c>
      <c r="CY41" s="506">
        <v>1</v>
      </c>
      <c r="CZ41" s="508"/>
      <c r="DA41" s="508"/>
      <c r="DB41" s="509">
        <v>14</v>
      </c>
      <c r="DC41" s="510"/>
      <c r="DE41" s="511"/>
      <c r="DF41" s="511" t="s">
        <v>41</v>
      </c>
      <c r="DG41" s="511" t="s">
        <v>138</v>
      </c>
      <c r="DH41" s="512" t="s">
        <v>1230</v>
      </c>
      <c r="DI41" s="513"/>
      <c r="DJ41" s="513"/>
      <c r="DK41" s="513"/>
      <c r="DL41" s="514">
        <v>0</v>
      </c>
      <c r="DM41" s="514">
        <v>18</v>
      </c>
      <c r="DN41" s="514">
        <v>18</v>
      </c>
      <c r="DO41" s="515"/>
      <c r="DQ41" s="70"/>
      <c r="DR41" s="70"/>
      <c r="DS41" s="42"/>
      <c r="DT41" s="484" t="s">
        <v>15</v>
      </c>
      <c r="DU41" s="454"/>
      <c r="DV41" s="454"/>
      <c r="DW41" s="454">
        <v>2</v>
      </c>
      <c r="DX41" s="454">
        <v>17</v>
      </c>
      <c r="DY41" s="454"/>
      <c r="DZ41" s="454">
        <v>19</v>
      </c>
      <c r="EA41" s="536">
        <f>+(DZ39+DZ40)/DZ41</f>
        <v>0.89473684210526316</v>
      </c>
      <c r="EB41" s="42"/>
      <c r="EC41" s="539"/>
      <c r="ED41" s="540"/>
      <c r="EE41" s="539"/>
      <c r="EF41" s="539" t="s">
        <v>15</v>
      </c>
      <c r="EG41" s="539">
        <v>0</v>
      </c>
      <c r="EH41" s="539">
        <v>0</v>
      </c>
      <c r="EI41" s="539">
        <v>2</v>
      </c>
      <c r="EJ41" s="539">
        <v>5</v>
      </c>
      <c r="EK41" s="539">
        <v>1</v>
      </c>
      <c r="EL41" s="539">
        <v>0</v>
      </c>
      <c r="EM41" s="539">
        <v>8</v>
      </c>
      <c r="EN41" s="541">
        <f>+EM40/EM41</f>
        <v>0.625</v>
      </c>
      <c r="EO41" s="493">
        <f>+EM40</f>
        <v>5</v>
      </c>
      <c r="EP41" s="42"/>
    </row>
    <row r="42" spans="1:146">
      <c r="D42" s="4798" t="s">
        <v>1233</v>
      </c>
      <c r="E42" s="4606">
        <v>0</v>
      </c>
      <c r="F42" s="4606">
        <v>2</v>
      </c>
      <c r="G42" s="4606">
        <v>1</v>
      </c>
      <c r="H42" s="4606">
        <v>0</v>
      </c>
      <c r="I42" s="4606"/>
      <c r="J42" s="2552"/>
      <c r="K42" s="2552"/>
      <c r="L42" s="2552"/>
      <c r="M42" s="2552"/>
      <c r="N42" s="2552">
        <v>3</v>
      </c>
      <c r="O42" s="1977"/>
      <c r="T42" s="1793" t="s">
        <v>545</v>
      </c>
      <c r="U42" s="4804">
        <v>4</v>
      </c>
      <c r="V42" s="4804">
        <v>3</v>
      </c>
      <c r="W42" s="4804">
        <v>48</v>
      </c>
      <c r="X42" s="4804"/>
      <c r="Y42" s="4702"/>
      <c r="Z42" s="4702"/>
      <c r="AA42" s="4702">
        <v>55</v>
      </c>
      <c r="AB42" s="4703">
        <f>+(AA39+AA41)/AA42</f>
        <v>0.72727272727272729</v>
      </c>
      <c r="AD42" s="41"/>
      <c r="AE42" s="41"/>
      <c r="AF42" s="461" t="s">
        <v>545</v>
      </c>
      <c r="AG42" s="461" t="s">
        <v>1230</v>
      </c>
      <c r="AH42" s="2002"/>
      <c r="AI42" s="2002">
        <v>0</v>
      </c>
      <c r="AJ42" s="2002">
        <v>0</v>
      </c>
      <c r="AK42" s="2002">
        <v>0</v>
      </c>
      <c r="AL42" s="2002">
        <v>1</v>
      </c>
      <c r="AM42" s="2480"/>
      <c r="AN42" s="2480"/>
      <c r="AO42" s="2480"/>
      <c r="AP42" s="2480">
        <v>1</v>
      </c>
      <c r="AQ42" s="41"/>
      <c r="AS42" s="42"/>
      <c r="AT42" s="42"/>
      <c r="AU42" s="42"/>
      <c r="AV42" s="484" t="s">
        <v>15</v>
      </c>
      <c r="AW42" s="1994"/>
      <c r="AX42" s="1994"/>
      <c r="AY42" s="1994">
        <v>3</v>
      </c>
      <c r="AZ42" s="1994">
        <v>3</v>
      </c>
      <c r="BA42" s="454">
        <v>4</v>
      </c>
      <c r="BB42" s="454">
        <v>2</v>
      </c>
      <c r="BC42" s="454">
        <v>12</v>
      </c>
      <c r="BD42" s="1977">
        <f>+(BC39-BA39+BC41-BA41)/BC42</f>
        <v>0.41666666666666669</v>
      </c>
      <c r="BF42" s="105"/>
      <c r="BI42" s="41" t="s">
        <v>1235</v>
      </c>
      <c r="BJ42" s="1659">
        <v>0</v>
      </c>
      <c r="BK42" s="1659"/>
      <c r="BL42" s="1659">
        <v>2</v>
      </c>
      <c r="BM42" s="1659">
        <v>1</v>
      </c>
      <c r="BN42" s="105">
        <v>2</v>
      </c>
      <c r="BO42" s="105">
        <v>1</v>
      </c>
      <c r="BP42" s="105">
        <v>6</v>
      </c>
      <c r="BS42" s="1341"/>
      <c r="BT42" s="1341" t="s">
        <v>41</v>
      </c>
      <c r="BU42" s="1341" t="s">
        <v>108</v>
      </c>
      <c r="BV42" s="1342" t="s">
        <v>1231</v>
      </c>
      <c r="BW42" s="1343"/>
      <c r="BX42" s="1343"/>
      <c r="BY42" s="1343"/>
      <c r="BZ42" s="1344">
        <v>1</v>
      </c>
      <c r="CA42" s="1344">
        <v>3</v>
      </c>
      <c r="CB42" s="1346">
        <v>0</v>
      </c>
      <c r="CC42" s="1346">
        <v>4</v>
      </c>
      <c r="CD42" s="1337"/>
      <c r="CF42" s="497"/>
      <c r="CG42" s="497"/>
      <c r="CH42" s="498"/>
      <c r="CI42" s="499" t="s">
        <v>1323</v>
      </c>
      <c r="CJ42" s="500">
        <v>0</v>
      </c>
      <c r="CK42" s="501"/>
      <c r="CL42" s="500">
        <v>4</v>
      </c>
      <c r="CM42" s="500">
        <v>1</v>
      </c>
      <c r="CN42" s="502">
        <v>0</v>
      </c>
      <c r="CO42" s="502">
        <v>5</v>
      </c>
      <c r="CP42" s="41"/>
      <c r="CR42" s="503"/>
      <c r="CS42" s="503"/>
      <c r="CT42" s="504"/>
      <c r="CU42" s="505" t="s">
        <v>1240</v>
      </c>
      <c r="CV42" s="507"/>
      <c r="CW42" s="507"/>
      <c r="CX42" s="506">
        <v>1</v>
      </c>
      <c r="CY42" s="506">
        <v>0</v>
      </c>
      <c r="CZ42" s="508"/>
      <c r="DA42" s="508"/>
      <c r="DB42" s="509">
        <v>1</v>
      </c>
      <c r="DC42" s="510"/>
      <c r="DE42" s="511"/>
      <c r="DF42" s="511"/>
      <c r="DG42" s="511"/>
      <c r="DH42" s="512" t="s">
        <v>1231</v>
      </c>
      <c r="DI42" s="513"/>
      <c r="DJ42" s="513"/>
      <c r="DK42" s="513"/>
      <c r="DL42" s="514">
        <v>2</v>
      </c>
      <c r="DM42" s="514">
        <v>0</v>
      </c>
      <c r="DN42" s="514">
        <v>2</v>
      </c>
      <c r="DO42" s="515"/>
      <c r="DQ42" s="70"/>
      <c r="DR42" s="70" t="s">
        <v>41</v>
      </c>
      <c r="DS42" s="42" t="s">
        <v>112</v>
      </c>
      <c r="DT42" s="42" t="s">
        <v>1231</v>
      </c>
      <c r="DU42" s="70"/>
      <c r="DV42" s="70"/>
      <c r="DW42" s="70">
        <v>5</v>
      </c>
      <c r="DX42" s="70"/>
      <c r="DY42" s="70"/>
      <c r="DZ42" s="70">
        <v>5</v>
      </c>
      <c r="EA42" s="42"/>
      <c r="EB42" s="42"/>
      <c r="EC42" s="516"/>
      <c r="ED42" s="517"/>
      <c r="EE42" s="516"/>
      <c r="EF42" s="516"/>
      <c r="EG42" s="516"/>
      <c r="EH42" s="516"/>
      <c r="EI42" s="516"/>
      <c r="EJ42" s="516"/>
      <c r="EK42" s="516"/>
      <c r="EL42" s="516"/>
      <c r="EM42" s="516"/>
      <c r="EN42" s="516"/>
      <c r="EO42" s="516"/>
      <c r="EP42" s="42"/>
    </row>
    <row r="43" spans="1:146" ht="15" thickBot="1">
      <c r="D43" s="4798" t="s">
        <v>1235</v>
      </c>
      <c r="E43" s="4606">
        <v>0</v>
      </c>
      <c r="F43" s="4606">
        <v>0</v>
      </c>
      <c r="G43" s="4606">
        <v>0</v>
      </c>
      <c r="H43" s="4606">
        <v>12</v>
      </c>
      <c r="I43" s="4606"/>
      <c r="J43" s="2552"/>
      <c r="K43" s="2552"/>
      <c r="L43" s="2552"/>
      <c r="M43" s="2552"/>
      <c r="N43" s="2552">
        <v>12</v>
      </c>
      <c r="O43" s="1977"/>
      <c r="R43" s="37" t="s">
        <v>41</v>
      </c>
      <c r="S43" s="37" t="s">
        <v>108</v>
      </c>
      <c r="T43" s="37" t="s">
        <v>1235</v>
      </c>
      <c r="U43" s="4803"/>
      <c r="V43" s="4803"/>
      <c r="W43" s="4803">
        <v>1</v>
      </c>
      <c r="X43" s="4803">
        <v>0</v>
      </c>
      <c r="Y43" s="1788">
        <v>0</v>
      </c>
      <c r="Z43" s="1788"/>
      <c r="AA43" s="1788">
        <v>1</v>
      </c>
      <c r="AD43" s="41"/>
      <c r="AE43" s="41"/>
      <c r="AF43" s="461"/>
      <c r="AG43" s="461" t="s">
        <v>1233</v>
      </c>
      <c r="AH43" s="2002"/>
      <c r="AI43" s="2002">
        <v>2</v>
      </c>
      <c r="AJ43" s="2002">
        <v>0</v>
      </c>
      <c r="AK43" s="2002">
        <v>0</v>
      </c>
      <c r="AL43" s="2002">
        <v>0</v>
      </c>
      <c r="AM43" s="2480"/>
      <c r="AN43" s="2480"/>
      <c r="AO43" s="2480"/>
      <c r="AP43" s="2480">
        <v>2</v>
      </c>
      <c r="AQ43" s="41"/>
      <c r="AS43" s="42"/>
      <c r="AT43" s="42"/>
      <c r="AU43" s="1995" t="s">
        <v>590</v>
      </c>
      <c r="AV43" s="1995" t="s">
        <v>1230</v>
      </c>
      <c r="AW43" s="1993"/>
      <c r="AX43" s="1993"/>
      <c r="AY43" s="1993"/>
      <c r="AZ43" s="1993"/>
      <c r="BA43" s="1996">
        <v>5</v>
      </c>
      <c r="BB43" s="1996"/>
      <c r="BC43" s="1996">
        <v>5</v>
      </c>
      <c r="BF43" s="105"/>
      <c r="BI43" s="41" t="s">
        <v>1236</v>
      </c>
      <c r="BJ43" s="1659">
        <v>1</v>
      </c>
      <c r="BK43" s="1659"/>
      <c r="BL43" s="1659">
        <v>1</v>
      </c>
      <c r="BM43" s="1659">
        <v>0</v>
      </c>
      <c r="BN43" s="105">
        <v>0</v>
      </c>
      <c r="BO43" s="105">
        <v>0</v>
      </c>
      <c r="BP43" s="105">
        <v>2</v>
      </c>
      <c r="BS43" s="1341"/>
      <c r="BT43" s="1341"/>
      <c r="BU43" s="1341"/>
      <c r="BV43" s="1342" t="s">
        <v>1235</v>
      </c>
      <c r="BW43" s="1343"/>
      <c r="BX43" s="1343"/>
      <c r="BY43" s="1343"/>
      <c r="BZ43" s="1344">
        <v>1</v>
      </c>
      <c r="CA43" s="1344">
        <v>4</v>
      </c>
      <c r="CB43" s="1346">
        <v>0</v>
      </c>
      <c r="CC43" s="1346">
        <v>5</v>
      </c>
      <c r="CD43" s="1337"/>
      <c r="CF43" s="497"/>
      <c r="CG43" s="497"/>
      <c r="CH43" s="498"/>
      <c r="CI43" s="521" t="s">
        <v>15</v>
      </c>
      <c r="CJ43" s="522">
        <v>1</v>
      </c>
      <c r="CK43" s="523"/>
      <c r="CL43" s="522">
        <v>9</v>
      </c>
      <c r="CM43" s="522">
        <v>2</v>
      </c>
      <c r="CN43" s="525">
        <v>1</v>
      </c>
      <c r="CO43" s="525">
        <v>13</v>
      </c>
      <c r="CP43" s="526">
        <f>+(CO40+CO42)/CO43</f>
        <v>0.46153846153846156</v>
      </c>
      <c r="CR43" s="503"/>
      <c r="CS43" s="503"/>
      <c r="CT43" s="504"/>
      <c r="CU43" s="527" t="s">
        <v>15</v>
      </c>
      <c r="CV43" s="529"/>
      <c r="CW43" s="529"/>
      <c r="CX43" s="528">
        <v>14</v>
      </c>
      <c r="CY43" s="528">
        <v>1</v>
      </c>
      <c r="CZ43" s="530"/>
      <c r="DA43" s="530"/>
      <c r="DB43" s="531">
        <v>15</v>
      </c>
      <c r="DC43" s="510">
        <f>+(DB42+DB41)/DB43</f>
        <v>1</v>
      </c>
      <c r="DE43" s="511"/>
      <c r="DF43" s="511"/>
      <c r="DG43" s="511"/>
      <c r="DH43" s="532" t="s">
        <v>15</v>
      </c>
      <c r="DI43" s="533"/>
      <c r="DJ43" s="533"/>
      <c r="DK43" s="533"/>
      <c r="DL43" s="534">
        <v>2</v>
      </c>
      <c r="DM43" s="534">
        <v>18</v>
      </c>
      <c r="DN43" s="534">
        <v>20</v>
      </c>
      <c r="DO43" s="535">
        <v>0</v>
      </c>
      <c r="DQ43" s="542"/>
      <c r="DR43" s="542"/>
      <c r="DS43" s="543"/>
      <c r="DT43" s="544" t="s">
        <v>15</v>
      </c>
      <c r="DU43" s="491"/>
      <c r="DV43" s="491"/>
      <c r="DW43" s="491">
        <v>5</v>
      </c>
      <c r="DX43" s="491"/>
      <c r="DY43" s="491"/>
      <c r="DZ43" s="491">
        <v>5</v>
      </c>
      <c r="EA43" s="545">
        <v>0</v>
      </c>
      <c r="EB43" s="42"/>
      <c r="EC43" s="516"/>
      <c r="ED43" s="517"/>
      <c r="EE43" s="516"/>
      <c r="EF43" s="516"/>
      <c r="EG43" s="516"/>
      <c r="EH43" s="516"/>
      <c r="EI43" s="516"/>
      <c r="EJ43" s="516"/>
      <c r="EK43" s="516"/>
      <c r="EL43" s="516"/>
      <c r="EM43" s="516"/>
      <c r="EN43" s="516"/>
      <c r="EO43" s="516"/>
      <c r="EP43" s="42"/>
    </row>
    <row r="44" spans="1:146">
      <c r="D44" s="4798" t="s">
        <v>1236</v>
      </c>
      <c r="E44" s="4606">
        <v>0</v>
      </c>
      <c r="F44" s="4606">
        <v>0</v>
      </c>
      <c r="G44" s="4606">
        <v>0</v>
      </c>
      <c r="H44" s="4606">
        <v>1</v>
      </c>
      <c r="I44" s="4606"/>
      <c r="J44" s="2552"/>
      <c r="K44" s="2552"/>
      <c r="L44" s="2552"/>
      <c r="M44" s="2552"/>
      <c r="N44" s="2552">
        <v>1</v>
      </c>
      <c r="O44" s="1977"/>
      <c r="T44" s="37" t="s">
        <v>1239</v>
      </c>
      <c r="U44" s="4803"/>
      <c r="V44" s="4803"/>
      <c r="W44" s="4803">
        <v>0</v>
      </c>
      <c r="X44" s="4803">
        <v>3</v>
      </c>
      <c r="Y44" s="1788">
        <v>1</v>
      </c>
      <c r="Z44" s="1788"/>
      <c r="AA44" s="1788">
        <v>4</v>
      </c>
      <c r="AD44" s="41"/>
      <c r="AE44" s="41"/>
      <c r="AF44" s="461"/>
      <c r="AG44" s="461" t="s">
        <v>1235</v>
      </c>
      <c r="AH44" s="2002"/>
      <c r="AI44" s="2002">
        <v>0</v>
      </c>
      <c r="AJ44" s="2002">
        <v>0</v>
      </c>
      <c r="AK44" s="2002">
        <v>1</v>
      </c>
      <c r="AL44" s="2002">
        <v>1</v>
      </c>
      <c r="AM44" s="2480"/>
      <c r="AN44" s="2480"/>
      <c r="AO44" s="2480"/>
      <c r="AP44" s="2480">
        <v>2</v>
      </c>
      <c r="AQ44" s="41"/>
      <c r="AS44" s="42"/>
      <c r="AT44" s="42"/>
      <c r="AU44" s="1995"/>
      <c r="AV44" s="1997" t="s">
        <v>15</v>
      </c>
      <c r="AW44" s="1994"/>
      <c r="AX44" s="1994"/>
      <c r="AY44" s="1994"/>
      <c r="AZ44" s="1994"/>
      <c r="BA44" s="1998">
        <v>5</v>
      </c>
      <c r="BB44" s="1998"/>
      <c r="BC44" s="1998">
        <v>5</v>
      </c>
      <c r="BD44" s="129" t="s">
        <v>618</v>
      </c>
      <c r="BF44" s="105"/>
      <c r="BI44" s="41" t="s">
        <v>1239</v>
      </c>
      <c r="BJ44" s="1659">
        <v>0</v>
      </c>
      <c r="BK44" s="1659"/>
      <c r="BL44" s="1659">
        <v>0</v>
      </c>
      <c r="BM44" s="1659">
        <v>0</v>
      </c>
      <c r="BN44" s="105">
        <v>1</v>
      </c>
      <c r="BO44" s="105">
        <v>1</v>
      </c>
      <c r="BP44" s="105">
        <v>2</v>
      </c>
      <c r="BS44" s="1341"/>
      <c r="BT44" s="1341"/>
      <c r="BU44" s="1341"/>
      <c r="BV44" s="1342" t="s">
        <v>1236</v>
      </c>
      <c r="BW44" s="1343"/>
      <c r="BX44" s="1343"/>
      <c r="BY44" s="1343"/>
      <c r="BZ44" s="1344">
        <v>0</v>
      </c>
      <c r="CA44" s="1344">
        <v>2</v>
      </c>
      <c r="CB44" s="1346">
        <v>0</v>
      </c>
      <c r="CC44" s="1346">
        <v>2</v>
      </c>
      <c r="CD44" s="1337"/>
      <c r="CF44" s="497"/>
      <c r="CG44" s="497"/>
      <c r="CH44" s="546" t="s">
        <v>590</v>
      </c>
      <c r="CI44" s="547" t="s">
        <v>1231</v>
      </c>
      <c r="CJ44" s="500">
        <v>1</v>
      </c>
      <c r="CK44" s="500">
        <v>1</v>
      </c>
      <c r="CL44" s="500">
        <v>0</v>
      </c>
      <c r="CM44" s="501">
        <v>0</v>
      </c>
      <c r="CN44" s="548">
        <v>0</v>
      </c>
      <c r="CO44" s="548">
        <v>2</v>
      </c>
      <c r="CP44" s="549"/>
      <c r="CR44" s="503"/>
      <c r="CS44" s="503"/>
      <c r="CT44" s="527" t="s">
        <v>545</v>
      </c>
      <c r="CU44" s="505" t="s">
        <v>1235</v>
      </c>
      <c r="CV44" s="507"/>
      <c r="CW44" s="507"/>
      <c r="CX44" s="506">
        <v>13</v>
      </c>
      <c r="CY44" s="506">
        <v>1</v>
      </c>
      <c r="CZ44" s="508"/>
      <c r="DA44" s="508"/>
      <c r="DB44" s="509">
        <v>14</v>
      </c>
      <c r="DC44" s="510"/>
      <c r="DE44" s="511"/>
      <c r="DF44" s="511"/>
      <c r="DG44" s="511" t="s">
        <v>112</v>
      </c>
      <c r="DH44" s="512" t="s">
        <v>1233</v>
      </c>
      <c r="DI44" s="514">
        <v>1</v>
      </c>
      <c r="DJ44" s="513"/>
      <c r="DK44" s="513"/>
      <c r="DL44" s="514">
        <v>0</v>
      </c>
      <c r="DM44" s="514">
        <v>0</v>
      </c>
      <c r="DN44" s="514">
        <v>1</v>
      </c>
      <c r="DO44" s="515"/>
      <c r="DQ44" s="42"/>
      <c r="DR44" s="42"/>
      <c r="DS44" s="42"/>
      <c r="DT44" s="42"/>
      <c r="DU44" s="42"/>
      <c r="DV44" s="42"/>
      <c r="DW44" s="42"/>
      <c r="DX44" s="42"/>
      <c r="DY44" s="42"/>
      <c r="DZ44" s="42"/>
      <c r="EA44" s="42"/>
      <c r="EB44" s="42"/>
      <c r="EC44" s="519"/>
      <c r="ED44" s="519"/>
      <c r="EE44" s="519"/>
      <c r="EF44" s="519"/>
      <c r="EG44" s="519"/>
      <c r="EH44" s="519"/>
      <c r="EI44" s="519"/>
      <c r="EJ44" s="519"/>
      <c r="EK44" s="519"/>
      <c r="EL44" s="519"/>
      <c r="EM44" s="519"/>
      <c r="EN44" s="519"/>
      <c r="EO44" s="516"/>
      <c r="EP44" s="42"/>
    </row>
    <row r="45" spans="1:146">
      <c r="D45" s="4798" t="s">
        <v>2963</v>
      </c>
      <c r="E45" s="4606">
        <v>11</v>
      </c>
      <c r="F45" s="4606">
        <v>0</v>
      </c>
      <c r="G45" s="4606">
        <v>0</v>
      </c>
      <c r="H45" s="4606">
        <v>0</v>
      </c>
      <c r="I45" s="4606"/>
      <c r="J45" s="2552"/>
      <c r="K45" s="2552"/>
      <c r="L45" s="2552"/>
      <c r="M45" s="2552"/>
      <c r="N45" s="2552">
        <v>11</v>
      </c>
      <c r="O45" s="1977"/>
      <c r="T45" s="1793" t="s">
        <v>15</v>
      </c>
      <c r="U45" s="4804"/>
      <c r="V45" s="4804"/>
      <c r="W45" s="4804">
        <v>1</v>
      </c>
      <c r="X45" s="4804">
        <v>3</v>
      </c>
      <c r="Y45" s="4702">
        <v>1</v>
      </c>
      <c r="Z45" s="4702"/>
      <c r="AA45" s="4702">
        <v>5</v>
      </c>
      <c r="AB45" s="4703">
        <f>+AA43/AA45</f>
        <v>0.2</v>
      </c>
      <c r="AD45" s="41"/>
      <c r="AE45" s="41"/>
      <c r="AF45" s="461"/>
      <c r="AG45" s="461" t="s">
        <v>1236</v>
      </c>
      <c r="AH45" s="2002"/>
      <c r="AI45" s="2002">
        <v>0</v>
      </c>
      <c r="AJ45" s="2002">
        <v>4</v>
      </c>
      <c r="AK45" s="2002">
        <v>2</v>
      </c>
      <c r="AL45" s="2002">
        <v>0</v>
      </c>
      <c r="AM45" s="2480"/>
      <c r="AN45" s="2480"/>
      <c r="AO45" s="2480"/>
      <c r="AP45" s="2480">
        <v>6</v>
      </c>
      <c r="AQ45" s="41"/>
      <c r="AS45" s="42"/>
      <c r="AT45" s="42"/>
      <c r="AU45" s="42" t="s">
        <v>547</v>
      </c>
      <c r="AV45" s="42" t="s">
        <v>1230</v>
      </c>
      <c r="AW45" s="1993"/>
      <c r="AX45" s="1993"/>
      <c r="AY45" s="1993">
        <v>0</v>
      </c>
      <c r="AZ45" s="1993">
        <v>0</v>
      </c>
      <c r="BA45" s="70">
        <v>5</v>
      </c>
      <c r="BB45" s="70">
        <v>0</v>
      </c>
      <c r="BC45" s="70">
        <v>5</v>
      </c>
      <c r="BF45" s="105"/>
      <c r="BI45" s="41" t="s">
        <v>1323</v>
      </c>
      <c r="BJ45" s="1659">
        <v>0</v>
      </c>
      <c r="BK45" s="1659"/>
      <c r="BL45" s="1659">
        <v>1</v>
      </c>
      <c r="BM45" s="1659">
        <v>1</v>
      </c>
      <c r="BN45" s="105">
        <v>1</v>
      </c>
      <c r="BO45" s="105">
        <v>0</v>
      </c>
      <c r="BP45" s="105">
        <v>3</v>
      </c>
      <c r="BS45" s="1341"/>
      <c r="BT45" s="1341"/>
      <c r="BU45" s="1341"/>
      <c r="BV45" s="1342" t="s">
        <v>1239</v>
      </c>
      <c r="BW45" s="1343"/>
      <c r="BX45" s="1343"/>
      <c r="BY45" s="1343"/>
      <c r="BZ45" s="1344">
        <v>0</v>
      </c>
      <c r="CA45" s="1344">
        <v>0</v>
      </c>
      <c r="CB45" s="1346">
        <v>3</v>
      </c>
      <c r="CC45" s="1346">
        <v>3</v>
      </c>
      <c r="CD45" s="1337"/>
      <c r="CF45" s="497"/>
      <c r="CG45" s="497"/>
      <c r="CH45" s="546"/>
      <c r="CI45" s="547" t="s">
        <v>1235</v>
      </c>
      <c r="CJ45" s="500">
        <v>0</v>
      </c>
      <c r="CK45" s="500">
        <v>0</v>
      </c>
      <c r="CL45" s="500">
        <v>0</v>
      </c>
      <c r="CM45" s="501">
        <v>3</v>
      </c>
      <c r="CN45" s="548">
        <v>0</v>
      </c>
      <c r="CO45" s="548">
        <v>3</v>
      </c>
      <c r="CP45" s="549"/>
      <c r="CR45" s="503"/>
      <c r="CS45" s="503"/>
      <c r="CT45" s="504"/>
      <c r="CU45" s="505" t="s">
        <v>1240</v>
      </c>
      <c r="CV45" s="507"/>
      <c r="CW45" s="507"/>
      <c r="CX45" s="506">
        <v>1</v>
      </c>
      <c r="CY45" s="506">
        <v>0</v>
      </c>
      <c r="CZ45" s="508"/>
      <c r="DA45" s="508"/>
      <c r="DB45" s="509">
        <v>1</v>
      </c>
      <c r="DC45" s="510"/>
      <c r="DE45" s="511"/>
      <c r="DF45" s="511"/>
      <c r="DG45" s="511"/>
      <c r="DH45" s="512" t="s">
        <v>1235</v>
      </c>
      <c r="DI45" s="514">
        <v>0</v>
      </c>
      <c r="DJ45" s="513"/>
      <c r="DK45" s="513"/>
      <c r="DL45" s="514">
        <v>1</v>
      </c>
      <c r="DM45" s="514">
        <v>1</v>
      </c>
      <c r="DN45" s="514">
        <v>2</v>
      </c>
      <c r="DO45" s="515"/>
      <c r="DQ45" s="42"/>
      <c r="DR45" s="42"/>
      <c r="DS45" s="42"/>
      <c r="DT45" s="42"/>
      <c r="DU45" s="42"/>
      <c r="DV45" s="42"/>
      <c r="DW45" s="42"/>
      <c r="DX45" s="42"/>
      <c r="DY45" s="42"/>
      <c r="DZ45" s="42"/>
      <c r="EA45" s="42"/>
      <c r="EB45" s="42"/>
      <c r="EC45" s="516"/>
      <c r="ED45" s="517"/>
      <c r="EE45" s="516"/>
      <c r="EF45" s="516"/>
      <c r="EG45" s="516"/>
      <c r="EH45" s="516"/>
      <c r="EI45" s="516"/>
      <c r="EJ45" s="516"/>
      <c r="EK45" s="516"/>
      <c r="EL45" s="516"/>
      <c r="EM45" s="516"/>
      <c r="EN45" s="516"/>
      <c r="EO45" s="516"/>
      <c r="EP45" s="42"/>
    </row>
    <row r="46" spans="1:146">
      <c r="D46" s="4798" t="s">
        <v>1323</v>
      </c>
      <c r="E46" s="4606">
        <v>0</v>
      </c>
      <c r="F46" s="4606">
        <v>0</v>
      </c>
      <c r="G46" s="4606">
        <v>0</v>
      </c>
      <c r="H46" s="4606">
        <v>28</v>
      </c>
      <c r="I46" s="4606"/>
      <c r="J46" s="2552"/>
      <c r="K46" s="2552"/>
      <c r="L46" s="2552"/>
      <c r="M46" s="2552"/>
      <c r="N46" s="2552">
        <v>28</v>
      </c>
      <c r="O46" s="1977"/>
      <c r="S46" s="4807" t="s">
        <v>590</v>
      </c>
      <c r="T46" s="4808" t="s">
        <v>1231</v>
      </c>
      <c r="U46" s="4815">
        <v>1</v>
      </c>
      <c r="V46" s="4815"/>
      <c r="W46" s="4815">
        <f>1-1</f>
        <v>0</v>
      </c>
      <c r="X46" s="4815">
        <v>0</v>
      </c>
      <c r="Y46" s="4810">
        <v>1</v>
      </c>
      <c r="Z46" s="4810"/>
      <c r="AA46" s="4810">
        <v>2</v>
      </c>
      <c r="AD46" s="41"/>
      <c r="AE46" s="41"/>
      <c r="AF46" s="461"/>
      <c r="AG46" s="461" t="s">
        <v>1323</v>
      </c>
      <c r="AH46" s="2002"/>
      <c r="AI46" s="2002">
        <v>0</v>
      </c>
      <c r="AJ46" s="2002">
        <v>0</v>
      </c>
      <c r="AK46" s="2002">
        <v>44</v>
      </c>
      <c r="AL46" s="2002">
        <v>6</v>
      </c>
      <c r="AM46" s="2480"/>
      <c r="AN46" s="2480"/>
      <c r="AO46" s="2480"/>
      <c r="AP46" s="2480">
        <v>50</v>
      </c>
      <c r="AQ46" s="41"/>
      <c r="AS46" s="42"/>
      <c r="AT46" s="42"/>
      <c r="AU46" s="42"/>
      <c r="AV46" s="42" t="s">
        <v>1231</v>
      </c>
      <c r="AW46" s="1993"/>
      <c r="AX46" s="1993"/>
      <c r="AY46" s="1993">
        <v>0</v>
      </c>
      <c r="AZ46" s="1993">
        <v>1</v>
      </c>
      <c r="BA46" s="70">
        <v>0</v>
      </c>
      <c r="BB46" s="70">
        <v>1</v>
      </c>
      <c r="BC46" s="70">
        <v>2</v>
      </c>
      <c r="BF46" s="105"/>
      <c r="BI46" s="461" t="s">
        <v>547</v>
      </c>
      <c r="BJ46" s="1660">
        <v>1</v>
      </c>
      <c r="BK46" s="1660"/>
      <c r="BL46" s="1660">
        <v>7</v>
      </c>
      <c r="BM46" s="1660">
        <v>4</v>
      </c>
      <c r="BN46" s="96">
        <v>4</v>
      </c>
      <c r="BO46" s="96">
        <v>2</v>
      </c>
      <c r="BP46" s="96">
        <v>18</v>
      </c>
      <c r="BQ46" s="635">
        <f>+(BP42+BP45-BN42-BO42-BN45)/BP46</f>
        <v>0.27777777777777779</v>
      </c>
      <c r="BS46" s="1341"/>
      <c r="BT46" s="1341"/>
      <c r="BU46" s="1341"/>
      <c r="BV46" s="1342" t="s">
        <v>1323</v>
      </c>
      <c r="BW46" s="1343"/>
      <c r="BX46" s="1343"/>
      <c r="BY46" s="1343"/>
      <c r="BZ46" s="1344">
        <v>4</v>
      </c>
      <c r="CA46" s="1344">
        <v>0</v>
      </c>
      <c r="CB46" s="1346">
        <v>0</v>
      </c>
      <c r="CC46" s="1346">
        <v>4</v>
      </c>
      <c r="CD46" s="1337"/>
      <c r="CF46" s="497"/>
      <c r="CG46" s="497"/>
      <c r="CH46" s="546"/>
      <c r="CI46" s="547" t="s">
        <v>1239</v>
      </c>
      <c r="CJ46" s="500">
        <v>0</v>
      </c>
      <c r="CK46" s="500">
        <v>0</v>
      </c>
      <c r="CL46" s="500">
        <v>0</v>
      </c>
      <c r="CM46" s="501">
        <v>0</v>
      </c>
      <c r="CN46" s="548">
        <v>5</v>
      </c>
      <c r="CO46" s="548">
        <v>5</v>
      </c>
      <c r="CP46" s="549"/>
      <c r="CR46" s="503"/>
      <c r="CS46" s="503"/>
      <c r="CT46" s="504"/>
      <c r="CU46" s="527" t="s">
        <v>545</v>
      </c>
      <c r="CV46" s="529"/>
      <c r="CW46" s="529"/>
      <c r="CX46" s="528">
        <v>14</v>
      </c>
      <c r="CY46" s="528">
        <v>1</v>
      </c>
      <c r="CZ46" s="530"/>
      <c r="DA46" s="530"/>
      <c r="DB46" s="531">
        <v>15</v>
      </c>
      <c r="DC46" s="510">
        <f>+(DB45+DB44)/DB46</f>
        <v>1</v>
      </c>
      <c r="DE46" s="511"/>
      <c r="DF46" s="511"/>
      <c r="DG46" s="511"/>
      <c r="DH46" s="512" t="s">
        <v>1236</v>
      </c>
      <c r="DI46" s="514">
        <v>2</v>
      </c>
      <c r="DJ46" s="513"/>
      <c r="DK46" s="513"/>
      <c r="DL46" s="514">
        <v>0</v>
      </c>
      <c r="DM46" s="514">
        <v>0</v>
      </c>
      <c r="DN46" s="514">
        <v>2</v>
      </c>
      <c r="DO46" s="515"/>
      <c r="DQ46" s="42"/>
      <c r="DR46" s="42"/>
      <c r="DS46" s="42"/>
      <c r="DT46" s="42"/>
      <c r="DU46" s="42"/>
      <c r="DV46" s="42"/>
      <c r="DW46" s="42"/>
      <c r="DX46" s="42"/>
      <c r="DY46" s="42"/>
      <c r="DZ46" s="42"/>
      <c r="EA46" s="42"/>
      <c r="EB46" s="42"/>
      <c r="EC46" s="516"/>
      <c r="ED46" s="517"/>
      <c r="EE46" s="516"/>
      <c r="EF46" s="516"/>
      <c r="EG46" s="516"/>
      <c r="EH46" s="516"/>
      <c r="EI46" s="516"/>
      <c r="EJ46" s="516"/>
      <c r="EK46" s="516"/>
      <c r="EL46" s="516"/>
      <c r="EM46" s="516"/>
      <c r="EN46" s="516"/>
      <c r="EO46" s="516"/>
      <c r="EP46" s="42"/>
    </row>
    <row r="47" spans="1:146">
      <c r="D47" s="4798" t="s">
        <v>15</v>
      </c>
      <c r="E47" s="4606">
        <v>11</v>
      </c>
      <c r="F47" s="4606">
        <v>4</v>
      </c>
      <c r="G47" s="4606">
        <v>3</v>
      </c>
      <c r="H47" s="4606">
        <v>48</v>
      </c>
      <c r="I47" s="4606"/>
      <c r="J47" s="2552"/>
      <c r="K47" s="2552"/>
      <c r="L47" s="2552"/>
      <c r="M47" s="2552"/>
      <c r="N47" s="2552">
        <v>66</v>
      </c>
      <c r="O47" s="1977">
        <f>+(N43+N46)/(N47-N45)</f>
        <v>0.72727272727272729</v>
      </c>
      <c r="S47" s="4807"/>
      <c r="T47" s="4808" t="s">
        <v>1239</v>
      </c>
      <c r="U47" s="4815"/>
      <c r="V47" s="4815"/>
      <c r="W47" s="4815"/>
      <c r="X47" s="4815"/>
      <c r="Y47" s="4810"/>
      <c r="Z47" s="4810">
        <v>2</v>
      </c>
      <c r="AA47" s="4810">
        <v>2</v>
      </c>
      <c r="AD47" s="41"/>
      <c r="AE47" s="41"/>
      <c r="AF47" s="461"/>
      <c r="AG47" s="461" t="s">
        <v>545</v>
      </c>
      <c r="AH47" s="2002"/>
      <c r="AI47" s="2002">
        <v>2</v>
      </c>
      <c r="AJ47" s="2002">
        <v>4</v>
      </c>
      <c r="AK47" s="2002">
        <v>47</v>
      </c>
      <c r="AL47" s="2002">
        <v>8</v>
      </c>
      <c r="AM47" s="2480"/>
      <c r="AN47" s="2480"/>
      <c r="AO47" s="2480"/>
      <c r="AP47" s="2480">
        <v>61</v>
      </c>
      <c r="AQ47" s="635">
        <f>+(AP46+AP44)/AP47</f>
        <v>0.85245901639344257</v>
      </c>
      <c r="AS47" s="42"/>
      <c r="AT47" s="42"/>
      <c r="AU47" s="42"/>
      <c r="AV47" s="42" t="s">
        <v>1235</v>
      </c>
      <c r="AW47" s="1993"/>
      <c r="AX47" s="1993"/>
      <c r="AY47" s="1993">
        <v>2</v>
      </c>
      <c r="AZ47" s="1993">
        <v>1</v>
      </c>
      <c r="BA47" s="70">
        <v>1</v>
      </c>
      <c r="BB47" s="70">
        <v>0</v>
      </c>
      <c r="BC47" s="70">
        <v>4</v>
      </c>
      <c r="BF47" s="105"/>
      <c r="BH47" s="41" t="s">
        <v>110</v>
      </c>
      <c r="BI47" s="41" t="s">
        <v>1231</v>
      </c>
      <c r="BJ47" s="1659">
        <v>3</v>
      </c>
      <c r="BK47" s="1659">
        <v>1</v>
      </c>
      <c r="BL47" s="1659">
        <v>6</v>
      </c>
      <c r="BM47" s="1659">
        <v>3</v>
      </c>
      <c r="BN47" s="105">
        <v>0</v>
      </c>
      <c r="BO47" s="105">
        <v>0</v>
      </c>
      <c r="BP47" s="105">
        <v>13</v>
      </c>
      <c r="BS47" s="1341"/>
      <c r="BT47" s="1341"/>
      <c r="BU47" s="1341"/>
      <c r="BV47" s="1336" t="s">
        <v>15</v>
      </c>
      <c r="BW47" s="1347"/>
      <c r="BX47" s="1347"/>
      <c r="BY47" s="1347"/>
      <c r="BZ47" s="1348">
        <v>6</v>
      </c>
      <c r="CA47" s="1348">
        <v>9</v>
      </c>
      <c r="CB47" s="1350">
        <v>3</v>
      </c>
      <c r="CC47" s="1350">
        <v>18</v>
      </c>
      <c r="CD47" s="1325">
        <f>+(CC43+CC46)/CC47</f>
        <v>0.5</v>
      </c>
      <c r="CF47" s="497"/>
      <c r="CG47" s="497"/>
      <c r="CH47" s="546"/>
      <c r="CI47" s="547" t="s">
        <v>1323</v>
      </c>
      <c r="CJ47" s="500">
        <v>0</v>
      </c>
      <c r="CK47" s="500">
        <v>0</v>
      </c>
      <c r="CL47" s="500">
        <v>1</v>
      </c>
      <c r="CM47" s="501">
        <v>0</v>
      </c>
      <c r="CN47" s="548">
        <v>0</v>
      </c>
      <c r="CO47" s="548">
        <v>1</v>
      </c>
      <c r="CP47" s="549"/>
      <c r="CR47" s="503"/>
      <c r="CS47" s="503" t="s">
        <v>41</v>
      </c>
      <c r="CT47" s="504" t="s">
        <v>108</v>
      </c>
      <c r="CU47" s="505" t="s">
        <v>1230</v>
      </c>
      <c r="CV47" s="507"/>
      <c r="CW47" s="506">
        <v>0</v>
      </c>
      <c r="CX47" s="506">
        <v>0</v>
      </c>
      <c r="CY47" s="506">
        <v>0</v>
      </c>
      <c r="CZ47" s="509">
        <v>1</v>
      </c>
      <c r="DA47" s="509">
        <v>0</v>
      </c>
      <c r="DB47" s="509">
        <v>1</v>
      </c>
      <c r="DC47" s="510"/>
      <c r="DE47" s="511"/>
      <c r="DF47" s="511"/>
      <c r="DG47" s="511"/>
      <c r="DH47" s="512" t="s">
        <v>1323</v>
      </c>
      <c r="DI47" s="514">
        <v>0</v>
      </c>
      <c r="DJ47" s="513"/>
      <c r="DK47" s="513"/>
      <c r="DL47" s="514">
        <v>7</v>
      </c>
      <c r="DM47" s="514">
        <v>0</v>
      </c>
      <c r="DN47" s="514">
        <v>7</v>
      </c>
      <c r="DO47" s="515"/>
      <c r="DQ47" s="42"/>
      <c r="DR47" s="42"/>
      <c r="DS47" s="42"/>
      <c r="DT47" s="42"/>
      <c r="DU47" s="42"/>
      <c r="DV47" s="42"/>
      <c r="DW47" s="42"/>
      <c r="DX47" s="42"/>
      <c r="DY47" s="42"/>
      <c r="DZ47" s="42"/>
      <c r="EA47" s="42"/>
      <c r="EB47" s="42"/>
      <c r="EC47" s="516"/>
      <c r="ED47" s="517"/>
      <c r="EE47" s="516"/>
      <c r="EF47" s="516"/>
      <c r="EG47" s="516"/>
      <c r="EH47" s="516"/>
      <c r="EI47" s="516"/>
      <c r="EJ47" s="516"/>
      <c r="EK47" s="516"/>
      <c r="EL47" s="516"/>
      <c r="EM47" s="516"/>
      <c r="EN47" s="516"/>
      <c r="EO47" s="516"/>
      <c r="EP47" s="42"/>
    </row>
    <row r="48" spans="1:146" ht="15" thickBot="1">
      <c r="C48" s="4798" t="s">
        <v>545</v>
      </c>
      <c r="D48" s="4798" t="s">
        <v>1231</v>
      </c>
      <c r="E48" s="4606">
        <v>0</v>
      </c>
      <c r="F48" s="4606">
        <v>2</v>
      </c>
      <c r="G48" s="4606">
        <v>2</v>
      </c>
      <c r="H48" s="4606">
        <v>7</v>
      </c>
      <c r="I48" s="4606"/>
      <c r="J48" s="2552"/>
      <c r="K48" s="2552"/>
      <c r="L48" s="2552"/>
      <c r="M48" s="2552"/>
      <c r="N48" s="2552">
        <v>11</v>
      </c>
      <c r="O48" s="1977"/>
      <c r="S48" s="4807"/>
      <c r="T48" s="4813" t="s">
        <v>15</v>
      </c>
      <c r="U48" s="4816">
        <v>1</v>
      </c>
      <c r="V48" s="4816"/>
      <c r="W48" s="4816">
        <f>1-1</f>
        <v>0</v>
      </c>
      <c r="X48" s="4816">
        <f>1-1</f>
        <v>0</v>
      </c>
      <c r="Y48" s="4814">
        <v>1</v>
      </c>
      <c r="Z48" s="4814">
        <v>2</v>
      </c>
      <c r="AA48" s="4814">
        <f>3+2-1</f>
        <v>4</v>
      </c>
      <c r="AB48" s="4703">
        <v>0</v>
      </c>
      <c r="AD48" s="41"/>
      <c r="AE48" s="41" t="s">
        <v>41</v>
      </c>
      <c r="AF48" s="41" t="s">
        <v>108</v>
      </c>
      <c r="AG48" s="41" t="s">
        <v>1231</v>
      </c>
      <c r="AH48" s="2001"/>
      <c r="AI48" s="2001">
        <v>1</v>
      </c>
      <c r="AJ48" s="2001"/>
      <c r="AK48" s="2001">
        <v>1</v>
      </c>
      <c r="AL48" s="2001">
        <v>1</v>
      </c>
      <c r="AM48" s="105">
        <v>0</v>
      </c>
      <c r="AN48" s="105"/>
      <c r="AO48" s="105"/>
      <c r="AP48" s="105">
        <v>3</v>
      </c>
      <c r="AQ48" s="41"/>
      <c r="AS48" s="42"/>
      <c r="AT48" s="42"/>
      <c r="AU48" s="42"/>
      <c r="AV48" s="42" t="s">
        <v>1239</v>
      </c>
      <c r="AW48" s="1993"/>
      <c r="AX48" s="1993"/>
      <c r="AY48" s="1993">
        <v>0</v>
      </c>
      <c r="AZ48" s="1993">
        <v>0</v>
      </c>
      <c r="BA48" s="70">
        <v>2</v>
      </c>
      <c r="BB48" s="70">
        <v>1</v>
      </c>
      <c r="BC48" s="70">
        <v>3</v>
      </c>
      <c r="BF48" s="105"/>
      <c r="BI48" s="41" t="s">
        <v>1235</v>
      </c>
      <c r="BJ48" s="1659">
        <v>0</v>
      </c>
      <c r="BK48" s="1659">
        <v>0</v>
      </c>
      <c r="BL48" s="1659">
        <v>4</v>
      </c>
      <c r="BM48" s="1659">
        <v>1</v>
      </c>
      <c r="BN48" s="105">
        <v>2</v>
      </c>
      <c r="BO48" s="105">
        <v>1</v>
      </c>
      <c r="BP48" s="105">
        <v>8</v>
      </c>
      <c r="BS48" s="1341"/>
      <c r="BT48" s="1341"/>
      <c r="BU48" s="1341" t="s">
        <v>1893</v>
      </c>
      <c r="BV48" s="1342" t="s">
        <v>1231</v>
      </c>
      <c r="BW48" s="1343"/>
      <c r="BX48" s="1344">
        <v>1</v>
      </c>
      <c r="BY48" s="1343">
        <v>1</v>
      </c>
      <c r="BZ48" s="1343">
        <v>1</v>
      </c>
      <c r="CA48" s="1343">
        <v>1</v>
      </c>
      <c r="CB48" s="1346">
        <v>0</v>
      </c>
      <c r="CC48" s="1346">
        <v>4</v>
      </c>
      <c r="CD48" s="1337"/>
      <c r="CF48" s="497"/>
      <c r="CG48" s="497"/>
      <c r="CH48" s="546"/>
      <c r="CI48" s="550" t="s">
        <v>15</v>
      </c>
      <c r="CJ48" s="522">
        <v>1</v>
      </c>
      <c r="CK48" s="522">
        <v>1</v>
      </c>
      <c r="CL48" s="522">
        <v>1</v>
      </c>
      <c r="CM48" s="523">
        <v>3</v>
      </c>
      <c r="CN48" s="551">
        <v>5</v>
      </c>
      <c r="CO48" s="551">
        <v>11</v>
      </c>
      <c r="CP48" s="552">
        <f>+(CO45+CO47)/CO48</f>
        <v>0.36363636363636365</v>
      </c>
      <c r="CR48" s="503"/>
      <c r="CS48" s="503"/>
      <c r="CT48" s="504"/>
      <c r="CU48" s="505" t="s">
        <v>1231</v>
      </c>
      <c r="CV48" s="507"/>
      <c r="CW48" s="506">
        <v>0</v>
      </c>
      <c r="CX48" s="506">
        <v>1</v>
      </c>
      <c r="CY48" s="506">
        <v>0</v>
      </c>
      <c r="CZ48" s="509">
        <v>0</v>
      </c>
      <c r="DA48" s="509">
        <v>0</v>
      </c>
      <c r="DB48" s="509">
        <v>1</v>
      </c>
      <c r="DC48" s="510"/>
      <c r="DE48" s="553"/>
      <c r="DF48" s="553"/>
      <c r="DG48" s="553"/>
      <c r="DH48" s="554" t="s">
        <v>15</v>
      </c>
      <c r="DI48" s="555">
        <v>3</v>
      </c>
      <c r="DJ48" s="556"/>
      <c r="DK48" s="556"/>
      <c r="DL48" s="555">
        <v>8</v>
      </c>
      <c r="DM48" s="555">
        <v>1</v>
      </c>
      <c r="DN48" s="555">
        <v>12</v>
      </c>
      <c r="DO48" s="557">
        <f>+(DN47+DN45-DM45)/DN48</f>
        <v>0.66666666666666663</v>
      </c>
      <c r="DQ48" s="42"/>
      <c r="DR48" s="42"/>
      <c r="DS48" s="42"/>
      <c r="DT48" s="42"/>
      <c r="DU48" s="42"/>
      <c r="DV48" s="42"/>
      <c r="DW48" s="42"/>
      <c r="DX48" s="42"/>
      <c r="DY48" s="42"/>
      <c r="DZ48" s="42"/>
      <c r="EA48" s="42"/>
      <c r="EB48" s="42"/>
      <c r="EC48" s="516"/>
      <c r="ED48" s="517"/>
      <c r="EE48" s="516"/>
      <c r="EF48" s="516"/>
      <c r="EG48" s="516"/>
      <c r="EH48" s="516"/>
      <c r="EI48" s="516"/>
      <c r="EJ48" s="516"/>
      <c r="EK48" s="516"/>
      <c r="EL48" s="516"/>
      <c r="EM48" s="516"/>
      <c r="EN48" s="516"/>
      <c r="EO48" s="516"/>
      <c r="EP48" s="42"/>
    </row>
    <row r="49" spans="2:146">
      <c r="D49" s="4798" t="s">
        <v>1233</v>
      </c>
      <c r="E49" s="4606">
        <v>0</v>
      </c>
      <c r="F49" s="4606">
        <v>2</v>
      </c>
      <c r="G49" s="4606">
        <v>1</v>
      </c>
      <c r="H49" s="4606">
        <v>0</v>
      </c>
      <c r="I49" s="4606"/>
      <c r="J49" s="2552"/>
      <c r="K49" s="2552"/>
      <c r="L49" s="2552"/>
      <c r="M49" s="2552"/>
      <c r="N49" s="2552">
        <v>3</v>
      </c>
      <c r="O49" s="1977"/>
      <c r="S49" s="4811" t="s">
        <v>547</v>
      </c>
      <c r="T49" s="4813" t="s">
        <v>1231</v>
      </c>
      <c r="U49" s="4816">
        <v>1</v>
      </c>
      <c r="V49" s="4816"/>
      <c r="W49" s="4816">
        <f>1-1</f>
        <v>0</v>
      </c>
      <c r="X49" s="4816">
        <v>0</v>
      </c>
      <c r="Y49" s="4814">
        <f>0+1</f>
        <v>1</v>
      </c>
      <c r="Z49" s="4813"/>
      <c r="AA49" s="4814">
        <f>2</f>
        <v>2</v>
      </c>
      <c r="AB49" s="1793"/>
      <c r="AD49" s="41"/>
      <c r="AE49" s="41"/>
      <c r="AF49" s="41"/>
      <c r="AG49" s="41" t="s">
        <v>1235</v>
      </c>
      <c r="AH49" s="2001"/>
      <c r="AI49" s="2001">
        <v>0</v>
      </c>
      <c r="AJ49" s="2001"/>
      <c r="AK49" s="2001">
        <v>1</v>
      </c>
      <c r="AL49" s="2001">
        <v>0</v>
      </c>
      <c r="AM49" s="105">
        <v>3</v>
      </c>
      <c r="AN49" s="105"/>
      <c r="AO49" s="105"/>
      <c r="AP49" s="105">
        <v>4</v>
      </c>
      <c r="AQ49" s="41"/>
      <c r="AS49" s="42"/>
      <c r="AT49" s="42"/>
      <c r="AU49" s="42"/>
      <c r="AV49" s="42" t="s">
        <v>1323</v>
      </c>
      <c r="AW49" s="1993"/>
      <c r="AX49" s="1993"/>
      <c r="AY49" s="1993">
        <v>1</v>
      </c>
      <c r="AZ49" s="1993">
        <v>1</v>
      </c>
      <c r="BA49" s="70">
        <v>1</v>
      </c>
      <c r="BB49" s="70">
        <v>0</v>
      </c>
      <c r="BC49" s="70">
        <v>3</v>
      </c>
      <c r="BF49" s="105"/>
      <c r="BI49" s="41" t="s">
        <v>1236</v>
      </c>
      <c r="BJ49" s="1659">
        <v>2</v>
      </c>
      <c r="BK49" s="1659">
        <v>1</v>
      </c>
      <c r="BL49" s="1659">
        <v>1</v>
      </c>
      <c r="BM49" s="1659">
        <v>0</v>
      </c>
      <c r="BN49" s="105">
        <v>0</v>
      </c>
      <c r="BO49" s="105">
        <v>0</v>
      </c>
      <c r="BP49" s="105">
        <v>4</v>
      </c>
      <c r="BS49" s="1341"/>
      <c r="BT49" s="1341"/>
      <c r="BU49" s="1341"/>
      <c r="BV49" s="1342" t="s">
        <v>1239</v>
      </c>
      <c r="BW49" s="1343"/>
      <c r="BX49" s="1344">
        <v>0</v>
      </c>
      <c r="BY49" s="1343">
        <v>0</v>
      </c>
      <c r="BZ49" s="1343">
        <v>0</v>
      </c>
      <c r="CA49" s="1343">
        <v>0</v>
      </c>
      <c r="CB49" s="1346">
        <v>3</v>
      </c>
      <c r="CC49" s="1346">
        <v>3</v>
      </c>
      <c r="CD49" s="1337"/>
      <c r="CF49" s="497"/>
      <c r="CG49" s="497"/>
      <c r="CH49" s="498" t="s">
        <v>547</v>
      </c>
      <c r="CI49" s="499" t="s">
        <v>1231</v>
      </c>
      <c r="CJ49" s="500">
        <v>2</v>
      </c>
      <c r="CK49" s="500">
        <v>1</v>
      </c>
      <c r="CL49" s="500">
        <v>3</v>
      </c>
      <c r="CM49" s="500">
        <v>1</v>
      </c>
      <c r="CN49" s="502">
        <v>0</v>
      </c>
      <c r="CO49" s="502">
        <v>7</v>
      </c>
      <c r="CP49" s="41"/>
      <c r="CR49" s="503"/>
      <c r="CS49" s="503"/>
      <c r="CT49" s="504"/>
      <c r="CU49" s="505" t="s">
        <v>1233</v>
      </c>
      <c r="CV49" s="507"/>
      <c r="CW49" s="506">
        <v>2</v>
      </c>
      <c r="CX49" s="506">
        <v>0</v>
      </c>
      <c r="CY49" s="506">
        <v>0</v>
      </c>
      <c r="CZ49" s="509">
        <v>0</v>
      </c>
      <c r="DA49" s="509">
        <v>0</v>
      </c>
      <c r="DB49" s="509">
        <v>2</v>
      </c>
      <c r="DC49" s="510"/>
      <c r="DE49" s="511"/>
      <c r="DF49" s="511"/>
      <c r="DG49" s="511"/>
      <c r="DH49" s="512"/>
      <c r="DQ49" s="42"/>
      <c r="DR49" s="42"/>
      <c r="DS49" s="42"/>
      <c r="DT49" s="42"/>
      <c r="DU49" s="42"/>
      <c r="DV49" s="42"/>
      <c r="DW49" s="42"/>
      <c r="DX49" s="42"/>
      <c r="DY49" s="42"/>
      <c r="DZ49" s="42"/>
      <c r="EA49" s="42"/>
      <c r="EB49" s="42"/>
      <c r="EC49" s="516"/>
      <c r="ED49" s="517"/>
      <c r="EE49" s="516"/>
      <c r="EF49" s="516"/>
      <c r="EG49" s="516"/>
      <c r="EH49" s="516"/>
      <c r="EI49" s="516"/>
      <c r="EJ49" s="516"/>
      <c r="EK49" s="516"/>
      <c r="EL49" s="516"/>
      <c r="EM49" s="516"/>
      <c r="EN49" s="516"/>
      <c r="EO49" s="516"/>
      <c r="EP49" s="42"/>
    </row>
    <row r="50" spans="2:146">
      <c r="D50" s="4798" t="s">
        <v>1235</v>
      </c>
      <c r="E50" s="4606">
        <v>0</v>
      </c>
      <c r="F50" s="4606">
        <v>0</v>
      </c>
      <c r="G50" s="4606">
        <v>0</v>
      </c>
      <c r="H50" s="4606">
        <v>12</v>
      </c>
      <c r="I50" s="4606"/>
      <c r="J50" s="2552"/>
      <c r="K50" s="2552"/>
      <c r="L50" s="2552"/>
      <c r="M50" s="2552"/>
      <c r="N50" s="2552">
        <v>12</v>
      </c>
      <c r="O50" s="1977"/>
      <c r="S50" s="4811"/>
      <c r="T50" s="4813" t="s">
        <v>1235</v>
      </c>
      <c r="U50" s="4816">
        <v>0</v>
      </c>
      <c r="V50" s="4816"/>
      <c r="W50" s="4816">
        <v>1</v>
      </c>
      <c r="X50" s="4816">
        <v>0</v>
      </c>
      <c r="Y50" s="4814">
        <v>0</v>
      </c>
      <c r="Z50" s="4813"/>
      <c r="AA50" s="4814">
        <v>1</v>
      </c>
      <c r="AB50" s="1793"/>
      <c r="AD50" s="41"/>
      <c r="AE50" s="41"/>
      <c r="AF50" s="41"/>
      <c r="AG50" s="41" t="s">
        <v>1239</v>
      </c>
      <c r="AH50" s="2001"/>
      <c r="AI50" s="2001">
        <v>0</v>
      </c>
      <c r="AJ50" s="2001"/>
      <c r="AK50" s="2001">
        <v>0</v>
      </c>
      <c r="AL50" s="2001">
        <v>0</v>
      </c>
      <c r="AM50" s="105">
        <v>1</v>
      </c>
      <c r="AN50" s="105"/>
      <c r="AO50" s="105"/>
      <c r="AP50" s="105">
        <v>1</v>
      </c>
      <c r="AQ50" s="41"/>
      <c r="AS50" s="42"/>
      <c r="AT50" s="42"/>
      <c r="AU50" s="42"/>
      <c r="AV50" s="484" t="s">
        <v>547</v>
      </c>
      <c r="AW50" s="1994"/>
      <c r="AX50" s="1994"/>
      <c r="AY50" s="1994">
        <v>3</v>
      </c>
      <c r="AZ50" s="1994">
        <v>3</v>
      </c>
      <c r="BA50" s="454">
        <v>9</v>
      </c>
      <c r="BB50" s="454">
        <v>2</v>
      </c>
      <c r="BC50" s="454">
        <v>17</v>
      </c>
      <c r="BD50" s="1977">
        <f>+(BC47-BA47+BC49-BA49)/(BC50-BC43)</f>
        <v>0.41666666666666669</v>
      </c>
      <c r="BF50" s="105"/>
      <c r="BI50" s="41" t="s">
        <v>1239</v>
      </c>
      <c r="BJ50" s="1659">
        <v>0</v>
      </c>
      <c r="BK50" s="1659">
        <v>0</v>
      </c>
      <c r="BL50" s="1659">
        <v>0</v>
      </c>
      <c r="BM50" s="1659">
        <v>0</v>
      </c>
      <c r="BN50" s="105">
        <v>1</v>
      </c>
      <c r="BO50" s="105">
        <v>1</v>
      </c>
      <c r="BP50" s="105">
        <v>2</v>
      </c>
      <c r="BS50" s="1341"/>
      <c r="BT50" s="1341"/>
      <c r="BU50" s="1341"/>
      <c r="BV50" s="1342" t="s">
        <v>1323</v>
      </c>
      <c r="BW50" s="1343"/>
      <c r="BX50" s="1344">
        <v>0</v>
      </c>
      <c r="BY50" s="1343">
        <v>0</v>
      </c>
      <c r="BZ50" s="1343">
        <v>0</v>
      </c>
      <c r="CA50" s="1343">
        <v>1</v>
      </c>
      <c r="CB50" s="1346">
        <v>0</v>
      </c>
      <c r="CC50" s="1346">
        <v>1</v>
      </c>
      <c r="CD50" s="1337"/>
      <c r="CF50" s="497"/>
      <c r="CG50" s="497"/>
      <c r="CH50" s="498"/>
      <c r="CI50" s="499" t="s">
        <v>1235</v>
      </c>
      <c r="CJ50" s="500">
        <v>0</v>
      </c>
      <c r="CK50" s="500">
        <v>0</v>
      </c>
      <c r="CL50" s="500">
        <v>1</v>
      </c>
      <c r="CM50" s="500">
        <v>3</v>
      </c>
      <c r="CN50" s="502">
        <v>0</v>
      </c>
      <c r="CO50" s="502">
        <v>4</v>
      </c>
      <c r="CP50" s="41"/>
      <c r="CR50" s="503"/>
      <c r="CS50" s="503"/>
      <c r="CT50" s="504"/>
      <c r="CU50" s="505" t="s">
        <v>1235</v>
      </c>
      <c r="CV50" s="507"/>
      <c r="CW50" s="506">
        <v>0</v>
      </c>
      <c r="CX50" s="506">
        <v>7</v>
      </c>
      <c r="CY50" s="506">
        <v>3</v>
      </c>
      <c r="CZ50" s="509">
        <v>1</v>
      </c>
      <c r="DA50" s="509">
        <v>1</v>
      </c>
      <c r="DB50" s="509">
        <v>12</v>
      </c>
      <c r="DC50" s="510"/>
      <c r="DE50" s="511"/>
      <c r="DF50" s="511"/>
      <c r="DG50" s="511"/>
      <c r="DI50" s="5641" t="s">
        <v>1318</v>
      </c>
      <c r="DJ50" s="5641"/>
      <c r="DK50" s="5641"/>
      <c r="DL50" s="5641"/>
      <c r="DM50" s="5641"/>
      <c r="DQ50" s="42"/>
      <c r="DR50" s="42"/>
      <c r="DS50" s="42"/>
      <c r="DT50" s="484" t="s">
        <v>327</v>
      </c>
      <c r="DU50" s="5642" t="s">
        <v>1319</v>
      </c>
      <c r="DV50" s="5642"/>
      <c r="DW50" s="5642"/>
      <c r="DX50" s="5642"/>
      <c r="DY50" s="5642"/>
      <c r="DZ50" s="484"/>
      <c r="EA50" s="42"/>
      <c r="EB50" s="42"/>
      <c r="EC50" s="516"/>
      <c r="ED50" s="517"/>
      <c r="EE50" s="516"/>
      <c r="EF50" s="516"/>
      <c r="EG50" s="5640" t="s">
        <v>1319</v>
      </c>
      <c r="EH50" s="5640"/>
      <c r="EI50" s="5640"/>
      <c r="EJ50" s="5640"/>
      <c r="EK50" s="5640"/>
      <c r="EL50" s="5640"/>
      <c r="EM50" s="516"/>
      <c r="EN50" s="516"/>
      <c r="EO50" s="516"/>
      <c r="EP50" s="42"/>
    </row>
    <row r="51" spans="2:146" ht="28.2" thickBot="1">
      <c r="D51" s="4798" t="s">
        <v>1236</v>
      </c>
      <c r="E51" s="4606">
        <v>0</v>
      </c>
      <c r="F51" s="4606">
        <v>0</v>
      </c>
      <c r="G51" s="4606">
        <v>0</v>
      </c>
      <c r="H51" s="4606">
        <v>1</v>
      </c>
      <c r="I51" s="4606"/>
      <c r="J51" s="2552"/>
      <c r="K51" s="2552"/>
      <c r="L51" s="2552"/>
      <c r="M51" s="2552"/>
      <c r="N51" s="2552">
        <v>1</v>
      </c>
      <c r="O51" s="1977"/>
      <c r="S51" s="4811"/>
      <c r="T51" s="4813" t="s">
        <v>1239</v>
      </c>
      <c r="U51" s="4816">
        <v>0</v>
      </c>
      <c r="V51" s="4816"/>
      <c r="W51" s="4816">
        <v>0</v>
      </c>
      <c r="X51" s="4816">
        <v>3</v>
      </c>
      <c r="Y51" s="4814">
        <v>1</v>
      </c>
      <c r="Z51" s="4814">
        <v>2</v>
      </c>
      <c r="AA51" s="4814">
        <f>4+2</f>
        <v>6</v>
      </c>
      <c r="AB51" s="1793"/>
      <c r="AD51" s="41"/>
      <c r="AE51" s="41"/>
      <c r="AF51" s="41"/>
      <c r="AG51" s="41" t="s">
        <v>1323</v>
      </c>
      <c r="AH51" s="2001"/>
      <c r="AI51" s="2001">
        <v>0</v>
      </c>
      <c r="AJ51" s="2001"/>
      <c r="AK51" s="2001">
        <v>1</v>
      </c>
      <c r="AL51" s="2001">
        <v>0</v>
      </c>
      <c r="AM51" s="105">
        <v>0</v>
      </c>
      <c r="AN51" s="105"/>
      <c r="AO51" s="105"/>
      <c r="AP51" s="105">
        <v>1</v>
      </c>
      <c r="AQ51" s="41"/>
      <c r="AS51" s="42"/>
      <c r="AT51" s="42"/>
      <c r="AU51" s="484" t="s">
        <v>110</v>
      </c>
      <c r="AV51" s="484" t="s">
        <v>1230</v>
      </c>
      <c r="AW51" s="1994">
        <v>0</v>
      </c>
      <c r="AX51" s="1994"/>
      <c r="AY51" s="1994">
        <v>0</v>
      </c>
      <c r="AZ51" s="1994">
        <v>0</v>
      </c>
      <c r="BA51" s="454">
        <v>5</v>
      </c>
      <c r="BB51" s="454">
        <v>2</v>
      </c>
      <c r="BC51" s="454">
        <v>7</v>
      </c>
      <c r="BF51" s="105"/>
      <c r="BI51" s="41" t="s">
        <v>1323</v>
      </c>
      <c r="BJ51" s="1659">
        <v>0</v>
      </c>
      <c r="BK51" s="1659">
        <v>0</v>
      </c>
      <c r="BL51" s="1659">
        <v>46</v>
      </c>
      <c r="BM51" s="1659">
        <v>1</v>
      </c>
      <c r="BN51" s="105">
        <v>1</v>
      </c>
      <c r="BO51" s="105">
        <v>0</v>
      </c>
      <c r="BP51" s="105">
        <v>48</v>
      </c>
      <c r="BS51" s="1341"/>
      <c r="BT51" s="1341"/>
      <c r="BU51" s="1341"/>
      <c r="BV51" s="1336" t="s">
        <v>15</v>
      </c>
      <c r="BW51" s="1347"/>
      <c r="BX51" s="1348">
        <v>1</v>
      </c>
      <c r="BY51" s="1347">
        <v>1</v>
      </c>
      <c r="BZ51" s="1347">
        <v>1</v>
      </c>
      <c r="CA51" s="1347">
        <v>2</v>
      </c>
      <c r="CB51" s="1350">
        <v>3</v>
      </c>
      <c r="CC51" s="1350">
        <v>8</v>
      </c>
      <c r="CD51" s="1325">
        <f>+CC50/CC51</f>
        <v>0.125</v>
      </c>
      <c r="CF51" s="497"/>
      <c r="CG51" s="497"/>
      <c r="CH51" s="498"/>
      <c r="CI51" s="499" t="s">
        <v>1236</v>
      </c>
      <c r="CJ51" s="500">
        <v>0</v>
      </c>
      <c r="CK51" s="500">
        <v>0</v>
      </c>
      <c r="CL51" s="500">
        <v>1</v>
      </c>
      <c r="CM51" s="500">
        <v>0</v>
      </c>
      <c r="CN51" s="502">
        <v>1</v>
      </c>
      <c r="CO51" s="502">
        <v>2</v>
      </c>
      <c r="CP51" s="41"/>
      <c r="CR51" s="503"/>
      <c r="CS51" s="503"/>
      <c r="CT51" s="504"/>
      <c r="CU51" s="505" t="s">
        <v>1236</v>
      </c>
      <c r="CV51" s="507"/>
      <c r="CW51" s="506">
        <v>1</v>
      </c>
      <c r="CX51" s="506">
        <v>0</v>
      </c>
      <c r="CY51" s="506">
        <v>0</v>
      </c>
      <c r="CZ51" s="509">
        <v>0</v>
      </c>
      <c r="DA51" s="509">
        <v>1</v>
      </c>
      <c r="DB51" s="509">
        <v>2</v>
      </c>
      <c r="DC51" s="510"/>
      <c r="DE51" s="558" t="s">
        <v>0</v>
      </c>
      <c r="DF51" s="558" t="s">
        <v>1</v>
      </c>
      <c r="DG51" s="558" t="s">
        <v>2</v>
      </c>
      <c r="DH51" s="558" t="s">
        <v>1229</v>
      </c>
      <c r="DI51" s="558">
        <v>1</v>
      </c>
      <c r="DJ51" s="558">
        <v>2</v>
      </c>
      <c r="DK51" s="558">
        <v>3</v>
      </c>
      <c r="DL51" s="558">
        <v>4</v>
      </c>
      <c r="DM51" s="558">
        <v>5</v>
      </c>
      <c r="DN51" s="558" t="s">
        <v>15</v>
      </c>
      <c r="DO51" s="559" t="s">
        <v>66</v>
      </c>
      <c r="DQ51" s="42"/>
      <c r="DR51" s="560" t="s">
        <v>0</v>
      </c>
      <c r="DS51" s="560" t="s">
        <v>1</v>
      </c>
      <c r="DT51" s="560" t="s">
        <v>1229</v>
      </c>
      <c r="DU51" s="560">
        <v>1</v>
      </c>
      <c r="DV51" s="560">
        <v>2</v>
      </c>
      <c r="DW51" s="560">
        <v>3</v>
      </c>
      <c r="DX51" s="560">
        <v>4</v>
      </c>
      <c r="DY51" s="560">
        <v>5</v>
      </c>
      <c r="DZ51" s="560" t="s">
        <v>15</v>
      </c>
      <c r="EA51" s="560" t="s">
        <v>66</v>
      </c>
      <c r="EB51" s="42"/>
      <c r="EC51" s="516"/>
      <c r="ED51" s="561" t="s">
        <v>0</v>
      </c>
      <c r="EE51" s="561" t="s">
        <v>1</v>
      </c>
      <c r="EF51" s="562" t="s">
        <v>1321</v>
      </c>
      <c r="EG51" s="561">
        <v>0</v>
      </c>
      <c r="EH51" s="561">
        <v>1</v>
      </c>
      <c r="EI51" s="561">
        <v>2</v>
      </c>
      <c r="EJ51" s="561">
        <v>3</v>
      </c>
      <c r="EK51" s="561">
        <v>4</v>
      </c>
      <c r="EL51" s="561">
        <v>5</v>
      </c>
      <c r="EM51" s="561" t="s">
        <v>15</v>
      </c>
      <c r="EN51" s="561" t="s">
        <v>66</v>
      </c>
      <c r="EO51" s="561" t="s">
        <v>1322</v>
      </c>
      <c r="EP51" s="42"/>
    </row>
    <row r="52" spans="2:146">
      <c r="D52" s="4798" t="s">
        <v>2963</v>
      </c>
      <c r="E52" s="4606">
        <v>11</v>
      </c>
      <c r="F52" s="4606">
        <v>0</v>
      </c>
      <c r="G52" s="4606">
        <v>0</v>
      </c>
      <c r="H52" s="4606">
        <v>0</v>
      </c>
      <c r="I52" s="4606"/>
      <c r="J52" s="2552"/>
      <c r="K52" s="2552"/>
      <c r="L52" s="2552"/>
      <c r="M52" s="2552"/>
      <c r="N52" s="2552">
        <v>11</v>
      </c>
      <c r="O52" s="1977"/>
      <c r="S52" s="4807"/>
      <c r="T52" s="4813" t="s">
        <v>547</v>
      </c>
      <c r="U52" s="4816">
        <v>1</v>
      </c>
      <c r="V52" s="4816"/>
      <c r="W52" s="4816">
        <f>2-1</f>
        <v>1</v>
      </c>
      <c r="X52" s="4816">
        <f>4-1</f>
        <v>3</v>
      </c>
      <c r="Y52" s="4814">
        <f>1+1</f>
        <v>2</v>
      </c>
      <c r="Z52" s="4814">
        <v>2</v>
      </c>
      <c r="AA52" s="4814">
        <f>8-2+2+1</f>
        <v>9</v>
      </c>
      <c r="AB52" s="4703">
        <f>+AA50/AA52</f>
        <v>0.1111111111111111</v>
      </c>
      <c r="AD52" s="41"/>
      <c r="AE52" s="41"/>
      <c r="AF52" s="41"/>
      <c r="AG52" s="461" t="s">
        <v>15</v>
      </c>
      <c r="AH52" s="2002"/>
      <c r="AI52" s="2002">
        <v>1</v>
      </c>
      <c r="AJ52" s="2002"/>
      <c r="AK52" s="2002">
        <v>3</v>
      </c>
      <c r="AL52" s="2002">
        <v>1</v>
      </c>
      <c r="AM52" s="2480">
        <v>4</v>
      </c>
      <c r="AN52" s="2480"/>
      <c r="AO52" s="2480"/>
      <c r="AP52" s="2480">
        <v>9</v>
      </c>
      <c r="AQ52" s="635">
        <f>+(AP51+AP49-AM49)/AP52</f>
        <v>0.22222222222222221</v>
      </c>
      <c r="AS52" s="42"/>
      <c r="AT52" s="42"/>
      <c r="AU52" s="484"/>
      <c r="AV52" s="484" t="s">
        <v>1231</v>
      </c>
      <c r="AW52" s="1994">
        <v>0</v>
      </c>
      <c r="AX52" s="1994"/>
      <c r="AY52" s="1994">
        <v>0</v>
      </c>
      <c r="AZ52" s="1994">
        <v>1</v>
      </c>
      <c r="BA52" s="454">
        <v>0</v>
      </c>
      <c r="BB52" s="454">
        <v>1</v>
      </c>
      <c r="BC52" s="454">
        <v>2</v>
      </c>
      <c r="BF52" s="105"/>
      <c r="BI52" s="461" t="s">
        <v>110</v>
      </c>
      <c r="BJ52" s="1660">
        <v>5</v>
      </c>
      <c r="BK52" s="1660">
        <v>2</v>
      </c>
      <c r="BL52" s="1660">
        <v>57</v>
      </c>
      <c r="BM52" s="1660">
        <v>5</v>
      </c>
      <c r="BN52" s="96">
        <v>4</v>
      </c>
      <c r="BO52" s="96">
        <v>2</v>
      </c>
      <c r="BP52" s="96">
        <v>75</v>
      </c>
      <c r="BQ52" s="635">
        <f>+(BP48+BP51-BN48-BO48-BN51)/BP52</f>
        <v>0.69333333333333336</v>
      </c>
      <c r="BS52" s="1341"/>
      <c r="BT52" s="1341"/>
      <c r="BU52" s="1341" t="s">
        <v>547</v>
      </c>
      <c r="BV52" s="1342" t="s">
        <v>1231</v>
      </c>
      <c r="BW52" s="1343"/>
      <c r="BX52" s="1344">
        <v>1</v>
      </c>
      <c r="BY52" s="1343">
        <v>1</v>
      </c>
      <c r="BZ52" s="1344">
        <v>2</v>
      </c>
      <c r="CA52" s="1344">
        <v>4</v>
      </c>
      <c r="CB52" s="1346">
        <v>0</v>
      </c>
      <c r="CC52" s="1346">
        <v>8</v>
      </c>
      <c r="CD52" s="1337"/>
      <c r="CF52" s="497"/>
      <c r="CG52" s="497"/>
      <c r="CH52" s="498"/>
      <c r="CI52" s="499" t="s">
        <v>1239</v>
      </c>
      <c r="CJ52" s="500">
        <v>0</v>
      </c>
      <c r="CK52" s="500">
        <v>0</v>
      </c>
      <c r="CL52" s="500">
        <v>0</v>
      </c>
      <c r="CM52" s="500">
        <v>0</v>
      </c>
      <c r="CN52" s="502">
        <v>5</v>
      </c>
      <c r="CO52" s="502">
        <v>5</v>
      </c>
      <c r="CP52" s="41"/>
      <c r="CR52" s="503"/>
      <c r="CS52" s="503"/>
      <c r="CT52" s="504"/>
      <c r="CU52" s="505" t="s">
        <v>1323</v>
      </c>
      <c r="CV52" s="507"/>
      <c r="CW52" s="506">
        <v>0</v>
      </c>
      <c r="CX52" s="506">
        <v>3</v>
      </c>
      <c r="CY52" s="506">
        <v>3</v>
      </c>
      <c r="CZ52" s="509">
        <v>1</v>
      </c>
      <c r="DA52" s="509">
        <v>0</v>
      </c>
      <c r="DB52" s="509">
        <v>7</v>
      </c>
      <c r="DC52" s="510"/>
      <c r="DG52" s="511" t="s">
        <v>545</v>
      </c>
      <c r="DH52" s="512" t="s">
        <v>1231</v>
      </c>
      <c r="DI52" s="514">
        <v>1</v>
      </c>
      <c r="DJ52" s="513"/>
      <c r="DK52" s="514">
        <v>3</v>
      </c>
      <c r="DL52" s="513"/>
      <c r="DM52" s="513"/>
      <c r="DN52" s="514">
        <v>4</v>
      </c>
      <c r="DO52" s="515"/>
      <c r="DQ52" s="42"/>
      <c r="DR52" s="70" t="s">
        <v>3</v>
      </c>
      <c r="DS52" s="70" t="s">
        <v>16</v>
      </c>
      <c r="DT52" s="42" t="s">
        <v>1231</v>
      </c>
      <c r="DU52" s="70"/>
      <c r="DV52" s="70">
        <v>3</v>
      </c>
      <c r="DW52" s="70">
        <v>3</v>
      </c>
      <c r="DX52" s="70">
        <v>0</v>
      </c>
      <c r="DY52" s="70"/>
      <c r="DZ52" s="70">
        <v>6</v>
      </c>
      <c r="EA52" s="42"/>
      <c r="EB52" s="42"/>
      <c r="EC52" s="516"/>
      <c r="ED52" s="517" t="s">
        <v>1325</v>
      </c>
      <c r="EE52" s="516" t="s">
        <v>16</v>
      </c>
      <c r="EF52" s="516" t="s">
        <v>1231</v>
      </c>
      <c r="EG52" s="516">
        <v>0</v>
      </c>
      <c r="EH52" s="516">
        <v>1</v>
      </c>
      <c r="EI52" s="516">
        <v>0</v>
      </c>
      <c r="EJ52" s="516">
        <v>6</v>
      </c>
      <c r="EK52" s="516">
        <v>1</v>
      </c>
      <c r="EL52" s="516">
        <v>0</v>
      </c>
      <c r="EM52" s="516">
        <v>8</v>
      </c>
      <c r="EN52" s="516"/>
      <c r="EO52" s="518"/>
      <c r="EP52" s="42"/>
    </row>
    <row r="53" spans="2:146">
      <c r="D53" s="4798" t="s">
        <v>1323</v>
      </c>
      <c r="E53" s="4606">
        <v>0</v>
      </c>
      <c r="F53" s="4606">
        <v>0</v>
      </c>
      <c r="G53" s="4606">
        <v>0</v>
      </c>
      <c r="H53" s="4606">
        <v>28</v>
      </c>
      <c r="I53" s="4606"/>
      <c r="J53" s="2552"/>
      <c r="K53" s="2552"/>
      <c r="L53" s="2552"/>
      <c r="M53" s="2552"/>
      <c r="N53" s="2552">
        <v>28</v>
      </c>
      <c r="O53" s="1977"/>
      <c r="S53" s="1793" t="s">
        <v>110</v>
      </c>
      <c r="T53" s="586" t="s">
        <v>1231</v>
      </c>
      <c r="U53" s="4816">
        <f>3</f>
        <v>3</v>
      </c>
      <c r="V53" s="4816">
        <v>2</v>
      </c>
      <c r="W53" s="4816">
        <f>8-1</f>
        <v>7</v>
      </c>
      <c r="X53" s="4816">
        <v>0</v>
      </c>
      <c r="Y53" s="4817">
        <f>0+1</f>
        <v>1</v>
      </c>
      <c r="Z53" s="4817"/>
      <c r="AA53" s="4817">
        <f>13</f>
        <v>13</v>
      </c>
      <c r="AB53" s="1793"/>
      <c r="AD53" s="41"/>
      <c r="AE53" s="41"/>
      <c r="AF53" s="41" t="s">
        <v>590</v>
      </c>
      <c r="AG53" s="41" t="s">
        <v>1323</v>
      </c>
      <c r="AH53" s="2002"/>
      <c r="AI53" s="2002"/>
      <c r="AJ53" s="2002"/>
      <c r="AK53" s="2002"/>
      <c r="AL53" s="2002"/>
      <c r="AM53" s="2002"/>
      <c r="AN53" s="2002"/>
      <c r="AO53" s="2002">
        <v>5</v>
      </c>
      <c r="AP53" s="2480">
        <v>5</v>
      </c>
      <c r="AQ53" s="635"/>
      <c r="AS53" s="42"/>
      <c r="AT53" s="42"/>
      <c r="AU53" s="484"/>
      <c r="AV53" s="484" t="s">
        <v>1235</v>
      </c>
      <c r="AW53" s="1994">
        <v>0</v>
      </c>
      <c r="AX53" s="1994"/>
      <c r="AY53" s="1994">
        <v>13</v>
      </c>
      <c r="AZ53" s="1994">
        <v>2</v>
      </c>
      <c r="BA53" s="454">
        <v>1</v>
      </c>
      <c r="BB53" s="454">
        <v>0</v>
      </c>
      <c r="BC53" s="454">
        <v>16</v>
      </c>
      <c r="BF53" s="105" t="s">
        <v>48</v>
      </c>
      <c r="BG53" s="105" t="s">
        <v>16</v>
      </c>
      <c r="BH53" s="41" t="s">
        <v>111</v>
      </c>
      <c r="BI53" s="41" t="s">
        <v>1230</v>
      </c>
      <c r="BJ53" s="1659"/>
      <c r="BK53" s="1659"/>
      <c r="BL53" s="1659">
        <v>0</v>
      </c>
      <c r="BM53" s="1659">
        <v>2</v>
      </c>
      <c r="BN53" s="105">
        <v>32</v>
      </c>
      <c r="BO53" s="105"/>
      <c r="BP53" s="105">
        <v>34</v>
      </c>
      <c r="BS53" s="1341"/>
      <c r="BT53" s="1341"/>
      <c r="BU53" s="1341"/>
      <c r="BV53" s="1342" t="s">
        <v>1235</v>
      </c>
      <c r="BW53" s="1343"/>
      <c r="BX53" s="1344">
        <v>0</v>
      </c>
      <c r="BY53" s="1343"/>
      <c r="BZ53" s="1344">
        <v>1</v>
      </c>
      <c r="CA53" s="1344">
        <v>4</v>
      </c>
      <c r="CB53" s="1346">
        <v>0</v>
      </c>
      <c r="CC53" s="1346">
        <v>5</v>
      </c>
      <c r="CD53" s="1337"/>
      <c r="CF53" s="497"/>
      <c r="CG53" s="497"/>
      <c r="CH53" s="498"/>
      <c r="CI53" s="499" t="s">
        <v>1323</v>
      </c>
      <c r="CJ53" s="500">
        <v>0</v>
      </c>
      <c r="CK53" s="500">
        <v>0</v>
      </c>
      <c r="CL53" s="500">
        <v>5</v>
      </c>
      <c r="CM53" s="500">
        <v>1</v>
      </c>
      <c r="CN53" s="502">
        <v>0</v>
      </c>
      <c r="CO53" s="502">
        <v>6</v>
      </c>
      <c r="CP53" s="41"/>
      <c r="CR53" s="503"/>
      <c r="CS53" s="503"/>
      <c r="CT53" s="504"/>
      <c r="CU53" s="527" t="s">
        <v>15</v>
      </c>
      <c r="CV53" s="529"/>
      <c r="CW53" s="528">
        <v>3</v>
      </c>
      <c r="CX53" s="528">
        <v>11</v>
      </c>
      <c r="CY53" s="528">
        <v>6</v>
      </c>
      <c r="CZ53" s="531">
        <v>3</v>
      </c>
      <c r="DA53" s="531">
        <v>2</v>
      </c>
      <c r="DB53" s="531">
        <v>25</v>
      </c>
      <c r="DC53" s="510">
        <f>+(DB52+DB50-CZ52-DA50-CZ50)/DB53</f>
        <v>0.64</v>
      </c>
      <c r="DG53" s="511"/>
      <c r="DH53" s="512" t="s">
        <v>1235</v>
      </c>
      <c r="DI53" s="514">
        <v>0</v>
      </c>
      <c r="DJ53" s="513"/>
      <c r="DK53" s="514">
        <v>7</v>
      </c>
      <c r="DL53" s="513"/>
      <c r="DM53" s="513"/>
      <c r="DN53" s="514">
        <v>7</v>
      </c>
      <c r="DO53" s="515"/>
      <c r="DQ53" s="42"/>
      <c r="DR53" s="70"/>
      <c r="DS53" s="70"/>
      <c r="DT53" s="42" t="s">
        <v>1235</v>
      </c>
      <c r="DU53" s="70"/>
      <c r="DV53" s="70">
        <v>0</v>
      </c>
      <c r="DW53" s="70">
        <v>2</v>
      </c>
      <c r="DX53" s="70">
        <v>0</v>
      </c>
      <c r="DY53" s="70"/>
      <c r="DZ53" s="70">
        <v>2</v>
      </c>
      <c r="EA53" s="42"/>
      <c r="EB53" s="42"/>
      <c r="EC53" s="516"/>
      <c r="ED53" s="517"/>
      <c r="EE53" s="516"/>
      <c r="EF53" s="516" t="s">
        <v>1235</v>
      </c>
      <c r="EG53" s="516">
        <v>0</v>
      </c>
      <c r="EH53" s="516">
        <v>0</v>
      </c>
      <c r="EI53" s="516">
        <v>0</v>
      </c>
      <c r="EJ53" s="516">
        <v>2</v>
      </c>
      <c r="EK53" s="516">
        <v>0</v>
      </c>
      <c r="EL53" s="516">
        <v>0</v>
      </c>
      <c r="EM53" s="516">
        <v>2</v>
      </c>
      <c r="EN53" s="516"/>
      <c r="EO53" s="518"/>
      <c r="EP53" s="42"/>
    </row>
    <row r="54" spans="2:146">
      <c r="D54" s="4798" t="s">
        <v>15</v>
      </c>
      <c r="E54" s="4606">
        <v>11</v>
      </c>
      <c r="F54" s="4606">
        <v>4</v>
      </c>
      <c r="G54" s="4606">
        <v>3</v>
      </c>
      <c r="H54" s="4606">
        <v>48</v>
      </c>
      <c r="I54" s="4606"/>
      <c r="J54" s="2552"/>
      <c r="K54" s="2552"/>
      <c r="L54" s="2552"/>
      <c r="M54" s="2552"/>
      <c r="N54" s="2552">
        <v>66</v>
      </c>
      <c r="O54" s="1977">
        <f>+(N50+N53)/(N54-N52)</f>
        <v>0.72727272727272729</v>
      </c>
      <c r="T54" s="586" t="s">
        <v>1233</v>
      </c>
      <c r="U54" s="4816">
        <v>2</v>
      </c>
      <c r="V54" s="4816">
        <v>1</v>
      </c>
      <c r="W54" s="4816">
        <v>0</v>
      </c>
      <c r="X54" s="4816">
        <v>0</v>
      </c>
      <c r="Y54" s="4817">
        <v>0</v>
      </c>
      <c r="Z54" s="4817"/>
      <c r="AA54" s="4817">
        <v>3</v>
      </c>
      <c r="AB54" s="1793"/>
      <c r="AD54" s="41"/>
      <c r="AE54" s="41"/>
      <c r="AF54" s="41"/>
      <c r="AG54" s="461" t="s">
        <v>15</v>
      </c>
      <c r="AH54" s="2002"/>
      <c r="AI54" s="2002"/>
      <c r="AJ54" s="2002"/>
      <c r="AK54" s="2002"/>
      <c r="AL54" s="2002"/>
      <c r="AM54" s="2002"/>
      <c r="AN54" s="2002"/>
      <c r="AO54" s="2002">
        <v>5</v>
      </c>
      <c r="AP54" s="2480">
        <v>5</v>
      </c>
      <c r="AQ54" s="635">
        <f>+AP53/AP54</f>
        <v>1</v>
      </c>
      <c r="AS54" s="42"/>
      <c r="AT54" s="42"/>
      <c r="AU54" s="484"/>
      <c r="AV54" s="484" t="s">
        <v>1236</v>
      </c>
      <c r="AW54" s="1994">
        <v>1</v>
      </c>
      <c r="AX54" s="1994"/>
      <c r="AY54" s="1994">
        <v>0</v>
      </c>
      <c r="AZ54" s="1994">
        <v>0</v>
      </c>
      <c r="BA54" s="454">
        <v>0</v>
      </c>
      <c r="BB54" s="454">
        <v>0</v>
      </c>
      <c r="BC54" s="454">
        <v>1</v>
      </c>
      <c r="BF54" s="105"/>
      <c r="BI54" s="41" t="s">
        <v>1231</v>
      </c>
      <c r="BJ54" s="1659"/>
      <c r="BK54" s="1659"/>
      <c r="BL54" s="1659">
        <v>2</v>
      </c>
      <c r="BM54" s="1659">
        <v>0</v>
      </c>
      <c r="BN54" s="105">
        <v>0</v>
      </c>
      <c r="BO54" s="105"/>
      <c r="BP54" s="105">
        <v>2</v>
      </c>
      <c r="BS54" s="1341"/>
      <c r="BT54" s="1341"/>
      <c r="BU54" s="1341"/>
      <c r="BV54" s="1342" t="s">
        <v>1236</v>
      </c>
      <c r="BW54" s="1343"/>
      <c r="BX54" s="1344">
        <v>0</v>
      </c>
      <c r="BY54" s="1343"/>
      <c r="BZ54" s="1344">
        <v>0</v>
      </c>
      <c r="CA54" s="1344">
        <v>2</v>
      </c>
      <c r="CB54" s="1346">
        <v>0</v>
      </c>
      <c r="CC54" s="1346">
        <v>2</v>
      </c>
      <c r="CD54" s="1337"/>
      <c r="CF54" s="497"/>
      <c r="CG54" s="497"/>
      <c r="CH54" s="498"/>
      <c r="CI54" s="521" t="s">
        <v>547</v>
      </c>
      <c r="CJ54" s="522">
        <v>2</v>
      </c>
      <c r="CK54" s="522">
        <v>1</v>
      </c>
      <c r="CL54" s="522">
        <v>10</v>
      </c>
      <c r="CM54" s="522">
        <v>5</v>
      </c>
      <c r="CN54" s="525">
        <v>6</v>
      </c>
      <c r="CO54" s="525">
        <v>24</v>
      </c>
      <c r="CP54" s="526">
        <f>+(CO50+CO53)/CO54</f>
        <v>0.41666666666666669</v>
      </c>
      <c r="CR54" s="503"/>
      <c r="CS54" s="503"/>
      <c r="CT54" s="504" t="s">
        <v>590</v>
      </c>
      <c r="CU54" s="505" t="s">
        <v>1230</v>
      </c>
      <c r="CV54" s="507"/>
      <c r="CW54" s="506">
        <v>0</v>
      </c>
      <c r="CX54" s="507"/>
      <c r="CY54" s="506">
        <v>0</v>
      </c>
      <c r="CZ54" s="509">
        <v>9</v>
      </c>
      <c r="DA54" s="508"/>
      <c r="DB54" s="509">
        <v>9</v>
      </c>
      <c r="DC54" s="510"/>
      <c r="DG54" s="511"/>
      <c r="DH54" s="512" t="s">
        <v>1240</v>
      </c>
      <c r="DI54" s="514">
        <v>0</v>
      </c>
      <c r="DJ54" s="513"/>
      <c r="DK54" s="514">
        <v>10</v>
      </c>
      <c r="DL54" s="513"/>
      <c r="DM54" s="513"/>
      <c r="DN54" s="514">
        <v>10</v>
      </c>
      <c r="DO54" s="515"/>
      <c r="DQ54" s="42"/>
      <c r="DR54" s="70"/>
      <c r="DS54" s="70"/>
      <c r="DT54" s="42" t="s">
        <v>1236</v>
      </c>
      <c r="DU54" s="70"/>
      <c r="DV54" s="70">
        <v>0</v>
      </c>
      <c r="DW54" s="70">
        <v>0</v>
      </c>
      <c r="DX54" s="70">
        <v>1</v>
      </c>
      <c r="DY54" s="70"/>
      <c r="DZ54" s="70">
        <v>1</v>
      </c>
      <c r="EA54" s="42"/>
      <c r="EB54" s="42"/>
      <c r="EC54" s="516"/>
      <c r="ED54" s="517"/>
      <c r="EE54" s="516"/>
      <c r="EF54" s="516" t="s">
        <v>1323</v>
      </c>
      <c r="EG54" s="516">
        <v>0</v>
      </c>
      <c r="EH54" s="516">
        <v>0</v>
      </c>
      <c r="EI54" s="516">
        <v>0</v>
      </c>
      <c r="EJ54" s="516">
        <v>5</v>
      </c>
      <c r="EK54" s="516">
        <v>0</v>
      </c>
      <c r="EL54" s="516">
        <v>0</v>
      </c>
      <c r="EM54" s="516">
        <v>5</v>
      </c>
      <c r="EN54" s="516"/>
      <c r="EO54" s="518"/>
      <c r="EP54" s="42"/>
    </row>
    <row r="55" spans="2:146">
      <c r="B55" s="4798" t="s">
        <v>41</v>
      </c>
      <c r="C55" s="4798" t="s">
        <v>108</v>
      </c>
      <c r="D55" s="4798" t="s">
        <v>1235</v>
      </c>
      <c r="E55" s="4606"/>
      <c r="F55" s="4606"/>
      <c r="G55" s="4606"/>
      <c r="H55" s="4606">
        <v>1</v>
      </c>
      <c r="I55" s="4606"/>
      <c r="J55" s="2552">
        <v>0</v>
      </c>
      <c r="K55" s="2552">
        <v>0</v>
      </c>
      <c r="L55" s="2552"/>
      <c r="M55" s="2552"/>
      <c r="N55" s="2552">
        <v>1</v>
      </c>
      <c r="O55" s="1977"/>
      <c r="T55" s="586" t="s">
        <v>1235</v>
      </c>
      <c r="U55" s="4816">
        <v>0</v>
      </c>
      <c r="V55" s="4816">
        <v>0</v>
      </c>
      <c r="W55" s="4816">
        <f>40</f>
        <v>40</v>
      </c>
      <c r="X55" s="4816">
        <v>0</v>
      </c>
      <c r="Y55" s="4817">
        <v>0</v>
      </c>
      <c r="Z55" s="4817"/>
      <c r="AA55" s="4817">
        <f>40</f>
        <v>40</v>
      </c>
      <c r="AB55" s="1793"/>
      <c r="AD55" s="41"/>
      <c r="AE55" s="41"/>
      <c r="AF55" s="461" t="s">
        <v>547</v>
      </c>
      <c r="AG55" s="461" t="s">
        <v>1231</v>
      </c>
      <c r="AH55" s="2002"/>
      <c r="AI55" s="2002">
        <v>1</v>
      </c>
      <c r="AJ55" s="2002"/>
      <c r="AK55" s="2002">
        <v>1</v>
      </c>
      <c r="AL55" s="2002">
        <v>1</v>
      </c>
      <c r="AM55" s="2480">
        <v>0</v>
      </c>
      <c r="AN55" s="2480"/>
      <c r="AO55" s="2480"/>
      <c r="AP55" s="2480">
        <v>3</v>
      </c>
      <c r="AQ55" s="41"/>
      <c r="AS55" s="42"/>
      <c r="AT55" s="42"/>
      <c r="AU55" s="484"/>
      <c r="AV55" s="484" t="s">
        <v>1239</v>
      </c>
      <c r="AW55" s="1994">
        <v>0</v>
      </c>
      <c r="AX55" s="1994"/>
      <c r="AY55" s="1994">
        <v>0</v>
      </c>
      <c r="AZ55" s="1994">
        <v>0</v>
      </c>
      <c r="BA55" s="454">
        <v>2</v>
      </c>
      <c r="BB55" s="454">
        <v>1</v>
      </c>
      <c r="BC55" s="454">
        <v>3</v>
      </c>
      <c r="BF55" s="105"/>
      <c r="BI55" s="461" t="s">
        <v>15</v>
      </c>
      <c r="BJ55" s="1660"/>
      <c r="BK55" s="1660"/>
      <c r="BL55" s="1660">
        <v>2</v>
      </c>
      <c r="BM55" s="1660">
        <v>2</v>
      </c>
      <c r="BN55" s="96">
        <v>32</v>
      </c>
      <c r="BO55" s="96"/>
      <c r="BP55" s="96">
        <v>36</v>
      </c>
      <c r="BQ55" s="635">
        <v>0</v>
      </c>
      <c r="BS55" s="1341"/>
      <c r="BT55" s="1341"/>
      <c r="BU55" s="1341"/>
      <c r="BV55" s="1342" t="s">
        <v>1239</v>
      </c>
      <c r="BW55" s="1343"/>
      <c r="BX55" s="1344">
        <v>0</v>
      </c>
      <c r="BY55" s="1343"/>
      <c r="BZ55" s="1344">
        <v>0</v>
      </c>
      <c r="CA55" s="1344">
        <v>0</v>
      </c>
      <c r="CB55" s="1346">
        <v>6</v>
      </c>
      <c r="CC55" s="1346">
        <v>6</v>
      </c>
      <c r="CD55" s="1337"/>
      <c r="CF55" s="497"/>
      <c r="CG55" s="497"/>
      <c r="CH55" s="498" t="s">
        <v>110</v>
      </c>
      <c r="CI55" s="499" t="s">
        <v>1230</v>
      </c>
      <c r="CJ55" s="500">
        <v>0</v>
      </c>
      <c r="CK55" s="500">
        <v>0</v>
      </c>
      <c r="CL55" s="500">
        <v>0</v>
      </c>
      <c r="CM55" s="500">
        <v>1</v>
      </c>
      <c r="CN55" s="502">
        <v>5</v>
      </c>
      <c r="CO55" s="502">
        <v>6</v>
      </c>
      <c r="CP55" s="41"/>
      <c r="CR55" s="503"/>
      <c r="CS55" s="503"/>
      <c r="CT55" s="504"/>
      <c r="CU55" s="505" t="s">
        <v>1231</v>
      </c>
      <c r="CV55" s="507"/>
      <c r="CW55" s="506">
        <v>1</v>
      </c>
      <c r="CX55" s="507"/>
      <c r="CY55" s="506">
        <v>1</v>
      </c>
      <c r="CZ55" s="509">
        <v>0</v>
      </c>
      <c r="DA55" s="508"/>
      <c r="DB55" s="509">
        <v>2</v>
      </c>
      <c r="DC55" s="510"/>
      <c r="DE55" s="511"/>
      <c r="DG55" s="511"/>
      <c r="DH55" s="512" t="s">
        <v>1323</v>
      </c>
      <c r="DI55" s="514">
        <v>0</v>
      </c>
      <c r="DJ55" s="513"/>
      <c r="DK55" s="514">
        <v>5</v>
      </c>
      <c r="DL55" s="513"/>
      <c r="DM55" s="513"/>
      <c r="DN55" s="514">
        <v>5</v>
      </c>
      <c r="DO55" s="515"/>
      <c r="DQ55" s="42"/>
      <c r="DR55" s="70"/>
      <c r="DS55" s="70"/>
      <c r="DT55" s="42" t="s">
        <v>1240</v>
      </c>
      <c r="DU55" s="70"/>
      <c r="DV55" s="70">
        <v>0</v>
      </c>
      <c r="DW55" s="70">
        <v>11</v>
      </c>
      <c r="DX55" s="70">
        <v>0</v>
      </c>
      <c r="DY55" s="70"/>
      <c r="DZ55" s="70">
        <v>11</v>
      </c>
      <c r="EA55" s="42"/>
      <c r="EB55" s="42"/>
      <c r="EC55" s="516"/>
      <c r="ED55" s="517"/>
      <c r="EE55" s="516"/>
      <c r="EF55" s="519" t="s">
        <v>15</v>
      </c>
      <c r="EG55" s="519">
        <v>0</v>
      </c>
      <c r="EH55" s="519">
        <v>1</v>
      </c>
      <c r="EI55" s="519">
        <v>0</v>
      </c>
      <c r="EJ55" s="519">
        <v>13</v>
      </c>
      <c r="EK55" s="519">
        <v>1</v>
      </c>
      <c r="EL55" s="519">
        <v>0</v>
      </c>
      <c r="EM55" s="519">
        <v>15</v>
      </c>
      <c r="EN55" s="520">
        <f>+(EM54+EM53)/EM55</f>
        <v>0.46666666666666667</v>
      </c>
      <c r="EO55" s="518">
        <f>+EM53+EM54</f>
        <v>7</v>
      </c>
      <c r="EP55" s="42"/>
    </row>
    <row r="56" spans="2:146">
      <c r="D56" s="4798" t="s">
        <v>1239</v>
      </c>
      <c r="E56" s="4606"/>
      <c r="F56" s="4606"/>
      <c r="G56" s="4606"/>
      <c r="H56" s="4606">
        <v>0</v>
      </c>
      <c r="I56" s="4606"/>
      <c r="J56" s="2552">
        <v>3</v>
      </c>
      <c r="K56" s="2552">
        <v>1</v>
      </c>
      <c r="L56" s="2552"/>
      <c r="M56" s="2552"/>
      <c r="N56" s="2552">
        <v>4</v>
      </c>
      <c r="O56" s="1977"/>
      <c r="T56" s="586" t="s">
        <v>1236</v>
      </c>
      <c r="U56" s="4816">
        <v>0</v>
      </c>
      <c r="V56" s="4816">
        <v>0</v>
      </c>
      <c r="W56" s="4816">
        <v>1</v>
      </c>
      <c r="X56" s="4816">
        <v>0</v>
      </c>
      <c r="Y56" s="4817">
        <v>0</v>
      </c>
      <c r="Z56" s="4817"/>
      <c r="AA56" s="4817">
        <v>1</v>
      </c>
      <c r="AB56" s="1793"/>
      <c r="AD56" s="41"/>
      <c r="AE56" s="41"/>
      <c r="AF56" s="461"/>
      <c r="AG56" s="461" t="s">
        <v>1235</v>
      </c>
      <c r="AH56" s="2002"/>
      <c r="AI56" s="2002">
        <v>0</v>
      </c>
      <c r="AJ56" s="2002"/>
      <c r="AK56" s="2002">
        <v>1</v>
      </c>
      <c r="AL56" s="2002">
        <v>0</v>
      </c>
      <c r="AM56" s="2480">
        <v>3</v>
      </c>
      <c r="AN56" s="2480"/>
      <c r="AO56" s="2480"/>
      <c r="AP56" s="2480">
        <v>4</v>
      </c>
      <c r="AQ56" s="41"/>
      <c r="AS56" s="42"/>
      <c r="AT56" s="42"/>
      <c r="AU56" s="484"/>
      <c r="AV56" s="484" t="s">
        <v>1323</v>
      </c>
      <c r="AW56" s="1994">
        <v>0</v>
      </c>
      <c r="AX56" s="1994"/>
      <c r="AY56" s="1994">
        <v>1</v>
      </c>
      <c r="AZ56" s="1994">
        <v>1</v>
      </c>
      <c r="BA56" s="454">
        <v>1</v>
      </c>
      <c r="BB56" s="454">
        <v>0</v>
      </c>
      <c r="BC56" s="454">
        <v>3</v>
      </c>
      <c r="BF56" s="105"/>
      <c r="BH56" s="41" t="s">
        <v>545</v>
      </c>
      <c r="BI56" s="41" t="s">
        <v>1230</v>
      </c>
      <c r="BJ56" s="1659"/>
      <c r="BK56" s="1659"/>
      <c r="BL56" s="1659">
        <v>0</v>
      </c>
      <c r="BM56" s="1659">
        <v>2</v>
      </c>
      <c r="BN56" s="105">
        <v>32</v>
      </c>
      <c r="BO56" s="105"/>
      <c r="BP56" s="105">
        <v>34</v>
      </c>
      <c r="BS56" s="1341"/>
      <c r="BT56" s="1341"/>
      <c r="BU56" s="1341"/>
      <c r="BV56" s="1342" t="s">
        <v>1323</v>
      </c>
      <c r="BW56" s="1343"/>
      <c r="BX56" s="1344">
        <v>0</v>
      </c>
      <c r="BY56" s="1343"/>
      <c r="BZ56" s="1344">
        <v>4</v>
      </c>
      <c r="CA56" s="1344">
        <v>1</v>
      </c>
      <c r="CB56" s="1346">
        <v>0</v>
      </c>
      <c r="CC56" s="1346">
        <v>5</v>
      </c>
      <c r="CD56" s="1337"/>
      <c r="CF56" s="497"/>
      <c r="CG56" s="497"/>
      <c r="CH56" s="498"/>
      <c r="CI56" s="499" t="s">
        <v>1231</v>
      </c>
      <c r="CJ56" s="500">
        <v>2</v>
      </c>
      <c r="CK56" s="500">
        <v>2</v>
      </c>
      <c r="CL56" s="500">
        <v>4</v>
      </c>
      <c r="CM56" s="500">
        <v>1</v>
      </c>
      <c r="CN56" s="502">
        <v>0</v>
      </c>
      <c r="CO56" s="502">
        <v>9</v>
      </c>
      <c r="CP56" s="41"/>
      <c r="CR56" s="503"/>
      <c r="CS56" s="503"/>
      <c r="CT56" s="504"/>
      <c r="CU56" s="527" t="s">
        <v>15</v>
      </c>
      <c r="CV56" s="529"/>
      <c r="CW56" s="528">
        <v>1</v>
      </c>
      <c r="CX56" s="529"/>
      <c r="CY56" s="528">
        <v>1</v>
      </c>
      <c r="CZ56" s="531">
        <v>9</v>
      </c>
      <c r="DA56" s="530"/>
      <c r="DB56" s="531">
        <v>11</v>
      </c>
      <c r="DC56" s="510">
        <v>0</v>
      </c>
      <c r="DE56" s="511"/>
      <c r="DG56" s="511"/>
      <c r="DH56" s="532" t="s">
        <v>545</v>
      </c>
      <c r="DI56" s="534">
        <v>1</v>
      </c>
      <c r="DJ56" s="533"/>
      <c r="DK56" s="534">
        <v>25</v>
      </c>
      <c r="DL56" s="533"/>
      <c r="DM56" s="533"/>
      <c r="DN56" s="534">
        <v>26</v>
      </c>
      <c r="DO56" s="535">
        <f>+(DN55+DN54+DN53)/DN56</f>
        <v>0.84615384615384615</v>
      </c>
      <c r="DQ56" s="42"/>
      <c r="DR56" s="70"/>
      <c r="DS56" s="70"/>
      <c r="DT56" s="42" t="s">
        <v>1323</v>
      </c>
      <c r="DU56" s="70"/>
      <c r="DV56" s="70">
        <v>0</v>
      </c>
      <c r="DW56" s="70">
        <v>4</v>
      </c>
      <c r="DX56" s="70">
        <v>0</v>
      </c>
      <c r="DY56" s="70"/>
      <c r="DZ56" s="70">
        <v>4</v>
      </c>
      <c r="EA56" s="42"/>
      <c r="EB56" s="42"/>
      <c r="EC56" s="516"/>
      <c r="ED56" s="517"/>
      <c r="EE56" s="516" t="s">
        <v>104</v>
      </c>
      <c r="EF56" s="516" t="s">
        <v>1230</v>
      </c>
      <c r="EG56" s="516">
        <v>0</v>
      </c>
      <c r="EH56" s="516">
        <v>0</v>
      </c>
      <c r="EI56" s="516">
        <v>0</v>
      </c>
      <c r="EJ56" s="516">
        <v>1</v>
      </c>
      <c r="EK56" s="516">
        <v>2</v>
      </c>
      <c r="EL56" s="516">
        <v>9</v>
      </c>
      <c r="EM56" s="516">
        <v>12</v>
      </c>
      <c r="EN56" s="516"/>
      <c r="EO56" s="518"/>
      <c r="EP56" s="42"/>
    </row>
    <row r="57" spans="2:146">
      <c r="D57" s="4798" t="s">
        <v>15</v>
      </c>
      <c r="E57" s="4606"/>
      <c r="F57" s="4606"/>
      <c r="G57" s="4606"/>
      <c r="H57" s="4606">
        <v>1</v>
      </c>
      <c r="I57" s="4606"/>
      <c r="J57" s="2552">
        <v>3</v>
      </c>
      <c r="K57" s="2552">
        <v>1</v>
      </c>
      <c r="L57" s="2552"/>
      <c r="M57" s="2552"/>
      <c r="N57" s="2552">
        <v>5</v>
      </c>
      <c r="O57" s="1977">
        <f>+(N55)/(N57)</f>
        <v>0.2</v>
      </c>
      <c r="T57" s="586" t="s">
        <v>1239</v>
      </c>
      <c r="U57" s="4816">
        <v>0</v>
      </c>
      <c r="V57" s="4816">
        <v>0</v>
      </c>
      <c r="W57" s="4816">
        <v>0</v>
      </c>
      <c r="X57" s="4816">
        <f>3</f>
        <v>3</v>
      </c>
      <c r="Y57" s="4817">
        <v>1</v>
      </c>
      <c r="Z57" s="4817">
        <f>2+2</f>
        <v>4</v>
      </c>
      <c r="AA57" s="4817">
        <f>4+2+2</f>
        <v>8</v>
      </c>
      <c r="AB57" s="1793"/>
      <c r="AD57" s="41"/>
      <c r="AE57" s="41"/>
      <c r="AF57" s="461"/>
      <c r="AG57" s="461" t="s">
        <v>1239</v>
      </c>
      <c r="AH57" s="2002"/>
      <c r="AI57" s="2002">
        <v>0</v>
      </c>
      <c r="AJ57" s="2002"/>
      <c r="AK57" s="2002">
        <v>0</v>
      </c>
      <c r="AL57" s="2002">
        <v>0</v>
      </c>
      <c r="AM57" s="2480">
        <v>1</v>
      </c>
      <c r="AN57" s="2480"/>
      <c r="AO57" s="2480"/>
      <c r="AP57" s="2480">
        <v>1</v>
      </c>
      <c r="AQ57" s="41"/>
      <c r="AS57" s="42"/>
      <c r="AT57" s="42"/>
      <c r="AU57" s="42"/>
      <c r="AV57" s="484" t="s">
        <v>110</v>
      </c>
      <c r="AW57" s="1994">
        <v>1</v>
      </c>
      <c r="AX57" s="1994"/>
      <c r="AY57" s="1994">
        <v>14</v>
      </c>
      <c r="AZ57" s="1994">
        <v>4</v>
      </c>
      <c r="BA57" s="454">
        <v>9</v>
      </c>
      <c r="BB57" s="454">
        <v>4</v>
      </c>
      <c r="BC57" s="454">
        <v>32</v>
      </c>
      <c r="BD57" s="1977">
        <f>+(BC53-BA53+BC56-BA56)/(BC57-BC44-BC33)</f>
        <v>0.70833333333333337</v>
      </c>
      <c r="BF57" s="105"/>
      <c r="BI57" s="41" t="s">
        <v>1231</v>
      </c>
      <c r="BJ57" s="1659"/>
      <c r="BK57" s="1659"/>
      <c r="BL57" s="1659">
        <v>2</v>
      </c>
      <c r="BM57" s="1659">
        <v>0</v>
      </c>
      <c r="BN57" s="105">
        <v>0</v>
      </c>
      <c r="BO57" s="105"/>
      <c r="BP57" s="105">
        <v>2</v>
      </c>
      <c r="BS57" s="1341"/>
      <c r="BT57" s="1341"/>
      <c r="BU57" s="1341"/>
      <c r="BV57" s="1336" t="s">
        <v>547</v>
      </c>
      <c r="BW57" s="1347"/>
      <c r="BX57" s="1348">
        <v>1</v>
      </c>
      <c r="BY57" s="1347">
        <v>1</v>
      </c>
      <c r="BZ57" s="1348">
        <v>7</v>
      </c>
      <c r="CA57" s="1348">
        <v>11</v>
      </c>
      <c r="CB57" s="1350">
        <v>6</v>
      </c>
      <c r="CC57" s="1350">
        <v>26</v>
      </c>
      <c r="CD57" s="1325">
        <f>+(CC53+CC56)/CC57</f>
        <v>0.38461538461538464</v>
      </c>
      <c r="CF57" s="497"/>
      <c r="CG57" s="497"/>
      <c r="CH57" s="498"/>
      <c r="CI57" s="499" t="s">
        <v>1235</v>
      </c>
      <c r="CJ57" s="500">
        <v>0</v>
      </c>
      <c r="CK57" s="500">
        <v>0</v>
      </c>
      <c r="CL57" s="500">
        <v>3</v>
      </c>
      <c r="CM57" s="500">
        <v>3</v>
      </c>
      <c r="CN57" s="502">
        <v>0</v>
      </c>
      <c r="CO57" s="502">
        <v>6</v>
      </c>
      <c r="CP57" s="41"/>
      <c r="CR57" s="503"/>
      <c r="CS57" s="503"/>
      <c r="CT57" s="527" t="s">
        <v>547</v>
      </c>
      <c r="CU57" s="505" t="s">
        <v>1230</v>
      </c>
      <c r="CV57" s="507"/>
      <c r="CW57" s="506">
        <v>0</v>
      </c>
      <c r="CX57" s="506">
        <v>0</v>
      </c>
      <c r="CY57" s="506">
        <v>0</v>
      </c>
      <c r="CZ57" s="509">
        <v>10</v>
      </c>
      <c r="DA57" s="509">
        <v>0</v>
      </c>
      <c r="DB57" s="509">
        <v>10</v>
      </c>
      <c r="DC57" s="510"/>
      <c r="DQ57" s="42"/>
      <c r="DR57" s="70"/>
      <c r="DS57" s="70"/>
      <c r="DT57" s="484" t="s">
        <v>15</v>
      </c>
      <c r="DU57" s="454"/>
      <c r="DV57" s="454">
        <v>3</v>
      </c>
      <c r="DW57" s="454">
        <v>20</v>
      </c>
      <c r="DX57" s="454">
        <v>1</v>
      </c>
      <c r="DY57" s="454"/>
      <c r="DZ57" s="454">
        <v>24</v>
      </c>
      <c r="EA57" s="536">
        <f>+(DZ53+DZ55+DZ56)/DZ57</f>
        <v>0.70833333333333337</v>
      </c>
      <c r="EB57" s="42"/>
      <c r="EC57" s="516"/>
      <c r="ED57" s="517"/>
      <c r="EE57" s="516"/>
      <c r="EF57" s="516" t="s">
        <v>1231</v>
      </c>
      <c r="EG57" s="516">
        <v>0</v>
      </c>
      <c r="EH57" s="516">
        <v>2</v>
      </c>
      <c r="EI57" s="516">
        <v>4</v>
      </c>
      <c r="EJ57" s="516">
        <v>7</v>
      </c>
      <c r="EK57" s="516">
        <v>0</v>
      </c>
      <c r="EL57" s="516">
        <v>0</v>
      </c>
      <c r="EM57" s="516">
        <v>13</v>
      </c>
      <c r="EN57" s="516"/>
      <c r="EO57" s="518"/>
      <c r="EP57" s="42"/>
    </row>
    <row r="58" spans="2:146">
      <c r="C58" s="4798" t="s">
        <v>109</v>
      </c>
      <c r="D58" s="24" t="s">
        <v>1231</v>
      </c>
      <c r="E58" s="4606"/>
      <c r="F58" s="4606">
        <v>1</v>
      </c>
      <c r="G58" s="4606"/>
      <c r="H58" s="4606"/>
      <c r="I58" s="4606"/>
      <c r="J58" s="4606">
        <v>1</v>
      </c>
      <c r="K58" s="4606"/>
      <c r="L58" s="4606">
        <v>0</v>
      </c>
      <c r="M58" s="4606">
        <v>0</v>
      </c>
      <c r="N58" s="2552">
        <v>2</v>
      </c>
      <c r="O58" s="1977"/>
      <c r="T58" s="586" t="s">
        <v>1240</v>
      </c>
      <c r="U58" s="4816">
        <v>0</v>
      </c>
      <c r="V58" s="4816">
        <v>0</v>
      </c>
      <c r="W58" s="4816">
        <v>1</v>
      </c>
      <c r="X58" s="4816">
        <v>0</v>
      </c>
      <c r="Y58" s="4817">
        <v>0</v>
      </c>
      <c r="Z58" s="4817"/>
      <c r="AA58" s="4817">
        <v>1</v>
      </c>
      <c r="AB58" s="1793"/>
      <c r="AD58" s="41"/>
      <c r="AE58" s="41"/>
      <c r="AF58" s="461"/>
      <c r="AG58" s="461" t="s">
        <v>1323</v>
      </c>
      <c r="AH58" s="2002"/>
      <c r="AI58" s="2002">
        <v>0</v>
      </c>
      <c r="AJ58" s="2002"/>
      <c r="AK58" s="2002">
        <v>1</v>
      </c>
      <c r="AL58" s="2002">
        <v>0</v>
      </c>
      <c r="AM58" s="2480">
        <v>0</v>
      </c>
      <c r="AN58" s="2480"/>
      <c r="AO58" s="2480">
        <v>5</v>
      </c>
      <c r="AP58" s="2480">
        <v>6</v>
      </c>
      <c r="AQ58" s="41"/>
      <c r="AS58" s="42" t="s">
        <v>59</v>
      </c>
      <c r="AT58" s="42" t="s">
        <v>64</v>
      </c>
      <c r="AU58" s="42" t="s">
        <v>671</v>
      </c>
      <c r="AV58" s="42" t="s">
        <v>1231</v>
      </c>
      <c r="AW58" s="1993">
        <v>1</v>
      </c>
      <c r="AX58" s="1993">
        <v>1</v>
      </c>
      <c r="AY58" s="1993">
        <v>0</v>
      </c>
      <c r="AZ58" s="1993"/>
      <c r="BA58" s="70"/>
      <c r="BB58" s="70"/>
      <c r="BC58" s="70">
        <v>2</v>
      </c>
      <c r="BF58" s="105"/>
      <c r="BI58" s="461" t="s">
        <v>545</v>
      </c>
      <c r="BJ58" s="1660"/>
      <c r="BK58" s="1660"/>
      <c r="BL58" s="1660">
        <v>2</v>
      </c>
      <c r="BM58" s="1660">
        <v>2</v>
      </c>
      <c r="BN58" s="96">
        <v>32</v>
      </c>
      <c r="BO58" s="96"/>
      <c r="BP58" s="96">
        <v>36</v>
      </c>
      <c r="BQ58" s="635">
        <v>0</v>
      </c>
      <c r="BS58" s="1341"/>
      <c r="BT58" s="1341"/>
      <c r="BU58" s="1341" t="s">
        <v>110</v>
      </c>
      <c r="BV58" s="1342" t="s">
        <v>1231</v>
      </c>
      <c r="BW58" s="1343"/>
      <c r="BX58" s="1344">
        <v>1</v>
      </c>
      <c r="BY58" s="1343">
        <v>1</v>
      </c>
      <c r="BZ58" s="1344">
        <v>2</v>
      </c>
      <c r="CA58" s="1344">
        <v>4</v>
      </c>
      <c r="CB58" s="1346">
        <v>0</v>
      </c>
      <c r="CC58" s="1346">
        <v>8</v>
      </c>
      <c r="CD58" s="1337"/>
      <c r="CF58" s="497"/>
      <c r="CG58" s="497"/>
      <c r="CH58" s="498"/>
      <c r="CI58" s="499" t="s">
        <v>1236</v>
      </c>
      <c r="CJ58" s="500">
        <v>4</v>
      </c>
      <c r="CK58" s="500">
        <v>1</v>
      </c>
      <c r="CL58" s="500">
        <v>4</v>
      </c>
      <c r="CM58" s="500">
        <v>0</v>
      </c>
      <c r="CN58" s="502">
        <v>1</v>
      </c>
      <c r="CO58" s="502">
        <v>10</v>
      </c>
      <c r="CP58" s="41"/>
      <c r="CR58" s="503"/>
      <c r="CS58" s="503"/>
      <c r="CT58" s="504"/>
      <c r="CU58" s="505" t="s">
        <v>1231</v>
      </c>
      <c r="CV58" s="507"/>
      <c r="CW58" s="506">
        <v>1</v>
      </c>
      <c r="CX58" s="506">
        <v>1</v>
      </c>
      <c r="CY58" s="506">
        <v>1</v>
      </c>
      <c r="CZ58" s="509">
        <v>0</v>
      </c>
      <c r="DA58" s="509">
        <v>0</v>
      </c>
      <c r="DB58" s="509">
        <v>3</v>
      </c>
      <c r="DC58" s="510"/>
      <c r="DQ58" s="42"/>
      <c r="DR58" s="70"/>
      <c r="DS58" s="70" t="s">
        <v>104</v>
      </c>
      <c r="DT58" s="42" t="s">
        <v>1230</v>
      </c>
      <c r="DU58" s="70">
        <v>0</v>
      </c>
      <c r="DV58" s="70">
        <v>0</v>
      </c>
      <c r="DW58" s="70">
        <v>0</v>
      </c>
      <c r="DX58" s="70">
        <v>0</v>
      </c>
      <c r="DY58" s="70">
        <v>29</v>
      </c>
      <c r="DZ58" s="70">
        <v>29</v>
      </c>
      <c r="EA58" s="42"/>
      <c r="EB58" s="42"/>
      <c r="EC58" s="516"/>
      <c r="ED58" s="517"/>
      <c r="EE58" s="516"/>
      <c r="EF58" s="516" t="s">
        <v>1235</v>
      </c>
      <c r="EG58" s="516">
        <v>0</v>
      </c>
      <c r="EH58" s="516">
        <v>0</v>
      </c>
      <c r="EI58" s="516">
        <v>0</v>
      </c>
      <c r="EJ58" s="516">
        <v>0</v>
      </c>
      <c r="EK58" s="516">
        <v>1</v>
      </c>
      <c r="EL58" s="516">
        <v>0</v>
      </c>
      <c r="EM58" s="516">
        <v>1</v>
      </c>
      <c r="EN58" s="516"/>
      <c r="EO58" s="518"/>
      <c r="EP58" s="42"/>
    </row>
    <row r="59" spans="2:146">
      <c r="D59" s="24" t="s">
        <v>1239</v>
      </c>
      <c r="E59" s="4606"/>
      <c r="F59" s="4606">
        <v>0</v>
      </c>
      <c r="G59" s="4606"/>
      <c r="H59" s="4606"/>
      <c r="I59" s="4606"/>
      <c r="J59" s="4606">
        <v>0</v>
      </c>
      <c r="K59" s="4606"/>
      <c r="L59" s="4606">
        <v>1</v>
      </c>
      <c r="M59" s="4606">
        <v>1</v>
      </c>
      <c r="N59" s="2552">
        <v>2</v>
      </c>
      <c r="O59" s="1977"/>
      <c r="R59" s="4805"/>
      <c r="S59" s="4805"/>
      <c r="T59" s="4818" t="s">
        <v>110</v>
      </c>
      <c r="U59" s="4819">
        <f>5</f>
        <v>5</v>
      </c>
      <c r="V59" s="4819">
        <v>3</v>
      </c>
      <c r="W59" s="4819">
        <f>50-1</f>
        <v>49</v>
      </c>
      <c r="X59" s="4819">
        <f>4-1</f>
        <v>3</v>
      </c>
      <c r="Y59" s="4820">
        <f>2</f>
        <v>2</v>
      </c>
      <c r="Z59" s="4820">
        <f>2+2</f>
        <v>4</v>
      </c>
      <c r="AA59" s="4820">
        <f>64+2</f>
        <v>66</v>
      </c>
      <c r="AB59" s="4706">
        <f>+(AA55+AA58)/AA59</f>
        <v>0.62121212121212122</v>
      </c>
      <c r="AD59" s="41"/>
      <c r="AE59" s="41"/>
      <c r="AF59" s="461"/>
      <c r="AG59" s="461" t="s">
        <v>547</v>
      </c>
      <c r="AH59" s="2002"/>
      <c r="AI59" s="2002">
        <v>1</v>
      </c>
      <c r="AJ59" s="2002"/>
      <c r="AK59" s="2002">
        <v>3</v>
      </c>
      <c r="AL59" s="2002">
        <v>1</v>
      </c>
      <c r="AM59" s="2480">
        <v>4</v>
      </c>
      <c r="AN59" s="2480"/>
      <c r="AO59" s="2480">
        <v>5</v>
      </c>
      <c r="AP59" s="2480">
        <v>14</v>
      </c>
      <c r="AQ59" s="635">
        <f>+(AP58+AP56-AM56)/AP59</f>
        <v>0.5</v>
      </c>
      <c r="AS59" s="42"/>
      <c r="AT59" s="42"/>
      <c r="AU59" s="42"/>
      <c r="AV59" s="42" t="s">
        <v>1236</v>
      </c>
      <c r="AW59" s="1993">
        <v>1</v>
      </c>
      <c r="AX59" s="1993">
        <v>0</v>
      </c>
      <c r="AY59" s="1993">
        <v>1</v>
      </c>
      <c r="AZ59" s="1993"/>
      <c r="BA59" s="70"/>
      <c r="BB59" s="70"/>
      <c r="BC59" s="70">
        <v>2</v>
      </c>
      <c r="BF59" s="105"/>
      <c r="BG59" s="105" t="s">
        <v>41</v>
      </c>
      <c r="BH59" s="41" t="s">
        <v>138</v>
      </c>
      <c r="BI59" s="41" t="s">
        <v>1230</v>
      </c>
      <c r="BJ59" s="1659"/>
      <c r="BK59" s="1659"/>
      <c r="BL59" s="1659"/>
      <c r="BM59" s="1659">
        <v>0</v>
      </c>
      <c r="BN59" s="105">
        <v>9</v>
      </c>
      <c r="BO59" s="105"/>
      <c r="BP59" s="105">
        <v>9</v>
      </c>
      <c r="BS59" s="1341"/>
      <c r="BT59" s="1341"/>
      <c r="BU59" s="1341"/>
      <c r="BV59" s="1342" t="s">
        <v>1235</v>
      </c>
      <c r="BW59" s="1343"/>
      <c r="BX59" s="1344">
        <v>0</v>
      </c>
      <c r="BY59" s="1343"/>
      <c r="BZ59" s="1344">
        <v>13</v>
      </c>
      <c r="CA59" s="1344">
        <v>4</v>
      </c>
      <c r="CB59" s="1346">
        <v>0</v>
      </c>
      <c r="CC59" s="1346">
        <v>17</v>
      </c>
      <c r="CD59" s="1337"/>
      <c r="CF59" s="497"/>
      <c r="CG59" s="497"/>
      <c r="CH59" s="498"/>
      <c r="CI59" s="499" t="s">
        <v>1240</v>
      </c>
      <c r="CJ59" s="500">
        <v>0</v>
      </c>
      <c r="CK59" s="500">
        <v>0</v>
      </c>
      <c r="CL59" s="500">
        <v>1</v>
      </c>
      <c r="CM59" s="500">
        <v>0</v>
      </c>
      <c r="CN59" s="502">
        <v>0</v>
      </c>
      <c r="CO59" s="502">
        <v>1</v>
      </c>
      <c r="CP59" s="41"/>
      <c r="CR59" s="503"/>
      <c r="CS59" s="503"/>
      <c r="CT59" s="504"/>
      <c r="CU59" s="505" t="s">
        <v>1233</v>
      </c>
      <c r="CV59" s="507"/>
      <c r="CW59" s="506">
        <v>2</v>
      </c>
      <c r="CX59" s="506">
        <v>0</v>
      </c>
      <c r="CY59" s="506">
        <v>0</v>
      </c>
      <c r="CZ59" s="509">
        <v>0</v>
      </c>
      <c r="DA59" s="509">
        <v>0</v>
      </c>
      <c r="DB59" s="509">
        <v>2</v>
      </c>
      <c r="DC59" s="510"/>
      <c r="DQ59" s="42"/>
      <c r="DR59" s="70"/>
      <c r="DS59" s="70"/>
      <c r="DT59" s="42" t="s">
        <v>1231</v>
      </c>
      <c r="DU59" s="70">
        <v>2</v>
      </c>
      <c r="DV59" s="70">
        <v>3</v>
      </c>
      <c r="DW59" s="70">
        <v>5</v>
      </c>
      <c r="DX59" s="70">
        <v>0</v>
      </c>
      <c r="DY59" s="70">
        <v>0</v>
      </c>
      <c r="DZ59" s="70">
        <v>10</v>
      </c>
      <c r="EA59" s="42"/>
      <c r="EB59" s="42"/>
      <c r="EC59" s="516"/>
      <c r="ED59" s="517"/>
      <c r="EE59" s="516"/>
      <c r="EF59" s="516" t="s">
        <v>1236</v>
      </c>
      <c r="EG59" s="516">
        <v>0</v>
      </c>
      <c r="EH59" s="516">
        <v>0</v>
      </c>
      <c r="EI59" s="516">
        <v>1</v>
      </c>
      <c r="EJ59" s="516">
        <v>0</v>
      </c>
      <c r="EK59" s="516">
        <v>0</v>
      </c>
      <c r="EL59" s="516">
        <v>0</v>
      </c>
      <c r="EM59" s="516">
        <v>1</v>
      </c>
      <c r="EN59" s="516"/>
      <c r="EO59" s="518"/>
      <c r="EP59" s="42"/>
    </row>
    <row r="60" spans="2:146">
      <c r="D60" s="4798" t="s">
        <v>15</v>
      </c>
      <c r="E60" s="4606"/>
      <c r="F60" s="4606">
        <v>1</v>
      </c>
      <c r="G60" s="4606"/>
      <c r="H60" s="4606">
        <v>1</v>
      </c>
      <c r="I60" s="4606"/>
      <c r="J60" s="4606">
        <v>1</v>
      </c>
      <c r="K60" s="4606"/>
      <c r="L60" s="4606"/>
      <c r="M60" s="4606"/>
      <c r="N60" s="2552">
        <v>3</v>
      </c>
      <c r="O60" s="1977">
        <v>0</v>
      </c>
      <c r="Q60" s="37" t="s">
        <v>59</v>
      </c>
      <c r="R60" s="37" t="s">
        <v>64</v>
      </c>
      <c r="S60" s="37" t="s">
        <v>671</v>
      </c>
      <c r="T60" s="37" t="s">
        <v>1240</v>
      </c>
      <c r="U60" s="4803"/>
      <c r="V60" s="4803"/>
      <c r="W60" s="4803">
        <v>1</v>
      </c>
      <c r="X60" s="4803"/>
      <c r="Y60" s="1788"/>
      <c r="Z60" s="1788"/>
      <c r="AA60" s="1788">
        <v>1</v>
      </c>
      <c r="AD60" s="41"/>
      <c r="AE60" s="41"/>
      <c r="AF60" s="461" t="s">
        <v>110</v>
      </c>
      <c r="AG60" s="461" t="s">
        <v>1230</v>
      </c>
      <c r="AH60" s="2002"/>
      <c r="AI60" s="2002">
        <v>0</v>
      </c>
      <c r="AJ60" s="2002">
        <v>0</v>
      </c>
      <c r="AK60" s="2002">
        <v>0</v>
      </c>
      <c r="AL60" s="2002">
        <v>1</v>
      </c>
      <c r="AM60" s="2480">
        <v>0</v>
      </c>
      <c r="AN60" s="2480"/>
      <c r="AO60" s="2480"/>
      <c r="AP60" s="2480">
        <v>1</v>
      </c>
      <c r="AQ60" s="41"/>
      <c r="AS60" s="42"/>
      <c r="AT60" s="42"/>
      <c r="AU60" s="42"/>
      <c r="AV60" s="42" t="s">
        <v>1323</v>
      </c>
      <c r="AW60" s="1993">
        <v>0</v>
      </c>
      <c r="AX60" s="1993">
        <v>0</v>
      </c>
      <c r="AY60" s="1993">
        <v>1</v>
      </c>
      <c r="AZ60" s="1993"/>
      <c r="BA60" s="70"/>
      <c r="BB60" s="70"/>
      <c r="BC60" s="70">
        <v>1</v>
      </c>
      <c r="BF60" s="105"/>
      <c r="BI60" s="41" t="s">
        <v>1235</v>
      </c>
      <c r="BJ60" s="1659"/>
      <c r="BK60" s="1659"/>
      <c r="BL60" s="1659"/>
      <c r="BM60" s="1659">
        <v>2</v>
      </c>
      <c r="BN60" s="105">
        <v>0</v>
      </c>
      <c r="BO60" s="105"/>
      <c r="BP60" s="105">
        <v>2</v>
      </c>
      <c r="BS60" s="1341"/>
      <c r="BT60" s="1341"/>
      <c r="BU60" s="1341"/>
      <c r="BV60" s="1342" t="s">
        <v>1236</v>
      </c>
      <c r="BW60" s="1343"/>
      <c r="BX60" s="1344">
        <v>0</v>
      </c>
      <c r="BY60" s="1343"/>
      <c r="BZ60" s="1344">
        <v>0</v>
      </c>
      <c r="CA60" s="1344">
        <v>2</v>
      </c>
      <c r="CB60" s="1346">
        <v>0</v>
      </c>
      <c r="CC60" s="1346">
        <v>2</v>
      </c>
      <c r="CD60" s="1337"/>
      <c r="CF60" s="497"/>
      <c r="CG60" s="497"/>
      <c r="CH60" s="498"/>
      <c r="CI60" s="499" t="s">
        <v>1323</v>
      </c>
      <c r="CJ60" s="500">
        <v>0</v>
      </c>
      <c r="CK60" s="500">
        <v>0</v>
      </c>
      <c r="CL60" s="500">
        <v>24</v>
      </c>
      <c r="CM60" s="500">
        <v>1</v>
      </c>
      <c r="CN60" s="502">
        <v>0</v>
      </c>
      <c r="CO60" s="502">
        <v>25</v>
      </c>
      <c r="CP60" s="41"/>
      <c r="CR60" s="503"/>
      <c r="CS60" s="503"/>
      <c r="CT60" s="504"/>
      <c r="CU60" s="505" t="s">
        <v>1235</v>
      </c>
      <c r="CV60" s="507"/>
      <c r="CW60" s="506">
        <v>0</v>
      </c>
      <c r="CX60" s="506">
        <v>7</v>
      </c>
      <c r="CY60" s="506">
        <v>3</v>
      </c>
      <c r="CZ60" s="509">
        <v>1</v>
      </c>
      <c r="DA60" s="509">
        <v>1</v>
      </c>
      <c r="DB60" s="509">
        <v>12</v>
      </c>
      <c r="DC60" s="510"/>
      <c r="DQ60" s="42"/>
      <c r="DR60" s="70"/>
      <c r="DS60" s="70"/>
      <c r="DT60" s="42" t="s">
        <v>1233</v>
      </c>
      <c r="DU60" s="70">
        <v>0</v>
      </c>
      <c r="DV60" s="70">
        <v>1</v>
      </c>
      <c r="DW60" s="70">
        <v>0</v>
      </c>
      <c r="DX60" s="70">
        <v>0</v>
      </c>
      <c r="DY60" s="70">
        <v>0</v>
      </c>
      <c r="DZ60" s="70">
        <v>1</v>
      </c>
      <c r="EA60" s="42"/>
      <c r="EB60" s="42"/>
      <c r="EC60" s="516"/>
      <c r="ED60" s="517"/>
      <c r="EE60" s="516"/>
      <c r="EF60" s="516" t="s">
        <v>1239</v>
      </c>
      <c r="EG60" s="516">
        <v>0</v>
      </c>
      <c r="EH60" s="516">
        <v>0</v>
      </c>
      <c r="EI60" s="516">
        <v>0</v>
      </c>
      <c r="EJ60" s="516">
        <v>0</v>
      </c>
      <c r="EK60" s="516">
        <v>1</v>
      </c>
      <c r="EL60" s="516">
        <v>1</v>
      </c>
      <c r="EM60" s="516">
        <v>2</v>
      </c>
      <c r="EN60" s="516"/>
      <c r="EO60" s="518"/>
      <c r="EP60" s="42"/>
    </row>
    <row r="61" spans="2:146">
      <c r="C61" s="4798" t="s">
        <v>547</v>
      </c>
      <c r="D61" s="4798" t="s">
        <v>1231</v>
      </c>
      <c r="E61" s="4606">
        <f>+E58</f>
        <v>0</v>
      </c>
      <c r="F61" s="4606">
        <f>+F58</f>
        <v>1</v>
      </c>
      <c r="G61" s="4606">
        <f>+G58</f>
        <v>0</v>
      </c>
      <c r="H61" s="4606">
        <f>+H58</f>
        <v>0</v>
      </c>
      <c r="I61" s="4606">
        <f>+I58</f>
        <v>0</v>
      </c>
      <c r="J61" s="4606">
        <v>1</v>
      </c>
      <c r="K61" s="4606">
        <v>0</v>
      </c>
      <c r="L61" s="4606">
        <f>+L58</f>
        <v>0</v>
      </c>
      <c r="M61" s="4606">
        <f>+M58</f>
        <v>0</v>
      </c>
      <c r="N61" s="2552">
        <f>+N58</f>
        <v>2</v>
      </c>
      <c r="O61" s="1977"/>
      <c r="T61" s="37" t="s">
        <v>1323</v>
      </c>
      <c r="U61" s="4803"/>
      <c r="V61" s="4803"/>
      <c r="W61" s="4803">
        <v>1</v>
      </c>
      <c r="X61" s="4803"/>
      <c r="Y61" s="1788"/>
      <c r="Z61" s="1788"/>
      <c r="AA61" s="1788">
        <v>1</v>
      </c>
      <c r="AD61" s="41"/>
      <c r="AE61" s="41"/>
      <c r="AF61" s="461"/>
      <c r="AG61" s="461" t="s">
        <v>1231</v>
      </c>
      <c r="AH61" s="2002"/>
      <c r="AI61" s="2002">
        <v>1</v>
      </c>
      <c r="AJ61" s="2002">
        <v>0</v>
      </c>
      <c r="AK61" s="2002">
        <v>1</v>
      </c>
      <c r="AL61" s="2002">
        <v>1</v>
      </c>
      <c r="AM61" s="2480">
        <v>0</v>
      </c>
      <c r="AN61" s="2480"/>
      <c r="AO61" s="2480"/>
      <c r="AP61" s="2480">
        <v>3</v>
      </c>
      <c r="AQ61" s="41"/>
      <c r="AS61" s="42"/>
      <c r="AT61" s="42"/>
      <c r="AU61" s="42"/>
      <c r="AV61" s="484" t="s">
        <v>15</v>
      </c>
      <c r="AW61" s="1994">
        <v>2</v>
      </c>
      <c r="AX61" s="1994">
        <v>1</v>
      </c>
      <c r="AY61" s="1994">
        <v>2</v>
      </c>
      <c r="AZ61" s="1994"/>
      <c r="BA61" s="454"/>
      <c r="BB61" s="454"/>
      <c r="BC61" s="454">
        <v>5</v>
      </c>
      <c r="BD61" s="1977">
        <f>+BC60/BC61</f>
        <v>0.2</v>
      </c>
      <c r="BF61" s="105"/>
      <c r="BI61" s="41" t="s">
        <v>1240</v>
      </c>
      <c r="BJ61" s="1659"/>
      <c r="BK61" s="1659"/>
      <c r="BL61" s="1659"/>
      <c r="BM61" s="1659">
        <v>1</v>
      </c>
      <c r="BN61" s="105">
        <v>0</v>
      </c>
      <c r="BO61" s="105"/>
      <c r="BP61" s="105">
        <v>1</v>
      </c>
      <c r="BS61" s="1341"/>
      <c r="BT61" s="1341"/>
      <c r="BU61" s="1341"/>
      <c r="BV61" s="1342" t="s">
        <v>1239</v>
      </c>
      <c r="BW61" s="1343"/>
      <c r="BX61" s="1344">
        <v>0</v>
      </c>
      <c r="BY61" s="1343"/>
      <c r="BZ61" s="1344">
        <v>0</v>
      </c>
      <c r="CA61" s="1344">
        <v>0</v>
      </c>
      <c r="CB61" s="1346">
        <v>6</v>
      </c>
      <c r="CC61" s="1346">
        <v>6</v>
      </c>
      <c r="CD61" s="1337"/>
      <c r="CF61" s="497"/>
      <c r="CG61" s="497"/>
      <c r="CH61" s="498"/>
      <c r="CI61" s="521" t="s">
        <v>110</v>
      </c>
      <c r="CJ61" s="522">
        <v>6</v>
      </c>
      <c r="CK61" s="522">
        <v>3</v>
      </c>
      <c r="CL61" s="522">
        <v>36</v>
      </c>
      <c r="CM61" s="522">
        <v>6</v>
      </c>
      <c r="CN61" s="525">
        <v>6</v>
      </c>
      <c r="CO61" s="525">
        <v>57</v>
      </c>
      <c r="CP61" s="526">
        <f>+(CO57+CO59+CO60)/CO61</f>
        <v>0.56140350877192979</v>
      </c>
      <c r="CR61" s="503"/>
      <c r="CS61" s="503"/>
      <c r="CT61" s="504"/>
      <c r="CU61" s="505" t="s">
        <v>1236</v>
      </c>
      <c r="CV61" s="507"/>
      <c r="CW61" s="506">
        <v>1</v>
      </c>
      <c r="CX61" s="506">
        <v>0</v>
      </c>
      <c r="CY61" s="506">
        <v>0</v>
      </c>
      <c r="CZ61" s="509">
        <v>0</v>
      </c>
      <c r="DA61" s="509">
        <v>1</v>
      </c>
      <c r="DB61" s="509">
        <v>2</v>
      </c>
      <c r="DC61" s="510"/>
      <c r="DQ61" s="42"/>
      <c r="DR61" s="70"/>
      <c r="DS61" s="70"/>
      <c r="DT61" s="42" t="s">
        <v>1235</v>
      </c>
      <c r="DU61" s="70">
        <v>0</v>
      </c>
      <c r="DV61" s="70">
        <v>0</v>
      </c>
      <c r="DW61" s="70">
        <v>1</v>
      </c>
      <c r="DX61" s="70">
        <v>7</v>
      </c>
      <c r="DY61" s="70">
        <v>0</v>
      </c>
      <c r="DZ61" s="70">
        <v>8</v>
      </c>
      <c r="EA61" s="42"/>
      <c r="EB61" s="42"/>
      <c r="EC61" s="516"/>
      <c r="ED61" s="517"/>
      <c r="EE61" s="516"/>
      <c r="EF61" s="516" t="s">
        <v>1240</v>
      </c>
      <c r="EG61" s="516">
        <v>0</v>
      </c>
      <c r="EH61" s="516">
        <v>0</v>
      </c>
      <c r="EI61" s="516">
        <v>0</v>
      </c>
      <c r="EJ61" s="516">
        <v>1</v>
      </c>
      <c r="EK61" s="516">
        <v>20</v>
      </c>
      <c r="EL61" s="516">
        <v>0</v>
      </c>
      <c r="EM61" s="516">
        <v>21</v>
      </c>
      <c r="EN61" s="516"/>
      <c r="EO61" s="518"/>
      <c r="EP61" s="42"/>
    </row>
    <row r="62" spans="2:146">
      <c r="D62" s="4798" t="s">
        <v>1235</v>
      </c>
      <c r="E62" s="4606">
        <f>+E55</f>
        <v>0</v>
      </c>
      <c r="F62" s="4606">
        <f t="shared" ref="F62:N62" si="0">+F55</f>
        <v>0</v>
      </c>
      <c r="G62" s="4606">
        <f t="shared" si="0"/>
        <v>0</v>
      </c>
      <c r="H62" s="4606">
        <f t="shared" si="0"/>
        <v>1</v>
      </c>
      <c r="I62" s="4606">
        <f t="shared" si="0"/>
        <v>0</v>
      </c>
      <c r="J62" s="4606">
        <f t="shared" si="0"/>
        <v>0</v>
      </c>
      <c r="K62" s="4606">
        <f t="shared" si="0"/>
        <v>0</v>
      </c>
      <c r="L62" s="4606">
        <f t="shared" si="0"/>
        <v>0</v>
      </c>
      <c r="M62" s="4606">
        <f t="shared" si="0"/>
        <v>0</v>
      </c>
      <c r="N62" s="4611">
        <f t="shared" si="0"/>
        <v>1</v>
      </c>
      <c r="O62" s="1977"/>
      <c r="T62" s="1793" t="s">
        <v>15</v>
      </c>
      <c r="U62" s="4804"/>
      <c r="V62" s="4804"/>
      <c r="W62" s="4804">
        <v>2</v>
      </c>
      <c r="X62" s="4804"/>
      <c r="Y62" s="4702"/>
      <c r="Z62" s="4702"/>
      <c r="AA62" s="4702">
        <v>2</v>
      </c>
      <c r="AB62" s="4703">
        <f>+(AA60+AA61)/AA62</f>
        <v>1</v>
      </c>
      <c r="AD62" s="41"/>
      <c r="AE62" s="41"/>
      <c r="AF62" s="461"/>
      <c r="AG62" s="461" t="s">
        <v>1233</v>
      </c>
      <c r="AH62" s="2002"/>
      <c r="AI62" s="2002">
        <v>2</v>
      </c>
      <c r="AJ62" s="2002">
        <v>0</v>
      </c>
      <c r="AK62" s="2002">
        <v>0</v>
      </c>
      <c r="AL62" s="2002">
        <v>0</v>
      </c>
      <c r="AM62" s="2480">
        <v>0</v>
      </c>
      <c r="AN62" s="2480"/>
      <c r="AO62" s="2480"/>
      <c r="AP62" s="2480">
        <v>2</v>
      </c>
      <c r="AQ62" s="41"/>
      <c r="AS62" s="42"/>
      <c r="AT62" s="42"/>
      <c r="AU62" s="42" t="s">
        <v>549</v>
      </c>
      <c r="AV62" s="42" t="s">
        <v>1231</v>
      </c>
      <c r="AW62" s="1993">
        <v>1</v>
      </c>
      <c r="AX62" s="1993">
        <v>1</v>
      </c>
      <c r="AY62" s="1993">
        <v>0</v>
      </c>
      <c r="AZ62" s="1993"/>
      <c r="BA62" s="70"/>
      <c r="BB62" s="70"/>
      <c r="BC62" s="70">
        <v>2</v>
      </c>
      <c r="BF62" s="105"/>
      <c r="BI62" s="461" t="s">
        <v>15</v>
      </c>
      <c r="BJ62" s="1660"/>
      <c r="BK62" s="1660"/>
      <c r="BL62" s="1660"/>
      <c r="BM62" s="1660">
        <v>3</v>
      </c>
      <c r="BN62" s="96">
        <v>9</v>
      </c>
      <c r="BO62" s="96"/>
      <c r="BP62" s="96">
        <v>12</v>
      </c>
      <c r="BQ62" s="635">
        <f>+(BP60+BP61)/BP62</f>
        <v>0.25</v>
      </c>
      <c r="BS62" s="1341"/>
      <c r="BT62" s="1341"/>
      <c r="BU62" s="1341"/>
      <c r="BV62" s="1342" t="s">
        <v>1240</v>
      </c>
      <c r="BW62" s="1343"/>
      <c r="BX62" s="1344">
        <v>0</v>
      </c>
      <c r="BY62" s="1343"/>
      <c r="BZ62" s="1344">
        <v>2</v>
      </c>
      <c r="CA62" s="1344">
        <v>0</v>
      </c>
      <c r="CB62" s="1346">
        <v>0</v>
      </c>
      <c r="CC62" s="1346">
        <v>2</v>
      </c>
      <c r="CD62" s="1337"/>
      <c r="CF62" s="497" t="s">
        <v>48</v>
      </c>
      <c r="CG62" s="497" t="s">
        <v>16</v>
      </c>
      <c r="CH62" s="498" t="s">
        <v>111</v>
      </c>
      <c r="CI62" s="499" t="s">
        <v>1230</v>
      </c>
      <c r="CJ62" s="501"/>
      <c r="CK62" s="501"/>
      <c r="CL62" s="500">
        <v>0</v>
      </c>
      <c r="CM62" s="500">
        <v>0</v>
      </c>
      <c r="CN62" s="502">
        <v>6</v>
      </c>
      <c r="CO62" s="502">
        <v>6</v>
      </c>
      <c r="CP62" s="41"/>
      <c r="CR62" s="503"/>
      <c r="CS62" s="503"/>
      <c r="CT62" s="504"/>
      <c r="CU62" s="505" t="s">
        <v>1323</v>
      </c>
      <c r="CV62" s="507"/>
      <c r="CW62" s="506">
        <v>0</v>
      </c>
      <c r="CX62" s="506">
        <v>3</v>
      </c>
      <c r="CY62" s="506">
        <v>3</v>
      </c>
      <c r="CZ62" s="509">
        <v>1</v>
      </c>
      <c r="DA62" s="509">
        <v>0</v>
      </c>
      <c r="DB62" s="509">
        <v>7</v>
      </c>
      <c r="DC62" s="510"/>
      <c r="DQ62" s="42"/>
      <c r="DR62" s="70"/>
      <c r="DS62" s="70"/>
      <c r="DT62" s="42" t="s">
        <v>1239</v>
      </c>
      <c r="DU62" s="70">
        <v>0</v>
      </c>
      <c r="DV62" s="70">
        <v>0</v>
      </c>
      <c r="DW62" s="70">
        <v>0</v>
      </c>
      <c r="DX62" s="70">
        <v>0</v>
      </c>
      <c r="DY62" s="70">
        <v>1</v>
      </c>
      <c r="DZ62" s="70">
        <v>1</v>
      </c>
      <c r="EA62" s="42"/>
      <c r="EB62" s="42"/>
      <c r="EC62" s="516"/>
      <c r="ED62" s="517"/>
      <c r="EE62" s="516"/>
      <c r="EF62" s="519" t="s">
        <v>15</v>
      </c>
      <c r="EG62" s="519">
        <v>0</v>
      </c>
      <c r="EH62" s="519">
        <v>2</v>
      </c>
      <c r="EI62" s="519">
        <v>5</v>
      </c>
      <c r="EJ62" s="519">
        <v>9</v>
      </c>
      <c r="EK62" s="519">
        <v>24</v>
      </c>
      <c r="EL62" s="519">
        <v>10</v>
      </c>
      <c r="EM62" s="519">
        <v>50</v>
      </c>
      <c r="EN62" s="520">
        <f>+(EM61+EM58)/EM62</f>
        <v>0.44</v>
      </c>
      <c r="EO62" s="518">
        <f>+EM58+EM61</f>
        <v>22</v>
      </c>
      <c r="EP62" s="42"/>
    </row>
    <row r="63" spans="2:146">
      <c r="D63" s="4798" t="s">
        <v>1239</v>
      </c>
      <c r="E63" s="4606">
        <f>+E56+E59</f>
        <v>0</v>
      </c>
      <c r="F63" s="4606">
        <f t="shared" ref="F63:N63" si="1">+F56+F59</f>
        <v>0</v>
      </c>
      <c r="G63" s="4606">
        <f t="shared" si="1"/>
        <v>0</v>
      </c>
      <c r="H63" s="4606">
        <f t="shared" si="1"/>
        <v>0</v>
      </c>
      <c r="I63" s="4606">
        <f t="shared" si="1"/>
        <v>0</v>
      </c>
      <c r="J63" s="4606">
        <f t="shared" si="1"/>
        <v>3</v>
      </c>
      <c r="K63" s="4606">
        <f t="shared" si="1"/>
        <v>1</v>
      </c>
      <c r="L63" s="4606">
        <f t="shared" si="1"/>
        <v>1</v>
      </c>
      <c r="M63" s="4606">
        <f t="shared" si="1"/>
        <v>1</v>
      </c>
      <c r="N63" s="4611">
        <f t="shared" si="1"/>
        <v>6</v>
      </c>
      <c r="O63" s="1977"/>
      <c r="S63" s="1793" t="s">
        <v>549</v>
      </c>
      <c r="T63" s="1793" t="s">
        <v>1240</v>
      </c>
      <c r="U63" s="4804"/>
      <c r="V63" s="4804"/>
      <c r="W63" s="4804">
        <v>1</v>
      </c>
      <c r="X63" s="4804"/>
      <c r="Y63" s="4702"/>
      <c r="Z63" s="4702"/>
      <c r="AA63" s="4702">
        <v>1</v>
      </c>
      <c r="AB63" s="4703"/>
      <c r="AD63" s="41"/>
      <c r="AE63" s="41"/>
      <c r="AF63" s="461"/>
      <c r="AG63" s="461" t="s">
        <v>1235</v>
      </c>
      <c r="AH63" s="2002"/>
      <c r="AI63" s="2002">
        <v>0</v>
      </c>
      <c r="AJ63" s="2002">
        <v>0</v>
      </c>
      <c r="AK63" s="2002">
        <v>2</v>
      </c>
      <c r="AL63" s="2002">
        <v>1</v>
      </c>
      <c r="AM63" s="2480">
        <v>3</v>
      </c>
      <c r="AN63" s="2480"/>
      <c r="AO63" s="2480"/>
      <c r="AP63" s="2480">
        <v>6</v>
      </c>
      <c r="AQ63" s="41"/>
      <c r="AS63" s="42"/>
      <c r="AT63" s="42"/>
      <c r="AU63" s="42"/>
      <c r="AV63" s="42" t="s">
        <v>1236</v>
      </c>
      <c r="AW63" s="1993">
        <v>1</v>
      </c>
      <c r="AX63" s="1993">
        <v>0</v>
      </c>
      <c r="AY63" s="1993">
        <v>1</v>
      </c>
      <c r="AZ63" s="1993"/>
      <c r="BA63" s="70"/>
      <c r="BB63" s="70"/>
      <c r="BC63" s="70">
        <v>2</v>
      </c>
      <c r="BF63" s="105"/>
      <c r="BH63" s="41" t="s">
        <v>547</v>
      </c>
      <c r="BI63" s="41" t="s">
        <v>1230</v>
      </c>
      <c r="BJ63" s="1659"/>
      <c r="BK63" s="1659"/>
      <c r="BL63" s="1659"/>
      <c r="BM63" s="1659">
        <v>0</v>
      </c>
      <c r="BN63" s="105">
        <v>9</v>
      </c>
      <c r="BO63" s="105"/>
      <c r="BP63" s="105">
        <v>9</v>
      </c>
      <c r="BS63" s="1341"/>
      <c r="BT63" s="1341"/>
      <c r="BU63" s="1341"/>
      <c r="BV63" s="1342" t="s">
        <v>1323</v>
      </c>
      <c r="BW63" s="1343"/>
      <c r="BX63" s="1344">
        <v>0</v>
      </c>
      <c r="BY63" s="1343"/>
      <c r="BZ63" s="1344">
        <v>5</v>
      </c>
      <c r="CA63" s="1344">
        <v>1</v>
      </c>
      <c r="CB63" s="1346">
        <v>0</v>
      </c>
      <c r="CC63" s="1346">
        <v>6</v>
      </c>
      <c r="CD63" s="1337"/>
      <c r="CF63" s="497"/>
      <c r="CG63" s="497"/>
      <c r="CH63" s="498"/>
      <c r="CI63" s="499" t="s">
        <v>1239</v>
      </c>
      <c r="CJ63" s="501"/>
      <c r="CK63" s="501"/>
      <c r="CL63" s="500">
        <v>0</v>
      </c>
      <c r="CM63" s="500">
        <v>0</v>
      </c>
      <c r="CN63" s="502">
        <v>1</v>
      </c>
      <c r="CO63" s="502">
        <v>1</v>
      </c>
      <c r="CP63" s="41"/>
      <c r="CR63" s="503"/>
      <c r="CS63" s="503"/>
      <c r="CT63" s="504"/>
      <c r="CU63" s="527" t="s">
        <v>547</v>
      </c>
      <c r="CV63" s="529"/>
      <c r="CW63" s="528">
        <v>4</v>
      </c>
      <c r="CX63" s="528">
        <v>11</v>
      </c>
      <c r="CY63" s="528">
        <v>7</v>
      </c>
      <c r="CZ63" s="531">
        <v>12</v>
      </c>
      <c r="DA63" s="531">
        <v>2</v>
      </c>
      <c r="DB63" s="531">
        <v>36</v>
      </c>
      <c r="DC63" s="510">
        <f>+(DB62+DB60-CZ62-DA60-CZ60)/DB63</f>
        <v>0.44444444444444442</v>
      </c>
      <c r="DE63" s="511"/>
      <c r="DF63" s="511"/>
      <c r="DQ63" s="42"/>
      <c r="DR63" s="70"/>
      <c r="DS63" s="70"/>
      <c r="DT63" s="42" t="s">
        <v>1240</v>
      </c>
      <c r="DU63" s="70">
        <v>0</v>
      </c>
      <c r="DV63" s="70">
        <v>0</v>
      </c>
      <c r="DW63" s="70">
        <v>1</v>
      </c>
      <c r="DX63" s="70">
        <v>20</v>
      </c>
      <c r="DY63" s="70">
        <v>0</v>
      </c>
      <c r="DZ63" s="70">
        <v>21</v>
      </c>
      <c r="EA63" s="42"/>
      <c r="EB63" s="42"/>
      <c r="EC63" s="516"/>
      <c r="ED63" s="517" t="s">
        <v>1326</v>
      </c>
      <c r="EE63" s="516" t="s">
        <v>16</v>
      </c>
      <c r="EF63" s="516" t="s">
        <v>1231</v>
      </c>
      <c r="EG63" s="516">
        <v>0</v>
      </c>
      <c r="EH63" s="516">
        <v>3</v>
      </c>
      <c r="EI63" s="516">
        <v>28</v>
      </c>
      <c r="EJ63" s="516">
        <v>66</v>
      </c>
      <c r="EK63" s="516">
        <v>0</v>
      </c>
      <c r="EL63" s="516">
        <v>0</v>
      </c>
      <c r="EM63" s="516">
        <v>97</v>
      </c>
      <c r="EN63" s="516"/>
      <c r="EO63" s="518"/>
      <c r="EP63" s="42"/>
    </row>
    <row r="64" spans="2:146">
      <c r="D64" s="4798" t="s">
        <v>15</v>
      </c>
      <c r="E64" s="4606">
        <f>SUM(E61:E63)</f>
        <v>0</v>
      </c>
      <c r="F64" s="4606">
        <f t="shared" ref="F64:N64" si="2">SUM(F61:F63)</f>
        <v>1</v>
      </c>
      <c r="G64" s="4606">
        <f t="shared" si="2"/>
        <v>0</v>
      </c>
      <c r="H64" s="4606">
        <f t="shared" si="2"/>
        <v>1</v>
      </c>
      <c r="I64" s="4606">
        <f t="shared" si="2"/>
        <v>0</v>
      </c>
      <c r="J64" s="4606">
        <f t="shared" si="2"/>
        <v>4</v>
      </c>
      <c r="K64" s="4606">
        <f t="shared" si="2"/>
        <v>1</v>
      </c>
      <c r="L64" s="4606">
        <f t="shared" si="2"/>
        <v>1</v>
      </c>
      <c r="M64" s="4606">
        <f t="shared" si="2"/>
        <v>1</v>
      </c>
      <c r="N64" s="4611">
        <f t="shared" si="2"/>
        <v>9</v>
      </c>
      <c r="O64" s="1977">
        <f>+(N62)/(N64)</f>
        <v>0.1111111111111111</v>
      </c>
      <c r="S64" s="1793"/>
      <c r="T64" s="1793" t="s">
        <v>1323</v>
      </c>
      <c r="U64" s="4804"/>
      <c r="V64" s="4804"/>
      <c r="W64" s="4804">
        <v>1</v>
      </c>
      <c r="X64" s="4804"/>
      <c r="Y64" s="4702"/>
      <c r="Z64" s="4702"/>
      <c r="AA64" s="4702">
        <v>1</v>
      </c>
      <c r="AB64" s="4703"/>
      <c r="AD64" s="41"/>
      <c r="AE64" s="41"/>
      <c r="AF64" s="461"/>
      <c r="AG64" s="461" t="s">
        <v>1236</v>
      </c>
      <c r="AH64" s="2002"/>
      <c r="AI64" s="2002">
        <v>0</v>
      </c>
      <c r="AJ64" s="2002">
        <v>4</v>
      </c>
      <c r="AK64" s="2002">
        <v>2</v>
      </c>
      <c r="AL64" s="2002">
        <v>0</v>
      </c>
      <c r="AM64" s="2480">
        <v>0</v>
      </c>
      <c r="AN64" s="2480"/>
      <c r="AO64" s="2480"/>
      <c r="AP64" s="2480">
        <v>6</v>
      </c>
      <c r="AQ64" s="41"/>
      <c r="AS64" s="42"/>
      <c r="AT64" s="42"/>
      <c r="AU64" s="42"/>
      <c r="AV64" s="42" t="s">
        <v>1323</v>
      </c>
      <c r="AW64" s="1993">
        <v>0</v>
      </c>
      <c r="AX64" s="1993">
        <v>0</v>
      </c>
      <c r="AY64" s="1993">
        <v>1</v>
      </c>
      <c r="AZ64" s="1993"/>
      <c r="BA64" s="70"/>
      <c r="BB64" s="70"/>
      <c r="BC64" s="70">
        <v>1</v>
      </c>
      <c r="BF64" s="105"/>
      <c r="BI64" s="41" t="s">
        <v>1235</v>
      </c>
      <c r="BJ64" s="1659"/>
      <c r="BK64" s="1659"/>
      <c r="BL64" s="1659"/>
      <c r="BM64" s="1659">
        <v>2</v>
      </c>
      <c r="BN64" s="105">
        <v>0</v>
      </c>
      <c r="BO64" s="105"/>
      <c r="BP64" s="105">
        <v>2</v>
      </c>
      <c r="BS64" s="1341"/>
      <c r="BT64" s="1341"/>
      <c r="BU64" s="1341"/>
      <c r="BV64" s="1336" t="s">
        <v>110</v>
      </c>
      <c r="BW64" s="1347"/>
      <c r="BX64" s="1348">
        <v>1</v>
      </c>
      <c r="BY64" s="1347">
        <v>1</v>
      </c>
      <c r="BZ64" s="1348">
        <v>22</v>
      </c>
      <c r="CA64" s="1348">
        <v>11</v>
      </c>
      <c r="CB64" s="1350">
        <v>6</v>
      </c>
      <c r="CC64" s="1350">
        <v>41</v>
      </c>
      <c r="CD64" s="1325">
        <f>+(CC59+CC62+CC63)/CC64</f>
        <v>0.6097560975609756</v>
      </c>
      <c r="CF64" s="497"/>
      <c r="CG64" s="497"/>
      <c r="CH64" s="498"/>
      <c r="CI64" s="499" t="s">
        <v>1240</v>
      </c>
      <c r="CJ64" s="501"/>
      <c r="CK64" s="501"/>
      <c r="CL64" s="500">
        <v>2</v>
      </c>
      <c r="CM64" s="500">
        <v>25</v>
      </c>
      <c r="CN64" s="502">
        <v>1</v>
      </c>
      <c r="CO64" s="502">
        <v>28</v>
      </c>
      <c r="CP64" s="41"/>
      <c r="CR64" s="503"/>
      <c r="CS64" s="503"/>
      <c r="CT64" s="527" t="s">
        <v>110</v>
      </c>
      <c r="CU64" s="505" t="s">
        <v>1230</v>
      </c>
      <c r="CV64" s="507"/>
      <c r="CW64" s="506">
        <v>0</v>
      </c>
      <c r="CX64" s="506">
        <v>0</v>
      </c>
      <c r="CY64" s="506">
        <v>0</v>
      </c>
      <c r="CZ64" s="509">
        <v>10</v>
      </c>
      <c r="DA64" s="509">
        <v>0</v>
      </c>
      <c r="DB64" s="509">
        <v>10</v>
      </c>
      <c r="DC64" s="510"/>
      <c r="DE64" s="511"/>
      <c r="DF64" s="511"/>
      <c r="DQ64" s="42"/>
      <c r="DR64" s="70"/>
      <c r="DS64" s="70"/>
      <c r="DT64" s="42" t="s">
        <v>1323</v>
      </c>
      <c r="DU64" s="70">
        <v>0</v>
      </c>
      <c r="DV64" s="70">
        <v>0</v>
      </c>
      <c r="DW64" s="70">
        <v>1</v>
      </c>
      <c r="DX64" s="70">
        <v>1</v>
      </c>
      <c r="DY64" s="70">
        <v>0</v>
      </c>
      <c r="DZ64" s="70">
        <v>2</v>
      </c>
      <c r="EA64" s="42"/>
      <c r="EB64" s="42"/>
      <c r="EC64" s="516"/>
      <c r="ED64" s="517"/>
      <c r="EE64" s="516"/>
      <c r="EF64" s="516" t="s">
        <v>1235</v>
      </c>
      <c r="EG64" s="516">
        <v>0</v>
      </c>
      <c r="EH64" s="516">
        <v>0</v>
      </c>
      <c r="EI64" s="516">
        <v>0</v>
      </c>
      <c r="EJ64" s="516">
        <v>2</v>
      </c>
      <c r="EK64" s="516">
        <v>1</v>
      </c>
      <c r="EL64" s="516">
        <v>0</v>
      </c>
      <c r="EM64" s="516">
        <v>3</v>
      </c>
      <c r="EN64" s="516"/>
      <c r="EO64" s="518"/>
      <c r="EP64" s="42"/>
    </row>
    <row r="65" spans="1:146">
      <c r="C65" s="4798" t="s">
        <v>110</v>
      </c>
      <c r="D65" s="4798" t="s">
        <v>1231</v>
      </c>
      <c r="E65" s="4606">
        <f t="shared" ref="E65:N65" si="3">SUM(E48,E61)</f>
        <v>0</v>
      </c>
      <c r="F65" s="4606">
        <f t="shared" si="3"/>
        <v>3</v>
      </c>
      <c r="G65" s="4606">
        <f t="shared" si="3"/>
        <v>2</v>
      </c>
      <c r="H65" s="4606">
        <f t="shared" si="3"/>
        <v>7</v>
      </c>
      <c r="I65" s="4606">
        <f t="shared" si="3"/>
        <v>0</v>
      </c>
      <c r="J65" s="4606">
        <f t="shared" si="3"/>
        <v>1</v>
      </c>
      <c r="K65" s="4606">
        <f t="shared" si="3"/>
        <v>0</v>
      </c>
      <c r="L65" s="4606">
        <f t="shared" si="3"/>
        <v>0</v>
      </c>
      <c r="M65" s="4606">
        <f t="shared" si="3"/>
        <v>0</v>
      </c>
      <c r="N65" s="4611">
        <f t="shared" si="3"/>
        <v>13</v>
      </c>
      <c r="O65" s="1977"/>
      <c r="T65" s="1793" t="s">
        <v>549</v>
      </c>
      <c r="U65" s="4804"/>
      <c r="V65" s="4804"/>
      <c r="W65" s="4804">
        <v>2</v>
      </c>
      <c r="X65" s="4804"/>
      <c r="Y65" s="4702"/>
      <c r="Z65" s="4702"/>
      <c r="AA65" s="4702">
        <v>2</v>
      </c>
      <c r="AB65" s="4703">
        <f>+(AA63+AA64)/AA65</f>
        <v>1</v>
      </c>
      <c r="AD65" s="41"/>
      <c r="AE65" s="41"/>
      <c r="AF65" s="461"/>
      <c r="AG65" s="461" t="s">
        <v>1239</v>
      </c>
      <c r="AH65" s="2002"/>
      <c r="AI65" s="2002">
        <v>0</v>
      </c>
      <c r="AJ65" s="2002">
        <v>0</v>
      </c>
      <c r="AK65" s="2002">
        <v>0</v>
      </c>
      <c r="AL65" s="2002">
        <v>0</v>
      </c>
      <c r="AM65" s="2480">
        <v>1</v>
      </c>
      <c r="AN65" s="2480"/>
      <c r="AO65" s="2480"/>
      <c r="AP65" s="2480">
        <v>1</v>
      </c>
      <c r="AQ65" s="41"/>
      <c r="AS65" s="42"/>
      <c r="AT65" s="42"/>
      <c r="AU65" s="42"/>
      <c r="AV65" s="484" t="s">
        <v>549</v>
      </c>
      <c r="AW65" s="1994">
        <v>2</v>
      </c>
      <c r="AX65" s="1994">
        <v>1</v>
      </c>
      <c r="AY65" s="1994">
        <v>2</v>
      </c>
      <c r="AZ65" s="1994"/>
      <c r="BA65" s="454"/>
      <c r="BB65" s="454"/>
      <c r="BC65" s="454">
        <v>5</v>
      </c>
      <c r="BD65" s="1977">
        <f>+BC64/BC65</f>
        <v>0.2</v>
      </c>
      <c r="BF65" s="105"/>
      <c r="BI65" s="41" t="s">
        <v>1240</v>
      </c>
      <c r="BJ65" s="1659"/>
      <c r="BK65" s="1659"/>
      <c r="BL65" s="1659"/>
      <c r="BM65" s="1659">
        <v>1</v>
      </c>
      <c r="BN65" s="105">
        <v>0</v>
      </c>
      <c r="BO65" s="105"/>
      <c r="BP65" s="105">
        <v>1</v>
      </c>
      <c r="BS65" s="1341" t="s">
        <v>59</v>
      </c>
      <c r="BT65" s="1341" t="s">
        <v>64</v>
      </c>
      <c r="BU65" s="1341" t="s">
        <v>671</v>
      </c>
      <c r="BV65" s="1342" t="s">
        <v>1235</v>
      </c>
      <c r="BW65" s="1343"/>
      <c r="BX65" s="1343"/>
      <c r="BY65" s="1344">
        <v>0</v>
      </c>
      <c r="BZ65" s="1344">
        <v>1</v>
      </c>
      <c r="CA65" s="1343"/>
      <c r="CB65" s="1346">
        <v>0</v>
      </c>
      <c r="CC65" s="1346">
        <v>1</v>
      </c>
      <c r="CD65" s="1337"/>
      <c r="CF65" s="497"/>
      <c r="CG65" s="497"/>
      <c r="CH65" s="498"/>
      <c r="CI65" s="521" t="s">
        <v>15</v>
      </c>
      <c r="CJ65" s="523"/>
      <c r="CK65" s="523"/>
      <c r="CL65" s="522">
        <v>2</v>
      </c>
      <c r="CM65" s="522">
        <v>25</v>
      </c>
      <c r="CN65" s="525">
        <v>8</v>
      </c>
      <c r="CO65" s="525">
        <v>35</v>
      </c>
      <c r="CP65" s="526">
        <f>+(CO64-CN64)/CO65</f>
        <v>0.77142857142857146</v>
      </c>
      <c r="CR65" s="503"/>
      <c r="CS65" s="503"/>
      <c r="CT65" s="504"/>
      <c r="CU65" s="505" t="s">
        <v>1231</v>
      </c>
      <c r="CV65" s="507"/>
      <c r="CW65" s="506">
        <v>1</v>
      </c>
      <c r="CX65" s="506">
        <v>1</v>
      </c>
      <c r="CY65" s="506">
        <v>1</v>
      </c>
      <c r="CZ65" s="509">
        <v>0</v>
      </c>
      <c r="DA65" s="509">
        <v>0</v>
      </c>
      <c r="DB65" s="509">
        <v>3</v>
      </c>
      <c r="DC65" s="510"/>
      <c r="DE65" s="511"/>
      <c r="DF65" s="511"/>
      <c r="DQ65" s="42"/>
      <c r="DR65" s="70"/>
      <c r="DS65" s="70"/>
      <c r="DT65" s="484" t="s">
        <v>15</v>
      </c>
      <c r="DU65" s="454">
        <v>2</v>
      </c>
      <c r="DV65" s="454">
        <v>4</v>
      </c>
      <c r="DW65" s="454">
        <v>8</v>
      </c>
      <c r="DX65" s="454">
        <v>28</v>
      </c>
      <c r="DY65" s="454">
        <v>30</v>
      </c>
      <c r="DZ65" s="454">
        <v>72</v>
      </c>
      <c r="EA65" s="536">
        <f>+(DZ61+DZ63+DZ64)/DZ65</f>
        <v>0.43055555555555558</v>
      </c>
      <c r="EB65" s="42"/>
      <c r="EC65" s="516"/>
      <c r="ED65" s="517"/>
      <c r="EE65" s="516"/>
      <c r="EF65" s="516" t="s">
        <v>1236</v>
      </c>
      <c r="EG65" s="516">
        <v>0</v>
      </c>
      <c r="EH65" s="516">
        <v>0</v>
      </c>
      <c r="EI65" s="516">
        <v>3</v>
      </c>
      <c r="EJ65" s="516">
        <v>1</v>
      </c>
      <c r="EK65" s="516">
        <v>0</v>
      </c>
      <c r="EL65" s="516">
        <v>0</v>
      </c>
      <c r="EM65" s="516">
        <v>4</v>
      </c>
      <c r="EN65" s="516"/>
      <c r="EO65" s="518"/>
      <c r="EP65" s="42"/>
    </row>
    <row r="66" spans="1:146">
      <c r="D66" s="4798" t="s">
        <v>1233</v>
      </c>
      <c r="E66" s="4606">
        <f>SUM(E49)</f>
        <v>0</v>
      </c>
      <c r="F66" s="4606">
        <f t="shared" ref="F66:N66" si="4">SUM(F49)</f>
        <v>2</v>
      </c>
      <c r="G66" s="4606">
        <f t="shared" si="4"/>
        <v>1</v>
      </c>
      <c r="H66" s="4606">
        <f t="shared" si="4"/>
        <v>0</v>
      </c>
      <c r="I66" s="4606">
        <f t="shared" si="4"/>
        <v>0</v>
      </c>
      <c r="J66" s="4606">
        <f t="shared" si="4"/>
        <v>0</v>
      </c>
      <c r="K66" s="4606">
        <f t="shared" si="4"/>
        <v>0</v>
      </c>
      <c r="L66" s="4606">
        <f t="shared" si="4"/>
        <v>0</v>
      </c>
      <c r="M66" s="4606">
        <f t="shared" si="4"/>
        <v>0</v>
      </c>
      <c r="N66" s="4611">
        <f t="shared" si="4"/>
        <v>3</v>
      </c>
      <c r="O66" s="1977"/>
      <c r="S66" s="1793" t="s">
        <v>260</v>
      </c>
      <c r="T66" s="1793" t="s">
        <v>1240</v>
      </c>
      <c r="U66" s="4804"/>
      <c r="V66" s="4804"/>
      <c r="W66" s="4804">
        <v>1</v>
      </c>
      <c r="X66" s="4804"/>
      <c r="Y66" s="4702"/>
      <c r="Z66" s="4702"/>
      <c r="AA66" s="4702">
        <v>1</v>
      </c>
      <c r="AB66" s="1793"/>
      <c r="AD66" s="41"/>
      <c r="AE66" s="41"/>
      <c r="AF66" s="461"/>
      <c r="AG66" s="461" t="s">
        <v>1323</v>
      </c>
      <c r="AH66" s="2002"/>
      <c r="AI66" s="2002">
        <v>0</v>
      </c>
      <c r="AJ66" s="2002">
        <v>0</v>
      </c>
      <c r="AK66" s="2002">
        <v>45</v>
      </c>
      <c r="AL66" s="2002">
        <v>6</v>
      </c>
      <c r="AM66" s="2480">
        <v>0</v>
      </c>
      <c r="AN66" s="2480"/>
      <c r="AO66" s="2480">
        <v>5</v>
      </c>
      <c r="AP66" s="2480">
        <v>56</v>
      </c>
      <c r="AQ66" s="41"/>
      <c r="AS66" s="42"/>
      <c r="AT66" s="42"/>
      <c r="AU66" s="484" t="s">
        <v>260</v>
      </c>
      <c r="AV66" s="484" t="s">
        <v>1231</v>
      </c>
      <c r="AW66" s="1994">
        <v>1</v>
      </c>
      <c r="AX66" s="1994">
        <v>1</v>
      </c>
      <c r="AY66" s="1994">
        <v>0</v>
      </c>
      <c r="AZ66" s="1994"/>
      <c r="BA66" s="454"/>
      <c r="BB66" s="454"/>
      <c r="BC66" s="454">
        <v>2</v>
      </c>
      <c r="BF66" s="105"/>
      <c r="BI66" s="461" t="s">
        <v>547</v>
      </c>
      <c r="BJ66" s="1660"/>
      <c r="BK66" s="1660"/>
      <c r="BL66" s="1660"/>
      <c r="BM66" s="1660">
        <v>3</v>
      </c>
      <c r="BN66" s="96">
        <v>9</v>
      </c>
      <c r="BO66" s="96"/>
      <c r="BP66" s="96">
        <v>12</v>
      </c>
      <c r="BQ66" s="635">
        <f>+(BP64+BP65)/BP66</f>
        <v>0.25</v>
      </c>
      <c r="BS66" s="1341"/>
      <c r="BT66" s="1341"/>
      <c r="BU66" s="1341"/>
      <c r="BV66" s="1342" t="s">
        <v>1236</v>
      </c>
      <c r="BW66" s="1343"/>
      <c r="BX66" s="1343"/>
      <c r="BY66" s="1344">
        <v>1</v>
      </c>
      <c r="BZ66" s="1344">
        <v>0</v>
      </c>
      <c r="CA66" s="1343"/>
      <c r="CB66" s="1346">
        <v>0</v>
      </c>
      <c r="CC66" s="1346">
        <v>1</v>
      </c>
      <c r="CD66" s="1337"/>
      <c r="CF66" s="497"/>
      <c r="CG66" s="497"/>
      <c r="CH66" s="498" t="s">
        <v>545</v>
      </c>
      <c r="CI66" s="499" t="s">
        <v>1230</v>
      </c>
      <c r="CJ66" s="501"/>
      <c r="CK66" s="501"/>
      <c r="CL66" s="500">
        <v>0</v>
      </c>
      <c r="CM66" s="500">
        <v>0</v>
      </c>
      <c r="CN66" s="502">
        <v>6</v>
      </c>
      <c r="CO66" s="502">
        <v>6</v>
      </c>
      <c r="CP66" s="41"/>
      <c r="CR66" s="503"/>
      <c r="CS66" s="503"/>
      <c r="CT66" s="504"/>
      <c r="CU66" s="505" t="s">
        <v>1233</v>
      </c>
      <c r="CV66" s="507"/>
      <c r="CW66" s="506">
        <v>2</v>
      </c>
      <c r="CX66" s="506">
        <v>0</v>
      </c>
      <c r="CY66" s="506">
        <v>0</v>
      </c>
      <c r="CZ66" s="509">
        <v>0</v>
      </c>
      <c r="DA66" s="509">
        <v>0</v>
      </c>
      <c r="DB66" s="509">
        <v>2</v>
      </c>
      <c r="DC66" s="510"/>
      <c r="DE66" s="511" t="s">
        <v>25</v>
      </c>
      <c r="DF66" s="511"/>
      <c r="DG66" s="511" t="s">
        <v>545</v>
      </c>
      <c r="DH66" s="512" t="s">
        <v>1231</v>
      </c>
      <c r="DI66" s="514">
        <v>3</v>
      </c>
      <c r="DJ66" s="514">
        <v>1</v>
      </c>
      <c r="DK66" s="514">
        <v>6</v>
      </c>
      <c r="DL66" s="513"/>
      <c r="DM66" s="513"/>
      <c r="DN66" s="514">
        <v>10</v>
      </c>
      <c r="DO66" s="515"/>
      <c r="DQ66" s="42"/>
      <c r="DR66" s="70" t="s">
        <v>25</v>
      </c>
      <c r="DS66" s="70" t="s">
        <v>16</v>
      </c>
      <c r="DT66" s="42" t="s">
        <v>1230</v>
      </c>
      <c r="DU66" s="70">
        <v>0</v>
      </c>
      <c r="DV66" s="70">
        <v>1</v>
      </c>
      <c r="DW66" s="70">
        <v>9</v>
      </c>
      <c r="DX66" s="70"/>
      <c r="DY66" s="70"/>
      <c r="DZ66" s="70">
        <v>10</v>
      </c>
      <c r="EA66" s="42"/>
      <c r="EB66" s="42"/>
      <c r="EC66" s="516"/>
      <c r="ED66" s="517"/>
      <c r="EE66" s="516"/>
      <c r="EF66" s="516" t="s">
        <v>1240</v>
      </c>
      <c r="EG66" s="516">
        <v>0</v>
      </c>
      <c r="EH66" s="516">
        <v>0</v>
      </c>
      <c r="EI66" s="516">
        <v>0</v>
      </c>
      <c r="EJ66" s="516">
        <v>5</v>
      </c>
      <c r="EK66" s="516">
        <v>7</v>
      </c>
      <c r="EL66" s="516">
        <v>0</v>
      </c>
      <c r="EM66" s="516">
        <v>12</v>
      </c>
      <c r="EN66" s="516"/>
      <c r="EO66" s="518"/>
      <c r="EP66" s="42"/>
    </row>
    <row r="67" spans="1:146">
      <c r="D67" s="4798" t="s">
        <v>1235</v>
      </c>
      <c r="E67" s="4606">
        <f t="shared" ref="E67:N67" si="5">SUM(E50,E62)</f>
        <v>0</v>
      </c>
      <c r="F67" s="4606">
        <f t="shared" si="5"/>
        <v>0</v>
      </c>
      <c r="G67" s="4606">
        <f t="shared" si="5"/>
        <v>0</v>
      </c>
      <c r="H67" s="4606">
        <f t="shared" si="5"/>
        <v>13</v>
      </c>
      <c r="I67" s="4606">
        <f t="shared" si="5"/>
        <v>0</v>
      </c>
      <c r="J67" s="4606">
        <f t="shared" si="5"/>
        <v>0</v>
      </c>
      <c r="K67" s="4606">
        <f t="shared" si="5"/>
        <v>0</v>
      </c>
      <c r="L67" s="4606">
        <f t="shared" si="5"/>
        <v>0</v>
      </c>
      <c r="M67" s="4606">
        <f t="shared" si="5"/>
        <v>0</v>
      </c>
      <c r="N67" s="4611">
        <f t="shared" si="5"/>
        <v>13</v>
      </c>
      <c r="O67" s="1977"/>
      <c r="S67" s="1793"/>
      <c r="T67" s="1793" t="s">
        <v>1323</v>
      </c>
      <c r="U67" s="4804"/>
      <c r="V67" s="4804"/>
      <c r="W67" s="4804">
        <v>1</v>
      </c>
      <c r="X67" s="4804"/>
      <c r="Y67" s="4702"/>
      <c r="Z67" s="4702"/>
      <c r="AA67" s="4702">
        <v>1</v>
      </c>
      <c r="AB67" s="1793"/>
      <c r="AD67" s="41"/>
      <c r="AE67" s="41"/>
      <c r="AF67" s="461"/>
      <c r="AG67" s="461" t="s">
        <v>110</v>
      </c>
      <c r="AH67" s="2002"/>
      <c r="AI67" s="2002">
        <v>3</v>
      </c>
      <c r="AJ67" s="2002">
        <v>4</v>
      </c>
      <c r="AK67" s="2002">
        <v>50</v>
      </c>
      <c r="AL67" s="2002">
        <v>9</v>
      </c>
      <c r="AM67" s="2480">
        <v>4</v>
      </c>
      <c r="AN67" s="2480"/>
      <c r="AO67" s="2480">
        <v>5</v>
      </c>
      <c r="AP67" s="2480">
        <v>75</v>
      </c>
      <c r="AQ67" s="635">
        <f>+(AP66+AP63-AM63)/AP67</f>
        <v>0.78666666666666663</v>
      </c>
      <c r="AS67" s="42"/>
      <c r="AT67" s="42"/>
      <c r="AU67" s="484"/>
      <c r="AV67" s="484" t="s">
        <v>1236</v>
      </c>
      <c r="AW67" s="1994">
        <v>1</v>
      </c>
      <c r="AX67" s="1994">
        <v>0</v>
      </c>
      <c r="AY67" s="1994">
        <v>1</v>
      </c>
      <c r="AZ67" s="1994"/>
      <c r="BA67" s="454"/>
      <c r="BB67" s="454"/>
      <c r="BC67" s="454">
        <v>2</v>
      </c>
      <c r="BF67" s="105"/>
      <c r="BH67" s="41" t="s">
        <v>442</v>
      </c>
      <c r="BI67" s="41" t="s">
        <v>1230</v>
      </c>
      <c r="BJ67" s="1659"/>
      <c r="BK67" s="1659"/>
      <c r="BL67" s="1659">
        <v>0</v>
      </c>
      <c r="BM67" s="1659">
        <v>2</v>
      </c>
      <c r="BN67" s="105">
        <v>41</v>
      </c>
      <c r="BO67" s="105"/>
      <c r="BP67" s="105">
        <v>43</v>
      </c>
      <c r="BS67" s="1341"/>
      <c r="BT67" s="1341"/>
      <c r="BU67" s="1341"/>
      <c r="BV67" s="1342" t="s">
        <v>1239</v>
      </c>
      <c r="BW67" s="1343"/>
      <c r="BX67" s="1343"/>
      <c r="BY67" s="1344">
        <v>0</v>
      </c>
      <c r="BZ67" s="1344">
        <v>0</v>
      </c>
      <c r="CA67" s="1343"/>
      <c r="CB67" s="1346">
        <v>1</v>
      </c>
      <c r="CC67" s="1346">
        <v>1</v>
      </c>
      <c r="CD67" s="1337"/>
      <c r="CF67" s="497"/>
      <c r="CG67" s="497"/>
      <c r="CH67" s="498"/>
      <c r="CI67" s="499" t="s">
        <v>1239</v>
      </c>
      <c r="CJ67" s="501"/>
      <c r="CK67" s="501"/>
      <c r="CL67" s="500">
        <v>0</v>
      </c>
      <c r="CM67" s="500">
        <v>0</v>
      </c>
      <c r="CN67" s="502">
        <v>1</v>
      </c>
      <c r="CO67" s="502">
        <v>1</v>
      </c>
      <c r="CP67" s="41"/>
      <c r="CR67" s="503"/>
      <c r="CS67" s="503"/>
      <c r="CT67" s="504"/>
      <c r="CU67" s="505" t="s">
        <v>1235</v>
      </c>
      <c r="CV67" s="507"/>
      <c r="CW67" s="506">
        <v>0</v>
      </c>
      <c r="CX67" s="506">
        <v>20</v>
      </c>
      <c r="CY67" s="506">
        <v>4</v>
      </c>
      <c r="CZ67" s="509">
        <v>1</v>
      </c>
      <c r="DA67" s="509">
        <v>1</v>
      </c>
      <c r="DB67" s="509">
        <v>26</v>
      </c>
      <c r="DC67" s="510"/>
      <c r="DE67" s="511"/>
      <c r="DF67" s="511"/>
      <c r="DG67" s="511"/>
      <c r="DH67" s="512" t="s">
        <v>1235</v>
      </c>
      <c r="DI67" s="514">
        <v>0</v>
      </c>
      <c r="DJ67" s="514">
        <v>0</v>
      </c>
      <c r="DK67" s="514">
        <v>51</v>
      </c>
      <c r="DL67" s="513"/>
      <c r="DM67" s="513"/>
      <c r="DN67" s="514">
        <v>51</v>
      </c>
      <c r="DO67" s="515"/>
      <c r="DQ67" s="42"/>
      <c r="DR67" s="70"/>
      <c r="DS67" s="70"/>
      <c r="DT67" s="42" t="s">
        <v>1231</v>
      </c>
      <c r="DU67" s="70">
        <v>11</v>
      </c>
      <c r="DV67" s="70">
        <v>1</v>
      </c>
      <c r="DW67" s="70">
        <v>32</v>
      </c>
      <c r="DX67" s="70"/>
      <c r="DY67" s="70"/>
      <c r="DZ67" s="70">
        <v>44</v>
      </c>
      <c r="EA67" s="42"/>
      <c r="EB67" s="42"/>
      <c r="EC67" s="516"/>
      <c r="ED67" s="517"/>
      <c r="EE67" s="516"/>
      <c r="EF67" s="519" t="s">
        <v>15</v>
      </c>
      <c r="EG67" s="519">
        <v>0</v>
      </c>
      <c r="EH67" s="519">
        <v>3</v>
      </c>
      <c r="EI67" s="519">
        <v>31</v>
      </c>
      <c r="EJ67" s="519">
        <v>74</v>
      </c>
      <c r="EK67" s="519">
        <v>8</v>
      </c>
      <c r="EL67" s="519">
        <v>0</v>
      </c>
      <c r="EM67" s="519">
        <v>116</v>
      </c>
      <c r="EN67" s="520">
        <f>+(EM66+EM64)/EM67</f>
        <v>0.12931034482758622</v>
      </c>
      <c r="EO67" s="518">
        <f>+EM64+EM66</f>
        <v>15</v>
      </c>
      <c r="EP67" s="42"/>
    </row>
    <row r="68" spans="1:146">
      <c r="D68" s="4798" t="s">
        <v>1236</v>
      </c>
      <c r="E68" s="4606">
        <f>SUM(E51)</f>
        <v>0</v>
      </c>
      <c r="F68" s="4606">
        <f t="shared" ref="F68:N68" si="6">SUM(F51)</f>
        <v>0</v>
      </c>
      <c r="G68" s="4606">
        <f t="shared" si="6"/>
        <v>0</v>
      </c>
      <c r="H68" s="4606">
        <f t="shared" si="6"/>
        <v>1</v>
      </c>
      <c r="I68" s="4606">
        <f t="shared" si="6"/>
        <v>0</v>
      </c>
      <c r="J68" s="4606">
        <f t="shared" si="6"/>
        <v>0</v>
      </c>
      <c r="K68" s="4606">
        <f t="shared" si="6"/>
        <v>0</v>
      </c>
      <c r="L68" s="4606">
        <f t="shared" si="6"/>
        <v>0</v>
      </c>
      <c r="M68" s="4606">
        <f t="shared" si="6"/>
        <v>0</v>
      </c>
      <c r="N68" s="4611">
        <f t="shared" si="6"/>
        <v>1</v>
      </c>
      <c r="O68" s="1977"/>
      <c r="S68" s="4704"/>
      <c r="T68" s="4704" t="s">
        <v>260</v>
      </c>
      <c r="U68" s="4806"/>
      <c r="V68" s="4806"/>
      <c r="W68" s="4806">
        <v>2</v>
      </c>
      <c r="X68" s="4806"/>
      <c r="Y68" s="4796"/>
      <c r="Z68" s="4796"/>
      <c r="AA68" s="4796">
        <v>2</v>
      </c>
      <c r="AB68" s="4706">
        <f>+(AA66+AA67)/AA68</f>
        <v>1</v>
      </c>
      <c r="AD68" s="41" t="s">
        <v>48</v>
      </c>
      <c r="AE68" s="41" t="s">
        <v>16</v>
      </c>
      <c r="AF68" s="41" t="s">
        <v>111</v>
      </c>
      <c r="AG68" s="41" t="s">
        <v>1230</v>
      </c>
      <c r="AH68" s="2001"/>
      <c r="AI68" s="2001">
        <v>0</v>
      </c>
      <c r="AJ68" s="2001"/>
      <c r="AK68" s="2001">
        <v>0</v>
      </c>
      <c r="AL68" s="2001">
        <v>0</v>
      </c>
      <c r="AM68" s="105">
        <v>7</v>
      </c>
      <c r="AN68" s="105"/>
      <c r="AO68" s="105"/>
      <c r="AP68" s="105">
        <v>7</v>
      </c>
      <c r="AQ68" s="41"/>
      <c r="AS68" s="42"/>
      <c r="AT68" s="42"/>
      <c r="AU68" s="484"/>
      <c r="AV68" s="484" t="s">
        <v>1323</v>
      </c>
      <c r="AW68" s="1994">
        <v>0</v>
      </c>
      <c r="AX68" s="1994">
        <v>0</v>
      </c>
      <c r="AY68" s="1994">
        <v>1</v>
      </c>
      <c r="AZ68" s="1994"/>
      <c r="BA68" s="454"/>
      <c r="BB68" s="454"/>
      <c r="BC68" s="454">
        <v>1</v>
      </c>
      <c r="BF68" s="105"/>
      <c r="BI68" s="41" t="s">
        <v>1231</v>
      </c>
      <c r="BJ68" s="1659"/>
      <c r="BK68" s="1659"/>
      <c r="BL68" s="1659">
        <v>2</v>
      </c>
      <c r="BM68" s="1659">
        <v>0</v>
      </c>
      <c r="BN68" s="105">
        <v>0</v>
      </c>
      <c r="BO68" s="105"/>
      <c r="BP68" s="105">
        <v>2</v>
      </c>
      <c r="BS68" s="1341"/>
      <c r="BT68" s="1341"/>
      <c r="BU68" s="1341"/>
      <c r="BV68" s="1342" t="s">
        <v>1323</v>
      </c>
      <c r="BW68" s="1343"/>
      <c r="BX68" s="1343"/>
      <c r="BY68" s="1344">
        <v>0</v>
      </c>
      <c r="BZ68" s="1344">
        <v>1</v>
      </c>
      <c r="CA68" s="1343"/>
      <c r="CB68" s="1346">
        <v>0</v>
      </c>
      <c r="CC68" s="1346">
        <v>1</v>
      </c>
      <c r="CD68" s="1337"/>
      <c r="CF68" s="497"/>
      <c r="CG68" s="497"/>
      <c r="CH68" s="498"/>
      <c r="CI68" s="499" t="s">
        <v>1240</v>
      </c>
      <c r="CJ68" s="501"/>
      <c r="CK68" s="501"/>
      <c r="CL68" s="500">
        <v>2</v>
      </c>
      <c r="CM68" s="500">
        <v>25</v>
      </c>
      <c r="CN68" s="502">
        <v>1</v>
      </c>
      <c r="CO68" s="502">
        <v>28</v>
      </c>
      <c r="CP68" s="41"/>
      <c r="CR68" s="503"/>
      <c r="CS68" s="503"/>
      <c r="CT68" s="504"/>
      <c r="CU68" s="505" t="s">
        <v>1236</v>
      </c>
      <c r="CV68" s="507"/>
      <c r="CW68" s="506">
        <v>1</v>
      </c>
      <c r="CX68" s="506">
        <v>0</v>
      </c>
      <c r="CY68" s="506">
        <v>0</v>
      </c>
      <c r="CZ68" s="509">
        <v>0</v>
      </c>
      <c r="DA68" s="509">
        <v>1</v>
      </c>
      <c r="DB68" s="509">
        <v>2</v>
      </c>
      <c r="DC68" s="510"/>
      <c r="DE68" s="511"/>
      <c r="DF68" s="511"/>
      <c r="DG68" s="511"/>
      <c r="DH68" s="512" t="s">
        <v>1236</v>
      </c>
      <c r="DI68" s="514">
        <v>5</v>
      </c>
      <c r="DJ68" s="514">
        <v>1</v>
      </c>
      <c r="DK68" s="514">
        <v>4</v>
      </c>
      <c r="DL68" s="513"/>
      <c r="DM68" s="513"/>
      <c r="DN68" s="514">
        <v>10</v>
      </c>
      <c r="DO68" s="515"/>
      <c r="DQ68" s="42"/>
      <c r="DR68" s="70"/>
      <c r="DS68" s="70"/>
      <c r="DT68" s="42" t="s">
        <v>1235</v>
      </c>
      <c r="DU68" s="70">
        <v>0</v>
      </c>
      <c r="DV68" s="70">
        <v>0</v>
      </c>
      <c r="DW68" s="70">
        <v>32</v>
      </c>
      <c r="DX68" s="70"/>
      <c r="DY68" s="70"/>
      <c r="DZ68" s="70">
        <v>32</v>
      </c>
      <c r="EA68" s="42"/>
      <c r="EB68" s="42"/>
      <c r="EC68" s="516"/>
      <c r="ED68" s="517"/>
      <c r="EE68" s="516" t="s">
        <v>41</v>
      </c>
      <c r="EF68" s="516" t="s">
        <v>1230</v>
      </c>
      <c r="EG68" s="516">
        <v>0</v>
      </c>
      <c r="EH68" s="516">
        <v>0</v>
      </c>
      <c r="EI68" s="516">
        <v>0</v>
      </c>
      <c r="EJ68" s="516">
        <v>0</v>
      </c>
      <c r="EK68" s="516">
        <v>0</v>
      </c>
      <c r="EL68" s="516">
        <v>6</v>
      </c>
      <c r="EM68" s="516">
        <v>6</v>
      </c>
      <c r="EN68" s="516"/>
      <c r="EO68" s="518"/>
      <c r="EP68" s="42"/>
    </row>
    <row r="69" spans="1:146">
      <c r="D69" s="4798" t="s">
        <v>1239</v>
      </c>
      <c r="E69" s="4606">
        <f>SUM(E63)</f>
        <v>0</v>
      </c>
      <c r="F69" s="4606">
        <f t="shared" ref="F69:N69" si="7">SUM(F63)</f>
        <v>0</v>
      </c>
      <c r="G69" s="4606">
        <f t="shared" si="7"/>
        <v>0</v>
      </c>
      <c r="H69" s="4606">
        <f t="shared" si="7"/>
        <v>0</v>
      </c>
      <c r="I69" s="4606">
        <f t="shared" si="7"/>
        <v>0</v>
      </c>
      <c r="J69" s="4606">
        <f t="shared" si="7"/>
        <v>3</v>
      </c>
      <c r="K69" s="4606">
        <f t="shared" si="7"/>
        <v>1</v>
      </c>
      <c r="L69" s="4606">
        <f t="shared" si="7"/>
        <v>1</v>
      </c>
      <c r="M69" s="4606">
        <f t="shared" si="7"/>
        <v>1</v>
      </c>
      <c r="N69" s="4611">
        <f t="shared" si="7"/>
        <v>6</v>
      </c>
      <c r="O69" s="1977"/>
      <c r="S69" s="1793" t="s">
        <v>113</v>
      </c>
      <c r="T69" s="1793" t="s">
        <v>1231</v>
      </c>
      <c r="U69" s="4816">
        <v>3</v>
      </c>
      <c r="V69" s="4816">
        <v>3</v>
      </c>
      <c r="W69" s="4816">
        <f>17-1</f>
        <v>16</v>
      </c>
      <c r="X69" s="4816">
        <v>0</v>
      </c>
      <c r="Y69" s="4817">
        <v>1</v>
      </c>
      <c r="Z69" s="4817"/>
      <c r="AA69" s="4817">
        <f>23</f>
        <v>23</v>
      </c>
      <c r="AB69" s="1793"/>
      <c r="AD69" s="41"/>
      <c r="AE69" s="41"/>
      <c r="AF69" s="41"/>
      <c r="AG69" s="41" t="s">
        <v>1231</v>
      </c>
      <c r="AH69" s="2001"/>
      <c r="AI69" s="2001">
        <v>1</v>
      </c>
      <c r="AJ69" s="2001"/>
      <c r="AK69" s="2001">
        <v>2</v>
      </c>
      <c r="AL69" s="2001">
        <v>0</v>
      </c>
      <c r="AM69" s="105">
        <v>0</v>
      </c>
      <c r="AN69" s="105"/>
      <c r="AO69" s="105"/>
      <c r="AP69" s="105">
        <v>3</v>
      </c>
      <c r="AQ69" s="41"/>
      <c r="AS69" s="42"/>
      <c r="AT69" s="42"/>
      <c r="AU69" s="42"/>
      <c r="AV69" s="484" t="s">
        <v>260</v>
      </c>
      <c r="AW69" s="1994">
        <v>2</v>
      </c>
      <c r="AX69" s="1994">
        <v>1</v>
      </c>
      <c r="AY69" s="1994">
        <v>2</v>
      </c>
      <c r="AZ69" s="1994"/>
      <c r="BA69" s="454"/>
      <c r="BB69" s="454"/>
      <c r="BC69" s="454">
        <v>5</v>
      </c>
      <c r="BD69" s="1977">
        <f>+BC68/BC69</f>
        <v>0.2</v>
      </c>
      <c r="BF69" s="105"/>
      <c r="BI69" s="41" t="s">
        <v>1235</v>
      </c>
      <c r="BJ69" s="1659"/>
      <c r="BK69" s="1659"/>
      <c r="BL69" s="1659">
        <v>0</v>
      </c>
      <c r="BM69" s="1659">
        <v>2</v>
      </c>
      <c r="BN69" s="105">
        <v>0</v>
      </c>
      <c r="BO69" s="105"/>
      <c r="BP69" s="105">
        <v>2</v>
      </c>
      <c r="BS69" s="1341"/>
      <c r="BT69" s="1341"/>
      <c r="BU69" s="1341"/>
      <c r="BV69" s="1336" t="s">
        <v>15</v>
      </c>
      <c r="BW69" s="1347"/>
      <c r="BX69" s="1347"/>
      <c r="BY69" s="1348">
        <v>1</v>
      </c>
      <c r="BZ69" s="1348">
        <v>2</v>
      </c>
      <c r="CA69" s="1347"/>
      <c r="CB69" s="1350">
        <v>1</v>
      </c>
      <c r="CC69" s="1350">
        <v>4</v>
      </c>
      <c r="CD69" s="1325">
        <f>+(CC65+CC68)/CC69</f>
        <v>0.5</v>
      </c>
      <c r="CF69" s="497"/>
      <c r="CG69" s="497"/>
      <c r="CH69" s="498"/>
      <c r="CI69" s="521" t="s">
        <v>545</v>
      </c>
      <c r="CJ69" s="523"/>
      <c r="CK69" s="523"/>
      <c r="CL69" s="522">
        <v>2</v>
      </c>
      <c r="CM69" s="522">
        <v>25</v>
      </c>
      <c r="CN69" s="525">
        <v>8</v>
      </c>
      <c r="CO69" s="525">
        <v>35</v>
      </c>
      <c r="CP69" s="526">
        <f>+(CO68-CN68)/CO69</f>
        <v>0.77142857142857146</v>
      </c>
      <c r="CR69" s="503"/>
      <c r="CS69" s="503"/>
      <c r="CT69" s="504"/>
      <c r="CU69" s="505" t="s">
        <v>1240</v>
      </c>
      <c r="CV69" s="507"/>
      <c r="CW69" s="506">
        <v>0</v>
      </c>
      <c r="CX69" s="506">
        <v>1</v>
      </c>
      <c r="CY69" s="506">
        <v>0</v>
      </c>
      <c r="CZ69" s="509">
        <v>0</v>
      </c>
      <c r="DA69" s="509">
        <v>0</v>
      </c>
      <c r="DB69" s="509">
        <v>1</v>
      </c>
      <c r="DC69" s="510"/>
      <c r="DE69" s="511"/>
      <c r="DF69" s="511"/>
      <c r="DG69" s="511"/>
      <c r="DH69" s="512" t="s">
        <v>1240</v>
      </c>
      <c r="DI69" s="514">
        <v>0</v>
      </c>
      <c r="DJ69" s="514">
        <v>0</v>
      </c>
      <c r="DK69" s="514">
        <v>1</v>
      </c>
      <c r="DL69" s="513"/>
      <c r="DM69" s="513"/>
      <c r="DN69" s="514">
        <v>1</v>
      </c>
      <c r="DO69" s="515"/>
      <c r="DQ69" s="42"/>
      <c r="DR69" s="70"/>
      <c r="DS69" s="70"/>
      <c r="DT69" s="42" t="s">
        <v>1236</v>
      </c>
      <c r="DU69" s="70">
        <v>0</v>
      </c>
      <c r="DV69" s="70">
        <v>4</v>
      </c>
      <c r="DW69" s="70">
        <v>0</v>
      </c>
      <c r="DX69" s="70"/>
      <c r="DY69" s="70"/>
      <c r="DZ69" s="70">
        <v>4</v>
      </c>
      <c r="EA69" s="42"/>
      <c r="EB69" s="42"/>
      <c r="EC69" s="516"/>
      <c r="ED69" s="517"/>
      <c r="EE69" s="516"/>
      <c r="EF69" s="516" t="s">
        <v>1231</v>
      </c>
      <c r="EG69" s="516">
        <v>0</v>
      </c>
      <c r="EH69" s="516">
        <v>0</v>
      </c>
      <c r="EI69" s="516">
        <v>0</v>
      </c>
      <c r="EJ69" s="516">
        <v>1</v>
      </c>
      <c r="EK69" s="516">
        <v>0</v>
      </c>
      <c r="EL69" s="516">
        <v>0</v>
      </c>
      <c r="EM69" s="516">
        <v>1</v>
      </c>
      <c r="EN69" s="516"/>
      <c r="EO69" s="518"/>
      <c r="EP69" s="42"/>
    </row>
    <row r="70" spans="1:146">
      <c r="D70" s="4798" t="s">
        <v>2963</v>
      </c>
      <c r="E70" s="4606">
        <f>SUM(E52)</f>
        <v>11</v>
      </c>
      <c r="F70" s="4606">
        <f t="shared" ref="F70:N70" si="8">SUM(F52)</f>
        <v>0</v>
      </c>
      <c r="G70" s="4606">
        <f t="shared" si="8"/>
        <v>0</v>
      </c>
      <c r="H70" s="4606">
        <f t="shared" si="8"/>
        <v>0</v>
      </c>
      <c r="I70" s="4606">
        <f t="shared" si="8"/>
        <v>0</v>
      </c>
      <c r="J70" s="4606">
        <f t="shared" si="8"/>
        <v>0</v>
      </c>
      <c r="K70" s="4606">
        <f t="shared" si="8"/>
        <v>0</v>
      </c>
      <c r="L70" s="4606">
        <f t="shared" si="8"/>
        <v>0</v>
      </c>
      <c r="M70" s="4606">
        <f t="shared" si="8"/>
        <v>0</v>
      </c>
      <c r="N70" s="4611">
        <f t="shared" si="8"/>
        <v>11</v>
      </c>
      <c r="O70" s="1977"/>
      <c r="S70" s="1793"/>
      <c r="T70" s="1793" t="s">
        <v>1233</v>
      </c>
      <c r="U70" s="4816">
        <v>2</v>
      </c>
      <c r="V70" s="4816">
        <v>1</v>
      </c>
      <c r="W70" s="4816">
        <v>0</v>
      </c>
      <c r="X70" s="4816">
        <v>0</v>
      </c>
      <c r="Y70" s="4817">
        <v>0</v>
      </c>
      <c r="Z70" s="4817"/>
      <c r="AA70" s="4817">
        <v>3</v>
      </c>
      <c r="AB70" s="1793"/>
      <c r="AD70" s="41"/>
      <c r="AE70" s="41"/>
      <c r="AF70" s="41"/>
      <c r="AG70" s="41" t="s">
        <v>1240</v>
      </c>
      <c r="AH70" s="2001"/>
      <c r="AI70" s="2001">
        <v>0</v>
      </c>
      <c r="AJ70" s="2001"/>
      <c r="AK70" s="2001">
        <v>0</v>
      </c>
      <c r="AL70" s="2001">
        <v>22</v>
      </c>
      <c r="AM70" s="105">
        <v>0</v>
      </c>
      <c r="AN70" s="105"/>
      <c r="AO70" s="105"/>
      <c r="AP70" s="105">
        <v>22</v>
      </c>
      <c r="AQ70" s="41"/>
      <c r="AS70" s="42"/>
      <c r="AT70" s="42"/>
      <c r="AU70" s="484" t="s">
        <v>113</v>
      </c>
      <c r="AV70" s="484" t="s">
        <v>1230</v>
      </c>
      <c r="AW70" s="1994">
        <v>0</v>
      </c>
      <c r="AX70" s="1994">
        <v>0</v>
      </c>
      <c r="AY70" s="1994">
        <v>0</v>
      </c>
      <c r="AZ70" s="1994">
        <v>0</v>
      </c>
      <c r="BA70" s="454">
        <v>5</v>
      </c>
      <c r="BB70" s="454">
        <v>2</v>
      </c>
      <c r="BC70" s="454">
        <v>7</v>
      </c>
      <c r="BF70" s="105"/>
      <c r="BI70" s="41" t="s">
        <v>1240</v>
      </c>
      <c r="BJ70" s="1659"/>
      <c r="BK70" s="1659"/>
      <c r="BL70" s="1659">
        <v>0</v>
      </c>
      <c r="BM70" s="1659">
        <v>1</v>
      </c>
      <c r="BN70" s="105">
        <v>0</v>
      </c>
      <c r="BO70" s="105"/>
      <c r="BP70" s="105">
        <v>1</v>
      </c>
      <c r="BS70" s="1341"/>
      <c r="BT70" s="1341"/>
      <c r="BU70" s="1341" t="s">
        <v>549</v>
      </c>
      <c r="BV70" s="1342" t="s">
        <v>1235</v>
      </c>
      <c r="BW70" s="1343"/>
      <c r="BX70" s="1343"/>
      <c r="BY70" s="1344">
        <v>0</v>
      </c>
      <c r="BZ70" s="1344">
        <v>1</v>
      </c>
      <c r="CA70" s="1343"/>
      <c r="CB70" s="1346">
        <v>0</v>
      </c>
      <c r="CC70" s="1346">
        <v>1</v>
      </c>
      <c r="CD70" s="1337"/>
      <c r="CF70" s="497"/>
      <c r="CG70" s="497" t="s">
        <v>41</v>
      </c>
      <c r="CH70" s="498" t="s">
        <v>138</v>
      </c>
      <c r="CI70" s="499" t="s">
        <v>1230</v>
      </c>
      <c r="CJ70" s="501"/>
      <c r="CK70" s="501"/>
      <c r="CL70" s="501"/>
      <c r="CM70" s="501"/>
      <c r="CN70" s="502">
        <v>11</v>
      </c>
      <c r="CO70" s="502">
        <v>11</v>
      </c>
      <c r="CP70" s="41"/>
      <c r="CR70" s="503"/>
      <c r="CS70" s="503"/>
      <c r="CT70" s="504"/>
      <c r="CU70" s="505" t="s">
        <v>1323</v>
      </c>
      <c r="CV70" s="507"/>
      <c r="CW70" s="506">
        <v>0</v>
      </c>
      <c r="CX70" s="506">
        <v>3</v>
      </c>
      <c r="CY70" s="506">
        <v>3</v>
      </c>
      <c r="CZ70" s="509">
        <v>1</v>
      </c>
      <c r="DA70" s="509">
        <v>0</v>
      </c>
      <c r="DB70" s="509">
        <v>7</v>
      </c>
      <c r="DC70" s="510"/>
      <c r="DG70" s="511"/>
      <c r="DH70" s="532" t="s">
        <v>545</v>
      </c>
      <c r="DI70" s="534">
        <v>8</v>
      </c>
      <c r="DJ70" s="534">
        <v>2</v>
      </c>
      <c r="DK70" s="534">
        <v>62</v>
      </c>
      <c r="DL70" s="533"/>
      <c r="DM70" s="533"/>
      <c r="DN70" s="534">
        <v>72</v>
      </c>
      <c r="DO70" s="535">
        <f>+(DN69+DN67)/DN70</f>
        <v>0.72222222222222221</v>
      </c>
      <c r="DQ70" s="42"/>
      <c r="DR70" s="70"/>
      <c r="DS70" s="70"/>
      <c r="DT70" s="42" t="s">
        <v>1240</v>
      </c>
      <c r="DU70" s="70">
        <v>0</v>
      </c>
      <c r="DV70" s="70">
        <v>0</v>
      </c>
      <c r="DW70" s="70">
        <v>1</v>
      </c>
      <c r="DX70" s="70"/>
      <c r="DY70" s="70"/>
      <c r="DZ70" s="70">
        <v>1</v>
      </c>
      <c r="EA70" s="42"/>
      <c r="EB70" s="42"/>
      <c r="EC70" s="516"/>
      <c r="ED70" s="517"/>
      <c r="EE70" s="516"/>
      <c r="EF70" s="516" t="s">
        <v>1235</v>
      </c>
      <c r="EG70" s="516">
        <v>0</v>
      </c>
      <c r="EH70" s="516">
        <v>0</v>
      </c>
      <c r="EI70" s="516">
        <v>0</v>
      </c>
      <c r="EJ70" s="516">
        <v>6</v>
      </c>
      <c r="EK70" s="516">
        <v>7</v>
      </c>
      <c r="EL70" s="516">
        <v>0</v>
      </c>
      <c r="EM70" s="516">
        <v>13</v>
      </c>
      <c r="EN70" s="516"/>
      <c r="EO70" s="518"/>
      <c r="EP70" s="42"/>
    </row>
    <row r="71" spans="1:146">
      <c r="D71" s="4798" t="s">
        <v>1323</v>
      </c>
      <c r="E71" s="4606">
        <v>0</v>
      </c>
      <c r="F71" s="4606">
        <v>0</v>
      </c>
      <c r="G71" s="4606">
        <v>0</v>
      </c>
      <c r="H71" s="4606">
        <v>28</v>
      </c>
      <c r="I71" s="4606"/>
      <c r="J71" s="4606">
        <v>0</v>
      </c>
      <c r="K71" s="4606">
        <v>0</v>
      </c>
      <c r="L71" s="4606"/>
      <c r="M71" s="4606"/>
      <c r="N71" s="4611">
        <v>28</v>
      </c>
      <c r="O71" s="1977"/>
      <c r="S71" s="1793"/>
      <c r="T71" s="1793" t="s">
        <v>1235</v>
      </c>
      <c r="U71" s="4816">
        <v>0</v>
      </c>
      <c r="V71" s="4816">
        <v>0</v>
      </c>
      <c r="W71" s="4816">
        <v>42</v>
      </c>
      <c r="X71" s="4816">
        <v>0</v>
      </c>
      <c r="Y71" s="4817">
        <v>0</v>
      </c>
      <c r="Z71" s="4817"/>
      <c r="AA71" s="4817">
        <v>42</v>
      </c>
      <c r="AB71" s="1793"/>
      <c r="AD71" s="41"/>
      <c r="AE71" s="41"/>
      <c r="AF71" s="41"/>
      <c r="AG71" s="461" t="s">
        <v>15</v>
      </c>
      <c r="AH71" s="2002"/>
      <c r="AI71" s="2002">
        <v>1</v>
      </c>
      <c r="AJ71" s="2002"/>
      <c r="AK71" s="2002">
        <v>2</v>
      </c>
      <c r="AL71" s="2002">
        <v>22</v>
      </c>
      <c r="AM71" s="2480">
        <v>7</v>
      </c>
      <c r="AN71" s="2480"/>
      <c r="AO71" s="2480"/>
      <c r="AP71" s="2480">
        <v>32</v>
      </c>
      <c r="AQ71" s="635">
        <f>+AP70/AP71</f>
        <v>0.6875</v>
      </c>
      <c r="AS71" s="42"/>
      <c r="AT71" s="42"/>
      <c r="AU71" s="484"/>
      <c r="AV71" s="484" t="s">
        <v>1231</v>
      </c>
      <c r="AW71" s="1994">
        <v>1</v>
      </c>
      <c r="AX71" s="1994">
        <v>1</v>
      </c>
      <c r="AY71" s="1994">
        <v>1</v>
      </c>
      <c r="AZ71" s="1994">
        <v>1</v>
      </c>
      <c r="BA71" s="454">
        <v>0</v>
      </c>
      <c r="BB71" s="454">
        <v>1</v>
      </c>
      <c r="BC71" s="454">
        <v>5</v>
      </c>
      <c r="BF71" s="105"/>
      <c r="BI71" s="461" t="s">
        <v>442</v>
      </c>
      <c r="BJ71" s="1660"/>
      <c r="BK71" s="1660"/>
      <c r="BL71" s="1660">
        <v>2</v>
      </c>
      <c r="BM71" s="1660">
        <v>5</v>
      </c>
      <c r="BN71" s="96">
        <v>41</v>
      </c>
      <c r="BO71" s="96"/>
      <c r="BP71" s="96">
        <v>48</v>
      </c>
      <c r="BQ71" s="635">
        <f>+(BP69+BP70)/BP71</f>
        <v>6.25E-2</v>
      </c>
      <c r="BS71" s="1341"/>
      <c r="BT71" s="1341"/>
      <c r="BU71" s="1341"/>
      <c r="BV71" s="1342" t="s">
        <v>1236</v>
      </c>
      <c r="BW71" s="1343"/>
      <c r="BX71" s="1343"/>
      <c r="BY71" s="1344">
        <v>1</v>
      </c>
      <c r="BZ71" s="1344">
        <v>0</v>
      </c>
      <c r="CA71" s="1343"/>
      <c r="CB71" s="1346">
        <v>0</v>
      </c>
      <c r="CC71" s="1346">
        <v>1</v>
      </c>
      <c r="CD71" s="1337"/>
      <c r="CF71" s="497"/>
      <c r="CG71" s="497"/>
      <c r="CH71" s="498"/>
      <c r="CI71" s="521" t="s">
        <v>15</v>
      </c>
      <c r="CJ71" s="523"/>
      <c r="CK71" s="523"/>
      <c r="CL71" s="523"/>
      <c r="CM71" s="523"/>
      <c r="CN71" s="525">
        <v>11</v>
      </c>
      <c r="CO71" s="525">
        <v>11</v>
      </c>
      <c r="CP71" s="526">
        <v>0</v>
      </c>
      <c r="CR71" s="503"/>
      <c r="CS71" s="503"/>
      <c r="CT71" s="504"/>
      <c r="CU71" s="527" t="s">
        <v>110</v>
      </c>
      <c r="CV71" s="529"/>
      <c r="CW71" s="528">
        <v>4</v>
      </c>
      <c r="CX71" s="528">
        <v>25</v>
      </c>
      <c r="CY71" s="528">
        <v>8</v>
      </c>
      <c r="CZ71" s="531">
        <v>12</v>
      </c>
      <c r="DA71" s="531">
        <v>2</v>
      </c>
      <c r="DB71" s="531">
        <v>51</v>
      </c>
      <c r="DC71" s="510">
        <f>+(DB70+DB69+DB67-CZ70-DA67-CZ67)/DB71</f>
        <v>0.60784313725490191</v>
      </c>
      <c r="DQ71" s="42"/>
      <c r="DR71" s="70"/>
      <c r="DS71" s="70"/>
      <c r="DT71" s="484" t="s">
        <v>15</v>
      </c>
      <c r="DU71" s="454">
        <v>11</v>
      </c>
      <c r="DV71" s="454">
        <v>6</v>
      </c>
      <c r="DW71" s="454">
        <v>74</v>
      </c>
      <c r="DX71" s="454"/>
      <c r="DY71" s="454"/>
      <c r="DZ71" s="454">
        <v>91</v>
      </c>
      <c r="EA71" s="536">
        <f>+(DZ68+DZ70)/DZ71</f>
        <v>0.36263736263736263</v>
      </c>
      <c r="EB71" s="42"/>
      <c r="EC71" s="516"/>
      <c r="ED71" s="517"/>
      <c r="EE71" s="516"/>
      <c r="EF71" s="516" t="s">
        <v>1239</v>
      </c>
      <c r="EG71" s="516">
        <v>0</v>
      </c>
      <c r="EH71" s="516">
        <v>0</v>
      </c>
      <c r="EI71" s="516">
        <v>0</v>
      </c>
      <c r="EJ71" s="516">
        <v>0</v>
      </c>
      <c r="EK71" s="516">
        <v>0</v>
      </c>
      <c r="EL71" s="516">
        <v>1</v>
      </c>
      <c r="EM71" s="516">
        <v>1</v>
      </c>
      <c r="EN71" s="516"/>
      <c r="EO71" s="518"/>
      <c r="EP71" s="42"/>
    </row>
    <row r="72" spans="1:146">
      <c r="A72" s="4608"/>
      <c r="B72" s="4608"/>
      <c r="C72" s="4608"/>
      <c r="D72" s="4608" t="s">
        <v>15</v>
      </c>
      <c r="E72" s="4823">
        <f>SUM(E65:E71)</f>
        <v>11</v>
      </c>
      <c r="F72" s="4823">
        <f t="shared" ref="F72:N72" si="9">SUM(F65:F71)</f>
        <v>5</v>
      </c>
      <c r="G72" s="4823">
        <f t="shared" si="9"/>
        <v>3</v>
      </c>
      <c r="H72" s="4823">
        <f t="shared" si="9"/>
        <v>49</v>
      </c>
      <c r="I72" s="4823">
        <f t="shared" si="9"/>
        <v>0</v>
      </c>
      <c r="J72" s="4823">
        <f t="shared" si="9"/>
        <v>4</v>
      </c>
      <c r="K72" s="4823">
        <f t="shared" si="9"/>
        <v>1</v>
      </c>
      <c r="L72" s="4823">
        <f t="shared" si="9"/>
        <v>1</v>
      </c>
      <c r="M72" s="4823">
        <f t="shared" si="9"/>
        <v>1</v>
      </c>
      <c r="N72" s="4824">
        <f t="shared" si="9"/>
        <v>75</v>
      </c>
      <c r="O72" s="4610">
        <f>+(N67+N71)/(N72-N70)</f>
        <v>0.640625</v>
      </c>
      <c r="S72" s="1793"/>
      <c r="T72" s="1793" t="s">
        <v>1236</v>
      </c>
      <c r="U72" s="4816">
        <v>0</v>
      </c>
      <c r="V72" s="4816">
        <v>0</v>
      </c>
      <c r="W72" s="4816">
        <v>1</v>
      </c>
      <c r="X72" s="4816">
        <v>0</v>
      </c>
      <c r="Y72" s="4817">
        <v>0</v>
      </c>
      <c r="Z72" s="4817"/>
      <c r="AA72" s="4817">
        <v>1</v>
      </c>
      <c r="AB72" s="1793"/>
      <c r="AD72" s="41"/>
      <c r="AE72" s="41"/>
      <c r="AF72" s="461" t="s">
        <v>545</v>
      </c>
      <c r="AG72" s="461" t="s">
        <v>1230</v>
      </c>
      <c r="AH72" s="2002"/>
      <c r="AI72" s="2002">
        <v>0</v>
      </c>
      <c r="AJ72" s="2002"/>
      <c r="AK72" s="2002">
        <v>0</v>
      </c>
      <c r="AL72" s="2002">
        <v>0</v>
      </c>
      <c r="AM72" s="2480">
        <v>7</v>
      </c>
      <c r="AN72" s="2480"/>
      <c r="AO72" s="2480"/>
      <c r="AP72" s="2480">
        <v>7</v>
      </c>
      <c r="AQ72" s="41"/>
      <c r="AS72" s="42"/>
      <c r="AT72" s="42"/>
      <c r="AU72" s="484"/>
      <c r="AV72" s="484" t="s">
        <v>1233</v>
      </c>
      <c r="AW72" s="1994">
        <v>1</v>
      </c>
      <c r="AX72" s="1994">
        <v>0</v>
      </c>
      <c r="AY72" s="1994">
        <v>0</v>
      </c>
      <c r="AZ72" s="1994">
        <v>0</v>
      </c>
      <c r="BA72" s="454">
        <v>0</v>
      </c>
      <c r="BB72" s="454">
        <v>0</v>
      </c>
      <c r="BC72" s="454">
        <v>1</v>
      </c>
      <c r="BF72" s="105" t="s">
        <v>59</v>
      </c>
      <c r="BG72" s="105" t="s">
        <v>64</v>
      </c>
      <c r="BH72" s="41" t="s">
        <v>671</v>
      </c>
      <c r="BI72" s="41" t="s">
        <v>1231</v>
      </c>
      <c r="BJ72" s="1659"/>
      <c r="BK72" s="1659">
        <v>1</v>
      </c>
      <c r="BL72" s="1659">
        <v>2</v>
      </c>
      <c r="BM72" s="1659"/>
      <c r="BN72" s="105">
        <v>0</v>
      </c>
      <c r="BO72" s="105"/>
      <c r="BP72" s="105">
        <v>3</v>
      </c>
      <c r="BS72" s="1341"/>
      <c r="BT72" s="1341"/>
      <c r="BU72" s="1341"/>
      <c r="BV72" s="1342" t="s">
        <v>1239</v>
      </c>
      <c r="BW72" s="1343"/>
      <c r="BX72" s="1343"/>
      <c r="BY72" s="1344">
        <v>0</v>
      </c>
      <c r="BZ72" s="1344">
        <v>0</v>
      </c>
      <c r="CA72" s="1343"/>
      <c r="CB72" s="1346">
        <v>1</v>
      </c>
      <c r="CC72" s="1346">
        <v>1</v>
      </c>
      <c r="CD72" s="1337"/>
      <c r="CF72" s="497"/>
      <c r="CG72" s="497"/>
      <c r="CH72" s="498" t="s">
        <v>112</v>
      </c>
      <c r="CI72" s="499" t="s">
        <v>1233</v>
      </c>
      <c r="CJ72" s="500">
        <v>3</v>
      </c>
      <c r="CK72" s="501"/>
      <c r="CL72" s="501"/>
      <c r="CM72" s="500">
        <v>0</v>
      </c>
      <c r="CN72" s="497"/>
      <c r="CO72" s="502">
        <v>3</v>
      </c>
      <c r="CP72" s="41"/>
      <c r="DG72" s="511" t="s">
        <v>547</v>
      </c>
      <c r="DH72" s="512" t="s">
        <v>1230</v>
      </c>
      <c r="DI72" s="514">
        <v>0</v>
      </c>
      <c r="DJ72" s="514">
        <v>0</v>
      </c>
      <c r="DK72" s="514">
        <v>0</v>
      </c>
      <c r="DL72" s="514">
        <v>0</v>
      </c>
      <c r="DM72" s="514">
        <v>8</v>
      </c>
      <c r="DN72" s="514">
        <v>8</v>
      </c>
      <c r="DO72" s="515"/>
      <c r="DQ72" s="42"/>
      <c r="DR72" s="70"/>
      <c r="DS72" s="70" t="s">
        <v>41</v>
      </c>
      <c r="DT72" s="42" t="s">
        <v>1230</v>
      </c>
      <c r="DU72" s="70"/>
      <c r="DV72" s="70">
        <v>0</v>
      </c>
      <c r="DW72" s="70">
        <v>0</v>
      </c>
      <c r="DX72" s="70">
        <v>0</v>
      </c>
      <c r="DY72" s="70">
        <v>4</v>
      </c>
      <c r="DZ72" s="70">
        <v>4</v>
      </c>
      <c r="EA72" s="42"/>
      <c r="EB72" s="42"/>
      <c r="EC72" s="516"/>
      <c r="ED72" s="517"/>
      <c r="EE72" s="516"/>
      <c r="EF72" s="516" t="s">
        <v>1323</v>
      </c>
      <c r="EG72" s="516">
        <v>0</v>
      </c>
      <c r="EH72" s="516">
        <v>0</v>
      </c>
      <c r="EI72" s="516">
        <v>0</v>
      </c>
      <c r="EJ72" s="516">
        <v>0</v>
      </c>
      <c r="EK72" s="516">
        <v>2</v>
      </c>
      <c r="EL72" s="516">
        <v>0</v>
      </c>
      <c r="EM72" s="516">
        <v>2</v>
      </c>
      <c r="EN72" s="516"/>
      <c r="EO72" s="518"/>
      <c r="EP72" s="42"/>
    </row>
    <row r="73" spans="1:146">
      <c r="A73" s="4798" t="s">
        <v>59</v>
      </c>
      <c r="B73" s="4798" t="s">
        <v>64</v>
      </c>
      <c r="C73" s="4798" t="s">
        <v>671</v>
      </c>
      <c r="D73" s="4798" t="s">
        <v>1240</v>
      </c>
      <c r="E73" s="4606"/>
      <c r="F73" s="4606"/>
      <c r="G73" s="4606"/>
      <c r="H73" s="4606">
        <v>1</v>
      </c>
      <c r="I73" s="4606"/>
      <c r="J73" s="2552"/>
      <c r="K73" s="2552"/>
      <c r="L73" s="2552"/>
      <c r="M73" s="2552"/>
      <c r="N73" s="2552">
        <v>1</v>
      </c>
      <c r="O73" s="1977"/>
      <c r="S73" s="1793"/>
      <c r="T73" s="1793" t="s">
        <v>1239</v>
      </c>
      <c r="U73" s="4816">
        <v>0</v>
      </c>
      <c r="V73" s="4816">
        <v>0</v>
      </c>
      <c r="W73" s="4816">
        <v>0</v>
      </c>
      <c r="X73" s="4816">
        <v>3</v>
      </c>
      <c r="Y73" s="4817">
        <v>1</v>
      </c>
      <c r="Z73" s="4817">
        <f>2+2</f>
        <v>4</v>
      </c>
      <c r="AA73" s="4817">
        <f>4+2+2</f>
        <v>8</v>
      </c>
      <c r="AB73" s="1793"/>
      <c r="AD73" s="41"/>
      <c r="AE73" s="41"/>
      <c r="AF73" s="461"/>
      <c r="AG73" s="461" t="s">
        <v>1231</v>
      </c>
      <c r="AH73" s="2002"/>
      <c r="AI73" s="2002">
        <v>1</v>
      </c>
      <c r="AJ73" s="2002"/>
      <c r="AK73" s="2002">
        <v>2</v>
      </c>
      <c r="AL73" s="2002">
        <v>0</v>
      </c>
      <c r="AM73" s="2480">
        <v>0</v>
      </c>
      <c r="AN73" s="2480"/>
      <c r="AO73" s="2480"/>
      <c r="AP73" s="2480">
        <v>3</v>
      </c>
      <c r="AQ73" s="41"/>
      <c r="AS73" s="42"/>
      <c r="AT73" s="42"/>
      <c r="AU73" s="484"/>
      <c r="AV73" s="484" t="s">
        <v>1235</v>
      </c>
      <c r="AW73" s="1994">
        <v>0</v>
      </c>
      <c r="AX73" s="1994">
        <v>0</v>
      </c>
      <c r="AY73" s="1994">
        <v>24</v>
      </c>
      <c r="AZ73" s="1994">
        <v>4</v>
      </c>
      <c r="BA73" s="454">
        <v>1</v>
      </c>
      <c r="BB73" s="454">
        <v>0</v>
      </c>
      <c r="BC73" s="454">
        <v>29</v>
      </c>
      <c r="BF73" s="105"/>
      <c r="BI73" s="41" t="s">
        <v>1236</v>
      </c>
      <c r="BJ73" s="1659"/>
      <c r="BK73" s="1659">
        <v>0</v>
      </c>
      <c r="BL73" s="1659">
        <v>1</v>
      </c>
      <c r="BM73" s="1659"/>
      <c r="BN73" s="105">
        <v>0</v>
      </c>
      <c r="BO73" s="105"/>
      <c r="BP73" s="105">
        <v>1</v>
      </c>
      <c r="BS73" s="1341"/>
      <c r="BT73" s="1341"/>
      <c r="BU73" s="1341"/>
      <c r="BV73" s="1342" t="s">
        <v>1323</v>
      </c>
      <c r="BW73" s="1343"/>
      <c r="BX73" s="1343"/>
      <c r="BY73" s="1344">
        <v>0</v>
      </c>
      <c r="BZ73" s="1344">
        <v>1</v>
      </c>
      <c r="CA73" s="1343"/>
      <c r="CB73" s="1346">
        <v>0</v>
      </c>
      <c r="CC73" s="1346">
        <v>1</v>
      </c>
      <c r="CD73" s="1337"/>
      <c r="CF73" s="497"/>
      <c r="CG73" s="497"/>
      <c r="CH73" s="498"/>
      <c r="CI73" s="499" t="s">
        <v>1235</v>
      </c>
      <c r="CJ73" s="501"/>
      <c r="CK73" s="501"/>
      <c r="CL73" s="500">
        <v>0</v>
      </c>
      <c r="CM73" s="500">
        <v>1</v>
      </c>
      <c r="CN73" s="497"/>
      <c r="CO73" s="502">
        <v>1</v>
      </c>
      <c r="CP73" s="41"/>
      <c r="DG73" s="511"/>
      <c r="DH73" s="512" t="s">
        <v>1231</v>
      </c>
      <c r="DI73" s="514">
        <v>3</v>
      </c>
      <c r="DJ73" s="514">
        <v>0</v>
      </c>
      <c r="DK73" s="514">
        <v>2</v>
      </c>
      <c r="DL73" s="514">
        <v>4</v>
      </c>
      <c r="DM73" s="514">
        <v>0</v>
      </c>
      <c r="DN73" s="514">
        <v>9</v>
      </c>
      <c r="DO73" s="515"/>
      <c r="DQ73" s="42"/>
      <c r="DR73" s="70"/>
      <c r="DS73" s="70"/>
      <c r="DT73" s="42" t="s">
        <v>1231</v>
      </c>
      <c r="DU73" s="70"/>
      <c r="DV73" s="70">
        <v>1</v>
      </c>
      <c r="DW73" s="70">
        <v>2</v>
      </c>
      <c r="DX73" s="70">
        <v>0</v>
      </c>
      <c r="DY73" s="70">
        <v>0</v>
      </c>
      <c r="DZ73" s="70">
        <v>3</v>
      </c>
      <c r="EA73" s="42"/>
      <c r="EB73" s="42"/>
      <c r="EC73" s="516"/>
      <c r="ED73" s="517"/>
      <c r="EE73" s="516"/>
      <c r="EF73" s="519" t="s">
        <v>15</v>
      </c>
      <c r="EG73" s="519">
        <v>0</v>
      </c>
      <c r="EH73" s="519">
        <v>0</v>
      </c>
      <c r="EI73" s="519">
        <v>0</v>
      </c>
      <c r="EJ73" s="519">
        <v>7</v>
      </c>
      <c r="EK73" s="519">
        <v>9</v>
      </c>
      <c r="EL73" s="519">
        <v>7</v>
      </c>
      <c r="EM73" s="519">
        <v>23</v>
      </c>
      <c r="EN73" s="520">
        <f>+(EM72+EM70)/EM73</f>
        <v>0.65217391304347827</v>
      </c>
      <c r="EO73" s="518">
        <f>+EM70+EM72</f>
        <v>15</v>
      </c>
      <c r="EP73" s="42"/>
    </row>
    <row r="74" spans="1:146">
      <c r="D74" s="4798" t="s">
        <v>1323</v>
      </c>
      <c r="E74" s="4606"/>
      <c r="F74" s="4606"/>
      <c r="G74" s="4606"/>
      <c r="H74" s="4606">
        <v>1</v>
      </c>
      <c r="I74" s="4606"/>
      <c r="J74" s="2552"/>
      <c r="K74" s="2552"/>
      <c r="L74" s="2552"/>
      <c r="M74" s="2552"/>
      <c r="N74" s="2552">
        <v>1</v>
      </c>
      <c r="O74" s="1977"/>
      <c r="S74" s="1793"/>
      <c r="T74" s="1793" t="s">
        <v>1240</v>
      </c>
      <c r="U74" s="4816">
        <v>0</v>
      </c>
      <c r="V74" s="4816">
        <v>0</v>
      </c>
      <c r="W74" s="4816">
        <v>17</v>
      </c>
      <c r="X74" s="4816">
        <v>0</v>
      </c>
      <c r="Y74" s="4817">
        <v>0</v>
      </c>
      <c r="Z74" s="4817"/>
      <c r="AA74" s="4817">
        <v>17</v>
      </c>
      <c r="AB74" s="1793"/>
      <c r="AD74" s="41"/>
      <c r="AE74" s="41"/>
      <c r="AF74" s="461"/>
      <c r="AG74" s="461" t="s">
        <v>1240</v>
      </c>
      <c r="AH74" s="2002"/>
      <c r="AI74" s="2002">
        <v>0</v>
      </c>
      <c r="AJ74" s="2002"/>
      <c r="AK74" s="2002">
        <v>0</v>
      </c>
      <c r="AL74" s="2002">
        <v>22</v>
      </c>
      <c r="AM74" s="2480">
        <v>0</v>
      </c>
      <c r="AN74" s="2480"/>
      <c r="AO74" s="2480"/>
      <c r="AP74" s="2480">
        <v>22</v>
      </c>
      <c r="AQ74" s="41"/>
      <c r="AS74" s="42"/>
      <c r="AT74" s="42"/>
      <c r="AU74" s="484"/>
      <c r="AV74" s="484" t="s">
        <v>1236</v>
      </c>
      <c r="AW74" s="1994">
        <v>2</v>
      </c>
      <c r="AX74" s="1994">
        <v>0</v>
      </c>
      <c r="AY74" s="1994">
        <v>1</v>
      </c>
      <c r="AZ74" s="1994">
        <v>0</v>
      </c>
      <c r="BA74" s="454">
        <v>0</v>
      </c>
      <c r="BB74" s="454">
        <v>0</v>
      </c>
      <c r="BC74" s="454">
        <v>3</v>
      </c>
      <c r="BF74" s="105"/>
      <c r="BI74" s="41" t="s">
        <v>1239</v>
      </c>
      <c r="BJ74" s="1659"/>
      <c r="BK74" s="1659">
        <v>0</v>
      </c>
      <c r="BL74" s="1659">
        <v>0</v>
      </c>
      <c r="BM74" s="1659"/>
      <c r="BN74" s="105">
        <v>1</v>
      </c>
      <c r="BO74" s="105"/>
      <c r="BP74" s="105">
        <v>1</v>
      </c>
      <c r="BS74" s="1341"/>
      <c r="BT74" s="1341"/>
      <c r="BU74" s="1341"/>
      <c r="BV74" s="1336" t="s">
        <v>549</v>
      </c>
      <c r="BW74" s="1347"/>
      <c r="BX74" s="1347"/>
      <c r="BY74" s="1348">
        <v>1</v>
      </c>
      <c r="BZ74" s="1348">
        <v>2</v>
      </c>
      <c r="CA74" s="1347"/>
      <c r="CB74" s="1350">
        <v>1</v>
      </c>
      <c r="CC74" s="1350">
        <v>4</v>
      </c>
      <c r="CD74" s="1325">
        <f>+(CC70+CC73)/CC74</f>
        <v>0.5</v>
      </c>
      <c r="CF74" s="497"/>
      <c r="CG74" s="497"/>
      <c r="CH74" s="498"/>
      <c r="CI74" s="499" t="s">
        <v>1323</v>
      </c>
      <c r="CJ74" s="500">
        <v>0</v>
      </c>
      <c r="CK74" s="501"/>
      <c r="CL74" s="501">
        <v>1</v>
      </c>
      <c r="CM74" s="500">
        <f>1+6</f>
        <v>7</v>
      </c>
      <c r="CN74" s="497"/>
      <c r="CO74" s="502">
        <f>1+7</f>
        <v>8</v>
      </c>
      <c r="CP74" s="41"/>
      <c r="DG74" s="511"/>
      <c r="DH74" s="512" t="s">
        <v>1235</v>
      </c>
      <c r="DI74" s="514">
        <v>0</v>
      </c>
      <c r="DJ74" s="514">
        <v>0</v>
      </c>
      <c r="DK74" s="514">
        <v>7</v>
      </c>
      <c r="DL74" s="514">
        <v>5</v>
      </c>
      <c r="DM74" s="514">
        <v>0</v>
      </c>
      <c r="DN74" s="514">
        <v>12</v>
      </c>
      <c r="DO74" s="515"/>
      <c r="DQ74" s="42"/>
      <c r="DR74" s="70"/>
      <c r="DS74" s="70"/>
      <c r="DT74" s="42" t="s">
        <v>1233</v>
      </c>
      <c r="DU74" s="70"/>
      <c r="DV74" s="70">
        <v>1</v>
      </c>
      <c r="DW74" s="70">
        <v>0</v>
      </c>
      <c r="DX74" s="70">
        <v>0</v>
      </c>
      <c r="DY74" s="70">
        <v>0</v>
      </c>
      <c r="DZ74" s="70">
        <v>1</v>
      </c>
      <c r="EA74" s="42"/>
      <c r="EB74" s="42"/>
      <c r="EC74" s="516"/>
      <c r="ED74" s="517" t="s">
        <v>1327</v>
      </c>
      <c r="EE74" s="516" t="s">
        <v>16</v>
      </c>
      <c r="EF74" s="516" t="s">
        <v>1230</v>
      </c>
      <c r="EG74" s="516">
        <v>0</v>
      </c>
      <c r="EH74" s="516">
        <v>0</v>
      </c>
      <c r="EI74" s="516">
        <v>0</v>
      </c>
      <c r="EJ74" s="516">
        <v>0</v>
      </c>
      <c r="EK74" s="516">
        <v>0</v>
      </c>
      <c r="EL74" s="516">
        <v>1</v>
      </c>
      <c r="EM74" s="516">
        <v>1</v>
      </c>
      <c r="EN74" s="516"/>
      <c r="EO74" s="518"/>
      <c r="EP74" s="42"/>
    </row>
    <row r="75" spans="1:146">
      <c r="D75" s="4798" t="s">
        <v>15</v>
      </c>
      <c r="E75" s="4606"/>
      <c r="F75" s="4606"/>
      <c r="G75" s="4606"/>
      <c r="H75" s="4606">
        <v>2</v>
      </c>
      <c r="I75" s="4606"/>
      <c r="J75" s="2552"/>
      <c r="K75" s="2552"/>
      <c r="L75" s="2552"/>
      <c r="M75" s="2552"/>
      <c r="N75" s="2552">
        <v>2</v>
      </c>
      <c r="O75" s="1977">
        <f>+(N73+N74)/(N75)</f>
        <v>1</v>
      </c>
      <c r="S75" s="1793"/>
      <c r="T75" s="1793" t="s">
        <v>1323</v>
      </c>
      <c r="U75" s="4816">
        <v>0</v>
      </c>
      <c r="V75" s="4816">
        <v>0</v>
      </c>
      <c r="W75" s="4816">
        <v>1</v>
      </c>
      <c r="X75" s="4816">
        <v>0</v>
      </c>
      <c r="Y75" s="4817">
        <v>0</v>
      </c>
      <c r="Z75" s="4817"/>
      <c r="AA75" s="4817">
        <v>1</v>
      </c>
      <c r="AB75" s="1793"/>
      <c r="AD75" s="41"/>
      <c r="AE75" s="41"/>
      <c r="AF75" s="461"/>
      <c r="AG75" s="461" t="s">
        <v>545</v>
      </c>
      <c r="AH75" s="2002"/>
      <c r="AI75" s="2002">
        <v>1</v>
      </c>
      <c r="AJ75" s="2002"/>
      <c r="AK75" s="2002">
        <v>2</v>
      </c>
      <c r="AL75" s="2002">
        <v>22</v>
      </c>
      <c r="AM75" s="2480">
        <v>7</v>
      </c>
      <c r="AN75" s="2480"/>
      <c r="AO75" s="2480"/>
      <c r="AP75" s="2480">
        <v>32</v>
      </c>
      <c r="AQ75" s="635">
        <f>+AP74/AP75</f>
        <v>0.6875</v>
      </c>
      <c r="AS75" s="42"/>
      <c r="AT75" s="42"/>
      <c r="AU75" s="484"/>
      <c r="AV75" s="484" t="s">
        <v>1239</v>
      </c>
      <c r="AW75" s="1994">
        <v>0</v>
      </c>
      <c r="AX75" s="1994">
        <v>0</v>
      </c>
      <c r="AY75" s="1994">
        <v>0</v>
      </c>
      <c r="AZ75" s="1994">
        <v>0</v>
      </c>
      <c r="BA75" s="454">
        <v>2</v>
      </c>
      <c r="BB75" s="454">
        <v>1</v>
      </c>
      <c r="BC75" s="454">
        <v>3</v>
      </c>
      <c r="BF75" s="105"/>
      <c r="BI75" s="41" t="s">
        <v>1323</v>
      </c>
      <c r="BJ75" s="1659"/>
      <c r="BK75" s="1659">
        <v>0</v>
      </c>
      <c r="BL75" s="1659">
        <v>2</v>
      </c>
      <c r="BM75" s="1659"/>
      <c r="BN75" s="105">
        <v>0</v>
      </c>
      <c r="BO75" s="105"/>
      <c r="BP75" s="105">
        <v>2</v>
      </c>
      <c r="BS75" s="1341"/>
      <c r="BT75" s="1341"/>
      <c r="BU75" s="1341" t="s">
        <v>260</v>
      </c>
      <c r="BV75" s="1342" t="s">
        <v>1235</v>
      </c>
      <c r="BW75" s="1343"/>
      <c r="BX75" s="1343"/>
      <c r="BY75" s="1344">
        <v>0</v>
      </c>
      <c r="BZ75" s="1344">
        <v>1</v>
      </c>
      <c r="CA75" s="1343"/>
      <c r="CB75" s="1346">
        <v>0</v>
      </c>
      <c r="CC75" s="1346">
        <v>1</v>
      </c>
      <c r="CD75" s="1337"/>
      <c r="CF75" s="497"/>
      <c r="CG75" s="497"/>
      <c r="CH75" s="498"/>
      <c r="CI75" s="521" t="s">
        <v>15</v>
      </c>
      <c r="CJ75" s="522">
        <v>3</v>
      </c>
      <c r="CK75" s="523"/>
      <c r="CL75" s="523">
        <v>1</v>
      </c>
      <c r="CM75" s="522">
        <f>1+7</f>
        <v>8</v>
      </c>
      <c r="CN75" s="524"/>
      <c r="CO75" s="525">
        <f>4+8</f>
        <v>12</v>
      </c>
      <c r="CP75" s="526">
        <f>+(CO73+CO74)/CO75</f>
        <v>0.75</v>
      </c>
      <c r="DG75" s="511"/>
      <c r="DH75" s="512" t="s">
        <v>1236</v>
      </c>
      <c r="DI75" s="514">
        <v>0</v>
      </c>
      <c r="DJ75" s="514">
        <v>2</v>
      </c>
      <c r="DK75" s="514">
        <v>1</v>
      </c>
      <c r="DL75" s="514">
        <v>0</v>
      </c>
      <c r="DM75" s="514">
        <v>0</v>
      </c>
      <c r="DN75" s="514">
        <v>3</v>
      </c>
      <c r="DO75" s="515"/>
      <c r="DQ75" s="42"/>
      <c r="DR75" s="70"/>
      <c r="DS75" s="70"/>
      <c r="DT75" s="42" t="s">
        <v>1235</v>
      </c>
      <c r="DU75" s="70"/>
      <c r="DV75" s="70">
        <v>0</v>
      </c>
      <c r="DW75" s="70">
        <v>6</v>
      </c>
      <c r="DX75" s="70">
        <v>8</v>
      </c>
      <c r="DY75" s="70">
        <v>0</v>
      </c>
      <c r="DZ75" s="70">
        <v>14</v>
      </c>
      <c r="EA75" s="42"/>
      <c r="EB75" s="42"/>
      <c r="EC75" s="516"/>
      <c r="ED75" s="517"/>
      <c r="EE75" s="516"/>
      <c r="EF75" s="516" t="s">
        <v>1231</v>
      </c>
      <c r="EG75" s="516">
        <v>2</v>
      </c>
      <c r="EH75" s="516">
        <v>0</v>
      </c>
      <c r="EI75" s="516">
        <v>0</v>
      </c>
      <c r="EJ75" s="516">
        <v>0</v>
      </c>
      <c r="EK75" s="516">
        <v>0</v>
      </c>
      <c r="EL75" s="516">
        <v>0</v>
      </c>
      <c r="EM75" s="516">
        <v>2</v>
      </c>
      <c r="EN75" s="516"/>
      <c r="EO75" s="518"/>
      <c r="EP75" s="42"/>
    </row>
    <row r="76" spans="1:146" ht="15" thickBot="1">
      <c r="C76" s="4798" t="s">
        <v>549</v>
      </c>
      <c r="D76" s="4798" t="s">
        <v>1240</v>
      </c>
      <c r="E76" s="4606"/>
      <c r="F76" s="4606"/>
      <c r="G76" s="4606"/>
      <c r="H76" s="4606">
        <v>1</v>
      </c>
      <c r="I76" s="4606"/>
      <c r="J76" s="2552"/>
      <c r="K76" s="2552"/>
      <c r="L76" s="2552"/>
      <c r="M76" s="2552"/>
      <c r="N76" s="2552">
        <v>1</v>
      </c>
      <c r="O76" s="1977"/>
      <c r="Q76" s="4760"/>
      <c r="R76" s="4760"/>
      <c r="S76" s="4760"/>
      <c r="T76" s="4698" t="s">
        <v>113</v>
      </c>
      <c r="U76" s="4821">
        <v>5</v>
      </c>
      <c r="V76" s="4821">
        <v>4</v>
      </c>
      <c r="W76" s="4821">
        <f>78-1</f>
        <v>77</v>
      </c>
      <c r="X76" s="4821">
        <f>4-1</f>
        <v>3</v>
      </c>
      <c r="Y76" s="4822">
        <v>2</v>
      </c>
      <c r="Z76" s="4822">
        <f>2+2</f>
        <v>4</v>
      </c>
      <c r="AA76" s="4822">
        <f>93+2</f>
        <v>95</v>
      </c>
      <c r="AB76" s="4711">
        <f>+(AA71+AA74+AA75)/AA76</f>
        <v>0.63157894736842102</v>
      </c>
      <c r="AD76" s="41"/>
      <c r="AE76" s="41"/>
      <c r="AF76" s="461" t="s">
        <v>442</v>
      </c>
      <c r="AG76" s="461" t="s">
        <v>1230</v>
      </c>
      <c r="AH76" s="2002"/>
      <c r="AI76" s="2002">
        <v>0</v>
      </c>
      <c r="AJ76" s="2002"/>
      <c r="AK76" s="2002">
        <v>0</v>
      </c>
      <c r="AL76" s="2002">
        <v>0</v>
      </c>
      <c r="AM76" s="2480">
        <v>7</v>
      </c>
      <c r="AN76" s="2480"/>
      <c r="AO76" s="2480"/>
      <c r="AP76" s="2480">
        <v>7</v>
      </c>
      <c r="AQ76" s="41"/>
      <c r="AS76" s="42"/>
      <c r="AT76" s="42"/>
      <c r="AU76" s="484"/>
      <c r="AV76" s="484" t="s">
        <v>1240</v>
      </c>
      <c r="AW76" s="1994">
        <v>0</v>
      </c>
      <c r="AX76" s="1994">
        <v>0</v>
      </c>
      <c r="AY76" s="1994">
        <v>8</v>
      </c>
      <c r="AZ76" s="1994">
        <v>6</v>
      </c>
      <c r="BA76" s="454">
        <v>0</v>
      </c>
      <c r="BB76" s="454">
        <v>0</v>
      </c>
      <c r="BC76" s="454">
        <v>14</v>
      </c>
      <c r="BF76" s="105"/>
      <c r="BI76" s="461" t="s">
        <v>15</v>
      </c>
      <c r="BJ76" s="1660"/>
      <c r="BK76" s="1660">
        <v>1</v>
      </c>
      <c r="BL76" s="1660">
        <v>5</v>
      </c>
      <c r="BM76" s="1660"/>
      <c r="BN76" s="96">
        <v>1</v>
      </c>
      <c r="BO76" s="96"/>
      <c r="BP76" s="96">
        <v>7</v>
      </c>
      <c r="BQ76" s="635">
        <f>+BP75/BP76</f>
        <v>0.2857142857142857</v>
      </c>
      <c r="BS76" s="1341"/>
      <c r="BT76" s="1341"/>
      <c r="BU76" s="1341"/>
      <c r="BV76" s="1342" t="s">
        <v>1236</v>
      </c>
      <c r="BW76" s="1343"/>
      <c r="BX76" s="1343"/>
      <c r="BY76" s="1344">
        <v>1</v>
      </c>
      <c r="BZ76" s="1344">
        <v>0</v>
      </c>
      <c r="CA76" s="1343"/>
      <c r="CB76" s="1346">
        <v>0</v>
      </c>
      <c r="CC76" s="1346">
        <v>1</v>
      </c>
      <c r="CD76" s="1337"/>
      <c r="CF76" s="497"/>
      <c r="CG76" s="497"/>
      <c r="CH76" s="498" t="s">
        <v>547</v>
      </c>
      <c r="CI76" s="499" t="s">
        <v>1230</v>
      </c>
      <c r="CJ76" s="500">
        <v>0</v>
      </c>
      <c r="CK76" s="501"/>
      <c r="CL76" s="500">
        <v>0</v>
      </c>
      <c r="CM76" s="500">
        <v>0</v>
      </c>
      <c r="CN76" s="502">
        <v>11</v>
      </c>
      <c r="CO76" s="502">
        <v>11</v>
      </c>
      <c r="CP76" s="41"/>
      <c r="DG76" s="511"/>
      <c r="DH76" s="512" t="s">
        <v>1323</v>
      </c>
      <c r="DI76" s="514">
        <v>0</v>
      </c>
      <c r="DJ76" s="514">
        <v>0</v>
      </c>
      <c r="DK76" s="514">
        <v>2</v>
      </c>
      <c r="DL76" s="514">
        <v>1</v>
      </c>
      <c r="DM76" s="514">
        <v>0</v>
      </c>
      <c r="DN76" s="514">
        <v>3</v>
      </c>
      <c r="DO76" s="515"/>
      <c r="DQ76" s="42"/>
      <c r="DR76" s="70"/>
      <c r="DS76" s="70"/>
      <c r="DT76" s="42" t="s">
        <v>1236</v>
      </c>
      <c r="DU76" s="70"/>
      <c r="DV76" s="70">
        <v>0</v>
      </c>
      <c r="DW76" s="70">
        <v>1</v>
      </c>
      <c r="DX76" s="70">
        <v>0</v>
      </c>
      <c r="DY76" s="70">
        <v>0</v>
      </c>
      <c r="DZ76" s="70">
        <v>1</v>
      </c>
      <c r="EA76" s="42"/>
      <c r="EB76" s="42"/>
      <c r="EC76" s="516"/>
      <c r="ED76" s="517"/>
      <c r="EE76" s="516"/>
      <c r="EF76" s="516" t="s">
        <v>1235</v>
      </c>
      <c r="EG76" s="516">
        <v>1</v>
      </c>
      <c r="EH76" s="516">
        <v>0</v>
      </c>
      <c r="EI76" s="516">
        <v>0</v>
      </c>
      <c r="EJ76" s="516">
        <v>0</v>
      </c>
      <c r="EK76" s="516">
        <v>2</v>
      </c>
      <c r="EL76" s="516">
        <v>0</v>
      </c>
      <c r="EM76" s="516">
        <v>3</v>
      </c>
      <c r="EN76" s="516"/>
      <c r="EO76" s="518"/>
      <c r="EP76" s="42"/>
    </row>
    <row r="77" spans="1:146">
      <c r="D77" s="4798" t="s">
        <v>1323</v>
      </c>
      <c r="E77" s="4606"/>
      <c r="F77" s="4606"/>
      <c r="G77" s="4606"/>
      <c r="H77" s="4606">
        <v>1</v>
      </c>
      <c r="I77" s="4606"/>
      <c r="J77" s="2552"/>
      <c r="K77" s="2552"/>
      <c r="L77" s="2552"/>
      <c r="M77" s="2552"/>
      <c r="N77" s="2552">
        <v>1</v>
      </c>
      <c r="O77" s="1977"/>
      <c r="AD77" s="41"/>
      <c r="AE77" s="41"/>
      <c r="AF77" s="461"/>
      <c r="AG77" s="461" t="s">
        <v>1231</v>
      </c>
      <c r="AH77" s="2002"/>
      <c r="AI77" s="2002">
        <v>1</v>
      </c>
      <c r="AJ77" s="2002"/>
      <c r="AK77" s="2002">
        <v>2</v>
      </c>
      <c r="AL77" s="2002">
        <v>0</v>
      </c>
      <c r="AM77" s="2480">
        <v>0</v>
      </c>
      <c r="AN77" s="2480"/>
      <c r="AO77" s="2480"/>
      <c r="AP77" s="2480">
        <v>3</v>
      </c>
      <c r="AQ77" s="41"/>
      <c r="AS77" s="42"/>
      <c r="AT77" s="42"/>
      <c r="AU77" s="484"/>
      <c r="AV77" s="484" t="s">
        <v>1323</v>
      </c>
      <c r="AW77" s="1994">
        <v>0</v>
      </c>
      <c r="AX77" s="1994">
        <v>0</v>
      </c>
      <c r="AY77" s="1994">
        <v>2</v>
      </c>
      <c r="AZ77" s="1994">
        <v>1</v>
      </c>
      <c r="BA77" s="454">
        <v>1</v>
      </c>
      <c r="BB77" s="454">
        <v>0</v>
      </c>
      <c r="BC77" s="454">
        <v>4</v>
      </c>
      <c r="BF77" s="105"/>
      <c r="BH77" s="41" t="s">
        <v>549</v>
      </c>
      <c r="BI77" s="41" t="s">
        <v>1231</v>
      </c>
      <c r="BJ77" s="1659"/>
      <c r="BK77" s="1659">
        <v>1</v>
      </c>
      <c r="BL77" s="1659">
        <v>2</v>
      </c>
      <c r="BM77" s="1659"/>
      <c r="BN77" s="105">
        <v>0</v>
      </c>
      <c r="BO77" s="105"/>
      <c r="BP77" s="105">
        <v>3</v>
      </c>
      <c r="BS77" s="1341"/>
      <c r="BT77" s="1341"/>
      <c r="BU77" s="1341"/>
      <c r="BV77" s="1342" t="s">
        <v>1239</v>
      </c>
      <c r="BW77" s="1343"/>
      <c r="BX77" s="1343"/>
      <c r="BY77" s="1344">
        <v>0</v>
      </c>
      <c r="BZ77" s="1344">
        <v>0</v>
      </c>
      <c r="CA77" s="1343"/>
      <c r="CB77" s="1346">
        <v>1</v>
      </c>
      <c r="CC77" s="1346">
        <v>1</v>
      </c>
      <c r="CD77" s="1337"/>
      <c r="CF77" s="497"/>
      <c r="CG77" s="497"/>
      <c r="CH77" s="498"/>
      <c r="CI77" s="499" t="s">
        <v>1233</v>
      </c>
      <c r="CJ77" s="500">
        <v>3</v>
      </c>
      <c r="CK77" s="501"/>
      <c r="CL77" s="500">
        <v>0</v>
      </c>
      <c r="CM77" s="500">
        <v>0</v>
      </c>
      <c r="CN77" s="502">
        <v>0</v>
      </c>
      <c r="CO77" s="502">
        <v>3</v>
      </c>
      <c r="CP77" s="41"/>
      <c r="DG77" s="511"/>
      <c r="DH77" s="532" t="s">
        <v>547</v>
      </c>
      <c r="DI77" s="534">
        <v>3</v>
      </c>
      <c r="DJ77" s="534">
        <v>2</v>
      </c>
      <c r="DK77" s="534">
        <v>12</v>
      </c>
      <c r="DL77" s="534">
        <v>10</v>
      </c>
      <c r="DM77" s="534">
        <v>8</v>
      </c>
      <c r="DN77" s="534">
        <v>35</v>
      </c>
      <c r="DO77" s="535">
        <f>+(DN76+DN74)/DN77</f>
        <v>0.42857142857142855</v>
      </c>
      <c r="DQ77" s="42"/>
      <c r="DR77" s="70"/>
      <c r="DS77" s="70"/>
      <c r="DT77" s="42" t="s">
        <v>1323</v>
      </c>
      <c r="DU77" s="70"/>
      <c r="DV77" s="70">
        <v>0</v>
      </c>
      <c r="DW77" s="70">
        <v>0</v>
      </c>
      <c r="DX77" s="70">
        <v>1</v>
      </c>
      <c r="DY77" s="70">
        <v>1</v>
      </c>
      <c r="DZ77" s="70">
        <v>2</v>
      </c>
      <c r="EA77" s="42"/>
      <c r="EB77" s="42"/>
      <c r="EC77" s="516"/>
      <c r="ED77" s="517"/>
      <c r="EE77" s="516"/>
      <c r="EF77" s="516" t="s">
        <v>1236</v>
      </c>
      <c r="EG77" s="516">
        <v>3</v>
      </c>
      <c r="EH77" s="516">
        <v>0</v>
      </c>
      <c r="EI77" s="516">
        <v>0</v>
      </c>
      <c r="EJ77" s="516">
        <v>0</v>
      </c>
      <c r="EK77" s="516">
        <v>0</v>
      </c>
      <c r="EL77" s="516">
        <v>0</v>
      </c>
      <c r="EM77" s="516">
        <v>3</v>
      </c>
      <c r="EN77" s="516"/>
      <c r="EO77" s="518"/>
      <c r="EP77" s="42"/>
    </row>
    <row r="78" spans="1:146">
      <c r="D78" s="4798" t="s">
        <v>15</v>
      </c>
      <c r="E78" s="4606"/>
      <c r="F78" s="4606"/>
      <c r="G78" s="4606"/>
      <c r="H78" s="4606">
        <v>2</v>
      </c>
      <c r="I78" s="4606"/>
      <c r="J78" s="2552"/>
      <c r="K78" s="2552"/>
      <c r="L78" s="2552"/>
      <c r="M78" s="2552"/>
      <c r="N78" s="2552">
        <v>2</v>
      </c>
      <c r="O78" s="1977">
        <f>+(N76+N77)/(N78)</f>
        <v>1</v>
      </c>
      <c r="AD78" s="41"/>
      <c r="AE78" s="41"/>
      <c r="AF78" s="461"/>
      <c r="AG78" s="461" t="s">
        <v>1240</v>
      </c>
      <c r="AH78" s="2002"/>
      <c r="AI78" s="2002">
        <v>0</v>
      </c>
      <c r="AJ78" s="2002"/>
      <c r="AK78" s="2002">
        <v>0</v>
      </c>
      <c r="AL78" s="2002">
        <v>22</v>
      </c>
      <c r="AM78" s="2480">
        <v>0</v>
      </c>
      <c r="AN78" s="2480"/>
      <c r="AO78" s="2480"/>
      <c r="AP78" s="2480">
        <v>22</v>
      </c>
      <c r="AQ78" s="41"/>
      <c r="AS78" s="42"/>
      <c r="AT78" s="42"/>
      <c r="AU78" s="484"/>
      <c r="AV78" s="484" t="s">
        <v>2531</v>
      </c>
      <c r="AW78" s="1994">
        <v>0</v>
      </c>
      <c r="AX78" s="1994">
        <v>0</v>
      </c>
      <c r="AY78" s="1994">
        <v>0</v>
      </c>
      <c r="AZ78" s="1994">
        <v>1</v>
      </c>
      <c r="BA78" s="454">
        <v>0</v>
      </c>
      <c r="BB78" s="454">
        <v>0</v>
      </c>
      <c r="BC78" s="454">
        <v>1</v>
      </c>
      <c r="BF78" s="105"/>
      <c r="BI78" s="41" t="s">
        <v>1236</v>
      </c>
      <c r="BJ78" s="1659"/>
      <c r="BK78" s="1659">
        <v>0</v>
      </c>
      <c r="BL78" s="1659">
        <v>1</v>
      </c>
      <c r="BM78" s="1659"/>
      <c r="BN78" s="105">
        <v>0</v>
      </c>
      <c r="BO78" s="105"/>
      <c r="BP78" s="105">
        <v>1</v>
      </c>
      <c r="BS78" s="1341"/>
      <c r="BT78" s="1341"/>
      <c r="BU78" s="1341"/>
      <c r="BV78" s="1342" t="s">
        <v>1323</v>
      </c>
      <c r="BW78" s="1343"/>
      <c r="BX78" s="1343"/>
      <c r="BY78" s="1344">
        <v>0</v>
      </c>
      <c r="BZ78" s="1344">
        <v>1</v>
      </c>
      <c r="CA78" s="1343"/>
      <c r="CB78" s="1346">
        <v>0</v>
      </c>
      <c r="CC78" s="1346">
        <v>1</v>
      </c>
      <c r="CD78" s="1337"/>
      <c r="CF78" s="497"/>
      <c r="CG78" s="497"/>
      <c r="CH78" s="498"/>
      <c r="CI78" s="499" t="s">
        <v>1235</v>
      </c>
      <c r="CJ78" s="500">
        <v>0</v>
      </c>
      <c r="CK78" s="501"/>
      <c r="CL78" s="500">
        <v>0</v>
      </c>
      <c r="CM78" s="500">
        <v>1</v>
      </c>
      <c r="CN78" s="502">
        <v>0</v>
      </c>
      <c r="CO78" s="502">
        <v>1</v>
      </c>
      <c r="CP78" s="41"/>
      <c r="DQ78" s="42"/>
      <c r="DR78" s="70"/>
      <c r="DS78" s="70"/>
      <c r="DT78" s="484" t="s">
        <v>15</v>
      </c>
      <c r="DU78" s="454"/>
      <c r="DV78" s="454">
        <v>2</v>
      </c>
      <c r="DW78" s="454">
        <v>9</v>
      </c>
      <c r="DX78" s="454">
        <v>9</v>
      </c>
      <c r="DY78" s="454">
        <v>5</v>
      </c>
      <c r="DZ78" s="454">
        <v>25</v>
      </c>
      <c r="EA78" s="536">
        <f>+(DZ75+DZ77)/DZ78</f>
        <v>0.64</v>
      </c>
      <c r="EB78" s="42"/>
      <c r="EC78" s="516"/>
      <c r="ED78" s="517"/>
      <c r="EE78" s="516"/>
      <c r="EF78" s="516" t="s">
        <v>1240</v>
      </c>
      <c r="EG78" s="516">
        <v>0</v>
      </c>
      <c r="EH78" s="516">
        <v>0</v>
      </c>
      <c r="EI78" s="516">
        <v>0</v>
      </c>
      <c r="EJ78" s="516">
        <v>1</v>
      </c>
      <c r="EK78" s="516">
        <v>35</v>
      </c>
      <c r="EL78" s="516">
        <v>1</v>
      </c>
      <c r="EM78" s="516">
        <v>37</v>
      </c>
      <c r="EN78" s="516"/>
      <c r="EO78" s="518"/>
      <c r="EP78" s="42"/>
    </row>
    <row r="79" spans="1:146" ht="15" thickBot="1">
      <c r="C79" s="4798" t="s">
        <v>260</v>
      </c>
      <c r="D79" s="4798" t="s">
        <v>1240</v>
      </c>
      <c r="E79" s="4606"/>
      <c r="F79" s="4606"/>
      <c r="G79" s="4606"/>
      <c r="H79" s="4606">
        <v>1</v>
      </c>
      <c r="I79" s="4606"/>
      <c r="J79" s="2552"/>
      <c r="K79" s="2552"/>
      <c r="L79" s="2552"/>
      <c r="M79" s="2552"/>
      <c r="N79" s="2552">
        <v>1</v>
      </c>
      <c r="O79" s="1977"/>
      <c r="AD79" s="41"/>
      <c r="AE79" s="41"/>
      <c r="AF79" s="461"/>
      <c r="AG79" s="461" t="s">
        <v>442</v>
      </c>
      <c r="AH79" s="2002"/>
      <c r="AI79" s="2002">
        <v>1</v>
      </c>
      <c r="AJ79" s="2002"/>
      <c r="AK79" s="2002">
        <v>2</v>
      </c>
      <c r="AL79" s="2002">
        <v>22</v>
      </c>
      <c r="AM79" s="2480">
        <v>7</v>
      </c>
      <c r="AN79" s="2480"/>
      <c r="AO79" s="2480"/>
      <c r="AP79" s="2480">
        <v>32</v>
      </c>
      <c r="AQ79" s="635">
        <f>+AP78/AP79</f>
        <v>0.6875</v>
      </c>
      <c r="AS79" s="543"/>
      <c r="AT79" s="543"/>
      <c r="AU79" s="543"/>
      <c r="AV79" s="544" t="s">
        <v>113</v>
      </c>
      <c r="AW79" s="1991">
        <v>4</v>
      </c>
      <c r="AX79" s="1991">
        <v>1</v>
      </c>
      <c r="AY79" s="1991">
        <v>36</v>
      </c>
      <c r="AZ79" s="1991">
        <v>13</v>
      </c>
      <c r="BA79" s="491">
        <v>9</v>
      </c>
      <c r="BB79" s="491">
        <v>4</v>
      </c>
      <c r="BC79" s="491">
        <v>67</v>
      </c>
      <c r="BD79" s="1999">
        <f>+(BC73-BA73+BC76+BC77-BA77)/(BC79-BC44-BC33)</f>
        <v>0.76271186440677963</v>
      </c>
      <c r="BF79" s="105"/>
      <c r="BI79" s="41" t="s">
        <v>1239</v>
      </c>
      <c r="BJ79" s="1659"/>
      <c r="BK79" s="1659">
        <v>0</v>
      </c>
      <c r="BL79" s="1659">
        <v>0</v>
      </c>
      <c r="BM79" s="1659"/>
      <c r="BN79" s="105">
        <v>1</v>
      </c>
      <c r="BO79" s="105"/>
      <c r="BP79" s="105">
        <v>1</v>
      </c>
      <c r="BS79" s="1341"/>
      <c r="BT79" s="1341"/>
      <c r="BU79" s="1341"/>
      <c r="BV79" s="1336" t="s">
        <v>260</v>
      </c>
      <c r="BW79" s="1347"/>
      <c r="BX79" s="1347"/>
      <c r="BY79" s="1348">
        <v>1</v>
      </c>
      <c r="BZ79" s="1348">
        <v>2</v>
      </c>
      <c r="CA79" s="1347"/>
      <c r="CB79" s="1350">
        <v>1</v>
      </c>
      <c r="CC79" s="1350">
        <v>4</v>
      </c>
      <c r="CD79" s="1325">
        <f>+(CC75+CC78)/CC79</f>
        <v>0.5</v>
      </c>
      <c r="CF79" s="497"/>
      <c r="CG79" s="497"/>
      <c r="CH79" s="498"/>
      <c r="CI79" s="499" t="s">
        <v>1323</v>
      </c>
      <c r="CJ79" s="500">
        <v>0</v>
      </c>
      <c r="CK79" s="501"/>
      <c r="CL79" s="500">
        <v>1</v>
      </c>
      <c r="CM79" s="500">
        <v>7</v>
      </c>
      <c r="CN79" s="502">
        <v>0</v>
      </c>
      <c r="CO79" s="502">
        <v>8</v>
      </c>
      <c r="CP79" s="41"/>
      <c r="DE79" s="511" t="s">
        <v>48</v>
      </c>
      <c r="DG79" s="511" t="s">
        <v>545</v>
      </c>
      <c r="DH79" s="512" t="s">
        <v>1230</v>
      </c>
      <c r="DI79" s="514">
        <v>0</v>
      </c>
      <c r="DJ79" s="513"/>
      <c r="DK79" s="514">
        <v>0</v>
      </c>
      <c r="DL79" s="514">
        <v>0</v>
      </c>
      <c r="DM79" s="514">
        <v>27</v>
      </c>
      <c r="DN79" s="514">
        <v>27</v>
      </c>
      <c r="DO79" s="515"/>
      <c r="DQ79" s="42"/>
      <c r="DR79" s="70" t="s">
        <v>48</v>
      </c>
      <c r="DS79" s="70" t="s">
        <v>16</v>
      </c>
      <c r="DT79" s="42" t="s">
        <v>1231</v>
      </c>
      <c r="DU79" s="70"/>
      <c r="DV79" s="70"/>
      <c r="DW79" s="70">
        <v>2</v>
      </c>
      <c r="DX79" s="70">
        <v>0</v>
      </c>
      <c r="DY79" s="70"/>
      <c r="DZ79" s="70">
        <v>2</v>
      </c>
      <c r="EA79" s="42"/>
      <c r="EB79" s="42"/>
      <c r="EC79" s="516"/>
      <c r="ED79" s="517"/>
      <c r="EE79" s="516"/>
      <c r="EF79" s="519" t="s">
        <v>15</v>
      </c>
      <c r="EG79" s="519">
        <v>6</v>
      </c>
      <c r="EH79" s="519">
        <v>0</v>
      </c>
      <c r="EI79" s="519">
        <v>0</v>
      </c>
      <c r="EJ79" s="519">
        <v>1</v>
      </c>
      <c r="EK79" s="519">
        <v>37</v>
      </c>
      <c r="EL79" s="519">
        <v>2</v>
      </c>
      <c r="EM79" s="519">
        <v>46</v>
      </c>
      <c r="EN79" s="520">
        <f>+(EM78+EM76-EL78)/EM79</f>
        <v>0.84782608695652173</v>
      </c>
      <c r="EO79" s="518">
        <f>+EM76+EM78-EL78</f>
        <v>39</v>
      </c>
      <c r="EP79" s="42"/>
    </row>
    <row r="80" spans="1:146">
      <c r="D80" s="4798" t="s">
        <v>1323</v>
      </c>
      <c r="E80" s="4606"/>
      <c r="F80" s="4606"/>
      <c r="G80" s="4606"/>
      <c r="H80" s="4606">
        <v>1</v>
      </c>
      <c r="I80" s="4606"/>
      <c r="J80" s="2552"/>
      <c r="K80" s="2552"/>
      <c r="L80" s="2552"/>
      <c r="M80" s="2552"/>
      <c r="N80" s="2552">
        <v>1</v>
      </c>
      <c r="O80" s="1977"/>
      <c r="AD80" s="41" t="s">
        <v>59</v>
      </c>
      <c r="AE80" s="41" t="s">
        <v>64</v>
      </c>
      <c r="AF80" s="41" t="s">
        <v>671</v>
      </c>
      <c r="AG80" s="41" t="s">
        <v>1231</v>
      </c>
      <c r="AH80" s="2001"/>
      <c r="AI80" s="2001"/>
      <c r="AJ80" s="2001"/>
      <c r="AK80" s="2001">
        <v>3</v>
      </c>
      <c r="AL80" s="2001"/>
      <c r="AM80" s="105"/>
      <c r="AN80" s="105"/>
      <c r="AO80" s="105"/>
      <c r="AP80" s="105">
        <v>3</v>
      </c>
      <c r="AQ80" s="41"/>
      <c r="AT80" s="42"/>
      <c r="AU80" s="42"/>
      <c r="AV80" s="42"/>
      <c r="AW80" s="42"/>
      <c r="AX80" s="42"/>
      <c r="AY80" s="42"/>
      <c r="AZ80" s="42"/>
      <c r="BA80" s="42"/>
      <c r="BB80" s="42"/>
      <c r="BC80" s="42"/>
      <c r="BF80" s="105"/>
      <c r="BI80" s="41" t="s">
        <v>1323</v>
      </c>
      <c r="BJ80" s="1659"/>
      <c r="BK80" s="1659">
        <v>0</v>
      </c>
      <c r="BL80" s="1659">
        <v>2</v>
      </c>
      <c r="BM80" s="1659"/>
      <c r="BN80" s="105">
        <v>0</v>
      </c>
      <c r="BO80" s="105"/>
      <c r="BP80" s="105">
        <v>2</v>
      </c>
      <c r="BS80" s="1341"/>
      <c r="BT80" s="1341"/>
      <c r="BU80" s="41"/>
      <c r="BV80" s="1342" t="s">
        <v>1230</v>
      </c>
      <c r="BW80" s="1344">
        <v>0</v>
      </c>
      <c r="BX80" s="1344">
        <v>0</v>
      </c>
      <c r="BY80" s="1344">
        <v>0</v>
      </c>
      <c r="BZ80" s="1344">
        <v>1</v>
      </c>
      <c r="CA80" s="1344">
        <v>0</v>
      </c>
      <c r="CB80" s="1346">
        <v>0</v>
      </c>
      <c r="CC80" s="1346">
        <v>1</v>
      </c>
      <c r="CD80" s="1337"/>
      <c r="CF80" s="497"/>
      <c r="CG80" s="497"/>
      <c r="CH80" s="498"/>
      <c r="CI80" s="521" t="s">
        <v>547</v>
      </c>
      <c r="CJ80" s="522">
        <v>3</v>
      </c>
      <c r="CK80" s="523"/>
      <c r="CL80" s="522">
        <v>1</v>
      </c>
      <c r="CM80" s="522">
        <v>8</v>
      </c>
      <c r="CN80" s="525">
        <v>11</v>
      </c>
      <c r="CO80" s="525">
        <v>23</v>
      </c>
      <c r="CP80" s="526">
        <f>+(CO78+CO79)/CO80</f>
        <v>0.39130434782608697</v>
      </c>
      <c r="DE80" s="511"/>
      <c r="DF80" s="511"/>
      <c r="DG80" s="511"/>
      <c r="DH80" s="512" t="s">
        <v>1231</v>
      </c>
      <c r="DI80" s="514">
        <v>1</v>
      </c>
      <c r="DJ80" s="513"/>
      <c r="DK80" s="514">
        <v>1</v>
      </c>
      <c r="DL80" s="514">
        <v>9</v>
      </c>
      <c r="DM80" s="514">
        <v>0</v>
      </c>
      <c r="DN80" s="514">
        <v>11</v>
      </c>
      <c r="DO80" s="515"/>
      <c r="DQ80" s="42"/>
      <c r="DR80" s="70"/>
      <c r="DS80" s="70"/>
      <c r="DT80" s="42" t="s">
        <v>1235</v>
      </c>
      <c r="DU80" s="70"/>
      <c r="DV80" s="70"/>
      <c r="DW80" s="70">
        <v>0</v>
      </c>
      <c r="DX80" s="70">
        <v>2</v>
      </c>
      <c r="DY80" s="70"/>
      <c r="DZ80" s="70">
        <v>2</v>
      </c>
      <c r="EA80" s="42"/>
      <c r="EB80" s="42"/>
      <c r="EC80" s="516"/>
      <c r="ED80" s="517"/>
      <c r="EE80" s="516" t="s">
        <v>41</v>
      </c>
      <c r="EF80" s="516" t="s">
        <v>1230</v>
      </c>
      <c r="EG80" s="516">
        <v>0</v>
      </c>
      <c r="EH80" s="516">
        <v>0</v>
      </c>
      <c r="EI80" s="516">
        <v>0</v>
      </c>
      <c r="EJ80" s="516">
        <v>0</v>
      </c>
      <c r="EK80" s="516">
        <v>3</v>
      </c>
      <c r="EL80" s="516">
        <v>10</v>
      </c>
      <c r="EM80" s="516">
        <v>13</v>
      </c>
      <c r="EN80" s="516"/>
      <c r="EO80" s="518"/>
      <c r="EP80" s="42"/>
    </row>
    <row r="81" spans="1:146">
      <c r="A81" s="4608"/>
      <c r="B81" s="4608"/>
      <c r="C81" s="4608"/>
      <c r="D81" s="4608" t="s">
        <v>15</v>
      </c>
      <c r="E81" s="4823"/>
      <c r="F81" s="4823"/>
      <c r="G81" s="4823"/>
      <c r="H81" s="4823">
        <v>2</v>
      </c>
      <c r="I81" s="4823"/>
      <c r="J81" s="4825"/>
      <c r="K81" s="4825"/>
      <c r="L81" s="4825"/>
      <c r="M81" s="4825"/>
      <c r="N81" s="4825">
        <v>2</v>
      </c>
      <c r="O81" s="4610">
        <f>+(N79+N80)/(N81)</f>
        <v>1</v>
      </c>
      <c r="AD81" s="41"/>
      <c r="AE81" s="41"/>
      <c r="AF81" s="41"/>
      <c r="AG81" s="461" t="s">
        <v>15</v>
      </c>
      <c r="AH81" s="2002"/>
      <c r="AI81" s="2002"/>
      <c r="AJ81" s="2002"/>
      <c r="AK81" s="2002">
        <v>3</v>
      </c>
      <c r="AL81" s="2002"/>
      <c r="AM81" s="2480"/>
      <c r="AN81" s="2480"/>
      <c r="AO81" s="2480"/>
      <c r="AP81" s="2480">
        <v>3</v>
      </c>
      <c r="AQ81" s="635">
        <v>0</v>
      </c>
      <c r="AS81" s="461" t="s">
        <v>2533</v>
      </c>
      <c r="AT81" s="42"/>
      <c r="AU81" s="42"/>
      <c r="AV81" s="42"/>
      <c r="AW81" s="42"/>
      <c r="AX81" s="42"/>
      <c r="AY81" s="42"/>
      <c r="AZ81" s="42"/>
      <c r="BA81" s="42"/>
      <c r="BB81" s="42"/>
      <c r="BC81" s="42"/>
      <c r="BF81" s="105"/>
      <c r="BI81" s="461" t="s">
        <v>549</v>
      </c>
      <c r="BJ81" s="1660"/>
      <c r="BK81" s="1660">
        <v>1</v>
      </c>
      <c r="BL81" s="1660">
        <v>5</v>
      </c>
      <c r="BM81" s="1660"/>
      <c r="BN81" s="96">
        <v>1</v>
      </c>
      <c r="BO81" s="96"/>
      <c r="BP81" s="96">
        <v>7</v>
      </c>
      <c r="BQ81" s="635">
        <f>+BP80/BP81</f>
        <v>0.2857142857142857</v>
      </c>
      <c r="BS81" s="1341"/>
      <c r="BT81" s="1341"/>
      <c r="BU81" s="1341" t="s">
        <v>113</v>
      </c>
      <c r="BV81" s="1342" t="s">
        <v>1231</v>
      </c>
      <c r="BW81" s="1344">
        <v>0</v>
      </c>
      <c r="BX81" s="1344">
        <v>2</v>
      </c>
      <c r="BY81" s="1344">
        <v>1</v>
      </c>
      <c r="BZ81" s="1344">
        <v>16</v>
      </c>
      <c r="CA81" s="1344">
        <v>4</v>
      </c>
      <c r="CB81" s="1346">
        <v>0</v>
      </c>
      <c r="CC81" s="1346">
        <v>23</v>
      </c>
      <c r="CD81" s="1337"/>
      <c r="CF81" s="497"/>
      <c r="CG81" s="497"/>
      <c r="CH81" s="498" t="s">
        <v>442</v>
      </c>
      <c r="CI81" s="499" t="s">
        <v>1230</v>
      </c>
      <c r="CJ81" s="500">
        <v>0</v>
      </c>
      <c r="CK81" s="501"/>
      <c r="CL81" s="500">
        <v>0</v>
      </c>
      <c r="CM81" s="500">
        <v>0</v>
      </c>
      <c r="CN81" s="502">
        <v>17</v>
      </c>
      <c r="CO81" s="502">
        <v>17</v>
      </c>
      <c r="CP81" s="41"/>
      <c r="CR81" s="503"/>
      <c r="CS81" s="503"/>
      <c r="CT81" s="504"/>
      <c r="CU81" s="527"/>
      <c r="CV81" s="529"/>
      <c r="CW81" s="529"/>
      <c r="CX81" s="528"/>
      <c r="CY81" s="529"/>
      <c r="CZ81" s="530"/>
      <c r="DA81" s="530"/>
      <c r="DB81" s="531"/>
      <c r="DC81" s="510"/>
      <c r="DE81" s="511"/>
      <c r="DF81" s="511"/>
      <c r="DG81" s="511"/>
      <c r="DH81" s="532" t="s">
        <v>545</v>
      </c>
      <c r="DI81" s="534">
        <v>1</v>
      </c>
      <c r="DJ81" s="533"/>
      <c r="DK81" s="534">
        <v>1</v>
      </c>
      <c r="DL81" s="534">
        <v>9</v>
      </c>
      <c r="DM81" s="534">
        <v>27</v>
      </c>
      <c r="DN81" s="534">
        <v>38</v>
      </c>
      <c r="DO81" s="535">
        <v>0</v>
      </c>
      <c r="DQ81" s="42"/>
      <c r="DR81" s="70"/>
      <c r="DS81" s="70"/>
      <c r="DT81" s="42" t="s">
        <v>1240</v>
      </c>
      <c r="DU81" s="70"/>
      <c r="DV81" s="70"/>
      <c r="DW81" s="70">
        <v>0</v>
      </c>
      <c r="DX81" s="70">
        <v>15</v>
      </c>
      <c r="DY81" s="70"/>
      <c r="DZ81" s="70">
        <v>15</v>
      </c>
      <c r="EA81" s="42"/>
      <c r="EB81" s="42"/>
      <c r="EC81" s="516"/>
      <c r="ED81" s="517"/>
      <c r="EE81" s="516"/>
      <c r="EF81" s="516" t="s">
        <v>1233</v>
      </c>
      <c r="EG81" s="516">
        <v>0</v>
      </c>
      <c r="EH81" s="516">
        <v>0</v>
      </c>
      <c r="EI81" s="516">
        <v>1</v>
      </c>
      <c r="EJ81" s="516">
        <v>0</v>
      </c>
      <c r="EK81" s="516">
        <v>0</v>
      </c>
      <c r="EL81" s="516">
        <v>0</v>
      </c>
      <c r="EM81" s="516">
        <v>1</v>
      </c>
      <c r="EN81" s="516"/>
      <c r="EO81" s="518"/>
      <c r="EP81" s="42"/>
    </row>
    <row r="82" spans="1:146">
      <c r="C82" s="32" t="s">
        <v>113</v>
      </c>
      <c r="D82" s="32" t="s">
        <v>1231</v>
      </c>
      <c r="E82" s="4607">
        <f>SUM(E30,E65)</f>
        <v>0</v>
      </c>
      <c r="F82" s="4607">
        <f t="shared" ref="F82:N82" si="10">SUM(F30,F65)</f>
        <v>3</v>
      </c>
      <c r="G82" s="4607">
        <f t="shared" si="10"/>
        <v>3</v>
      </c>
      <c r="H82" s="4607">
        <f t="shared" si="10"/>
        <v>9</v>
      </c>
      <c r="I82" s="4607">
        <f t="shared" si="10"/>
        <v>0</v>
      </c>
      <c r="J82" s="4607">
        <f t="shared" si="10"/>
        <v>1</v>
      </c>
      <c r="K82" s="4607">
        <f t="shared" si="10"/>
        <v>0</v>
      </c>
      <c r="L82" s="4607">
        <f t="shared" si="10"/>
        <v>0</v>
      </c>
      <c r="M82" s="4607">
        <f t="shared" si="10"/>
        <v>0</v>
      </c>
      <c r="N82" s="4612">
        <f t="shared" si="10"/>
        <v>16</v>
      </c>
      <c r="O82" s="1977"/>
      <c r="AD82" s="41"/>
      <c r="AE82" s="41"/>
      <c r="AF82" s="461" t="s">
        <v>549</v>
      </c>
      <c r="AG82" s="461" t="s">
        <v>1231</v>
      </c>
      <c r="AH82" s="2002"/>
      <c r="AI82" s="2002"/>
      <c r="AJ82" s="2002"/>
      <c r="AK82" s="2002">
        <v>3</v>
      </c>
      <c r="AL82" s="2002"/>
      <c r="AM82" s="2480"/>
      <c r="AN82" s="2480"/>
      <c r="AO82" s="2480"/>
      <c r="AP82" s="2480">
        <v>3</v>
      </c>
      <c r="AQ82" s="41"/>
      <c r="BF82" s="105"/>
      <c r="BH82" s="41" t="s">
        <v>260</v>
      </c>
      <c r="BI82" s="41" t="s">
        <v>1231</v>
      </c>
      <c r="BJ82" s="1659"/>
      <c r="BK82" s="1659">
        <v>1</v>
      </c>
      <c r="BL82" s="1659">
        <v>2</v>
      </c>
      <c r="BM82" s="1659"/>
      <c r="BN82" s="105">
        <v>0</v>
      </c>
      <c r="BO82" s="105"/>
      <c r="BP82" s="105">
        <v>3</v>
      </c>
      <c r="BS82" s="1341"/>
      <c r="BT82" s="1341"/>
      <c r="BU82" s="1341"/>
      <c r="BV82" s="1342" t="s">
        <v>1235</v>
      </c>
      <c r="BW82" s="1344">
        <v>0</v>
      </c>
      <c r="BX82" s="1344">
        <v>0</v>
      </c>
      <c r="BY82" s="1344">
        <v>0</v>
      </c>
      <c r="BZ82" s="1344">
        <v>18</v>
      </c>
      <c r="CA82" s="1344">
        <v>4</v>
      </c>
      <c r="CB82" s="1346">
        <v>0</v>
      </c>
      <c r="CC82" s="1346">
        <v>22</v>
      </c>
      <c r="CD82" s="1337"/>
      <c r="CF82" s="497"/>
      <c r="CG82" s="497"/>
      <c r="CH82" s="498"/>
      <c r="CI82" s="499" t="s">
        <v>1233</v>
      </c>
      <c r="CJ82" s="500">
        <v>3</v>
      </c>
      <c r="CK82" s="501"/>
      <c r="CL82" s="500">
        <v>0</v>
      </c>
      <c r="CM82" s="500">
        <v>0</v>
      </c>
      <c r="CN82" s="502">
        <v>0</v>
      </c>
      <c r="CO82" s="502">
        <v>3</v>
      </c>
      <c r="CP82" s="41"/>
      <c r="CR82" s="503"/>
      <c r="CS82" s="503"/>
      <c r="CT82" s="504"/>
      <c r="CU82" s="527"/>
      <c r="CV82" s="529"/>
      <c r="CW82" s="529"/>
      <c r="CX82" s="528"/>
      <c r="CY82" s="529"/>
      <c r="CZ82" s="530"/>
      <c r="DA82" s="530"/>
      <c r="DB82" s="531"/>
      <c r="DC82" s="510"/>
      <c r="DE82" s="511"/>
      <c r="DF82" s="511"/>
      <c r="DG82" s="511" t="s">
        <v>547</v>
      </c>
      <c r="DH82" s="512" t="s">
        <v>1230</v>
      </c>
      <c r="DI82" s="514">
        <v>0</v>
      </c>
      <c r="DJ82" s="513"/>
      <c r="DK82" s="513"/>
      <c r="DL82" s="514">
        <v>0</v>
      </c>
      <c r="DM82" s="514">
        <v>18</v>
      </c>
      <c r="DN82" s="514">
        <v>18</v>
      </c>
      <c r="DO82" s="515"/>
      <c r="DQ82" s="42"/>
      <c r="DR82" s="70"/>
      <c r="DS82" s="70"/>
      <c r="DT82" s="484" t="s">
        <v>15</v>
      </c>
      <c r="DU82" s="454"/>
      <c r="DV82" s="454"/>
      <c r="DW82" s="454">
        <v>2</v>
      </c>
      <c r="DX82" s="454">
        <v>17</v>
      </c>
      <c r="DY82" s="454"/>
      <c r="DZ82" s="454">
        <v>19</v>
      </c>
      <c r="EA82" s="536">
        <f>+(DZ80+DZ81)/DZ82</f>
        <v>0.89473684210526316</v>
      </c>
      <c r="EB82" s="42"/>
      <c r="EC82" s="516"/>
      <c r="ED82" s="517"/>
      <c r="EE82" s="516"/>
      <c r="EF82" s="516" t="s">
        <v>1236</v>
      </c>
      <c r="EG82" s="516">
        <v>0</v>
      </c>
      <c r="EH82" s="516">
        <v>0</v>
      </c>
      <c r="EI82" s="516">
        <v>1</v>
      </c>
      <c r="EJ82" s="516">
        <v>1</v>
      </c>
      <c r="EK82" s="516">
        <v>0</v>
      </c>
      <c r="EL82" s="516">
        <v>0</v>
      </c>
      <c r="EM82" s="516">
        <v>2</v>
      </c>
      <c r="EN82" s="516"/>
      <c r="EO82" s="518"/>
      <c r="EP82" s="42"/>
    </row>
    <row r="83" spans="1:146">
      <c r="C83" s="32"/>
      <c r="D83" s="32" t="s">
        <v>1233</v>
      </c>
      <c r="E83" s="4607">
        <f>SUM(E49)</f>
        <v>0</v>
      </c>
      <c r="F83" s="4607">
        <f t="shared" ref="F83:N83" si="11">SUM(F49)</f>
        <v>2</v>
      </c>
      <c r="G83" s="4607">
        <f t="shared" si="11"/>
        <v>1</v>
      </c>
      <c r="H83" s="4607">
        <f t="shared" si="11"/>
        <v>0</v>
      </c>
      <c r="I83" s="4607">
        <f t="shared" si="11"/>
        <v>0</v>
      </c>
      <c r="J83" s="4607">
        <f t="shared" si="11"/>
        <v>0</v>
      </c>
      <c r="K83" s="4607">
        <f t="shared" si="11"/>
        <v>0</v>
      </c>
      <c r="L83" s="4607">
        <f t="shared" si="11"/>
        <v>0</v>
      </c>
      <c r="M83" s="4607">
        <f t="shared" si="11"/>
        <v>0</v>
      </c>
      <c r="N83" s="4612">
        <f t="shared" si="11"/>
        <v>3</v>
      </c>
      <c r="O83" s="1977"/>
      <c r="AD83" s="41"/>
      <c r="AE83" s="41"/>
      <c r="AF83" s="461"/>
      <c r="AG83" s="461" t="s">
        <v>549</v>
      </c>
      <c r="AH83" s="2002"/>
      <c r="AI83" s="2002"/>
      <c r="AJ83" s="2002"/>
      <c r="AK83" s="2002">
        <v>3</v>
      </c>
      <c r="AL83" s="2002"/>
      <c r="AM83" s="2480"/>
      <c r="AN83" s="2480"/>
      <c r="AO83" s="2480"/>
      <c r="AP83" s="2480">
        <v>3</v>
      </c>
      <c r="AQ83" s="635">
        <v>0</v>
      </c>
      <c r="BF83" s="105"/>
      <c r="BI83" s="41" t="s">
        <v>1236</v>
      </c>
      <c r="BJ83" s="1659"/>
      <c r="BK83" s="1659">
        <v>0</v>
      </c>
      <c r="BL83" s="1659">
        <v>1</v>
      </c>
      <c r="BM83" s="1659"/>
      <c r="BN83" s="105">
        <v>0</v>
      </c>
      <c r="BO83" s="105"/>
      <c r="BP83" s="105">
        <v>1</v>
      </c>
      <c r="BS83" s="1341"/>
      <c r="BT83" s="1341"/>
      <c r="BU83" s="1341"/>
      <c r="BV83" s="1342" t="s">
        <v>1236</v>
      </c>
      <c r="BW83" s="1344">
        <v>0</v>
      </c>
      <c r="BX83" s="1344">
        <v>0</v>
      </c>
      <c r="BY83" s="1344">
        <v>1</v>
      </c>
      <c r="BZ83" s="1344">
        <v>0</v>
      </c>
      <c r="CA83" s="1344">
        <v>2</v>
      </c>
      <c r="CB83" s="1346">
        <v>0</v>
      </c>
      <c r="CC83" s="1346">
        <v>3</v>
      </c>
      <c r="CD83" s="1337"/>
      <c r="CF83" s="497"/>
      <c r="CG83" s="497"/>
      <c r="CH83" s="498"/>
      <c r="CI83" s="499" t="s">
        <v>1235</v>
      </c>
      <c r="CJ83" s="500">
        <v>0</v>
      </c>
      <c r="CK83" s="501"/>
      <c r="CL83" s="500">
        <v>0</v>
      </c>
      <c r="CM83" s="500">
        <v>1</v>
      </c>
      <c r="CN83" s="502">
        <v>0</v>
      </c>
      <c r="CO83" s="502">
        <v>1</v>
      </c>
      <c r="CP83" s="41"/>
      <c r="CR83" s="503"/>
      <c r="CS83" s="503"/>
      <c r="CT83" s="504"/>
      <c r="CU83" s="527"/>
      <c r="CV83" s="529"/>
      <c r="CW83" s="529"/>
      <c r="CX83" s="528"/>
      <c r="CY83" s="529"/>
      <c r="CZ83" s="530"/>
      <c r="DA83" s="530"/>
      <c r="DB83" s="531"/>
      <c r="DC83" s="510"/>
      <c r="DE83" s="511"/>
      <c r="DF83" s="511"/>
      <c r="DG83" s="511"/>
      <c r="DH83" s="512" t="s">
        <v>1231</v>
      </c>
      <c r="DI83" s="514">
        <v>0</v>
      </c>
      <c r="DJ83" s="513"/>
      <c r="DK83" s="513"/>
      <c r="DL83" s="514">
        <v>2</v>
      </c>
      <c r="DM83" s="514">
        <v>0</v>
      </c>
      <c r="DN83" s="514">
        <v>2</v>
      </c>
      <c r="DO83" s="515"/>
      <c r="DQ83" s="42"/>
      <c r="DR83" s="70"/>
      <c r="DS83" s="70" t="s">
        <v>41</v>
      </c>
      <c r="DT83" s="42" t="s">
        <v>1231</v>
      </c>
      <c r="DU83" s="70"/>
      <c r="DV83" s="70"/>
      <c r="DW83" s="70">
        <v>5</v>
      </c>
      <c r="DX83" s="70"/>
      <c r="DY83" s="70"/>
      <c r="DZ83" s="70">
        <v>5</v>
      </c>
      <c r="EA83" s="42"/>
      <c r="EB83" s="42"/>
      <c r="EC83" s="516"/>
      <c r="ED83" s="517"/>
      <c r="EE83" s="516"/>
      <c r="EF83" s="516" t="s">
        <v>1323</v>
      </c>
      <c r="EG83" s="516">
        <v>0</v>
      </c>
      <c r="EH83" s="516">
        <v>0</v>
      </c>
      <c r="EI83" s="516">
        <v>0</v>
      </c>
      <c r="EJ83" s="516">
        <v>4</v>
      </c>
      <c r="EK83" s="516">
        <v>1</v>
      </c>
      <c r="EL83" s="516">
        <v>0</v>
      </c>
      <c r="EM83" s="516">
        <v>5</v>
      </c>
      <c r="EN83" s="516"/>
      <c r="EO83" s="518"/>
      <c r="EP83" s="42"/>
    </row>
    <row r="84" spans="1:146" ht="15" thickBot="1">
      <c r="C84" s="32"/>
      <c r="D84" s="32" t="s">
        <v>1235</v>
      </c>
      <c r="E84" s="4607">
        <f>SUM(E31,E67)</f>
        <v>0</v>
      </c>
      <c r="F84" s="4607">
        <f t="shared" ref="F84:N84" si="12">SUM(F31,F67)</f>
        <v>0</v>
      </c>
      <c r="G84" s="4607">
        <f t="shared" si="12"/>
        <v>0</v>
      </c>
      <c r="H84" s="4607">
        <f t="shared" si="12"/>
        <v>21</v>
      </c>
      <c r="I84" s="4607">
        <f t="shared" si="12"/>
        <v>0</v>
      </c>
      <c r="J84" s="4607">
        <f t="shared" si="12"/>
        <v>0</v>
      </c>
      <c r="K84" s="4607">
        <f t="shared" si="12"/>
        <v>0</v>
      </c>
      <c r="L84" s="4607">
        <f t="shared" si="12"/>
        <v>0</v>
      </c>
      <c r="M84" s="4607">
        <f t="shared" si="12"/>
        <v>0</v>
      </c>
      <c r="N84" s="4612">
        <f t="shared" si="12"/>
        <v>21</v>
      </c>
      <c r="O84" s="1977"/>
      <c r="AD84" s="41"/>
      <c r="AE84" s="41"/>
      <c r="AF84" s="461" t="s">
        <v>260</v>
      </c>
      <c r="AG84" s="461" t="s">
        <v>1231</v>
      </c>
      <c r="AH84" s="2002"/>
      <c r="AI84" s="2002"/>
      <c r="AJ84" s="2002"/>
      <c r="AK84" s="2002">
        <v>3</v>
      </c>
      <c r="AL84" s="2002"/>
      <c r="AM84" s="2480"/>
      <c r="AN84" s="2480"/>
      <c r="AO84" s="2480"/>
      <c r="AP84" s="2480">
        <v>3</v>
      </c>
      <c r="AQ84" s="41"/>
      <c r="BF84" s="105"/>
      <c r="BI84" s="41" t="s">
        <v>1239</v>
      </c>
      <c r="BJ84" s="1659"/>
      <c r="BK84" s="1659">
        <v>0</v>
      </c>
      <c r="BL84" s="1659">
        <v>0</v>
      </c>
      <c r="BM84" s="1659"/>
      <c r="BN84" s="105">
        <v>1</v>
      </c>
      <c r="BO84" s="105"/>
      <c r="BP84" s="105">
        <v>1</v>
      </c>
      <c r="BS84" s="1341"/>
      <c r="BT84" s="1341"/>
      <c r="BU84" s="1341"/>
      <c r="BV84" s="1342" t="s">
        <v>1239</v>
      </c>
      <c r="BW84" s="1344">
        <v>0</v>
      </c>
      <c r="BX84" s="1344">
        <v>0</v>
      </c>
      <c r="BY84" s="1344">
        <v>0</v>
      </c>
      <c r="BZ84" s="1344">
        <v>0</v>
      </c>
      <c r="CA84" s="1344">
        <v>0</v>
      </c>
      <c r="CB84" s="1346">
        <v>7</v>
      </c>
      <c r="CC84" s="1346">
        <v>7</v>
      </c>
      <c r="CD84" s="1337"/>
      <c r="CF84" s="497"/>
      <c r="CG84" s="497"/>
      <c r="CH84" s="498"/>
      <c r="CI84" s="499" t="s">
        <v>1239</v>
      </c>
      <c r="CJ84" s="500">
        <v>0</v>
      </c>
      <c r="CK84" s="501"/>
      <c r="CL84" s="500">
        <v>0</v>
      </c>
      <c r="CM84" s="500">
        <v>0</v>
      </c>
      <c r="CN84" s="502">
        <v>1</v>
      </c>
      <c r="CO84" s="502">
        <v>1</v>
      </c>
      <c r="CP84" s="41"/>
      <c r="CR84" s="503"/>
      <c r="CS84" s="503"/>
      <c r="CT84" s="504"/>
      <c r="CU84" s="527"/>
      <c r="CV84" s="529"/>
      <c r="CW84" s="529"/>
      <c r="CX84" s="528"/>
      <c r="CY84" s="529"/>
      <c r="CZ84" s="530"/>
      <c r="DA84" s="530"/>
      <c r="DB84" s="531"/>
      <c r="DC84" s="510"/>
      <c r="DE84" s="511"/>
      <c r="DF84" s="511"/>
      <c r="DG84" s="511"/>
      <c r="DH84" s="512" t="s">
        <v>1233</v>
      </c>
      <c r="DI84" s="514">
        <v>1</v>
      </c>
      <c r="DJ84" s="513"/>
      <c r="DK84" s="513"/>
      <c r="DL84" s="514">
        <v>0</v>
      </c>
      <c r="DM84" s="514">
        <v>0</v>
      </c>
      <c r="DN84" s="514">
        <v>1</v>
      </c>
      <c r="DO84" s="515"/>
      <c r="DQ84" s="543"/>
      <c r="DR84" s="542"/>
      <c r="DS84" s="542" t="s">
        <v>15</v>
      </c>
      <c r="DT84" s="544" t="s">
        <v>15</v>
      </c>
      <c r="DU84" s="491"/>
      <c r="DV84" s="491"/>
      <c r="DW84" s="491">
        <v>5</v>
      </c>
      <c r="DX84" s="491"/>
      <c r="DY84" s="491"/>
      <c r="DZ84" s="491">
        <v>5</v>
      </c>
      <c r="EA84" s="545">
        <v>0</v>
      </c>
      <c r="EB84" s="42"/>
      <c r="EC84" s="516"/>
      <c r="ED84" s="540"/>
      <c r="EE84" s="539"/>
      <c r="EF84" s="539" t="s">
        <v>15</v>
      </c>
      <c r="EG84" s="539">
        <v>0</v>
      </c>
      <c r="EH84" s="539">
        <v>0</v>
      </c>
      <c r="EI84" s="539">
        <v>2</v>
      </c>
      <c r="EJ84" s="539">
        <v>5</v>
      </c>
      <c r="EK84" s="539">
        <v>4</v>
      </c>
      <c r="EL84" s="539">
        <v>10</v>
      </c>
      <c r="EM84" s="539">
        <v>21</v>
      </c>
      <c r="EN84" s="541">
        <f>+EM83/EM84</f>
        <v>0.23809523809523808</v>
      </c>
      <c r="EO84" s="493">
        <f>+EM83</f>
        <v>5</v>
      </c>
      <c r="EP84" s="42"/>
    </row>
    <row r="85" spans="1:146">
      <c r="C85" s="32"/>
      <c r="D85" s="32" t="s">
        <v>1236</v>
      </c>
      <c r="E85" s="4607">
        <f>SUM(E68)</f>
        <v>0</v>
      </c>
      <c r="F85" s="4607">
        <f t="shared" ref="F85:N85" si="13">SUM(F68)</f>
        <v>0</v>
      </c>
      <c r="G85" s="4607">
        <f t="shared" si="13"/>
        <v>0</v>
      </c>
      <c r="H85" s="4607">
        <f t="shared" si="13"/>
        <v>1</v>
      </c>
      <c r="I85" s="4607">
        <f t="shared" si="13"/>
        <v>0</v>
      </c>
      <c r="J85" s="4607">
        <f t="shared" si="13"/>
        <v>0</v>
      </c>
      <c r="K85" s="4607">
        <f t="shared" si="13"/>
        <v>0</v>
      </c>
      <c r="L85" s="4607">
        <f t="shared" si="13"/>
        <v>0</v>
      </c>
      <c r="M85" s="4607">
        <f t="shared" si="13"/>
        <v>0</v>
      </c>
      <c r="N85" s="4612">
        <f t="shared" si="13"/>
        <v>1</v>
      </c>
      <c r="O85" s="1977"/>
      <c r="AD85" s="41"/>
      <c r="AE85" s="41"/>
      <c r="AF85" s="461"/>
      <c r="AG85" s="461" t="s">
        <v>260</v>
      </c>
      <c r="AH85" s="2002"/>
      <c r="AI85" s="2002"/>
      <c r="AJ85" s="2002"/>
      <c r="AK85" s="2002">
        <v>3</v>
      </c>
      <c r="AL85" s="2002"/>
      <c r="AM85" s="2480"/>
      <c r="AN85" s="2480"/>
      <c r="AO85" s="2480"/>
      <c r="AP85" s="2480">
        <v>3</v>
      </c>
      <c r="AQ85" s="635">
        <v>0</v>
      </c>
      <c r="BF85" s="105"/>
      <c r="BI85" s="41" t="s">
        <v>1323</v>
      </c>
      <c r="BJ85" s="1659"/>
      <c r="BK85" s="1659">
        <v>0</v>
      </c>
      <c r="BL85" s="1659">
        <v>2</v>
      </c>
      <c r="BM85" s="1659"/>
      <c r="BN85" s="105">
        <v>0</v>
      </c>
      <c r="BO85" s="105"/>
      <c r="BP85" s="105">
        <v>2</v>
      </c>
      <c r="BS85" s="1341"/>
      <c r="BT85" s="1341"/>
      <c r="BU85" s="1341"/>
      <c r="BV85" s="1342" t="s">
        <v>1865</v>
      </c>
      <c r="BW85" s="1344">
        <v>4</v>
      </c>
      <c r="BX85" s="1344">
        <v>0</v>
      </c>
      <c r="BY85" s="1344">
        <v>0</v>
      </c>
      <c r="BZ85" s="1344">
        <v>0</v>
      </c>
      <c r="CA85" s="1344">
        <v>0</v>
      </c>
      <c r="CB85" s="1346">
        <v>0</v>
      </c>
      <c r="CC85" s="1346">
        <v>4</v>
      </c>
      <c r="CD85" s="1337"/>
      <c r="CF85" s="497"/>
      <c r="CG85" s="497"/>
      <c r="CH85" s="498"/>
      <c r="CI85" s="499" t="s">
        <v>1240</v>
      </c>
      <c r="CJ85" s="500">
        <v>0</v>
      </c>
      <c r="CK85" s="501"/>
      <c r="CL85" s="500">
        <v>2</v>
      </c>
      <c r="CM85" s="500">
        <v>25</v>
      </c>
      <c r="CN85" s="502">
        <v>1</v>
      </c>
      <c r="CO85" s="502">
        <v>28</v>
      </c>
      <c r="CP85" s="41"/>
      <c r="CR85" s="503"/>
      <c r="CS85" s="503"/>
      <c r="CT85" s="504"/>
      <c r="CU85" s="527"/>
      <c r="CV85" s="529"/>
      <c r="CW85" s="529"/>
      <c r="CX85" s="528"/>
      <c r="CY85" s="529"/>
      <c r="CZ85" s="530"/>
      <c r="DA85" s="530"/>
      <c r="DB85" s="531"/>
      <c r="DC85" s="510"/>
      <c r="DE85" s="511"/>
      <c r="DF85" s="511"/>
      <c r="DG85" s="511"/>
      <c r="DH85" s="512" t="s">
        <v>1235</v>
      </c>
      <c r="DI85" s="514">
        <v>0</v>
      </c>
      <c r="DJ85" s="513"/>
      <c r="DK85" s="513"/>
      <c r="DL85" s="514">
        <v>1</v>
      </c>
      <c r="DM85" s="514">
        <v>1</v>
      </c>
      <c r="DN85" s="514">
        <v>2</v>
      </c>
      <c r="DO85" s="515"/>
      <c r="DQ85" s="42"/>
      <c r="DR85" s="42"/>
      <c r="DS85" s="42"/>
      <c r="DT85" s="42"/>
      <c r="DU85" s="42"/>
      <c r="DV85" s="42"/>
      <c r="DW85" s="42"/>
      <c r="DX85" s="42"/>
      <c r="DY85" s="42"/>
      <c r="DZ85" s="42"/>
      <c r="EA85" s="42"/>
      <c r="EB85" s="42"/>
      <c r="EC85" s="516"/>
      <c r="ED85" s="517"/>
      <c r="EE85" s="516"/>
      <c r="EF85" s="516"/>
      <c r="EG85" s="516"/>
      <c r="EH85" s="516"/>
      <c r="EI85" s="516"/>
      <c r="EJ85" s="516"/>
      <c r="EK85" s="516"/>
      <c r="EL85" s="516"/>
      <c r="EM85" s="516"/>
      <c r="EN85" s="516"/>
      <c r="EO85" s="516"/>
      <c r="EP85" s="42"/>
    </row>
    <row r="86" spans="1:146">
      <c r="C86" s="32"/>
      <c r="D86" s="32" t="s">
        <v>1239</v>
      </c>
      <c r="E86" s="4607">
        <f>SUM(E69)</f>
        <v>0</v>
      </c>
      <c r="F86" s="4607">
        <f t="shared" ref="F86:N86" si="14">SUM(F69)</f>
        <v>0</v>
      </c>
      <c r="G86" s="4607">
        <f t="shared" si="14"/>
        <v>0</v>
      </c>
      <c r="H86" s="4607">
        <f t="shared" si="14"/>
        <v>0</v>
      </c>
      <c r="I86" s="4607">
        <f t="shared" si="14"/>
        <v>0</v>
      </c>
      <c r="J86" s="4607">
        <f t="shared" si="14"/>
        <v>3</v>
      </c>
      <c r="K86" s="4607">
        <f t="shared" si="14"/>
        <v>1</v>
      </c>
      <c r="L86" s="4607">
        <f t="shared" si="14"/>
        <v>1</v>
      </c>
      <c r="M86" s="4607">
        <f t="shared" si="14"/>
        <v>1</v>
      </c>
      <c r="N86" s="4612">
        <f t="shared" si="14"/>
        <v>6</v>
      </c>
      <c r="O86" s="1977"/>
      <c r="AD86" s="41"/>
      <c r="AE86" s="41"/>
      <c r="AF86" s="461" t="s">
        <v>113</v>
      </c>
      <c r="AG86" s="461" t="s">
        <v>1230</v>
      </c>
      <c r="AH86" s="2002">
        <v>0</v>
      </c>
      <c r="AI86" s="2002">
        <v>0</v>
      </c>
      <c r="AJ86" s="2002">
        <v>1</v>
      </c>
      <c r="AK86" s="2002">
        <v>0</v>
      </c>
      <c r="AL86" s="2002">
        <v>1</v>
      </c>
      <c r="AM86" s="2480">
        <v>7</v>
      </c>
      <c r="AN86" s="2480"/>
      <c r="AO86" s="2480"/>
      <c r="AP86" s="2480">
        <v>9</v>
      </c>
      <c r="AQ86" s="41"/>
      <c r="BF86" s="105"/>
      <c r="BI86" s="461" t="s">
        <v>260</v>
      </c>
      <c r="BJ86" s="1660"/>
      <c r="BK86" s="1660">
        <v>1</v>
      </c>
      <c r="BL86" s="1660">
        <v>5</v>
      </c>
      <c r="BM86" s="1660"/>
      <c r="BN86" s="96">
        <v>1</v>
      </c>
      <c r="BO86" s="96"/>
      <c r="BP86" s="96">
        <v>7</v>
      </c>
      <c r="BQ86" s="635">
        <f>+BP85/BP86</f>
        <v>0.2857142857142857</v>
      </c>
      <c r="BS86" s="1341"/>
      <c r="BT86" s="1341"/>
      <c r="BU86" s="1341"/>
      <c r="BV86" s="1342" t="s">
        <v>1240</v>
      </c>
      <c r="BW86" s="1344">
        <v>0</v>
      </c>
      <c r="BX86" s="1344">
        <v>0</v>
      </c>
      <c r="BY86" s="1344">
        <v>0</v>
      </c>
      <c r="BZ86" s="1344">
        <v>8</v>
      </c>
      <c r="CA86" s="1344">
        <v>0</v>
      </c>
      <c r="CB86" s="1346">
        <v>0</v>
      </c>
      <c r="CC86" s="1346">
        <v>8</v>
      </c>
      <c r="CD86" s="1337"/>
      <c r="CF86" s="497"/>
      <c r="CG86" s="497"/>
      <c r="CH86" s="498"/>
      <c r="CI86" s="499" t="s">
        <v>1323</v>
      </c>
      <c r="CJ86" s="500">
        <v>0</v>
      </c>
      <c r="CK86" s="501"/>
      <c r="CL86" s="500">
        <v>1</v>
      </c>
      <c r="CM86" s="500">
        <v>7</v>
      </c>
      <c r="CN86" s="502">
        <v>0</v>
      </c>
      <c r="CO86" s="502">
        <v>8</v>
      </c>
      <c r="CP86" s="41"/>
      <c r="CR86" s="503"/>
      <c r="CS86" s="503"/>
      <c r="CT86" s="504"/>
      <c r="CU86" s="527"/>
      <c r="CV86" s="529"/>
      <c r="CW86" s="529"/>
      <c r="CX86" s="528"/>
      <c r="CY86" s="529"/>
      <c r="CZ86" s="530"/>
      <c r="DA86" s="530"/>
      <c r="DB86" s="531"/>
      <c r="DC86" s="510"/>
      <c r="DE86" s="511"/>
      <c r="DF86" s="511"/>
      <c r="DG86" s="511"/>
      <c r="DH86" s="512" t="s">
        <v>1236</v>
      </c>
      <c r="DI86" s="514">
        <v>2</v>
      </c>
      <c r="DJ86" s="513"/>
      <c r="DK86" s="513"/>
      <c r="DL86" s="514">
        <v>0</v>
      </c>
      <c r="DM86" s="514">
        <v>0</v>
      </c>
      <c r="DN86" s="514">
        <v>2</v>
      </c>
      <c r="DO86" s="515"/>
      <c r="DQ86" s="42"/>
      <c r="DR86" s="42"/>
      <c r="DS86" s="42"/>
      <c r="DT86" s="42"/>
      <c r="DU86" s="42"/>
      <c r="DV86" s="42"/>
      <c r="DW86" s="42"/>
      <c r="DX86" s="42"/>
      <c r="DY86" s="42"/>
      <c r="DZ86" s="42"/>
      <c r="EA86" s="42"/>
      <c r="EB86" s="42"/>
      <c r="EC86" s="516"/>
      <c r="ED86" s="517"/>
      <c r="EE86" s="516"/>
      <c r="EF86" s="516"/>
      <c r="EG86" s="516"/>
      <c r="EH86" s="516"/>
      <c r="EI86" s="516"/>
      <c r="EJ86" s="516"/>
      <c r="EK86" s="516"/>
      <c r="EL86" s="516"/>
      <c r="EM86" s="516"/>
      <c r="EN86" s="516"/>
      <c r="EO86" s="516"/>
      <c r="EP86" s="42"/>
    </row>
    <row r="87" spans="1:146">
      <c r="C87" s="32"/>
      <c r="D87" s="32" t="s">
        <v>1240</v>
      </c>
      <c r="E87" s="4607">
        <f>SUM(E32,E79)</f>
        <v>0</v>
      </c>
      <c r="F87" s="4607">
        <f t="shared" ref="F87:N87" si="15">SUM(F32,F79)</f>
        <v>0</v>
      </c>
      <c r="G87" s="4607">
        <f t="shared" si="15"/>
        <v>0</v>
      </c>
      <c r="H87" s="4607">
        <f t="shared" si="15"/>
        <v>17</v>
      </c>
      <c r="I87" s="4607">
        <f t="shared" si="15"/>
        <v>0</v>
      </c>
      <c r="J87" s="4607">
        <f t="shared" si="15"/>
        <v>0</v>
      </c>
      <c r="K87" s="4607">
        <f t="shared" si="15"/>
        <v>0</v>
      </c>
      <c r="L87" s="4607">
        <f t="shared" si="15"/>
        <v>0</v>
      </c>
      <c r="M87" s="4607">
        <f t="shared" si="15"/>
        <v>0</v>
      </c>
      <c r="N87" s="4612">
        <f t="shared" si="15"/>
        <v>17</v>
      </c>
      <c r="O87" s="1977"/>
      <c r="AD87" s="41"/>
      <c r="AE87" s="41"/>
      <c r="AF87" s="461"/>
      <c r="AG87" s="461" t="s">
        <v>1231</v>
      </c>
      <c r="AH87" s="2002">
        <v>0</v>
      </c>
      <c r="AI87" s="2002">
        <v>2</v>
      </c>
      <c r="AJ87" s="2002">
        <v>1</v>
      </c>
      <c r="AK87" s="2002">
        <v>14</v>
      </c>
      <c r="AL87" s="2002">
        <v>3</v>
      </c>
      <c r="AM87" s="2480">
        <v>0</v>
      </c>
      <c r="AN87" s="2480"/>
      <c r="AO87" s="2480"/>
      <c r="AP87" s="2480">
        <v>20</v>
      </c>
      <c r="AQ87" s="41"/>
      <c r="BF87" s="105"/>
      <c r="BH87" s="41" t="s">
        <v>113</v>
      </c>
      <c r="BI87" s="41" t="s">
        <v>1230</v>
      </c>
      <c r="BJ87" s="1659">
        <v>0</v>
      </c>
      <c r="BK87" s="1659">
        <v>0</v>
      </c>
      <c r="BL87" s="1659">
        <v>0</v>
      </c>
      <c r="BM87" s="1659">
        <v>2</v>
      </c>
      <c r="BN87" s="105">
        <v>41</v>
      </c>
      <c r="BO87" s="105">
        <v>0</v>
      </c>
      <c r="BP87" s="105">
        <v>43</v>
      </c>
      <c r="BS87" s="1341"/>
      <c r="BT87" s="1341"/>
      <c r="BU87" s="1341"/>
      <c r="BV87" s="1342" t="s">
        <v>1323</v>
      </c>
      <c r="BW87" s="1344">
        <v>0</v>
      </c>
      <c r="BX87" s="1344">
        <v>0</v>
      </c>
      <c r="BY87" s="1344">
        <v>0</v>
      </c>
      <c r="BZ87" s="1344">
        <v>9</v>
      </c>
      <c r="CA87" s="1344">
        <v>1</v>
      </c>
      <c r="CB87" s="1346">
        <v>0</v>
      </c>
      <c r="CC87" s="1346">
        <v>10</v>
      </c>
      <c r="CD87" s="1337"/>
      <c r="CF87" s="497"/>
      <c r="CG87" s="497"/>
      <c r="CH87" s="498"/>
      <c r="CI87" s="521" t="s">
        <v>442</v>
      </c>
      <c r="CJ87" s="522">
        <v>3</v>
      </c>
      <c r="CK87" s="523"/>
      <c r="CL87" s="522">
        <v>3</v>
      </c>
      <c r="CM87" s="522">
        <v>33</v>
      </c>
      <c r="CN87" s="525">
        <v>19</v>
      </c>
      <c r="CO87" s="525">
        <v>58</v>
      </c>
      <c r="CP87" s="526">
        <f>+(CO83+CO85-CN85+CO86)/CO87</f>
        <v>0.62068965517241381</v>
      </c>
      <c r="CR87" s="503"/>
      <c r="CS87" s="503"/>
      <c r="CT87" s="504"/>
      <c r="CU87" s="527"/>
      <c r="CV87" s="529"/>
      <c r="CW87" s="529"/>
      <c r="CX87" s="528"/>
      <c r="CY87" s="529"/>
      <c r="CZ87" s="530"/>
      <c r="DA87" s="530"/>
      <c r="DB87" s="531"/>
      <c r="DC87" s="510"/>
      <c r="DE87" s="511"/>
      <c r="DF87" s="511"/>
      <c r="DG87" s="511"/>
      <c r="DH87" s="512" t="s">
        <v>1323</v>
      </c>
      <c r="DI87" s="514">
        <v>0</v>
      </c>
      <c r="DJ87" s="513"/>
      <c r="DK87" s="513"/>
      <c r="DL87" s="514">
        <v>7</v>
      </c>
      <c r="DM87" s="514">
        <v>0</v>
      </c>
      <c r="DN87" s="514">
        <v>7</v>
      </c>
      <c r="DO87" s="515"/>
      <c r="DQ87" s="42"/>
      <c r="DR87" s="42"/>
      <c r="DS87" s="42"/>
      <c r="DT87" s="42"/>
      <c r="DU87" s="42"/>
      <c r="DV87" s="42"/>
      <c r="DW87" s="42"/>
      <c r="DX87" s="42"/>
      <c r="DY87" s="42"/>
      <c r="DZ87" s="42"/>
      <c r="EA87" s="42"/>
      <c r="EB87" s="42"/>
      <c r="EC87" s="5640" t="s">
        <v>1328</v>
      </c>
      <c r="ED87" s="5640"/>
      <c r="EE87" s="5640"/>
      <c r="EF87" s="5640"/>
      <c r="EG87" s="5640"/>
      <c r="EH87" s="5640"/>
      <c r="EI87" s="5640"/>
      <c r="EJ87" s="5640"/>
      <c r="EK87" s="5640"/>
      <c r="EL87" s="5640"/>
      <c r="EM87" s="5640"/>
      <c r="EN87" s="5640"/>
      <c r="EO87" s="516"/>
      <c r="EP87" s="42"/>
    </row>
    <row r="88" spans="1:146" ht="15" thickBot="1">
      <c r="C88" s="32"/>
      <c r="D88" s="32" t="s">
        <v>2963</v>
      </c>
      <c r="E88" s="4607">
        <f>SUM(E33,E70)</f>
        <v>13</v>
      </c>
      <c r="F88" s="4607">
        <f t="shared" ref="F88:N88" si="16">SUM(F33,F70)</f>
        <v>0</v>
      </c>
      <c r="G88" s="4607">
        <f t="shared" si="16"/>
        <v>0</v>
      </c>
      <c r="H88" s="4607">
        <f t="shared" si="16"/>
        <v>0</v>
      </c>
      <c r="I88" s="4607">
        <f t="shared" si="16"/>
        <v>0</v>
      </c>
      <c r="J88" s="4607">
        <f t="shared" si="16"/>
        <v>0</v>
      </c>
      <c r="K88" s="4607">
        <f t="shared" si="16"/>
        <v>0</v>
      </c>
      <c r="L88" s="4607">
        <f t="shared" si="16"/>
        <v>0</v>
      </c>
      <c r="M88" s="4607">
        <f t="shared" si="16"/>
        <v>0</v>
      </c>
      <c r="N88" s="4612">
        <f t="shared" si="16"/>
        <v>13</v>
      </c>
      <c r="O88" s="1977"/>
      <c r="AD88" s="41"/>
      <c r="AE88" s="41"/>
      <c r="AF88" s="461"/>
      <c r="AG88" s="461" t="s">
        <v>1233</v>
      </c>
      <c r="AH88" s="2002">
        <v>0</v>
      </c>
      <c r="AI88" s="2002">
        <v>2</v>
      </c>
      <c r="AJ88" s="2002">
        <v>0</v>
      </c>
      <c r="AK88" s="2002">
        <v>0</v>
      </c>
      <c r="AL88" s="2002">
        <v>0</v>
      </c>
      <c r="AM88" s="2480">
        <v>0</v>
      </c>
      <c r="AN88" s="2480"/>
      <c r="AO88" s="2480"/>
      <c r="AP88" s="2480">
        <v>2</v>
      </c>
      <c r="AQ88" s="41"/>
      <c r="BF88" s="105"/>
      <c r="BI88" s="41" t="s">
        <v>1231</v>
      </c>
      <c r="BJ88" s="1659">
        <v>7</v>
      </c>
      <c r="BK88" s="1659">
        <v>3</v>
      </c>
      <c r="BL88" s="1659">
        <v>12</v>
      </c>
      <c r="BM88" s="1659">
        <v>3</v>
      </c>
      <c r="BN88" s="105">
        <v>0</v>
      </c>
      <c r="BO88" s="105">
        <v>0</v>
      </c>
      <c r="BP88" s="105">
        <v>25</v>
      </c>
      <c r="BS88" s="1351"/>
      <c r="BT88" s="1351"/>
      <c r="BU88" s="1351"/>
      <c r="BV88" s="1352" t="s">
        <v>113</v>
      </c>
      <c r="BW88" s="1353">
        <v>4</v>
      </c>
      <c r="BX88" s="1353">
        <v>2</v>
      </c>
      <c r="BY88" s="1353">
        <v>2</v>
      </c>
      <c r="BZ88" s="1353">
        <v>52</v>
      </c>
      <c r="CA88" s="1353">
        <v>11</v>
      </c>
      <c r="CB88" s="1354">
        <v>7</v>
      </c>
      <c r="CC88" s="1354">
        <v>78</v>
      </c>
      <c r="CD88" s="1332">
        <f>+(CC82+CC86+CC87)/CC88</f>
        <v>0.51282051282051277</v>
      </c>
      <c r="CF88" s="497" t="s">
        <v>59</v>
      </c>
      <c r="CG88" s="497" t="s">
        <v>64</v>
      </c>
      <c r="CH88" s="498" t="s">
        <v>671</v>
      </c>
      <c r="CI88" s="499" t="s">
        <v>1233</v>
      </c>
      <c r="CJ88" s="501"/>
      <c r="CK88" s="500">
        <v>1</v>
      </c>
      <c r="CL88" s="500">
        <v>0</v>
      </c>
      <c r="CM88" s="501"/>
      <c r="CN88" s="497"/>
      <c r="CO88" s="502">
        <v>1</v>
      </c>
      <c r="CP88" s="41"/>
      <c r="CR88" s="503" t="s">
        <v>59</v>
      </c>
      <c r="CS88" s="503" t="s">
        <v>64</v>
      </c>
      <c r="CT88" s="504" t="s">
        <v>671</v>
      </c>
      <c r="CU88" s="505" t="s">
        <v>1231</v>
      </c>
      <c r="CV88" s="507"/>
      <c r="CW88" s="507"/>
      <c r="CX88" s="506">
        <v>1</v>
      </c>
      <c r="CY88" s="507"/>
      <c r="CZ88" s="508"/>
      <c r="DA88" s="508"/>
      <c r="DB88" s="509">
        <v>1</v>
      </c>
      <c r="DC88" s="510"/>
      <c r="DE88" s="511"/>
      <c r="DF88" s="511"/>
      <c r="DG88" s="553"/>
      <c r="DH88" s="554" t="s">
        <v>547</v>
      </c>
      <c r="DI88" s="555">
        <v>3</v>
      </c>
      <c r="DJ88" s="556"/>
      <c r="DK88" s="556"/>
      <c r="DL88" s="555">
        <v>10</v>
      </c>
      <c r="DM88" s="555">
        <v>19</v>
      </c>
      <c r="DN88" s="555">
        <v>32</v>
      </c>
      <c r="DO88" s="557">
        <f>+(DN87+DN85-DM85)/DN88</f>
        <v>0.25</v>
      </c>
      <c r="DQ88" s="42"/>
      <c r="DR88" s="42"/>
      <c r="DS88" s="42"/>
      <c r="DT88" s="42"/>
      <c r="DU88" s="42"/>
      <c r="DV88" s="42"/>
      <c r="DW88" s="42"/>
      <c r="DX88" s="42"/>
      <c r="DY88" s="42"/>
      <c r="DZ88" s="42"/>
      <c r="EA88" s="42"/>
      <c r="EB88" s="42"/>
      <c r="EC88" s="516"/>
      <c r="ED88" s="517"/>
      <c r="EE88" s="516"/>
      <c r="EF88" s="516"/>
      <c r="EG88" s="516"/>
      <c r="EH88" s="516"/>
      <c r="EI88" s="516"/>
      <c r="EJ88" s="516"/>
      <c r="EK88" s="516"/>
      <c r="EL88" s="516"/>
      <c r="EM88" s="516"/>
      <c r="EN88" s="516"/>
      <c r="EO88" s="516"/>
      <c r="EP88" s="42"/>
    </row>
    <row r="89" spans="1:146">
      <c r="C89" s="32"/>
      <c r="D89" s="32" t="s">
        <v>1323</v>
      </c>
      <c r="E89" s="4607">
        <f>SUM(E71,E80)</f>
        <v>0</v>
      </c>
      <c r="F89" s="4607">
        <f t="shared" ref="F89:N89" si="17">SUM(F71,F80)</f>
        <v>0</v>
      </c>
      <c r="G89" s="4607">
        <f t="shared" si="17"/>
        <v>0</v>
      </c>
      <c r="H89" s="4607">
        <f t="shared" si="17"/>
        <v>29</v>
      </c>
      <c r="I89" s="4607">
        <f t="shared" si="17"/>
        <v>0</v>
      </c>
      <c r="J89" s="4607">
        <f t="shared" si="17"/>
        <v>0</v>
      </c>
      <c r="K89" s="4607">
        <f t="shared" si="17"/>
        <v>0</v>
      </c>
      <c r="L89" s="4607">
        <f t="shared" si="17"/>
        <v>0</v>
      </c>
      <c r="M89" s="4607">
        <f t="shared" si="17"/>
        <v>0</v>
      </c>
      <c r="N89" s="4612">
        <f t="shared" si="17"/>
        <v>29</v>
      </c>
      <c r="O89" s="1977"/>
      <c r="AD89" s="41"/>
      <c r="AE89" s="41"/>
      <c r="AF89" s="461"/>
      <c r="AG89" s="461" t="s">
        <v>1235</v>
      </c>
      <c r="AH89" s="2002">
        <v>0</v>
      </c>
      <c r="AI89" s="2002">
        <v>0</v>
      </c>
      <c r="AJ89" s="2002">
        <v>0</v>
      </c>
      <c r="AK89" s="2002">
        <v>5</v>
      </c>
      <c r="AL89" s="2002">
        <v>1</v>
      </c>
      <c r="AM89" s="2480">
        <v>3</v>
      </c>
      <c r="AN89" s="2480"/>
      <c r="AO89" s="2480"/>
      <c r="AP89" s="2480">
        <v>9</v>
      </c>
      <c r="AQ89" s="41"/>
      <c r="BF89" s="105"/>
      <c r="BI89" s="41" t="s">
        <v>1235</v>
      </c>
      <c r="BJ89" s="1659">
        <v>0</v>
      </c>
      <c r="BK89" s="1659">
        <v>0</v>
      </c>
      <c r="BL89" s="1659">
        <v>6</v>
      </c>
      <c r="BM89" s="1659">
        <v>3</v>
      </c>
      <c r="BN89" s="105">
        <v>2</v>
      </c>
      <c r="BO89" s="105">
        <v>1</v>
      </c>
      <c r="BP89" s="105">
        <v>12</v>
      </c>
      <c r="BS89" s="41"/>
      <c r="BT89" s="41"/>
      <c r="BU89" s="41"/>
      <c r="BV89" s="41"/>
      <c r="BW89" s="41"/>
      <c r="BX89" s="41"/>
      <c r="BY89" s="41"/>
      <c r="BZ89" s="41"/>
      <c r="CA89" s="41"/>
      <c r="CB89" s="41"/>
      <c r="CC89" s="41"/>
      <c r="CD89" s="41"/>
      <c r="CF89" s="497"/>
      <c r="CG89" s="497"/>
      <c r="CH89" s="498"/>
      <c r="CI89" s="499" t="s">
        <v>1323</v>
      </c>
      <c r="CJ89" s="501"/>
      <c r="CK89" s="500">
        <v>0</v>
      </c>
      <c r="CL89" s="500">
        <v>1</v>
      </c>
      <c r="CM89" s="501"/>
      <c r="CN89" s="497"/>
      <c r="CO89" s="502">
        <v>1</v>
      </c>
      <c r="CP89" s="41"/>
      <c r="CR89" s="503"/>
      <c r="CS89" s="503"/>
      <c r="CT89" s="504"/>
      <c r="CU89" s="505" t="s">
        <v>1323</v>
      </c>
      <c r="CV89" s="507"/>
      <c r="CW89" s="507"/>
      <c r="CX89" s="506">
        <v>2</v>
      </c>
      <c r="CY89" s="507"/>
      <c r="CZ89" s="508"/>
      <c r="DA89" s="508"/>
      <c r="DB89" s="509">
        <v>2</v>
      </c>
      <c r="DC89" s="510"/>
      <c r="DE89" s="511"/>
      <c r="DF89" s="511"/>
      <c r="DG89" s="511"/>
      <c r="DH89" s="532"/>
      <c r="DI89" s="534"/>
      <c r="DQ89" s="42"/>
      <c r="DR89" s="42"/>
      <c r="DS89" s="42"/>
      <c r="DT89" s="42"/>
      <c r="DU89" s="42"/>
      <c r="DV89" s="42"/>
      <c r="DW89" s="42"/>
      <c r="DX89" s="42"/>
      <c r="DY89" s="42"/>
      <c r="DZ89" s="42"/>
      <c r="EA89" s="42"/>
      <c r="EB89" s="42"/>
      <c r="EC89" s="516"/>
      <c r="ED89" s="517"/>
      <c r="EE89" s="516"/>
      <c r="EF89" s="516"/>
      <c r="EG89" s="516"/>
      <c r="EH89" s="516"/>
      <c r="EI89" s="516"/>
      <c r="EJ89" s="516"/>
      <c r="EK89" s="516"/>
      <c r="EL89" s="516"/>
      <c r="EM89" s="516"/>
      <c r="EN89" s="516"/>
      <c r="EO89" s="516"/>
      <c r="EP89" s="42"/>
    </row>
    <row r="90" spans="1:146" ht="15" thickBot="1">
      <c r="A90" s="4584"/>
      <c r="B90" s="4584"/>
      <c r="C90" s="4581"/>
      <c r="D90" s="4581" t="s">
        <v>15</v>
      </c>
      <c r="E90" s="4605">
        <f>SUM(E82:E89)</f>
        <v>13</v>
      </c>
      <c r="F90" s="4605">
        <f t="shared" ref="F90:N90" si="18">SUM(F82:F89)</f>
        <v>5</v>
      </c>
      <c r="G90" s="4605">
        <f t="shared" si="18"/>
        <v>4</v>
      </c>
      <c r="H90" s="4605">
        <f t="shared" si="18"/>
        <v>77</v>
      </c>
      <c r="I90" s="4605">
        <f t="shared" si="18"/>
        <v>0</v>
      </c>
      <c r="J90" s="4605">
        <f t="shared" si="18"/>
        <v>4</v>
      </c>
      <c r="K90" s="4605">
        <f t="shared" si="18"/>
        <v>1</v>
      </c>
      <c r="L90" s="4605">
        <f t="shared" si="18"/>
        <v>1</v>
      </c>
      <c r="M90" s="4605">
        <f t="shared" si="18"/>
        <v>1</v>
      </c>
      <c r="N90" s="4618">
        <f t="shared" si="18"/>
        <v>106</v>
      </c>
      <c r="O90" s="1999">
        <f>+(N84+N87+N89)/(N90-N88)</f>
        <v>0.72043010752688175</v>
      </c>
      <c r="AD90" s="41"/>
      <c r="AE90" s="41"/>
      <c r="AF90" s="461"/>
      <c r="AG90" s="461" t="s">
        <v>1236</v>
      </c>
      <c r="AH90" s="2002">
        <v>0</v>
      </c>
      <c r="AI90" s="2002">
        <v>0</v>
      </c>
      <c r="AJ90" s="2002">
        <v>4</v>
      </c>
      <c r="AK90" s="2002">
        <v>2</v>
      </c>
      <c r="AL90" s="2002">
        <v>0</v>
      </c>
      <c r="AM90" s="2480">
        <v>0</v>
      </c>
      <c r="AN90" s="2480"/>
      <c r="AO90" s="2480"/>
      <c r="AP90" s="2480">
        <v>6</v>
      </c>
      <c r="AQ90" s="41"/>
      <c r="BF90" s="105"/>
      <c r="BI90" s="41" t="s">
        <v>1236</v>
      </c>
      <c r="BJ90" s="1659">
        <v>2</v>
      </c>
      <c r="BK90" s="1659">
        <v>1</v>
      </c>
      <c r="BL90" s="1659">
        <v>2</v>
      </c>
      <c r="BM90" s="1659">
        <v>0</v>
      </c>
      <c r="BN90" s="105">
        <v>0</v>
      </c>
      <c r="BO90" s="105">
        <v>0</v>
      </c>
      <c r="BP90" s="105">
        <v>5</v>
      </c>
      <c r="BT90" s="41"/>
      <c r="BU90" s="41" t="s">
        <v>1894</v>
      </c>
      <c r="BV90" s="41"/>
      <c r="BW90" s="41"/>
      <c r="BX90" s="41"/>
      <c r="BY90" s="41"/>
      <c r="BZ90" s="41"/>
      <c r="CA90" s="41"/>
      <c r="CB90" s="41"/>
      <c r="CC90" s="41"/>
      <c r="CD90" s="41"/>
      <c r="CF90" s="497"/>
      <c r="CG90" s="497"/>
      <c r="CH90" s="498"/>
      <c r="CI90" s="521" t="s">
        <v>15</v>
      </c>
      <c r="CJ90" s="523"/>
      <c r="CK90" s="522">
        <v>1</v>
      </c>
      <c r="CL90" s="522">
        <v>1</v>
      </c>
      <c r="CM90" s="523"/>
      <c r="CN90" s="524"/>
      <c r="CO90" s="525">
        <v>2</v>
      </c>
      <c r="CP90" s="526">
        <f>+CO89/CO90</f>
        <v>0.5</v>
      </c>
      <c r="CR90" s="503"/>
      <c r="CS90" s="503"/>
      <c r="CT90" s="504"/>
      <c r="CU90" s="527" t="s">
        <v>15</v>
      </c>
      <c r="CV90" s="529"/>
      <c r="CW90" s="529"/>
      <c r="CX90" s="528">
        <v>3</v>
      </c>
      <c r="CY90" s="529"/>
      <c r="CZ90" s="530"/>
      <c r="DA90" s="530"/>
      <c r="DB90" s="531">
        <v>3</v>
      </c>
      <c r="DC90" s="510">
        <f>+DB89/DB90</f>
        <v>0.66666666666666663</v>
      </c>
      <c r="DE90" s="511"/>
      <c r="DF90" s="511"/>
      <c r="DG90" s="511"/>
      <c r="DH90" s="532"/>
      <c r="DI90" s="5642" t="s">
        <v>1319</v>
      </c>
      <c r="DJ90" s="5642"/>
      <c r="DK90" s="5642"/>
      <c r="DL90" s="5642"/>
      <c r="DM90" s="5642"/>
      <c r="DN90" s="534"/>
      <c r="DQ90" s="42"/>
      <c r="DR90" s="42"/>
      <c r="DS90" s="42"/>
      <c r="DT90" s="484" t="s">
        <v>327</v>
      </c>
      <c r="DU90" s="5642" t="s">
        <v>1319</v>
      </c>
      <c r="DV90" s="5642"/>
      <c r="DW90" s="5642"/>
      <c r="DX90" s="5642"/>
      <c r="DY90" s="5642"/>
      <c r="DZ90" s="484"/>
      <c r="EA90" s="42"/>
      <c r="EB90" s="42"/>
      <c r="EC90" s="516"/>
      <c r="ED90" s="517"/>
      <c r="EE90" s="516"/>
      <c r="EF90" s="516"/>
      <c r="EG90" s="516"/>
      <c r="EH90" s="516"/>
      <c r="EI90" s="516"/>
      <c r="EJ90" s="516"/>
      <c r="EK90" s="516"/>
      <c r="EL90" s="516"/>
      <c r="EM90" s="516"/>
      <c r="EN90" s="516"/>
      <c r="EO90" s="516"/>
      <c r="EP90" s="42"/>
    </row>
    <row r="91" spans="1:146" ht="28.2" thickBot="1">
      <c r="AD91" s="41"/>
      <c r="AE91" s="41"/>
      <c r="AF91" s="461"/>
      <c r="AG91" s="461" t="s">
        <v>1239</v>
      </c>
      <c r="AH91" s="2002">
        <v>0</v>
      </c>
      <c r="AI91" s="2002">
        <v>0</v>
      </c>
      <c r="AJ91" s="2002">
        <v>0</v>
      </c>
      <c r="AK91" s="2002">
        <v>0</v>
      </c>
      <c r="AL91" s="2002">
        <v>0</v>
      </c>
      <c r="AM91" s="2480">
        <v>1</v>
      </c>
      <c r="AN91" s="2480"/>
      <c r="AO91" s="2480"/>
      <c r="AP91" s="2480">
        <v>1</v>
      </c>
      <c r="AQ91" s="41"/>
      <c r="BF91" s="105"/>
      <c r="BI91" s="41" t="s">
        <v>1239</v>
      </c>
      <c r="BJ91" s="1659">
        <v>0</v>
      </c>
      <c r="BK91" s="1659">
        <v>0</v>
      </c>
      <c r="BL91" s="1659">
        <v>0</v>
      </c>
      <c r="BM91" s="1659">
        <v>0</v>
      </c>
      <c r="BN91" s="105">
        <v>2</v>
      </c>
      <c r="BO91" s="105">
        <v>1</v>
      </c>
      <c r="BP91" s="105">
        <v>3</v>
      </c>
      <c r="BS91" s="1616" t="s">
        <v>1895</v>
      </c>
      <c r="CF91" s="497"/>
      <c r="CG91" s="497"/>
      <c r="CH91" s="498" t="s">
        <v>549</v>
      </c>
      <c r="CI91" s="499" t="s">
        <v>1233</v>
      </c>
      <c r="CJ91" s="501"/>
      <c r="CK91" s="500">
        <v>1</v>
      </c>
      <c r="CL91" s="500">
        <v>0</v>
      </c>
      <c r="CM91" s="501"/>
      <c r="CN91" s="497"/>
      <c r="CO91" s="502">
        <v>1</v>
      </c>
      <c r="CP91" s="41"/>
      <c r="CR91" s="503"/>
      <c r="CS91" s="503"/>
      <c r="CT91" s="527" t="s">
        <v>549</v>
      </c>
      <c r="CU91" s="505" t="s">
        <v>1231</v>
      </c>
      <c r="CV91" s="507"/>
      <c r="CW91" s="507"/>
      <c r="CX91" s="506">
        <v>1</v>
      </c>
      <c r="CY91" s="507"/>
      <c r="CZ91" s="508"/>
      <c r="DA91" s="508"/>
      <c r="DB91" s="509">
        <v>1</v>
      </c>
      <c r="DC91" s="510"/>
      <c r="DE91" s="511"/>
      <c r="DG91" s="558" t="s">
        <v>0</v>
      </c>
      <c r="DH91" s="558" t="s">
        <v>1229</v>
      </c>
      <c r="DI91" s="558">
        <v>1</v>
      </c>
      <c r="DJ91" s="558">
        <v>2</v>
      </c>
      <c r="DK91" s="558">
        <v>3</v>
      </c>
      <c r="DL91" s="558">
        <v>4</v>
      </c>
      <c r="DM91" s="558">
        <v>5</v>
      </c>
      <c r="DN91" s="558" t="s">
        <v>15</v>
      </c>
      <c r="DO91" s="559" t="s">
        <v>66</v>
      </c>
      <c r="DQ91" s="42"/>
      <c r="DR91" s="42"/>
      <c r="DS91" s="54" t="s">
        <v>0</v>
      </c>
      <c r="DT91" s="54" t="s">
        <v>1229</v>
      </c>
      <c r="DU91" s="54">
        <v>1</v>
      </c>
      <c r="DV91" s="54">
        <v>2</v>
      </c>
      <c r="DW91" s="54">
        <v>3</v>
      </c>
      <c r="DX91" s="54">
        <v>4</v>
      </c>
      <c r="DY91" s="54">
        <v>5</v>
      </c>
      <c r="DZ91" s="54" t="s">
        <v>15</v>
      </c>
      <c r="EA91" s="54" t="s">
        <v>66</v>
      </c>
      <c r="EB91" s="42"/>
      <c r="EC91" s="516"/>
      <c r="ED91" s="517"/>
      <c r="EE91" s="569" t="s">
        <v>0</v>
      </c>
      <c r="EF91" s="570" t="s">
        <v>1321</v>
      </c>
      <c r="EG91" s="569">
        <v>0</v>
      </c>
      <c r="EH91" s="569">
        <v>1</v>
      </c>
      <c r="EI91" s="569">
        <v>2</v>
      </c>
      <c r="EJ91" s="569">
        <v>3</v>
      </c>
      <c r="EK91" s="569">
        <v>4</v>
      </c>
      <c r="EL91" s="569">
        <v>5</v>
      </c>
      <c r="EM91" s="569" t="s">
        <v>15</v>
      </c>
      <c r="EN91" s="569" t="s">
        <v>66</v>
      </c>
      <c r="EO91" s="569" t="s">
        <v>1322</v>
      </c>
      <c r="EP91" s="42"/>
    </row>
    <row r="92" spans="1:146">
      <c r="O92" s="125" t="s">
        <v>2973</v>
      </c>
      <c r="AD92" s="41"/>
      <c r="AE92" s="41"/>
      <c r="AF92" s="461"/>
      <c r="AG92" s="461" t="s">
        <v>1865</v>
      </c>
      <c r="AH92" s="2002">
        <v>1</v>
      </c>
      <c r="AI92" s="2002">
        <v>0</v>
      </c>
      <c r="AJ92" s="2002">
        <v>0</v>
      </c>
      <c r="AK92" s="2002">
        <v>0</v>
      </c>
      <c r="AL92" s="2002">
        <v>0</v>
      </c>
      <c r="AM92" s="2480">
        <v>0</v>
      </c>
      <c r="AN92" s="2480"/>
      <c r="AO92" s="2480"/>
      <c r="AP92" s="2480">
        <v>1</v>
      </c>
      <c r="AQ92" s="41"/>
      <c r="BF92" s="105"/>
      <c r="BI92" s="41" t="s">
        <v>1240</v>
      </c>
      <c r="BJ92" s="1659">
        <v>0</v>
      </c>
      <c r="BK92" s="1659">
        <v>0</v>
      </c>
      <c r="BL92" s="1659">
        <v>14</v>
      </c>
      <c r="BM92" s="1659">
        <v>1</v>
      </c>
      <c r="BN92" s="105">
        <v>0</v>
      </c>
      <c r="BO92" s="105">
        <v>0</v>
      </c>
      <c r="BP92" s="105">
        <v>15</v>
      </c>
      <c r="CF92" s="497"/>
      <c r="CG92" s="497"/>
      <c r="CH92" s="498"/>
      <c r="CI92" s="499" t="s">
        <v>1323</v>
      </c>
      <c r="CJ92" s="501"/>
      <c r="CK92" s="500">
        <v>0</v>
      </c>
      <c r="CL92" s="500">
        <v>1</v>
      </c>
      <c r="CM92" s="501"/>
      <c r="CN92" s="497"/>
      <c r="CO92" s="502">
        <v>1</v>
      </c>
      <c r="CP92" s="41"/>
      <c r="CR92" s="503"/>
      <c r="CS92" s="503"/>
      <c r="CT92" s="504"/>
      <c r="CU92" s="505" t="s">
        <v>1323</v>
      </c>
      <c r="CV92" s="507"/>
      <c r="CW92" s="507"/>
      <c r="CX92" s="506">
        <v>2</v>
      </c>
      <c r="CY92" s="507"/>
      <c r="CZ92" s="508"/>
      <c r="DA92" s="508"/>
      <c r="DB92" s="509">
        <v>2</v>
      </c>
      <c r="DC92" s="510"/>
      <c r="DE92" s="511"/>
      <c r="DF92" s="511"/>
      <c r="DG92" s="511" t="s">
        <v>106</v>
      </c>
      <c r="DH92" s="512" t="s">
        <v>1231</v>
      </c>
      <c r="DI92" s="514">
        <v>1</v>
      </c>
      <c r="DJ92" s="513"/>
      <c r="DK92" s="514">
        <v>3</v>
      </c>
      <c r="DL92" s="513"/>
      <c r="DM92" s="513"/>
      <c r="DN92" s="514">
        <v>4</v>
      </c>
      <c r="DO92" s="515"/>
      <c r="DQ92" s="42"/>
      <c r="DR92" s="42"/>
      <c r="DS92" s="70" t="s">
        <v>3</v>
      </c>
      <c r="DT92" s="42" t="s">
        <v>1230</v>
      </c>
      <c r="DU92" s="42">
        <v>0</v>
      </c>
      <c r="DV92" s="42">
        <v>0</v>
      </c>
      <c r="DW92" s="42">
        <v>0</v>
      </c>
      <c r="DX92" s="42">
        <v>0</v>
      </c>
      <c r="DY92" s="42">
        <v>29</v>
      </c>
      <c r="DZ92" s="42">
        <v>29</v>
      </c>
      <c r="EA92" s="42"/>
      <c r="EB92" s="42"/>
      <c r="EC92" s="516"/>
      <c r="ED92" s="517"/>
      <c r="EE92" s="516" t="s">
        <v>3</v>
      </c>
      <c r="EF92" s="516" t="s">
        <v>1230</v>
      </c>
      <c r="EG92" s="516">
        <v>0</v>
      </c>
      <c r="EH92" s="516">
        <v>0</v>
      </c>
      <c r="EI92" s="516">
        <v>0</v>
      </c>
      <c r="EJ92" s="516">
        <v>1</v>
      </c>
      <c r="EK92" s="516">
        <v>2</v>
      </c>
      <c r="EL92" s="516">
        <v>9</v>
      </c>
      <c r="EM92" s="516">
        <v>12</v>
      </c>
      <c r="EN92" s="516"/>
      <c r="EO92" s="518"/>
      <c r="EP92" s="42"/>
    </row>
    <row r="93" spans="1:146">
      <c r="AD93" s="41"/>
      <c r="AE93" s="41"/>
      <c r="AF93" s="461"/>
      <c r="AG93" s="461" t="s">
        <v>1240</v>
      </c>
      <c r="AH93" s="2002">
        <v>0</v>
      </c>
      <c r="AI93" s="2002">
        <v>0</v>
      </c>
      <c r="AJ93" s="2002">
        <v>0</v>
      </c>
      <c r="AK93" s="2002">
        <v>15</v>
      </c>
      <c r="AL93" s="2002">
        <v>22</v>
      </c>
      <c r="AM93" s="2480">
        <v>0</v>
      </c>
      <c r="AN93" s="2480"/>
      <c r="AO93" s="2480"/>
      <c r="AP93" s="2480">
        <v>37</v>
      </c>
      <c r="AQ93" s="41"/>
      <c r="BF93" s="105"/>
      <c r="BI93" s="41" t="s">
        <v>1323</v>
      </c>
      <c r="BJ93" s="1659">
        <v>0</v>
      </c>
      <c r="BK93" s="1659">
        <v>0</v>
      </c>
      <c r="BL93" s="1659">
        <v>55</v>
      </c>
      <c r="BM93" s="1659">
        <v>1</v>
      </c>
      <c r="BN93" s="105">
        <v>1</v>
      </c>
      <c r="BO93" s="105">
        <v>0</v>
      </c>
      <c r="BP93" s="105">
        <v>57</v>
      </c>
      <c r="CF93" s="497"/>
      <c r="CG93" s="497"/>
      <c r="CH93" s="498"/>
      <c r="CI93" s="521" t="s">
        <v>15</v>
      </c>
      <c r="CJ93" s="523"/>
      <c r="CK93" s="522">
        <v>1</v>
      </c>
      <c r="CL93" s="522">
        <v>1</v>
      </c>
      <c r="CM93" s="523"/>
      <c r="CN93" s="524"/>
      <c r="CO93" s="525">
        <v>2</v>
      </c>
      <c r="CP93" s="526">
        <f>+CO92/CO93</f>
        <v>0.5</v>
      </c>
      <c r="CR93" s="503"/>
      <c r="CS93" s="503"/>
      <c r="CT93" s="504"/>
      <c r="CU93" s="527" t="s">
        <v>549</v>
      </c>
      <c r="CV93" s="529"/>
      <c r="CW93" s="529"/>
      <c r="CX93" s="528">
        <v>3</v>
      </c>
      <c r="CY93" s="529"/>
      <c r="CZ93" s="530"/>
      <c r="DA93" s="530"/>
      <c r="DB93" s="531">
        <v>3</v>
      </c>
      <c r="DC93" s="510">
        <f>+DB92/DB93</f>
        <v>0.66666666666666663</v>
      </c>
      <c r="DE93" s="511"/>
      <c r="DF93" s="511"/>
      <c r="DG93" s="511"/>
      <c r="DH93" s="512" t="s">
        <v>1235</v>
      </c>
      <c r="DI93" s="514">
        <v>0</v>
      </c>
      <c r="DJ93" s="513"/>
      <c r="DK93" s="514">
        <v>7</v>
      </c>
      <c r="DL93" s="513"/>
      <c r="DM93" s="513"/>
      <c r="DN93" s="514">
        <v>7</v>
      </c>
      <c r="DO93" s="515"/>
      <c r="DQ93" s="42"/>
      <c r="DR93" s="42"/>
      <c r="DS93" s="70"/>
      <c r="DT93" s="42" t="s">
        <v>1231</v>
      </c>
      <c r="DU93" s="42">
        <v>2</v>
      </c>
      <c r="DV93" s="42">
        <v>6</v>
      </c>
      <c r="DW93" s="42">
        <v>8</v>
      </c>
      <c r="DX93" s="42">
        <v>0</v>
      </c>
      <c r="DY93" s="42">
        <v>0</v>
      </c>
      <c r="DZ93" s="42">
        <v>16</v>
      </c>
      <c r="EA93" s="42"/>
      <c r="EB93" s="42"/>
      <c r="EC93" s="516"/>
      <c r="ED93" s="517"/>
      <c r="EE93" s="516"/>
      <c r="EF93" s="516" t="s">
        <v>1231</v>
      </c>
      <c r="EG93" s="516">
        <v>0</v>
      </c>
      <c r="EH93" s="516">
        <v>3</v>
      </c>
      <c r="EI93" s="516">
        <v>4</v>
      </c>
      <c r="EJ93" s="516">
        <v>13</v>
      </c>
      <c r="EK93" s="516">
        <v>1</v>
      </c>
      <c r="EL93" s="516">
        <v>0</v>
      </c>
      <c r="EM93" s="516">
        <v>21</v>
      </c>
      <c r="EN93" s="516"/>
      <c r="EO93" s="518"/>
      <c r="EP93" s="42"/>
    </row>
    <row r="94" spans="1:146" ht="15" thickBot="1">
      <c r="AD94" s="41"/>
      <c r="AE94" s="41"/>
      <c r="AF94" s="461"/>
      <c r="AG94" s="461" t="s">
        <v>1323</v>
      </c>
      <c r="AH94" s="2002">
        <v>0</v>
      </c>
      <c r="AI94" s="2002">
        <v>0</v>
      </c>
      <c r="AJ94" s="2002">
        <v>0</v>
      </c>
      <c r="AK94" s="2002">
        <v>47</v>
      </c>
      <c r="AL94" s="2002">
        <v>6</v>
      </c>
      <c r="AM94" s="2480">
        <v>0</v>
      </c>
      <c r="AN94" s="2480"/>
      <c r="AO94" s="2480">
        <v>5</v>
      </c>
      <c r="AP94" s="2480">
        <v>58</v>
      </c>
      <c r="AQ94" s="41"/>
      <c r="BF94" s="464"/>
      <c r="BG94" s="464"/>
      <c r="BH94" s="469"/>
      <c r="BI94" s="465" t="s">
        <v>113</v>
      </c>
      <c r="BJ94" s="1658">
        <v>9</v>
      </c>
      <c r="BK94" s="1658">
        <v>4</v>
      </c>
      <c r="BL94" s="1658">
        <v>89</v>
      </c>
      <c r="BM94" s="1658">
        <v>10</v>
      </c>
      <c r="BN94" s="466">
        <v>46</v>
      </c>
      <c r="BO94" s="466">
        <v>2</v>
      </c>
      <c r="BP94" s="466">
        <v>160</v>
      </c>
      <c r="BQ94" s="1645">
        <f>+(BP89+BP92+BP93-BN89-BO89-BN93)/BP94</f>
        <v>0.5</v>
      </c>
      <c r="CF94" s="497"/>
      <c r="CG94" s="497"/>
      <c r="CH94" s="498" t="s">
        <v>260</v>
      </c>
      <c r="CI94" s="499" t="s">
        <v>1233</v>
      </c>
      <c r="CJ94" s="501"/>
      <c r="CK94" s="500">
        <v>1</v>
      </c>
      <c r="CL94" s="500">
        <v>0</v>
      </c>
      <c r="CM94" s="501"/>
      <c r="CN94" s="497"/>
      <c r="CO94" s="502">
        <v>1</v>
      </c>
      <c r="CP94" s="41"/>
      <c r="CR94" s="503"/>
      <c r="CS94" s="503"/>
      <c r="CT94" s="527" t="s">
        <v>260</v>
      </c>
      <c r="CU94" s="505" t="s">
        <v>1231</v>
      </c>
      <c r="CV94" s="507"/>
      <c r="CW94" s="507"/>
      <c r="CX94" s="506">
        <v>1</v>
      </c>
      <c r="CY94" s="507"/>
      <c r="CZ94" s="508"/>
      <c r="DA94" s="508"/>
      <c r="DB94" s="509">
        <v>1</v>
      </c>
      <c r="DC94" s="510"/>
      <c r="DE94" s="511"/>
      <c r="DF94" s="511"/>
      <c r="DG94" s="511"/>
      <c r="DH94" s="512" t="s">
        <v>1240</v>
      </c>
      <c r="DI94" s="514">
        <v>0</v>
      </c>
      <c r="DJ94" s="513"/>
      <c r="DK94" s="514">
        <v>10</v>
      </c>
      <c r="DL94" s="513"/>
      <c r="DM94" s="513"/>
      <c r="DN94" s="514">
        <v>10</v>
      </c>
      <c r="DO94" s="515"/>
      <c r="DQ94" s="42"/>
      <c r="DR94" s="42"/>
      <c r="DS94" s="70"/>
      <c r="DT94" s="42" t="s">
        <v>1233</v>
      </c>
      <c r="DU94" s="42">
        <v>0</v>
      </c>
      <c r="DV94" s="42">
        <v>1</v>
      </c>
      <c r="DW94" s="42">
        <v>0</v>
      </c>
      <c r="DX94" s="42">
        <v>0</v>
      </c>
      <c r="DY94" s="42">
        <v>0</v>
      </c>
      <c r="DZ94" s="42">
        <v>1</v>
      </c>
      <c r="EA94" s="42"/>
      <c r="EB94" s="42"/>
      <c r="EC94" s="516"/>
      <c r="ED94" s="517"/>
      <c r="EE94" s="516"/>
      <c r="EF94" s="516" t="s">
        <v>1235</v>
      </c>
      <c r="EG94" s="516">
        <v>0</v>
      </c>
      <c r="EH94" s="516">
        <v>0</v>
      </c>
      <c r="EI94" s="516">
        <v>0</v>
      </c>
      <c r="EJ94" s="516">
        <v>2</v>
      </c>
      <c r="EK94" s="516">
        <v>1</v>
      </c>
      <c r="EL94" s="516">
        <v>0</v>
      </c>
      <c r="EM94" s="516">
        <v>3</v>
      </c>
      <c r="EN94" s="516"/>
      <c r="EO94" s="518"/>
      <c r="EP94" s="42"/>
    </row>
    <row r="95" spans="1:146" ht="15" thickBot="1">
      <c r="AD95" s="469"/>
      <c r="AE95" s="469"/>
      <c r="AF95" s="465"/>
      <c r="AG95" s="465" t="s">
        <v>113</v>
      </c>
      <c r="AH95" s="2000">
        <v>1</v>
      </c>
      <c r="AI95" s="2000">
        <v>4</v>
      </c>
      <c r="AJ95" s="2000">
        <v>6</v>
      </c>
      <c r="AK95" s="2000">
        <v>83</v>
      </c>
      <c r="AL95" s="2000">
        <v>33</v>
      </c>
      <c r="AM95" s="466">
        <v>11</v>
      </c>
      <c r="AN95" s="466"/>
      <c r="AO95" s="466">
        <v>5</v>
      </c>
      <c r="AP95" s="466">
        <v>143</v>
      </c>
      <c r="AQ95" s="1645">
        <f>+(AP94+AP93+AP89-AM89)/AP95</f>
        <v>0.70629370629370625</v>
      </c>
      <c r="CF95" s="497"/>
      <c r="CG95" s="497"/>
      <c r="CH95" s="498"/>
      <c r="CI95" s="499" t="s">
        <v>1323</v>
      </c>
      <c r="CJ95" s="501"/>
      <c r="CK95" s="500">
        <v>0</v>
      </c>
      <c r="CL95" s="500">
        <v>1</v>
      </c>
      <c r="CM95" s="501"/>
      <c r="CN95" s="497"/>
      <c r="CO95" s="502">
        <v>1</v>
      </c>
      <c r="CP95" s="41"/>
      <c r="CR95" s="503"/>
      <c r="CS95" s="503"/>
      <c r="CT95" s="504"/>
      <c r="CU95" s="505" t="s">
        <v>1323</v>
      </c>
      <c r="CV95" s="507"/>
      <c r="CW95" s="507"/>
      <c r="CX95" s="506">
        <v>2</v>
      </c>
      <c r="CY95" s="507"/>
      <c r="CZ95" s="508"/>
      <c r="DA95" s="508"/>
      <c r="DB95" s="509">
        <v>2</v>
      </c>
      <c r="DC95" s="510"/>
      <c r="DE95" s="511"/>
      <c r="DF95" s="511"/>
      <c r="DG95" s="511"/>
      <c r="DH95" s="512" t="s">
        <v>1323</v>
      </c>
      <c r="DI95" s="514">
        <v>0</v>
      </c>
      <c r="DJ95" s="513"/>
      <c r="DK95" s="514">
        <v>5</v>
      </c>
      <c r="DL95" s="513"/>
      <c r="DM95" s="513"/>
      <c r="DN95" s="514">
        <v>5</v>
      </c>
      <c r="DO95" s="515"/>
      <c r="DQ95" s="42"/>
      <c r="DR95" s="42"/>
      <c r="DS95" s="70"/>
      <c r="DT95" s="42" t="s">
        <v>1235</v>
      </c>
      <c r="DU95" s="42">
        <v>0</v>
      </c>
      <c r="DV95" s="42">
        <v>0</v>
      </c>
      <c r="DW95" s="42">
        <v>3</v>
      </c>
      <c r="DX95" s="42">
        <v>7</v>
      </c>
      <c r="DY95" s="42">
        <v>0</v>
      </c>
      <c r="DZ95" s="42">
        <v>10</v>
      </c>
      <c r="EA95" s="42"/>
      <c r="EB95" s="42"/>
      <c r="EC95" s="516"/>
      <c r="ED95" s="517"/>
      <c r="EE95" s="516"/>
      <c r="EF95" s="516" t="s">
        <v>1236</v>
      </c>
      <c r="EG95" s="516">
        <v>0</v>
      </c>
      <c r="EH95" s="516">
        <v>0</v>
      </c>
      <c r="EI95" s="516">
        <v>1</v>
      </c>
      <c r="EJ95" s="516">
        <v>0</v>
      </c>
      <c r="EK95" s="516">
        <v>0</v>
      </c>
      <c r="EL95" s="516">
        <v>0</v>
      </c>
      <c r="EM95" s="516">
        <v>1</v>
      </c>
      <c r="EN95" s="516"/>
      <c r="EO95" s="518"/>
      <c r="EP95" s="42"/>
    </row>
    <row r="96" spans="1:146">
      <c r="AD96" s="1663" t="s">
        <v>2700</v>
      </c>
      <c r="AE96" s="41"/>
      <c r="AF96" s="41"/>
      <c r="AG96" s="41"/>
      <c r="AH96" s="41"/>
      <c r="AI96" s="41"/>
      <c r="AJ96" s="41"/>
      <c r="AK96" s="41"/>
      <c r="AL96" s="41"/>
      <c r="AM96" s="41"/>
      <c r="AN96" s="41"/>
      <c r="AO96" s="41"/>
      <c r="AP96" s="41"/>
      <c r="AQ96" s="41"/>
      <c r="CF96" s="497"/>
      <c r="CG96" s="497"/>
      <c r="CH96" s="498"/>
      <c r="CI96" s="521" t="s">
        <v>260</v>
      </c>
      <c r="CJ96" s="523"/>
      <c r="CK96" s="522">
        <v>1</v>
      </c>
      <c r="CL96" s="522">
        <v>1</v>
      </c>
      <c r="CM96" s="523"/>
      <c r="CN96" s="524"/>
      <c r="CO96" s="525">
        <v>2</v>
      </c>
      <c r="CP96" s="526">
        <f>+CO95/CO96</f>
        <v>0.5</v>
      </c>
      <c r="CR96" s="503"/>
      <c r="CS96" s="503"/>
      <c r="CT96" s="504"/>
      <c r="CU96" s="527" t="s">
        <v>260</v>
      </c>
      <c r="CV96" s="529"/>
      <c r="CW96" s="529"/>
      <c r="CX96" s="528">
        <v>3</v>
      </c>
      <c r="CY96" s="529"/>
      <c r="CZ96" s="530"/>
      <c r="DA96" s="530"/>
      <c r="DB96" s="531">
        <v>3</v>
      </c>
      <c r="DC96" s="510">
        <f>+DB95/DB96</f>
        <v>0.66666666666666663</v>
      </c>
      <c r="DE96" s="511"/>
      <c r="DF96" s="511"/>
      <c r="DG96" s="511"/>
      <c r="DH96" s="532" t="s">
        <v>106</v>
      </c>
      <c r="DI96" s="534">
        <v>1</v>
      </c>
      <c r="DJ96" s="533"/>
      <c r="DK96" s="534">
        <v>25</v>
      </c>
      <c r="DL96" s="533"/>
      <c r="DM96" s="533"/>
      <c r="DN96" s="534">
        <v>26</v>
      </c>
      <c r="DO96" s="535">
        <f>+(DN95+DN94+DN93)/DN96</f>
        <v>0.84615384615384615</v>
      </c>
      <c r="DQ96" s="42"/>
      <c r="DR96" s="42"/>
      <c r="DS96" s="70"/>
      <c r="DT96" s="42" t="s">
        <v>1236</v>
      </c>
      <c r="DU96" s="42">
        <v>0</v>
      </c>
      <c r="DV96" s="42">
        <v>0</v>
      </c>
      <c r="DW96" s="42">
        <v>0</v>
      </c>
      <c r="DX96" s="42">
        <v>1</v>
      </c>
      <c r="DY96" s="42">
        <v>0</v>
      </c>
      <c r="DZ96" s="42">
        <v>1</v>
      </c>
      <c r="EA96" s="42"/>
      <c r="EB96" s="42"/>
      <c r="EC96" s="516"/>
      <c r="ED96" s="517"/>
      <c r="EE96" s="516"/>
      <c r="EF96" s="516" t="s">
        <v>1239</v>
      </c>
      <c r="EG96" s="516">
        <v>0</v>
      </c>
      <c r="EH96" s="516">
        <v>0</v>
      </c>
      <c r="EI96" s="516">
        <v>0</v>
      </c>
      <c r="EJ96" s="516">
        <v>0</v>
      </c>
      <c r="EK96" s="516">
        <v>1</v>
      </c>
      <c r="EL96" s="516">
        <v>1</v>
      </c>
      <c r="EM96" s="516">
        <v>2</v>
      </c>
      <c r="EN96" s="516"/>
      <c r="EO96" s="518"/>
      <c r="EP96" s="42"/>
    </row>
    <row r="97" spans="84:146">
      <c r="CF97" s="497"/>
      <c r="CG97" s="497"/>
      <c r="CH97" s="498" t="s">
        <v>113</v>
      </c>
      <c r="CI97" s="499" t="s">
        <v>1230</v>
      </c>
      <c r="CJ97" s="500">
        <v>0</v>
      </c>
      <c r="CK97" s="500">
        <v>0</v>
      </c>
      <c r="CL97" s="500">
        <v>0</v>
      </c>
      <c r="CM97" s="500">
        <v>1</v>
      </c>
      <c r="CN97" s="502">
        <v>22</v>
      </c>
      <c r="CO97" s="502">
        <v>23</v>
      </c>
      <c r="CP97" s="41"/>
      <c r="CR97" s="503"/>
      <c r="CS97" s="503"/>
      <c r="CT97" s="527" t="s">
        <v>113</v>
      </c>
      <c r="CU97" s="505" t="s">
        <v>1230</v>
      </c>
      <c r="CV97" s="506">
        <v>0</v>
      </c>
      <c r="CW97" s="506">
        <v>0</v>
      </c>
      <c r="CX97" s="506">
        <v>0</v>
      </c>
      <c r="CY97" s="506">
        <v>0</v>
      </c>
      <c r="CZ97" s="509">
        <v>39</v>
      </c>
      <c r="DA97" s="509">
        <v>0</v>
      </c>
      <c r="DB97" s="509">
        <v>39</v>
      </c>
      <c r="DC97" s="510"/>
      <c r="DE97" s="511"/>
      <c r="DF97" s="511"/>
      <c r="DG97" s="511"/>
      <c r="DH97" s="532"/>
      <c r="DI97" s="534"/>
      <c r="DJ97" s="534"/>
      <c r="DK97" s="534"/>
      <c r="DL97" s="534"/>
      <c r="DM97" s="534"/>
      <c r="DN97" s="534"/>
      <c r="DQ97" s="42"/>
      <c r="DR97" s="42"/>
      <c r="DS97" s="70"/>
      <c r="DT97" s="42" t="s">
        <v>1239</v>
      </c>
      <c r="DU97" s="42">
        <v>0</v>
      </c>
      <c r="DV97" s="42">
        <v>0</v>
      </c>
      <c r="DW97" s="42">
        <v>0</v>
      </c>
      <c r="DX97" s="42">
        <v>0</v>
      </c>
      <c r="DY97" s="42">
        <v>1</v>
      </c>
      <c r="DZ97" s="42">
        <v>1</v>
      </c>
      <c r="EA97" s="42"/>
      <c r="EB97" s="42"/>
      <c r="EC97" s="516"/>
      <c r="ED97" s="517"/>
      <c r="EE97" s="516"/>
      <c r="EF97" s="516" t="s">
        <v>1240</v>
      </c>
      <c r="EG97" s="516">
        <v>0</v>
      </c>
      <c r="EH97" s="516">
        <v>0</v>
      </c>
      <c r="EI97" s="516">
        <v>0</v>
      </c>
      <c r="EJ97" s="516">
        <v>1</v>
      </c>
      <c r="EK97" s="516">
        <v>20</v>
      </c>
      <c r="EL97" s="516">
        <v>0</v>
      </c>
      <c r="EM97" s="516">
        <v>21</v>
      </c>
      <c r="EN97" s="516"/>
      <c r="EO97" s="518"/>
      <c r="EP97" s="42"/>
    </row>
    <row r="98" spans="84:146">
      <c r="CF98" s="497"/>
      <c r="CG98" s="497"/>
      <c r="CH98" s="498"/>
      <c r="CI98" s="499" t="s">
        <v>1231</v>
      </c>
      <c r="CJ98" s="500">
        <v>4</v>
      </c>
      <c r="CK98" s="500">
        <v>4</v>
      </c>
      <c r="CL98" s="500">
        <v>8</v>
      </c>
      <c r="CM98" s="500">
        <v>1</v>
      </c>
      <c r="CN98" s="502">
        <v>0</v>
      </c>
      <c r="CO98" s="502">
        <v>17</v>
      </c>
      <c r="CP98" s="41"/>
      <c r="CR98" s="503"/>
      <c r="CS98" s="503"/>
      <c r="CT98" s="504"/>
      <c r="CU98" s="505" t="s">
        <v>1231</v>
      </c>
      <c r="CV98" s="506">
        <v>7</v>
      </c>
      <c r="CW98" s="506">
        <v>3</v>
      </c>
      <c r="CX98" s="506">
        <v>12</v>
      </c>
      <c r="CY98" s="506">
        <v>3</v>
      </c>
      <c r="CZ98" s="509">
        <v>0</v>
      </c>
      <c r="DA98" s="509">
        <v>0</v>
      </c>
      <c r="DB98" s="509">
        <v>25</v>
      </c>
      <c r="DC98" s="510"/>
      <c r="DE98" s="511"/>
      <c r="DF98" s="511"/>
      <c r="DI98" s="129"/>
      <c r="DJ98" s="129"/>
      <c r="DK98" s="129"/>
      <c r="DL98" s="129"/>
      <c r="DM98" s="129"/>
      <c r="DN98" s="129"/>
      <c r="DQ98" s="42"/>
      <c r="DR98" s="42"/>
      <c r="DS98" s="70"/>
      <c r="DT98" s="42" t="s">
        <v>1240</v>
      </c>
      <c r="DU98" s="42">
        <v>0</v>
      </c>
      <c r="DV98" s="42">
        <v>0</v>
      </c>
      <c r="DW98" s="42">
        <v>12</v>
      </c>
      <c r="DX98" s="42">
        <v>20</v>
      </c>
      <c r="DY98" s="42">
        <v>0</v>
      </c>
      <c r="DZ98" s="42">
        <v>32</v>
      </c>
      <c r="EA98" s="42"/>
      <c r="EB98" s="42"/>
      <c r="EC98" s="516"/>
      <c r="ED98" s="517"/>
      <c r="EE98" s="516"/>
      <c r="EF98" s="516" t="s">
        <v>1323</v>
      </c>
      <c r="EG98" s="516">
        <v>0</v>
      </c>
      <c r="EH98" s="516">
        <v>0</v>
      </c>
      <c r="EI98" s="516">
        <v>0</v>
      </c>
      <c r="EJ98" s="516">
        <v>5</v>
      </c>
      <c r="EK98" s="516">
        <v>0</v>
      </c>
      <c r="EL98" s="516">
        <v>0</v>
      </c>
      <c r="EM98" s="516">
        <v>5</v>
      </c>
      <c r="EN98" s="516"/>
      <c r="EO98" s="518"/>
      <c r="EP98" s="42"/>
    </row>
    <row r="99" spans="84:146">
      <c r="CF99" s="497"/>
      <c r="CG99" s="497"/>
      <c r="CH99" s="498"/>
      <c r="CI99" s="499" t="s">
        <v>1233</v>
      </c>
      <c r="CJ99" s="500">
        <v>3</v>
      </c>
      <c r="CK99" s="500">
        <v>1</v>
      </c>
      <c r="CL99" s="500">
        <v>0</v>
      </c>
      <c r="CM99" s="500">
        <v>0</v>
      </c>
      <c r="CN99" s="502">
        <v>0</v>
      </c>
      <c r="CO99" s="502">
        <v>4</v>
      </c>
      <c r="CP99" s="41"/>
      <c r="CR99" s="503"/>
      <c r="CS99" s="503"/>
      <c r="CT99" s="504"/>
      <c r="CU99" s="505" t="s">
        <v>1233</v>
      </c>
      <c r="CV99" s="506">
        <v>1</v>
      </c>
      <c r="CW99" s="506">
        <v>2</v>
      </c>
      <c r="CX99" s="506">
        <v>1</v>
      </c>
      <c r="CY99" s="506">
        <v>0</v>
      </c>
      <c r="CZ99" s="509">
        <v>0</v>
      </c>
      <c r="DA99" s="509">
        <v>0</v>
      </c>
      <c r="DB99" s="509">
        <v>4</v>
      </c>
      <c r="DC99" s="510"/>
      <c r="DE99" s="511"/>
      <c r="DG99" s="511"/>
      <c r="DH99" s="512"/>
      <c r="DI99" s="514"/>
      <c r="DJ99" s="514"/>
      <c r="DK99" s="514"/>
      <c r="DL99" s="514"/>
      <c r="DM99" s="514"/>
      <c r="DN99" s="514"/>
      <c r="DQ99" s="42"/>
      <c r="DR99" s="42"/>
      <c r="DS99" s="70"/>
      <c r="DT99" s="42" t="s">
        <v>1323</v>
      </c>
      <c r="DU99" s="42">
        <v>0</v>
      </c>
      <c r="DV99" s="42">
        <v>0</v>
      </c>
      <c r="DW99" s="42">
        <v>5</v>
      </c>
      <c r="DX99" s="42">
        <v>1</v>
      </c>
      <c r="DY99" s="42">
        <v>0</v>
      </c>
      <c r="DZ99" s="42">
        <v>6</v>
      </c>
      <c r="EA99" s="42"/>
      <c r="EB99" s="42"/>
      <c r="EC99" s="516"/>
      <c r="ED99" s="517"/>
      <c r="EE99" s="516"/>
      <c r="EF99" s="519" t="s">
        <v>15</v>
      </c>
      <c r="EG99" s="519">
        <v>0</v>
      </c>
      <c r="EH99" s="519">
        <v>3</v>
      </c>
      <c r="EI99" s="519">
        <v>5</v>
      </c>
      <c r="EJ99" s="519">
        <v>22</v>
      </c>
      <c r="EK99" s="519">
        <v>25</v>
      </c>
      <c r="EL99" s="519">
        <v>10</v>
      </c>
      <c r="EM99" s="519">
        <v>65</v>
      </c>
      <c r="EN99" s="520">
        <f>+(EM98+EM97+EM94)/EM99</f>
        <v>0.44615384615384618</v>
      </c>
      <c r="EO99" s="518">
        <f>+EM94+EM97+EM98</f>
        <v>29</v>
      </c>
      <c r="EP99" s="42"/>
    </row>
    <row r="100" spans="84:146">
      <c r="CF100" s="497"/>
      <c r="CG100" s="497"/>
      <c r="CH100" s="498"/>
      <c r="CI100" s="499" t="s">
        <v>1235</v>
      </c>
      <c r="CJ100" s="500">
        <v>0</v>
      </c>
      <c r="CK100" s="500">
        <v>0</v>
      </c>
      <c r="CL100" s="500">
        <v>4</v>
      </c>
      <c r="CM100" s="500">
        <v>4</v>
      </c>
      <c r="CN100" s="502">
        <v>0</v>
      </c>
      <c r="CO100" s="502">
        <v>8</v>
      </c>
      <c r="CP100" s="41"/>
      <c r="CR100" s="503"/>
      <c r="CS100" s="503"/>
      <c r="CT100" s="504"/>
      <c r="CU100" s="505" t="s">
        <v>1235</v>
      </c>
      <c r="CV100" s="506">
        <v>0</v>
      </c>
      <c r="CW100" s="506">
        <v>0</v>
      </c>
      <c r="CX100" s="506">
        <v>40</v>
      </c>
      <c r="CY100" s="506">
        <v>4</v>
      </c>
      <c r="CZ100" s="509">
        <v>1</v>
      </c>
      <c r="DA100" s="509">
        <v>1</v>
      </c>
      <c r="DB100" s="509">
        <v>46</v>
      </c>
      <c r="DC100" s="510"/>
      <c r="DE100" s="511"/>
      <c r="DF100" s="511"/>
      <c r="DG100" s="511"/>
      <c r="DH100" s="512"/>
      <c r="DI100" s="514"/>
      <c r="DJ100" s="514"/>
      <c r="DK100" s="514"/>
      <c r="DL100" s="514"/>
      <c r="DM100" s="514"/>
      <c r="DN100" s="514"/>
      <c r="DQ100" s="42"/>
      <c r="DR100" s="42"/>
      <c r="DS100" s="70"/>
      <c r="DT100" s="484" t="s">
        <v>15</v>
      </c>
      <c r="DU100" s="484">
        <v>2</v>
      </c>
      <c r="DV100" s="484">
        <v>7</v>
      </c>
      <c r="DW100" s="484">
        <v>28</v>
      </c>
      <c r="DX100" s="484">
        <v>29</v>
      </c>
      <c r="DY100" s="484">
        <v>30</v>
      </c>
      <c r="DZ100" s="484">
        <v>96</v>
      </c>
      <c r="EA100" s="536">
        <f>+(DZ95+DZ98+DZ99)/DZ100</f>
        <v>0.5</v>
      </c>
      <c r="EB100" s="42"/>
      <c r="EC100" s="516"/>
      <c r="ED100" s="517"/>
      <c r="EE100" s="516" t="s">
        <v>25</v>
      </c>
      <c r="EF100" s="516" t="s">
        <v>1230</v>
      </c>
      <c r="EG100" s="516">
        <v>0</v>
      </c>
      <c r="EH100" s="516">
        <v>0</v>
      </c>
      <c r="EI100" s="516">
        <v>0</v>
      </c>
      <c r="EJ100" s="516">
        <v>0</v>
      </c>
      <c r="EK100" s="516">
        <v>0</v>
      </c>
      <c r="EL100" s="516">
        <v>6</v>
      </c>
      <c r="EM100" s="516">
        <v>6</v>
      </c>
      <c r="EN100" s="516"/>
      <c r="EO100" s="518"/>
      <c r="EP100" s="42"/>
    </row>
    <row r="101" spans="84:146">
      <c r="CF101" s="497"/>
      <c r="CG101" s="497"/>
      <c r="CH101" s="498"/>
      <c r="CI101" s="499" t="s">
        <v>1236</v>
      </c>
      <c r="CJ101" s="500">
        <v>4</v>
      </c>
      <c r="CK101" s="500">
        <v>1</v>
      </c>
      <c r="CL101" s="500">
        <v>4</v>
      </c>
      <c r="CM101" s="500">
        <v>0</v>
      </c>
      <c r="CN101" s="502">
        <v>1</v>
      </c>
      <c r="CO101" s="502">
        <v>10</v>
      </c>
      <c r="CP101" s="41"/>
      <c r="CR101" s="503"/>
      <c r="CS101" s="503"/>
      <c r="CT101" s="504"/>
      <c r="CU101" s="505" t="s">
        <v>1236</v>
      </c>
      <c r="CV101" s="506">
        <v>0</v>
      </c>
      <c r="CW101" s="506">
        <v>1</v>
      </c>
      <c r="CX101" s="506">
        <v>0</v>
      </c>
      <c r="CY101" s="506">
        <v>0</v>
      </c>
      <c r="CZ101" s="509">
        <v>0</v>
      </c>
      <c r="DA101" s="509">
        <v>1</v>
      </c>
      <c r="DB101" s="509">
        <v>2</v>
      </c>
      <c r="DC101" s="510"/>
      <c r="DE101" s="511"/>
      <c r="DF101" s="511"/>
      <c r="DG101" s="511" t="s">
        <v>110</v>
      </c>
      <c r="DH101" s="512" t="s">
        <v>1230</v>
      </c>
      <c r="DI101" s="514">
        <v>0</v>
      </c>
      <c r="DJ101" s="514">
        <v>0</v>
      </c>
      <c r="DK101" s="514">
        <v>0</v>
      </c>
      <c r="DL101" s="514">
        <v>0</v>
      </c>
      <c r="DM101" s="514">
        <v>8</v>
      </c>
      <c r="DN101" s="514">
        <v>8</v>
      </c>
      <c r="DO101" s="515"/>
      <c r="DQ101" s="42"/>
      <c r="DR101" s="42"/>
      <c r="DS101" s="70" t="s">
        <v>25</v>
      </c>
      <c r="DT101" s="42" t="s">
        <v>1230</v>
      </c>
      <c r="DU101" s="42">
        <v>0</v>
      </c>
      <c r="DV101" s="42">
        <v>1</v>
      </c>
      <c r="DW101" s="42">
        <v>9</v>
      </c>
      <c r="DX101" s="42">
        <v>0</v>
      </c>
      <c r="DY101" s="42">
        <v>4</v>
      </c>
      <c r="DZ101" s="42">
        <v>14</v>
      </c>
      <c r="EA101" s="571"/>
      <c r="EB101" s="42"/>
      <c r="EC101" s="516"/>
      <c r="ED101" s="517"/>
      <c r="EE101" s="516"/>
      <c r="EF101" s="516" t="s">
        <v>1231</v>
      </c>
      <c r="EG101" s="516">
        <v>0</v>
      </c>
      <c r="EH101" s="516">
        <v>3</v>
      </c>
      <c r="EI101" s="516">
        <v>28</v>
      </c>
      <c r="EJ101" s="516">
        <v>67</v>
      </c>
      <c r="EK101" s="516">
        <v>0</v>
      </c>
      <c r="EL101" s="516">
        <v>0</v>
      </c>
      <c r="EM101" s="516">
        <v>98</v>
      </c>
      <c r="EN101" s="516"/>
      <c r="EO101" s="518"/>
      <c r="EP101" s="42"/>
    </row>
    <row r="102" spans="84:146">
      <c r="CF102" s="497"/>
      <c r="CG102" s="497"/>
      <c r="CH102" s="498"/>
      <c r="CI102" s="499" t="s">
        <v>1239</v>
      </c>
      <c r="CJ102" s="500">
        <v>0</v>
      </c>
      <c r="CK102" s="500">
        <v>0</v>
      </c>
      <c r="CL102" s="500">
        <v>0</v>
      </c>
      <c r="CM102" s="500">
        <v>0</v>
      </c>
      <c r="CN102" s="502">
        <v>1</v>
      </c>
      <c r="CO102" s="502">
        <v>1</v>
      </c>
      <c r="CP102" s="41"/>
      <c r="CR102" s="503"/>
      <c r="CS102" s="503"/>
      <c r="CT102" s="504"/>
      <c r="CU102" s="505"/>
      <c r="CV102" s="506"/>
      <c r="CW102" s="506"/>
      <c r="CX102" s="506"/>
      <c r="CY102" s="506"/>
      <c r="CZ102" s="509"/>
      <c r="DA102" s="509"/>
      <c r="DB102" s="509"/>
      <c r="DC102" s="510"/>
      <c r="DE102" s="511"/>
      <c r="DF102" s="511"/>
      <c r="DG102" s="511"/>
      <c r="DH102" s="512" t="s">
        <v>1231</v>
      </c>
      <c r="DI102" s="514">
        <v>6</v>
      </c>
      <c r="DJ102" s="514">
        <v>1</v>
      </c>
      <c r="DK102" s="514">
        <v>8</v>
      </c>
      <c r="DL102" s="514">
        <v>4</v>
      </c>
      <c r="DM102" s="514">
        <v>0</v>
      </c>
      <c r="DN102" s="514">
        <v>19</v>
      </c>
      <c r="DO102" s="515"/>
      <c r="DQ102" s="42"/>
      <c r="DR102" s="42"/>
      <c r="DS102" s="70"/>
      <c r="DT102" s="42" t="s">
        <v>1231</v>
      </c>
      <c r="DU102" s="42">
        <v>11</v>
      </c>
      <c r="DV102" s="42">
        <v>2</v>
      </c>
      <c r="DW102" s="42">
        <v>34</v>
      </c>
      <c r="DX102" s="42">
        <v>0</v>
      </c>
      <c r="DY102" s="42">
        <v>0</v>
      </c>
      <c r="DZ102" s="42">
        <v>47</v>
      </c>
      <c r="EA102" s="571"/>
      <c r="EB102" s="42"/>
      <c r="EC102" s="516"/>
      <c r="ED102" s="517"/>
      <c r="EE102" s="516"/>
      <c r="EF102" s="516" t="s">
        <v>1235</v>
      </c>
      <c r="EG102" s="516">
        <v>0</v>
      </c>
      <c r="EH102" s="516">
        <v>0</v>
      </c>
      <c r="EI102" s="516">
        <v>0</v>
      </c>
      <c r="EJ102" s="516">
        <v>8</v>
      </c>
      <c r="EK102" s="516">
        <v>8</v>
      </c>
      <c r="EL102" s="516">
        <v>0</v>
      </c>
      <c r="EM102" s="516">
        <v>16</v>
      </c>
      <c r="EN102" s="516"/>
      <c r="EO102" s="518"/>
      <c r="EP102" s="42"/>
    </row>
    <row r="103" spans="84:146">
      <c r="CF103" s="497"/>
      <c r="CG103" s="497"/>
      <c r="CH103" s="498"/>
      <c r="CI103" s="499" t="s">
        <v>1240</v>
      </c>
      <c r="CJ103" s="500">
        <v>0</v>
      </c>
      <c r="CK103" s="500">
        <v>0</v>
      </c>
      <c r="CL103" s="500">
        <v>19</v>
      </c>
      <c r="CM103" s="500">
        <v>25</v>
      </c>
      <c r="CN103" s="502">
        <v>1</v>
      </c>
      <c r="CO103" s="502">
        <v>45</v>
      </c>
      <c r="CP103" s="41"/>
      <c r="CR103" s="503"/>
      <c r="CS103" s="503"/>
      <c r="CT103" s="504"/>
      <c r="CU103" s="505" t="s">
        <v>1240</v>
      </c>
      <c r="CV103" s="506">
        <v>0</v>
      </c>
      <c r="CW103" s="506">
        <v>0</v>
      </c>
      <c r="CX103" s="506">
        <v>15</v>
      </c>
      <c r="CY103" s="506">
        <v>0</v>
      </c>
      <c r="CZ103" s="509">
        <v>0</v>
      </c>
      <c r="DA103" s="509">
        <v>0</v>
      </c>
      <c r="DB103" s="509">
        <v>15</v>
      </c>
      <c r="DC103" s="510"/>
      <c r="DE103" s="511"/>
      <c r="DF103" s="511"/>
      <c r="DG103" s="511"/>
      <c r="DH103" s="512" t="s">
        <v>1235</v>
      </c>
      <c r="DI103" s="514">
        <v>0</v>
      </c>
      <c r="DJ103" s="514">
        <v>0</v>
      </c>
      <c r="DK103" s="514">
        <v>58</v>
      </c>
      <c r="DL103" s="514">
        <v>5</v>
      </c>
      <c r="DM103" s="514">
        <v>0</v>
      </c>
      <c r="DN103" s="514">
        <v>63</v>
      </c>
      <c r="DO103" s="515"/>
      <c r="DQ103" s="42"/>
      <c r="DR103" s="42"/>
      <c r="DS103" s="70"/>
      <c r="DT103" s="42" t="s">
        <v>1233</v>
      </c>
      <c r="DU103" s="42">
        <v>0</v>
      </c>
      <c r="DV103" s="42">
        <v>1</v>
      </c>
      <c r="DW103" s="42">
        <v>0</v>
      </c>
      <c r="DX103" s="42">
        <v>0</v>
      </c>
      <c r="DY103" s="42">
        <v>0</v>
      </c>
      <c r="DZ103" s="42">
        <v>1</v>
      </c>
      <c r="EA103" s="571"/>
      <c r="EB103" s="42"/>
      <c r="EC103" s="516"/>
      <c r="ED103" s="517"/>
      <c r="EE103" s="516"/>
      <c r="EF103" s="516" t="s">
        <v>1236</v>
      </c>
      <c r="EG103" s="516">
        <v>0</v>
      </c>
      <c r="EH103" s="516">
        <v>0</v>
      </c>
      <c r="EI103" s="516">
        <v>3</v>
      </c>
      <c r="EJ103" s="516">
        <v>1</v>
      </c>
      <c r="EK103" s="516">
        <v>0</v>
      </c>
      <c r="EL103" s="516">
        <v>0</v>
      </c>
      <c r="EM103" s="516">
        <v>4</v>
      </c>
      <c r="EN103" s="516"/>
      <c r="EO103" s="518"/>
      <c r="EP103" s="42"/>
    </row>
    <row r="104" spans="84:146">
      <c r="CF104" s="497"/>
      <c r="CG104" s="497"/>
      <c r="CH104" s="498"/>
      <c r="CI104" s="499" t="s">
        <v>1323</v>
      </c>
      <c r="CJ104" s="500">
        <v>0</v>
      </c>
      <c r="CK104" s="500">
        <v>0</v>
      </c>
      <c r="CL104" s="500">
        <v>30</v>
      </c>
      <c r="CM104" s="500">
        <v>8</v>
      </c>
      <c r="CN104" s="502">
        <v>0</v>
      </c>
      <c r="CO104" s="502">
        <v>38</v>
      </c>
      <c r="CP104" s="41"/>
      <c r="CR104" s="503"/>
      <c r="CS104" s="503"/>
      <c r="CT104" s="504"/>
      <c r="CU104" s="505" t="s">
        <v>1323</v>
      </c>
      <c r="CV104" s="506">
        <v>0</v>
      </c>
      <c r="CW104" s="506">
        <v>0</v>
      </c>
      <c r="CX104" s="506">
        <v>12</v>
      </c>
      <c r="CY104" s="506">
        <v>3</v>
      </c>
      <c r="CZ104" s="509">
        <v>1</v>
      </c>
      <c r="DA104" s="509">
        <v>0</v>
      </c>
      <c r="DB104" s="509">
        <v>16</v>
      </c>
      <c r="DC104" s="510"/>
      <c r="DE104" s="511"/>
      <c r="DF104" s="511"/>
      <c r="DG104" s="511"/>
      <c r="DH104" s="512" t="s">
        <v>1236</v>
      </c>
      <c r="DI104" s="514">
        <v>5</v>
      </c>
      <c r="DJ104" s="514">
        <v>3</v>
      </c>
      <c r="DK104" s="514">
        <v>5</v>
      </c>
      <c r="DL104" s="514">
        <v>0</v>
      </c>
      <c r="DM104" s="514">
        <v>0</v>
      </c>
      <c r="DN104" s="514">
        <v>13</v>
      </c>
      <c r="DO104" s="515"/>
      <c r="DQ104" s="42"/>
      <c r="DR104" s="42"/>
      <c r="DS104" s="70"/>
      <c r="DT104" s="42" t="s">
        <v>1235</v>
      </c>
      <c r="DU104" s="42">
        <v>0</v>
      </c>
      <c r="DV104" s="42">
        <v>0</v>
      </c>
      <c r="DW104" s="42">
        <v>38</v>
      </c>
      <c r="DX104" s="42">
        <v>8</v>
      </c>
      <c r="DY104" s="42">
        <v>0</v>
      </c>
      <c r="DZ104" s="42">
        <v>46</v>
      </c>
      <c r="EA104" s="571"/>
      <c r="EB104" s="42"/>
      <c r="EC104" s="516"/>
      <c r="ED104" s="517"/>
      <c r="EE104" s="516"/>
      <c r="EF104" s="516" t="s">
        <v>1239</v>
      </c>
      <c r="EG104" s="516">
        <v>0</v>
      </c>
      <c r="EH104" s="516">
        <v>0</v>
      </c>
      <c r="EI104" s="516">
        <v>0</v>
      </c>
      <c r="EJ104" s="516">
        <v>0</v>
      </c>
      <c r="EK104" s="516">
        <v>0</v>
      </c>
      <c r="EL104" s="516">
        <v>1</v>
      </c>
      <c r="EM104" s="516">
        <v>1</v>
      </c>
      <c r="EN104" s="516"/>
      <c r="EO104" s="518"/>
      <c r="EP104" s="42"/>
    </row>
    <row r="105" spans="84:146" ht="15" thickBot="1">
      <c r="CF105" s="485"/>
      <c r="CG105" s="485"/>
      <c r="CH105" s="572"/>
      <c r="CI105" s="572" t="s">
        <v>113</v>
      </c>
      <c r="CJ105" s="573">
        <v>11</v>
      </c>
      <c r="CK105" s="573">
        <v>6</v>
      </c>
      <c r="CL105" s="573">
        <v>65</v>
      </c>
      <c r="CM105" s="573">
        <v>39</v>
      </c>
      <c r="CN105" s="574">
        <v>25</v>
      </c>
      <c r="CO105" s="574">
        <v>146</v>
      </c>
      <c r="CP105" s="575">
        <f>+(CO100+CO103+CO104-CN103)/CO105</f>
        <v>0.61643835616438358</v>
      </c>
      <c r="CR105" s="563"/>
      <c r="CS105" s="563"/>
      <c r="CT105" s="564"/>
      <c r="CU105" s="565" t="s">
        <v>113</v>
      </c>
      <c r="CV105" s="566">
        <v>8</v>
      </c>
      <c r="CW105" s="566">
        <v>6</v>
      </c>
      <c r="CX105" s="566">
        <v>80</v>
      </c>
      <c r="CY105" s="566">
        <v>10</v>
      </c>
      <c r="CZ105" s="567">
        <v>41</v>
      </c>
      <c r="DA105" s="567">
        <v>2</v>
      </c>
      <c r="DB105" s="567">
        <v>147</v>
      </c>
      <c r="DC105" s="568">
        <f>+(DB104+DB103+DB100-CZ104-DA100-CZ100)/DB105</f>
        <v>0.50340136054421769</v>
      </c>
      <c r="DE105" s="511"/>
      <c r="DF105" s="511"/>
      <c r="DG105" s="511"/>
      <c r="DH105" s="512" t="s">
        <v>1240</v>
      </c>
      <c r="DI105" s="514">
        <v>0</v>
      </c>
      <c r="DJ105" s="514">
        <v>0</v>
      </c>
      <c r="DK105" s="514">
        <v>1</v>
      </c>
      <c r="DL105" s="514">
        <v>0</v>
      </c>
      <c r="DM105" s="514">
        <v>0</v>
      </c>
      <c r="DN105" s="514">
        <v>1</v>
      </c>
      <c r="DO105" s="515"/>
      <c r="DQ105" s="42"/>
      <c r="DR105" s="42"/>
      <c r="DS105" s="70"/>
      <c r="DT105" s="42" t="s">
        <v>1236</v>
      </c>
      <c r="DU105" s="42">
        <v>0</v>
      </c>
      <c r="DV105" s="42">
        <v>4</v>
      </c>
      <c r="DW105" s="42">
        <v>1</v>
      </c>
      <c r="DX105" s="42">
        <v>0</v>
      </c>
      <c r="DY105" s="42">
        <v>0</v>
      </c>
      <c r="DZ105" s="42">
        <v>5</v>
      </c>
      <c r="EA105" s="571"/>
      <c r="EB105" s="42"/>
      <c r="EC105" s="516"/>
      <c r="ED105" s="517"/>
      <c r="EE105" s="516"/>
      <c r="EF105" s="516" t="s">
        <v>1240</v>
      </c>
      <c r="EG105" s="516">
        <v>0</v>
      </c>
      <c r="EH105" s="516">
        <v>0</v>
      </c>
      <c r="EI105" s="516">
        <v>0</v>
      </c>
      <c r="EJ105" s="516">
        <v>5</v>
      </c>
      <c r="EK105" s="516">
        <v>7</v>
      </c>
      <c r="EL105" s="516">
        <v>0</v>
      </c>
      <c r="EM105" s="516">
        <v>12</v>
      </c>
      <c r="EN105" s="516"/>
      <c r="EO105" s="518"/>
      <c r="EP105" s="42"/>
    </row>
    <row r="106" spans="84:146">
      <c r="CF106" s="44" t="s">
        <v>825</v>
      </c>
      <c r="CG106" s="1"/>
      <c r="CH106" s="1"/>
      <c r="CI106" s="1"/>
      <c r="CJ106" s="167"/>
      <c r="CK106" s="167"/>
      <c r="CL106" s="167"/>
      <c r="CM106" s="167"/>
      <c r="CN106" s="167"/>
      <c r="CO106" s="167"/>
      <c r="CR106" s="41"/>
      <c r="CS106" s="41"/>
      <c r="CT106" s="41"/>
      <c r="CU106" s="41"/>
      <c r="CV106" s="41"/>
      <c r="CW106" s="41"/>
      <c r="CX106" s="41"/>
      <c r="CY106" s="41"/>
      <c r="CZ106" s="41"/>
      <c r="DA106" s="41"/>
      <c r="DB106" s="41"/>
      <c r="DC106" s="41"/>
      <c r="DE106" s="511"/>
      <c r="DF106" s="511"/>
      <c r="DG106" s="511"/>
      <c r="DH106" s="512" t="s">
        <v>1323</v>
      </c>
      <c r="DI106" s="514">
        <v>0</v>
      </c>
      <c r="DJ106" s="514">
        <v>0</v>
      </c>
      <c r="DK106" s="514">
        <v>2</v>
      </c>
      <c r="DL106" s="514">
        <v>1</v>
      </c>
      <c r="DM106" s="514">
        <v>0</v>
      </c>
      <c r="DN106" s="514">
        <v>3</v>
      </c>
      <c r="DO106" s="515"/>
      <c r="DQ106" s="42"/>
      <c r="DR106" s="42"/>
      <c r="DS106" s="70"/>
      <c r="DT106" s="42" t="s">
        <v>1240</v>
      </c>
      <c r="DU106" s="42">
        <v>0</v>
      </c>
      <c r="DV106" s="42">
        <v>0</v>
      </c>
      <c r="DW106" s="42">
        <v>1</v>
      </c>
      <c r="DX106" s="42">
        <v>0</v>
      </c>
      <c r="DY106" s="42">
        <v>0</v>
      </c>
      <c r="DZ106" s="42">
        <v>1</v>
      </c>
      <c r="EA106" s="571"/>
      <c r="EB106" s="42"/>
      <c r="EC106" s="516"/>
      <c r="ED106" s="517"/>
      <c r="EE106" s="516"/>
      <c r="EF106" s="516" t="s">
        <v>1323</v>
      </c>
      <c r="EG106" s="516">
        <v>0</v>
      </c>
      <c r="EH106" s="516">
        <v>0</v>
      </c>
      <c r="EI106" s="516">
        <v>0</v>
      </c>
      <c r="EJ106" s="516">
        <v>0</v>
      </c>
      <c r="EK106" s="516">
        <v>2</v>
      </c>
      <c r="EL106" s="516">
        <v>0</v>
      </c>
      <c r="EM106" s="516">
        <v>2</v>
      </c>
      <c r="EN106" s="516"/>
      <c r="EO106" s="518"/>
      <c r="EP106" s="42"/>
    </row>
    <row r="107" spans="84:146">
      <c r="CF107" s="576" t="s">
        <v>839</v>
      </c>
      <c r="CG107" s="1"/>
      <c r="CH107" s="1"/>
      <c r="CI107" s="1"/>
      <c r="CJ107" s="577"/>
      <c r="CK107" s="577"/>
      <c r="CL107" s="577"/>
      <c r="CM107" s="577"/>
      <c r="CN107" s="577"/>
      <c r="CO107" s="577"/>
      <c r="CR107" s="461" t="s">
        <v>1329</v>
      </c>
      <c r="CS107" s="41"/>
      <c r="CT107" s="41"/>
      <c r="CU107" s="41"/>
      <c r="CV107" s="41"/>
      <c r="CW107" s="41"/>
      <c r="CX107" s="41"/>
      <c r="CY107" s="41"/>
      <c r="CZ107" s="41"/>
      <c r="DA107" s="41"/>
      <c r="DB107" s="41"/>
      <c r="DC107" s="41"/>
      <c r="DE107" s="511"/>
      <c r="DF107" s="511"/>
      <c r="DG107" s="511"/>
      <c r="DH107" s="532" t="s">
        <v>110</v>
      </c>
      <c r="DI107" s="534">
        <v>11</v>
      </c>
      <c r="DJ107" s="534">
        <v>4</v>
      </c>
      <c r="DK107" s="534">
        <v>74</v>
      </c>
      <c r="DL107" s="534">
        <v>10</v>
      </c>
      <c r="DM107" s="534">
        <v>8</v>
      </c>
      <c r="DN107" s="534">
        <v>107</v>
      </c>
      <c r="DO107" s="535">
        <f>+(DN106+DN105+DN103)/DN107</f>
        <v>0.62616822429906538</v>
      </c>
      <c r="DQ107" s="42"/>
      <c r="DR107" s="42"/>
      <c r="DS107" s="70"/>
      <c r="DT107" s="42" t="s">
        <v>1323</v>
      </c>
      <c r="DU107" s="42">
        <v>0</v>
      </c>
      <c r="DV107" s="42">
        <v>0</v>
      </c>
      <c r="DW107" s="42">
        <v>0</v>
      </c>
      <c r="DX107" s="42">
        <v>1</v>
      </c>
      <c r="DY107" s="42">
        <v>1</v>
      </c>
      <c r="DZ107" s="42">
        <v>2</v>
      </c>
      <c r="EA107" s="571"/>
      <c r="EB107" s="42"/>
      <c r="EC107" s="516"/>
      <c r="ED107" s="517"/>
      <c r="EE107" s="516"/>
      <c r="EF107" s="519" t="s">
        <v>15</v>
      </c>
      <c r="EG107" s="519">
        <v>0</v>
      </c>
      <c r="EH107" s="519">
        <v>3</v>
      </c>
      <c r="EI107" s="519">
        <v>31</v>
      </c>
      <c r="EJ107" s="519">
        <v>81</v>
      </c>
      <c r="EK107" s="519">
        <v>17</v>
      </c>
      <c r="EL107" s="519">
        <v>7</v>
      </c>
      <c r="EM107" s="519">
        <v>139</v>
      </c>
      <c r="EN107" s="520">
        <f>+(EM106+EM105+EM102)/EM107</f>
        <v>0.21582733812949639</v>
      </c>
      <c r="EO107" s="518">
        <f>+EM102+EM105+EM106</f>
        <v>30</v>
      </c>
      <c r="EP107" s="42"/>
    </row>
    <row r="108" spans="84:146">
      <c r="CF108" s="1"/>
      <c r="CG108" s="1"/>
      <c r="CH108" s="1"/>
      <c r="CI108" s="1"/>
      <c r="CJ108" s="1"/>
      <c r="CK108" s="1"/>
      <c r="CL108" s="1"/>
      <c r="CM108" s="1"/>
      <c r="CN108" s="1"/>
      <c r="CO108" s="1"/>
      <c r="DE108" s="511"/>
      <c r="DF108" s="511"/>
      <c r="DG108" s="511"/>
      <c r="DH108" s="512"/>
      <c r="DI108" s="514"/>
      <c r="DJ108" s="514"/>
      <c r="DK108" s="514"/>
      <c r="DL108" s="514"/>
      <c r="DM108" s="514"/>
      <c r="DN108" s="514"/>
      <c r="DQ108" s="42"/>
      <c r="DR108" s="42"/>
      <c r="DS108" s="70"/>
      <c r="DT108" s="484" t="s">
        <v>15</v>
      </c>
      <c r="DU108" s="484">
        <v>11</v>
      </c>
      <c r="DV108" s="484">
        <v>8</v>
      </c>
      <c r="DW108" s="484">
        <v>83</v>
      </c>
      <c r="DX108" s="484">
        <v>9</v>
      </c>
      <c r="DY108" s="484">
        <v>5</v>
      </c>
      <c r="DZ108" s="484">
        <v>116</v>
      </c>
      <c r="EA108" s="536">
        <f>(DZ107+DZ106+DZ104-DY107)/DZ108</f>
        <v>0.41379310344827586</v>
      </c>
      <c r="EB108" s="42"/>
      <c r="EC108" s="516"/>
      <c r="ED108" s="517"/>
      <c r="EE108" s="516" t="s">
        <v>48</v>
      </c>
      <c r="EF108" s="516" t="s">
        <v>1230</v>
      </c>
      <c r="EG108" s="516">
        <v>0</v>
      </c>
      <c r="EH108" s="516">
        <v>0</v>
      </c>
      <c r="EI108" s="516">
        <v>0</v>
      </c>
      <c r="EJ108" s="516">
        <v>0</v>
      </c>
      <c r="EK108" s="516">
        <v>3</v>
      </c>
      <c r="EL108" s="516">
        <v>11</v>
      </c>
      <c r="EM108" s="516">
        <v>14</v>
      </c>
      <c r="EN108" s="516"/>
      <c r="EO108" s="518"/>
      <c r="EP108" s="42"/>
    </row>
    <row r="109" spans="84:146">
      <c r="CF109" s="1"/>
      <c r="CG109" s="1"/>
      <c r="CH109" s="1"/>
      <c r="CI109" s="1"/>
      <c r="CJ109" s="1"/>
      <c r="CK109" s="1"/>
      <c r="CL109" s="1"/>
      <c r="CM109" s="1"/>
      <c r="CN109" s="1"/>
      <c r="CO109" s="1"/>
      <c r="DE109" s="511"/>
      <c r="DF109" s="511"/>
      <c r="DG109" s="511" t="s">
        <v>442</v>
      </c>
      <c r="DH109" s="512" t="s">
        <v>1230</v>
      </c>
      <c r="DI109" s="514">
        <v>0</v>
      </c>
      <c r="DJ109" s="513"/>
      <c r="DK109" s="514">
        <v>0</v>
      </c>
      <c r="DL109" s="514">
        <v>0</v>
      </c>
      <c r="DM109" s="514">
        <v>45</v>
      </c>
      <c r="DN109" s="514">
        <v>45</v>
      </c>
      <c r="DO109" s="515"/>
      <c r="DQ109" s="42"/>
      <c r="DR109" s="42"/>
      <c r="DS109" s="70" t="s">
        <v>48</v>
      </c>
      <c r="DT109" s="42" t="s">
        <v>1231</v>
      </c>
      <c r="DU109" s="42"/>
      <c r="DV109" s="42"/>
      <c r="DW109" s="42">
        <v>7</v>
      </c>
      <c r="DX109" s="42">
        <v>0</v>
      </c>
      <c r="DY109" s="42"/>
      <c r="DZ109" s="42">
        <v>7</v>
      </c>
      <c r="EA109" s="571"/>
      <c r="EB109" s="42"/>
      <c r="EC109" s="516"/>
      <c r="ED109" s="517"/>
      <c r="EE109" s="516"/>
      <c r="EF109" s="516" t="s">
        <v>1231</v>
      </c>
      <c r="EG109" s="516">
        <v>2</v>
      </c>
      <c r="EH109" s="516">
        <v>0</v>
      </c>
      <c r="EI109" s="516">
        <v>0</v>
      </c>
      <c r="EJ109" s="516">
        <v>0</v>
      </c>
      <c r="EK109" s="516">
        <v>0</v>
      </c>
      <c r="EL109" s="516">
        <v>0</v>
      </c>
      <c r="EM109" s="516">
        <v>2</v>
      </c>
      <c r="EN109" s="516"/>
      <c r="EO109" s="518"/>
      <c r="EP109" s="42"/>
    </row>
    <row r="110" spans="84:146">
      <c r="CF110" s="1"/>
      <c r="CG110" s="1"/>
      <c r="CH110" s="1"/>
      <c r="CI110" s="1"/>
      <c r="CJ110" s="1"/>
      <c r="CK110" s="1"/>
      <c r="CL110" s="1"/>
      <c r="CM110" s="1"/>
      <c r="CN110" s="1"/>
      <c r="CO110" s="1"/>
      <c r="DE110" s="511"/>
      <c r="DF110" s="511"/>
      <c r="DG110" s="511"/>
      <c r="DH110" s="512" t="s">
        <v>1231</v>
      </c>
      <c r="DI110" s="514">
        <v>1</v>
      </c>
      <c r="DJ110" s="513"/>
      <c r="DK110" s="514">
        <v>1</v>
      </c>
      <c r="DL110" s="514">
        <v>11</v>
      </c>
      <c r="DM110" s="514">
        <v>0</v>
      </c>
      <c r="DN110" s="514">
        <v>13</v>
      </c>
      <c r="DO110" s="515"/>
      <c r="DQ110" s="42"/>
      <c r="DR110" s="42"/>
      <c r="DS110" s="70"/>
      <c r="DT110" s="42" t="s">
        <v>1235</v>
      </c>
      <c r="DU110" s="42"/>
      <c r="DV110" s="42"/>
      <c r="DW110" s="42">
        <v>0</v>
      </c>
      <c r="DX110" s="42">
        <v>2</v>
      </c>
      <c r="DY110" s="42"/>
      <c r="DZ110" s="42">
        <v>2</v>
      </c>
      <c r="EA110" s="571"/>
      <c r="EB110" s="42"/>
      <c r="EC110" s="516"/>
      <c r="ED110" s="517"/>
      <c r="EE110" s="516"/>
      <c r="EF110" s="516" t="s">
        <v>1233</v>
      </c>
      <c r="EG110" s="516">
        <v>0</v>
      </c>
      <c r="EH110" s="516">
        <v>0</v>
      </c>
      <c r="EI110" s="516">
        <v>1</v>
      </c>
      <c r="EJ110" s="516">
        <v>0</v>
      </c>
      <c r="EK110" s="516">
        <v>0</v>
      </c>
      <c r="EL110" s="516">
        <v>0</v>
      </c>
      <c r="EM110" s="516">
        <v>1</v>
      </c>
      <c r="EN110" s="516"/>
      <c r="EO110" s="518"/>
      <c r="EP110" s="42"/>
    </row>
    <row r="111" spans="84:146">
      <c r="CF111" s="1"/>
      <c r="CG111" s="1"/>
      <c r="CH111" s="1"/>
      <c r="CI111" s="1"/>
      <c r="CJ111" s="1"/>
      <c r="CK111" s="1"/>
      <c r="CL111" s="1"/>
      <c r="CM111" s="1"/>
      <c r="CN111" s="1"/>
      <c r="CO111" s="1"/>
      <c r="DE111" s="511"/>
      <c r="DF111" s="511"/>
      <c r="DG111" s="511"/>
      <c r="DH111" s="512" t="s">
        <v>1233</v>
      </c>
      <c r="DI111" s="514">
        <v>1</v>
      </c>
      <c r="DJ111" s="513"/>
      <c r="DK111" s="514">
        <v>0</v>
      </c>
      <c r="DL111" s="514">
        <v>0</v>
      </c>
      <c r="DM111" s="514">
        <v>0</v>
      </c>
      <c r="DN111" s="514">
        <v>1</v>
      </c>
      <c r="DO111" s="515"/>
      <c r="DQ111" s="42"/>
      <c r="DR111" s="42"/>
      <c r="DS111" s="70"/>
      <c r="DT111" s="42" t="s">
        <v>1240</v>
      </c>
      <c r="DU111" s="42"/>
      <c r="DV111" s="42"/>
      <c r="DW111" s="42">
        <v>0</v>
      </c>
      <c r="DX111" s="42">
        <v>15</v>
      </c>
      <c r="DY111" s="42"/>
      <c r="DZ111" s="42">
        <v>15</v>
      </c>
      <c r="EA111" s="571"/>
      <c r="EB111" s="42"/>
      <c r="EC111" s="516"/>
      <c r="ED111" s="517"/>
      <c r="EE111" s="516"/>
      <c r="EF111" s="516" t="s">
        <v>1235</v>
      </c>
      <c r="EG111" s="516">
        <v>1</v>
      </c>
      <c r="EH111" s="516">
        <v>0</v>
      </c>
      <c r="EI111" s="516">
        <v>0</v>
      </c>
      <c r="EJ111" s="516">
        <v>0</v>
      </c>
      <c r="EK111" s="516">
        <v>2</v>
      </c>
      <c r="EL111" s="516">
        <v>0</v>
      </c>
      <c r="EM111" s="516">
        <v>3</v>
      </c>
      <c r="EN111" s="516"/>
      <c r="EO111" s="518"/>
      <c r="EP111" s="42"/>
    </row>
    <row r="112" spans="84:146" ht="15" thickBot="1">
      <c r="DE112" s="511"/>
      <c r="DF112" s="511"/>
      <c r="DG112" s="511"/>
      <c r="DH112" s="512" t="s">
        <v>1235</v>
      </c>
      <c r="DI112" s="514">
        <v>0</v>
      </c>
      <c r="DJ112" s="513"/>
      <c r="DK112" s="514">
        <v>0</v>
      </c>
      <c r="DL112" s="514">
        <v>1</v>
      </c>
      <c r="DM112" s="514">
        <v>1</v>
      </c>
      <c r="DN112" s="514">
        <v>2</v>
      </c>
      <c r="DO112" s="515"/>
      <c r="DQ112" s="42"/>
      <c r="DR112" s="42"/>
      <c r="DS112" s="542"/>
      <c r="DT112" s="544" t="s">
        <v>15</v>
      </c>
      <c r="DU112" s="544"/>
      <c r="DV112" s="544"/>
      <c r="DW112" s="544">
        <v>7</v>
      </c>
      <c r="DX112" s="544">
        <v>17</v>
      </c>
      <c r="DY112" s="544"/>
      <c r="DZ112" s="544">
        <v>24</v>
      </c>
      <c r="EA112" s="578">
        <f>(+DZ111+DZ110)/DZ112</f>
        <v>0.70833333333333337</v>
      </c>
      <c r="EB112" s="42"/>
      <c r="EC112" s="516"/>
      <c r="ED112" s="517"/>
      <c r="EE112" s="516"/>
      <c r="EF112" s="516" t="s">
        <v>1236</v>
      </c>
      <c r="EG112" s="516">
        <v>3</v>
      </c>
      <c r="EH112" s="516">
        <v>0</v>
      </c>
      <c r="EI112" s="516">
        <v>1</v>
      </c>
      <c r="EJ112" s="516">
        <v>1</v>
      </c>
      <c r="EK112" s="516">
        <v>0</v>
      </c>
      <c r="EL112" s="516">
        <v>0</v>
      </c>
      <c r="EM112" s="516">
        <v>5</v>
      </c>
      <c r="EN112" s="516"/>
      <c r="EO112" s="518"/>
      <c r="EP112" s="42"/>
    </row>
    <row r="113" spans="109:146">
      <c r="DE113" s="511"/>
      <c r="DF113" s="511"/>
      <c r="DG113" s="511"/>
      <c r="DH113" s="512" t="s">
        <v>1236</v>
      </c>
      <c r="DI113" s="514">
        <v>2</v>
      </c>
      <c r="DJ113" s="513"/>
      <c r="DK113" s="514">
        <v>0</v>
      </c>
      <c r="DL113" s="514">
        <v>0</v>
      </c>
      <c r="DM113" s="514">
        <v>0</v>
      </c>
      <c r="DN113" s="514">
        <v>2</v>
      </c>
      <c r="DO113" s="515"/>
      <c r="DQ113" s="42"/>
      <c r="DR113" s="42"/>
      <c r="DS113" s="42"/>
      <c r="DT113" s="42"/>
      <c r="DU113" s="42"/>
      <c r="DV113" s="42"/>
      <c r="DW113" s="42"/>
      <c r="DX113" s="42"/>
      <c r="DY113" s="42"/>
      <c r="DZ113" s="42"/>
      <c r="EA113" s="42"/>
      <c r="EB113" s="42"/>
      <c r="EC113" s="516"/>
      <c r="ED113" s="517"/>
      <c r="EE113" s="516"/>
      <c r="EF113" s="516" t="s">
        <v>1240</v>
      </c>
      <c r="EG113" s="516">
        <v>0</v>
      </c>
      <c r="EH113" s="516">
        <v>0</v>
      </c>
      <c r="EI113" s="516">
        <v>0</v>
      </c>
      <c r="EJ113" s="516">
        <v>1</v>
      </c>
      <c r="EK113" s="516">
        <v>35</v>
      </c>
      <c r="EL113" s="516">
        <v>1</v>
      </c>
      <c r="EM113" s="516">
        <v>37</v>
      </c>
      <c r="EN113" s="516"/>
      <c r="EO113" s="518"/>
      <c r="EP113" s="42"/>
    </row>
    <row r="114" spans="109:146">
      <c r="DE114" s="511"/>
      <c r="DF114" s="511"/>
      <c r="DG114" s="511"/>
      <c r="DH114" s="512" t="s">
        <v>1323</v>
      </c>
      <c r="DI114" s="514">
        <v>0</v>
      </c>
      <c r="DJ114" s="513"/>
      <c r="DK114" s="514">
        <v>0</v>
      </c>
      <c r="DL114" s="514">
        <v>7</v>
      </c>
      <c r="DM114" s="514">
        <v>0</v>
      </c>
      <c r="DN114" s="514">
        <v>7</v>
      </c>
      <c r="DO114" s="515"/>
      <c r="DQ114" s="42"/>
      <c r="DR114" s="42"/>
      <c r="DS114" s="42"/>
      <c r="DT114" s="42"/>
      <c r="DU114" s="42"/>
      <c r="DV114" s="42"/>
      <c r="DW114" s="42"/>
      <c r="DX114" s="42"/>
      <c r="DY114" s="42"/>
      <c r="DZ114" s="42"/>
      <c r="EA114" s="42"/>
      <c r="EB114" s="42"/>
      <c r="EC114" s="516"/>
      <c r="ED114" s="517"/>
      <c r="EE114" s="516"/>
      <c r="EF114" s="516" t="s">
        <v>1323</v>
      </c>
      <c r="EG114" s="516">
        <v>0</v>
      </c>
      <c r="EH114" s="516">
        <v>0</v>
      </c>
      <c r="EI114" s="516">
        <v>0</v>
      </c>
      <c r="EJ114" s="516">
        <v>4</v>
      </c>
      <c r="EK114" s="516">
        <v>1</v>
      </c>
      <c r="EL114" s="516">
        <v>0</v>
      </c>
      <c r="EM114" s="516">
        <v>5</v>
      </c>
      <c r="EN114" s="516"/>
      <c r="EO114" s="518"/>
      <c r="EP114" s="42"/>
    </row>
    <row r="115" spans="109:146" ht="15" thickBot="1">
      <c r="DE115" s="511"/>
      <c r="DF115" s="511"/>
      <c r="DG115" s="553"/>
      <c r="DH115" s="554" t="s">
        <v>442</v>
      </c>
      <c r="DI115" s="555">
        <v>4</v>
      </c>
      <c r="DJ115" s="556"/>
      <c r="DK115" s="555">
        <v>1</v>
      </c>
      <c r="DL115" s="555">
        <v>19</v>
      </c>
      <c r="DM115" s="555">
        <v>46</v>
      </c>
      <c r="DN115" s="555">
        <v>70</v>
      </c>
      <c r="DO115" s="557">
        <f>+(DN114+DN112-DM112)/DN115</f>
        <v>0.11428571428571428</v>
      </c>
      <c r="DQ115" s="42"/>
      <c r="DR115" s="42"/>
      <c r="DS115" s="42"/>
      <c r="DT115" s="42"/>
      <c r="DU115" s="42"/>
      <c r="DV115" s="42"/>
      <c r="DW115" s="42"/>
      <c r="DX115" s="42"/>
      <c r="DY115" s="42"/>
      <c r="DZ115" s="42"/>
      <c r="EA115" s="42"/>
      <c r="EB115" s="42"/>
      <c r="EC115" s="516"/>
      <c r="ED115" s="579"/>
      <c r="EE115" s="539"/>
      <c r="EF115" s="539" t="s">
        <v>15</v>
      </c>
      <c r="EG115" s="539">
        <v>6</v>
      </c>
      <c r="EH115" s="539">
        <v>0</v>
      </c>
      <c r="EI115" s="539">
        <v>2</v>
      </c>
      <c r="EJ115" s="539">
        <v>6</v>
      </c>
      <c r="EK115" s="539">
        <v>41</v>
      </c>
      <c r="EL115" s="539">
        <v>12</v>
      </c>
      <c r="EM115" s="539">
        <v>67</v>
      </c>
      <c r="EN115" s="541">
        <f>+(EM114+EM113+EM111-EL113)/EM115</f>
        <v>0.65671641791044777</v>
      </c>
      <c r="EO115" s="493">
        <f>+EM111+EM113+EM114-EL113</f>
        <v>44</v>
      </c>
      <c r="EP115" s="42"/>
    </row>
    <row r="116" spans="109:146">
      <c r="DE116" s="511"/>
      <c r="DF116" s="511"/>
      <c r="DG116" s="511"/>
      <c r="DH116" s="512"/>
      <c r="DI116" s="514"/>
      <c r="DJ116" s="514"/>
      <c r="DK116" s="514"/>
      <c r="DL116" s="514"/>
      <c r="DM116" s="514"/>
      <c r="DN116" s="514"/>
      <c r="DQ116" s="42"/>
      <c r="DR116" s="42"/>
      <c r="DS116" s="42"/>
      <c r="DT116" s="42"/>
      <c r="DU116" s="42"/>
      <c r="DV116" s="42"/>
      <c r="DW116" s="42"/>
      <c r="DX116" s="42"/>
      <c r="DY116" s="42"/>
      <c r="DZ116" s="42"/>
      <c r="EA116" s="42"/>
      <c r="EB116" s="42"/>
      <c r="EC116" s="516"/>
      <c r="ED116" s="517"/>
      <c r="EE116" s="516"/>
      <c r="EF116" s="516"/>
      <c r="EG116" s="516"/>
      <c r="EH116" s="516"/>
      <c r="EI116" s="516"/>
      <c r="EJ116" s="516"/>
      <c r="EK116" s="516"/>
      <c r="EL116" s="516"/>
      <c r="EM116" s="516"/>
      <c r="EN116" s="516"/>
      <c r="EO116" s="516"/>
      <c r="EP116" s="42"/>
    </row>
    <row r="117" spans="109:146">
      <c r="DE117" s="511"/>
      <c r="DF117" s="511"/>
      <c r="DG117" s="511"/>
      <c r="DH117" s="512"/>
      <c r="DI117" s="514"/>
      <c r="DJ117" s="514"/>
      <c r="DK117" s="514"/>
      <c r="DL117" s="514"/>
      <c r="DM117" s="514"/>
      <c r="DN117" s="514"/>
      <c r="DQ117" s="42"/>
      <c r="DR117" s="42"/>
      <c r="DS117" s="42"/>
      <c r="DT117" s="42"/>
      <c r="DU117" s="42"/>
      <c r="DV117" s="42"/>
      <c r="DW117" s="42"/>
      <c r="DX117" s="42"/>
      <c r="DY117" s="42"/>
      <c r="DZ117" s="42"/>
      <c r="EA117" s="42"/>
      <c r="EB117" s="42"/>
      <c r="EC117" s="516"/>
      <c r="ED117" s="517"/>
      <c r="EE117" s="516"/>
      <c r="EF117" s="516"/>
      <c r="EG117" s="516"/>
      <c r="EH117" s="516"/>
      <c r="EI117" s="516"/>
      <c r="EJ117" s="516"/>
      <c r="EK117" s="516"/>
      <c r="EL117" s="516"/>
      <c r="EM117" s="516"/>
      <c r="EN117" s="516"/>
      <c r="EO117" s="516"/>
      <c r="EP117" s="42"/>
    </row>
    <row r="118" spans="109:146">
      <c r="DE118" s="511"/>
      <c r="DF118" s="511"/>
      <c r="DG118" s="511"/>
      <c r="DH118" s="532"/>
      <c r="DI118" s="5643" t="s">
        <v>1319</v>
      </c>
      <c r="DJ118" s="5643"/>
      <c r="DK118" s="5643"/>
      <c r="DL118" s="5643"/>
      <c r="DM118" s="5643"/>
      <c r="DN118" s="534"/>
      <c r="DQ118" s="42"/>
      <c r="DR118" s="42"/>
      <c r="DS118" s="42"/>
      <c r="DT118" s="484" t="s">
        <v>327</v>
      </c>
      <c r="DU118" s="5643" t="s">
        <v>1319</v>
      </c>
      <c r="DV118" s="5643"/>
      <c r="DW118" s="5643"/>
      <c r="DX118" s="5643"/>
      <c r="DY118" s="5643"/>
      <c r="DZ118" s="484"/>
      <c r="EA118" s="42"/>
      <c r="EB118" s="42"/>
      <c r="EC118" s="516"/>
      <c r="ED118" s="517"/>
      <c r="EE118" s="516"/>
      <c r="EF118" s="516"/>
      <c r="EG118" s="5640" t="s">
        <v>1319</v>
      </c>
      <c r="EH118" s="5640"/>
      <c r="EI118" s="5640"/>
      <c r="EJ118" s="5640"/>
      <c r="EK118" s="5640"/>
      <c r="EL118" s="5640"/>
      <c r="EM118" s="516"/>
      <c r="EN118" s="516"/>
      <c r="EO118" s="516"/>
      <c r="EP118" s="42"/>
    </row>
    <row r="119" spans="109:146" ht="28.2" thickBot="1">
      <c r="DE119" s="511"/>
      <c r="DF119" s="511"/>
      <c r="DG119" s="558" t="s">
        <v>0</v>
      </c>
      <c r="DH119" s="558" t="s">
        <v>1229</v>
      </c>
      <c r="DI119" s="558">
        <v>1</v>
      </c>
      <c r="DJ119" s="558">
        <v>2</v>
      </c>
      <c r="DK119" s="558">
        <v>3</v>
      </c>
      <c r="DL119" s="558">
        <v>4</v>
      </c>
      <c r="DM119" s="558">
        <v>5</v>
      </c>
      <c r="DN119" s="558" t="s">
        <v>15</v>
      </c>
      <c r="DO119" s="559" t="s">
        <v>66</v>
      </c>
      <c r="DQ119" s="42"/>
      <c r="DR119" s="42"/>
      <c r="DS119" s="491" t="s">
        <v>147</v>
      </c>
      <c r="DT119" s="491" t="s">
        <v>1229</v>
      </c>
      <c r="DU119" s="491">
        <v>1</v>
      </c>
      <c r="DV119" s="491">
        <v>2</v>
      </c>
      <c r="DW119" s="491">
        <v>3</v>
      </c>
      <c r="DX119" s="491">
        <v>4</v>
      </c>
      <c r="DY119" s="491">
        <v>5</v>
      </c>
      <c r="DZ119" s="491" t="s">
        <v>15</v>
      </c>
      <c r="EA119" s="560" t="s">
        <v>66</v>
      </c>
      <c r="EB119" s="42"/>
      <c r="EC119" s="516"/>
      <c r="ED119" s="517"/>
      <c r="EE119" s="539" t="s">
        <v>0</v>
      </c>
      <c r="EF119" s="580" t="s">
        <v>1321</v>
      </c>
      <c r="EG119" s="539">
        <v>0</v>
      </c>
      <c r="EH119" s="539">
        <v>1</v>
      </c>
      <c r="EI119" s="539">
        <v>2</v>
      </c>
      <c r="EJ119" s="539">
        <v>3</v>
      </c>
      <c r="EK119" s="539">
        <v>4</v>
      </c>
      <c r="EL119" s="539">
        <v>5</v>
      </c>
      <c r="EM119" s="581" t="s">
        <v>15</v>
      </c>
      <c r="EN119" s="569" t="s">
        <v>66</v>
      </c>
      <c r="EO119" s="496" t="s">
        <v>1322</v>
      </c>
      <c r="EP119" s="42"/>
    </row>
    <row r="120" spans="109:146">
      <c r="DE120" s="511"/>
      <c r="DF120" s="511"/>
      <c r="DG120" s="134" t="s">
        <v>75</v>
      </c>
      <c r="DH120" s="512" t="s">
        <v>1230</v>
      </c>
      <c r="DI120" s="514">
        <v>0</v>
      </c>
      <c r="DJ120" s="514">
        <v>0</v>
      </c>
      <c r="DK120" s="514">
        <v>0</v>
      </c>
      <c r="DL120" s="514">
        <v>0</v>
      </c>
      <c r="DM120" s="514">
        <v>53</v>
      </c>
      <c r="DN120" s="514">
        <v>53</v>
      </c>
      <c r="DO120" s="515"/>
      <c r="DQ120" s="42"/>
      <c r="DR120" s="42"/>
      <c r="DS120" s="70" t="s">
        <v>75</v>
      </c>
      <c r="DT120" s="42" t="s">
        <v>1230</v>
      </c>
      <c r="DU120" s="42">
        <v>0</v>
      </c>
      <c r="DV120" s="42">
        <v>1</v>
      </c>
      <c r="DW120" s="42">
        <v>9</v>
      </c>
      <c r="DX120" s="42">
        <v>0</v>
      </c>
      <c r="DY120" s="42">
        <v>33</v>
      </c>
      <c r="DZ120" s="42">
        <v>43</v>
      </c>
      <c r="EA120" s="42"/>
      <c r="EB120" s="42"/>
      <c r="EC120" s="516"/>
      <c r="ED120" s="517"/>
      <c r="EE120" s="516" t="s">
        <v>75</v>
      </c>
      <c r="EF120" s="516" t="s">
        <v>1230</v>
      </c>
      <c r="EG120" s="516">
        <v>0</v>
      </c>
      <c r="EH120" s="516">
        <v>0</v>
      </c>
      <c r="EI120" s="516">
        <v>0</v>
      </c>
      <c r="EJ120" s="516">
        <v>1</v>
      </c>
      <c r="EK120" s="516">
        <v>5</v>
      </c>
      <c r="EL120" s="516">
        <v>26</v>
      </c>
      <c r="EM120" s="516">
        <v>32</v>
      </c>
      <c r="EN120" s="516"/>
      <c r="EO120" s="518"/>
      <c r="EP120" s="42"/>
    </row>
    <row r="121" spans="109:146">
      <c r="DE121" s="511"/>
      <c r="DF121" s="511"/>
      <c r="DG121" s="511"/>
      <c r="DH121" s="512" t="s">
        <v>1231</v>
      </c>
      <c r="DI121" s="514">
        <v>8</v>
      </c>
      <c r="DJ121" s="514">
        <v>1</v>
      </c>
      <c r="DK121" s="514">
        <v>12</v>
      </c>
      <c r="DL121" s="514">
        <v>15</v>
      </c>
      <c r="DM121" s="514">
        <v>0</v>
      </c>
      <c r="DN121" s="514">
        <v>36</v>
      </c>
      <c r="DO121" s="515"/>
      <c r="DQ121" s="42"/>
      <c r="DR121" s="42"/>
      <c r="DS121" s="70"/>
      <c r="DT121" s="42" t="s">
        <v>1231</v>
      </c>
      <c r="DU121" s="42">
        <v>13</v>
      </c>
      <c r="DV121" s="42">
        <v>8</v>
      </c>
      <c r="DW121" s="42">
        <v>49</v>
      </c>
      <c r="DX121" s="42">
        <v>0</v>
      </c>
      <c r="DY121" s="42">
        <v>0</v>
      </c>
      <c r="DZ121" s="42">
        <v>70</v>
      </c>
      <c r="EA121" s="42"/>
      <c r="EB121" s="42"/>
      <c r="EC121" s="516"/>
      <c r="ED121" s="517"/>
      <c r="EE121" s="516"/>
      <c r="EF121" s="516" t="s">
        <v>1231</v>
      </c>
      <c r="EG121" s="516">
        <v>2</v>
      </c>
      <c r="EH121" s="516">
        <v>6</v>
      </c>
      <c r="EI121" s="516">
        <v>32</v>
      </c>
      <c r="EJ121" s="516">
        <v>80</v>
      </c>
      <c r="EK121" s="516">
        <v>1</v>
      </c>
      <c r="EL121" s="516">
        <v>0</v>
      </c>
      <c r="EM121" s="516">
        <v>121</v>
      </c>
      <c r="EN121" s="516"/>
      <c r="EO121" s="518"/>
      <c r="EP121" s="42"/>
    </row>
    <row r="122" spans="109:146">
      <c r="DE122" s="511"/>
      <c r="DF122" s="511"/>
      <c r="DG122" s="511"/>
      <c r="DH122" s="512" t="s">
        <v>1233</v>
      </c>
      <c r="DI122" s="514">
        <v>1</v>
      </c>
      <c r="DJ122" s="514">
        <v>0</v>
      </c>
      <c r="DK122" s="514">
        <v>0</v>
      </c>
      <c r="DL122" s="514">
        <v>0</v>
      </c>
      <c r="DM122" s="514">
        <v>0</v>
      </c>
      <c r="DN122" s="514">
        <v>1</v>
      </c>
      <c r="DO122" s="515"/>
      <c r="DQ122" s="42"/>
      <c r="DR122" s="42"/>
      <c r="DS122" s="70"/>
      <c r="DT122" s="42" t="s">
        <v>1233</v>
      </c>
      <c r="DU122" s="42">
        <v>0</v>
      </c>
      <c r="DV122" s="42">
        <v>2</v>
      </c>
      <c r="DW122" s="42">
        <v>0</v>
      </c>
      <c r="DX122" s="42">
        <v>0</v>
      </c>
      <c r="DY122" s="42">
        <v>0</v>
      </c>
      <c r="DZ122" s="42">
        <v>2</v>
      </c>
      <c r="EA122" s="42"/>
      <c r="EB122" s="42"/>
      <c r="EC122" s="516"/>
      <c r="ED122" s="517"/>
      <c r="EE122" s="516"/>
      <c r="EF122" s="516" t="s">
        <v>1233</v>
      </c>
      <c r="EG122" s="516">
        <v>0</v>
      </c>
      <c r="EH122" s="516">
        <v>0</v>
      </c>
      <c r="EI122" s="516">
        <v>1</v>
      </c>
      <c r="EJ122" s="516">
        <v>0</v>
      </c>
      <c r="EK122" s="516">
        <v>0</v>
      </c>
      <c r="EL122" s="516">
        <v>0</v>
      </c>
      <c r="EM122" s="516">
        <v>1</v>
      </c>
      <c r="EN122" s="516"/>
      <c r="EO122" s="518"/>
      <c r="EP122" s="42"/>
    </row>
    <row r="123" spans="109:146">
      <c r="DE123" s="511"/>
      <c r="DF123" s="511"/>
      <c r="DG123" s="511"/>
      <c r="DH123" s="512" t="s">
        <v>1235</v>
      </c>
      <c r="DI123" s="514">
        <v>0</v>
      </c>
      <c r="DJ123" s="514">
        <v>0</v>
      </c>
      <c r="DK123" s="514">
        <v>65</v>
      </c>
      <c r="DL123" s="514">
        <v>6</v>
      </c>
      <c r="DM123" s="514">
        <v>1</v>
      </c>
      <c r="DN123" s="514">
        <v>72</v>
      </c>
      <c r="DO123" s="515"/>
      <c r="DQ123" s="42"/>
      <c r="DR123" s="42"/>
      <c r="DS123" s="70"/>
      <c r="DT123" s="42" t="s">
        <v>1235</v>
      </c>
      <c r="DU123" s="42">
        <v>0</v>
      </c>
      <c r="DV123" s="42">
        <v>0</v>
      </c>
      <c r="DW123" s="42">
        <v>41</v>
      </c>
      <c r="DX123" s="42">
        <v>17</v>
      </c>
      <c r="DY123" s="42">
        <v>0</v>
      </c>
      <c r="DZ123" s="42">
        <v>58</v>
      </c>
      <c r="EA123" s="42"/>
      <c r="EB123" s="42"/>
      <c r="EC123" s="516"/>
      <c r="ED123" s="517"/>
      <c r="EE123" s="516"/>
      <c r="EF123" s="516" t="s">
        <v>1235</v>
      </c>
      <c r="EG123" s="516">
        <v>1</v>
      </c>
      <c r="EH123" s="516">
        <v>0</v>
      </c>
      <c r="EI123" s="516">
        <v>0</v>
      </c>
      <c r="EJ123" s="516">
        <v>10</v>
      </c>
      <c r="EK123" s="516">
        <v>11</v>
      </c>
      <c r="EL123" s="516">
        <v>0</v>
      </c>
      <c r="EM123" s="516">
        <v>22</v>
      </c>
      <c r="EN123" s="516"/>
      <c r="EO123" s="518"/>
      <c r="EP123" s="42"/>
    </row>
    <row r="124" spans="109:146">
      <c r="DE124" s="511"/>
      <c r="DF124" s="511"/>
      <c r="DG124" s="511"/>
      <c r="DH124" s="512" t="s">
        <v>1236</v>
      </c>
      <c r="DI124" s="514">
        <v>7</v>
      </c>
      <c r="DJ124" s="514">
        <v>3</v>
      </c>
      <c r="DK124" s="514">
        <v>5</v>
      </c>
      <c r="DL124" s="514">
        <v>0</v>
      </c>
      <c r="DM124" s="514">
        <v>0</v>
      </c>
      <c r="DN124" s="514">
        <v>15</v>
      </c>
      <c r="DO124" s="515"/>
      <c r="DQ124" s="42"/>
      <c r="DR124" s="42"/>
      <c r="DS124" s="70"/>
      <c r="DT124" s="42" t="s">
        <v>1236</v>
      </c>
      <c r="DU124" s="42">
        <v>0</v>
      </c>
      <c r="DV124" s="42">
        <v>4</v>
      </c>
      <c r="DW124" s="42">
        <v>1</v>
      </c>
      <c r="DX124" s="42">
        <v>1</v>
      </c>
      <c r="DY124" s="42">
        <v>0</v>
      </c>
      <c r="DZ124" s="42">
        <v>6</v>
      </c>
      <c r="EA124" s="42"/>
      <c r="EB124" s="42"/>
      <c r="EC124" s="516"/>
      <c r="ED124" s="517"/>
      <c r="EE124" s="516"/>
      <c r="EF124" s="516" t="s">
        <v>1236</v>
      </c>
      <c r="EG124" s="516">
        <v>3</v>
      </c>
      <c r="EH124" s="516">
        <v>0</v>
      </c>
      <c r="EI124" s="516">
        <v>5</v>
      </c>
      <c r="EJ124" s="516">
        <v>2</v>
      </c>
      <c r="EK124" s="516">
        <v>0</v>
      </c>
      <c r="EL124" s="516">
        <v>0</v>
      </c>
      <c r="EM124" s="516">
        <v>10</v>
      </c>
      <c r="EN124" s="516"/>
      <c r="EO124" s="518"/>
      <c r="EP124" s="42"/>
    </row>
    <row r="125" spans="109:146">
      <c r="DE125" s="511"/>
      <c r="DF125" s="511"/>
      <c r="DG125" s="511"/>
      <c r="DH125" s="512" t="s">
        <v>1240</v>
      </c>
      <c r="DI125" s="514">
        <v>0</v>
      </c>
      <c r="DJ125" s="514">
        <v>0</v>
      </c>
      <c r="DK125" s="514">
        <v>11</v>
      </c>
      <c r="DL125" s="514">
        <v>0</v>
      </c>
      <c r="DM125" s="514">
        <v>0</v>
      </c>
      <c r="DN125" s="514">
        <v>11</v>
      </c>
      <c r="DO125" s="515"/>
      <c r="DQ125" s="42"/>
      <c r="DR125" s="42"/>
      <c r="DS125" s="70"/>
      <c r="DT125" s="42" t="s">
        <v>1239</v>
      </c>
      <c r="DU125" s="42">
        <v>0</v>
      </c>
      <c r="DV125" s="42">
        <v>0</v>
      </c>
      <c r="DW125" s="42">
        <v>0</v>
      </c>
      <c r="DX125" s="42">
        <v>0</v>
      </c>
      <c r="DY125" s="42">
        <v>1</v>
      </c>
      <c r="DZ125" s="42">
        <v>1</v>
      </c>
      <c r="EA125" s="42"/>
      <c r="EB125" s="42"/>
      <c r="EC125" s="516"/>
      <c r="ED125" s="517"/>
      <c r="EE125" s="516"/>
      <c r="EF125" s="516" t="s">
        <v>1239</v>
      </c>
      <c r="EG125" s="516">
        <v>0</v>
      </c>
      <c r="EH125" s="516">
        <v>0</v>
      </c>
      <c r="EI125" s="516">
        <v>0</v>
      </c>
      <c r="EJ125" s="516">
        <v>0</v>
      </c>
      <c r="EK125" s="516">
        <v>1</v>
      </c>
      <c r="EL125" s="516">
        <v>2</v>
      </c>
      <c r="EM125" s="516">
        <v>3</v>
      </c>
      <c r="EN125" s="516"/>
      <c r="EO125" s="518"/>
      <c r="EP125" s="42"/>
    </row>
    <row r="126" spans="109:146">
      <c r="DE126" s="511"/>
      <c r="DF126" s="511"/>
      <c r="DG126" s="511"/>
      <c r="DH126" s="512" t="s">
        <v>1323</v>
      </c>
      <c r="DI126" s="514">
        <v>0</v>
      </c>
      <c r="DJ126" s="514">
        <v>0</v>
      </c>
      <c r="DK126" s="514">
        <v>7</v>
      </c>
      <c r="DL126" s="514">
        <v>8</v>
      </c>
      <c r="DM126" s="514">
        <v>0</v>
      </c>
      <c r="DN126" s="514">
        <v>15</v>
      </c>
      <c r="DO126" s="515"/>
      <c r="DQ126" s="42"/>
      <c r="DR126" s="42"/>
      <c r="DS126" s="70"/>
      <c r="DT126" s="42" t="s">
        <v>1240</v>
      </c>
      <c r="DU126" s="42">
        <v>0</v>
      </c>
      <c r="DV126" s="42">
        <v>0</v>
      </c>
      <c r="DW126" s="42">
        <v>13</v>
      </c>
      <c r="DX126" s="42">
        <v>35</v>
      </c>
      <c r="DY126" s="42">
        <v>0</v>
      </c>
      <c r="DZ126" s="42">
        <v>48</v>
      </c>
      <c r="EA126" s="42"/>
      <c r="EB126" s="42"/>
      <c r="EC126" s="516"/>
      <c r="ED126" s="517"/>
      <c r="EE126" s="516"/>
      <c r="EF126" s="516" t="s">
        <v>1240</v>
      </c>
      <c r="EG126" s="516">
        <v>0</v>
      </c>
      <c r="EH126" s="516">
        <v>0</v>
      </c>
      <c r="EI126" s="516">
        <v>0</v>
      </c>
      <c r="EJ126" s="516">
        <v>7</v>
      </c>
      <c r="EK126" s="516">
        <v>62</v>
      </c>
      <c r="EL126" s="516">
        <v>1</v>
      </c>
      <c r="EM126" s="516">
        <v>70</v>
      </c>
      <c r="EN126" s="516"/>
      <c r="EO126" s="518"/>
      <c r="EP126" s="42"/>
    </row>
    <row r="127" spans="109:146" ht="15" thickBot="1">
      <c r="DE127" s="511"/>
      <c r="DF127" s="511"/>
      <c r="DG127" s="553"/>
      <c r="DH127" s="554" t="s">
        <v>113</v>
      </c>
      <c r="DI127" s="555">
        <v>16</v>
      </c>
      <c r="DJ127" s="555">
        <v>4</v>
      </c>
      <c r="DK127" s="555">
        <v>100</v>
      </c>
      <c r="DL127" s="555">
        <v>29</v>
      </c>
      <c r="DM127" s="555">
        <v>54</v>
      </c>
      <c r="DN127" s="555">
        <v>203</v>
      </c>
      <c r="DO127" s="557">
        <f>(DN126+DN125+DN123-DM123)/DN127</f>
        <v>0.47783251231527096</v>
      </c>
      <c r="DQ127" s="42" t="s">
        <v>1305</v>
      </c>
      <c r="DR127" s="42"/>
      <c r="DS127" s="70"/>
      <c r="DT127" s="42" t="s">
        <v>1323</v>
      </c>
      <c r="DU127" s="42">
        <v>0</v>
      </c>
      <c r="DV127" s="42">
        <v>0</v>
      </c>
      <c r="DW127" s="42">
        <v>5</v>
      </c>
      <c r="DX127" s="42">
        <v>2</v>
      </c>
      <c r="DY127" s="42">
        <v>1</v>
      </c>
      <c r="DZ127" s="42">
        <v>8</v>
      </c>
      <c r="EA127" s="42"/>
      <c r="EB127" s="42"/>
      <c r="EC127" s="516"/>
      <c r="ED127" s="517"/>
      <c r="EE127" s="516"/>
      <c r="EF127" s="516" t="s">
        <v>1323</v>
      </c>
      <c r="EG127" s="516">
        <v>0</v>
      </c>
      <c r="EH127" s="516">
        <v>0</v>
      </c>
      <c r="EI127" s="516">
        <v>0</v>
      </c>
      <c r="EJ127" s="516">
        <v>9</v>
      </c>
      <c r="EK127" s="516">
        <v>3</v>
      </c>
      <c r="EL127" s="516">
        <v>0</v>
      </c>
      <c r="EM127" s="516">
        <v>12</v>
      </c>
      <c r="EN127" s="516"/>
      <c r="EO127" s="518"/>
      <c r="EP127" s="42"/>
    </row>
    <row r="128" spans="109:146" ht="15" thickBot="1">
      <c r="DE128" s="511" t="s">
        <v>1330</v>
      </c>
      <c r="DQ128" s="42"/>
      <c r="DR128" s="42"/>
      <c r="DS128" s="542"/>
      <c r="DT128" s="543" t="s">
        <v>15</v>
      </c>
      <c r="DU128" s="543">
        <v>13</v>
      </c>
      <c r="DV128" s="543">
        <v>15</v>
      </c>
      <c r="DW128" s="543">
        <v>118</v>
      </c>
      <c r="DX128" s="543">
        <v>55</v>
      </c>
      <c r="DY128" s="543">
        <v>35</v>
      </c>
      <c r="DZ128" s="543">
        <v>236</v>
      </c>
      <c r="EA128" s="582">
        <f>(+DZ127+DZ126+DZ123-DY127)/DZ128</f>
        <v>0.4788135593220339</v>
      </c>
      <c r="EB128" s="42"/>
      <c r="EC128" s="516"/>
      <c r="ED128" s="517"/>
      <c r="EE128" s="516"/>
      <c r="EF128" s="539" t="s">
        <v>15</v>
      </c>
      <c r="EG128" s="539">
        <v>6</v>
      </c>
      <c r="EH128" s="539">
        <v>6</v>
      </c>
      <c r="EI128" s="539">
        <v>38</v>
      </c>
      <c r="EJ128" s="539">
        <v>109</v>
      </c>
      <c r="EK128" s="539">
        <v>83</v>
      </c>
      <c r="EL128" s="539">
        <v>29</v>
      </c>
      <c r="EM128" s="539">
        <v>271</v>
      </c>
      <c r="EN128" s="583">
        <f>+(EM127+EM126+EM123-EL126)/EM128</f>
        <v>0.38007380073800739</v>
      </c>
      <c r="EO128" s="584">
        <f>+EM123+EM126+EM127-EL126</f>
        <v>103</v>
      </c>
      <c r="EP128" s="42"/>
    </row>
    <row r="129" spans="109:146">
      <c r="DE129" s="576" t="s">
        <v>1331</v>
      </c>
      <c r="DQ129" s="585" t="s">
        <v>1332</v>
      </c>
      <c r="DR129" s="42"/>
      <c r="DS129" s="42"/>
      <c r="DT129" s="42"/>
      <c r="DU129" s="42"/>
      <c r="DV129" s="42"/>
      <c r="DW129" s="42"/>
      <c r="DX129" s="42"/>
      <c r="DY129" s="42"/>
      <c r="DZ129" s="42"/>
      <c r="EA129" s="42"/>
      <c r="EB129" s="42"/>
      <c r="EC129" s="516"/>
      <c r="ED129" s="517"/>
      <c r="EE129" s="516"/>
      <c r="EF129" s="516"/>
      <c r="EG129" s="516"/>
      <c r="EH129" s="516"/>
      <c r="EI129" s="516"/>
      <c r="EJ129" s="516"/>
      <c r="EK129" s="516"/>
      <c r="EL129" s="516"/>
      <c r="EM129" s="516"/>
      <c r="EN129" s="516"/>
      <c r="EO129" s="516"/>
      <c r="EP129" s="42"/>
    </row>
    <row r="130" spans="109:146">
      <c r="DE130" s="586" t="s">
        <v>1333</v>
      </c>
      <c r="DQ130" s="585" t="s">
        <v>1334</v>
      </c>
      <c r="DR130" s="42"/>
      <c r="DS130" s="42"/>
      <c r="DT130" s="42"/>
      <c r="DU130" s="42"/>
      <c r="DV130" s="42"/>
      <c r="DW130" s="42"/>
      <c r="DX130" s="42"/>
      <c r="DY130" s="42"/>
      <c r="DZ130" s="42"/>
      <c r="EA130" s="42"/>
      <c r="EB130" s="42"/>
      <c r="EC130" s="516"/>
      <c r="ED130" s="517"/>
      <c r="EE130" s="516"/>
      <c r="EF130" s="516"/>
      <c r="EG130" s="516"/>
      <c r="EH130" s="516"/>
      <c r="EI130" s="516"/>
      <c r="EJ130" s="516"/>
      <c r="EK130" s="516"/>
      <c r="EL130" s="516"/>
      <c r="EM130" s="516"/>
      <c r="EN130" s="516"/>
      <c r="EO130" s="516"/>
      <c r="EP130" s="42"/>
    </row>
    <row r="131" spans="109:146">
      <c r="DQ131" s="585" t="s">
        <v>1335</v>
      </c>
      <c r="DR131" s="42"/>
      <c r="DS131" s="42"/>
      <c r="DT131" s="42"/>
      <c r="DU131" s="42"/>
      <c r="DV131" s="42"/>
      <c r="DW131" s="42"/>
      <c r="DX131" s="42"/>
      <c r="DY131" s="42"/>
      <c r="DZ131" s="42"/>
      <c r="EA131" s="42"/>
      <c r="EB131" s="42"/>
      <c r="EC131" s="587" t="s">
        <v>1332</v>
      </c>
      <c r="ED131" s="517"/>
      <c r="EE131" s="516"/>
      <c r="EF131" s="516"/>
      <c r="EG131" s="516"/>
      <c r="EH131" s="516"/>
      <c r="EI131" s="516"/>
      <c r="EJ131" s="516"/>
      <c r="EK131" s="516"/>
      <c r="EL131" s="516"/>
      <c r="EM131" s="516"/>
      <c r="EN131" s="516"/>
      <c r="EO131" s="516"/>
      <c r="EP131" s="42"/>
    </row>
    <row r="132" spans="109:146">
      <c r="DQ132" s="42"/>
      <c r="DR132" s="42"/>
      <c r="DS132" s="42"/>
      <c r="DT132" s="42"/>
      <c r="DU132" s="42"/>
      <c r="DV132" s="42"/>
      <c r="DW132" s="42"/>
      <c r="DX132" s="42"/>
      <c r="DY132" s="42"/>
      <c r="DZ132" s="42"/>
      <c r="EA132" s="42"/>
      <c r="EB132" s="42"/>
      <c r="EC132" s="587" t="s">
        <v>1334</v>
      </c>
      <c r="ED132" s="517"/>
      <c r="EE132" s="516"/>
      <c r="EF132" s="516"/>
      <c r="EG132" s="516"/>
      <c r="EH132" s="516"/>
      <c r="EI132" s="516"/>
      <c r="EJ132" s="516"/>
      <c r="EK132" s="516"/>
      <c r="EL132" s="516"/>
      <c r="EM132" s="516"/>
      <c r="EN132" s="516"/>
      <c r="EO132" s="516"/>
      <c r="EP132" s="42"/>
    </row>
    <row r="133" spans="109:146">
      <c r="DQ133" s="42"/>
      <c r="DR133" s="42"/>
      <c r="DS133" s="42"/>
      <c r="DT133" s="42"/>
      <c r="DU133" s="42"/>
      <c r="DV133" s="42"/>
      <c r="DW133" s="42"/>
      <c r="DX133" s="42"/>
      <c r="DY133" s="42"/>
      <c r="DZ133" s="42"/>
      <c r="EA133" s="42"/>
      <c r="EB133" s="42"/>
      <c r="EC133" s="587" t="s">
        <v>1306</v>
      </c>
      <c r="ED133" s="517"/>
      <c r="EE133" s="516"/>
      <c r="EF133" s="516"/>
      <c r="EG133" s="516"/>
      <c r="EH133" s="516"/>
      <c r="EI133" s="516"/>
      <c r="EJ133" s="516"/>
      <c r="EK133" s="516"/>
      <c r="EL133" s="516"/>
      <c r="EM133" s="516"/>
      <c r="EN133" s="516"/>
      <c r="EO133" s="516"/>
      <c r="EP133" s="42"/>
    </row>
    <row r="134" spans="109:146">
      <c r="DQ134" s="42"/>
      <c r="DR134" s="42"/>
      <c r="DS134" s="42"/>
      <c r="DT134" s="42"/>
      <c r="DU134" s="42"/>
      <c r="DV134" s="42"/>
      <c r="DW134" s="42"/>
      <c r="DX134" s="42"/>
      <c r="DY134" s="42"/>
      <c r="DZ134" s="42"/>
      <c r="EA134" s="42"/>
      <c r="EB134" s="42"/>
      <c r="EC134" s="42"/>
      <c r="ED134" s="95"/>
      <c r="EE134" s="42"/>
      <c r="EF134" s="42"/>
      <c r="EG134" s="42"/>
      <c r="EH134" s="42"/>
      <c r="EI134" s="42"/>
      <c r="EJ134" s="42"/>
      <c r="EK134" s="42"/>
      <c r="EL134" s="42"/>
      <c r="EM134" s="42"/>
      <c r="EN134" s="42"/>
      <c r="EO134" s="42"/>
      <c r="EP134" s="42"/>
    </row>
    <row r="135" spans="109:146">
      <c r="DQ135" s="42"/>
      <c r="DR135" s="42"/>
      <c r="DS135" s="42"/>
      <c r="DT135" s="42"/>
      <c r="DU135" s="42"/>
      <c r="DV135" s="42"/>
      <c r="DW135" s="42"/>
      <c r="DX135" s="42"/>
      <c r="DY135" s="42"/>
      <c r="DZ135" s="42"/>
      <c r="EA135" s="42"/>
      <c r="EB135" s="42"/>
      <c r="EC135" s="42"/>
      <c r="ED135" s="95"/>
      <c r="EE135" s="42"/>
      <c r="EF135" s="42"/>
      <c r="EG135" s="42"/>
      <c r="EH135" s="42"/>
      <c r="EI135" s="42"/>
      <c r="EJ135" s="42"/>
      <c r="EK135" s="42"/>
      <c r="EL135" s="42"/>
      <c r="EM135" s="42"/>
      <c r="EN135" s="42"/>
      <c r="EO135" s="42"/>
      <c r="EP135" s="42"/>
    </row>
    <row r="136" spans="109:146">
      <c r="DQ136" s="42"/>
      <c r="DR136" s="42"/>
      <c r="DS136" s="42"/>
      <c r="DT136" s="42"/>
      <c r="DU136" s="42"/>
      <c r="DV136" s="42"/>
      <c r="DW136" s="42"/>
      <c r="DX136" s="42"/>
      <c r="DY136" s="42"/>
      <c r="DZ136" s="42"/>
      <c r="EA136" s="42"/>
      <c r="EB136" s="42"/>
      <c r="EP136" s="42"/>
    </row>
    <row r="137" spans="109:146">
      <c r="DQ137" s="42"/>
      <c r="DR137" s="42"/>
      <c r="DS137" s="42"/>
      <c r="DT137" s="42"/>
      <c r="DU137" s="42"/>
      <c r="DV137" s="42"/>
      <c r="DW137" s="42"/>
      <c r="DX137" s="42"/>
      <c r="DY137" s="42"/>
      <c r="DZ137" s="42"/>
      <c r="EA137" s="42"/>
      <c r="EB137" s="42"/>
      <c r="EP137" s="42"/>
    </row>
    <row r="138" spans="109:146">
      <c r="DQ138" s="42"/>
      <c r="DR138" s="42"/>
      <c r="DS138" s="42"/>
      <c r="DT138" s="42"/>
      <c r="DU138" s="42"/>
      <c r="DV138" s="42"/>
      <c r="DW138" s="42"/>
      <c r="DX138" s="42"/>
      <c r="DY138" s="42"/>
      <c r="DZ138" s="42"/>
      <c r="EA138" s="42"/>
      <c r="EB138" s="42"/>
      <c r="EP138" s="42"/>
    </row>
    <row r="139" spans="109:146">
      <c r="DS139" s="42"/>
      <c r="DT139" s="42"/>
      <c r="DU139" s="42"/>
      <c r="DV139" s="42"/>
      <c r="DW139" s="42"/>
      <c r="DX139" s="42"/>
      <c r="DY139" s="42"/>
      <c r="DZ139" s="42"/>
      <c r="EA139" s="42"/>
      <c r="EB139" s="42"/>
      <c r="EP139" s="42"/>
    </row>
    <row r="140" spans="109:146">
      <c r="DS140" s="42"/>
      <c r="DT140" s="42"/>
      <c r="DU140" s="42"/>
      <c r="DV140" s="42"/>
      <c r="DW140" s="42"/>
      <c r="DX140" s="42"/>
      <c r="DY140" s="42"/>
      <c r="DZ140" s="42"/>
      <c r="EA140" s="42"/>
    </row>
  </sheetData>
  <mergeCells count="23">
    <mergeCell ref="E5:K5"/>
    <mergeCell ref="DS1:EC1"/>
    <mergeCell ref="DQ2:EA2"/>
    <mergeCell ref="DQ3:EA3"/>
    <mergeCell ref="EC3:EO3"/>
    <mergeCell ref="CJ5:CN5"/>
    <mergeCell ref="CV5:DA5"/>
    <mergeCell ref="DI5:DM5"/>
    <mergeCell ref="DU5:DY5"/>
    <mergeCell ref="EG5:EL5"/>
    <mergeCell ref="U5:Y5"/>
    <mergeCell ref="AH5:AO5"/>
    <mergeCell ref="AW5:BB5"/>
    <mergeCell ref="BV5:CC5"/>
    <mergeCell ref="EG118:EL118"/>
    <mergeCell ref="DI50:DM50"/>
    <mergeCell ref="DU50:DY50"/>
    <mergeCell ref="EG50:EL50"/>
    <mergeCell ref="EC87:EN87"/>
    <mergeCell ref="DI90:DM90"/>
    <mergeCell ref="DU90:DY90"/>
    <mergeCell ref="DI118:DM118"/>
    <mergeCell ref="DU118:DY11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2</vt:i4>
      </vt:variant>
    </vt:vector>
  </HeadingPairs>
  <TitlesOfParts>
    <vt:vector size="59" baseType="lpstr">
      <vt:lpstr>PDI</vt:lpstr>
      <vt:lpstr>Indicadores</vt:lpstr>
      <vt:lpstr>Formulas</vt:lpstr>
      <vt:lpstr>D.1.</vt:lpstr>
      <vt:lpstr>Desglose ET D.2</vt:lpstr>
      <vt:lpstr>D.2.</vt:lpstr>
      <vt:lpstr>D.3.</vt:lpstr>
      <vt:lpstr>D.3 Trim exc._Lic</vt:lpstr>
      <vt:lpstr>Desglose ET_Esp</vt:lpstr>
      <vt:lpstr>D.4.</vt:lpstr>
      <vt:lpstr>D.5.</vt:lpstr>
      <vt:lpstr>Desglose ET_Mtria</vt:lpstr>
      <vt:lpstr>D.6.</vt:lpstr>
      <vt:lpstr>Desglose ET_Doc</vt:lpstr>
      <vt:lpstr>D.7.</vt:lpstr>
      <vt:lpstr>Desglose de trim_esp</vt:lpstr>
      <vt:lpstr>D.8.</vt:lpstr>
      <vt:lpstr>Desglose de tri_Mtria</vt:lpstr>
      <vt:lpstr>D.9.</vt:lpstr>
      <vt:lpstr>Desglose Trim Doc</vt:lpstr>
      <vt:lpstr>D.10.</vt:lpstr>
      <vt:lpstr>D.11.</vt:lpstr>
      <vt:lpstr>D.12.</vt:lpstr>
      <vt:lpstr>D.13.</vt:lpstr>
      <vt:lpstr>D.14.</vt:lpstr>
      <vt:lpstr>D.15.</vt:lpstr>
      <vt:lpstr>D.16. y 17</vt:lpstr>
      <vt:lpstr>D.18 y 19</vt:lpstr>
      <vt:lpstr>D.20.</vt:lpstr>
      <vt:lpstr>I.21.</vt:lpstr>
      <vt:lpstr>I.22.</vt:lpstr>
      <vt:lpstr>I.23.</vt:lpstr>
      <vt:lpstr>I.24.</vt:lpstr>
      <vt:lpstr>I.25</vt:lpstr>
      <vt:lpstr>I.26.</vt:lpstr>
      <vt:lpstr>I.27.</vt:lpstr>
      <vt:lpstr>I.28.</vt:lpstr>
      <vt:lpstr>I.29.</vt:lpstr>
      <vt:lpstr>I.30.</vt:lpstr>
      <vt:lpstr>C.31.</vt:lpstr>
      <vt:lpstr>C.32.</vt:lpstr>
      <vt:lpstr>C.33.</vt:lpstr>
      <vt:lpstr>A.34.</vt:lpstr>
      <vt:lpstr>A.35.</vt:lpstr>
      <vt:lpstr>A.36.</vt:lpstr>
      <vt:lpstr>A.37.</vt:lpstr>
      <vt:lpstr>A.38.</vt:lpstr>
      <vt:lpstr>A.39.</vt:lpstr>
      <vt:lpstr>A.40.-42.</vt:lpstr>
      <vt:lpstr>A.43.</vt:lpstr>
      <vt:lpstr>A.44.</vt:lpstr>
      <vt:lpstr>A.45.</vt:lpstr>
      <vt:lpstr>A.46.1</vt:lpstr>
      <vt:lpstr>A.46.2</vt:lpstr>
      <vt:lpstr>A.46.3</vt:lpstr>
      <vt:lpstr>A.47.1</vt:lpstr>
      <vt:lpstr>A.47.2</vt:lpstr>
      <vt:lpstr>Indicadores!Área_de_impresión</vt:lpstr>
      <vt:lpstr>PDI!Área_de_impresión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Nava Diaz</dc:creator>
  <cp:lastModifiedBy>Jesus Lumbreras Guerrero</cp:lastModifiedBy>
  <cp:lastPrinted>2021-02-19T21:34:59Z</cp:lastPrinted>
  <dcterms:created xsi:type="dcterms:W3CDTF">2011-06-08T18:52:53Z</dcterms:created>
  <dcterms:modified xsi:type="dcterms:W3CDTF">2021-02-19T21:36:29Z</dcterms:modified>
</cp:coreProperties>
</file>